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7.xml" ContentType="application/vnd.openxmlformats-officedocument.spreadsheetml.externalLink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8.xml" ContentType="application/vnd.openxmlformats-officedocument.spreadsheetml.externalLink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6.xml" ContentType="application/vnd.openxmlformats-officedocument.spreadsheetml.externalLink+xml"/>
  <Default Extension="jpeg" ContentType="image/jpeg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5480" windowHeight="6240" tabRatio="843" firstSheet="4" activeTab="11"/>
  </bookViews>
  <sheets>
    <sheet name="APORTE FAOV" sheetId="36" r:id="rId1"/>
    <sheet name="Aporte SSO-SPF" sheetId="37" r:id="rId2"/>
    <sheet name="SUODE" sheetId="38" r:id="rId3"/>
    <sheet name="SURTRAPPS" sheetId="39" r:id="rId4"/>
    <sheet name="RETENC FAOV" sheetId="40" r:id="rId5"/>
    <sheet name="Retencion SSO-SPF" sheetId="41" r:id="rId6"/>
    <sheet name="Imprimir 4TO Agui " sheetId="52" r:id="rId7"/>
    <sheet name="Imprimir CT" sheetId="42" r:id="rId8"/>
    <sheet name="Imprimir 2a" sheetId="43" r:id="rId9"/>
    <sheet name="Aportes" sheetId="44" r:id="rId10"/>
    <sheet name="Imprimir 1ra" sheetId="45" r:id="rId11"/>
    <sheet name="NOMINA" sheetId="1" r:id="rId12"/>
    <sheet name="EJEMPLO CALCULO AGUINALDOS NUEV" sheetId="49" r:id="rId13"/>
    <sheet name="HIJOS " sheetId="20" r:id="rId14"/>
    <sheet name="HIJOS 12 AÑOS" sheetId="51" r:id="rId15"/>
    <sheet name="Hoja1" sheetId="34" r:id="rId16"/>
    <sheet name="CONCEPTOS Y PARAMETROS" sheetId="15" r:id="rId17"/>
    <sheet name="TAB EMP" sheetId="9" r:id="rId18"/>
    <sheet name="TAB OBR" sheetId="10" r:id="rId19"/>
    <sheet name="CARGOS" sheetId="8" r:id="rId20"/>
    <sheet name="CARGOS POA" sheetId="18" r:id="rId21"/>
    <sheet name="TAB EMP (2)" sheetId="19" r:id="rId22"/>
    <sheet name="Varios" sheetId="21" r:id="rId23"/>
  </sheets>
  <functionGroups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__shared_1_0_0" localSheetId="0">#REF!*7.5*(#REF!/30)</definedName>
    <definedName name="__shared_1_0_0" localSheetId="1">#REF!*7.5*(#REF!/30)</definedName>
    <definedName name="__shared_1_0_0" localSheetId="9">#REF!*7.5*(#REF!/30)</definedName>
    <definedName name="__shared_1_0_0" localSheetId="14">#REF!*7.5*(#REF!/30)</definedName>
    <definedName name="__shared_1_0_0" localSheetId="10">#REF!*7.5*(#REF!/30)</definedName>
    <definedName name="__shared_1_0_0" localSheetId="8">#REF!*7.5*(#REF!/30)</definedName>
    <definedName name="__shared_1_0_0" localSheetId="6">#REF!*7.5*(#REF!/30)</definedName>
    <definedName name="__shared_1_0_0" localSheetId="7">#REF!*7.5*(#REF!/30)</definedName>
    <definedName name="__shared_1_0_0" localSheetId="4">#REF!*7.5*(#REF!/30)</definedName>
    <definedName name="__shared_1_0_0" localSheetId="2">#REF!*7.5*(#REF!/30)</definedName>
    <definedName name="__shared_1_0_0" localSheetId="3">#REF!*7.5*(#REF!/30)</definedName>
    <definedName name="__shared_1_0_0" localSheetId="21">#REF!*7.5*(#REF!/30)</definedName>
    <definedName name="__shared_1_0_0">#REF!*7.5*(#REF!/30)</definedName>
    <definedName name="__shared_1_0_1" localSheetId="0">#REF!</definedName>
    <definedName name="__shared_1_0_1" localSheetId="1">#REF!</definedName>
    <definedName name="__shared_1_0_1" localSheetId="9">#REF!</definedName>
    <definedName name="__shared_1_0_1" localSheetId="14">#REF!</definedName>
    <definedName name="__shared_1_0_1" localSheetId="10">#REF!</definedName>
    <definedName name="__shared_1_0_1" localSheetId="8">#REF!</definedName>
    <definedName name="__shared_1_0_1" localSheetId="6">#REF!</definedName>
    <definedName name="__shared_1_0_1" localSheetId="7">#REF!</definedName>
    <definedName name="__shared_1_0_1" localSheetId="4">#REF!</definedName>
    <definedName name="__shared_1_0_1" localSheetId="2">#REF!</definedName>
    <definedName name="__shared_1_0_1" localSheetId="3">#REF!</definedName>
    <definedName name="__shared_1_0_1" localSheetId="21">#REF!</definedName>
    <definedName name="__shared_1_0_1">#REF!</definedName>
    <definedName name="__shared_1_0_11" localSheetId="0">#REF!*7.5*(#REF!/30)</definedName>
    <definedName name="__shared_1_0_11" localSheetId="1">#REF!*7.5*(#REF!/30)</definedName>
    <definedName name="__shared_1_0_11" localSheetId="9">#REF!*7.5*(#REF!/30)</definedName>
    <definedName name="__shared_1_0_11" localSheetId="14">#REF!*7.5*(#REF!/30)</definedName>
    <definedName name="__shared_1_0_11" localSheetId="10">#REF!*7.5*(#REF!/30)</definedName>
    <definedName name="__shared_1_0_11" localSheetId="8">#REF!*7.5*(#REF!/30)</definedName>
    <definedName name="__shared_1_0_11" localSheetId="6">#REF!*7.5*(#REF!/30)</definedName>
    <definedName name="__shared_1_0_11" localSheetId="7">#REF!*7.5*(#REF!/30)</definedName>
    <definedName name="__shared_1_0_11" localSheetId="4">#REF!*7.5*(#REF!/30)</definedName>
    <definedName name="__shared_1_0_11" localSheetId="2">#REF!*7.5*(#REF!/30)</definedName>
    <definedName name="__shared_1_0_11" localSheetId="3">#REF!*7.5*(#REF!/30)</definedName>
    <definedName name="__shared_1_0_11" localSheetId="21">#REF!*7.5*(#REF!/30)</definedName>
    <definedName name="__shared_1_0_11">#REF!*7.5*(#REF!/30)</definedName>
    <definedName name="__shared_1_0_12" localSheetId="0">#REF!</definedName>
    <definedName name="__shared_1_0_12" localSheetId="1">#REF!</definedName>
    <definedName name="__shared_1_0_12" localSheetId="9">#REF!</definedName>
    <definedName name="__shared_1_0_12" localSheetId="14">#REF!</definedName>
    <definedName name="__shared_1_0_12" localSheetId="10">#REF!</definedName>
    <definedName name="__shared_1_0_12" localSheetId="8">#REF!</definedName>
    <definedName name="__shared_1_0_12" localSheetId="6">#REF!</definedName>
    <definedName name="__shared_1_0_12" localSheetId="7">#REF!</definedName>
    <definedName name="__shared_1_0_12" localSheetId="4">#REF!</definedName>
    <definedName name="__shared_1_0_12" localSheetId="2">#REF!</definedName>
    <definedName name="__shared_1_0_12" localSheetId="3">#REF!</definedName>
    <definedName name="__shared_1_0_12" localSheetId="21">#REF!</definedName>
    <definedName name="__shared_1_0_12">#REF!</definedName>
    <definedName name="__shared_1_0_13" localSheetId="0">#REF!+1</definedName>
    <definedName name="__shared_1_0_13" localSheetId="1">#REF!+1</definedName>
    <definedName name="__shared_1_0_13" localSheetId="9">#REF!+1</definedName>
    <definedName name="__shared_1_0_13" localSheetId="14">#REF!+1</definedName>
    <definedName name="__shared_1_0_13" localSheetId="10">#REF!+1</definedName>
    <definedName name="__shared_1_0_13" localSheetId="8">#REF!+1</definedName>
    <definedName name="__shared_1_0_13" localSheetId="6">#REF!+1</definedName>
    <definedName name="__shared_1_0_13" localSheetId="7">#REF!+1</definedName>
    <definedName name="__shared_1_0_13" localSheetId="4">#REF!+1</definedName>
    <definedName name="__shared_1_0_13" localSheetId="2">#REF!+1</definedName>
    <definedName name="__shared_1_0_13" localSheetId="3">#REF!+1</definedName>
    <definedName name="__shared_1_0_13" localSheetId="21">#REF!+1</definedName>
    <definedName name="__shared_1_0_13">#REF!+1</definedName>
    <definedName name="__shared_1_0_15" localSheetId="0">#REF!*7.5*(#REF!/30)</definedName>
    <definedName name="__shared_1_0_15" localSheetId="1">#REF!*7.5*(#REF!/30)</definedName>
    <definedName name="__shared_1_0_15" localSheetId="9">#REF!*7.5*(#REF!/30)</definedName>
    <definedName name="__shared_1_0_15" localSheetId="14">#REF!*7.5*(#REF!/30)</definedName>
    <definedName name="__shared_1_0_15" localSheetId="10">#REF!*7.5*(#REF!/30)</definedName>
    <definedName name="__shared_1_0_15" localSheetId="8">#REF!*7.5*(#REF!/30)</definedName>
    <definedName name="__shared_1_0_15" localSheetId="6">#REF!*7.5*(#REF!/30)</definedName>
    <definedName name="__shared_1_0_15" localSheetId="7">#REF!*7.5*(#REF!/30)</definedName>
    <definedName name="__shared_1_0_15" localSheetId="4">#REF!*7.5*(#REF!/30)</definedName>
    <definedName name="__shared_1_0_15" localSheetId="2">#REF!*7.5*(#REF!/30)</definedName>
    <definedName name="__shared_1_0_15" localSheetId="3">#REF!*7.5*(#REF!/30)</definedName>
    <definedName name="__shared_1_0_15" localSheetId="21">#REF!*7.5*(#REF!/30)</definedName>
    <definedName name="__shared_1_0_15">#REF!*7.5*(#REF!/30)</definedName>
    <definedName name="__shared_1_0_16" localSheetId="0">#REF!</definedName>
    <definedName name="__shared_1_0_16" localSheetId="1">#REF!</definedName>
    <definedName name="__shared_1_0_16" localSheetId="9">#REF!</definedName>
    <definedName name="__shared_1_0_16" localSheetId="14">#REF!</definedName>
    <definedName name="__shared_1_0_16" localSheetId="10">#REF!</definedName>
    <definedName name="__shared_1_0_16" localSheetId="8">#REF!</definedName>
    <definedName name="__shared_1_0_16" localSheetId="6">#REF!</definedName>
    <definedName name="__shared_1_0_16" localSheetId="7">#REF!</definedName>
    <definedName name="__shared_1_0_16" localSheetId="4">#REF!</definedName>
    <definedName name="__shared_1_0_16" localSheetId="2">#REF!</definedName>
    <definedName name="__shared_1_0_16" localSheetId="3">#REF!</definedName>
    <definedName name="__shared_1_0_16" localSheetId="21">#REF!</definedName>
    <definedName name="__shared_1_0_16">#REF!</definedName>
    <definedName name="__shared_1_0_17" localSheetId="0">#REF!+1</definedName>
    <definedName name="__shared_1_0_17" localSheetId="1">#REF!+1</definedName>
    <definedName name="__shared_1_0_17" localSheetId="9">#REF!+1</definedName>
    <definedName name="__shared_1_0_17" localSheetId="14">#REF!+1</definedName>
    <definedName name="__shared_1_0_17" localSheetId="10">#REF!+1</definedName>
    <definedName name="__shared_1_0_17" localSheetId="8">#REF!+1</definedName>
    <definedName name="__shared_1_0_17" localSheetId="6">#REF!+1</definedName>
    <definedName name="__shared_1_0_17" localSheetId="7">#REF!+1</definedName>
    <definedName name="__shared_1_0_17" localSheetId="4">#REF!+1</definedName>
    <definedName name="__shared_1_0_17" localSheetId="2">#REF!+1</definedName>
    <definedName name="__shared_1_0_17" localSheetId="3">#REF!+1</definedName>
    <definedName name="__shared_1_0_17" localSheetId="21">#REF!+1</definedName>
    <definedName name="__shared_1_0_17">#REF!+1</definedName>
    <definedName name="__shared_1_0_19" localSheetId="0">#REF!*7.5*(#REF!/30)</definedName>
    <definedName name="__shared_1_0_19" localSheetId="1">#REF!*7.5*(#REF!/30)</definedName>
    <definedName name="__shared_1_0_19" localSheetId="9">#REF!*7.5*(#REF!/30)</definedName>
    <definedName name="__shared_1_0_19" localSheetId="14">#REF!*7.5*(#REF!/30)</definedName>
    <definedName name="__shared_1_0_19" localSheetId="10">#REF!*7.5*(#REF!/30)</definedName>
    <definedName name="__shared_1_0_19" localSheetId="8">#REF!*7.5*(#REF!/30)</definedName>
    <definedName name="__shared_1_0_19" localSheetId="6">#REF!*7.5*(#REF!/30)</definedName>
    <definedName name="__shared_1_0_19" localSheetId="7">#REF!*7.5*(#REF!/30)</definedName>
    <definedName name="__shared_1_0_19" localSheetId="4">#REF!*7.5*(#REF!/30)</definedName>
    <definedName name="__shared_1_0_19" localSheetId="2">#REF!*7.5*(#REF!/30)</definedName>
    <definedName name="__shared_1_0_19" localSheetId="3">#REF!*7.5*(#REF!/30)</definedName>
    <definedName name="__shared_1_0_19" localSheetId="21">#REF!*7.5*(#REF!/30)</definedName>
    <definedName name="__shared_1_0_19">#REF!*7.5*(#REF!/30)</definedName>
    <definedName name="__shared_1_0_20" localSheetId="0">#REF!</definedName>
    <definedName name="__shared_1_0_20" localSheetId="1">#REF!</definedName>
    <definedName name="__shared_1_0_20" localSheetId="9">#REF!</definedName>
    <definedName name="__shared_1_0_20" localSheetId="14">#REF!</definedName>
    <definedName name="__shared_1_0_20" localSheetId="10">#REF!</definedName>
    <definedName name="__shared_1_0_20" localSheetId="8">#REF!</definedName>
    <definedName name="__shared_1_0_20" localSheetId="6">#REF!</definedName>
    <definedName name="__shared_1_0_20" localSheetId="7">#REF!</definedName>
    <definedName name="__shared_1_0_20" localSheetId="4">#REF!</definedName>
    <definedName name="__shared_1_0_20" localSheetId="2">#REF!</definedName>
    <definedName name="__shared_1_0_20" localSheetId="3">#REF!</definedName>
    <definedName name="__shared_1_0_20" localSheetId="21">#REF!</definedName>
    <definedName name="__shared_1_0_20">#REF!</definedName>
    <definedName name="__shared_1_0_21" localSheetId="0">#REF!+1</definedName>
    <definedName name="__shared_1_0_21" localSheetId="1">#REF!+1</definedName>
    <definedName name="__shared_1_0_21" localSheetId="9">#REF!+1</definedName>
    <definedName name="__shared_1_0_21" localSheetId="14">#REF!+1</definedName>
    <definedName name="__shared_1_0_21" localSheetId="10">#REF!+1</definedName>
    <definedName name="__shared_1_0_21" localSheetId="8">#REF!+1</definedName>
    <definedName name="__shared_1_0_21" localSheetId="6">#REF!+1</definedName>
    <definedName name="__shared_1_0_21" localSheetId="7">#REF!+1</definedName>
    <definedName name="__shared_1_0_21" localSheetId="4">#REF!+1</definedName>
    <definedName name="__shared_1_0_21" localSheetId="2">#REF!+1</definedName>
    <definedName name="__shared_1_0_21" localSheetId="3">#REF!+1</definedName>
    <definedName name="__shared_1_0_21" localSheetId="21">#REF!+1</definedName>
    <definedName name="__shared_1_0_21">#REF!+1</definedName>
    <definedName name="__shared_1_0_23" localSheetId="0">#REF!*7.5*(#REF!/30)</definedName>
    <definedName name="__shared_1_0_23" localSheetId="1">#REF!*7.5*(#REF!/30)</definedName>
    <definedName name="__shared_1_0_23" localSheetId="9">#REF!*7.5*(#REF!/30)</definedName>
    <definedName name="__shared_1_0_23" localSheetId="14">#REF!*7.5*(#REF!/30)</definedName>
    <definedName name="__shared_1_0_23" localSheetId="10">#REF!*7.5*(#REF!/30)</definedName>
    <definedName name="__shared_1_0_23" localSheetId="8">#REF!*7.5*(#REF!/30)</definedName>
    <definedName name="__shared_1_0_23" localSheetId="6">#REF!*7.5*(#REF!/30)</definedName>
    <definedName name="__shared_1_0_23" localSheetId="7">#REF!*7.5*(#REF!/30)</definedName>
    <definedName name="__shared_1_0_23" localSheetId="4">#REF!*7.5*(#REF!/30)</definedName>
    <definedName name="__shared_1_0_23" localSheetId="2">#REF!*7.5*(#REF!/30)</definedName>
    <definedName name="__shared_1_0_23" localSheetId="3">#REF!*7.5*(#REF!/30)</definedName>
    <definedName name="__shared_1_0_23" localSheetId="21">#REF!*7.5*(#REF!/30)</definedName>
    <definedName name="__shared_1_0_23">#REF!*7.5*(#REF!/30)</definedName>
    <definedName name="__shared_1_0_24" localSheetId="0">#REF!</definedName>
    <definedName name="__shared_1_0_24" localSheetId="1">#REF!</definedName>
    <definedName name="__shared_1_0_24" localSheetId="9">#REF!</definedName>
    <definedName name="__shared_1_0_24" localSheetId="14">#REF!</definedName>
    <definedName name="__shared_1_0_24" localSheetId="10">#REF!</definedName>
    <definedName name="__shared_1_0_24" localSheetId="8">#REF!</definedName>
    <definedName name="__shared_1_0_24" localSheetId="6">#REF!</definedName>
    <definedName name="__shared_1_0_24" localSheetId="7">#REF!</definedName>
    <definedName name="__shared_1_0_24" localSheetId="4">#REF!</definedName>
    <definedName name="__shared_1_0_24" localSheetId="2">#REF!</definedName>
    <definedName name="__shared_1_0_24" localSheetId="3">#REF!</definedName>
    <definedName name="__shared_1_0_24" localSheetId="21">#REF!</definedName>
    <definedName name="__shared_1_0_24">#REF!</definedName>
    <definedName name="__shared_1_0_25" localSheetId="0">#REF!+1</definedName>
    <definedName name="__shared_1_0_25" localSheetId="1">#REF!+1</definedName>
    <definedName name="__shared_1_0_25" localSheetId="9">#REF!+1</definedName>
    <definedName name="__shared_1_0_25" localSheetId="14">#REF!+1</definedName>
    <definedName name="__shared_1_0_25" localSheetId="10">#REF!+1</definedName>
    <definedName name="__shared_1_0_25" localSheetId="8">#REF!+1</definedName>
    <definedName name="__shared_1_0_25" localSheetId="6">#REF!+1</definedName>
    <definedName name="__shared_1_0_25" localSheetId="7">#REF!+1</definedName>
    <definedName name="__shared_1_0_25" localSheetId="4">#REF!+1</definedName>
    <definedName name="__shared_1_0_25" localSheetId="2">#REF!+1</definedName>
    <definedName name="__shared_1_0_25" localSheetId="3">#REF!+1</definedName>
    <definedName name="__shared_1_0_25" localSheetId="21">#REF!+1</definedName>
    <definedName name="__shared_1_0_25">#REF!+1</definedName>
    <definedName name="__shared_1_0_27" localSheetId="0">#REF!*7.5*(#REF!/30)</definedName>
    <definedName name="__shared_1_0_27" localSheetId="1">#REF!*7.5*(#REF!/30)</definedName>
    <definedName name="__shared_1_0_27" localSheetId="9">#REF!*7.5*(#REF!/30)</definedName>
    <definedName name="__shared_1_0_27" localSheetId="14">#REF!*7.5*(#REF!/30)</definedName>
    <definedName name="__shared_1_0_27" localSheetId="10">#REF!*7.5*(#REF!/30)</definedName>
    <definedName name="__shared_1_0_27" localSheetId="8">#REF!*7.5*(#REF!/30)</definedName>
    <definedName name="__shared_1_0_27" localSheetId="6">#REF!*7.5*(#REF!/30)</definedName>
    <definedName name="__shared_1_0_27" localSheetId="7">#REF!*7.5*(#REF!/30)</definedName>
    <definedName name="__shared_1_0_27" localSheetId="4">#REF!*7.5*(#REF!/30)</definedName>
    <definedName name="__shared_1_0_27" localSheetId="2">#REF!*7.5*(#REF!/30)</definedName>
    <definedName name="__shared_1_0_27" localSheetId="3">#REF!*7.5*(#REF!/30)</definedName>
    <definedName name="__shared_1_0_27" localSheetId="21">#REF!*7.5*(#REF!/30)</definedName>
    <definedName name="__shared_1_0_27">#REF!*7.5*(#REF!/30)</definedName>
    <definedName name="__shared_1_0_28" localSheetId="0">#REF!</definedName>
    <definedName name="__shared_1_0_28" localSheetId="1">#REF!</definedName>
    <definedName name="__shared_1_0_28" localSheetId="9">#REF!</definedName>
    <definedName name="__shared_1_0_28" localSheetId="14">#REF!</definedName>
    <definedName name="__shared_1_0_28" localSheetId="10">#REF!</definedName>
    <definedName name="__shared_1_0_28" localSheetId="8">#REF!</definedName>
    <definedName name="__shared_1_0_28" localSheetId="6">#REF!</definedName>
    <definedName name="__shared_1_0_28" localSheetId="7">#REF!</definedName>
    <definedName name="__shared_1_0_28" localSheetId="4">#REF!</definedName>
    <definedName name="__shared_1_0_28" localSheetId="2">#REF!</definedName>
    <definedName name="__shared_1_0_28" localSheetId="3">#REF!</definedName>
    <definedName name="__shared_1_0_28" localSheetId="21">#REF!</definedName>
    <definedName name="__shared_1_0_28">#REF!</definedName>
    <definedName name="__shared_1_0_29" localSheetId="0">#REF!+1</definedName>
    <definedName name="__shared_1_0_29" localSheetId="1">#REF!+1</definedName>
    <definedName name="__shared_1_0_29" localSheetId="9">#REF!+1</definedName>
    <definedName name="__shared_1_0_29" localSheetId="14">#REF!+1</definedName>
    <definedName name="__shared_1_0_29" localSheetId="10">#REF!+1</definedName>
    <definedName name="__shared_1_0_29" localSheetId="8">#REF!+1</definedName>
    <definedName name="__shared_1_0_29" localSheetId="6">#REF!+1</definedName>
    <definedName name="__shared_1_0_29" localSheetId="7">#REF!+1</definedName>
    <definedName name="__shared_1_0_29" localSheetId="4">#REF!+1</definedName>
    <definedName name="__shared_1_0_29" localSheetId="2">#REF!+1</definedName>
    <definedName name="__shared_1_0_29" localSheetId="3">#REF!+1</definedName>
    <definedName name="__shared_1_0_29" localSheetId="21">#REF!+1</definedName>
    <definedName name="__shared_1_0_29">#REF!+1</definedName>
    <definedName name="__shared_1_0_3" localSheetId="0">#REF!+1</definedName>
    <definedName name="__shared_1_0_3" localSheetId="1">#REF!+1</definedName>
    <definedName name="__shared_1_0_3" localSheetId="9">#REF!+1</definedName>
    <definedName name="__shared_1_0_3" localSheetId="14">#REF!+1</definedName>
    <definedName name="__shared_1_0_3" localSheetId="10">#REF!+1</definedName>
    <definedName name="__shared_1_0_3" localSheetId="8">#REF!+1</definedName>
    <definedName name="__shared_1_0_3" localSheetId="6">#REF!+1</definedName>
    <definedName name="__shared_1_0_3" localSheetId="7">#REF!+1</definedName>
    <definedName name="__shared_1_0_3" localSheetId="4">#REF!+1</definedName>
    <definedName name="__shared_1_0_3" localSheetId="2">#REF!+1</definedName>
    <definedName name="__shared_1_0_3" localSheetId="3">#REF!+1</definedName>
    <definedName name="__shared_1_0_3" localSheetId="21">#REF!+1</definedName>
    <definedName name="__shared_1_0_3">#REF!+1</definedName>
    <definedName name="__shared_1_0_31" localSheetId="0">#REF!*7.5*(#REF!/30)</definedName>
    <definedName name="__shared_1_0_31" localSheetId="1">#REF!*7.5*(#REF!/30)</definedName>
    <definedName name="__shared_1_0_31" localSheetId="9">#REF!*7.5*(#REF!/30)</definedName>
    <definedName name="__shared_1_0_31" localSheetId="14">#REF!*7.5*(#REF!/30)</definedName>
    <definedName name="__shared_1_0_31" localSheetId="10">#REF!*7.5*(#REF!/30)</definedName>
    <definedName name="__shared_1_0_31" localSheetId="8">#REF!*7.5*(#REF!/30)</definedName>
    <definedName name="__shared_1_0_31" localSheetId="6">#REF!*7.5*(#REF!/30)</definedName>
    <definedName name="__shared_1_0_31" localSheetId="7">#REF!*7.5*(#REF!/30)</definedName>
    <definedName name="__shared_1_0_31" localSheetId="4">#REF!*7.5*(#REF!/30)</definedName>
    <definedName name="__shared_1_0_31" localSheetId="2">#REF!*7.5*(#REF!/30)</definedName>
    <definedName name="__shared_1_0_31" localSheetId="3">#REF!*7.5*(#REF!/30)</definedName>
    <definedName name="__shared_1_0_31" localSheetId="21">#REF!*7.5*(#REF!/30)</definedName>
    <definedName name="__shared_1_0_31">#REF!*7.5*(#REF!/30)</definedName>
    <definedName name="__shared_1_0_32" localSheetId="0">#REF!</definedName>
    <definedName name="__shared_1_0_32" localSheetId="1">#REF!</definedName>
    <definedName name="__shared_1_0_32" localSheetId="9">#REF!</definedName>
    <definedName name="__shared_1_0_32" localSheetId="14">#REF!</definedName>
    <definedName name="__shared_1_0_32" localSheetId="10">#REF!</definedName>
    <definedName name="__shared_1_0_32" localSheetId="8">#REF!</definedName>
    <definedName name="__shared_1_0_32" localSheetId="6">#REF!</definedName>
    <definedName name="__shared_1_0_32" localSheetId="7">#REF!</definedName>
    <definedName name="__shared_1_0_32" localSheetId="4">#REF!</definedName>
    <definedName name="__shared_1_0_32" localSheetId="2">#REF!</definedName>
    <definedName name="__shared_1_0_32" localSheetId="3">#REF!</definedName>
    <definedName name="__shared_1_0_32" localSheetId="21">#REF!</definedName>
    <definedName name="__shared_1_0_32">#REF!</definedName>
    <definedName name="__shared_1_0_33" localSheetId="0">#REF!+1</definedName>
    <definedName name="__shared_1_0_33" localSheetId="1">#REF!+1</definedName>
    <definedName name="__shared_1_0_33" localSheetId="9">#REF!+1</definedName>
    <definedName name="__shared_1_0_33" localSheetId="14">#REF!+1</definedName>
    <definedName name="__shared_1_0_33" localSheetId="10">#REF!+1</definedName>
    <definedName name="__shared_1_0_33" localSheetId="8">#REF!+1</definedName>
    <definedName name="__shared_1_0_33" localSheetId="6">#REF!+1</definedName>
    <definedName name="__shared_1_0_33" localSheetId="7">#REF!+1</definedName>
    <definedName name="__shared_1_0_33" localSheetId="4">#REF!+1</definedName>
    <definedName name="__shared_1_0_33" localSheetId="2">#REF!+1</definedName>
    <definedName name="__shared_1_0_33" localSheetId="3">#REF!+1</definedName>
    <definedName name="__shared_1_0_33" localSheetId="21">#REF!+1</definedName>
    <definedName name="__shared_1_0_33">#REF!+1</definedName>
    <definedName name="__shared_1_0_35" localSheetId="0">#REF!*7.5*(#REF!/30)</definedName>
    <definedName name="__shared_1_0_35" localSheetId="1">#REF!*7.5*(#REF!/30)</definedName>
    <definedName name="__shared_1_0_35" localSheetId="9">#REF!*7.5*(#REF!/30)</definedName>
    <definedName name="__shared_1_0_35" localSheetId="14">#REF!*7.5*(#REF!/30)</definedName>
    <definedName name="__shared_1_0_35" localSheetId="10">#REF!*7.5*(#REF!/30)</definedName>
    <definedName name="__shared_1_0_35" localSheetId="8">#REF!*7.5*(#REF!/30)</definedName>
    <definedName name="__shared_1_0_35" localSheetId="6">#REF!*7.5*(#REF!/30)</definedName>
    <definedName name="__shared_1_0_35" localSheetId="7">#REF!*7.5*(#REF!/30)</definedName>
    <definedName name="__shared_1_0_35" localSheetId="4">#REF!*7.5*(#REF!/30)</definedName>
    <definedName name="__shared_1_0_35" localSheetId="2">#REF!*7.5*(#REF!/30)</definedName>
    <definedName name="__shared_1_0_35" localSheetId="3">#REF!*7.5*(#REF!/30)</definedName>
    <definedName name="__shared_1_0_35" localSheetId="21">#REF!*7.5*(#REF!/30)</definedName>
    <definedName name="__shared_1_0_35">#REF!*7.5*(#REF!/30)</definedName>
    <definedName name="__shared_1_0_36" localSheetId="0">#REF!</definedName>
    <definedName name="__shared_1_0_36" localSheetId="1">#REF!</definedName>
    <definedName name="__shared_1_0_36" localSheetId="9">#REF!</definedName>
    <definedName name="__shared_1_0_36" localSheetId="14">#REF!</definedName>
    <definedName name="__shared_1_0_36" localSheetId="10">#REF!</definedName>
    <definedName name="__shared_1_0_36" localSheetId="8">#REF!</definedName>
    <definedName name="__shared_1_0_36" localSheetId="6">#REF!</definedName>
    <definedName name="__shared_1_0_36" localSheetId="7">#REF!</definedName>
    <definedName name="__shared_1_0_36" localSheetId="4">#REF!</definedName>
    <definedName name="__shared_1_0_36" localSheetId="2">#REF!</definedName>
    <definedName name="__shared_1_0_36" localSheetId="3">#REF!</definedName>
    <definedName name="__shared_1_0_36" localSheetId="21">#REF!</definedName>
    <definedName name="__shared_1_0_36">#REF!</definedName>
    <definedName name="__shared_1_0_37" localSheetId="0">#REF!+1</definedName>
    <definedName name="__shared_1_0_37" localSheetId="1">#REF!+1</definedName>
    <definedName name="__shared_1_0_37" localSheetId="9">#REF!+1</definedName>
    <definedName name="__shared_1_0_37" localSheetId="14">#REF!+1</definedName>
    <definedName name="__shared_1_0_37" localSheetId="10">#REF!+1</definedName>
    <definedName name="__shared_1_0_37" localSheetId="8">#REF!+1</definedName>
    <definedName name="__shared_1_0_37" localSheetId="6">#REF!+1</definedName>
    <definedName name="__shared_1_0_37" localSheetId="7">#REF!+1</definedName>
    <definedName name="__shared_1_0_37" localSheetId="4">#REF!+1</definedName>
    <definedName name="__shared_1_0_37" localSheetId="2">#REF!+1</definedName>
    <definedName name="__shared_1_0_37" localSheetId="3">#REF!+1</definedName>
    <definedName name="__shared_1_0_37" localSheetId="21">#REF!+1</definedName>
    <definedName name="__shared_1_0_37">#REF!+1</definedName>
    <definedName name="__shared_1_0_39" localSheetId="0">#REF!*7.5*(#REF!/30)</definedName>
    <definedName name="__shared_1_0_39" localSheetId="1">#REF!*7.5*(#REF!/30)</definedName>
    <definedName name="__shared_1_0_39" localSheetId="9">#REF!*7.5*(#REF!/30)</definedName>
    <definedName name="__shared_1_0_39" localSheetId="14">#REF!*7.5*(#REF!/30)</definedName>
    <definedName name="__shared_1_0_39" localSheetId="10">#REF!*7.5*(#REF!/30)</definedName>
    <definedName name="__shared_1_0_39" localSheetId="8">#REF!*7.5*(#REF!/30)</definedName>
    <definedName name="__shared_1_0_39" localSheetId="6">#REF!*7.5*(#REF!/30)</definedName>
    <definedName name="__shared_1_0_39" localSheetId="7">#REF!*7.5*(#REF!/30)</definedName>
    <definedName name="__shared_1_0_39" localSheetId="4">#REF!*7.5*(#REF!/30)</definedName>
    <definedName name="__shared_1_0_39" localSheetId="2">#REF!*7.5*(#REF!/30)</definedName>
    <definedName name="__shared_1_0_39" localSheetId="3">#REF!*7.5*(#REF!/30)</definedName>
    <definedName name="__shared_1_0_39" localSheetId="21">#REF!*7.5*(#REF!/30)</definedName>
    <definedName name="__shared_1_0_39">#REF!*7.5*(#REF!/30)</definedName>
    <definedName name="__shared_1_0_40" localSheetId="0">#REF!</definedName>
    <definedName name="__shared_1_0_40" localSheetId="1">#REF!</definedName>
    <definedName name="__shared_1_0_40" localSheetId="9">#REF!</definedName>
    <definedName name="__shared_1_0_40" localSheetId="14">#REF!</definedName>
    <definedName name="__shared_1_0_40" localSheetId="10">#REF!</definedName>
    <definedName name="__shared_1_0_40" localSheetId="8">#REF!</definedName>
    <definedName name="__shared_1_0_40" localSheetId="6">#REF!</definedName>
    <definedName name="__shared_1_0_40" localSheetId="7">#REF!</definedName>
    <definedName name="__shared_1_0_40" localSheetId="4">#REF!</definedName>
    <definedName name="__shared_1_0_40" localSheetId="2">#REF!</definedName>
    <definedName name="__shared_1_0_40" localSheetId="3">#REF!</definedName>
    <definedName name="__shared_1_0_40" localSheetId="21">#REF!</definedName>
    <definedName name="__shared_1_0_40">#REF!</definedName>
    <definedName name="__shared_1_0_41" localSheetId="0">#REF!+1</definedName>
    <definedName name="__shared_1_0_41" localSheetId="1">#REF!+1</definedName>
    <definedName name="__shared_1_0_41" localSheetId="9">#REF!+1</definedName>
    <definedName name="__shared_1_0_41" localSheetId="14">#REF!+1</definedName>
    <definedName name="__shared_1_0_41" localSheetId="10">#REF!+1</definedName>
    <definedName name="__shared_1_0_41" localSheetId="8">#REF!+1</definedName>
    <definedName name="__shared_1_0_41" localSheetId="6">#REF!+1</definedName>
    <definedName name="__shared_1_0_41" localSheetId="7">#REF!+1</definedName>
    <definedName name="__shared_1_0_41" localSheetId="4">#REF!+1</definedName>
    <definedName name="__shared_1_0_41" localSheetId="2">#REF!+1</definedName>
    <definedName name="__shared_1_0_41" localSheetId="3">#REF!+1</definedName>
    <definedName name="__shared_1_0_41" localSheetId="21">#REF!+1</definedName>
    <definedName name="__shared_1_0_41">#REF!+1</definedName>
    <definedName name="__shared_1_0_5" localSheetId="0">#REF!*7.5*(#REF!/30)</definedName>
    <definedName name="__shared_1_0_5" localSheetId="1">#REF!*7.5*(#REF!/30)</definedName>
    <definedName name="__shared_1_0_5" localSheetId="9">#REF!*7.5*(#REF!/30)</definedName>
    <definedName name="__shared_1_0_5" localSheetId="14">#REF!*7.5*(#REF!/30)</definedName>
    <definedName name="__shared_1_0_5" localSheetId="10">#REF!*7.5*(#REF!/30)</definedName>
    <definedName name="__shared_1_0_5" localSheetId="8">#REF!*7.5*(#REF!/30)</definedName>
    <definedName name="__shared_1_0_5" localSheetId="6">#REF!*7.5*(#REF!/30)</definedName>
    <definedName name="__shared_1_0_5" localSheetId="7">#REF!*7.5*(#REF!/30)</definedName>
    <definedName name="__shared_1_0_5" localSheetId="4">#REF!*7.5*(#REF!/30)</definedName>
    <definedName name="__shared_1_0_5" localSheetId="2">#REF!*7.5*(#REF!/30)</definedName>
    <definedName name="__shared_1_0_5" localSheetId="3">#REF!*7.5*(#REF!/30)</definedName>
    <definedName name="__shared_1_0_5" localSheetId="21">#REF!*7.5*(#REF!/30)</definedName>
    <definedName name="__shared_1_0_5">#REF!*7.5*(#REF!/30)</definedName>
    <definedName name="__shared_1_0_6" localSheetId="0">#REF!</definedName>
    <definedName name="__shared_1_0_6" localSheetId="1">#REF!</definedName>
    <definedName name="__shared_1_0_6" localSheetId="9">#REF!</definedName>
    <definedName name="__shared_1_0_6" localSheetId="14">#REF!</definedName>
    <definedName name="__shared_1_0_6" localSheetId="10">#REF!</definedName>
    <definedName name="__shared_1_0_6" localSheetId="8">#REF!</definedName>
    <definedName name="__shared_1_0_6" localSheetId="6">#REF!</definedName>
    <definedName name="__shared_1_0_6" localSheetId="7">#REF!</definedName>
    <definedName name="__shared_1_0_6" localSheetId="4">#REF!</definedName>
    <definedName name="__shared_1_0_6" localSheetId="2">#REF!</definedName>
    <definedName name="__shared_1_0_6" localSheetId="3">#REF!</definedName>
    <definedName name="__shared_1_0_6" localSheetId="21">#REF!</definedName>
    <definedName name="__shared_1_0_6">#REF!</definedName>
    <definedName name="__shared_1_0_8" localSheetId="0">#REF!*7.5*(#REF!/30)</definedName>
    <definedName name="__shared_1_0_8" localSheetId="1">#REF!*7.5*(#REF!/30)</definedName>
    <definedName name="__shared_1_0_8" localSheetId="9">#REF!*7.5*(#REF!/30)</definedName>
    <definedName name="__shared_1_0_8" localSheetId="14">#REF!*7.5*(#REF!/30)</definedName>
    <definedName name="__shared_1_0_8" localSheetId="10">#REF!*7.5*(#REF!/30)</definedName>
    <definedName name="__shared_1_0_8" localSheetId="8">#REF!*7.5*(#REF!/30)</definedName>
    <definedName name="__shared_1_0_8" localSheetId="6">#REF!*7.5*(#REF!/30)</definedName>
    <definedName name="__shared_1_0_8" localSheetId="7">#REF!*7.5*(#REF!/30)</definedName>
    <definedName name="__shared_1_0_8" localSheetId="4">#REF!*7.5*(#REF!/30)</definedName>
    <definedName name="__shared_1_0_8" localSheetId="2">#REF!*7.5*(#REF!/30)</definedName>
    <definedName name="__shared_1_0_8" localSheetId="3">#REF!*7.5*(#REF!/30)</definedName>
    <definedName name="__shared_1_0_8" localSheetId="21">#REF!*7.5*(#REF!/30)</definedName>
    <definedName name="__shared_1_0_8">#REF!*7.5*(#REF!/30)</definedName>
    <definedName name="__shared_1_0_9" localSheetId="0">#REF!</definedName>
    <definedName name="__shared_1_0_9" localSheetId="1">#REF!</definedName>
    <definedName name="__shared_1_0_9" localSheetId="9">#REF!</definedName>
    <definedName name="__shared_1_0_9" localSheetId="14">#REF!</definedName>
    <definedName name="__shared_1_0_9" localSheetId="10">#REF!</definedName>
    <definedName name="__shared_1_0_9" localSheetId="8">#REF!</definedName>
    <definedName name="__shared_1_0_9" localSheetId="6">#REF!</definedName>
    <definedName name="__shared_1_0_9" localSheetId="7">#REF!</definedName>
    <definedName name="__shared_1_0_9" localSheetId="4">#REF!</definedName>
    <definedName name="__shared_1_0_9" localSheetId="2">#REF!</definedName>
    <definedName name="__shared_1_0_9" localSheetId="3">#REF!</definedName>
    <definedName name="__shared_1_0_9" localSheetId="21">#REF!</definedName>
    <definedName name="__shared_1_0_9">#REF!</definedName>
    <definedName name="__shared_2_0_0" localSheetId="0">#REF!</definedName>
    <definedName name="__shared_2_0_0" localSheetId="1">#REF!</definedName>
    <definedName name="__shared_2_0_0" localSheetId="9">#REF!</definedName>
    <definedName name="__shared_2_0_0" localSheetId="14">#REF!</definedName>
    <definedName name="__shared_2_0_0" localSheetId="10">#REF!</definedName>
    <definedName name="__shared_2_0_0" localSheetId="8">#REF!</definedName>
    <definedName name="__shared_2_0_0" localSheetId="6">#REF!</definedName>
    <definedName name="__shared_2_0_0" localSheetId="7">#REF!</definedName>
    <definedName name="__shared_2_0_0" localSheetId="4">#REF!</definedName>
    <definedName name="__shared_2_0_0" localSheetId="2">#REF!</definedName>
    <definedName name="__shared_2_0_0" localSheetId="3">#REF!</definedName>
    <definedName name="__shared_2_0_0" localSheetId="21">#REF!</definedName>
    <definedName name="__shared_2_0_0">#REF!</definedName>
    <definedName name="__shared_2_0_11" localSheetId="0">#REF!*7.5*(#REF!/30)*2/3</definedName>
    <definedName name="__shared_2_0_11" localSheetId="1">#REF!*7.5*(#REF!/30)*2/3</definedName>
    <definedName name="__shared_2_0_11" localSheetId="9">#REF!*7.5*(#REF!/30)*2/3</definedName>
    <definedName name="__shared_2_0_11" localSheetId="14">#REF!*7.5*(#REF!/30)*2/3</definedName>
    <definedName name="__shared_2_0_11" localSheetId="10">#REF!*7.5*(#REF!/30)*2/3</definedName>
    <definedName name="__shared_2_0_11" localSheetId="8">#REF!*7.5*(#REF!/30)*2/3</definedName>
    <definedName name="__shared_2_0_11" localSheetId="6">#REF!*7.5*(#REF!/30)*2/3</definedName>
    <definedName name="__shared_2_0_11" localSheetId="7">#REF!*7.5*(#REF!/30)*2/3</definedName>
    <definedName name="__shared_2_0_11" localSheetId="4">#REF!*7.5*(#REF!/30)*2/3</definedName>
    <definedName name="__shared_2_0_11" localSheetId="2">#REF!*7.5*(#REF!/30)*2/3</definedName>
    <definedName name="__shared_2_0_11" localSheetId="3">#REF!*7.5*(#REF!/30)*2/3</definedName>
    <definedName name="__shared_2_0_11" localSheetId="21">#REF!*7.5*(#REF!/30)*2/3</definedName>
    <definedName name="__shared_2_0_11">#REF!*7.5*(#REF!/30)*2/3</definedName>
    <definedName name="__shared_2_0_12" localSheetId="0">#REF!</definedName>
    <definedName name="__shared_2_0_12" localSheetId="1">#REF!</definedName>
    <definedName name="__shared_2_0_12" localSheetId="9">#REF!</definedName>
    <definedName name="__shared_2_0_12" localSheetId="14">#REF!</definedName>
    <definedName name="__shared_2_0_12" localSheetId="10">#REF!</definedName>
    <definedName name="__shared_2_0_12" localSheetId="8">#REF!</definedName>
    <definedName name="__shared_2_0_12" localSheetId="6">#REF!</definedName>
    <definedName name="__shared_2_0_12" localSheetId="7">#REF!</definedName>
    <definedName name="__shared_2_0_12" localSheetId="4">#REF!</definedName>
    <definedName name="__shared_2_0_12" localSheetId="2">#REF!</definedName>
    <definedName name="__shared_2_0_12" localSheetId="3">#REF!</definedName>
    <definedName name="__shared_2_0_12" localSheetId="21">#REF!</definedName>
    <definedName name="__shared_2_0_12">#REF!</definedName>
    <definedName name="__shared_2_0_14" localSheetId="0">#REF!*7.5*(#REF!/30)*2/3</definedName>
    <definedName name="__shared_2_0_14" localSheetId="1">#REF!*7.5*(#REF!/30)*2/3</definedName>
    <definedName name="__shared_2_0_14" localSheetId="9">#REF!*7.5*(#REF!/30)*2/3</definedName>
    <definedName name="__shared_2_0_14" localSheetId="14">#REF!*7.5*(#REF!/30)*2/3</definedName>
    <definedName name="__shared_2_0_14" localSheetId="10">#REF!*7.5*(#REF!/30)*2/3</definedName>
    <definedName name="__shared_2_0_14" localSheetId="8">#REF!*7.5*(#REF!/30)*2/3</definedName>
    <definedName name="__shared_2_0_14" localSheetId="6">#REF!*7.5*(#REF!/30)*2/3</definedName>
    <definedName name="__shared_2_0_14" localSheetId="7">#REF!*7.5*(#REF!/30)*2/3</definedName>
    <definedName name="__shared_2_0_14" localSheetId="4">#REF!*7.5*(#REF!/30)*2/3</definedName>
    <definedName name="__shared_2_0_14" localSheetId="2">#REF!*7.5*(#REF!/30)*2/3</definedName>
    <definedName name="__shared_2_0_14" localSheetId="3">#REF!*7.5*(#REF!/30)*2/3</definedName>
    <definedName name="__shared_2_0_14" localSheetId="21">#REF!*7.5*(#REF!/30)*2/3</definedName>
    <definedName name="__shared_2_0_14">#REF!*7.5*(#REF!/30)*2/3</definedName>
    <definedName name="__shared_2_0_15" localSheetId="0">#REF!</definedName>
    <definedName name="__shared_2_0_15" localSheetId="1">#REF!</definedName>
    <definedName name="__shared_2_0_15" localSheetId="9">#REF!</definedName>
    <definedName name="__shared_2_0_15" localSheetId="14">#REF!</definedName>
    <definedName name="__shared_2_0_15" localSheetId="10">#REF!</definedName>
    <definedName name="__shared_2_0_15" localSheetId="8">#REF!</definedName>
    <definedName name="__shared_2_0_15" localSheetId="6">#REF!</definedName>
    <definedName name="__shared_2_0_15" localSheetId="7">#REF!</definedName>
    <definedName name="__shared_2_0_15" localSheetId="4">#REF!</definedName>
    <definedName name="__shared_2_0_15" localSheetId="2">#REF!</definedName>
    <definedName name="__shared_2_0_15" localSheetId="3">#REF!</definedName>
    <definedName name="__shared_2_0_15" localSheetId="21">#REF!</definedName>
    <definedName name="__shared_2_0_15">#REF!</definedName>
    <definedName name="__shared_2_0_17" localSheetId="0">#REF!*7.5*(#REF!/30)*2/3</definedName>
    <definedName name="__shared_2_0_17" localSheetId="1">#REF!*7.5*(#REF!/30)*2/3</definedName>
    <definedName name="__shared_2_0_17" localSheetId="9">#REF!*7.5*(#REF!/30)*2/3</definedName>
    <definedName name="__shared_2_0_17" localSheetId="14">#REF!*7.5*(#REF!/30)*2/3</definedName>
    <definedName name="__shared_2_0_17" localSheetId="10">#REF!*7.5*(#REF!/30)*2/3</definedName>
    <definedName name="__shared_2_0_17" localSheetId="8">#REF!*7.5*(#REF!/30)*2/3</definedName>
    <definedName name="__shared_2_0_17" localSheetId="6">#REF!*7.5*(#REF!/30)*2/3</definedName>
    <definedName name="__shared_2_0_17" localSheetId="7">#REF!*7.5*(#REF!/30)*2/3</definedName>
    <definedName name="__shared_2_0_17" localSheetId="4">#REF!*7.5*(#REF!/30)*2/3</definedName>
    <definedName name="__shared_2_0_17" localSheetId="2">#REF!*7.5*(#REF!/30)*2/3</definedName>
    <definedName name="__shared_2_0_17" localSheetId="3">#REF!*7.5*(#REF!/30)*2/3</definedName>
    <definedName name="__shared_2_0_17" localSheetId="21">#REF!*7.5*(#REF!/30)*2/3</definedName>
    <definedName name="__shared_2_0_17">#REF!*7.5*(#REF!/30)*2/3</definedName>
    <definedName name="__shared_2_0_2" localSheetId="0">#REF!*7.5*(#REF!/30)*2/3</definedName>
    <definedName name="__shared_2_0_2" localSheetId="1">#REF!*7.5*(#REF!/30)*2/3</definedName>
    <definedName name="__shared_2_0_2" localSheetId="9">#REF!*7.5*(#REF!/30)*2/3</definedName>
    <definedName name="__shared_2_0_2" localSheetId="14">#REF!*7.5*(#REF!/30)*2/3</definedName>
    <definedName name="__shared_2_0_2" localSheetId="10">#REF!*7.5*(#REF!/30)*2/3</definedName>
    <definedName name="__shared_2_0_2" localSheetId="8">#REF!*7.5*(#REF!/30)*2/3</definedName>
    <definedName name="__shared_2_0_2" localSheetId="6">#REF!*7.5*(#REF!/30)*2/3</definedName>
    <definedName name="__shared_2_0_2" localSheetId="7">#REF!*7.5*(#REF!/30)*2/3</definedName>
    <definedName name="__shared_2_0_2" localSheetId="4">#REF!*7.5*(#REF!/30)*2/3</definedName>
    <definedName name="__shared_2_0_2" localSheetId="2">#REF!*7.5*(#REF!/30)*2/3</definedName>
    <definedName name="__shared_2_0_2" localSheetId="3">#REF!*7.5*(#REF!/30)*2/3</definedName>
    <definedName name="__shared_2_0_2" localSheetId="21">#REF!*7.5*(#REF!/30)*2/3</definedName>
    <definedName name="__shared_2_0_2">#REF!*7.5*(#REF!/30)*2/3</definedName>
    <definedName name="__shared_2_0_3" localSheetId="0">#REF!</definedName>
    <definedName name="__shared_2_0_3" localSheetId="1">#REF!</definedName>
    <definedName name="__shared_2_0_3" localSheetId="9">#REF!</definedName>
    <definedName name="__shared_2_0_3" localSheetId="14">#REF!</definedName>
    <definedName name="__shared_2_0_3" localSheetId="10">#REF!</definedName>
    <definedName name="__shared_2_0_3" localSheetId="8">#REF!</definedName>
    <definedName name="__shared_2_0_3" localSheetId="6">#REF!</definedName>
    <definedName name="__shared_2_0_3" localSheetId="7">#REF!</definedName>
    <definedName name="__shared_2_0_3" localSheetId="4">#REF!</definedName>
    <definedName name="__shared_2_0_3" localSheetId="2">#REF!</definedName>
    <definedName name="__shared_2_0_3" localSheetId="3">#REF!</definedName>
    <definedName name="__shared_2_0_3" localSheetId="21">#REF!</definedName>
    <definedName name="__shared_2_0_3">#REF!</definedName>
    <definedName name="__shared_2_0_5" localSheetId="0">#REF!*7.5*(#REF!/30)*2/3</definedName>
    <definedName name="__shared_2_0_5" localSheetId="1">#REF!*7.5*(#REF!/30)*2/3</definedName>
    <definedName name="__shared_2_0_5" localSheetId="9">#REF!*7.5*(#REF!/30)*2/3</definedName>
    <definedName name="__shared_2_0_5" localSheetId="14">#REF!*7.5*(#REF!/30)*2/3</definedName>
    <definedName name="__shared_2_0_5" localSheetId="10">#REF!*7.5*(#REF!/30)*2/3</definedName>
    <definedName name="__shared_2_0_5" localSheetId="8">#REF!*7.5*(#REF!/30)*2/3</definedName>
    <definedName name="__shared_2_0_5" localSheetId="6">#REF!*7.5*(#REF!/30)*2/3</definedName>
    <definedName name="__shared_2_0_5" localSheetId="7">#REF!*7.5*(#REF!/30)*2/3</definedName>
    <definedName name="__shared_2_0_5" localSheetId="4">#REF!*7.5*(#REF!/30)*2/3</definedName>
    <definedName name="__shared_2_0_5" localSheetId="2">#REF!*7.5*(#REF!/30)*2/3</definedName>
    <definedName name="__shared_2_0_5" localSheetId="3">#REF!*7.5*(#REF!/30)*2/3</definedName>
    <definedName name="__shared_2_0_5" localSheetId="21">#REF!*7.5*(#REF!/30)*2/3</definedName>
    <definedName name="__shared_2_0_5">#REF!*7.5*(#REF!/30)*2/3</definedName>
    <definedName name="__shared_2_0_6" localSheetId="0">#REF!</definedName>
    <definedName name="__shared_2_0_6" localSheetId="1">#REF!</definedName>
    <definedName name="__shared_2_0_6" localSheetId="9">#REF!</definedName>
    <definedName name="__shared_2_0_6" localSheetId="14">#REF!</definedName>
    <definedName name="__shared_2_0_6" localSheetId="10">#REF!</definedName>
    <definedName name="__shared_2_0_6" localSheetId="8">#REF!</definedName>
    <definedName name="__shared_2_0_6" localSheetId="6">#REF!</definedName>
    <definedName name="__shared_2_0_6" localSheetId="7">#REF!</definedName>
    <definedName name="__shared_2_0_6" localSheetId="4">#REF!</definedName>
    <definedName name="__shared_2_0_6" localSheetId="2">#REF!</definedName>
    <definedName name="__shared_2_0_6" localSheetId="3">#REF!</definedName>
    <definedName name="__shared_2_0_6" localSheetId="21">#REF!</definedName>
    <definedName name="__shared_2_0_6">#REF!</definedName>
    <definedName name="__shared_2_0_8" localSheetId="0">#REF!*7.5*(#REF!/30)*2/3</definedName>
    <definedName name="__shared_2_0_8" localSheetId="1">#REF!*7.5*(#REF!/30)*2/3</definedName>
    <definedName name="__shared_2_0_8" localSheetId="9">#REF!*7.5*(#REF!/30)*2/3</definedName>
    <definedName name="__shared_2_0_8" localSheetId="14">#REF!*7.5*(#REF!/30)*2/3</definedName>
    <definedName name="__shared_2_0_8" localSheetId="10">#REF!*7.5*(#REF!/30)*2/3</definedName>
    <definedName name="__shared_2_0_8" localSheetId="8">#REF!*7.5*(#REF!/30)*2/3</definedName>
    <definedName name="__shared_2_0_8" localSheetId="6">#REF!*7.5*(#REF!/30)*2/3</definedName>
    <definedName name="__shared_2_0_8" localSheetId="7">#REF!*7.5*(#REF!/30)*2/3</definedName>
    <definedName name="__shared_2_0_8" localSheetId="4">#REF!*7.5*(#REF!/30)*2/3</definedName>
    <definedName name="__shared_2_0_8" localSheetId="2">#REF!*7.5*(#REF!/30)*2/3</definedName>
    <definedName name="__shared_2_0_8" localSheetId="3">#REF!*7.5*(#REF!/30)*2/3</definedName>
    <definedName name="__shared_2_0_8" localSheetId="21">#REF!*7.5*(#REF!/30)*2/3</definedName>
    <definedName name="__shared_2_0_8">#REF!*7.5*(#REF!/30)*2/3</definedName>
    <definedName name="__shared_2_0_9" localSheetId="0">#REF!</definedName>
    <definedName name="__shared_2_0_9" localSheetId="1">#REF!</definedName>
    <definedName name="__shared_2_0_9" localSheetId="9">#REF!</definedName>
    <definedName name="__shared_2_0_9" localSheetId="14">#REF!</definedName>
    <definedName name="__shared_2_0_9" localSheetId="10">#REF!</definedName>
    <definedName name="__shared_2_0_9" localSheetId="8">#REF!</definedName>
    <definedName name="__shared_2_0_9" localSheetId="6">#REF!</definedName>
    <definedName name="__shared_2_0_9" localSheetId="7">#REF!</definedName>
    <definedName name="__shared_2_0_9" localSheetId="4">#REF!</definedName>
    <definedName name="__shared_2_0_9" localSheetId="2">#REF!</definedName>
    <definedName name="__shared_2_0_9" localSheetId="3">#REF!</definedName>
    <definedName name="__shared_2_0_9" localSheetId="21">#REF!</definedName>
    <definedName name="__shared_2_0_9">#REF!</definedName>
    <definedName name="__shared_3_0_0" localSheetId="0">#REF!</definedName>
    <definedName name="__shared_3_0_0" localSheetId="1">#REF!</definedName>
    <definedName name="__shared_3_0_0" localSheetId="9">#REF!</definedName>
    <definedName name="__shared_3_0_0" localSheetId="14">#REF!</definedName>
    <definedName name="__shared_3_0_0" localSheetId="10">#REF!</definedName>
    <definedName name="__shared_3_0_0" localSheetId="8">#REF!</definedName>
    <definedName name="__shared_3_0_0" localSheetId="6">#REF!</definedName>
    <definedName name="__shared_3_0_0" localSheetId="7">#REF!</definedName>
    <definedName name="__shared_3_0_0" localSheetId="4">#REF!</definedName>
    <definedName name="__shared_3_0_0" localSheetId="2">#REF!</definedName>
    <definedName name="__shared_3_0_0" localSheetId="3">#REF!</definedName>
    <definedName name="__shared_3_0_0" localSheetId="21">#REF!</definedName>
    <definedName name="__shared_3_0_0">#REF!</definedName>
    <definedName name="__shared_3_0_11" localSheetId="0">#REF!*7.5*(#REF!/30)*1/3</definedName>
    <definedName name="__shared_3_0_11" localSheetId="1">#REF!*7.5*(#REF!/30)*1/3</definedName>
    <definedName name="__shared_3_0_11" localSheetId="9">#REF!*7.5*(#REF!/30)*1/3</definedName>
    <definedName name="__shared_3_0_11" localSheetId="14">#REF!*7.5*(#REF!/30)*1/3</definedName>
    <definedName name="__shared_3_0_11" localSheetId="10">#REF!*7.5*(#REF!/30)*1/3</definedName>
    <definedName name="__shared_3_0_11" localSheetId="8">#REF!*7.5*(#REF!/30)*1/3</definedName>
    <definedName name="__shared_3_0_11" localSheetId="6">#REF!*7.5*(#REF!/30)*1/3</definedName>
    <definedName name="__shared_3_0_11" localSheetId="7">#REF!*7.5*(#REF!/30)*1/3</definedName>
    <definedName name="__shared_3_0_11" localSheetId="4">#REF!*7.5*(#REF!/30)*1/3</definedName>
    <definedName name="__shared_3_0_11" localSheetId="2">#REF!*7.5*(#REF!/30)*1/3</definedName>
    <definedName name="__shared_3_0_11" localSheetId="3">#REF!*7.5*(#REF!/30)*1/3</definedName>
    <definedName name="__shared_3_0_11" localSheetId="21">#REF!*7.5*(#REF!/30)*1/3</definedName>
    <definedName name="__shared_3_0_11">#REF!*7.5*(#REF!/30)*1/3</definedName>
    <definedName name="__shared_3_0_12" localSheetId="0">#REF!</definedName>
    <definedName name="__shared_3_0_12" localSheetId="1">#REF!</definedName>
    <definedName name="__shared_3_0_12" localSheetId="9">#REF!</definedName>
    <definedName name="__shared_3_0_12" localSheetId="14">#REF!</definedName>
    <definedName name="__shared_3_0_12" localSheetId="10">#REF!</definedName>
    <definedName name="__shared_3_0_12" localSheetId="8">#REF!</definedName>
    <definedName name="__shared_3_0_12" localSheetId="6">#REF!</definedName>
    <definedName name="__shared_3_0_12" localSheetId="7">#REF!</definedName>
    <definedName name="__shared_3_0_12" localSheetId="4">#REF!</definedName>
    <definedName name="__shared_3_0_12" localSheetId="2">#REF!</definedName>
    <definedName name="__shared_3_0_12" localSheetId="3">#REF!</definedName>
    <definedName name="__shared_3_0_12" localSheetId="21">#REF!</definedName>
    <definedName name="__shared_3_0_12">#REF!</definedName>
    <definedName name="__shared_3_0_14" localSheetId="0">#REF!*7.5*(#REF!/30)*1/3</definedName>
    <definedName name="__shared_3_0_14" localSheetId="1">#REF!*7.5*(#REF!/30)*1/3</definedName>
    <definedName name="__shared_3_0_14" localSheetId="9">#REF!*7.5*(#REF!/30)*1/3</definedName>
    <definedName name="__shared_3_0_14" localSheetId="14">#REF!*7.5*(#REF!/30)*1/3</definedName>
    <definedName name="__shared_3_0_14" localSheetId="10">#REF!*7.5*(#REF!/30)*1/3</definedName>
    <definedName name="__shared_3_0_14" localSheetId="8">#REF!*7.5*(#REF!/30)*1/3</definedName>
    <definedName name="__shared_3_0_14" localSheetId="6">#REF!*7.5*(#REF!/30)*1/3</definedName>
    <definedName name="__shared_3_0_14" localSheetId="7">#REF!*7.5*(#REF!/30)*1/3</definedName>
    <definedName name="__shared_3_0_14" localSheetId="4">#REF!*7.5*(#REF!/30)*1/3</definedName>
    <definedName name="__shared_3_0_14" localSheetId="2">#REF!*7.5*(#REF!/30)*1/3</definedName>
    <definedName name="__shared_3_0_14" localSheetId="3">#REF!*7.5*(#REF!/30)*1/3</definedName>
    <definedName name="__shared_3_0_14" localSheetId="21">#REF!*7.5*(#REF!/30)*1/3</definedName>
    <definedName name="__shared_3_0_14">#REF!*7.5*(#REF!/30)*1/3</definedName>
    <definedName name="__shared_3_0_15" localSheetId="0">#REF!</definedName>
    <definedName name="__shared_3_0_15" localSheetId="1">#REF!</definedName>
    <definedName name="__shared_3_0_15" localSheetId="9">#REF!</definedName>
    <definedName name="__shared_3_0_15" localSheetId="14">#REF!</definedName>
    <definedName name="__shared_3_0_15" localSheetId="10">#REF!</definedName>
    <definedName name="__shared_3_0_15" localSheetId="8">#REF!</definedName>
    <definedName name="__shared_3_0_15" localSheetId="6">#REF!</definedName>
    <definedName name="__shared_3_0_15" localSheetId="7">#REF!</definedName>
    <definedName name="__shared_3_0_15" localSheetId="4">#REF!</definedName>
    <definedName name="__shared_3_0_15" localSheetId="2">#REF!</definedName>
    <definedName name="__shared_3_0_15" localSheetId="3">#REF!</definedName>
    <definedName name="__shared_3_0_15" localSheetId="21">#REF!</definedName>
    <definedName name="__shared_3_0_15">#REF!</definedName>
    <definedName name="__shared_3_0_17" localSheetId="0">#REF!*7.5*(#REF!/30)*1/3</definedName>
    <definedName name="__shared_3_0_17" localSheetId="1">#REF!*7.5*(#REF!/30)*1/3</definedName>
    <definedName name="__shared_3_0_17" localSheetId="9">#REF!*7.5*(#REF!/30)*1/3</definedName>
    <definedName name="__shared_3_0_17" localSheetId="14">#REF!*7.5*(#REF!/30)*1/3</definedName>
    <definedName name="__shared_3_0_17" localSheetId="10">#REF!*7.5*(#REF!/30)*1/3</definedName>
    <definedName name="__shared_3_0_17" localSheetId="8">#REF!*7.5*(#REF!/30)*1/3</definedName>
    <definedName name="__shared_3_0_17" localSheetId="6">#REF!*7.5*(#REF!/30)*1/3</definedName>
    <definedName name="__shared_3_0_17" localSheetId="7">#REF!*7.5*(#REF!/30)*1/3</definedName>
    <definedName name="__shared_3_0_17" localSheetId="4">#REF!*7.5*(#REF!/30)*1/3</definedName>
    <definedName name="__shared_3_0_17" localSheetId="2">#REF!*7.5*(#REF!/30)*1/3</definedName>
    <definedName name="__shared_3_0_17" localSheetId="3">#REF!*7.5*(#REF!/30)*1/3</definedName>
    <definedName name="__shared_3_0_17" localSheetId="21">#REF!*7.5*(#REF!/30)*1/3</definedName>
    <definedName name="__shared_3_0_17">#REF!*7.5*(#REF!/30)*1/3</definedName>
    <definedName name="__shared_3_0_2" localSheetId="0">#REF!*7.5*(#REF!/30)*1/3</definedName>
    <definedName name="__shared_3_0_2" localSheetId="1">#REF!*7.5*(#REF!/30)*1/3</definedName>
    <definedName name="__shared_3_0_2" localSheetId="9">#REF!*7.5*(#REF!/30)*1/3</definedName>
    <definedName name="__shared_3_0_2" localSheetId="14">#REF!*7.5*(#REF!/30)*1/3</definedName>
    <definedName name="__shared_3_0_2" localSheetId="10">#REF!*7.5*(#REF!/30)*1/3</definedName>
    <definedName name="__shared_3_0_2" localSheetId="8">#REF!*7.5*(#REF!/30)*1/3</definedName>
    <definedName name="__shared_3_0_2" localSheetId="6">#REF!*7.5*(#REF!/30)*1/3</definedName>
    <definedName name="__shared_3_0_2" localSheetId="7">#REF!*7.5*(#REF!/30)*1/3</definedName>
    <definedName name="__shared_3_0_2" localSheetId="4">#REF!*7.5*(#REF!/30)*1/3</definedName>
    <definedName name="__shared_3_0_2" localSheetId="2">#REF!*7.5*(#REF!/30)*1/3</definedName>
    <definedName name="__shared_3_0_2" localSheetId="3">#REF!*7.5*(#REF!/30)*1/3</definedName>
    <definedName name="__shared_3_0_2" localSheetId="21">#REF!*7.5*(#REF!/30)*1/3</definedName>
    <definedName name="__shared_3_0_2">#REF!*7.5*(#REF!/30)*1/3</definedName>
    <definedName name="__shared_3_0_3" localSheetId="0">#REF!</definedName>
    <definedName name="__shared_3_0_3" localSheetId="1">#REF!</definedName>
    <definedName name="__shared_3_0_3" localSheetId="9">#REF!</definedName>
    <definedName name="__shared_3_0_3" localSheetId="14">#REF!</definedName>
    <definedName name="__shared_3_0_3" localSheetId="10">#REF!</definedName>
    <definedName name="__shared_3_0_3" localSheetId="8">#REF!</definedName>
    <definedName name="__shared_3_0_3" localSheetId="6">#REF!</definedName>
    <definedName name="__shared_3_0_3" localSheetId="7">#REF!</definedName>
    <definedName name="__shared_3_0_3" localSheetId="4">#REF!</definedName>
    <definedName name="__shared_3_0_3" localSheetId="2">#REF!</definedName>
    <definedName name="__shared_3_0_3" localSheetId="3">#REF!</definedName>
    <definedName name="__shared_3_0_3" localSheetId="21">#REF!</definedName>
    <definedName name="__shared_3_0_3">#REF!</definedName>
    <definedName name="__shared_3_0_5" localSheetId="0">#REF!*7.5*(#REF!/30)*1/3</definedName>
    <definedName name="__shared_3_0_5" localSheetId="1">#REF!*7.5*(#REF!/30)*1/3</definedName>
    <definedName name="__shared_3_0_5" localSheetId="9">#REF!*7.5*(#REF!/30)*1/3</definedName>
    <definedName name="__shared_3_0_5" localSheetId="14">#REF!*7.5*(#REF!/30)*1/3</definedName>
    <definedName name="__shared_3_0_5" localSheetId="10">#REF!*7.5*(#REF!/30)*1/3</definedName>
    <definedName name="__shared_3_0_5" localSheetId="8">#REF!*7.5*(#REF!/30)*1/3</definedName>
    <definedName name="__shared_3_0_5" localSheetId="6">#REF!*7.5*(#REF!/30)*1/3</definedName>
    <definedName name="__shared_3_0_5" localSheetId="7">#REF!*7.5*(#REF!/30)*1/3</definedName>
    <definedName name="__shared_3_0_5" localSheetId="4">#REF!*7.5*(#REF!/30)*1/3</definedName>
    <definedName name="__shared_3_0_5" localSheetId="2">#REF!*7.5*(#REF!/30)*1/3</definedName>
    <definedName name="__shared_3_0_5" localSheetId="3">#REF!*7.5*(#REF!/30)*1/3</definedName>
    <definedName name="__shared_3_0_5" localSheetId="21">#REF!*7.5*(#REF!/30)*1/3</definedName>
    <definedName name="__shared_3_0_5">#REF!*7.5*(#REF!/30)*1/3</definedName>
    <definedName name="__shared_3_0_6" localSheetId="0">#REF!</definedName>
    <definedName name="__shared_3_0_6" localSheetId="1">#REF!</definedName>
    <definedName name="__shared_3_0_6" localSheetId="9">#REF!</definedName>
    <definedName name="__shared_3_0_6" localSheetId="14">#REF!</definedName>
    <definedName name="__shared_3_0_6" localSheetId="10">#REF!</definedName>
    <definedName name="__shared_3_0_6" localSheetId="8">#REF!</definedName>
    <definedName name="__shared_3_0_6" localSheetId="6">#REF!</definedName>
    <definedName name="__shared_3_0_6" localSheetId="7">#REF!</definedName>
    <definedName name="__shared_3_0_6" localSheetId="4">#REF!</definedName>
    <definedName name="__shared_3_0_6" localSheetId="2">#REF!</definedName>
    <definedName name="__shared_3_0_6" localSheetId="3">#REF!</definedName>
    <definedName name="__shared_3_0_6" localSheetId="21">#REF!</definedName>
    <definedName name="__shared_3_0_6">#REF!</definedName>
    <definedName name="__shared_3_0_8" localSheetId="0">#REF!*7.5*(#REF!/30)*1/3</definedName>
    <definedName name="__shared_3_0_8" localSheetId="1">#REF!*7.5*(#REF!/30)*1/3</definedName>
    <definedName name="__shared_3_0_8" localSheetId="9">#REF!*7.5*(#REF!/30)*1/3</definedName>
    <definedName name="__shared_3_0_8" localSheetId="14">#REF!*7.5*(#REF!/30)*1/3</definedName>
    <definedName name="__shared_3_0_8" localSheetId="10">#REF!*7.5*(#REF!/30)*1/3</definedName>
    <definedName name="__shared_3_0_8" localSheetId="8">#REF!*7.5*(#REF!/30)*1/3</definedName>
    <definedName name="__shared_3_0_8" localSheetId="6">#REF!*7.5*(#REF!/30)*1/3</definedName>
    <definedName name="__shared_3_0_8" localSheetId="7">#REF!*7.5*(#REF!/30)*1/3</definedName>
    <definedName name="__shared_3_0_8" localSheetId="4">#REF!*7.5*(#REF!/30)*1/3</definedName>
    <definedName name="__shared_3_0_8" localSheetId="2">#REF!*7.5*(#REF!/30)*1/3</definedName>
    <definedName name="__shared_3_0_8" localSheetId="3">#REF!*7.5*(#REF!/30)*1/3</definedName>
    <definedName name="__shared_3_0_8" localSheetId="21">#REF!*7.5*(#REF!/30)*1/3</definedName>
    <definedName name="__shared_3_0_8">#REF!*7.5*(#REF!/30)*1/3</definedName>
    <definedName name="__shared_3_0_9" localSheetId="0">#REF!</definedName>
    <definedName name="__shared_3_0_9" localSheetId="1">#REF!</definedName>
    <definedName name="__shared_3_0_9" localSheetId="9">#REF!</definedName>
    <definedName name="__shared_3_0_9" localSheetId="14">#REF!</definedName>
    <definedName name="__shared_3_0_9" localSheetId="10">#REF!</definedName>
    <definedName name="__shared_3_0_9" localSheetId="8">#REF!</definedName>
    <definedName name="__shared_3_0_9" localSheetId="6">#REF!</definedName>
    <definedName name="__shared_3_0_9" localSheetId="7">#REF!</definedName>
    <definedName name="__shared_3_0_9" localSheetId="4">#REF!</definedName>
    <definedName name="__shared_3_0_9" localSheetId="2">#REF!</definedName>
    <definedName name="__shared_3_0_9" localSheetId="3">#REF!</definedName>
    <definedName name="__shared_3_0_9" localSheetId="21">#REF!</definedName>
    <definedName name="__shared_3_0_9">#REF!</definedName>
    <definedName name="_xlnm._FilterDatabase" localSheetId="9" hidden="1">Aportes!$A$44:$AP$406</definedName>
    <definedName name="_xlnm._FilterDatabase" localSheetId="19" hidden="1">CARGOS!$1:$2218</definedName>
    <definedName name="_xlnm._FilterDatabase" localSheetId="10" hidden="1">'Imprimir 1ra'!$A$64:$AB$433</definedName>
    <definedName name="_xlnm._FilterDatabase" localSheetId="8" hidden="1">'Imprimir 2a'!$A$67:$AC$439</definedName>
    <definedName name="_xlnm._FilterDatabase" localSheetId="6" hidden="1">'Imprimir 4TO Agui '!$A$68:$AB$444</definedName>
    <definedName name="_xlnm._FilterDatabase" localSheetId="7" hidden="1">'Imprimir CT'!$A$39:$BC$400</definedName>
    <definedName name="_xlnm._FilterDatabase" localSheetId="11" hidden="1">NOMINA!$A$11:$DN$378</definedName>
    <definedName name="_TABULADOR" localSheetId="0">#REF!*7.5*(#REF!/30)</definedName>
    <definedName name="_TABULADOR" localSheetId="1">#REF!*7.5*(#REF!/30)</definedName>
    <definedName name="_TABULADOR" localSheetId="9">#REF!*7.5*(#REF!/30)</definedName>
    <definedName name="_TABULADOR" localSheetId="14">#REF!*7.5*(#REF!/30)</definedName>
    <definedName name="_TABULADOR" localSheetId="10">#REF!*7.5*(#REF!/30)</definedName>
    <definedName name="_TABULADOR" localSheetId="8">#REF!*7.5*(#REF!/30)</definedName>
    <definedName name="_TABULADOR" localSheetId="6">#REF!*7.5*(#REF!/30)</definedName>
    <definedName name="_TABULADOR" localSheetId="7">#REF!*7.5*(#REF!/30)</definedName>
    <definedName name="_TABULADOR" localSheetId="4">#REF!*7.5*(#REF!/30)</definedName>
    <definedName name="_TABULADOR" localSheetId="2">#REF!*7.5*(#REF!/30)</definedName>
    <definedName name="_TABULADOR" localSheetId="3">#REF!*7.5*(#REF!/30)</definedName>
    <definedName name="_TABULADOR">#REF!*7.5*(#REF!/30)</definedName>
    <definedName name="A.J" localSheetId="6">[1]Hoja1!$C$15:$C$22</definedName>
    <definedName name="A.J">[1]Hoja1!$C$15:$C$22</definedName>
    <definedName name="AJ" localSheetId="6">[1]Hoja1!$B$10</definedName>
    <definedName name="AJ">[1]Hoja1!$B$10</definedName>
    <definedName name="AP" localSheetId="6">[1]Hoja1!$B$13</definedName>
    <definedName name="AP">[1]Hoja1!$B$13</definedName>
    <definedName name="_xlnm.Print_Area" localSheetId="0">'APORTE FAOV'!$A$1:$F$425</definedName>
    <definedName name="_xlnm.Print_Area" localSheetId="1">'Aporte SSO-SPF'!$A$1:$G$427</definedName>
    <definedName name="_xlnm.Print_Area" localSheetId="9">Aportes!$A$1:$AN$421</definedName>
    <definedName name="_xlnm.Print_Area" localSheetId="12">'EJEMPLO CALCULO AGUINALDOS NUEV'!$A$1:$U$64</definedName>
    <definedName name="_xlnm.Print_Area" localSheetId="14">#REF!</definedName>
    <definedName name="_xlnm.Print_Area" localSheetId="10">'Imprimir 1ra'!$B$1:$AB$447</definedName>
    <definedName name="_xlnm.Print_Area" localSheetId="8">'Imprimir 2a'!$B$1:$AC$449</definedName>
    <definedName name="_xlnm.Print_Area" localSheetId="6">'Imprimir 4TO Agui '!$B$1:$AB$456</definedName>
    <definedName name="_xlnm.Print_Area" localSheetId="7">'Imprimir CT'!$B$1:$AE$415</definedName>
    <definedName name="_xlnm.Print_Area" localSheetId="11">NOMINA!$A$1:$DN$474</definedName>
    <definedName name="_xlnm.Print_Area" localSheetId="4">'RETENC FAOV'!$A$1:$F$423</definedName>
    <definedName name="_xlnm.Print_Area" localSheetId="5">'Retencion SSO-SPF'!$A$1:$G$424</definedName>
    <definedName name="_xlnm.Print_Area" localSheetId="2">SUODE!$A$1:$F$24</definedName>
    <definedName name="_xlnm.Print_Area" localSheetId="3">SURTRAPPS!$A$1:$F$50</definedName>
    <definedName name="_xlnm.Print_Area" localSheetId="21">'TAB EMP (2)'!$A$1:$R$16</definedName>
    <definedName name="_xlnm.Print_Area">#REF!</definedName>
    <definedName name="_xlnm.Database" localSheetId="0">#REF!</definedName>
    <definedName name="_xlnm.Database" localSheetId="1">#REF!</definedName>
    <definedName name="_xlnm.Database" localSheetId="9">#REF!</definedName>
    <definedName name="_xlnm.Database" localSheetId="14">#REF!</definedName>
    <definedName name="_xlnm.Database" localSheetId="10">#REF!</definedName>
    <definedName name="_xlnm.Database" localSheetId="8">#REF!</definedName>
    <definedName name="_xlnm.Database" localSheetId="6">#REF!</definedName>
    <definedName name="_xlnm.Database" localSheetId="7">#REF!</definedName>
    <definedName name="_xlnm.Database" localSheetId="4">#REF!</definedName>
    <definedName name="_xlnm.Database" localSheetId="2">#REF!</definedName>
    <definedName name="_xlnm.Database" localSheetId="3">#REF!</definedName>
    <definedName name="_xlnm.Database" localSheetId="21">#REF!</definedName>
    <definedName name="_xlnm.Database">#REF!</definedName>
    <definedName name="BOMBERO" localSheetId="0">#REF!</definedName>
    <definedName name="BOMBERO" localSheetId="1">#REF!</definedName>
    <definedName name="BOMBERO" localSheetId="9">#REF!</definedName>
    <definedName name="BOMBERO" localSheetId="14">#REF!</definedName>
    <definedName name="BOMBERO" localSheetId="10">#REF!</definedName>
    <definedName name="BOMBERO" localSheetId="8">#REF!</definedName>
    <definedName name="BOMBERO" localSheetId="6">#REF!</definedName>
    <definedName name="BOMBERO" localSheetId="7">#REF!</definedName>
    <definedName name="BOMBERO" localSheetId="4">#REF!</definedName>
    <definedName name="BOMBERO" localSheetId="2">#REF!</definedName>
    <definedName name="BOMBERO" localSheetId="3">#REF!</definedName>
    <definedName name="BOMBERO" localSheetId="21">#REF!</definedName>
    <definedName name="BOMBERO">#REF!</definedName>
    <definedName name="BONONOCTURN" localSheetId="12">'[2]CONCEPTOS Y PARAMETROS'!$A$107:$A$108</definedName>
    <definedName name="BONONOCTURN" localSheetId="10">'[3]CONCEPTOS Y PARAMETROS'!$A$107:$A$108</definedName>
    <definedName name="BONONOCTURN" localSheetId="6">'[4]CONCEPTOS Y PARAMETROS'!$A$107:$A$108</definedName>
    <definedName name="BONONOCTURN">'CONCEPTOS Y PARAMETROS'!$A$107:$A$108</definedName>
    <definedName name="C.T" localSheetId="6">[1]Hoja1!$E$25:$E$32</definedName>
    <definedName name="C.T">[1]Hoja1!$E$25:$E$32</definedName>
    <definedName name="CARGOS" localSheetId="6">[5]LISTAS!$C$9:$C$20</definedName>
    <definedName name="CARGOS">[5]LISTAS!$C$9:$C$20</definedName>
    <definedName name="CESTAT" localSheetId="12">'[6]CONCEPTOS Y PARAMETROS'!$A$101:$A$102</definedName>
    <definedName name="CESTAT" localSheetId="10">'[3]CONCEPTOS Y PARAMETROS'!$A$101:$A$102</definedName>
    <definedName name="CESTAT" localSheetId="6">'[4]CONCEPTOS Y PARAMETROS'!$A$101:$A$102</definedName>
    <definedName name="CESTAT">'CONCEPTOS Y PARAMETROS'!$A$101:$A$102</definedName>
    <definedName name="Consulta_Trabajadores_Titulares_y_Contratados_NUEVA" localSheetId="0">#REF!</definedName>
    <definedName name="Consulta_Trabajadores_Titulares_y_Contratados_NUEVA" localSheetId="1">#REF!</definedName>
    <definedName name="Consulta_Trabajadores_Titulares_y_Contratados_NUEVA" localSheetId="9">#REF!</definedName>
    <definedName name="Consulta_Trabajadores_Titulares_y_Contratados_NUEVA" localSheetId="14">#REF!</definedName>
    <definedName name="Consulta_Trabajadores_Titulares_y_Contratados_NUEVA" localSheetId="10">#REF!</definedName>
    <definedName name="Consulta_Trabajadores_Titulares_y_Contratados_NUEVA" localSheetId="8">#REF!</definedName>
    <definedName name="Consulta_Trabajadores_Titulares_y_Contratados_NUEVA" localSheetId="6">#REF!</definedName>
    <definedName name="Consulta_Trabajadores_Titulares_y_Contratados_NUEVA" localSheetId="7">#REF!</definedName>
    <definedName name="Consulta_Trabajadores_Titulares_y_Contratados_NUEVA" localSheetId="4">#REF!</definedName>
    <definedName name="Consulta_Trabajadores_Titulares_y_Contratados_NUEVA" localSheetId="2">#REF!</definedName>
    <definedName name="Consulta_Trabajadores_Titulares_y_Contratados_NUEVA" localSheetId="3">#REF!</definedName>
    <definedName name="Consulta_Trabajadores_Titulares_y_Contratados_NUEVA" localSheetId="21">#REF!</definedName>
    <definedName name="Consulta_Trabajadores_Titulares_y_Contratados_NUEVA">#REF!</definedName>
    <definedName name="CT" localSheetId="6">[1]Hoja1!$B$5</definedName>
    <definedName name="CT">[1]Hoja1!$B$5</definedName>
    <definedName name="DD" localSheetId="6">[7]PRIMAS!$A$2:$A$6</definedName>
    <definedName name="DD" localSheetId="21">[8]PRIMAS!$A$2:$A$6</definedName>
    <definedName name="DD">[9]PRIMAS!$A$2:$A$6</definedName>
    <definedName name="DEPARTAMENTOS" localSheetId="0">#REF!</definedName>
    <definedName name="DEPARTAMENTOS" localSheetId="1">#REF!</definedName>
    <definedName name="DEPARTAMENTOS" localSheetId="9">#REF!</definedName>
    <definedName name="DEPARTAMENTOS" localSheetId="14">#REF!</definedName>
    <definedName name="DEPARTAMENTOS" localSheetId="10">#REF!</definedName>
    <definedName name="DEPARTAMENTOS" localSheetId="8">#REF!</definedName>
    <definedName name="DEPARTAMENTOS" localSheetId="6">#REF!</definedName>
    <definedName name="DEPARTAMENTOS" localSheetId="7">#REF!</definedName>
    <definedName name="DEPARTAMENTOS" localSheetId="4">#REF!</definedName>
    <definedName name="DEPARTAMENTOS" localSheetId="2">#REF!</definedName>
    <definedName name="DEPARTAMENTOS" localSheetId="3">#REF!</definedName>
    <definedName name="DEPARTAMENTOS" localSheetId="21">#REF!</definedName>
    <definedName name="DEPARTAMENTOS">#REF!</definedName>
    <definedName name="DIAF" localSheetId="12">'[6]CONCEPTOS Y PARAMETROS'!$A$59:$A$61</definedName>
    <definedName name="DIAF" localSheetId="10">'[3]CONCEPTOS Y PARAMETROS'!$A$59:$A$61</definedName>
    <definedName name="DIAF" localSheetId="6">'[4]CONCEPTOS Y PARAMETROS'!$A$59:$A$61</definedName>
    <definedName name="DIAF">'CONCEPTOS Y PARAMETROS'!$A$59:$A$61</definedName>
    <definedName name="DIASDESC" localSheetId="12">'[2]CONCEPTOS Y PARAMETROS'!$A$91:$A$95</definedName>
    <definedName name="DIASDESC" localSheetId="10">'[3]CONCEPTOS Y PARAMETROS'!$A$91:$A$95</definedName>
    <definedName name="DIASDESC" localSheetId="6">'[4]CONCEPTOS Y PARAMETROS'!$A$91:$A$95</definedName>
    <definedName name="DIASDESC">'CONCEPTOS Y PARAMETROS'!$A$91:$A$95</definedName>
    <definedName name="DIASDESC2" localSheetId="6">'[10]CONCEPTOS Y PARAMETROS'!$A$91:$A$95</definedName>
    <definedName name="DIASDESC2">'[10]CONCEPTOS Y PARAMETROS'!$A$91:$A$95</definedName>
    <definedName name="DIRECTIVOS" localSheetId="12">'[6]TAB EMP'!$A$30:$A$36</definedName>
    <definedName name="DIRECTIVOS" localSheetId="10">'[3]TAB EMP'!$A$30:$A$36</definedName>
    <definedName name="DIRECTIVOS" localSheetId="6">'[4]TAB EMP'!$A$30:$A$36</definedName>
    <definedName name="DIRECTIVOS" localSheetId="21">'[11]TAB EMP'!$A$30:$A$36</definedName>
    <definedName name="DIRECTIVOS">'TAB EMP'!$A$30:$A$36</definedName>
    <definedName name="E.F" localSheetId="6">[1]Hoja1!$D$3:$D$58</definedName>
    <definedName name="E.F">[1]Hoja1!$D$3:$D$58</definedName>
    <definedName name="E.P" localSheetId="6">[1]Hoja1!$C$5:$C$7</definedName>
    <definedName name="E.P">[1]Hoja1!$C$5:$C$7</definedName>
    <definedName name="EF" localSheetId="6">[1]Hoja1!$B$4</definedName>
    <definedName name="EF">[1]Hoja1!$B$4</definedName>
    <definedName name="EJ" localSheetId="6">[1]Hoja1!$B$11</definedName>
    <definedName name="EJ">[1]Hoja1!$B$11</definedName>
    <definedName name="EMP" localSheetId="6">[1]Hoja1!$B$14</definedName>
    <definedName name="EMP">[1]Hoja1!$B$14</definedName>
    <definedName name="Empleado" localSheetId="12">[6]CARGOS!$A$2:$A$2029</definedName>
    <definedName name="Empleado" localSheetId="10">[3]CARGOS!$A$2:$A$2031</definedName>
    <definedName name="Empleado" localSheetId="6">[4]CARGOS!$A$2:$A$2031</definedName>
    <definedName name="Empleado">CARGOS!$A$2:$A$2031</definedName>
    <definedName name="EP" localSheetId="6">[1]Hoja1!$B$1</definedName>
    <definedName name="EP">[1]Hoja1!$B$1</definedName>
    <definedName name="EST" localSheetId="6">[5]LISTAS!$A$1:$A$6</definedName>
    <definedName name="EST">[5]LISTAS!$A$1:$A$6</definedName>
    <definedName name="FDFDS" localSheetId="6">'[10]CONCEPTOS Y PARAMETROS'!$A$91:$A$95</definedName>
    <definedName name="FDFDS">'[10]CONCEPTOS Y PARAMETROS'!$A$91:$A$95</definedName>
    <definedName name="FGF" localSheetId="0">#REF!</definedName>
    <definedName name="FGF" localSheetId="1">#REF!</definedName>
    <definedName name="FGF" localSheetId="9">#REF!</definedName>
    <definedName name="FGF" localSheetId="14">#REF!</definedName>
    <definedName name="FGF" localSheetId="10">#REF!</definedName>
    <definedName name="FGF" localSheetId="8">#REF!</definedName>
    <definedName name="FGF" localSheetId="6">#REF!</definedName>
    <definedName name="FGF" localSheetId="7">#REF!</definedName>
    <definedName name="FGF" localSheetId="4">#REF!</definedName>
    <definedName name="FGF" localSheetId="2">#REF!</definedName>
    <definedName name="FGF" localSheetId="3">#REF!</definedName>
    <definedName name="FGF" localSheetId="21">#REF!</definedName>
    <definedName name="FGF">#REF!</definedName>
    <definedName name="GEN" localSheetId="9">Aportes!#REF!</definedName>
    <definedName name="GEN" localSheetId="12">[6]RAC!$DG$8:$DG$9</definedName>
    <definedName name="GEN" localSheetId="14">NOMINA!#REF!</definedName>
    <definedName name="GEN" localSheetId="10">'Imprimir 1ra'!#REF!</definedName>
    <definedName name="GEN" localSheetId="8">'Imprimir 2a'!#REF!</definedName>
    <definedName name="GEN" localSheetId="6">'Imprimir 4TO Agui '!#REF!</definedName>
    <definedName name="GEN" localSheetId="7">'Imprimir CT'!#REF!</definedName>
    <definedName name="GEN">NOMINA!#REF!</definedName>
    <definedName name="GVUFTGV" localSheetId="0">#REF!*7.5*(#REF!/30)*2/3</definedName>
    <definedName name="GVUFTGV" localSheetId="1">#REF!*7.5*(#REF!/30)*2/3</definedName>
    <definedName name="GVUFTGV" localSheetId="9">#REF!*7.5*(#REF!/30)*2/3</definedName>
    <definedName name="GVUFTGV" localSheetId="14">#REF!*7.5*(#REF!/30)*2/3</definedName>
    <definedName name="GVUFTGV" localSheetId="10">#REF!*7.5*(#REF!/30)*2/3</definedName>
    <definedName name="GVUFTGV" localSheetId="8">#REF!*7.5*(#REF!/30)*2/3</definedName>
    <definedName name="GVUFTGV" localSheetId="6">#REF!*7.5*(#REF!/30)*2/3</definedName>
    <definedName name="GVUFTGV" localSheetId="7">#REF!*7.5*(#REF!/30)*2/3</definedName>
    <definedName name="GVUFTGV" localSheetId="4">#REF!*7.5*(#REF!/30)*2/3</definedName>
    <definedName name="GVUFTGV" localSheetId="2">#REF!*7.5*(#REF!/30)*2/3</definedName>
    <definedName name="GVUFTGV" localSheetId="3">#REF!*7.5*(#REF!/30)*2/3</definedName>
    <definedName name="GVUFTGV">#REF!*7.5*(#REF!/30)*2/3</definedName>
    <definedName name="H.P" localSheetId="6">[1]Hoja1!$E$34:$E$36</definedName>
    <definedName name="H.P">[1]Hoja1!$E$34:$E$36</definedName>
    <definedName name="HIJOS">'CONCEPTOS Y PARAMETROS'!$E$47:$E$50</definedName>
    <definedName name="HORASE" localSheetId="12">'[2]CONCEPTOS Y PARAMETROS'!$A$74:$A$84</definedName>
    <definedName name="HORASE" localSheetId="10">'[3]CONCEPTOS Y PARAMETROS'!$A$74:$A$84</definedName>
    <definedName name="HORASE" localSheetId="6">'[4]CONCEPTOS Y PARAMETROS'!$A$74:$A$84</definedName>
    <definedName name="HORASE">'CONCEPTOS Y PARAMETROS'!$A$74:$A$84</definedName>
    <definedName name="HP" localSheetId="6">[1]Hoja1!$B$8</definedName>
    <definedName name="HP">[1]Hoja1!$B$8</definedName>
    <definedName name="L.N" localSheetId="6">[1]Hoja1!$C$1:$C$4</definedName>
    <definedName name="L.N">[1]Hoja1!$C$1:$C$4</definedName>
    <definedName name="LN" localSheetId="6">[1]Hoja1!$B$2</definedName>
    <definedName name="LN">[1]Hoja1!$B$2</definedName>
    <definedName name="M.A" localSheetId="6">[1]Hoja1!$C$7:$C$10</definedName>
    <definedName name="M.A">[1]Hoja1!$C$7:$C$10</definedName>
    <definedName name="MA" localSheetId="6">[1]Hoja1!$B$3</definedName>
    <definedName name="MA">[1]Hoja1!$B$3</definedName>
    <definedName name="MES" localSheetId="12">'[6]CONCEPTOS Y PARAMETROS'!$J$3:$J$14</definedName>
    <definedName name="MES" localSheetId="10">'[3]CONCEPTOS Y PARAMETROS'!$J$3:$J$14</definedName>
    <definedName name="MES" localSheetId="6">'[4]CONCEPTOS Y PARAMETROS'!$J$3:$J$14</definedName>
    <definedName name="MES">'CONCEPTOS Y PARAMETROS'!$J$3:$J$14</definedName>
    <definedName name="NAC" localSheetId="9">Aportes!#REF!</definedName>
    <definedName name="NAC" localSheetId="12">[6]RAC!$DF$8:$DF$9</definedName>
    <definedName name="NAC" localSheetId="14">NOMINA!#REF!</definedName>
    <definedName name="NAC" localSheetId="10">'Imprimir 1ra'!#REF!</definedName>
    <definedName name="NAC" localSheetId="8">'Imprimir 2a'!#REF!</definedName>
    <definedName name="NAC" localSheetId="6">'Imprimir 4TO Agui '!#REF!</definedName>
    <definedName name="NAC" localSheetId="7">'Imprimir CT'!#REF!</definedName>
    <definedName name="NAC">NOMINA!#REF!</definedName>
    <definedName name="NEDUC" localSheetId="0">#REF!</definedName>
    <definedName name="NEDUC" localSheetId="1">#REF!</definedName>
    <definedName name="NEDUC" localSheetId="9">#REF!</definedName>
    <definedName name="NEDUC" localSheetId="14">#REF!</definedName>
    <definedName name="NEDUC" localSheetId="10">#REF!</definedName>
    <definedName name="NEDUC" localSheetId="8">#REF!</definedName>
    <definedName name="NEDUC" localSheetId="6">#REF!</definedName>
    <definedName name="NEDUC" localSheetId="7">#REF!</definedName>
    <definedName name="NEDUC" localSheetId="4">#REF!</definedName>
    <definedName name="NEDUC" localSheetId="2">#REF!</definedName>
    <definedName name="NEDUC" localSheetId="3">#REF!</definedName>
    <definedName name="NEDUC" localSheetId="21">#REF!</definedName>
    <definedName name="NEDUC">#REF!</definedName>
    <definedName name="O.F" localSheetId="6">[1]Hoja1!$E$3:$E$22</definedName>
    <definedName name="O.F">[1]Hoja1!$E$3:$E$22</definedName>
    <definedName name="Obrero" localSheetId="12">[6]CARGOS!$A$2030:$A$2216</definedName>
    <definedName name="Obrero" localSheetId="10">[3]CARGOS!$A$2032:$A$2218</definedName>
    <definedName name="Obrero" localSheetId="6">[4]CARGOS!$A$2032:$A$2218</definedName>
    <definedName name="Obrero">CARGOS!$A$2032:$A$2218</definedName>
    <definedName name="OC" localSheetId="6">[1]Hoja1!$B$7</definedName>
    <definedName name="OC">[1]Hoja1!$B$7</definedName>
    <definedName name="OF" localSheetId="6">[1]Hoja1!$B$6</definedName>
    <definedName name="OF">[1]Hoja1!$B$6</definedName>
    <definedName name="OJ" localSheetId="6">[1]Hoja1!$B$12</definedName>
    <definedName name="OJ">[1]Hoja1!$B$12</definedName>
    <definedName name="OP" localSheetId="6">[1]Hoja1!$B$15</definedName>
    <definedName name="OP">[1]Hoja1!$B$15</definedName>
    <definedName name="P.R" localSheetId="6">[1]Hoja1!$E$24</definedName>
    <definedName name="P.R">[1]Hoja1!$E$24</definedName>
    <definedName name="PHIJOS" localSheetId="9">Aportes!#REF!</definedName>
    <definedName name="PHIJOS" localSheetId="12">[6]RAC!$DA$9:$DA$11</definedName>
    <definedName name="PHIJOS" localSheetId="14">NOMINA!#REF!</definedName>
    <definedName name="PHIJOS" localSheetId="10">'Imprimir 1ra'!#REF!</definedName>
    <definedName name="PHIJOS" localSheetId="8">'Imprimir 2a'!#REF!</definedName>
    <definedName name="PHIJOS" localSheetId="6">'Imprimir 4TO Agui '!#REF!</definedName>
    <definedName name="PHIJOS" localSheetId="7">'Imprimir CT'!#REF!</definedName>
    <definedName name="PHIJOS">NOMINA!#REF!</definedName>
    <definedName name="PR" localSheetId="6">[1]Hoja1!$B$9</definedName>
    <definedName name="PR">[1]Hoja1!$B$9</definedName>
    <definedName name="profesion_oficio">[12]LISTAS!$A$26:$A$38</definedName>
    <definedName name="Suplentes_por_Motivo_General" localSheetId="0">#REF!</definedName>
    <definedName name="Suplentes_por_Motivo_General" localSheetId="1">#REF!</definedName>
    <definedName name="Suplentes_por_Motivo_General" localSheetId="9">#REF!</definedName>
    <definedName name="Suplentes_por_Motivo_General" localSheetId="14">#REF!</definedName>
    <definedName name="Suplentes_por_Motivo_General" localSheetId="10">#REF!</definedName>
    <definedName name="Suplentes_por_Motivo_General" localSheetId="8">#REF!</definedName>
    <definedName name="Suplentes_por_Motivo_General" localSheetId="6">#REF!</definedName>
    <definedName name="Suplentes_por_Motivo_General" localSheetId="7">#REF!</definedName>
    <definedName name="Suplentes_por_Motivo_General" localSheetId="4">#REF!</definedName>
    <definedName name="Suplentes_por_Motivo_General" localSheetId="2">#REF!</definedName>
    <definedName name="Suplentes_por_Motivo_General" localSheetId="3">#REF!</definedName>
    <definedName name="Suplentes_por_Motivo_General" localSheetId="21">#REF!</definedName>
    <definedName name="Suplentes_por_Motivo_General">#REF!</definedName>
    <definedName name="TABEMP" localSheetId="12">'[6]TAB EMP'!$A$2:$A$29</definedName>
    <definedName name="TABEMP" localSheetId="10">'[3]TAB EMP'!$A$2:$A$29</definedName>
    <definedName name="TABEMP" localSheetId="6">'[4]TAB EMP'!$A$2:$A$29</definedName>
    <definedName name="TABEMP" localSheetId="21">'[11]TAB EMP'!$A$2:$A$29</definedName>
    <definedName name="TABEMP">'TAB EMP'!$A$2:$A$29</definedName>
    <definedName name="TABLACONCEPTO" localSheetId="6">[13]CONCEPTOS!$A$2:$A$28</definedName>
    <definedName name="TABLACONCEPTO" localSheetId="21">[14]CONCEPTOS!$A$2:$A$28</definedName>
    <definedName name="TABLACONCEPTO">[15]CONCEPTOS!$A$2:$A$28</definedName>
    <definedName name="TABOBR" localSheetId="12">'[6]TAB OBR'!$A$3:$A$12</definedName>
    <definedName name="TABOBR" localSheetId="10">'[3]TAB OBR'!$A$3:$A$12</definedName>
    <definedName name="TABOBR" localSheetId="6">'[4]TAB OBR'!$A$3:$A$12</definedName>
    <definedName name="TABOBR" localSheetId="21">'[11]TAB OBR'!$A$3:$A$12</definedName>
    <definedName name="TABOBR">'TAB OBR'!$A$3:$A$12</definedName>
    <definedName name="TABULADOR" localSheetId="0">#REF!*7.5*(#REF!/30)</definedName>
    <definedName name="TABULADOR" localSheetId="1">#REF!*7.5*(#REF!/30)</definedName>
    <definedName name="TABULADOR" localSheetId="9">#REF!*7.5*(#REF!/30)</definedName>
    <definedName name="TABULADOR" localSheetId="14">#REF!*7.5*(#REF!/30)</definedName>
    <definedName name="TABULADOR" localSheetId="10">#REF!*7.5*(#REF!/30)</definedName>
    <definedName name="TABULADOR" localSheetId="8">#REF!*7.5*(#REF!/30)</definedName>
    <definedName name="TABULADOR" localSheetId="6">#REF!*7.5*(#REF!/30)</definedName>
    <definedName name="TABULADOR" localSheetId="7">#REF!*7.5*(#REF!/30)</definedName>
    <definedName name="TABULADOR" localSheetId="4">#REF!*7.5*(#REF!/30)</definedName>
    <definedName name="TABULADOR" localSheetId="2">#REF!*7.5*(#REF!/30)</definedName>
    <definedName name="TABULADOR" localSheetId="3">#REF!*7.5*(#REF!/30)</definedName>
    <definedName name="TABULADOR">#REF!*7.5*(#REF!/30)</definedName>
    <definedName name="TIPODEVIA" localSheetId="6">[5]LISTAS!$A$9:$A$16</definedName>
    <definedName name="TIPODEVIA">[5]LISTAS!$A$9:$A$16</definedName>
    <definedName name="TITULO" localSheetId="6">[5]LISTAS!$A$26:$A$38</definedName>
    <definedName name="TITULO">[5]LISTAS!$A$26:$A$38</definedName>
    <definedName name="_xlnm.Print_Titles" localSheetId="0">'APORTE FAOV'!$8:$11</definedName>
    <definedName name="_xlnm.Print_Titles" localSheetId="1">'Aporte SSO-SPF'!$8:$11</definedName>
    <definedName name="_xlnm.Print_Titles" localSheetId="9">Aportes!$11:$11</definedName>
    <definedName name="_xlnm.Print_Titles" localSheetId="10">'Imprimir 1ra'!$1:$11</definedName>
    <definedName name="_xlnm.Print_Titles" localSheetId="8">'Imprimir 2a'!$11:$11</definedName>
    <definedName name="_xlnm.Print_Titles" localSheetId="6">'Imprimir 4TO Agui '!$11:$11</definedName>
    <definedName name="_xlnm.Print_Titles" localSheetId="7">'Imprimir CT'!$11:$11</definedName>
    <definedName name="_xlnm.Print_Titles" localSheetId="4">'RETENC FAOV'!$8:$11</definedName>
    <definedName name="_xlnm.Print_Titles" localSheetId="5">'Retencion SSO-SPF'!$8:$11</definedName>
    <definedName name="_xlnm.Print_Titles" localSheetId="2">SUODE!$8:$11</definedName>
    <definedName name="_xlnm.Print_Titles" localSheetId="3">SURTRAPPS!$1:$12</definedName>
    <definedName name="UBICACION" localSheetId="6">[5]LISTAS!$A$20:$A$23</definedName>
    <definedName name="UBICACION">[5]LISTAS!$A$20:$A$23</definedName>
    <definedName name="VGUJVGJ" localSheetId="0">#REF!</definedName>
    <definedName name="VGUJVGJ" localSheetId="1">#REF!</definedName>
    <definedName name="VGUJVGJ" localSheetId="9">#REF!</definedName>
    <definedName name="VGUJVGJ" localSheetId="14">#REF!</definedName>
    <definedName name="VGUJVGJ" localSheetId="10">#REF!</definedName>
    <definedName name="VGUJVGJ" localSheetId="8">#REF!</definedName>
    <definedName name="VGUJVGJ" localSheetId="6">#REF!</definedName>
    <definedName name="VGUJVGJ" localSheetId="7">#REF!</definedName>
    <definedName name="VGUJVGJ" localSheetId="4">#REF!</definedName>
    <definedName name="VGUJVGJ" localSheetId="2">#REF!</definedName>
    <definedName name="VGUJVGJ" localSheetId="3">#REF!</definedName>
    <definedName name="VGUJVGJ">#REF!</definedName>
  </definedNames>
  <calcPr calcId="124519"/>
</workbook>
</file>

<file path=xl/calcChain.xml><?xml version="1.0" encoding="utf-8"?>
<calcChain xmlns="http://schemas.openxmlformats.org/spreadsheetml/2006/main">
  <c r="E416" i="36"/>
  <c r="D416"/>
  <c r="C416"/>
  <c r="B416"/>
  <c r="E415"/>
  <c r="D415"/>
  <c r="C415"/>
  <c r="B415"/>
  <c r="E414"/>
  <c r="D414"/>
  <c r="C414"/>
  <c r="B414"/>
  <c r="E413"/>
  <c r="D413"/>
  <c r="C413"/>
  <c r="B413"/>
  <c r="E412"/>
  <c r="D412"/>
  <c r="C412"/>
  <c r="B412"/>
  <c r="E411"/>
  <c r="D411"/>
  <c r="C411"/>
  <c r="B411"/>
  <c r="E410"/>
  <c r="D410"/>
  <c r="C410"/>
  <c r="B410"/>
  <c r="E409"/>
  <c r="D409"/>
  <c r="C409"/>
  <c r="B409"/>
  <c r="E408"/>
  <c r="D408"/>
  <c r="C408"/>
  <c r="B408"/>
  <c r="E407"/>
  <c r="D407"/>
  <c r="C407"/>
  <c r="B407"/>
  <c r="E406"/>
  <c r="D406"/>
  <c r="C406"/>
  <c r="B406"/>
  <c r="E405"/>
  <c r="D405"/>
  <c r="C405"/>
  <c r="B405"/>
  <c r="E404"/>
  <c r="D404"/>
  <c r="C404"/>
  <c r="B404"/>
  <c r="E403"/>
  <c r="D403"/>
  <c r="C403"/>
  <c r="B403"/>
  <c r="E402"/>
  <c r="D402"/>
  <c r="C402"/>
  <c r="B402"/>
  <c r="E401"/>
  <c r="D401"/>
  <c r="C401"/>
  <c r="B401"/>
  <c r="E400"/>
  <c r="D400"/>
  <c r="C400"/>
  <c r="B400"/>
  <c r="E399"/>
  <c r="D399"/>
  <c r="C399"/>
  <c r="B399"/>
  <c r="E398"/>
  <c r="D398"/>
  <c r="C398"/>
  <c r="B398"/>
  <c r="E397"/>
  <c r="D397"/>
  <c r="C397"/>
  <c r="B397"/>
  <c r="E396"/>
  <c r="D396"/>
  <c r="C396"/>
  <c r="B396"/>
  <c r="E395"/>
  <c r="D395"/>
  <c r="C395"/>
  <c r="B395"/>
  <c r="E394"/>
  <c r="D394"/>
  <c r="C394"/>
  <c r="B394"/>
  <c r="E393"/>
  <c r="D393"/>
  <c r="C393"/>
  <c r="B393"/>
  <c r="E392"/>
  <c r="D392"/>
  <c r="C392"/>
  <c r="B392"/>
  <c r="E391"/>
  <c r="D391"/>
  <c r="C391"/>
  <c r="B391"/>
  <c r="E390"/>
  <c r="D390"/>
  <c r="C390"/>
  <c r="B390"/>
  <c r="E389"/>
  <c r="D389"/>
  <c r="C389"/>
  <c r="B389"/>
  <c r="E388"/>
  <c r="D388"/>
  <c r="C388"/>
  <c r="B388"/>
  <c r="E387"/>
  <c r="D387"/>
  <c r="C387"/>
  <c r="B387"/>
  <c r="E386"/>
  <c r="D386"/>
  <c r="C386"/>
  <c r="B386"/>
  <c r="E385"/>
  <c r="D385"/>
  <c r="C385"/>
  <c r="B385"/>
  <c r="E384"/>
  <c r="D384"/>
  <c r="C384"/>
  <c r="B384"/>
  <c r="E383"/>
  <c r="D383"/>
  <c r="C383"/>
  <c r="B383"/>
  <c r="E382"/>
  <c r="D382"/>
  <c r="C382"/>
  <c r="B382"/>
  <c r="E381"/>
  <c r="D381"/>
  <c r="C381"/>
  <c r="B381"/>
  <c r="E380"/>
  <c r="D380"/>
  <c r="C380"/>
  <c r="B380"/>
  <c r="E379"/>
  <c r="D379"/>
  <c r="C379"/>
  <c r="B379"/>
  <c r="E378"/>
  <c r="D378"/>
  <c r="C378"/>
  <c r="B378"/>
  <c r="E377"/>
  <c r="D377"/>
  <c r="C377"/>
  <c r="B377"/>
  <c r="E376"/>
  <c r="D376"/>
  <c r="C376"/>
  <c r="B376"/>
  <c r="E375"/>
  <c r="D375"/>
  <c r="C375"/>
  <c r="B375"/>
  <c r="E374"/>
  <c r="D374"/>
  <c r="C374"/>
  <c r="B374"/>
  <c r="E373"/>
  <c r="D373"/>
  <c r="C373"/>
  <c r="B373"/>
  <c r="E372"/>
  <c r="D372"/>
  <c r="C372"/>
  <c r="B372"/>
  <c r="E371"/>
  <c r="D371"/>
  <c r="C371"/>
  <c r="B371"/>
  <c r="E370"/>
  <c r="D370"/>
  <c r="C370"/>
  <c r="B370"/>
  <c r="E369"/>
  <c r="D369"/>
  <c r="C369"/>
  <c r="B369"/>
  <c r="E368"/>
  <c r="D368"/>
  <c r="C368"/>
  <c r="B368"/>
  <c r="E367"/>
  <c r="D367"/>
  <c r="C367"/>
  <c r="B367"/>
  <c r="E366"/>
  <c r="D366"/>
  <c r="C366"/>
  <c r="B366"/>
  <c r="E365"/>
  <c r="D365"/>
  <c r="C365"/>
  <c r="B365"/>
  <c r="E364"/>
  <c r="D364"/>
  <c r="C364"/>
  <c r="B364"/>
  <c r="E363"/>
  <c r="D363"/>
  <c r="C363"/>
  <c r="B363"/>
  <c r="E362"/>
  <c r="D362"/>
  <c r="C362"/>
  <c r="B362"/>
  <c r="E361"/>
  <c r="D361"/>
  <c r="C361"/>
  <c r="B361"/>
  <c r="E360"/>
  <c r="D360"/>
  <c r="C360"/>
  <c r="B360"/>
  <c r="E359"/>
  <c r="D359"/>
  <c r="C359"/>
  <c r="B359"/>
  <c r="E358"/>
  <c r="D358"/>
  <c r="C358"/>
  <c r="B358"/>
  <c r="E357"/>
  <c r="D357"/>
  <c r="C357"/>
  <c r="B357"/>
  <c r="E356"/>
  <c r="D356"/>
  <c r="C356"/>
  <c r="B356"/>
  <c r="E355"/>
  <c r="D355"/>
  <c r="C355"/>
  <c r="B355"/>
  <c r="E354"/>
  <c r="D354"/>
  <c r="C354"/>
  <c r="B354"/>
  <c r="E353"/>
  <c r="D353"/>
  <c r="C353"/>
  <c r="B353"/>
  <c r="E352"/>
  <c r="D352"/>
  <c r="C352"/>
  <c r="B352"/>
  <c r="E351"/>
  <c r="D351"/>
  <c r="C351"/>
  <c r="B351"/>
  <c r="E350"/>
  <c r="D350"/>
  <c r="C350"/>
  <c r="B350"/>
  <c r="E349"/>
  <c r="D349"/>
  <c r="C349"/>
  <c r="B349"/>
  <c r="E348"/>
  <c r="D348"/>
  <c r="C348"/>
  <c r="B348"/>
  <c r="E347"/>
  <c r="D347"/>
  <c r="C347"/>
  <c r="B347"/>
  <c r="E346"/>
  <c r="D346"/>
  <c r="C346"/>
  <c r="B346"/>
  <c r="E345"/>
  <c r="D345"/>
  <c r="C345"/>
  <c r="B345"/>
  <c r="E344"/>
  <c r="D344"/>
  <c r="C344"/>
  <c r="B344"/>
  <c r="E343"/>
  <c r="D343"/>
  <c r="C343"/>
  <c r="B343"/>
  <c r="E342"/>
  <c r="D342"/>
  <c r="C342"/>
  <c r="B342"/>
  <c r="E341"/>
  <c r="D341"/>
  <c r="C341"/>
  <c r="B341"/>
  <c r="E340"/>
  <c r="D340"/>
  <c r="C340"/>
  <c r="B340"/>
  <c r="E339"/>
  <c r="D339"/>
  <c r="C339"/>
  <c r="B339"/>
  <c r="E338"/>
  <c r="D338"/>
  <c r="C338"/>
  <c r="B338"/>
  <c r="E337"/>
  <c r="D337"/>
  <c r="C337"/>
  <c r="B337"/>
  <c r="E336"/>
  <c r="D336"/>
  <c r="C336"/>
  <c r="B336"/>
  <c r="E335"/>
  <c r="D335"/>
  <c r="C335"/>
  <c r="B335"/>
  <c r="E334"/>
  <c r="D334"/>
  <c r="C334"/>
  <c r="B334"/>
  <c r="E333"/>
  <c r="D333"/>
  <c r="C333"/>
  <c r="B333"/>
  <c r="E332"/>
  <c r="D332"/>
  <c r="C332"/>
  <c r="B332"/>
  <c r="E331"/>
  <c r="D331"/>
  <c r="C331"/>
  <c r="B331"/>
  <c r="E330"/>
  <c r="D330"/>
  <c r="C330"/>
  <c r="B330"/>
  <c r="E329"/>
  <c r="D329"/>
  <c r="C329"/>
  <c r="B329"/>
  <c r="E328"/>
  <c r="D328"/>
  <c r="C328"/>
  <c r="B328"/>
  <c r="E327"/>
  <c r="D327"/>
  <c r="C327"/>
  <c r="B327"/>
  <c r="E326"/>
  <c r="D326"/>
  <c r="C326"/>
  <c r="B326"/>
  <c r="E316"/>
  <c r="D316"/>
  <c r="C316"/>
  <c r="B316"/>
  <c r="E315"/>
  <c r="D315"/>
  <c r="C315"/>
  <c r="B315"/>
  <c r="E314"/>
  <c r="D314"/>
  <c r="C314"/>
  <c r="B314"/>
  <c r="E313"/>
  <c r="D313"/>
  <c r="C313"/>
  <c r="B313"/>
  <c r="E312"/>
  <c r="D312"/>
  <c r="C312"/>
  <c r="B312"/>
  <c r="E311"/>
  <c r="D311"/>
  <c r="C311"/>
  <c r="B311"/>
  <c r="E310"/>
  <c r="D310"/>
  <c r="C310"/>
  <c r="B310"/>
  <c r="E309"/>
  <c r="D309"/>
  <c r="C309"/>
  <c r="B309"/>
  <c r="E308"/>
  <c r="D308"/>
  <c r="C308"/>
  <c r="B308"/>
  <c r="E307"/>
  <c r="D307"/>
  <c r="C307"/>
  <c r="B307"/>
  <c r="E306"/>
  <c r="D306"/>
  <c r="C306"/>
  <c r="B306"/>
  <c r="E305"/>
  <c r="D305"/>
  <c r="C305"/>
  <c r="B305"/>
  <c r="E304"/>
  <c r="D304"/>
  <c r="C304"/>
  <c r="B304"/>
  <c r="E303"/>
  <c r="D303"/>
  <c r="C303"/>
  <c r="B303"/>
  <c r="E302"/>
  <c r="D302"/>
  <c r="C302"/>
  <c r="B302"/>
  <c r="E301"/>
  <c r="D301"/>
  <c r="C301"/>
  <c r="B301"/>
  <c r="E300"/>
  <c r="D300"/>
  <c r="C300"/>
  <c r="B300"/>
  <c r="E299"/>
  <c r="D299"/>
  <c r="C299"/>
  <c r="B299"/>
  <c r="E298"/>
  <c r="D298"/>
  <c r="C298"/>
  <c r="B298"/>
  <c r="E297"/>
  <c r="D297"/>
  <c r="C297"/>
  <c r="B297"/>
  <c r="E296"/>
  <c r="D296"/>
  <c r="C296"/>
  <c r="B296"/>
  <c r="E295"/>
  <c r="D295"/>
  <c r="C295"/>
  <c r="B295"/>
  <c r="E294"/>
  <c r="D294"/>
  <c r="C294"/>
  <c r="B294"/>
  <c r="E293"/>
  <c r="D293"/>
  <c r="C293"/>
  <c r="B293"/>
  <c r="E292"/>
  <c r="D292"/>
  <c r="C292"/>
  <c r="B292"/>
  <c r="E291"/>
  <c r="D291"/>
  <c r="C291"/>
  <c r="B291"/>
  <c r="E290"/>
  <c r="D290"/>
  <c r="C290"/>
  <c r="B290"/>
  <c r="E289"/>
  <c r="D289"/>
  <c r="C289"/>
  <c r="B289"/>
  <c r="E288"/>
  <c r="D288"/>
  <c r="C288"/>
  <c r="B288"/>
  <c r="E287"/>
  <c r="D287"/>
  <c r="C287"/>
  <c r="B287"/>
  <c r="E286"/>
  <c r="D286"/>
  <c r="C286"/>
  <c r="B286"/>
  <c r="E285"/>
  <c r="D285"/>
  <c r="C285"/>
  <c r="B285"/>
  <c r="E284"/>
  <c r="D284"/>
  <c r="C284"/>
  <c r="B284"/>
  <c r="E283"/>
  <c r="D283"/>
  <c r="C283"/>
  <c r="B283"/>
  <c r="E282"/>
  <c r="D282"/>
  <c r="C282"/>
  <c r="B282"/>
  <c r="E281"/>
  <c r="D281"/>
  <c r="C281"/>
  <c r="B281"/>
  <c r="E280"/>
  <c r="D280"/>
  <c r="C280"/>
  <c r="B280"/>
  <c r="E279"/>
  <c r="D279"/>
  <c r="C279"/>
  <c r="B279"/>
  <c r="E278"/>
  <c r="D278"/>
  <c r="C278"/>
  <c r="B278"/>
  <c r="E277"/>
  <c r="D277"/>
  <c r="C277"/>
  <c r="B277"/>
  <c r="E276"/>
  <c r="D276"/>
  <c r="C276"/>
  <c r="B276"/>
  <c r="E275"/>
  <c r="D275"/>
  <c r="C275"/>
  <c r="B275"/>
  <c r="E274"/>
  <c r="D274"/>
  <c r="C274"/>
  <c r="B274"/>
  <c r="E273"/>
  <c r="D273"/>
  <c r="C273"/>
  <c r="B273"/>
  <c r="E272"/>
  <c r="D272"/>
  <c r="C272"/>
  <c r="B272"/>
  <c r="E271"/>
  <c r="D271"/>
  <c r="C271"/>
  <c r="B271"/>
  <c r="E270"/>
  <c r="D270"/>
  <c r="C270"/>
  <c r="B270"/>
  <c r="E269"/>
  <c r="D269"/>
  <c r="C269"/>
  <c r="B269"/>
  <c r="E268"/>
  <c r="D268"/>
  <c r="C268"/>
  <c r="B268"/>
  <c r="E267"/>
  <c r="D267"/>
  <c r="C267"/>
  <c r="B267"/>
  <c r="E266"/>
  <c r="D266"/>
  <c r="C266"/>
  <c r="B266"/>
  <c r="E265"/>
  <c r="D265"/>
  <c r="C265"/>
  <c r="B265"/>
  <c r="E264"/>
  <c r="D264"/>
  <c r="C264"/>
  <c r="B264"/>
  <c r="E263"/>
  <c r="D263"/>
  <c r="C263"/>
  <c r="B263"/>
  <c r="E262"/>
  <c r="D262"/>
  <c r="C262"/>
  <c r="B262"/>
  <c r="E261"/>
  <c r="D261"/>
  <c r="C261"/>
  <c r="B261"/>
  <c r="E260"/>
  <c r="D260"/>
  <c r="C260"/>
  <c r="B260"/>
  <c r="E259"/>
  <c r="D259"/>
  <c r="C259"/>
  <c r="B259"/>
  <c r="E258"/>
  <c r="D258"/>
  <c r="C258"/>
  <c r="B258"/>
  <c r="E257"/>
  <c r="D257"/>
  <c r="C257"/>
  <c r="B257"/>
  <c r="E256"/>
  <c r="D256"/>
  <c r="C256"/>
  <c r="B256"/>
  <c r="E255"/>
  <c r="D255"/>
  <c r="C255"/>
  <c r="B255"/>
  <c r="E254"/>
  <c r="D254"/>
  <c r="C254"/>
  <c r="B254"/>
  <c r="E253"/>
  <c r="D253"/>
  <c r="C253"/>
  <c r="B253"/>
  <c r="E252"/>
  <c r="D252"/>
  <c r="C252"/>
  <c r="B252"/>
  <c r="E251"/>
  <c r="D251"/>
  <c r="C251"/>
  <c r="B251"/>
  <c r="E250"/>
  <c r="D250"/>
  <c r="C250"/>
  <c r="B250"/>
  <c r="E249"/>
  <c r="D249"/>
  <c r="C249"/>
  <c r="B249"/>
  <c r="E248"/>
  <c r="D248"/>
  <c r="C248"/>
  <c r="B248"/>
  <c r="E247"/>
  <c r="D247"/>
  <c r="C247"/>
  <c r="B247"/>
  <c r="E246"/>
  <c r="D246"/>
  <c r="C246"/>
  <c r="B246"/>
  <c r="E245"/>
  <c r="D245"/>
  <c r="C245"/>
  <c r="B245"/>
  <c r="E244"/>
  <c r="D244"/>
  <c r="C244"/>
  <c r="B244"/>
  <c r="E243"/>
  <c r="D243"/>
  <c r="C243"/>
  <c r="B243"/>
  <c r="E242"/>
  <c r="D242"/>
  <c r="C242"/>
  <c r="B242"/>
  <c r="E241"/>
  <c r="D241"/>
  <c r="C241"/>
  <c r="B241"/>
  <c r="E240"/>
  <c r="D240"/>
  <c r="C240"/>
  <c r="B240"/>
  <c r="E239"/>
  <c r="D239"/>
  <c r="C239"/>
  <c r="B239"/>
  <c r="E238"/>
  <c r="D238"/>
  <c r="C238"/>
  <c r="B238"/>
  <c r="E237"/>
  <c r="D237"/>
  <c r="C237"/>
  <c r="B237"/>
  <c r="E236"/>
  <c r="D236"/>
  <c r="C236"/>
  <c r="B236"/>
  <c r="E235"/>
  <c r="D235"/>
  <c r="C235"/>
  <c r="B235"/>
  <c r="E234"/>
  <c r="D234"/>
  <c r="C234"/>
  <c r="B234"/>
  <c r="E233"/>
  <c r="D233"/>
  <c r="C233"/>
  <c r="B233"/>
  <c r="E232"/>
  <c r="D232"/>
  <c r="C232"/>
  <c r="B232"/>
  <c r="E231"/>
  <c r="D231"/>
  <c r="C231"/>
  <c r="B231"/>
  <c r="E230"/>
  <c r="D230"/>
  <c r="C230"/>
  <c r="B230"/>
  <c r="E229"/>
  <c r="D229"/>
  <c r="C229"/>
  <c r="B229"/>
  <c r="E228"/>
  <c r="D228"/>
  <c r="C228"/>
  <c r="B228"/>
  <c r="E227"/>
  <c r="D227"/>
  <c r="C227"/>
  <c r="B227"/>
  <c r="E226"/>
  <c r="D226"/>
  <c r="C226"/>
  <c r="B226"/>
  <c r="E225"/>
  <c r="D225"/>
  <c r="C225"/>
  <c r="B225"/>
  <c r="E224"/>
  <c r="D224"/>
  <c r="C224"/>
  <c r="B224"/>
  <c r="E223"/>
  <c r="D223"/>
  <c r="C223"/>
  <c r="B223"/>
  <c r="E222"/>
  <c r="D222"/>
  <c r="C222"/>
  <c r="B222"/>
  <c r="E221"/>
  <c r="D221"/>
  <c r="C221"/>
  <c r="B221"/>
  <c r="E220"/>
  <c r="D220"/>
  <c r="C220"/>
  <c r="B220"/>
  <c r="E219"/>
  <c r="D219"/>
  <c r="C219"/>
  <c r="B219"/>
  <c r="E218"/>
  <c r="D218"/>
  <c r="C218"/>
  <c r="B218"/>
  <c r="E217"/>
  <c r="D217"/>
  <c r="C217"/>
  <c r="B217"/>
  <c r="E216"/>
  <c r="D216"/>
  <c r="C216"/>
  <c r="B216"/>
  <c r="E215"/>
  <c r="D215"/>
  <c r="C215"/>
  <c r="B215"/>
  <c r="E214"/>
  <c r="D214"/>
  <c r="C214"/>
  <c r="B214"/>
  <c r="E213"/>
  <c r="D213"/>
  <c r="C213"/>
  <c r="B213"/>
  <c r="E212"/>
  <c r="D212"/>
  <c r="C212"/>
  <c r="B212"/>
  <c r="E211"/>
  <c r="D211"/>
  <c r="C211"/>
  <c r="B211"/>
  <c r="E210"/>
  <c r="D210"/>
  <c r="C210"/>
  <c r="B210"/>
  <c r="E209"/>
  <c r="D209"/>
  <c r="C209"/>
  <c r="B209"/>
  <c r="E208"/>
  <c r="D208"/>
  <c r="C208"/>
  <c r="B208"/>
  <c r="E207"/>
  <c r="D207"/>
  <c r="C207"/>
  <c r="B207"/>
  <c r="E206"/>
  <c r="D206"/>
  <c r="C206"/>
  <c r="B206"/>
  <c r="E205"/>
  <c r="D205"/>
  <c r="C205"/>
  <c r="B205"/>
  <c r="E204"/>
  <c r="D204"/>
  <c r="C204"/>
  <c r="B204"/>
  <c r="E203"/>
  <c r="D203"/>
  <c r="C203"/>
  <c r="B203"/>
  <c r="E202"/>
  <c r="D202"/>
  <c r="C202"/>
  <c r="B202"/>
  <c r="E201"/>
  <c r="D201"/>
  <c r="C201"/>
  <c r="B201"/>
  <c r="E200"/>
  <c r="D200"/>
  <c r="C200"/>
  <c r="B200"/>
  <c r="E199"/>
  <c r="D199"/>
  <c r="C199"/>
  <c r="B199"/>
  <c r="E198"/>
  <c r="D198"/>
  <c r="C198"/>
  <c r="B198"/>
  <c r="E197"/>
  <c r="D197"/>
  <c r="C197"/>
  <c r="B197"/>
  <c r="E196"/>
  <c r="D196"/>
  <c r="C196"/>
  <c r="B196"/>
  <c r="E195"/>
  <c r="D195"/>
  <c r="C195"/>
  <c r="B195"/>
  <c r="E194"/>
  <c r="D194"/>
  <c r="C194"/>
  <c r="B194"/>
  <c r="E193"/>
  <c r="D193"/>
  <c r="C193"/>
  <c r="B193"/>
  <c r="E192"/>
  <c r="D192"/>
  <c r="C192"/>
  <c r="B192"/>
  <c r="E191"/>
  <c r="D191"/>
  <c r="C191"/>
  <c r="B191"/>
  <c r="E190"/>
  <c r="D190"/>
  <c r="C190"/>
  <c r="B190"/>
  <c r="E189"/>
  <c r="D189"/>
  <c r="C189"/>
  <c r="B189"/>
  <c r="E188"/>
  <c r="D188"/>
  <c r="C188"/>
  <c r="B188"/>
  <c r="E187"/>
  <c r="D187"/>
  <c r="C187"/>
  <c r="B187"/>
  <c r="E186"/>
  <c r="D186"/>
  <c r="C186"/>
  <c r="B186"/>
  <c r="E185"/>
  <c r="D185"/>
  <c r="C185"/>
  <c r="B185"/>
  <c r="E184"/>
  <c r="D184"/>
  <c r="C184"/>
  <c r="B184"/>
  <c r="E183"/>
  <c r="D183"/>
  <c r="C183"/>
  <c r="B183"/>
  <c r="E182"/>
  <c r="D182"/>
  <c r="C182"/>
  <c r="B182"/>
  <c r="E181"/>
  <c r="D181"/>
  <c r="C181"/>
  <c r="B181"/>
  <c r="E180"/>
  <c r="D180"/>
  <c r="C180"/>
  <c r="B180"/>
  <c r="E179"/>
  <c r="D179"/>
  <c r="C179"/>
  <c r="B179"/>
  <c r="E178"/>
  <c r="D178"/>
  <c r="C178"/>
  <c r="B178"/>
  <c r="E177"/>
  <c r="D177"/>
  <c r="C177"/>
  <c r="B177"/>
  <c r="E176"/>
  <c r="D176"/>
  <c r="C176"/>
  <c r="B176"/>
  <c r="E175"/>
  <c r="D175"/>
  <c r="C175"/>
  <c r="B175"/>
  <c r="E174"/>
  <c r="D174"/>
  <c r="C174"/>
  <c r="B174"/>
  <c r="E173"/>
  <c r="D173"/>
  <c r="C173"/>
  <c r="B173"/>
  <c r="E172"/>
  <c r="D172"/>
  <c r="C172"/>
  <c r="B172"/>
  <c r="E171"/>
  <c r="D171"/>
  <c r="C171"/>
  <c r="B171"/>
  <c r="E170"/>
  <c r="D170"/>
  <c r="C170"/>
  <c r="B170"/>
  <c r="E169"/>
  <c r="D169"/>
  <c r="C169"/>
  <c r="B169"/>
  <c r="E168"/>
  <c r="D168"/>
  <c r="C168"/>
  <c r="B168"/>
  <c r="E167"/>
  <c r="D167"/>
  <c r="C167"/>
  <c r="B167"/>
  <c r="E166"/>
  <c r="D166"/>
  <c r="C166"/>
  <c r="B166"/>
  <c r="E165"/>
  <c r="D165"/>
  <c r="C165"/>
  <c r="B165"/>
  <c r="E164"/>
  <c r="D164"/>
  <c r="C164"/>
  <c r="B164"/>
  <c r="E163"/>
  <c r="D163"/>
  <c r="C163"/>
  <c r="B163"/>
  <c r="E162"/>
  <c r="D162"/>
  <c r="C162"/>
  <c r="B162"/>
  <c r="E161"/>
  <c r="D161"/>
  <c r="C161"/>
  <c r="B161"/>
  <c r="E160"/>
  <c r="D160"/>
  <c r="C160"/>
  <c r="B160"/>
  <c r="E159"/>
  <c r="D159"/>
  <c r="C159"/>
  <c r="B159"/>
  <c r="E158"/>
  <c r="D158"/>
  <c r="C158"/>
  <c r="B158"/>
  <c r="E157"/>
  <c r="D157"/>
  <c r="C157"/>
  <c r="B157"/>
  <c r="E156"/>
  <c r="D156"/>
  <c r="C156"/>
  <c r="B156"/>
  <c r="E155"/>
  <c r="D155"/>
  <c r="C155"/>
  <c r="B155"/>
  <c r="E154"/>
  <c r="D154"/>
  <c r="C154"/>
  <c r="B154"/>
  <c r="E153"/>
  <c r="D153"/>
  <c r="C153"/>
  <c r="B153"/>
  <c r="E152"/>
  <c r="D152"/>
  <c r="C152"/>
  <c r="B152"/>
  <c r="E151"/>
  <c r="D151"/>
  <c r="C151"/>
  <c r="B151"/>
  <c r="E150"/>
  <c r="D150"/>
  <c r="C150"/>
  <c r="B150"/>
  <c r="E149"/>
  <c r="D149"/>
  <c r="C149"/>
  <c r="B149"/>
  <c r="E148"/>
  <c r="D148"/>
  <c r="C148"/>
  <c r="B148"/>
  <c r="E147"/>
  <c r="D147"/>
  <c r="C147"/>
  <c r="B147"/>
  <c r="E146"/>
  <c r="D146"/>
  <c r="C146"/>
  <c r="B146"/>
  <c r="E145"/>
  <c r="D145"/>
  <c r="C145"/>
  <c r="B145"/>
  <c r="E144"/>
  <c r="D144"/>
  <c r="C144"/>
  <c r="B144"/>
  <c r="E143"/>
  <c r="D143"/>
  <c r="C143"/>
  <c r="B143"/>
  <c r="E142"/>
  <c r="D142"/>
  <c r="C142"/>
  <c r="B142"/>
  <c r="E141"/>
  <c r="D141"/>
  <c r="C141"/>
  <c r="B141"/>
  <c r="E140"/>
  <c r="D140"/>
  <c r="C140"/>
  <c r="B140"/>
  <c r="E139"/>
  <c r="D139"/>
  <c r="C139"/>
  <c r="B139"/>
  <c r="E138"/>
  <c r="D138"/>
  <c r="C138"/>
  <c r="B138"/>
  <c r="E137"/>
  <c r="D137"/>
  <c r="C137"/>
  <c r="B137"/>
  <c r="E136"/>
  <c r="D136"/>
  <c r="C136"/>
  <c r="B136"/>
  <c r="E135"/>
  <c r="D135"/>
  <c r="C135"/>
  <c r="B135"/>
  <c r="E134"/>
  <c r="D134"/>
  <c r="C134"/>
  <c r="B134"/>
  <c r="E133"/>
  <c r="D133"/>
  <c r="C133"/>
  <c r="B133"/>
  <c r="E132"/>
  <c r="D132"/>
  <c r="C132"/>
  <c r="B132"/>
  <c r="E131"/>
  <c r="D131"/>
  <c r="C131"/>
  <c r="B131"/>
  <c r="E130"/>
  <c r="D130"/>
  <c r="C130"/>
  <c r="B130"/>
  <c r="E129"/>
  <c r="D129"/>
  <c r="C129"/>
  <c r="B129"/>
  <c r="E128"/>
  <c r="D128"/>
  <c r="C128"/>
  <c r="B128"/>
  <c r="E127"/>
  <c r="D127"/>
  <c r="C127"/>
  <c r="B127"/>
  <c r="E126"/>
  <c r="D126"/>
  <c r="C126"/>
  <c r="B126"/>
  <c r="E125"/>
  <c r="D125"/>
  <c r="C125"/>
  <c r="B125"/>
  <c r="E124"/>
  <c r="D124"/>
  <c r="C124"/>
  <c r="B124"/>
  <c r="E123"/>
  <c r="D123"/>
  <c r="C123"/>
  <c r="B123"/>
  <c r="E122"/>
  <c r="D122"/>
  <c r="C122"/>
  <c r="B122"/>
  <c r="E121"/>
  <c r="D121"/>
  <c r="C121"/>
  <c r="B121"/>
  <c r="E120"/>
  <c r="D120"/>
  <c r="C120"/>
  <c r="B120"/>
  <c r="E119"/>
  <c r="D119"/>
  <c r="C119"/>
  <c r="B119"/>
  <c r="E118"/>
  <c r="D118"/>
  <c r="C118"/>
  <c r="B118"/>
  <c r="E117"/>
  <c r="D117"/>
  <c r="C117"/>
  <c r="B117"/>
  <c r="E116"/>
  <c r="D116"/>
  <c r="C116"/>
  <c r="B116"/>
  <c r="E115"/>
  <c r="D115"/>
  <c r="C115"/>
  <c r="B115"/>
  <c r="E114"/>
  <c r="D114"/>
  <c r="C114"/>
  <c r="B114"/>
  <c r="E113"/>
  <c r="D113"/>
  <c r="C113"/>
  <c r="B113"/>
  <c r="E112"/>
  <c r="D112"/>
  <c r="C112"/>
  <c r="B112"/>
  <c r="E111"/>
  <c r="D111"/>
  <c r="C111"/>
  <c r="B111"/>
  <c r="E110"/>
  <c r="D110"/>
  <c r="C110"/>
  <c r="B110"/>
  <c r="E109"/>
  <c r="D109"/>
  <c r="C109"/>
  <c r="B109"/>
  <c r="E108"/>
  <c r="D108"/>
  <c r="C108"/>
  <c r="B108"/>
  <c r="E107"/>
  <c r="D107"/>
  <c r="C107"/>
  <c r="B107"/>
  <c r="E106"/>
  <c r="D106"/>
  <c r="C106"/>
  <c r="B106"/>
  <c r="E105"/>
  <c r="D105"/>
  <c r="C105"/>
  <c r="B105"/>
  <c r="E104"/>
  <c r="D104"/>
  <c r="C104"/>
  <c r="B104"/>
  <c r="E103"/>
  <c r="D103"/>
  <c r="C103"/>
  <c r="B103"/>
  <c r="E102"/>
  <c r="D102"/>
  <c r="C102"/>
  <c r="B102"/>
  <c r="E101"/>
  <c r="D101"/>
  <c r="C101"/>
  <c r="B101"/>
  <c r="E100"/>
  <c r="D100"/>
  <c r="C100"/>
  <c r="B100"/>
  <c r="E99"/>
  <c r="D99"/>
  <c r="C99"/>
  <c r="B99"/>
  <c r="E98"/>
  <c r="D98"/>
  <c r="C98"/>
  <c r="B98"/>
  <c r="E97"/>
  <c r="D97"/>
  <c r="C97"/>
  <c r="B97"/>
  <c r="E96"/>
  <c r="D96"/>
  <c r="C96"/>
  <c r="B96"/>
  <c r="E95"/>
  <c r="D95"/>
  <c r="C95"/>
  <c r="B95"/>
  <c r="E94"/>
  <c r="D94"/>
  <c r="C94"/>
  <c r="B94"/>
  <c r="E93"/>
  <c r="D93"/>
  <c r="C93"/>
  <c r="B93"/>
  <c r="E92"/>
  <c r="D92"/>
  <c r="C92"/>
  <c r="B92"/>
  <c r="E91"/>
  <c r="D91"/>
  <c r="C91"/>
  <c r="B91"/>
  <c r="E90"/>
  <c r="D90"/>
  <c r="C90"/>
  <c r="B90"/>
  <c r="E89"/>
  <c r="D89"/>
  <c r="C89"/>
  <c r="B89"/>
  <c r="E88"/>
  <c r="D88"/>
  <c r="C88"/>
  <c r="B88"/>
  <c r="E87"/>
  <c r="D87"/>
  <c r="C87"/>
  <c r="B87"/>
  <c r="E86"/>
  <c r="D86"/>
  <c r="C86"/>
  <c r="B86"/>
  <c r="E85"/>
  <c r="D85"/>
  <c r="C85"/>
  <c r="B85"/>
  <c r="E84"/>
  <c r="D84"/>
  <c r="C84"/>
  <c r="B84"/>
  <c r="E83"/>
  <c r="D83"/>
  <c r="C83"/>
  <c r="B83"/>
  <c r="E82"/>
  <c r="D82"/>
  <c r="C82"/>
  <c r="B82"/>
  <c r="E81"/>
  <c r="D81"/>
  <c r="C81"/>
  <c r="B81"/>
  <c r="E80"/>
  <c r="D80"/>
  <c r="C80"/>
  <c r="B80"/>
  <c r="E79"/>
  <c r="D79"/>
  <c r="C79"/>
  <c r="B79"/>
  <c r="E78"/>
  <c r="D78"/>
  <c r="C78"/>
  <c r="B78"/>
  <c r="E77"/>
  <c r="D77"/>
  <c r="C77"/>
  <c r="B77"/>
  <c r="E76"/>
  <c r="D76"/>
  <c r="C76"/>
  <c r="B76"/>
  <c r="E75"/>
  <c r="D75"/>
  <c r="C75"/>
  <c r="B75"/>
  <c r="E74"/>
  <c r="D74"/>
  <c r="C74"/>
  <c r="B74"/>
  <c r="E73"/>
  <c r="D73"/>
  <c r="C73"/>
  <c r="B73"/>
  <c r="E72"/>
  <c r="D72"/>
  <c r="C72"/>
  <c r="B72"/>
  <c r="E71"/>
  <c r="D71"/>
  <c r="C71"/>
  <c r="B71"/>
  <c r="E70"/>
  <c r="D70"/>
  <c r="C70"/>
  <c r="B70"/>
  <c r="E69"/>
  <c r="D69"/>
  <c r="C69"/>
  <c r="B69"/>
  <c r="E68"/>
  <c r="D68"/>
  <c r="C68"/>
  <c r="B68"/>
  <c r="E67"/>
  <c r="D67"/>
  <c r="C67"/>
  <c r="B67"/>
  <c r="E66"/>
  <c r="D66"/>
  <c r="C66"/>
  <c r="B66"/>
  <c r="E65"/>
  <c r="D65"/>
  <c r="C65"/>
  <c r="B65"/>
  <c r="E64"/>
  <c r="D64"/>
  <c r="C64"/>
  <c r="B64"/>
  <c r="E63"/>
  <c r="D63"/>
  <c r="C63"/>
  <c r="B63"/>
  <c r="E62"/>
  <c r="D62"/>
  <c r="C62"/>
  <c r="B62"/>
  <c r="E61"/>
  <c r="D61"/>
  <c r="C61"/>
  <c r="B61"/>
  <c r="E60"/>
  <c r="D60"/>
  <c r="C60"/>
  <c r="B60"/>
  <c r="E59"/>
  <c r="D59"/>
  <c r="C59"/>
  <c r="B59"/>
  <c r="E58"/>
  <c r="D58"/>
  <c r="C58"/>
  <c r="B58"/>
  <c r="E57"/>
  <c r="D57"/>
  <c r="C57"/>
  <c r="B57"/>
  <c r="E56"/>
  <c r="D56"/>
  <c r="C56"/>
  <c r="B56"/>
  <c r="E55"/>
  <c r="D55"/>
  <c r="C55"/>
  <c r="B55"/>
  <c r="E54"/>
  <c r="D54"/>
  <c r="C54"/>
  <c r="B54"/>
  <c r="E53"/>
  <c r="D53"/>
  <c r="C53"/>
  <c r="B53"/>
  <c r="E52"/>
  <c r="D52"/>
  <c r="C52"/>
  <c r="B52"/>
  <c r="E51"/>
  <c r="D51"/>
  <c r="C51"/>
  <c r="B51"/>
  <c r="E36"/>
  <c r="D36"/>
  <c r="C36"/>
  <c r="B36"/>
  <c r="E35"/>
  <c r="D35"/>
  <c r="C35"/>
  <c r="B35"/>
  <c r="E34"/>
  <c r="D34"/>
  <c r="C34"/>
  <c r="B34"/>
  <c r="E33"/>
  <c r="D33"/>
  <c r="C33"/>
  <c r="B33"/>
  <c r="E32"/>
  <c r="D32"/>
  <c r="C32"/>
  <c r="B32"/>
  <c r="E31"/>
  <c r="D31"/>
  <c r="C31"/>
  <c r="B31"/>
  <c r="E30"/>
  <c r="D30"/>
  <c r="C30"/>
  <c r="B30"/>
  <c r="E29"/>
  <c r="D29"/>
  <c r="C29"/>
  <c r="B29"/>
  <c r="E28"/>
  <c r="D28"/>
  <c r="C28"/>
  <c r="B28"/>
  <c r="E27"/>
  <c r="D27"/>
  <c r="C27"/>
  <c r="B27"/>
  <c r="E26"/>
  <c r="D26"/>
  <c r="C26"/>
  <c r="B26"/>
  <c r="E25"/>
  <c r="D25"/>
  <c r="C25"/>
  <c r="B25"/>
  <c r="E24"/>
  <c r="D24"/>
  <c r="C24"/>
  <c r="B24"/>
  <c r="E23"/>
  <c r="D23"/>
  <c r="C23"/>
  <c r="B23"/>
  <c r="E22"/>
  <c r="D22"/>
  <c r="C22"/>
  <c r="B22"/>
  <c r="E21"/>
  <c r="D21"/>
  <c r="C21"/>
  <c r="B21"/>
  <c r="E20"/>
  <c r="D20"/>
  <c r="C20"/>
  <c r="B20"/>
  <c r="E19"/>
  <c r="D19"/>
  <c r="C19"/>
  <c r="B19"/>
  <c r="E18"/>
  <c r="D18"/>
  <c r="C18"/>
  <c r="B18"/>
  <c r="E17"/>
  <c r="D17"/>
  <c r="C17"/>
  <c r="B17"/>
  <c r="E16"/>
  <c r="D16"/>
  <c r="C16"/>
  <c r="B16"/>
  <c r="E15"/>
  <c r="D15"/>
  <c r="C15"/>
  <c r="B15"/>
  <c r="E14"/>
  <c r="D14"/>
  <c r="C14"/>
  <c r="B14"/>
  <c r="E416" i="37"/>
  <c r="D416"/>
  <c r="C416"/>
  <c r="B416"/>
  <c r="E415"/>
  <c r="D415"/>
  <c r="C415"/>
  <c r="B415"/>
  <c r="E414"/>
  <c r="D414"/>
  <c r="C414"/>
  <c r="B414"/>
  <c r="E413"/>
  <c r="D413"/>
  <c r="C413"/>
  <c r="B413"/>
  <c r="E412"/>
  <c r="D412"/>
  <c r="C412"/>
  <c r="B412"/>
  <c r="E411"/>
  <c r="D411"/>
  <c r="C411"/>
  <c r="B411"/>
  <c r="E410"/>
  <c r="D410"/>
  <c r="C410"/>
  <c r="B410"/>
  <c r="E409"/>
  <c r="D409"/>
  <c r="C409"/>
  <c r="B409"/>
  <c r="E408"/>
  <c r="D408"/>
  <c r="C408"/>
  <c r="B408"/>
  <c r="E407"/>
  <c r="D407"/>
  <c r="C407"/>
  <c r="B407"/>
  <c r="E406"/>
  <c r="D406"/>
  <c r="C406"/>
  <c r="B406"/>
  <c r="E405"/>
  <c r="D405"/>
  <c r="C405"/>
  <c r="B405"/>
  <c r="E404"/>
  <c r="D404"/>
  <c r="C404"/>
  <c r="B404"/>
  <c r="E403"/>
  <c r="D403"/>
  <c r="C403"/>
  <c r="B403"/>
  <c r="E402"/>
  <c r="D402"/>
  <c r="C402"/>
  <c r="B402"/>
  <c r="E401"/>
  <c r="D401"/>
  <c r="C401"/>
  <c r="B401"/>
  <c r="E400"/>
  <c r="D400"/>
  <c r="C400"/>
  <c r="B400"/>
  <c r="E399"/>
  <c r="D399"/>
  <c r="C399"/>
  <c r="B399"/>
  <c r="E398"/>
  <c r="D398"/>
  <c r="C398"/>
  <c r="B398"/>
  <c r="E397"/>
  <c r="D397"/>
  <c r="C397"/>
  <c r="B397"/>
  <c r="E396"/>
  <c r="D396"/>
  <c r="C396"/>
  <c r="B396"/>
  <c r="E395"/>
  <c r="D395"/>
  <c r="C395"/>
  <c r="B395"/>
  <c r="E394"/>
  <c r="D394"/>
  <c r="C394"/>
  <c r="B394"/>
  <c r="E393"/>
  <c r="D393"/>
  <c r="C393"/>
  <c r="B393"/>
  <c r="E392"/>
  <c r="D392"/>
  <c r="C392"/>
  <c r="B392"/>
  <c r="E391"/>
  <c r="D391"/>
  <c r="C391"/>
  <c r="B391"/>
  <c r="E390"/>
  <c r="D390"/>
  <c r="C390"/>
  <c r="B390"/>
  <c r="E389"/>
  <c r="D389"/>
  <c r="C389"/>
  <c r="B389"/>
  <c r="E388"/>
  <c r="D388"/>
  <c r="C388"/>
  <c r="B388"/>
  <c r="E387"/>
  <c r="D387"/>
  <c r="C387"/>
  <c r="B387"/>
  <c r="E386"/>
  <c r="D386"/>
  <c r="C386"/>
  <c r="B386"/>
  <c r="E385"/>
  <c r="D385"/>
  <c r="C385"/>
  <c r="B385"/>
  <c r="E384"/>
  <c r="D384"/>
  <c r="C384"/>
  <c r="B384"/>
  <c r="E383"/>
  <c r="D383"/>
  <c r="C383"/>
  <c r="B383"/>
  <c r="E382"/>
  <c r="D382"/>
  <c r="C382"/>
  <c r="B382"/>
  <c r="E381"/>
  <c r="D381"/>
  <c r="C381"/>
  <c r="B381"/>
  <c r="E380"/>
  <c r="D380"/>
  <c r="C380"/>
  <c r="B380"/>
  <c r="E379"/>
  <c r="D379"/>
  <c r="C379"/>
  <c r="B379"/>
  <c r="E378"/>
  <c r="D378"/>
  <c r="C378"/>
  <c r="B378"/>
  <c r="E377"/>
  <c r="D377"/>
  <c r="C377"/>
  <c r="B377"/>
  <c r="E376"/>
  <c r="D376"/>
  <c r="C376"/>
  <c r="B376"/>
  <c r="E375"/>
  <c r="D375"/>
  <c r="C375"/>
  <c r="B375"/>
  <c r="E374"/>
  <c r="D374"/>
  <c r="C374"/>
  <c r="B374"/>
  <c r="E373"/>
  <c r="D373"/>
  <c r="C373"/>
  <c r="B373"/>
  <c r="E372"/>
  <c r="D372"/>
  <c r="C372"/>
  <c r="B372"/>
  <c r="E371"/>
  <c r="D371"/>
  <c r="C371"/>
  <c r="B371"/>
  <c r="E370"/>
  <c r="D370"/>
  <c r="C370"/>
  <c r="B370"/>
  <c r="E369"/>
  <c r="D369"/>
  <c r="C369"/>
  <c r="B369"/>
  <c r="E368"/>
  <c r="D368"/>
  <c r="C368"/>
  <c r="B368"/>
  <c r="E367"/>
  <c r="D367"/>
  <c r="C367"/>
  <c r="B367"/>
  <c r="E366"/>
  <c r="D366"/>
  <c r="C366"/>
  <c r="B366"/>
  <c r="E365"/>
  <c r="D365"/>
  <c r="C365"/>
  <c r="B365"/>
  <c r="E364"/>
  <c r="D364"/>
  <c r="C364"/>
  <c r="B364"/>
  <c r="E363"/>
  <c r="D363"/>
  <c r="C363"/>
  <c r="B363"/>
  <c r="E362"/>
  <c r="D362"/>
  <c r="C362"/>
  <c r="B362"/>
  <c r="E361"/>
  <c r="D361"/>
  <c r="C361"/>
  <c r="B361"/>
  <c r="E360"/>
  <c r="D360"/>
  <c r="C360"/>
  <c r="B360"/>
  <c r="E359"/>
  <c r="D359"/>
  <c r="C359"/>
  <c r="B359"/>
  <c r="E358"/>
  <c r="D358"/>
  <c r="C358"/>
  <c r="B358"/>
  <c r="E357"/>
  <c r="D357"/>
  <c r="C357"/>
  <c r="B357"/>
  <c r="E356"/>
  <c r="D356"/>
  <c r="C356"/>
  <c r="B356"/>
  <c r="E355"/>
  <c r="D355"/>
  <c r="C355"/>
  <c r="B355"/>
  <c r="E354"/>
  <c r="D354"/>
  <c r="C354"/>
  <c r="B354"/>
  <c r="E353"/>
  <c r="D353"/>
  <c r="C353"/>
  <c r="B353"/>
  <c r="E352"/>
  <c r="D352"/>
  <c r="C352"/>
  <c r="B352"/>
  <c r="E351"/>
  <c r="D351"/>
  <c r="C351"/>
  <c r="B351"/>
  <c r="E350"/>
  <c r="D350"/>
  <c r="C350"/>
  <c r="B350"/>
  <c r="E349"/>
  <c r="D349"/>
  <c r="C349"/>
  <c r="B349"/>
  <c r="E348"/>
  <c r="D348"/>
  <c r="C348"/>
  <c r="B348"/>
  <c r="E347"/>
  <c r="D347"/>
  <c r="C347"/>
  <c r="B347"/>
  <c r="E346"/>
  <c r="D346"/>
  <c r="C346"/>
  <c r="B346"/>
  <c r="E345"/>
  <c r="D345"/>
  <c r="C345"/>
  <c r="B345"/>
  <c r="E344"/>
  <c r="D344"/>
  <c r="C344"/>
  <c r="B344"/>
  <c r="E343"/>
  <c r="D343"/>
  <c r="C343"/>
  <c r="B343"/>
  <c r="E342"/>
  <c r="D342"/>
  <c r="C342"/>
  <c r="B342"/>
  <c r="E341"/>
  <c r="D341"/>
  <c r="C341"/>
  <c r="B341"/>
  <c r="E340"/>
  <c r="D340"/>
  <c r="C340"/>
  <c r="B340"/>
  <c r="E339"/>
  <c r="D339"/>
  <c r="C339"/>
  <c r="B339"/>
  <c r="E338"/>
  <c r="D338"/>
  <c r="C338"/>
  <c r="B338"/>
  <c r="E337"/>
  <c r="D337"/>
  <c r="C337"/>
  <c r="B337"/>
  <c r="E336"/>
  <c r="D336"/>
  <c r="C336"/>
  <c r="B336"/>
  <c r="E335"/>
  <c r="D335"/>
  <c r="C335"/>
  <c r="B335"/>
  <c r="E334"/>
  <c r="D334"/>
  <c r="C334"/>
  <c r="B334"/>
  <c r="E333"/>
  <c r="D333"/>
  <c r="C333"/>
  <c r="B333"/>
  <c r="G332"/>
  <c r="F332"/>
  <c r="E332"/>
  <c r="D332"/>
  <c r="C332"/>
  <c r="B332"/>
  <c r="E331"/>
  <c r="D331"/>
  <c r="C331"/>
  <c r="B331"/>
  <c r="E330"/>
  <c r="D330"/>
  <c r="C330"/>
  <c r="B330"/>
  <c r="E329"/>
  <c r="D329"/>
  <c r="C329"/>
  <c r="B329"/>
  <c r="E328"/>
  <c r="D328"/>
  <c r="C328"/>
  <c r="B328"/>
  <c r="E327"/>
  <c r="D327"/>
  <c r="C327"/>
  <c r="B327"/>
  <c r="G326"/>
  <c r="F326"/>
  <c r="E326"/>
  <c r="D326"/>
  <c r="C326"/>
  <c r="B326"/>
  <c r="E316"/>
  <c r="D316"/>
  <c r="C316"/>
  <c r="B316"/>
  <c r="E315"/>
  <c r="D315"/>
  <c r="C315"/>
  <c r="B315"/>
  <c r="E314"/>
  <c r="D314"/>
  <c r="C314"/>
  <c r="B314"/>
  <c r="E313"/>
  <c r="D313"/>
  <c r="C313"/>
  <c r="B313"/>
  <c r="E312"/>
  <c r="D312"/>
  <c r="C312"/>
  <c r="B312"/>
  <c r="E311"/>
  <c r="D311"/>
  <c r="C311"/>
  <c r="B311"/>
  <c r="E310"/>
  <c r="D310"/>
  <c r="C310"/>
  <c r="B310"/>
  <c r="E309"/>
  <c r="D309"/>
  <c r="C309"/>
  <c r="B309"/>
  <c r="E308"/>
  <c r="D308"/>
  <c r="C308"/>
  <c r="B308"/>
  <c r="E307"/>
  <c r="D307"/>
  <c r="C307"/>
  <c r="B307"/>
  <c r="E306"/>
  <c r="D306"/>
  <c r="C306"/>
  <c r="B306"/>
  <c r="E305"/>
  <c r="D305"/>
  <c r="C305"/>
  <c r="B305"/>
  <c r="E304"/>
  <c r="D304"/>
  <c r="C304"/>
  <c r="B304"/>
  <c r="E303"/>
  <c r="D303"/>
  <c r="C303"/>
  <c r="B303"/>
  <c r="E302"/>
  <c r="D302"/>
  <c r="C302"/>
  <c r="B302"/>
  <c r="E301"/>
  <c r="D301"/>
  <c r="C301"/>
  <c r="B301"/>
  <c r="E300"/>
  <c r="D300"/>
  <c r="C300"/>
  <c r="B300"/>
  <c r="E299"/>
  <c r="D299"/>
  <c r="C299"/>
  <c r="B299"/>
  <c r="E298"/>
  <c r="D298"/>
  <c r="C298"/>
  <c r="B298"/>
  <c r="E297"/>
  <c r="D297"/>
  <c r="C297"/>
  <c r="B297"/>
  <c r="E296"/>
  <c r="D296"/>
  <c r="C296"/>
  <c r="B296"/>
  <c r="E295"/>
  <c r="D295"/>
  <c r="C295"/>
  <c r="B295"/>
  <c r="E294"/>
  <c r="D294"/>
  <c r="C294"/>
  <c r="B294"/>
  <c r="E293"/>
  <c r="D293"/>
  <c r="C293"/>
  <c r="B293"/>
  <c r="E292"/>
  <c r="D292"/>
  <c r="C292"/>
  <c r="B292"/>
  <c r="E291"/>
  <c r="D291"/>
  <c r="C291"/>
  <c r="B291"/>
  <c r="E290"/>
  <c r="D290"/>
  <c r="C290"/>
  <c r="B290"/>
  <c r="E289"/>
  <c r="D289"/>
  <c r="C289"/>
  <c r="B289"/>
  <c r="E288"/>
  <c r="D288"/>
  <c r="C288"/>
  <c r="B288"/>
  <c r="E287"/>
  <c r="D287"/>
  <c r="C287"/>
  <c r="B287"/>
  <c r="E286"/>
  <c r="D286"/>
  <c r="C286"/>
  <c r="B286"/>
  <c r="E285"/>
  <c r="D285"/>
  <c r="C285"/>
  <c r="B285"/>
  <c r="E284"/>
  <c r="D284"/>
  <c r="C284"/>
  <c r="B284"/>
  <c r="E283"/>
  <c r="D283"/>
  <c r="C283"/>
  <c r="B283"/>
  <c r="E282"/>
  <c r="D282"/>
  <c r="C282"/>
  <c r="B282"/>
  <c r="E281"/>
  <c r="D281"/>
  <c r="C281"/>
  <c r="B281"/>
  <c r="E280"/>
  <c r="D280"/>
  <c r="C280"/>
  <c r="B280"/>
  <c r="E279"/>
  <c r="D279"/>
  <c r="C279"/>
  <c r="B279"/>
  <c r="E278"/>
  <c r="D278"/>
  <c r="C278"/>
  <c r="B278"/>
  <c r="E277"/>
  <c r="D277"/>
  <c r="C277"/>
  <c r="B277"/>
  <c r="E276"/>
  <c r="D276"/>
  <c r="C276"/>
  <c r="B276"/>
  <c r="E275"/>
  <c r="D275"/>
  <c r="C275"/>
  <c r="B275"/>
  <c r="E274"/>
  <c r="D274"/>
  <c r="C274"/>
  <c r="B274"/>
  <c r="E273"/>
  <c r="D273"/>
  <c r="C273"/>
  <c r="B273"/>
  <c r="E272"/>
  <c r="D272"/>
  <c r="C272"/>
  <c r="B272"/>
  <c r="E271"/>
  <c r="D271"/>
  <c r="C271"/>
  <c r="B271"/>
  <c r="E270"/>
  <c r="D270"/>
  <c r="C270"/>
  <c r="B270"/>
  <c r="E269"/>
  <c r="D269"/>
  <c r="C269"/>
  <c r="B269"/>
  <c r="E268"/>
  <c r="D268"/>
  <c r="C268"/>
  <c r="B268"/>
  <c r="E267"/>
  <c r="D267"/>
  <c r="C267"/>
  <c r="B267"/>
  <c r="E266"/>
  <c r="D266"/>
  <c r="C266"/>
  <c r="B266"/>
  <c r="E265"/>
  <c r="D265"/>
  <c r="C265"/>
  <c r="B265"/>
  <c r="E264"/>
  <c r="D264"/>
  <c r="C264"/>
  <c r="B264"/>
  <c r="E263"/>
  <c r="D263"/>
  <c r="C263"/>
  <c r="B263"/>
  <c r="E262"/>
  <c r="D262"/>
  <c r="C262"/>
  <c r="B262"/>
  <c r="E261"/>
  <c r="D261"/>
  <c r="C261"/>
  <c r="B261"/>
  <c r="E260"/>
  <c r="D260"/>
  <c r="C260"/>
  <c r="B260"/>
  <c r="E259"/>
  <c r="D259"/>
  <c r="C259"/>
  <c r="B259"/>
  <c r="E258"/>
  <c r="D258"/>
  <c r="C258"/>
  <c r="B258"/>
  <c r="E257"/>
  <c r="D257"/>
  <c r="C257"/>
  <c r="B257"/>
  <c r="E256"/>
  <c r="D256"/>
  <c r="C256"/>
  <c r="B256"/>
  <c r="E255"/>
  <c r="D255"/>
  <c r="C255"/>
  <c r="B255"/>
  <c r="E254"/>
  <c r="D254"/>
  <c r="C254"/>
  <c r="B254"/>
  <c r="E253"/>
  <c r="D253"/>
  <c r="C253"/>
  <c r="B253"/>
  <c r="E252"/>
  <c r="D252"/>
  <c r="C252"/>
  <c r="B252"/>
  <c r="E251"/>
  <c r="D251"/>
  <c r="C251"/>
  <c r="B251"/>
  <c r="E250"/>
  <c r="D250"/>
  <c r="C250"/>
  <c r="B250"/>
  <c r="E249"/>
  <c r="D249"/>
  <c r="C249"/>
  <c r="B249"/>
  <c r="E248"/>
  <c r="D248"/>
  <c r="C248"/>
  <c r="B248"/>
  <c r="E247"/>
  <c r="D247"/>
  <c r="C247"/>
  <c r="B247"/>
  <c r="E246"/>
  <c r="D246"/>
  <c r="C246"/>
  <c r="B246"/>
  <c r="E245"/>
  <c r="D245"/>
  <c r="C245"/>
  <c r="B245"/>
  <c r="E244"/>
  <c r="D244"/>
  <c r="C244"/>
  <c r="B244"/>
  <c r="E243"/>
  <c r="D243"/>
  <c r="C243"/>
  <c r="B243"/>
  <c r="E242"/>
  <c r="D242"/>
  <c r="C242"/>
  <c r="B242"/>
  <c r="E241"/>
  <c r="D241"/>
  <c r="C241"/>
  <c r="B241"/>
  <c r="E240"/>
  <c r="D240"/>
  <c r="C240"/>
  <c r="B240"/>
  <c r="E239"/>
  <c r="D239"/>
  <c r="C239"/>
  <c r="B239"/>
  <c r="E238"/>
  <c r="D238"/>
  <c r="C238"/>
  <c r="B238"/>
  <c r="E237"/>
  <c r="D237"/>
  <c r="C237"/>
  <c r="B237"/>
  <c r="E236"/>
  <c r="D236"/>
  <c r="C236"/>
  <c r="B236"/>
  <c r="E235"/>
  <c r="D235"/>
  <c r="C235"/>
  <c r="B235"/>
  <c r="E234"/>
  <c r="D234"/>
  <c r="C234"/>
  <c r="B234"/>
  <c r="E233"/>
  <c r="D233"/>
  <c r="C233"/>
  <c r="B233"/>
  <c r="E232"/>
  <c r="D232"/>
  <c r="C232"/>
  <c r="B232"/>
  <c r="E231"/>
  <c r="D231"/>
  <c r="C231"/>
  <c r="B231"/>
  <c r="E230"/>
  <c r="D230"/>
  <c r="C230"/>
  <c r="B230"/>
  <c r="E229"/>
  <c r="D229"/>
  <c r="C229"/>
  <c r="B229"/>
  <c r="E228"/>
  <c r="D228"/>
  <c r="C228"/>
  <c r="B228"/>
  <c r="E227"/>
  <c r="D227"/>
  <c r="C227"/>
  <c r="B227"/>
  <c r="E226"/>
  <c r="D226"/>
  <c r="C226"/>
  <c r="B226"/>
  <c r="E225"/>
  <c r="D225"/>
  <c r="C225"/>
  <c r="B225"/>
  <c r="E224"/>
  <c r="D224"/>
  <c r="C224"/>
  <c r="B224"/>
  <c r="E223"/>
  <c r="D223"/>
  <c r="C223"/>
  <c r="B223"/>
  <c r="E222"/>
  <c r="D222"/>
  <c r="C222"/>
  <c r="B222"/>
  <c r="E221"/>
  <c r="D221"/>
  <c r="C221"/>
  <c r="B221"/>
  <c r="E220"/>
  <c r="D220"/>
  <c r="C220"/>
  <c r="B220"/>
  <c r="E219"/>
  <c r="D219"/>
  <c r="C219"/>
  <c r="B219"/>
  <c r="E218"/>
  <c r="D218"/>
  <c r="C218"/>
  <c r="B218"/>
  <c r="E217"/>
  <c r="D217"/>
  <c r="C217"/>
  <c r="B217"/>
  <c r="E216"/>
  <c r="D216"/>
  <c r="C216"/>
  <c r="B216"/>
  <c r="E215"/>
  <c r="D215"/>
  <c r="C215"/>
  <c r="B215"/>
  <c r="E214"/>
  <c r="D214"/>
  <c r="C214"/>
  <c r="B214"/>
  <c r="E213"/>
  <c r="D213"/>
  <c r="C213"/>
  <c r="B213"/>
  <c r="E212"/>
  <c r="D212"/>
  <c r="C212"/>
  <c r="B212"/>
  <c r="E211"/>
  <c r="D211"/>
  <c r="C211"/>
  <c r="B211"/>
  <c r="E210"/>
  <c r="D210"/>
  <c r="C210"/>
  <c r="B210"/>
  <c r="E209"/>
  <c r="D209"/>
  <c r="C209"/>
  <c r="B209"/>
  <c r="E208"/>
  <c r="D208"/>
  <c r="C208"/>
  <c r="B208"/>
  <c r="E207"/>
  <c r="D207"/>
  <c r="C207"/>
  <c r="B207"/>
  <c r="E206"/>
  <c r="D206"/>
  <c r="C206"/>
  <c r="B206"/>
  <c r="E205"/>
  <c r="D205"/>
  <c r="C205"/>
  <c r="B205"/>
  <c r="E204"/>
  <c r="D204"/>
  <c r="C204"/>
  <c r="B204"/>
  <c r="E203"/>
  <c r="D203"/>
  <c r="C203"/>
  <c r="B203"/>
  <c r="E202"/>
  <c r="D202"/>
  <c r="C202"/>
  <c r="B202"/>
  <c r="E201"/>
  <c r="D201"/>
  <c r="C201"/>
  <c r="B201"/>
  <c r="E200"/>
  <c r="D200"/>
  <c r="C200"/>
  <c r="B200"/>
  <c r="E199"/>
  <c r="D199"/>
  <c r="C199"/>
  <c r="B199"/>
  <c r="E198"/>
  <c r="D198"/>
  <c r="C198"/>
  <c r="B198"/>
  <c r="E197"/>
  <c r="D197"/>
  <c r="C197"/>
  <c r="B197"/>
  <c r="E196"/>
  <c r="D196"/>
  <c r="C196"/>
  <c r="B196"/>
  <c r="E195"/>
  <c r="D195"/>
  <c r="C195"/>
  <c r="B195"/>
  <c r="E194"/>
  <c r="D194"/>
  <c r="C194"/>
  <c r="B194"/>
  <c r="E193"/>
  <c r="D193"/>
  <c r="C193"/>
  <c r="B193"/>
  <c r="E192"/>
  <c r="D192"/>
  <c r="C192"/>
  <c r="B192"/>
  <c r="E191"/>
  <c r="D191"/>
  <c r="C191"/>
  <c r="B191"/>
  <c r="E190"/>
  <c r="D190"/>
  <c r="C190"/>
  <c r="B190"/>
  <c r="E189"/>
  <c r="D189"/>
  <c r="C189"/>
  <c r="B189"/>
  <c r="E188"/>
  <c r="D188"/>
  <c r="C188"/>
  <c r="B188"/>
  <c r="E187"/>
  <c r="D187"/>
  <c r="C187"/>
  <c r="B187"/>
  <c r="E186"/>
  <c r="D186"/>
  <c r="C186"/>
  <c r="B186"/>
  <c r="E185"/>
  <c r="D185"/>
  <c r="C185"/>
  <c r="B185"/>
  <c r="E184"/>
  <c r="D184"/>
  <c r="C184"/>
  <c r="B184"/>
  <c r="E183"/>
  <c r="D183"/>
  <c r="C183"/>
  <c r="B183"/>
  <c r="E182"/>
  <c r="D182"/>
  <c r="C182"/>
  <c r="B182"/>
  <c r="E181"/>
  <c r="D181"/>
  <c r="C181"/>
  <c r="B181"/>
  <c r="E180"/>
  <c r="D180"/>
  <c r="C180"/>
  <c r="B180"/>
  <c r="E179"/>
  <c r="D179"/>
  <c r="C179"/>
  <c r="B179"/>
  <c r="E178"/>
  <c r="D178"/>
  <c r="C178"/>
  <c r="B178"/>
  <c r="E177"/>
  <c r="D177"/>
  <c r="C177"/>
  <c r="B177"/>
  <c r="E176"/>
  <c r="D176"/>
  <c r="C176"/>
  <c r="B176"/>
  <c r="E175"/>
  <c r="D175"/>
  <c r="C175"/>
  <c r="B175"/>
  <c r="E174"/>
  <c r="D174"/>
  <c r="C174"/>
  <c r="B174"/>
  <c r="E173"/>
  <c r="D173"/>
  <c r="C173"/>
  <c r="B173"/>
  <c r="E172"/>
  <c r="D172"/>
  <c r="C172"/>
  <c r="B172"/>
  <c r="E171"/>
  <c r="D171"/>
  <c r="C171"/>
  <c r="B171"/>
  <c r="E170"/>
  <c r="D170"/>
  <c r="C170"/>
  <c r="B170"/>
  <c r="E169"/>
  <c r="D169"/>
  <c r="C169"/>
  <c r="B169"/>
  <c r="E168"/>
  <c r="D168"/>
  <c r="C168"/>
  <c r="B168"/>
  <c r="E167"/>
  <c r="D167"/>
  <c r="C167"/>
  <c r="B167"/>
  <c r="E166"/>
  <c r="D166"/>
  <c r="C166"/>
  <c r="B166"/>
  <c r="E165"/>
  <c r="D165"/>
  <c r="C165"/>
  <c r="B165"/>
  <c r="E164"/>
  <c r="D164"/>
  <c r="C164"/>
  <c r="B164"/>
  <c r="E163"/>
  <c r="D163"/>
  <c r="C163"/>
  <c r="B163"/>
  <c r="E162"/>
  <c r="D162"/>
  <c r="C162"/>
  <c r="B162"/>
  <c r="E161"/>
  <c r="D161"/>
  <c r="C161"/>
  <c r="B161"/>
  <c r="E160"/>
  <c r="D160"/>
  <c r="C160"/>
  <c r="B160"/>
  <c r="E159"/>
  <c r="D159"/>
  <c r="C159"/>
  <c r="B159"/>
  <c r="E158"/>
  <c r="D158"/>
  <c r="C158"/>
  <c r="B158"/>
  <c r="E157"/>
  <c r="D157"/>
  <c r="C157"/>
  <c r="B157"/>
  <c r="E156"/>
  <c r="D156"/>
  <c r="C156"/>
  <c r="B156"/>
  <c r="E155"/>
  <c r="D155"/>
  <c r="C155"/>
  <c r="B155"/>
  <c r="E154"/>
  <c r="D154"/>
  <c r="C154"/>
  <c r="B154"/>
  <c r="E153"/>
  <c r="D153"/>
  <c r="C153"/>
  <c r="B153"/>
  <c r="E152"/>
  <c r="D152"/>
  <c r="C152"/>
  <c r="B152"/>
  <c r="E151"/>
  <c r="D151"/>
  <c r="C151"/>
  <c r="B151"/>
  <c r="E150"/>
  <c r="D150"/>
  <c r="C150"/>
  <c r="B150"/>
  <c r="E149"/>
  <c r="D149"/>
  <c r="C149"/>
  <c r="B149"/>
  <c r="E148"/>
  <c r="D148"/>
  <c r="C148"/>
  <c r="B148"/>
  <c r="E147"/>
  <c r="D147"/>
  <c r="C147"/>
  <c r="B147"/>
  <c r="E146"/>
  <c r="D146"/>
  <c r="C146"/>
  <c r="B146"/>
  <c r="E145"/>
  <c r="D145"/>
  <c r="C145"/>
  <c r="B145"/>
  <c r="E144"/>
  <c r="D144"/>
  <c r="C144"/>
  <c r="B144"/>
  <c r="E143"/>
  <c r="D143"/>
  <c r="C143"/>
  <c r="B143"/>
  <c r="E142"/>
  <c r="D142"/>
  <c r="C142"/>
  <c r="B142"/>
  <c r="E141"/>
  <c r="D141"/>
  <c r="C141"/>
  <c r="B141"/>
  <c r="E140"/>
  <c r="D140"/>
  <c r="C140"/>
  <c r="B140"/>
  <c r="E139"/>
  <c r="D139"/>
  <c r="C139"/>
  <c r="B139"/>
  <c r="E138"/>
  <c r="D138"/>
  <c r="C138"/>
  <c r="B138"/>
  <c r="E137"/>
  <c r="D137"/>
  <c r="C137"/>
  <c r="B137"/>
  <c r="E136"/>
  <c r="D136"/>
  <c r="C136"/>
  <c r="B136"/>
  <c r="E135"/>
  <c r="D135"/>
  <c r="C135"/>
  <c r="B135"/>
  <c r="E134"/>
  <c r="D134"/>
  <c r="C134"/>
  <c r="B134"/>
  <c r="E133"/>
  <c r="D133"/>
  <c r="C133"/>
  <c r="B133"/>
  <c r="E132"/>
  <c r="D132"/>
  <c r="C132"/>
  <c r="B132"/>
  <c r="E131"/>
  <c r="D131"/>
  <c r="C131"/>
  <c r="B131"/>
  <c r="E130"/>
  <c r="D130"/>
  <c r="C130"/>
  <c r="B130"/>
  <c r="E129"/>
  <c r="D129"/>
  <c r="C129"/>
  <c r="B129"/>
  <c r="E128"/>
  <c r="D128"/>
  <c r="C128"/>
  <c r="B128"/>
  <c r="E127"/>
  <c r="D127"/>
  <c r="C127"/>
  <c r="B127"/>
  <c r="E126"/>
  <c r="D126"/>
  <c r="C126"/>
  <c r="B126"/>
  <c r="E125"/>
  <c r="D125"/>
  <c r="C125"/>
  <c r="B125"/>
  <c r="E124"/>
  <c r="D124"/>
  <c r="C124"/>
  <c r="B124"/>
  <c r="E123"/>
  <c r="D123"/>
  <c r="C123"/>
  <c r="B123"/>
  <c r="E122"/>
  <c r="D122"/>
  <c r="C122"/>
  <c r="B122"/>
  <c r="E121"/>
  <c r="D121"/>
  <c r="C121"/>
  <c r="B121"/>
  <c r="E120"/>
  <c r="D120"/>
  <c r="C120"/>
  <c r="B120"/>
  <c r="E119"/>
  <c r="D119"/>
  <c r="C119"/>
  <c r="B119"/>
  <c r="E118"/>
  <c r="D118"/>
  <c r="C118"/>
  <c r="B118"/>
  <c r="E117"/>
  <c r="D117"/>
  <c r="C117"/>
  <c r="B117"/>
  <c r="E116"/>
  <c r="D116"/>
  <c r="C116"/>
  <c r="B116"/>
  <c r="E115"/>
  <c r="D115"/>
  <c r="C115"/>
  <c r="B115"/>
  <c r="E114"/>
  <c r="D114"/>
  <c r="C114"/>
  <c r="B114"/>
  <c r="E113"/>
  <c r="D113"/>
  <c r="C113"/>
  <c r="B113"/>
  <c r="E112"/>
  <c r="D112"/>
  <c r="C112"/>
  <c r="B112"/>
  <c r="E111"/>
  <c r="D111"/>
  <c r="C111"/>
  <c r="B111"/>
  <c r="E110"/>
  <c r="D110"/>
  <c r="C110"/>
  <c r="B110"/>
  <c r="E109"/>
  <c r="D109"/>
  <c r="C109"/>
  <c r="B109"/>
  <c r="E108"/>
  <c r="D108"/>
  <c r="C108"/>
  <c r="B108"/>
  <c r="E107"/>
  <c r="D107"/>
  <c r="C107"/>
  <c r="B107"/>
  <c r="E106"/>
  <c r="D106"/>
  <c r="C106"/>
  <c r="B106"/>
  <c r="E105"/>
  <c r="D105"/>
  <c r="C105"/>
  <c r="B105"/>
  <c r="E104"/>
  <c r="D104"/>
  <c r="C104"/>
  <c r="B104"/>
  <c r="E103"/>
  <c r="D103"/>
  <c r="C103"/>
  <c r="B103"/>
  <c r="E102"/>
  <c r="D102"/>
  <c r="C102"/>
  <c r="B102"/>
  <c r="E101"/>
  <c r="D101"/>
  <c r="C101"/>
  <c r="B101"/>
  <c r="E100"/>
  <c r="D100"/>
  <c r="C100"/>
  <c r="B100"/>
  <c r="E99"/>
  <c r="D99"/>
  <c r="C99"/>
  <c r="B99"/>
  <c r="E98"/>
  <c r="D98"/>
  <c r="C98"/>
  <c r="B98"/>
  <c r="E97"/>
  <c r="D97"/>
  <c r="C97"/>
  <c r="B97"/>
  <c r="E96"/>
  <c r="D96"/>
  <c r="C96"/>
  <c r="B96"/>
  <c r="E95"/>
  <c r="D95"/>
  <c r="C95"/>
  <c r="B95"/>
  <c r="E94"/>
  <c r="D94"/>
  <c r="C94"/>
  <c r="B94"/>
  <c r="E93"/>
  <c r="D93"/>
  <c r="C93"/>
  <c r="B93"/>
  <c r="E92"/>
  <c r="D92"/>
  <c r="C92"/>
  <c r="B92"/>
  <c r="E91"/>
  <c r="D91"/>
  <c r="C91"/>
  <c r="B91"/>
  <c r="E90"/>
  <c r="D90"/>
  <c r="C90"/>
  <c r="B90"/>
  <c r="E89"/>
  <c r="D89"/>
  <c r="C89"/>
  <c r="B89"/>
  <c r="E88"/>
  <c r="D88"/>
  <c r="C88"/>
  <c r="B88"/>
  <c r="E87"/>
  <c r="D87"/>
  <c r="C87"/>
  <c r="B87"/>
  <c r="E86"/>
  <c r="D86"/>
  <c r="C86"/>
  <c r="B86"/>
  <c r="E85"/>
  <c r="D85"/>
  <c r="C85"/>
  <c r="B85"/>
  <c r="E84"/>
  <c r="D84"/>
  <c r="C84"/>
  <c r="B84"/>
  <c r="E83"/>
  <c r="D83"/>
  <c r="C83"/>
  <c r="B83"/>
  <c r="E82"/>
  <c r="D82"/>
  <c r="C82"/>
  <c r="B82"/>
  <c r="E81"/>
  <c r="D81"/>
  <c r="C81"/>
  <c r="B81"/>
  <c r="E80"/>
  <c r="D80"/>
  <c r="C80"/>
  <c r="B80"/>
  <c r="E79"/>
  <c r="D79"/>
  <c r="C79"/>
  <c r="B79"/>
  <c r="E78"/>
  <c r="D78"/>
  <c r="C78"/>
  <c r="B78"/>
  <c r="E77"/>
  <c r="D77"/>
  <c r="C77"/>
  <c r="B77"/>
  <c r="E76"/>
  <c r="D76"/>
  <c r="C76"/>
  <c r="B76"/>
  <c r="E75"/>
  <c r="D75"/>
  <c r="C75"/>
  <c r="B75"/>
  <c r="E74"/>
  <c r="D74"/>
  <c r="C74"/>
  <c r="B74"/>
  <c r="E73"/>
  <c r="D73"/>
  <c r="C73"/>
  <c r="B73"/>
  <c r="E72"/>
  <c r="D72"/>
  <c r="C72"/>
  <c r="B72"/>
  <c r="E71"/>
  <c r="D71"/>
  <c r="C71"/>
  <c r="B71"/>
  <c r="E70"/>
  <c r="D70"/>
  <c r="C70"/>
  <c r="B70"/>
  <c r="E69"/>
  <c r="D69"/>
  <c r="C69"/>
  <c r="B69"/>
  <c r="E68"/>
  <c r="D68"/>
  <c r="C68"/>
  <c r="B68"/>
  <c r="E67"/>
  <c r="D67"/>
  <c r="C67"/>
  <c r="B67"/>
  <c r="E66"/>
  <c r="D66"/>
  <c r="C66"/>
  <c r="B66"/>
  <c r="E65"/>
  <c r="D65"/>
  <c r="C65"/>
  <c r="B65"/>
  <c r="E64"/>
  <c r="D64"/>
  <c r="C64"/>
  <c r="B64"/>
  <c r="E63"/>
  <c r="D63"/>
  <c r="C63"/>
  <c r="B63"/>
  <c r="G62"/>
  <c r="E62"/>
  <c r="D62"/>
  <c r="C62"/>
  <c r="B62"/>
  <c r="E61"/>
  <c r="D61"/>
  <c r="C61"/>
  <c r="B61"/>
  <c r="E60"/>
  <c r="D60"/>
  <c r="C60"/>
  <c r="B60"/>
  <c r="E59"/>
  <c r="D59"/>
  <c r="C59"/>
  <c r="B59"/>
  <c r="E58"/>
  <c r="D58"/>
  <c r="C58"/>
  <c r="B58"/>
  <c r="E57"/>
  <c r="D57"/>
  <c r="C57"/>
  <c r="B57"/>
  <c r="E56"/>
  <c r="D56"/>
  <c r="C56"/>
  <c r="B56"/>
  <c r="E55"/>
  <c r="D55"/>
  <c r="C55"/>
  <c r="B55"/>
  <c r="E54"/>
  <c r="D54"/>
  <c r="C54"/>
  <c r="B54"/>
  <c r="E53"/>
  <c r="D53"/>
  <c r="C53"/>
  <c r="B53"/>
  <c r="G52"/>
  <c r="F52"/>
  <c r="E52"/>
  <c r="D52"/>
  <c r="C52"/>
  <c r="B52"/>
  <c r="E51"/>
  <c r="D51"/>
  <c r="C51"/>
  <c r="B51"/>
  <c r="E36"/>
  <c r="D36"/>
  <c r="C36"/>
  <c r="B36"/>
  <c r="E35"/>
  <c r="D35"/>
  <c r="C35"/>
  <c r="B35"/>
  <c r="E34"/>
  <c r="D34"/>
  <c r="C34"/>
  <c r="B34"/>
  <c r="E33"/>
  <c r="D33"/>
  <c r="C33"/>
  <c r="B33"/>
  <c r="E32"/>
  <c r="D32"/>
  <c r="C32"/>
  <c r="B32"/>
  <c r="E31"/>
  <c r="D31"/>
  <c r="C31"/>
  <c r="B31"/>
  <c r="E30"/>
  <c r="D30"/>
  <c r="C30"/>
  <c r="B30"/>
  <c r="E29"/>
  <c r="D29"/>
  <c r="C29"/>
  <c r="B29"/>
  <c r="E28"/>
  <c r="D28"/>
  <c r="C28"/>
  <c r="B28"/>
  <c r="E27"/>
  <c r="D27"/>
  <c r="C27"/>
  <c r="B27"/>
  <c r="E26"/>
  <c r="D26"/>
  <c r="C26"/>
  <c r="B26"/>
  <c r="E25"/>
  <c r="D25"/>
  <c r="C25"/>
  <c r="B25"/>
  <c r="E24"/>
  <c r="D24"/>
  <c r="C24"/>
  <c r="B24"/>
  <c r="E23"/>
  <c r="D23"/>
  <c r="C23"/>
  <c r="B23"/>
  <c r="E22"/>
  <c r="D22"/>
  <c r="C22"/>
  <c r="B22"/>
  <c r="E21"/>
  <c r="D21"/>
  <c r="C21"/>
  <c r="B21"/>
  <c r="E20"/>
  <c r="D20"/>
  <c r="C20"/>
  <c r="B20"/>
  <c r="E19"/>
  <c r="D19"/>
  <c r="C19"/>
  <c r="B19"/>
  <c r="E18"/>
  <c r="D18"/>
  <c r="C18"/>
  <c r="B18"/>
  <c r="E17"/>
  <c r="D17"/>
  <c r="C17"/>
  <c r="B17"/>
  <c r="E16"/>
  <c r="D16"/>
  <c r="C16"/>
  <c r="B16"/>
  <c r="E15"/>
  <c r="D15"/>
  <c r="C15"/>
  <c r="B15"/>
  <c r="E14"/>
  <c r="D14"/>
  <c r="C14"/>
  <c r="B14"/>
  <c r="B24" i="39"/>
  <c r="C24"/>
  <c r="D24"/>
  <c r="E24"/>
  <c r="F24"/>
  <c r="E414" i="40"/>
  <c r="D414"/>
  <c r="C414"/>
  <c r="B414"/>
  <c r="E413"/>
  <c r="D413"/>
  <c r="C413"/>
  <c r="B413"/>
  <c r="E412"/>
  <c r="D412"/>
  <c r="C412"/>
  <c r="B412"/>
  <c r="E411"/>
  <c r="D411"/>
  <c r="C411"/>
  <c r="B411"/>
  <c r="E410"/>
  <c r="D410"/>
  <c r="C410"/>
  <c r="B410"/>
  <c r="E409"/>
  <c r="D409"/>
  <c r="C409"/>
  <c r="B409"/>
  <c r="E408"/>
  <c r="D408"/>
  <c r="C408"/>
  <c r="B408"/>
  <c r="E407"/>
  <c r="D407"/>
  <c r="C407"/>
  <c r="B407"/>
  <c r="E406"/>
  <c r="D406"/>
  <c r="C406"/>
  <c r="B406"/>
  <c r="E405"/>
  <c r="D405"/>
  <c r="C405"/>
  <c r="B405"/>
  <c r="E404"/>
  <c r="D404"/>
  <c r="C404"/>
  <c r="B404"/>
  <c r="E403"/>
  <c r="D403"/>
  <c r="C403"/>
  <c r="B403"/>
  <c r="E402"/>
  <c r="D402"/>
  <c r="C402"/>
  <c r="B402"/>
  <c r="E401"/>
  <c r="D401"/>
  <c r="C401"/>
  <c r="B401"/>
  <c r="E400"/>
  <c r="D400"/>
  <c r="C400"/>
  <c r="B400"/>
  <c r="E399"/>
  <c r="D399"/>
  <c r="C399"/>
  <c r="B399"/>
  <c r="E398"/>
  <c r="D398"/>
  <c r="C398"/>
  <c r="B398"/>
  <c r="E397"/>
  <c r="D397"/>
  <c r="C397"/>
  <c r="B397"/>
  <c r="E396"/>
  <c r="D396"/>
  <c r="C396"/>
  <c r="B396"/>
  <c r="E395"/>
  <c r="D395"/>
  <c r="C395"/>
  <c r="B395"/>
  <c r="E394"/>
  <c r="D394"/>
  <c r="C394"/>
  <c r="B394"/>
  <c r="E393"/>
  <c r="D393"/>
  <c r="C393"/>
  <c r="B393"/>
  <c r="E392"/>
  <c r="D392"/>
  <c r="C392"/>
  <c r="B392"/>
  <c r="E391"/>
  <c r="D391"/>
  <c r="C391"/>
  <c r="B391"/>
  <c r="E390"/>
  <c r="D390"/>
  <c r="C390"/>
  <c r="B390"/>
  <c r="E389"/>
  <c r="D389"/>
  <c r="C389"/>
  <c r="B389"/>
  <c r="E388"/>
  <c r="D388"/>
  <c r="C388"/>
  <c r="B388"/>
  <c r="E387"/>
  <c r="D387"/>
  <c r="C387"/>
  <c r="B387"/>
  <c r="E386"/>
  <c r="D386"/>
  <c r="C386"/>
  <c r="B386"/>
  <c r="E385"/>
  <c r="D385"/>
  <c r="C385"/>
  <c r="B385"/>
  <c r="E384"/>
  <c r="D384"/>
  <c r="C384"/>
  <c r="B384"/>
  <c r="E383"/>
  <c r="D383"/>
  <c r="C383"/>
  <c r="B383"/>
  <c r="E382"/>
  <c r="D382"/>
  <c r="C382"/>
  <c r="B382"/>
  <c r="E381"/>
  <c r="D381"/>
  <c r="C381"/>
  <c r="B381"/>
  <c r="E380"/>
  <c r="D380"/>
  <c r="C380"/>
  <c r="B380"/>
  <c r="E379"/>
  <c r="D379"/>
  <c r="C379"/>
  <c r="B379"/>
  <c r="E378"/>
  <c r="D378"/>
  <c r="C378"/>
  <c r="B378"/>
  <c r="E377"/>
  <c r="D377"/>
  <c r="C377"/>
  <c r="B377"/>
  <c r="E376"/>
  <c r="D376"/>
  <c r="C376"/>
  <c r="B376"/>
  <c r="E375"/>
  <c r="D375"/>
  <c r="C375"/>
  <c r="B375"/>
  <c r="E374"/>
  <c r="D374"/>
  <c r="C374"/>
  <c r="B374"/>
  <c r="E373"/>
  <c r="D373"/>
  <c r="C373"/>
  <c r="B373"/>
  <c r="E372"/>
  <c r="D372"/>
  <c r="C372"/>
  <c r="B372"/>
  <c r="E371"/>
  <c r="D371"/>
  <c r="C371"/>
  <c r="B371"/>
  <c r="E370"/>
  <c r="D370"/>
  <c r="C370"/>
  <c r="B370"/>
  <c r="E369"/>
  <c r="D369"/>
  <c r="C369"/>
  <c r="B369"/>
  <c r="E368"/>
  <c r="D368"/>
  <c r="C368"/>
  <c r="B368"/>
  <c r="E367"/>
  <c r="D367"/>
  <c r="C367"/>
  <c r="B367"/>
  <c r="E366"/>
  <c r="D366"/>
  <c r="C366"/>
  <c r="B366"/>
  <c r="E365"/>
  <c r="D365"/>
  <c r="C365"/>
  <c r="B365"/>
  <c r="E364"/>
  <c r="D364"/>
  <c r="C364"/>
  <c r="B364"/>
  <c r="E363"/>
  <c r="D363"/>
  <c r="C363"/>
  <c r="B363"/>
  <c r="E362"/>
  <c r="D362"/>
  <c r="C362"/>
  <c r="B362"/>
  <c r="E361"/>
  <c r="D361"/>
  <c r="C361"/>
  <c r="B361"/>
  <c r="E360"/>
  <c r="D360"/>
  <c r="C360"/>
  <c r="B360"/>
  <c r="E359"/>
  <c r="D359"/>
  <c r="C359"/>
  <c r="B359"/>
  <c r="E358"/>
  <c r="D358"/>
  <c r="C358"/>
  <c r="B358"/>
  <c r="E357"/>
  <c r="D357"/>
  <c r="C357"/>
  <c r="B357"/>
  <c r="E356"/>
  <c r="D356"/>
  <c r="C356"/>
  <c r="B356"/>
  <c r="E355"/>
  <c r="D355"/>
  <c r="C355"/>
  <c r="B355"/>
  <c r="E354"/>
  <c r="D354"/>
  <c r="C354"/>
  <c r="B354"/>
  <c r="E353"/>
  <c r="D353"/>
  <c r="C353"/>
  <c r="B353"/>
  <c r="E352"/>
  <c r="D352"/>
  <c r="C352"/>
  <c r="B352"/>
  <c r="E351"/>
  <c r="D351"/>
  <c r="C351"/>
  <c r="B351"/>
  <c r="E350"/>
  <c r="D350"/>
  <c r="C350"/>
  <c r="B350"/>
  <c r="E349"/>
  <c r="D349"/>
  <c r="C349"/>
  <c r="B349"/>
  <c r="E348"/>
  <c r="D348"/>
  <c r="C348"/>
  <c r="B348"/>
  <c r="E347"/>
  <c r="D347"/>
  <c r="C347"/>
  <c r="B347"/>
  <c r="E346"/>
  <c r="D346"/>
  <c r="C346"/>
  <c r="B346"/>
  <c r="E345"/>
  <c r="D345"/>
  <c r="C345"/>
  <c r="B345"/>
  <c r="E344"/>
  <c r="D344"/>
  <c r="C344"/>
  <c r="B344"/>
  <c r="E343"/>
  <c r="D343"/>
  <c r="C343"/>
  <c r="B343"/>
  <c r="E342"/>
  <c r="D342"/>
  <c r="C342"/>
  <c r="B342"/>
  <c r="E341"/>
  <c r="D341"/>
  <c r="C341"/>
  <c r="B341"/>
  <c r="E340"/>
  <c r="D340"/>
  <c r="C340"/>
  <c r="B340"/>
  <c r="E339"/>
  <c r="D339"/>
  <c r="C339"/>
  <c r="B339"/>
  <c r="E338"/>
  <c r="D338"/>
  <c r="C338"/>
  <c r="B338"/>
  <c r="E337"/>
  <c r="D337"/>
  <c r="C337"/>
  <c r="B337"/>
  <c r="E336"/>
  <c r="D336"/>
  <c r="C336"/>
  <c r="B336"/>
  <c r="E335"/>
  <c r="D335"/>
  <c r="C335"/>
  <c r="B335"/>
  <c r="E334"/>
  <c r="D334"/>
  <c r="C334"/>
  <c r="B334"/>
  <c r="E333"/>
  <c r="D333"/>
  <c r="C333"/>
  <c r="B333"/>
  <c r="E332"/>
  <c r="D332"/>
  <c r="C332"/>
  <c r="B332"/>
  <c r="E331"/>
  <c r="D331"/>
  <c r="C331"/>
  <c r="B331"/>
  <c r="E330"/>
  <c r="D330"/>
  <c r="C330"/>
  <c r="B330"/>
  <c r="E329"/>
  <c r="D329"/>
  <c r="C329"/>
  <c r="B329"/>
  <c r="E328"/>
  <c r="D328"/>
  <c r="C328"/>
  <c r="B328"/>
  <c r="E327"/>
  <c r="D327"/>
  <c r="C327"/>
  <c r="B327"/>
  <c r="E326"/>
  <c r="D326"/>
  <c r="C326"/>
  <c r="B326"/>
  <c r="E325"/>
  <c r="D325"/>
  <c r="C325"/>
  <c r="B325"/>
  <c r="E324"/>
  <c r="D324"/>
  <c r="C324"/>
  <c r="B324"/>
  <c r="E313"/>
  <c r="D313"/>
  <c r="C313"/>
  <c r="B313"/>
  <c r="E312"/>
  <c r="D312"/>
  <c r="C312"/>
  <c r="B312"/>
  <c r="E311"/>
  <c r="D311"/>
  <c r="C311"/>
  <c r="B311"/>
  <c r="E310"/>
  <c r="D310"/>
  <c r="C310"/>
  <c r="B310"/>
  <c r="E309"/>
  <c r="D309"/>
  <c r="C309"/>
  <c r="B309"/>
  <c r="E308"/>
  <c r="D308"/>
  <c r="C308"/>
  <c r="B308"/>
  <c r="E307"/>
  <c r="D307"/>
  <c r="C307"/>
  <c r="B307"/>
  <c r="E306"/>
  <c r="D306"/>
  <c r="C306"/>
  <c r="B306"/>
  <c r="E305"/>
  <c r="D305"/>
  <c r="C305"/>
  <c r="B305"/>
  <c r="E304"/>
  <c r="D304"/>
  <c r="C304"/>
  <c r="B304"/>
  <c r="E303"/>
  <c r="D303"/>
  <c r="C303"/>
  <c r="B303"/>
  <c r="E302"/>
  <c r="D302"/>
  <c r="C302"/>
  <c r="B302"/>
  <c r="E301"/>
  <c r="D301"/>
  <c r="C301"/>
  <c r="B301"/>
  <c r="E300"/>
  <c r="D300"/>
  <c r="C300"/>
  <c r="B300"/>
  <c r="E299"/>
  <c r="D299"/>
  <c r="C299"/>
  <c r="B299"/>
  <c r="E298"/>
  <c r="D298"/>
  <c r="C298"/>
  <c r="B298"/>
  <c r="E297"/>
  <c r="D297"/>
  <c r="C297"/>
  <c r="B297"/>
  <c r="E296"/>
  <c r="D296"/>
  <c r="C296"/>
  <c r="B296"/>
  <c r="E295"/>
  <c r="D295"/>
  <c r="C295"/>
  <c r="B295"/>
  <c r="E294"/>
  <c r="D294"/>
  <c r="C294"/>
  <c r="B294"/>
  <c r="E293"/>
  <c r="D293"/>
  <c r="C293"/>
  <c r="B293"/>
  <c r="E292"/>
  <c r="D292"/>
  <c r="C292"/>
  <c r="B292"/>
  <c r="E291"/>
  <c r="D291"/>
  <c r="C291"/>
  <c r="B291"/>
  <c r="E290"/>
  <c r="D290"/>
  <c r="C290"/>
  <c r="B290"/>
  <c r="E289"/>
  <c r="D289"/>
  <c r="C289"/>
  <c r="B289"/>
  <c r="E288"/>
  <c r="D288"/>
  <c r="C288"/>
  <c r="B288"/>
  <c r="E287"/>
  <c r="D287"/>
  <c r="C287"/>
  <c r="B287"/>
  <c r="E286"/>
  <c r="D286"/>
  <c r="C286"/>
  <c r="B286"/>
  <c r="E285"/>
  <c r="D285"/>
  <c r="C285"/>
  <c r="B285"/>
  <c r="E284"/>
  <c r="D284"/>
  <c r="C284"/>
  <c r="B284"/>
  <c r="E283"/>
  <c r="D283"/>
  <c r="C283"/>
  <c r="B283"/>
  <c r="E282"/>
  <c r="D282"/>
  <c r="C282"/>
  <c r="B282"/>
  <c r="E281"/>
  <c r="D281"/>
  <c r="C281"/>
  <c r="B281"/>
  <c r="E280"/>
  <c r="D280"/>
  <c r="C280"/>
  <c r="B280"/>
  <c r="E279"/>
  <c r="D279"/>
  <c r="C279"/>
  <c r="B279"/>
  <c r="E278"/>
  <c r="D278"/>
  <c r="C278"/>
  <c r="B278"/>
  <c r="E277"/>
  <c r="D277"/>
  <c r="C277"/>
  <c r="B277"/>
  <c r="E276"/>
  <c r="D276"/>
  <c r="C276"/>
  <c r="B276"/>
  <c r="E275"/>
  <c r="D275"/>
  <c r="C275"/>
  <c r="B275"/>
  <c r="E274"/>
  <c r="D274"/>
  <c r="C274"/>
  <c r="B274"/>
  <c r="E273"/>
  <c r="D273"/>
  <c r="C273"/>
  <c r="B273"/>
  <c r="E272"/>
  <c r="D272"/>
  <c r="C272"/>
  <c r="B272"/>
  <c r="E271"/>
  <c r="D271"/>
  <c r="C271"/>
  <c r="B271"/>
  <c r="E270"/>
  <c r="D270"/>
  <c r="C270"/>
  <c r="B270"/>
  <c r="E269"/>
  <c r="D269"/>
  <c r="C269"/>
  <c r="B269"/>
  <c r="E268"/>
  <c r="D268"/>
  <c r="C268"/>
  <c r="B268"/>
  <c r="E267"/>
  <c r="D267"/>
  <c r="C267"/>
  <c r="B267"/>
  <c r="E266"/>
  <c r="D266"/>
  <c r="C266"/>
  <c r="B266"/>
  <c r="E265"/>
  <c r="D265"/>
  <c r="C265"/>
  <c r="B265"/>
  <c r="E264"/>
  <c r="D264"/>
  <c r="C264"/>
  <c r="B264"/>
  <c r="E263"/>
  <c r="D263"/>
  <c r="C263"/>
  <c r="B263"/>
  <c r="E262"/>
  <c r="D262"/>
  <c r="C262"/>
  <c r="B262"/>
  <c r="E261"/>
  <c r="D261"/>
  <c r="C261"/>
  <c r="B261"/>
  <c r="E260"/>
  <c r="D260"/>
  <c r="C260"/>
  <c r="B260"/>
  <c r="E259"/>
  <c r="D259"/>
  <c r="C259"/>
  <c r="B259"/>
  <c r="E258"/>
  <c r="D258"/>
  <c r="C258"/>
  <c r="B258"/>
  <c r="E257"/>
  <c r="D257"/>
  <c r="C257"/>
  <c r="B257"/>
  <c r="E256"/>
  <c r="D256"/>
  <c r="C256"/>
  <c r="B256"/>
  <c r="E255"/>
  <c r="D255"/>
  <c r="C255"/>
  <c r="B255"/>
  <c r="E254"/>
  <c r="D254"/>
  <c r="C254"/>
  <c r="B254"/>
  <c r="E253"/>
  <c r="D253"/>
  <c r="C253"/>
  <c r="B253"/>
  <c r="E252"/>
  <c r="D252"/>
  <c r="C252"/>
  <c r="B252"/>
  <c r="E251"/>
  <c r="D251"/>
  <c r="C251"/>
  <c r="B251"/>
  <c r="E250"/>
  <c r="D250"/>
  <c r="C250"/>
  <c r="B250"/>
  <c r="E249"/>
  <c r="D249"/>
  <c r="C249"/>
  <c r="B249"/>
  <c r="E248"/>
  <c r="D248"/>
  <c r="C248"/>
  <c r="B248"/>
  <c r="E247"/>
  <c r="D247"/>
  <c r="C247"/>
  <c r="B247"/>
  <c r="E246"/>
  <c r="D246"/>
  <c r="C246"/>
  <c r="B246"/>
  <c r="E245"/>
  <c r="D245"/>
  <c r="C245"/>
  <c r="B245"/>
  <c r="E244"/>
  <c r="D244"/>
  <c r="C244"/>
  <c r="B244"/>
  <c r="E243"/>
  <c r="D243"/>
  <c r="C243"/>
  <c r="B243"/>
  <c r="E242"/>
  <c r="D242"/>
  <c r="C242"/>
  <c r="B242"/>
  <c r="E241"/>
  <c r="D241"/>
  <c r="C241"/>
  <c r="B241"/>
  <c r="E240"/>
  <c r="D240"/>
  <c r="C240"/>
  <c r="B240"/>
  <c r="E239"/>
  <c r="D239"/>
  <c r="C239"/>
  <c r="B239"/>
  <c r="E238"/>
  <c r="D238"/>
  <c r="C238"/>
  <c r="B238"/>
  <c r="E237"/>
  <c r="D237"/>
  <c r="C237"/>
  <c r="B237"/>
  <c r="E236"/>
  <c r="D236"/>
  <c r="C236"/>
  <c r="B236"/>
  <c r="E235"/>
  <c r="D235"/>
  <c r="C235"/>
  <c r="B235"/>
  <c r="E234"/>
  <c r="D234"/>
  <c r="C234"/>
  <c r="B234"/>
  <c r="E233"/>
  <c r="D233"/>
  <c r="C233"/>
  <c r="B233"/>
  <c r="E232"/>
  <c r="D232"/>
  <c r="C232"/>
  <c r="B232"/>
  <c r="E231"/>
  <c r="D231"/>
  <c r="C231"/>
  <c r="B231"/>
  <c r="E230"/>
  <c r="D230"/>
  <c r="C230"/>
  <c r="B230"/>
  <c r="E229"/>
  <c r="D229"/>
  <c r="C229"/>
  <c r="B229"/>
  <c r="E228"/>
  <c r="D228"/>
  <c r="C228"/>
  <c r="B228"/>
  <c r="E227"/>
  <c r="D227"/>
  <c r="C227"/>
  <c r="B227"/>
  <c r="E226"/>
  <c r="D226"/>
  <c r="C226"/>
  <c r="B226"/>
  <c r="E225"/>
  <c r="D225"/>
  <c r="C225"/>
  <c r="B225"/>
  <c r="E224"/>
  <c r="D224"/>
  <c r="C224"/>
  <c r="B224"/>
  <c r="E223"/>
  <c r="D223"/>
  <c r="C223"/>
  <c r="B223"/>
  <c r="E222"/>
  <c r="D222"/>
  <c r="C222"/>
  <c r="B222"/>
  <c r="E221"/>
  <c r="D221"/>
  <c r="C221"/>
  <c r="B221"/>
  <c r="E220"/>
  <c r="D220"/>
  <c r="C220"/>
  <c r="B220"/>
  <c r="E219"/>
  <c r="D219"/>
  <c r="C219"/>
  <c r="B219"/>
  <c r="E218"/>
  <c r="D218"/>
  <c r="C218"/>
  <c r="B218"/>
  <c r="E217"/>
  <c r="D217"/>
  <c r="C217"/>
  <c r="B217"/>
  <c r="E216"/>
  <c r="D216"/>
  <c r="C216"/>
  <c r="B216"/>
  <c r="E215"/>
  <c r="D215"/>
  <c r="C215"/>
  <c r="B215"/>
  <c r="E214"/>
  <c r="D214"/>
  <c r="C214"/>
  <c r="B214"/>
  <c r="E213"/>
  <c r="D213"/>
  <c r="C213"/>
  <c r="B213"/>
  <c r="E212"/>
  <c r="D212"/>
  <c r="C212"/>
  <c r="B212"/>
  <c r="E211"/>
  <c r="D211"/>
  <c r="C211"/>
  <c r="B211"/>
  <c r="E210"/>
  <c r="D210"/>
  <c r="C210"/>
  <c r="B210"/>
  <c r="E209"/>
  <c r="D209"/>
  <c r="C209"/>
  <c r="B209"/>
  <c r="E208"/>
  <c r="D208"/>
  <c r="C208"/>
  <c r="B208"/>
  <c r="E207"/>
  <c r="D207"/>
  <c r="C207"/>
  <c r="B207"/>
  <c r="E206"/>
  <c r="D206"/>
  <c r="C206"/>
  <c r="B206"/>
  <c r="E205"/>
  <c r="D205"/>
  <c r="C205"/>
  <c r="B205"/>
  <c r="E204"/>
  <c r="D204"/>
  <c r="C204"/>
  <c r="B204"/>
  <c r="E203"/>
  <c r="D203"/>
  <c r="C203"/>
  <c r="B203"/>
  <c r="E202"/>
  <c r="D202"/>
  <c r="C202"/>
  <c r="B202"/>
  <c r="E201"/>
  <c r="D201"/>
  <c r="C201"/>
  <c r="B201"/>
  <c r="E200"/>
  <c r="D200"/>
  <c r="C200"/>
  <c r="B200"/>
  <c r="E199"/>
  <c r="D199"/>
  <c r="C199"/>
  <c r="B199"/>
  <c r="E198"/>
  <c r="D198"/>
  <c r="C198"/>
  <c r="B198"/>
  <c r="E197"/>
  <c r="D197"/>
  <c r="C197"/>
  <c r="B197"/>
  <c r="E196"/>
  <c r="D196"/>
  <c r="C196"/>
  <c r="B196"/>
  <c r="E195"/>
  <c r="D195"/>
  <c r="C195"/>
  <c r="B195"/>
  <c r="E194"/>
  <c r="D194"/>
  <c r="C194"/>
  <c r="B194"/>
  <c r="E193"/>
  <c r="D193"/>
  <c r="C193"/>
  <c r="B193"/>
  <c r="E192"/>
  <c r="D192"/>
  <c r="C192"/>
  <c r="B192"/>
  <c r="E191"/>
  <c r="D191"/>
  <c r="C191"/>
  <c r="B191"/>
  <c r="E190"/>
  <c r="D190"/>
  <c r="C190"/>
  <c r="B190"/>
  <c r="E189"/>
  <c r="D189"/>
  <c r="C189"/>
  <c r="B189"/>
  <c r="E188"/>
  <c r="D188"/>
  <c r="C188"/>
  <c r="B188"/>
  <c r="E187"/>
  <c r="D187"/>
  <c r="C187"/>
  <c r="B187"/>
  <c r="E186"/>
  <c r="D186"/>
  <c r="C186"/>
  <c r="B186"/>
  <c r="E185"/>
  <c r="D185"/>
  <c r="C185"/>
  <c r="B185"/>
  <c r="E184"/>
  <c r="D184"/>
  <c r="C184"/>
  <c r="B184"/>
  <c r="E183"/>
  <c r="D183"/>
  <c r="C183"/>
  <c r="B183"/>
  <c r="E182"/>
  <c r="D182"/>
  <c r="C182"/>
  <c r="B182"/>
  <c r="E181"/>
  <c r="D181"/>
  <c r="C181"/>
  <c r="B181"/>
  <c r="E180"/>
  <c r="D180"/>
  <c r="C180"/>
  <c r="B180"/>
  <c r="E179"/>
  <c r="D179"/>
  <c r="C179"/>
  <c r="B179"/>
  <c r="E178"/>
  <c r="D178"/>
  <c r="C178"/>
  <c r="B178"/>
  <c r="E177"/>
  <c r="D177"/>
  <c r="C177"/>
  <c r="B177"/>
  <c r="E176"/>
  <c r="D176"/>
  <c r="C176"/>
  <c r="B176"/>
  <c r="E175"/>
  <c r="D175"/>
  <c r="C175"/>
  <c r="B175"/>
  <c r="E174"/>
  <c r="D174"/>
  <c r="C174"/>
  <c r="B174"/>
  <c r="E173"/>
  <c r="D173"/>
  <c r="C173"/>
  <c r="B173"/>
  <c r="E172"/>
  <c r="D172"/>
  <c r="C172"/>
  <c r="B172"/>
  <c r="E171"/>
  <c r="D171"/>
  <c r="C171"/>
  <c r="B171"/>
  <c r="E170"/>
  <c r="D170"/>
  <c r="C170"/>
  <c r="B170"/>
  <c r="E169"/>
  <c r="D169"/>
  <c r="C169"/>
  <c r="B169"/>
  <c r="E168"/>
  <c r="D168"/>
  <c r="C168"/>
  <c r="B168"/>
  <c r="E167"/>
  <c r="D167"/>
  <c r="C167"/>
  <c r="B167"/>
  <c r="E166"/>
  <c r="D166"/>
  <c r="C166"/>
  <c r="B166"/>
  <c r="E165"/>
  <c r="D165"/>
  <c r="C165"/>
  <c r="B165"/>
  <c r="E164"/>
  <c r="D164"/>
  <c r="C164"/>
  <c r="B164"/>
  <c r="E163"/>
  <c r="D163"/>
  <c r="C163"/>
  <c r="B163"/>
  <c r="E162"/>
  <c r="D162"/>
  <c r="C162"/>
  <c r="B162"/>
  <c r="E161"/>
  <c r="D161"/>
  <c r="C161"/>
  <c r="B161"/>
  <c r="E160"/>
  <c r="D160"/>
  <c r="C160"/>
  <c r="B160"/>
  <c r="E159"/>
  <c r="D159"/>
  <c r="C159"/>
  <c r="B159"/>
  <c r="E158"/>
  <c r="D158"/>
  <c r="C158"/>
  <c r="B158"/>
  <c r="E157"/>
  <c r="D157"/>
  <c r="C157"/>
  <c r="B157"/>
  <c r="E156"/>
  <c r="D156"/>
  <c r="C156"/>
  <c r="B156"/>
  <c r="E155"/>
  <c r="D155"/>
  <c r="C155"/>
  <c r="B155"/>
  <c r="E154"/>
  <c r="D154"/>
  <c r="C154"/>
  <c r="B154"/>
  <c r="E153"/>
  <c r="D153"/>
  <c r="C153"/>
  <c r="B153"/>
  <c r="E152"/>
  <c r="D152"/>
  <c r="C152"/>
  <c r="B152"/>
  <c r="E151"/>
  <c r="D151"/>
  <c r="C151"/>
  <c r="B151"/>
  <c r="E150"/>
  <c r="D150"/>
  <c r="C150"/>
  <c r="B150"/>
  <c r="E149"/>
  <c r="D149"/>
  <c r="C149"/>
  <c r="B149"/>
  <c r="E148"/>
  <c r="D148"/>
  <c r="C148"/>
  <c r="B148"/>
  <c r="E147"/>
  <c r="D147"/>
  <c r="C147"/>
  <c r="B147"/>
  <c r="E146"/>
  <c r="D146"/>
  <c r="C146"/>
  <c r="B146"/>
  <c r="E145"/>
  <c r="D145"/>
  <c r="C145"/>
  <c r="B145"/>
  <c r="E144"/>
  <c r="D144"/>
  <c r="C144"/>
  <c r="B144"/>
  <c r="E143"/>
  <c r="D143"/>
  <c r="C143"/>
  <c r="B143"/>
  <c r="E142"/>
  <c r="D142"/>
  <c r="C142"/>
  <c r="B142"/>
  <c r="E141"/>
  <c r="D141"/>
  <c r="C141"/>
  <c r="B141"/>
  <c r="E140"/>
  <c r="D140"/>
  <c r="C140"/>
  <c r="B140"/>
  <c r="E139"/>
  <c r="D139"/>
  <c r="C139"/>
  <c r="B139"/>
  <c r="E138"/>
  <c r="D138"/>
  <c r="C138"/>
  <c r="B138"/>
  <c r="E137"/>
  <c r="D137"/>
  <c r="C137"/>
  <c r="B137"/>
  <c r="E136"/>
  <c r="D136"/>
  <c r="C136"/>
  <c r="B136"/>
  <c r="E135"/>
  <c r="D135"/>
  <c r="C135"/>
  <c r="B135"/>
  <c r="E134"/>
  <c r="D134"/>
  <c r="C134"/>
  <c r="B134"/>
  <c r="E133"/>
  <c r="D133"/>
  <c r="C133"/>
  <c r="B133"/>
  <c r="E132"/>
  <c r="D132"/>
  <c r="C132"/>
  <c r="B132"/>
  <c r="E131"/>
  <c r="D131"/>
  <c r="C131"/>
  <c r="B131"/>
  <c r="E130"/>
  <c r="D130"/>
  <c r="C130"/>
  <c r="B130"/>
  <c r="E129"/>
  <c r="D129"/>
  <c r="C129"/>
  <c r="B129"/>
  <c r="E128"/>
  <c r="D128"/>
  <c r="C128"/>
  <c r="B128"/>
  <c r="E127"/>
  <c r="D127"/>
  <c r="C127"/>
  <c r="B127"/>
  <c r="E126"/>
  <c r="D126"/>
  <c r="C126"/>
  <c r="B126"/>
  <c r="E125"/>
  <c r="D125"/>
  <c r="C125"/>
  <c r="B125"/>
  <c r="E124"/>
  <c r="D124"/>
  <c r="C124"/>
  <c r="B124"/>
  <c r="E123"/>
  <c r="D123"/>
  <c r="C123"/>
  <c r="B123"/>
  <c r="E122"/>
  <c r="D122"/>
  <c r="C122"/>
  <c r="B122"/>
  <c r="E121"/>
  <c r="D121"/>
  <c r="C121"/>
  <c r="B121"/>
  <c r="E120"/>
  <c r="D120"/>
  <c r="C120"/>
  <c r="B120"/>
  <c r="E119"/>
  <c r="D119"/>
  <c r="C119"/>
  <c r="B119"/>
  <c r="E118"/>
  <c r="D118"/>
  <c r="C118"/>
  <c r="B118"/>
  <c r="E117"/>
  <c r="D117"/>
  <c r="C117"/>
  <c r="B117"/>
  <c r="E116"/>
  <c r="D116"/>
  <c r="C116"/>
  <c r="B116"/>
  <c r="E115"/>
  <c r="D115"/>
  <c r="C115"/>
  <c r="B115"/>
  <c r="E114"/>
  <c r="D114"/>
  <c r="C114"/>
  <c r="B114"/>
  <c r="E113"/>
  <c r="D113"/>
  <c r="C113"/>
  <c r="B113"/>
  <c r="E112"/>
  <c r="D112"/>
  <c r="C112"/>
  <c r="B112"/>
  <c r="E111"/>
  <c r="D111"/>
  <c r="C111"/>
  <c r="B111"/>
  <c r="E110"/>
  <c r="D110"/>
  <c r="C110"/>
  <c r="B110"/>
  <c r="E109"/>
  <c r="D109"/>
  <c r="C109"/>
  <c r="B109"/>
  <c r="E108"/>
  <c r="D108"/>
  <c r="C108"/>
  <c r="B108"/>
  <c r="E107"/>
  <c r="D107"/>
  <c r="C107"/>
  <c r="B107"/>
  <c r="E106"/>
  <c r="D106"/>
  <c r="C106"/>
  <c r="B106"/>
  <c r="E105"/>
  <c r="D105"/>
  <c r="C105"/>
  <c r="B105"/>
  <c r="E104"/>
  <c r="D104"/>
  <c r="C104"/>
  <c r="B104"/>
  <c r="E103"/>
  <c r="D103"/>
  <c r="C103"/>
  <c r="B103"/>
  <c r="E102"/>
  <c r="D102"/>
  <c r="C102"/>
  <c r="B102"/>
  <c r="E101"/>
  <c r="D101"/>
  <c r="C101"/>
  <c r="B101"/>
  <c r="E100"/>
  <c r="D100"/>
  <c r="C100"/>
  <c r="B100"/>
  <c r="E99"/>
  <c r="D99"/>
  <c r="C99"/>
  <c r="B99"/>
  <c r="E98"/>
  <c r="D98"/>
  <c r="C98"/>
  <c r="B98"/>
  <c r="E97"/>
  <c r="D97"/>
  <c r="C97"/>
  <c r="B97"/>
  <c r="E96"/>
  <c r="D96"/>
  <c r="C96"/>
  <c r="B96"/>
  <c r="E95"/>
  <c r="D95"/>
  <c r="C95"/>
  <c r="B95"/>
  <c r="E94"/>
  <c r="D94"/>
  <c r="C94"/>
  <c r="B94"/>
  <c r="E93"/>
  <c r="D93"/>
  <c r="C93"/>
  <c r="B93"/>
  <c r="E92"/>
  <c r="D92"/>
  <c r="C92"/>
  <c r="B92"/>
  <c r="E91"/>
  <c r="D91"/>
  <c r="C91"/>
  <c r="B91"/>
  <c r="E90"/>
  <c r="D90"/>
  <c r="C90"/>
  <c r="B90"/>
  <c r="E89"/>
  <c r="D89"/>
  <c r="C89"/>
  <c r="B89"/>
  <c r="E88"/>
  <c r="D88"/>
  <c r="C88"/>
  <c r="B88"/>
  <c r="E87"/>
  <c r="D87"/>
  <c r="C87"/>
  <c r="B87"/>
  <c r="E86"/>
  <c r="D86"/>
  <c r="C86"/>
  <c r="B86"/>
  <c r="E85"/>
  <c r="D85"/>
  <c r="C85"/>
  <c r="B85"/>
  <c r="E84"/>
  <c r="D84"/>
  <c r="C84"/>
  <c r="B84"/>
  <c r="E83"/>
  <c r="D83"/>
  <c r="C83"/>
  <c r="B83"/>
  <c r="E82"/>
  <c r="D82"/>
  <c r="C82"/>
  <c r="B82"/>
  <c r="E81"/>
  <c r="D81"/>
  <c r="C81"/>
  <c r="B81"/>
  <c r="E80"/>
  <c r="D80"/>
  <c r="C80"/>
  <c r="B80"/>
  <c r="E79"/>
  <c r="D79"/>
  <c r="C79"/>
  <c r="B79"/>
  <c r="E78"/>
  <c r="D78"/>
  <c r="C78"/>
  <c r="B78"/>
  <c r="E77"/>
  <c r="D77"/>
  <c r="C77"/>
  <c r="B77"/>
  <c r="E76"/>
  <c r="D76"/>
  <c r="C76"/>
  <c r="B76"/>
  <c r="E75"/>
  <c r="D75"/>
  <c r="C75"/>
  <c r="B75"/>
  <c r="E74"/>
  <c r="D74"/>
  <c r="C74"/>
  <c r="B74"/>
  <c r="E73"/>
  <c r="D73"/>
  <c r="C73"/>
  <c r="B73"/>
  <c r="E72"/>
  <c r="D72"/>
  <c r="C72"/>
  <c r="B72"/>
  <c r="E71"/>
  <c r="D71"/>
  <c r="C71"/>
  <c r="B71"/>
  <c r="E70"/>
  <c r="D70"/>
  <c r="C70"/>
  <c r="B70"/>
  <c r="E69"/>
  <c r="D69"/>
  <c r="C69"/>
  <c r="B69"/>
  <c r="E68"/>
  <c r="D68"/>
  <c r="C68"/>
  <c r="B68"/>
  <c r="E67"/>
  <c r="D67"/>
  <c r="C67"/>
  <c r="B67"/>
  <c r="E66"/>
  <c r="D66"/>
  <c r="C66"/>
  <c r="B66"/>
  <c r="E65"/>
  <c r="D65"/>
  <c r="C65"/>
  <c r="B65"/>
  <c r="E64"/>
  <c r="D64"/>
  <c r="C64"/>
  <c r="B64"/>
  <c r="E63"/>
  <c r="D63"/>
  <c r="C63"/>
  <c r="B63"/>
  <c r="E62"/>
  <c r="D62"/>
  <c r="C62"/>
  <c r="B62"/>
  <c r="E61"/>
  <c r="D61"/>
  <c r="C61"/>
  <c r="B61"/>
  <c r="E60"/>
  <c r="D60"/>
  <c r="C60"/>
  <c r="B60"/>
  <c r="E59"/>
  <c r="D59"/>
  <c r="C59"/>
  <c r="B59"/>
  <c r="E58"/>
  <c r="D58"/>
  <c r="C58"/>
  <c r="B58"/>
  <c r="E57"/>
  <c r="D57"/>
  <c r="C57"/>
  <c r="B57"/>
  <c r="E56"/>
  <c r="D56"/>
  <c r="C56"/>
  <c r="B56"/>
  <c r="E55"/>
  <c r="D55"/>
  <c r="C55"/>
  <c r="B55"/>
  <c r="E54"/>
  <c r="D54"/>
  <c r="C54"/>
  <c r="B54"/>
  <c r="E53"/>
  <c r="D53"/>
  <c r="C53"/>
  <c r="B53"/>
  <c r="E52"/>
  <c r="D52"/>
  <c r="C52"/>
  <c r="B52"/>
  <c r="E51"/>
  <c r="D51"/>
  <c r="C51"/>
  <c r="B51"/>
  <c r="E50"/>
  <c r="D50"/>
  <c r="C50"/>
  <c r="B50"/>
  <c r="E49"/>
  <c r="D49"/>
  <c r="C49"/>
  <c r="B49"/>
  <c r="E48"/>
  <c r="D48"/>
  <c r="C48"/>
  <c r="B48"/>
  <c r="E36"/>
  <c r="D36"/>
  <c r="C36"/>
  <c r="B36"/>
  <c r="E35"/>
  <c r="D35"/>
  <c r="C35"/>
  <c r="B35"/>
  <c r="E34"/>
  <c r="D34"/>
  <c r="C34"/>
  <c r="B34"/>
  <c r="E33"/>
  <c r="D33"/>
  <c r="C33"/>
  <c r="B33"/>
  <c r="E32"/>
  <c r="D32"/>
  <c r="C32"/>
  <c r="B32"/>
  <c r="E31"/>
  <c r="D31"/>
  <c r="C31"/>
  <c r="B31"/>
  <c r="E30"/>
  <c r="D30"/>
  <c r="C30"/>
  <c r="B30"/>
  <c r="E29"/>
  <c r="D29"/>
  <c r="C29"/>
  <c r="B29"/>
  <c r="E28"/>
  <c r="D28"/>
  <c r="C28"/>
  <c r="B28"/>
  <c r="E27"/>
  <c r="D27"/>
  <c r="C27"/>
  <c r="B27"/>
  <c r="E26"/>
  <c r="D26"/>
  <c r="C26"/>
  <c r="B26"/>
  <c r="E25"/>
  <c r="D25"/>
  <c r="C25"/>
  <c r="B25"/>
  <c r="E24"/>
  <c r="D24"/>
  <c r="C24"/>
  <c r="B24"/>
  <c r="E23"/>
  <c r="D23"/>
  <c r="C23"/>
  <c r="B23"/>
  <c r="E22"/>
  <c r="D22"/>
  <c r="C22"/>
  <c r="B22"/>
  <c r="E21"/>
  <c r="D21"/>
  <c r="C21"/>
  <c r="B21"/>
  <c r="E20"/>
  <c r="D20"/>
  <c r="C20"/>
  <c r="B20"/>
  <c r="E19"/>
  <c r="D19"/>
  <c r="C19"/>
  <c r="B19"/>
  <c r="E18"/>
  <c r="D18"/>
  <c r="C18"/>
  <c r="B18"/>
  <c r="E17"/>
  <c r="D17"/>
  <c r="C17"/>
  <c r="B17"/>
  <c r="E16"/>
  <c r="D16"/>
  <c r="C16"/>
  <c r="B16"/>
  <c r="E15"/>
  <c r="D15"/>
  <c r="C15"/>
  <c r="B15"/>
  <c r="E14"/>
  <c r="D14"/>
  <c r="C14"/>
  <c r="B14"/>
  <c r="E414" i="41"/>
  <c r="D414"/>
  <c r="C414"/>
  <c r="B414"/>
  <c r="E413"/>
  <c r="D413"/>
  <c r="C413"/>
  <c r="B413"/>
  <c r="E412"/>
  <c r="D412"/>
  <c r="C412"/>
  <c r="B412"/>
  <c r="E411"/>
  <c r="D411"/>
  <c r="C411"/>
  <c r="B411"/>
  <c r="E410"/>
  <c r="D410"/>
  <c r="C410"/>
  <c r="B410"/>
  <c r="E409"/>
  <c r="D409"/>
  <c r="C409"/>
  <c r="B409"/>
  <c r="E408"/>
  <c r="D408"/>
  <c r="C408"/>
  <c r="B408"/>
  <c r="E407"/>
  <c r="D407"/>
  <c r="C407"/>
  <c r="B407"/>
  <c r="E406"/>
  <c r="D406"/>
  <c r="C406"/>
  <c r="B406"/>
  <c r="E405"/>
  <c r="D405"/>
  <c r="C405"/>
  <c r="B405"/>
  <c r="E404"/>
  <c r="D404"/>
  <c r="C404"/>
  <c r="B404"/>
  <c r="E403"/>
  <c r="D403"/>
  <c r="C403"/>
  <c r="B403"/>
  <c r="E402"/>
  <c r="D402"/>
  <c r="C402"/>
  <c r="B402"/>
  <c r="E401"/>
  <c r="D401"/>
  <c r="C401"/>
  <c r="B401"/>
  <c r="E400"/>
  <c r="D400"/>
  <c r="C400"/>
  <c r="B400"/>
  <c r="E399"/>
  <c r="D399"/>
  <c r="C399"/>
  <c r="B399"/>
  <c r="E398"/>
  <c r="D398"/>
  <c r="C398"/>
  <c r="B398"/>
  <c r="E397"/>
  <c r="D397"/>
  <c r="C397"/>
  <c r="B397"/>
  <c r="E396"/>
  <c r="D396"/>
  <c r="C396"/>
  <c r="B396"/>
  <c r="E395"/>
  <c r="D395"/>
  <c r="C395"/>
  <c r="B395"/>
  <c r="E394"/>
  <c r="D394"/>
  <c r="C394"/>
  <c r="B394"/>
  <c r="E393"/>
  <c r="D393"/>
  <c r="C393"/>
  <c r="B393"/>
  <c r="E392"/>
  <c r="D392"/>
  <c r="C392"/>
  <c r="B392"/>
  <c r="E391"/>
  <c r="D391"/>
  <c r="C391"/>
  <c r="B391"/>
  <c r="E390"/>
  <c r="D390"/>
  <c r="C390"/>
  <c r="B390"/>
  <c r="E389"/>
  <c r="D389"/>
  <c r="C389"/>
  <c r="B389"/>
  <c r="E388"/>
  <c r="D388"/>
  <c r="C388"/>
  <c r="B388"/>
  <c r="E387"/>
  <c r="D387"/>
  <c r="C387"/>
  <c r="B387"/>
  <c r="E386"/>
  <c r="D386"/>
  <c r="C386"/>
  <c r="B386"/>
  <c r="E385"/>
  <c r="D385"/>
  <c r="C385"/>
  <c r="B385"/>
  <c r="E384"/>
  <c r="D384"/>
  <c r="C384"/>
  <c r="B384"/>
  <c r="E383"/>
  <c r="D383"/>
  <c r="C383"/>
  <c r="B383"/>
  <c r="E382"/>
  <c r="D382"/>
  <c r="C382"/>
  <c r="B382"/>
  <c r="E381"/>
  <c r="D381"/>
  <c r="C381"/>
  <c r="B381"/>
  <c r="E380"/>
  <c r="D380"/>
  <c r="C380"/>
  <c r="B380"/>
  <c r="E379"/>
  <c r="D379"/>
  <c r="C379"/>
  <c r="B379"/>
  <c r="E378"/>
  <c r="D378"/>
  <c r="C378"/>
  <c r="B378"/>
  <c r="E377"/>
  <c r="D377"/>
  <c r="C377"/>
  <c r="B377"/>
  <c r="E376"/>
  <c r="D376"/>
  <c r="C376"/>
  <c r="B376"/>
  <c r="E375"/>
  <c r="D375"/>
  <c r="C375"/>
  <c r="B375"/>
  <c r="E374"/>
  <c r="D374"/>
  <c r="C374"/>
  <c r="B374"/>
  <c r="E373"/>
  <c r="D373"/>
  <c r="C373"/>
  <c r="B373"/>
  <c r="E372"/>
  <c r="D372"/>
  <c r="C372"/>
  <c r="B372"/>
  <c r="E371"/>
  <c r="D371"/>
  <c r="C371"/>
  <c r="B371"/>
  <c r="E370"/>
  <c r="D370"/>
  <c r="C370"/>
  <c r="B370"/>
  <c r="E369"/>
  <c r="D369"/>
  <c r="C369"/>
  <c r="B369"/>
  <c r="E368"/>
  <c r="D368"/>
  <c r="C368"/>
  <c r="B368"/>
  <c r="E367"/>
  <c r="D367"/>
  <c r="C367"/>
  <c r="B367"/>
  <c r="E366"/>
  <c r="D366"/>
  <c r="C366"/>
  <c r="B366"/>
  <c r="E365"/>
  <c r="D365"/>
  <c r="C365"/>
  <c r="B365"/>
  <c r="E364"/>
  <c r="D364"/>
  <c r="C364"/>
  <c r="B364"/>
  <c r="E363"/>
  <c r="D363"/>
  <c r="C363"/>
  <c r="B363"/>
  <c r="E362"/>
  <c r="D362"/>
  <c r="C362"/>
  <c r="B362"/>
  <c r="E361"/>
  <c r="D361"/>
  <c r="C361"/>
  <c r="B361"/>
  <c r="E360"/>
  <c r="D360"/>
  <c r="C360"/>
  <c r="B360"/>
  <c r="E359"/>
  <c r="D359"/>
  <c r="C359"/>
  <c r="B359"/>
  <c r="E358"/>
  <c r="D358"/>
  <c r="C358"/>
  <c r="B358"/>
  <c r="E357"/>
  <c r="D357"/>
  <c r="C357"/>
  <c r="B357"/>
  <c r="E356"/>
  <c r="D356"/>
  <c r="C356"/>
  <c r="B356"/>
  <c r="E355"/>
  <c r="D355"/>
  <c r="C355"/>
  <c r="B355"/>
  <c r="E354"/>
  <c r="D354"/>
  <c r="C354"/>
  <c r="B354"/>
  <c r="E353"/>
  <c r="D353"/>
  <c r="C353"/>
  <c r="B353"/>
  <c r="E352"/>
  <c r="D352"/>
  <c r="C352"/>
  <c r="B352"/>
  <c r="E351"/>
  <c r="D351"/>
  <c r="C351"/>
  <c r="B351"/>
  <c r="E350"/>
  <c r="D350"/>
  <c r="C350"/>
  <c r="B350"/>
  <c r="E349"/>
  <c r="D349"/>
  <c r="C349"/>
  <c r="B349"/>
  <c r="E348"/>
  <c r="D348"/>
  <c r="C348"/>
  <c r="B348"/>
  <c r="E347"/>
  <c r="D347"/>
  <c r="C347"/>
  <c r="B347"/>
  <c r="E346"/>
  <c r="D346"/>
  <c r="C346"/>
  <c r="B346"/>
  <c r="E345"/>
  <c r="D345"/>
  <c r="C345"/>
  <c r="B345"/>
  <c r="E344"/>
  <c r="D344"/>
  <c r="C344"/>
  <c r="B344"/>
  <c r="E343"/>
  <c r="D343"/>
  <c r="C343"/>
  <c r="B343"/>
  <c r="E342"/>
  <c r="D342"/>
  <c r="C342"/>
  <c r="B342"/>
  <c r="E341"/>
  <c r="D341"/>
  <c r="C341"/>
  <c r="B341"/>
  <c r="E340"/>
  <c r="D340"/>
  <c r="C340"/>
  <c r="B340"/>
  <c r="E339"/>
  <c r="D339"/>
  <c r="C339"/>
  <c r="B339"/>
  <c r="E338"/>
  <c r="D338"/>
  <c r="C338"/>
  <c r="B338"/>
  <c r="E337"/>
  <c r="D337"/>
  <c r="C337"/>
  <c r="B337"/>
  <c r="E336"/>
  <c r="D336"/>
  <c r="C336"/>
  <c r="B336"/>
  <c r="E335"/>
  <c r="D335"/>
  <c r="C335"/>
  <c r="B335"/>
  <c r="E334"/>
  <c r="D334"/>
  <c r="C334"/>
  <c r="B334"/>
  <c r="E333"/>
  <c r="D333"/>
  <c r="C333"/>
  <c r="B333"/>
  <c r="E332"/>
  <c r="D332"/>
  <c r="C332"/>
  <c r="B332"/>
  <c r="E331"/>
  <c r="D331"/>
  <c r="C331"/>
  <c r="B331"/>
  <c r="G330"/>
  <c r="F330"/>
  <c r="E330"/>
  <c r="D330"/>
  <c r="C330"/>
  <c r="B330"/>
  <c r="E329"/>
  <c r="D329"/>
  <c r="C329"/>
  <c r="B329"/>
  <c r="E328"/>
  <c r="D328"/>
  <c r="C328"/>
  <c r="B328"/>
  <c r="E327"/>
  <c r="D327"/>
  <c r="C327"/>
  <c r="B327"/>
  <c r="E326"/>
  <c r="D326"/>
  <c r="C326"/>
  <c r="B326"/>
  <c r="E325"/>
  <c r="D325"/>
  <c r="C325"/>
  <c r="B325"/>
  <c r="G324"/>
  <c r="F324"/>
  <c r="E324"/>
  <c r="D324"/>
  <c r="C324"/>
  <c r="B324"/>
  <c r="E313"/>
  <c r="D313"/>
  <c r="C313"/>
  <c r="B313"/>
  <c r="E312"/>
  <c r="D312"/>
  <c r="C312"/>
  <c r="B312"/>
  <c r="E311"/>
  <c r="D311"/>
  <c r="C311"/>
  <c r="B311"/>
  <c r="E310"/>
  <c r="D310"/>
  <c r="C310"/>
  <c r="B310"/>
  <c r="E309"/>
  <c r="D309"/>
  <c r="C309"/>
  <c r="B309"/>
  <c r="E308"/>
  <c r="D308"/>
  <c r="C308"/>
  <c r="B308"/>
  <c r="E307"/>
  <c r="D307"/>
  <c r="C307"/>
  <c r="B307"/>
  <c r="E306"/>
  <c r="D306"/>
  <c r="C306"/>
  <c r="B306"/>
  <c r="E305"/>
  <c r="D305"/>
  <c r="C305"/>
  <c r="B305"/>
  <c r="E304"/>
  <c r="D304"/>
  <c r="C304"/>
  <c r="B304"/>
  <c r="E303"/>
  <c r="D303"/>
  <c r="C303"/>
  <c r="B303"/>
  <c r="E302"/>
  <c r="D302"/>
  <c r="C302"/>
  <c r="B302"/>
  <c r="E301"/>
  <c r="D301"/>
  <c r="C301"/>
  <c r="B301"/>
  <c r="E300"/>
  <c r="D300"/>
  <c r="C300"/>
  <c r="B300"/>
  <c r="E299"/>
  <c r="D299"/>
  <c r="C299"/>
  <c r="B299"/>
  <c r="E298"/>
  <c r="D298"/>
  <c r="C298"/>
  <c r="B298"/>
  <c r="E297"/>
  <c r="D297"/>
  <c r="C297"/>
  <c r="B297"/>
  <c r="E296"/>
  <c r="D296"/>
  <c r="C296"/>
  <c r="B296"/>
  <c r="E295"/>
  <c r="D295"/>
  <c r="C295"/>
  <c r="B295"/>
  <c r="E294"/>
  <c r="D294"/>
  <c r="C294"/>
  <c r="B294"/>
  <c r="E293"/>
  <c r="D293"/>
  <c r="C293"/>
  <c r="B293"/>
  <c r="E292"/>
  <c r="D292"/>
  <c r="C292"/>
  <c r="B292"/>
  <c r="E291"/>
  <c r="D291"/>
  <c r="C291"/>
  <c r="B291"/>
  <c r="E290"/>
  <c r="D290"/>
  <c r="C290"/>
  <c r="B290"/>
  <c r="E289"/>
  <c r="D289"/>
  <c r="C289"/>
  <c r="B289"/>
  <c r="E288"/>
  <c r="D288"/>
  <c r="C288"/>
  <c r="B288"/>
  <c r="E287"/>
  <c r="D287"/>
  <c r="C287"/>
  <c r="B287"/>
  <c r="E286"/>
  <c r="D286"/>
  <c r="C286"/>
  <c r="B286"/>
  <c r="E285"/>
  <c r="D285"/>
  <c r="C285"/>
  <c r="B285"/>
  <c r="E284"/>
  <c r="D284"/>
  <c r="C284"/>
  <c r="B284"/>
  <c r="E283"/>
  <c r="D283"/>
  <c r="C283"/>
  <c r="B283"/>
  <c r="E282"/>
  <c r="D282"/>
  <c r="C282"/>
  <c r="B282"/>
  <c r="E281"/>
  <c r="D281"/>
  <c r="C281"/>
  <c r="B281"/>
  <c r="E280"/>
  <c r="D280"/>
  <c r="C280"/>
  <c r="B280"/>
  <c r="E279"/>
  <c r="D279"/>
  <c r="C279"/>
  <c r="B279"/>
  <c r="E278"/>
  <c r="D278"/>
  <c r="C278"/>
  <c r="B278"/>
  <c r="E277"/>
  <c r="D277"/>
  <c r="C277"/>
  <c r="B277"/>
  <c r="E276"/>
  <c r="D276"/>
  <c r="C276"/>
  <c r="B276"/>
  <c r="E275"/>
  <c r="D275"/>
  <c r="C275"/>
  <c r="B275"/>
  <c r="E274"/>
  <c r="D274"/>
  <c r="C274"/>
  <c r="B274"/>
  <c r="E273"/>
  <c r="D273"/>
  <c r="C273"/>
  <c r="B273"/>
  <c r="E272"/>
  <c r="D272"/>
  <c r="C272"/>
  <c r="B272"/>
  <c r="E271"/>
  <c r="D271"/>
  <c r="C271"/>
  <c r="B271"/>
  <c r="E270"/>
  <c r="D270"/>
  <c r="C270"/>
  <c r="B270"/>
  <c r="E269"/>
  <c r="D269"/>
  <c r="C269"/>
  <c r="B269"/>
  <c r="E268"/>
  <c r="D268"/>
  <c r="C268"/>
  <c r="B268"/>
  <c r="E267"/>
  <c r="D267"/>
  <c r="C267"/>
  <c r="B267"/>
  <c r="E266"/>
  <c r="D266"/>
  <c r="C266"/>
  <c r="B266"/>
  <c r="E265"/>
  <c r="D265"/>
  <c r="C265"/>
  <c r="B265"/>
  <c r="E264"/>
  <c r="D264"/>
  <c r="C264"/>
  <c r="B264"/>
  <c r="E263"/>
  <c r="D263"/>
  <c r="C263"/>
  <c r="B263"/>
  <c r="E262"/>
  <c r="D262"/>
  <c r="C262"/>
  <c r="B262"/>
  <c r="E261"/>
  <c r="D261"/>
  <c r="C261"/>
  <c r="B261"/>
  <c r="E260"/>
  <c r="D260"/>
  <c r="C260"/>
  <c r="B260"/>
  <c r="E259"/>
  <c r="D259"/>
  <c r="C259"/>
  <c r="B259"/>
  <c r="E258"/>
  <c r="D258"/>
  <c r="C258"/>
  <c r="B258"/>
  <c r="E257"/>
  <c r="D257"/>
  <c r="C257"/>
  <c r="B257"/>
  <c r="E256"/>
  <c r="D256"/>
  <c r="C256"/>
  <c r="B256"/>
  <c r="E255"/>
  <c r="D255"/>
  <c r="C255"/>
  <c r="B255"/>
  <c r="E254"/>
  <c r="D254"/>
  <c r="C254"/>
  <c r="B254"/>
  <c r="E253"/>
  <c r="D253"/>
  <c r="C253"/>
  <c r="B253"/>
  <c r="E252"/>
  <c r="D252"/>
  <c r="C252"/>
  <c r="B252"/>
  <c r="E251"/>
  <c r="D251"/>
  <c r="C251"/>
  <c r="B251"/>
  <c r="E250"/>
  <c r="D250"/>
  <c r="C250"/>
  <c r="B250"/>
  <c r="E249"/>
  <c r="D249"/>
  <c r="C249"/>
  <c r="B249"/>
  <c r="E248"/>
  <c r="D248"/>
  <c r="C248"/>
  <c r="B248"/>
  <c r="E247"/>
  <c r="D247"/>
  <c r="C247"/>
  <c r="B247"/>
  <c r="E246"/>
  <c r="D246"/>
  <c r="C246"/>
  <c r="B246"/>
  <c r="E245"/>
  <c r="D245"/>
  <c r="C245"/>
  <c r="B245"/>
  <c r="E244"/>
  <c r="D244"/>
  <c r="C244"/>
  <c r="B244"/>
  <c r="E243"/>
  <c r="D243"/>
  <c r="C243"/>
  <c r="B243"/>
  <c r="E242"/>
  <c r="D242"/>
  <c r="C242"/>
  <c r="B242"/>
  <c r="E241"/>
  <c r="D241"/>
  <c r="C241"/>
  <c r="B241"/>
  <c r="E240"/>
  <c r="D240"/>
  <c r="C240"/>
  <c r="B240"/>
  <c r="E239"/>
  <c r="D239"/>
  <c r="C239"/>
  <c r="B239"/>
  <c r="E238"/>
  <c r="D238"/>
  <c r="C238"/>
  <c r="B238"/>
  <c r="E237"/>
  <c r="D237"/>
  <c r="C237"/>
  <c r="B237"/>
  <c r="E236"/>
  <c r="D236"/>
  <c r="C236"/>
  <c r="B236"/>
  <c r="E235"/>
  <c r="D235"/>
  <c r="C235"/>
  <c r="B235"/>
  <c r="E234"/>
  <c r="D234"/>
  <c r="C234"/>
  <c r="B234"/>
  <c r="E233"/>
  <c r="D233"/>
  <c r="C233"/>
  <c r="B233"/>
  <c r="E232"/>
  <c r="D232"/>
  <c r="C232"/>
  <c r="B232"/>
  <c r="E231"/>
  <c r="D231"/>
  <c r="C231"/>
  <c r="B231"/>
  <c r="E230"/>
  <c r="D230"/>
  <c r="C230"/>
  <c r="B230"/>
  <c r="E229"/>
  <c r="D229"/>
  <c r="C229"/>
  <c r="B229"/>
  <c r="E228"/>
  <c r="D228"/>
  <c r="C228"/>
  <c r="B228"/>
  <c r="E227"/>
  <c r="D227"/>
  <c r="C227"/>
  <c r="B227"/>
  <c r="E226"/>
  <c r="D226"/>
  <c r="C226"/>
  <c r="B226"/>
  <c r="E225"/>
  <c r="D225"/>
  <c r="C225"/>
  <c r="B225"/>
  <c r="E224"/>
  <c r="D224"/>
  <c r="C224"/>
  <c r="B224"/>
  <c r="E223"/>
  <c r="D223"/>
  <c r="C223"/>
  <c r="B223"/>
  <c r="E222"/>
  <c r="D222"/>
  <c r="C222"/>
  <c r="B222"/>
  <c r="E221"/>
  <c r="D221"/>
  <c r="C221"/>
  <c r="B221"/>
  <c r="E220"/>
  <c r="D220"/>
  <c r="C220"/>
  <c r="B220"/>
  <c r="E219"/>
  <c r="D219"/>
  <c r="C219"/>
  <c r="B219"/>
  <c r="E218"/>
  <c r="D218"/>
  <c r="C218"/>
  <c r="B218"/>
  <c r="E217"/>
  <c r="D217"/>
  <c r="C217"/>
  <c r="B217"/>
  <c r="E216"/>
  <c r="D216"/>
  <c r="C216"/>
  <c r="B216"/>
  <c r="E215"/>
  <c r="D215"/>
  <c r="C215"/>
  <c r="B215"/>
  <c r="E214"/>
  <c r="D214"/>
  <c r="C214"/>
  <c r="B214"/>
  <c r="E213"/>
  <c r="D213"/>
  <c r="C213"/>
  <c r="B213"/>
  <c r="E212"/>
  <c r="D212"/>
  <c r="C212"/>
  <c r="B212"/>
  <c r="E211"/>
  <c r="D211"/>
  <c r="C211"/>
  <c r="B211"/>
  <c r="E210"/>
  <c r="D210"/>
  <c r="C210"/>
  <c r="B210"/>
  <c r="E209"/>
  <c r="D209"/>
  <c r="C209"/>
  <c r="B209"/>
  <c r="E208"/>
  <c r="D208"/>
  <c r="C208"/>
  <c r="B208"/>
  <c r="E207"/>
  <c r="D207"/>
  <c r="C207"/>
  <c r="B207"/>
  <c r="E206"/>
  <c r="D206"/>
  <c r="C206"/>
  <c r="B206"/>
  <c r="E205"/>
  <c r="D205"/>
  <c r="C205"/>
  <c r="B205"/>
  <c r="E204"/>
  <c r="D204"/>
  <c r="C204"/>
  <c r="B204"/>
  <c r="E203"/>
  <c r="D203"/>
  <c r="C203"/>
  <c r="B203"/>
  <c r="E202"/>
  <c r="D202"/>
  <c r="C202"/>
  <c r="B202"/>
  <c r="E201"/>
  <c r="D201"/>
  <c r="C201"/>
  <c r="B201"/>
  <c r="E200"/>
  <c r="D200"/>
  <c r="C200"/>
  <c r="B200"/>
  <c r="E199"/>
  <c r="D199"/>
  <c r="C199"/>
  <c r="B199"/>
  <c r="E198"/>
  <c r="D198"/>
  <c r="C198"/>
  <c r="B198"/>
  <c r="E197"/>
  <c r="D197"/>
  <c r="C197"/>
  <c r="B197"/>
  <c r="E196"/>
  <c r="D196"/>
  <c r="C196"/>
  <c r="B196"/>
  <c r="E195"/>
  <c r="D195"/>
  <c r="C195"/>
  <c r="B195"/>
  <c r="E194"/>
  <c r="D194"/>
  <c r="C194"/>
  <c r="B194"/>
  <c r="E193"/>
  <c r="D193"/>
  <c r="C193"/>
  <c r="B193"/>
  <c r="E192"/>
  <c r="D192"/>
  <c r="C192"/>
  <c r="B192"/>
  <c r="E191"/>
  <c r="D191"/>
  <c r="C191"/>
  <c r="B191"/>
  <c r="E190"/>
  <c r="D190"/>
  <c r="C190"/>
  <c r="B190"/>
  <c r="E189"/>
  <c r="D189"/>
  <c r="C189"/>
  <c r="B189"/>
  <c r="E188"/>
  <c r="D188"/>
  <c r="C188"/>
  <c r="B188"/>
  <c r="E187"/>
  <c r="D187"/>
  <c r="C187"/>
  <c r="B187"/>
  <c r="E186"/>
  <c r="D186"/>
  <c r="C186"/>
  <c r="B186"/>
  <c r="E185"/>
  <c r="D185"/>
  <c r="C185"/>
  <c r="B185"/>
  <c r="E184"/>
  <c r="D184"/>
  <c r="C184"/>
  <c r="B184"/>
  <c r="E183"/>
  <c r="D183"/>
  <c r="C183"/>
  <c r="B183"/>
  <c r="E182"/>
  <c r="D182"/>
  <c r="C182"/>
  <c r="B182"/>
  <c r="E181"/>
  <c r="D181"/>
  <c r="C181"/>
  <c r="B181"/>
  <c r="E180"/>
  <c r="D180"/>
  <c r="C180"/>
  <c r="B180"/>
  <c r="E179"/>
  <c r="D179"/>
  <c r="C179"/>
  <c r="B179"/>
  <c r="E178"/>
  <c r="D178"/>
  <c r="C178"/>
  <c r="B178"/>
  <c r="E177"/>
  <c r="D177"/>
  <c r="C177"/>
  <c r="B177"/>
  <c r="E176"/>
  <c r="D176"/>
  <c r="C176"/>
  <c r="B176"/>
  <c r="E175"/>
  <c r="D175"/>
  <c r="C175"/>
  <c r="B175"/>
  <c r="E174"/>
  <c r="D174"/>
  <c r="C174"/>
  <c r="B174"/>
  <c r="E173"/>
  <c r="D173"/>
  <c r="C173"/>
  <c r="B173"/>
  <c r="E172"/>
  <c r="D172"/>
  <c r="C172"/>
  <c r="B172"/>
  <c r="E171"/>
  <c r="D171"/>
  <c r="C171"/>
  <c r="B171"/>
  <c r="E170"/>
  <c r="D170"/>
  <c r="C170"/>
  <c r="B170"/>
  <c r="E169"/>
  <c r="D169"/>
  <c r="C169"/>
  <c r="B169"/>
  <c r="E168"/>
  <c r="D168"/>
  <c r="C168"/>
  <c r="B168"/>
  <c r="E167"/>
  <c r="D167"/>
  <c r="C167"/>
  <c r="B167"/>
  <c r="E166"/>
  <c r="D166"/>
  <c r="C166"/>
  <c r="B166"/>
  <c r="E165"/>
  <c r="D165"/>
  <c r="C165"/>
  <c r="B165"/>
  <c r="E164"/>
  <c r="D164"/>
  <c r="C164"/>
  <c r="B164"/>
  <c r="E163"/>
  <c r="D163"/>
  <c r="C163"/>
  <c r="B163"/>
  <c r="E162"/>
  <c r="D162"/>
  <c r="C162"/>
  <c r="B162"/>
  <c r="E161"/>
  <c r="D161"/>
  <c r="C161"/>
  <c r="B161"/>
  <c r="E160"/>
  <c r="D160"/>
  <c r="C160"/>
  <c r="B160"/>
  <c r="E159"/>
  <c r="D159"/>
  <c r="C159"/>
  <c r="B159"/>
  <c r="E158"/>
  <c r="D158"/>
  <c r="C158"/>
  <c r="B158"/>
  <c r="E157"/>
  <c r="D157"/>
  <c r="C157"/>
  <c r="B157"/>
  <c r="E156"/>
  <c r="D156"/>
  <c r="C156"/>
  <c r="B156"/>
  <c r="E155"/>
  <c r="D155"/>
  <c r="C155"/>
  <c r="B155"/>
  <c r="E154"/>
  <c r="D154"/>
  <c r="C154"/>
  <c r="B154"/>
  <c r="E153"/>
  <c r="D153"/>
  <c r="C153"/>
  <c r="B153"/>
  <c r="E152"/>
  <c r="D152"/>
  <c r="C152"/>
  <c r="B152"/>
  <c r="E151"/>
  <c r="D151"/>
  <c r="C151"/>
  <c r="B151"/>
  <c r="E150"/>
  <c r="D150"/>
  <c r="C150"/>
  <c r="B150"/>
  <c r="E149"/>
  <c r="D149"/>
  <c r="C149"/>
  <c r="B149"/>
  <c r="E148"/>
  <c r="D148"/>
  <c r="C148"/>
  <c r="B148"/>
  <c r="E147"/>
  <c r="D147"/>
  <c r="C147"/>
  <c r="B147"/>
  <c r="E146"/>
  <c r="D146"/>
  <c r="C146"/>
  <c r="B146"/>
  <c r="E145"/>
  <c r="D145"/>
  <c r="C145"/>
  <c r="B145"/>
  <c r="E144"/>
  <c r="D144"/>
  <c r="C144"/>
  <c r="B144"/>
  <c r="E143"/>
  <c r="D143"/>
  <c r="C143"/>
  <c r="B143"/>
  <c r="E142"/>
  <c r="D142"/>
  <c r="C142"/>
  <c r="B142"/>
  <c r="E141"/>
  <c r="D141"/>
  <c r="C141"/>
  <c r="B141"/>
  <c r="E140"/>
  <c r="D140"/>
  <c r="C140"/>
  <c r="B140"/>
  <c r="E139"/>
  <c r="D139"/>
  <c r="C139"/>
  <c r="B139"/>
  <c r="E138"/>
  <c r="D138"/>
  <c r="C138"/>
  <c r="B138"/>
  <c r="E137"/>
  <c r="D137"/>
  <c r="C137"/>
  <c r="B137"/>
  <c r="E136"/>
  <c r="D136"/>
  <c r="C136"/>
  <c r="B136"/>
  <c r="E135"/>
  <c r="D135"/>
  <c r="C135"/>
  <c r="B135"/>
  <c r="E134"/>
  <c r="D134"/>
  <c r="C134"/>
  <c r="B134"/>
  <c r="E133"/>
  <c r="D133"/>
  <c r="C133"/>
  <c r="B133"/>
  <c r="E132"/>
  <c r="D132"/>
  <c r="C132"/>
  <c r="B132"/>
  <c r="E131"/>
  <c r="D131"/>
  <c r="C131"/>
  <c r="B131"/>
  <c r="E130"/>
  <c r="D130"/>
  <c r="C130"/>
  <c r="B130"/>
  <c r="E129"/>
  <c r="D129"/>
  <c r="C129"/>
  <c r="B129"/>
  <c r="E128"/>
  <c r="D128"/>
  <c r="C128"/>
  <c r="B128"/>
  <c r="E127"/>
  <c r="D127"/>
  <c r="C127"/>
  <c r="B127"/>
  <c r="E126"/>
  <c r="D126"/>
  <c r="C126"/>
  <c r="B126"/>
  <c r="E125"/>
  <c r="D125"/>
  <c r="C125"/>
  <c r="B125"/>
  <c r="E124"/>
  <c r="D124"/>
  <c r="C124"/>
  <c r="B124"/>
  <c r="E123"/>
  <c r="D123"/>
  <c r="C123"/>
  <c r="B123"/>
  <c r="E122"/>
  <c r="D122"/>
  <c r="C122"/>
  <c r="B122"/>
  <c r="E121"/>
  <c r="D121"/>
  <c r="C121"/>
  <c r="B121"/>
  <c r="E120"/>
  <c r="D120"/>
  <c r="C120"/>
  <c r="B120"/>
  <c r="E119"/>
  <c r="D119"/>
  <c r="C119"/>
  <c r="B119"/>
  <c r="E118"/>
  <c r="D118"/>
  <c r="C118"/>
  <c r="B118"/>
  <c r="E117"/>
  <c r="D117"/>
  <c r="C117"/>
  <c r="B117"/>
  <c r="E116"/>
  <c r="D116"/>
  <c r="C116"/>
  <c r="B116"/>
  <c r="E115"/>
  <c r="D115"/>
  <c r="C115"/>
  <c r="B115"/>
  <c r="E114"/>
  <c r="D114"/>
  <c r="C114"/>
  <c r="B114"/>
  <c r="E113"/>
  <c r="D113"/>
  <c r="C113"/>
  <c r="B113"/>
  <c r="E112"/>
  <c r="D112"/>
  <c r="C112"/>
  <c r="B112"/>
  <c r="E111"/>
  <c r="D111"/>
  <c r="C111"/>
  <c r="B111"/>
  <c r="E110"/>
  <c r="D110"/>
  <c r="C110"/>
  <c r="B110"/>
  <c r="E109"/>
  <c r="D109"/>
  <c r="C109"/>
  <c r="B109"/>
  <c r="E108"/>
  <c r="D108"/>
  <c r="C108"/>
  <c r="B108"/>
  <c r="E107"/>
  <c r="D107"/>
  <c r="C107"/>
  <c r="B107"/>
  <c r="E106"/>
  <c r="D106"/>
  <c r="C106"/>
  <c r="B106"/>
  <c r="E105"/>
  <c r="D105"/>
  <c r="C105"/>
  <c r="B105"/>
  <c r="E104"/>
  <c r="D104"/>
  <c r="C104"/>
  <c r="B104"/>
  <c r="E103"/>
  <c r="D103"/>
  <c r="C103"/>
  <c r="B103"/>
  <c r="E102"/>
  <c r="D102"/>
  <c r="C102"/>
  <c r="B102"/>
  <c r="E101"/>
  <c r="D101"/>
  <c r="C101"/>
  <c r="B101"/>
  <c r="E100"/>
  <c r="D100"/>
  <c r="C100"/>
  <c r="B100"/>
  <c r="E99"/>
  <c r="D99"/>
  <c r="C99"/>
  <c r="B99"/>
  <c r="E98"/>
  <c r="D98"/>
  <c r="C98"/>
  <c r="B98"/>
  <c r="E97"/>
  <c r="D97"/>
  <c r="C97"/>
  <c r="B97"/>
  <c r="E96"/>
  <c r="D96"/>
  <c r="C96"/>
  <c r="B96"/>
  <c r="E95"/>
  <c r="D95"/>
  <c r="C95"/>
  <c r="B95"/>
  <c r="E94"/>
  <c r="D94"/>
  <c r="C94"/>
  <c r="B94"/>
  <c r="E93"/>
  <c r="D93"/>
  <c r="C93"/>
  <c r="B93"/>
  <c r="E92"/>
  <c r="D92"/>
  <c r="C92"/>
  <c r="B92"/>
  <c r="E91"/>
  <c r="D91"/>
  <c r="C91"/>
  <c r="B91"/>
  <c r="E90"/>
  <c r="D90"/>
  <c r="C90"/>
  <c r="B90"/>
  <c r="E89"/>
  <c r="D89"/>
  <c r="C89"/>
  <c r="B89"/>
  <c r="E88"/>
  <c r="D88"/>
  <c r="C88"/>
  <c r="B88"/>
  <c r="E87"/>
  <c r="D87"/>
  <c r="C87"/>
  <c r="B87"/>
  <c r="E86"/>
  <c r="D86"/>
  <c r="C86"/>
  <c r="B86"/>
  <c r="E85"/>
  <c r="D85"/>
  <c r="C85"/>
  <c r="B85"/>
  <c r="E84"/>
  <c r="D84"/>
  <c r="C84"/>
  <c r="B84"/>
  <c r="E83"/>
  <c r="D83"/>
  <c r="C83"/>
  <c r="B83"/>
  <c r="E82"/>
  <c r="D82"/>
  <c r="C82"/>
  <c r="B82"/>
  <c r="E81"/>
  <c r="D81"/>
  <c r="C81"/>
  <c r="B81"/>
  <c r="E80"/>
  <c r="D80"/>
  <c r="C80"/>
  <c r="B80"/>
  <c r="E79"/>
  <c r="D79"/>
  <c r="C79"/>
  <c r="B79"/>
  <c r="E78"/>
  <c r="D78"/>
  <c r="C78"/>
  <c r="B78"/>
  <c r="E77"/>
  <c r="D77"/>
  <c r="C77"/>
  <c r="B77"/>
  <c r="E76"/>
  <c r="D76"/>
  <c r="C76"/>
  <c r="B76"/>
  <c r="E75"/>
  <c r="D75"/>
  <c r="C75"/>
  <c r="B75"/>
  <c r="E74"/>
  <c r="D74"/>
  <c r="C74"/>
  <c r="B74"/>
  <c r="E73"/>
  <c r="D73"/>
  <c r="C73"/>
  <c r="B73"/>
  <c r="E72"/>
  <c r="D72"/>
  <c r="C72"/>
  <c r="B72"/>
  <c r="E71"/>
  <c r="D71"/>
  <c r="C71"/>
  <c r="B71"/>
  <c r="E70"/>
  <c r="D70"/>
  <c r="C70"/>
  <c r="B70"/>
  <c r="E69"/>
  <c r="D69"/>
  <c r="C69"/>
  <c r="B69"/>
  <c r="E68"/>
  <c r="D68"/>
  <c r="C68"/>
  <c r="B68"/>
  <c r="E67"/>
  <c r="D67"/>
  <c r="C67"/>
  <c r="B67"/>
  <c r="E66"/>
  <c r="D66"/>
  <c r="C66"/>
  <c r="B66"/>
  <c r="E65"/>
  <c r="D65"/>
  <c r="C65"/>
  <c r="B65"/>
  <c r="E64"/>
  <c r="D64"/>
  <c r="C64"/>
  <c r="B64"/>
  <c r="E63"/>
  <c r="D63"/>
  <c r="C63"/>
  <c r="B63"/>
  <c r="E62"/>
  <c r="D62"/>
  <c r="C62"/>
  <c r="B62"/>
  <c r="E61"/>
  <c r="D61"/>
  <c r="C61"/>
  <c r="B61"/>
  <c r="E60"/>
  <c r="D60"/>
  <c r="C60"/>
  <c r="B60"/>
  <c r="G59"/>
  <c r="F59"/>
  <c r="E59"/>
  <c r="D59"/>
  <c r="C59"/>
  <c r="B59"/>
  <c r="E58"/>
  <c r="D58"/>
  <c r="C58"/>
  <c r="B58"/>
  <c r="E57"/>
  <c r="D57"/>
  <c r="C57"/>
  <c r="B57"/>
  <c r="E56"/>
  <c r="D56"/>
  <c r="C56"/>
  <c r="B56"/>
  <c r="E55"/>
  <c r="D55"/>
  <c r="C55"/>
  <c r="B55"/>
  <c r="E54"/>
  <c r="D54"/>
  <c r="C54"/>
  <c r="B54"/>
  <c r="E53"/>
  <c r="D53"/>
  <c r="C53"/>
  <c r="B53"/>
  <c r="E52"/>
  <c r="D52"/>
  <c r="C52"/>
  <c r="B52"/>
  <c r="E51"/>
  <c r="D51"/>
  <c r="C51"/>
  <c r="B51"/>
  <c r="E50"/>
  <c r="D50"/>
  <c r="C50"/>
  <c r="B50"/>
  <c r="G49"/>
  <c r="F49"/>
  <c r="E49"/>
  <c r="D49"/>
  <c r="C49"/>
  <c r="B49"/>
  <c r="E48"/>
  <c r="D48"/>
  <c r="C48"/>
  <c r="B48"/>
  <c r="E36"/>
  <c r="D36"/>
  <c r="C36"/>
  <c r="B36"/>
  <c r="E35"/>
  <c r="D35"/>
  <c r="C35"/>
  <c r="B35"/>
  <c r="E34"/>
  <c r="D34"/>
  <c r="C34"/>
  <c r="B34"/>
  <c r="E33"/>
  <c r="D33"/>
  <c r="C33"/>
  <c r="B33"/>
  <c r="E32"/>
  <c r="D32"/>
  <c r="C32"/>
  <c r="B32"/>
  <c r="E31"/>
  <c r="D31"/>
  <c r="C31"/>
  <c r="B31"/>
  <c r="E30"/>
  <c r="D30"/>
  <c r="C30"/>
  <c r="B30"/>
  <c r="E29"/>
  <c r="D29"/>
  <c r="C29"/>
  <c r="B29"/>
  <c r="E28"/>
  <c r="D28"/>
  <c r="C28"/>
  <c r="B28"/>
  <c r="E27"/>
  <c r="D27"/>
  <c r="C27"/>
  <c r="B27"/>
  <c r="E26"/>
  <c r="D26"/>
  <c r="C26"/>
  <c r="B26"/>
  <c r="E25"/>
  <c r="D25"/>
  <c r="C25"/>
  <c r="B25"/>
  <c r="E24"/>
  <c r="D24"/>
  <c r="C24"/>
  <c r="B24"/>
  <c r="E23"/>
  <c r="D23"/>
  <c r="C23"/>
  <c r="B23"/>
  <c r="E22"/>
  <c r="D22"/>
  <c r="C22"/>
  <c r="B22"/>
  <c r="E21"/>
  <c r="D21"/>
  <c r="C21"/>
  <c r="B21"/>
  <c r="E20"/>
  <c r="D20"/>
  <c r="C20"/>
  <c r="B20"/>
  <c r="E19"/>
  <c r="D19"/>
  <c r="C19"/>
  <c r="B19"/>
  <c r="E18"/>
  <c r="D18"/>
  <c r="C18"/>
  <c r="B18"/>
  <c r="E17"/>
  <c r="D17"/>
  <c r="C17"/>
  <c r="B17"/>
  <c r="E16"/>
  <c r="D16"/>
  <c r="C16"/>
  <c r="B16"/>
  <c r="E15"/>
  <c r="D15"/>
  <c r="C15"/>
  <c r="B15"/>
  <c r="E14"/>
  <c r="D14"/>
  <c r="C14"/>
  <c r="B14"/>
  <c r="J399" i="42"/>
  <c r="H399"/>
  <c r="D399"/>
  <c r="C399"/>
  <c r="J398"/>
  <c r="H398"/>
  <c r="D398"/>
  <c r="C398"/>
  <c r="J397"/>
  <c r="H397"/>
  <c r="D397"/>
  <c r="C397"/>
  <c r="J396"/>
  <c r="H396"/>
  <c r="D396"/>
  <c r="C396"/>
  <c r="J395"/>
  <c r="H395"/>
  <c r="D395"/>
  <c r="C395"/>
  <c r="J394"/>
  <c r="H394"/>
  <c r="D394"/>
  <c r="C394"/>
  <c r="J393"/>
  <c r="H393"/>
  <c r="D393"/>
  <c r="C393"/>
  <c r="J392"/>
  <c r="H392"/>
  <c r="D392"/>
  <c r="C392"/>
  <c r="J391"/>
  <c r="H391"/>
  <c r="D391"/>
  <c r="C391"/>
  <c r="J390"/>
  <c r="H390"/>
  <c r="D390"/>
  <c r="C390"/>
  <c r="J389"/>
  <c r="H389"/>
  <c r="D389"/>
  <c r="C389"/>
  <c r="J388"/>
  <c r="H388"/>
  <c r="D388"/>
  <c r="C388"/>
  <c r="J387"/>
  <c r="H387"/>
  <c r="D387"/>
  <c r="C387"/>
  <c r="J386"/>
  <c r="H386"/>
  <c r="D386"/>
  <c r="C386"/>
  <c r="J385"/>
  <c r="H385"/>
  <c r="D385"/>
  <c r="C385"/>
  <c r="J384"/>
  <c r="H384"/>
  <c r="D384"/>
  <c r="C384"/>
  <c r="J383"/>
  <c r="H383"/>
  <c r="D383"/>
  <c r="C383"/>
  <c r="J382"/>
  <c r="H382"/>
  <c r="D382"/>
  <c r="C382"/>
  <c r="H381"/>
  <c r="D381"/>
  <c r="C381"/>
  <c r="J380"/>
  <c r="H380"/>
  <c r="D380"/>
  <c r="C380"/>
  <c r="J379"/>
  <c r="H379"/>
  <c r="D379"/>
  <c r="C379"/>
  <c r="J378"/>
  <c r="H378"/>
  <c r="D378"/>
  <c r="C378"/>
  <c r="J377"/>
  <c r="H377"/>
  <c r="D377"/>
  <c r="C377"/>
  <c r="J376"/>
  <c r="H376"/>
  <c r="D376"/>
  <c r="C376"/>
  <c r="J375"/>
  <c r="H375"/>
  <c r="D375"/>
  <c r="C375"/>
  <c r="J374"/>
  <c r="H374"/>
  <c r="D374"/>
  <c r="C374"/>
  <c r="J373"/>
  <c r="H373"/>
  <c r="D373"/>
  <c r="C373"/>
  <c r="J372"/>
  <c r="H372"/>
  <c r="D372"/>
  <c r="C372"/>
  <c r="J371"/>
  <c r="H371"/>
  <c r="D371"/>
  <c r="C371"/>
  <c r="J370"/>
  <c r="H370"/>
  <c r="D370"/>
  <c r="C370"/>
  <c r="J369"/>
  <c r="H369"/>
  <c r="D369"/>
  <c r="C369"/>
  <c r="J368"/>
  <c r="H368"/>
  <c r="D368"/>
  <c r="C368"/>
  <c r="J367"/>
  <c r="H367"/>
  <c r="D367"/>
  <c r="C367"/>
  <c r="J366"/>
  <c r="H366"/>
  <c r="D366"/>
  <c r="C366"/>
  <c r="J365"/>
  <c r="H365"/>
  <c r="D365"/>
  <c r="C365"/>
  <c r="L364"/>
  <c r="J364"/>
  <c r="H364"/>
  <c r="D364"/>
  <c r="C364"/>
  <c r="J363"/>
  <c r="H363"/>
  <c r="D363"/>
  <c r="C363"/>
  <c r="J362"/>
  <c r="H362"/>
  <c r="D362"/>
  <c r="C362"/>
  <c r="J361"/>
  <c r="H361"/>
  <c r="D361"/>
  <c r="C361"/>
  <c r="J360"/>
  <c r="H360"/>
  <c r="D360"/>
  <c r="C360"/>
  <c r="J359"/>
  <c r="H359"/>
  <c r="D359"/>
  <c r="C359"/>
  <c r="J358"/>
  <c r="H358"/>
  <c r="D358"/>
  <c r="C358"/>
  <c r="J357"/>
  <c r="H357"/>
  <c r="D357"/>
  <c r="C357"/>
  <c r="J356"/>
  <c r="H356"/>
  <c r="D356"/>
  <c r="C356"/>
  <c r="J355"/>
  <c r="H355"/>
  <c r="D355"/>
  <c r="C355"/>
  <c r="J354"/>
  <c r="H354"/>
  <c r="D354"/>
  <c r="C354"/>
  <c r="J353"/>
  <c r="H353"/>
  <c r="D353"/>
  <c r="C353"/>
  <c r="J352"/>
  <c r="H352"/>
  <c r="D352"/>
  <c r="C352"/>
  <c r="J351"/>
  <c r="H351"/>
  <c r="D351"/>
  <c r="C351"/>
  <c r="J350"/>
  <c r="H350"/>
  <c r="D350"/>
  <c r="C350"/>
  <c r="J349"/>
  <c r="H349"/>
  <c r="D349"/>
  <c r="C349"/>
  <c r="J348"/>
  <c r="H348"/>
  <c r="D348"/>
  <c r="C348"/>
  <c r="J347"/>
  <c r="H347"/>
  <c r="D347"/>
  <c r="C347"/>
  <c r="J346"/>
  <c r="H346"/>
  <c r="D346"/>
  <c r="C346"/>
  <c r="J345"/>
  <c r="H345"/>
  <c r="D345"/>
  <c r="C345"/>
  <c r="J344"/>
  <c r="H344"/>
  <c r="D344"/>
  <c r="C344"/>
  <c r="J343"/>
  <c r="H343"/>
  <c r="D343"/>
  <c r="C343"/>
  <c r="J342"/>
  <c r="H342"/>
  <c r="D342"/>
  <c r="C342"/>
  <c r="J341"/>
  <c r="H341"/>
  <c r="D341"/>
  <c r="C341"/>
  <c r="J340"/>
  <c r="H340"/>
  <c r="D340"/>
  <c r="C340"/>
  <c r="J339"/>
  <c r="H339"/>
  <c r="D339"/>
  <c r="C339"/>
  <c r="J338"/>
  <c r="H338"/>
  <c r="D338"/>
  <c r="C338"/>
  <c r="J337"/>
  <c r="H337"/>
  <c r="D337"/>
  <c r="C337"/>
  <c r="J336"/>
  <c r="H336"/>
  <c r="D336"/>
  <c r="C336"/>
  <c r="J335"/>
  <c r="H335"/>
  <c r="D335"/>
  <c r="C335"/>
  <c r="J334"/>
  <c r="H334"/>
  <c r="D334"/>
  <c r="C334"/>
  <c r="J333"/>
  <c r="H333"/>
  <c r="D333"/>
  <c r="C333"/>
  <c r="J332"/>
  <c r="H332"/>
  <c r="D332"/>
  <c r="C332"/>
  <c r="J331"/>
  <c r="H331"/>
  <c r="D331"/>
  <c r="C331"/>
  <c r="J330"/>
  <c r="H330"/>
  <c r="D330"/>
  <c r="C330"/>
  <c r="J329"/>
  <c r="H329"/>
  <c r="D329"/>
  <c r="C329"/>
  <c r="J328"/>
  <c r="H328"/>
  <c r="D328"/>
  <c r="C328"/>
  <c r="J327"/>
  <c r="H327"/>
  <c r="D327"/>
  <c r="C327"/>
  <c r="J326"/>
  <c r="H326"/>
  <c r="D326"/>
  <c r="C326"/>
  <c r="J325"/>
  <c r="H325"/>
  <c r="D325"/>
  <c r="C325"/>
  <c r="J324"/>
  <c r="H324"/>
  <c r="D324"/>
  <c r="C324"/>
  <c r="J323"/>
  <c r="H323"/>
  <c r="D323"/>
  <c r="C323"/>
  <c r="J322"/>
  <c r="H322"/>
  <c r="D322"/>
  <c r="C322"/>
  <c r="J321"/>
  <c r="H321"/>
  <c r="D321"/>
  <c r="C321"/>
  <c r="J320"/>
  <c r="H320"/>
  <c r="D320"/>
  <c r="C320"/>
  <c r="J319"/>
  <c r="H319"/>
  <c r="D319"/>
  <c r="C319"/>
  <c r="J318"/>
  <c r="H318"/>
  <c r="D318"/>
  <c r="C318"/>
  <c r="J317"/>
  <c r="H317"/>
  <c r="D317"/>
  <c r="C317"/>
  <c r="J316"/>
  <c r="H316"/>
  <c r="D316"/>
  <c r="C316"/>
  <c r="J315"/>
  <c r="H315"/>
  <c r="D315"/>
  <c r="C315"/>
  <c r="J314"/>
  <c r="H314"/>
  <c r="D314"/>
  <c r="C314"/>
  <c r="J313"/>
  <c r="H313"/>
  <c r="D313"/>
  <c r="C313"/>
  <c r="J312"/>
  <c r="H312"/>
  <c r="D312"/>
  <c r="C312"/>
  <c r="J311"/>
  <c r="H311"/>
  <c r="D311"/>
  <c r="C311"/>
  <c r="J310"/>
  <c r="H310"/>
  <c r="D310"/>
  <c r="C310"/>
  <c r="J309"/>
  <c r="H309"/>
  <c r="D309"/>
  <c r="C309"/>
  <c r="J305"/>
  <c r="H305"/>
  <c r="D305"/>
  <c r="C305"/>
  <c r="J304"/>
  <c r="H304"/>
  <c r="D304"/>
  <c r="C304"/>
  <c r="J303"/>
  <c r="H303"/>
  <c r="D303"/>
  <c r="C303"/>
  <c r="J302"/>
  <c r="H302"/>
  <c r="D302"/>
  <c r="C302"/>
  <c r="J301"/>
  <c r="H301"/>
  <c r="D301"/>
  <c r="C301"/>
  <c r="J300"/>
  <c r="H300"/>
  <c r="D300"/>
  <c r="C300"/>
  <c r="J299"/>
  <c r="H299"/>
  <c r="D299"/>
  <c r="C299"/>
  <c r="J298"/>
  <c r="H298"/>
  <c r="D298"/>
  <c r="C298"/>
  <c r="J297"/>
  <c r="H297"/>
  <c r="D297"/>
  <c r="C297"/>
  <c r="J296"/>
  <c r="H296"/>
  <c r="D296"/>
  <c r="C296"/>
  <c r="J295"/>
  <c r="H295"/>
  <c r="D295"/>
  <c r="C295"/>
  <c r="J294"/>
  <c r="H294"/>
  <c r="D294"/>
  <c r="C294"/>
  <c r="J293"/>
  <c r="H293"/>
  <c r="D293"/>
  <c r="C293"/>
  <c r="J292"/>
  <c r="H292"/>
  <c r="D292"/>
  <c r="C292"/>
  <c r="J291"/>
  <c r="H291"/>
  <c r="D291"/>
  <c r="C291"/>
  <c r="J290"/>
  <c r="H290"/>
  <c r="D290"/>
  <c r="C290"/>
  <c r="J289"/>
  <c r="H289"/>
  <c r="D289"/>
  <c r="C289"/>
  <c r="J288"/>
  <c r="H288"/>
  <c r="D288"/>
  <c r="C288"/>
  <c r="J287"/>
  <c r="H287"/>
  <c r="D287"/>
  <c r="C287"/>
  <c r="J286"/>
  <c r="H286"/>
  <c r="D286"/>
  <c r="C286"/>
  <c r="J285"/>
  <c r="H285"/>
  <c r="D285"/>
  <c r="C285"/>
  <c r="J284"/>
  <c r="H284"/>
  <c r="D284"/>
  <c r="C284"/>
  <c r="J283"/>
  <c r="H283"/>
  <c r="D283"/>
  <c r="C283"/>
  <c r="J282"/>
  <c r="H282"/>
  <c r="D282"/>
  <c r="C282"/>
  <c r="J281"/>
  <c r="H281"/>
  <c r="D281"/>
  <c r="C281"/>
  <c r="J280"/>
  <c r="H280"/>
  <c r="D280"/>
  <c r="C280"/>
  <c r="J279"/>
  <c r="H279"/>
  <c r="D279"/>
  <c r="C279"/>
  <c r="J278"/>
  <c r="H278"/>
  <c r="D278"/>
  <c r="C278"/>
  <c r="J277"/>
  <c r="H277"/>
  <c r="D277"/>
  <c r="C277"/>
  <c r="J276"/>
  <c r="H276"/>
  <c r="D276"/>
  <c r="C276"/>
  <c r="J275"/>
  <c r="H275"/>
  <c r="D275"/>
  <c r="C275"/>
  <c r="J274"/>
  <c r="H274"/>
  <c r="D274"/>
  <c r="C274"/>
  <c r="J273"/>
  <c r="H273"/>
  <c r="D273"/>
  <c r="C273"/>
  <c r="J272"/>
  <c r="H272"/>
  <c r="D272"/>
  <c r="C272"/>
  <c r="J271"/>
  <c r="H271"/>
  <c r="D271"/>
  <c r="C271"/>
  <c r="J270"/>
  <c r="H270"/>
  <c r="D270"/>
  <c r="C270"/>
  <c r="L269"/>
  <c r="J269"/>
  <c r="H269"/>
  <c r="D269"/>
  <c r="C269"/>
  <c r="H268"/>
  <c r="D268"/>
  <c r="C268"/>
  <c r="J267"/>
  <c r="H267"/>
  <c r="D267"/>
  <c r="C267"/>
  <c r="J266"/>
  <c r="H266"/>
  <c r="D266"/>
  <c r="C266"/>
  <c r="J265"/>
  <c r="H265"/>
  <c r="D265"/>
  <c r="C265"/>
  <c r="J264"/>
  <c r="H264"/>
  <c r="D264"/>
  <c r="C264"/>
  <c r="J263"/>
  <c r="H263"/>
  <c r="D263"/>
  <c r="C263"/>
  <c r="J262"/>
  <c r="H262"/>
  <c r="D262"/>
  <c r="C262"/>
  <c r="L261"/>
  <c r="J261"/>
  <c r="H261"/>
  <c r="D261"/>
  <c r="C261"/>
  <c r="J260"/>
  <c r="H260"/>
  <c r="D260"/>
  <c r="C260"/>
  <c r="L259"/>
  <c r="J259"/>
  <c r="H259"/>
  <c r="D259"/>
  <c r="C259"/>
  <c r="J258"/>
  <c r="H258"/>
  <c r="D258"/>
  <c r="C258"/>
  <c r="J257"/>
  <c r="H257"/>
  <c r="D257"/>
  <c r="C257"/>
  <c r="J256"/>
  <c r="H256"/>
  <c r="D256"/>
  <c r="C256"/>
  <c r="L255"/>
  <c r="J255"/>
  <c r="H255"/>
  <c r="D255"/>
  <c r="C255"/>
  <c r="J254"/>
  <c r="H254"/>
  <c r="D254"/>
  <c r="C254"/>
  <c r="J253"/>
  <c r="H253"/>
  <c r="D253"/>
  <c r="C253"/>
  <c r="J252"/>
  <c r="H252"/>
  <c r="D252"/>
  <c r="C252"/>
  <c r="J251"/>
  <c r="H251"/>
  <c r="D251"/>
  <c r="C251"/>
  <c r="J250"/>
  <c r="H250"/>
  <c r="D250"/>
  <c r="C250"/>
  <c r="J249"/>
  <c r="H249"/>
  <c r="D249"/>
  <c r="C249"/>
  <c r="J248"/>
  <c r="H248"/>
  <c r="D248"/>
  <c r="C248"/>
  <c r="J247"/>
  <c r="H247"/>
  <c r="D247"/>
  <c r="C247"/>
  <c r="J246"/>
  <c r="H246"/>
  <c r="D246"/>
  <c r="C246"/>
  <c r="J245"/>
  <c r="H245"/>
  <c r="D245"/>
  <c r="C245"/>
  <c r="J244"/>
  <c r="H244"/>
  <c r="D244"/>
  <c r="C244"/>
  <c r="J243"/>
  <c r="H243"/>
  <c r="D243"/>
  <c r="C243"/>
  <c r="J242"/>
  <c r="H242"/>
  <c r="D242"/>
  <c r="C242"/>
  <c r="J241"/>
  <c r="H241"/>
  <c r="D241"/>
  <c r="C241"/>
  <c r="J240"/>
  <c r="H240"/>
  <c r="D240"/>
  <c r="C240"/>
  <c r="J239"/>
  <c r="H239"/>
  <c r="D239"/>
  <c r="C239"/>
  <c r="J238"/>
  <c r="H238"/>
  <c r="D238"/>
  <c r="C238"/>
  <c r="J237"/>
  <c r="H237"/>
  <c r="D237"/>
  <c r="C237"/>
  <c r="J236"/>
  <c r="H236"/>
  <c r="D236"/>
  <c r="C236"/>
  <c r="J235"/>
  <c r="H235"/>
  <c r="D235"/>
  <c r="C235"/>
  <c r="J234"/>
  <c r="H234"/>
  <c r="D234"/>
  <c r="C234"/>
  <c r="J233"/>
  <c r="H233"/>
  <c r="D233"/>
  <c r="C233"/>
  <c r="J232"/>
  <c r="H232"/>
  <c r="D232"/>
  <c r="C232"/>
  <c r="J231"/>
  <c r="H231"/>
  <c r="D231"/>
  <c r="C231"/>
  <c r="J230"/>
  <c r="H230"/>
  <c r="D230"/>
  <c r="C230"/>
  <c r="J229"/>
  <c r="H229"/>
  <c r="D229"/>
  <c r="C229"/>
  <c r="J228"/>
  <c r="H228"/>
  <c r="D228"/>
  <c r="C228"/>
  <c r="J227"/>
  <c r="H227"/>
  <c r="D227"/>
  <c r="C227"/>
  <c r="J226"/>
  <c r="H226"/>
  <c r="D226"/>
  <c r="C226"/>
  <c r="L225"/>
  <c r="J225"/>
  <c r="H225"/>
  <c r="D225"/>
  <c r="C225"/>
  <c r="J224"/>
  <c r="H224"/>
  <c r="D224"/>
  <c r="C224"/>
  <c r="J223"/>
  <c r="H223"/>
  <c r="D223"/>
  <c r="C223"/>
  <c r="J222"/>
  <c r="H222"/>
  <c r="D222"/>
  <c r="C222"/>
  <c r="J221"/>
  <c r="H221"/>
  <c r="D221"/>
  <c r="C221"/>
  <c r="J220"/>
  <c r="H220"/>
  <c r="D220"/>
  <c r="C220"/>
  <c r="J219"/>
  <c r="H219"/>
  <c r="D219"/>
  <c r="C219"/>
  <c r="J218"/>
  <c r="H218"/>
  <c r="D218"/>
  <c r="C218"/>
  <c r="J217"/>
  <c r="H217"/>
  <c r="D217"/>
  <c r="C217"/>
  <c r="J216"/>
  <c r="H216"/>
  <c r="D216"/>
  <c r="C216"/>
  <c r="J215"/>
  <c r="H215"/>
  <c r="D215"/>
  <c r="C215"/>
  <c r="J214"/>
  <c r="H214"/>
  <c r="D214"/>
  <c r="C214"/>
  <c r="J213"/>
  <c r="H213"/>
  <c r="D213"/>
  <c r="C213"/>
  <c r="J212"/>
  <c r="H212"/>
  <c r="D212"/>
  <c r="C212"/>
  <c r="J211"/>
  <c r="H211"/>
  <c r="D211"/>
  <c r="C211"/>
  <c r="J210"/>
  <c r="H210"/>
  <c r="D210"/>
  <c r="C210"/>
  <c r="J209"/>
  <c r="H209"/>
  <c r="D209"/>
  <c r="C209"/>
  <c r="J208"/>
  <c r="H208"/>
  <c r="D208"/>
  <c r="C208"/>
  <c r="J207"/>
  <c r="H207"/>
  <c r="D207"/>
  <c r="C207"/>
  <c r="H206"/>
  <c r="D206"/>
  <c r="C206"/>
  <c r="J205"/>
  <c r="H205"/>
  <c r="D205"/>
  <c r="C205"/>
  <c r="J204"/>
  <c r="H204"/>
  <c r="D204"/>
  <c r="C204"/>
  <c r="J203"/>
  <c r="H203"/>
  <c r="D203"/>
  <c r="C203"/>
  <c r="J202"/>
  <c r="H202"/>
  <c r="D202"/>
  <c r="C202"/>
  <c r="J201"/>
  <c r="H201"/>
  <c r="D201"/>
  <c r="C201"/>
  <c r="J200"/>
  <c r="H200"/>
  <c r="D200"/>
  <c r="C200"/>
  <c r="J199"/>
  <c r="H199"/>
  <c r="D199"/>
  <c r="C199"/>
  <c r="J198"/>
  <c r="H198"/>
  <c r="D198"/>
  <c r="C198"/>
  <c r="J197"/>
  <c r="H197"/>
  <c r="D197"/>
  <c r="C197"/>
  <c r="J196"/>
  <c r="H196"/>
  <c r="D196"/>
  <c r="C196"/>
  <c r="J195"/>
  <c r="H195"/>
  <c r="D195"/>
  <c r="C195"/>
  <c r="J194"/>
  <c r="H194"/>
  <c r="D194"/>
  <c r="C194"/>
  <c r="J193"/>
  <c r="H193"/>
  <c r="D193"/>
  <c r="C193"/>
  <c r="J192"/>
  <c r="H192"/>
  <c r="D192"/>
  <c r="C192"/>
  <c r="H191"/>
  <c r="D191"/>
  <c r="C191"/>
  <c r="J190"/>
  <c r="H190"/>
  <c r="D190"/>
  <c r="C190"/>
  <c r="J189"/>
  <c r="H189"/>
  <c r="D189"/>
  <c r="C189"/>
  <c r="J188"/>
  <c r="H188"/>
  <c r="D188"/>
  <c r="C188"/>
  <c r="J187"/>
  <c r="H187"/>
  <c r="D187"/>
  <c r="C187"/>
  <c r="J186"/>
  <c r="H186"/>
  <c r="D186"/>
  <c r="C186"/>
  <c r="L185"/>
  <c r="J185"/>
  <c r="H185"/>
  <c r="D185"/>
  <c r="C185"/>
  <c r="J184"/>
  <c r="H184"/>
  <c r="D184"/>
  <c r="C184"/>
  <c r="J183"/>
  <c r="H183"/>
  <c r="D183"/>
  <c r="C183"/>
  <c r="J182"/>
  <c r="H182"/>
  <c r="D182"/>
  <c r="C182"/>
  <c r="L181"/>
  <c r="J181"/>
  <c r="H181"/>
  <c r="D181"/>
  <c r="C181"/>
  <c r="J180"/>
  <c r="H180"/>
  <c r="D180"/>
  <c r="C180"/>
  <c r="J179"/>
  <c r="H179"/>
  <c r="D179"/>
  <c r="C179"/>
  <c r="J178"/>
  <c r="H178"/>
  <c r="D178"/>
  <c r="C178"/>
  <c r="J177"/>
  <c r="H177"/>
  <c r="D177"/>
  <c r="C177"/>
  <c r="J176"/>
  <c r="H176"/>
  <c r="D176"/>
  <c r="C176"/>
  <c r="J175"/>
  <c r="H175"/>
  <c r="D175"/>
  <c r="C175"/>
  <c r="J174"/>
  <c r="H174"/>
  <c r="D174"/>
  <c r="C174"/>
  <c r="J173"/>
  <c r="H173"/>
  <c r="D173"/>
  <c r="C173"/>
  <c r="J172"/>
  <c r="H172"/>
  <c r="D172"/>
  <c r="C172"/>
  <c r="J171"/>
  <c r="H171"/>
  <c r="D171"/>
  <c r="C171"/>
  <c r="J170"/>
  <c r="H170"/>
  <c r="D170"/>
  <c r="C170"/>
  <c r="J169"/>
  <c r="H169"/>
  <c r="D169"/>
  <c r="C169"/>
  <c r="J168"/>
  <c r="H168"/>
  <c r="D168"/>
  <c r="C168"/>
  <c r="J167"/>
  <c r="H167"/>
  <c r="D167"/>
  <c r="C167"/>
  <c r="J166"/>
  <c r="H166"/>
  <c r="D166"/>
  <c r="C166"/>
  <c r="J165"/>
  <c r="H165"/>
  <c r="D165"/>
  <c r="C165"/>
  <c r="J164"/>
  <c r="H164"/>
  <c r="D164"/>
  <c r="C164"/>
  <c r="J163"/>
  <c r="H163"/>
  <c r="D163"/>
  <c r="C163"/>
  <c r="J162"/>
  <c r="H162"/>
  <c r="D162"/>
  <c r="C162"/>
  <c r="J161"/>
  <c r="H161"/>
  <c r="D161"/>
  <c r="C161"/>
  <c r="J160"/>
  <c r="H160"/>
  <c r="D160"/>
  <c r="C160"/>
  <c r="J159"/>
  <c r="H159"/>
  <c r="D159"/>
  <c r="C159"/>
  <c r="L158"/>
  <c r="J158"/>
  <c r="H158"/>
  <c r="D158"/>
  <c r="C158"/>
  <c r="J157"/>
  <c r="H157"/>
  <c r="D157"/>
  <c r="C157"/>
  <c r="J156"/>
  <c r="H156"/>
  <c r="D156"/>
  <c r="C156"/>
  <c r="J155"/>
  <c r="H155"/>
  <c r="D155"/>
  <c r="C155"/>
  <c r="J154"/>
  <c r="H154"/>
  <c r="D154"/>
  <c r="C154"/>
  <c r="J153"/>
  <c r="H153"/>
  <c r="D153"/>
  <c r="C153"/>
  <c r="J152"/>
  <c r="H152"/>
  <c r="D152"/>
  <c r="C152"/>
  <c r="J151"/>
  <c r="H151"/>
  <c r="D151"/>
  <c r="C151"/>
  <c r="J150"/>
  <c r="H150"/>
  <c r="D150"/>
  <c r="C150"/>
  <c r="J149"/>
  <c r="H149"/>
  <c r="D149"/>
  <c r="C149"/>
  <c r="J148"/>
  <c r="H148"/>
  <c r="D148"/>
  <c r="C148"/>
  <c r="J147"/>
  <c r="H147"/>
  <c r="D147"/>
  <c r="C147"/>
  <c r="J146"/>
  <c r="H146"/>
  <c r="D146"/>
  <c r="C146"/>
  <c r="J145"/>
  <c r="H145"/>
  <c r="D145"/>
  <c r="C145"/>
  <c r="J144"/>
  <c r="H144"/>
  <c r="D144"/>
  <c r="C144"/>
  <c r="J143"/>
  <c r="H143"/>
  <c r="D143"/>
  <c r="C143"/>
  <c r="J142"/>
  <c r="H142"/>
  <c r="D142"/>
  <c r="C142"/>
  <c r="J141"/>
  <c r="H141"/>
  <c r="D141"/>
  <c r="C141"/>
  <c r="J140"/>
  <c r="H140"/>
  <c r="D140"/>
  <c r="C140"/>
  <c r="J139"/>
  <c r="H139"/>
  <c r="D139"/>
  <c r="C139"/>
  <c r="J138"/>
  <c r="H138"/>
  <c r="D138"/>
  <c r="C138"/>
  <c r="L137"/>
  <c r="J137"/>
  <c r="H137"/>
  <c r="D137"/>
  <c r="C137"/>
  <c r="J136"/>
  <c r="H136"/>
  <c r="D136"/>
  <c r="C136"/>
  <c r="J135"/>
  <c r="H135"/>
  <c r="D135"/>
  <c r="C135"/>
  <c r="H134"/>
  <c r="D134"/>
  <c r="C134"/>
  <c r="J133"/>
  <c r="H133"/>
  <c r="D133"/>
  <c r="C133"/>
  <c r="J132"/>
  <c r="H132"/>
  <c r="D132"/>
  <c r="C132"/>
  <c r="J131"/>
  <c r="H131"/>
  <c r="D131"/>
  <c r="C131"/>
  <c r="L130"/>
  <c r="J130"/>
  <c r="H130"/>
  <c r="D130"/>
  <c r="C130"/>
  <c r="J129"/>
  <c r="H129"/>
  <c r="D129"/>
  <c r="C129"/>
  <c r="J128"/>
  <c r="H128"/>
  <c r="D128"/>
  <c r="C128"/>
  <c r="J127"/>
  <c r="H127"/>
  <c r="D127"/>
  <c r="C127"/>
  <c r="J126"/>
  <c r="H126"/>
  <c r="D126"/>
  <c r="C126"/>
  <c r="J125"/>
  <c r="H125"/>
  <c r="D125"/>
  <c r="C125"/>
  <c r="J124"/>
  <c r="H124"/>
  <c r="D124"/>
  <c r="C124"/>
  <c r="J123"/>
  <c r="H123"/>
  <c r="D123"/>
  <c r="C123"/>
  <c r="L122"/>
  <c r="J122"/>
  <c r="H122"/>
  <c r="D122"/>
  <c r="C122"/>
  <c r="J121"/>
  <c r="H121"/>
  <c r="D121"/>
  <c r="C121"/>
  <c r="J120"/>
  <c r="H120"/>
  <c r="D120"/>
  <c r="C120"/>
  <c r="J119"/>
  <c r="H119"/>
  <c r="D119"/>
  <c r="C119"/>
  <c r="J118"/>
  <c r="H118"/>
  <c r="D118"/>
  <c r="C118"/>
  <c r="J117"/>
  <c r="H117"/>
  <c r="D117"/>
  <c r="C117"/>
  <c r="L116"/>
  <c r="J116"/>
  <c r="H116"/>
  <c r="D116"/>
  <c r="C116"/>
  <c r="J115"/>
  <c r="H115"/>
  <c r="D115"/>
  <c r="C115"/>
  <c r="L114"/>
  <c r="J114"/>
  <c r="H114"/>
  <c r="D114"/>
  <c r="C114"/>
  <c r="J113"/>
  <c r="H113"/>
  <c r="D113"/>
  <c r="C113"/>
  <c r="J112"/>
  <c r="H112"/>
  <c r="D112"/>
  <c r="C112"/>
  <c r="J111"/>
  <c r="H111"/>
  <c r="D111"/>
  <c r="C111"/>
  <c r="J110"/>
  <c r="H110"/>
  <c r="D110"/>
  <c r="C110"/>
  <c r="J109"/>
  <c r="H109"/>
  <c r="D109"/>
  <c r="C109"/>
  <c r="J108"/>
  <c r="H108"/>
  <c r="D108"/>
  <c r="C108"/>
  <c r="J107"/>
  <c r="H107"/>
  <c r="D107"/>
  <c r="C107"/>
  <c r="J106"/>
  <c r="H106"/>
  <c r="D106"/>
  <c r="C106"/>
  <c r="J105"/>
  <c r="H105"/>
  <c r="D105"/>
  <c r="C105"/>
  <c r="J104"/>
  <c r="H104"/>
  <c r="D104"/>
  <c r="C104"/>
  <c r="L103"/>
  <c r="J103"/>
  <c r="H103"/>
  <c r="D103"/>
  <c r="C103"/>
  <c r="L102"/>
  <c r="J102"/>
  <c r="H102"/>
  <c r="D102"/>
  <c r="C102"/>
  <c r="J101"/>
  <c r="H101"/>
  <c r="D101"/>
  <c r="C101"/>
  <c r="J100"/>
  <c r="H100"/>
  <c r="D100"/>
  <c r="C100"/>
  <c r="J99"/>
  <c r="H99"/>
  <c r="D99"/>
  <c r="C99"/>
  <c r="L98"/>
  <c r="J98"/>
  <c r="H98"/>
  <c r="D98"/>
  <c r="C98"/>
  <c r="J97"/>
  <c r="H97"/>
  <c r="D97"/>
  <c r="C97"/>
  <c r="L96"/>
  <c r="J96"/>
  <c r="H96"/>
  <c r="D96"/>
  <c r="C96"/>
  <c r="J95"/>
  <c r="H95"/>
  <c r="D95"/>
  <c r="C95"/>
  <c r="J94"/>
  <c r="H94"/>
  <c r="D94"/>
  <c r="C94"/>
  <c r="J93"/>
  <c r="H93"/>
  <c r="D93"/>
  <c r="C93"/>
  <c r="J92"/>
  <c r="H92"/>
  <c r="D92"/>
  <c r="C92"/>
  <c r="J91"/>
  <c r="H91"/>
  <c r="D91"/>
  <c r="C91"/>
  <c r="H90"/>
  <c r="D90"/>
  <c r="C90"/>
  <c r="J89"/>
  <c r="H89"/>
  <c r="D89"/>
  <c r="C89"/>
  <c r="J88"/>
  <c r="H88"/>
  <c r="D88"/>
  <c r="C88"/>
  <c r="J87"/>
  <c r="H87"/>
  <c r="D87"/>
  <c r="C87"/>
  <c r="J86"/>
  <c r="H86"/>
  <c r="D86"/>
  <c r="C86"/>
  <c r="J85"/>
  <c r="H85"/>
  <c r="D85"/>
  <c r="C85"/>
  <c r="L84"/>
  <c r="J84"/>
  <c r="H84"/>
  <c r="D84"/>
  <c r="C84"/>
  <c r="J83"/>
  <c r="H83"/>
  <c r="D83"/>
  <c r="C83"/>
  <c r="J82"/>
  <c r="H82"/>
  <c r="D82"/>
  <c r="C82"/>
  <c r="J81"/>
  <c r="H81"/>
  <c r="D81"/>
  <c r="C81"/>
  <c r="J80"/>
  <c r="H80"/>
  <c r="D80"/>
  <c r="C80"/>
  <c r="J79"/>
  <c r="H79"/>
  <c r="D79"/>
  <c r="C79"/>
  <c r="L78"/>
  <c r="J78"/>
  <c r="H78"/>
  <c r="D78"/>
  <c r="C78"/>
  <c r="J77"/>
  <c r="H77"/>
  <c r="D77"/>
  <c r="C77"/>
  <c r="J76"/>
  <c r="H76"/>
  <c r="D76"/>
  <c r="C76"/>
  <c r="J75"/>
  <c r="H75"/>
  <c r="D75"/>
  <c r="C75"/>
  <c r="J74"/>
  <c r="H74"/>
  <c r="D74"/>
  <c r="C74"/>
  <c r="H73"/>
  <c r="D73"/>
  <c r="C73"/>
  <c r="J72"/>
  <c r="H72"/>
  <c r="D72"/>
  <c r="C72"/>
  <c r="J71"/>
  <c r="H71"/>
  <c r="D71"/>
  <c r="C71"/>
  <c r="J70"/>
  <c r="H70"/>
  <c r="D70"/>
  <c r="C70"/>
  <c r="J69"/>
  <c r="H69"/>
  <c r="D69"/>
  <c r="C69"/>
  <c r="J68"/>
  <c r="H68"/>
  <c r="D68"/>
  <c r="C68"/>
  <c r="J67"/>
  <c r="H67"/>
  <c r="D67"/>
  <c r="C67"/>
  <c r="J66"/>
  <c r="H66"/>
  <c r="D66"/>
  <c r="C66"/>
  <c r="J65"/>
  <c r="H65"/>
  <c r="D65"/>
  <c r="C65"/>
  <c r="J64"/>
  <c r="H64"/>
  <c r="D64"/>
  <c r="C64"/>
  <c r="J63"/>
  <c r="H63"/>
  <c r="D63"/>
  <c r="C63"/>
  <c r="L62"/>
  <c r="J62"/>
  <c r="H62"/>
  <c r="D62"/>
  <c r="C62"/>
  <c r="J61"/>
  <c r="H61"/>
  <c r="D61"/>
  <c r="C61"/>
  <c r="J60"/>
  <c r="H60"/>
  <c r="D60"/>
  <c r="C60"/>
  <c r="J59"/>
  <c r="H59"/>
  <c r="D59"/>
  <c r="C59"/>
  <c r="J58"/>
  <c r="H58"/>
  <c r="D58"/>
  <c r="C58"/>
  <c r="J57"/>
  <c r="H57"/>
  <c r="D57"/>
  <c r="C57"/>
  <c r="J56"/>
  <c r="H56"/>
  <c r="D56"/>
  <c r="C56"/>
  <c r="J55"/>
  <c r="H55"/>
  <c r="D55"/>
  <c r="C55"/>
  <c r="L54"/>
  <c r="J54"/>
  <c r="H54"/>
  <c r="D54"/>
  <c r="C54"/>
  <c r="H53"/>
  <c r="D53"/>
  <c r="C53"/>
  <c r="J52"/>
  <c r="H52"/>
  <c r="D52"/>
  <c r="C52"/>
  <c r="J51"/>
  <c r="H51"/>
  <c r="D51"/>
  <c r="C51"/>
  <c r="J50"/>
  <c r="H50"/>
  <c r="D50"/>
  <c r="C50"/>
  <c r="L49"/>
  <c r="J49"/>
  <c r="H49"/>
  <c r="D49"/>
  <c r="C49"/>
  <c r="J48"/>
  <c r="H48"/>
  <c r="D48"/>
  <c r="C48"/>
  <c r="J47"/>
  <c r="H47"/>
  <c r="D47"/>
  <c r="C47"/>
  <c r="L46"/>
  <c r="J46"/>
  <c r="H46"/>
  <c r="D46"/>
  <c r="C46"/>
  <c r="J45"/>
  <c r="H45"/>
  <c r="D45"/>
  <c r="C45"/>
  <c r="J44"/>
  <c r="H44"/>
  <c r="D44"/>
  <c r="C44"/>
  <c r="J43"/>
  <c r="H43"/>
  <c r="D43"/>
  <c r="C43"/>
  <c r="J42"/>
  <c r="H42"/>
  <c r="D42"/>
  <c r="C42"/>
  <c r="J41"/>
  <c r="H41"/>
  <c r="D41"/>
  <c r="C41"/>
  <c r="J40"/>
  <c r="H40"/>
  <c r="D40"/>
  <c r="C40"/>
  <c r="J36"/>
  <c r="H36"/>
  <c r="D36"/>
  <c r="C36"/>
  <c r="J35"/>
  <c r="H35"/>
  <c r="D35"/>
  <c r="C35"/>
  <c r="J34"/>
  <c r="H34"/>
  <c r="D34"/>
  <c r="C34"/>
  <c r="J33"/>
  <c r="H33"/>
  <c r="D33"/>
  <c r="C33"/>
  <c r="J32"/>
  <c r="H32"/>
  <c r="D32"/>
  <c r="C32"/>
  <c r="J31"/>
  <c r="H31"/>
  <c r="D31"/>
  <c r="C31"/>
  <c r="H30"/>
  <c r="D30"/>
  <c r="C30"/>
  <c r="J29"/>
  <c r="H29"/>
  <c r="D29"/>
  <c r="C29"/>
  <c r="J28"/>
  <c r="H28"/>
  <c r="D28"/>
  <c r="C28"/>
  <c r="J27"/>
  <c r="H27"/>
  <c r="D27"/>
  <c r="C27"/>
  <c r="J26"/>
  <c r="H26"/>
  <c r="D26"/>
  <c r="C26"/>
  <c r="J25"/>
  <c r="H25"/>
  <c r="D25"/>
  <c r="C25"/>
  <c r="J24"/>
  <c r="H24"/>
  <c r="D24"/>
  <c r="C24"/>
  <c r="J23"/>
  <c r="H23"/>
  <c r="D23"/>
  <c r="C23"/>
  <c r="J22"/>
  <c r="H22"/>
  <c r="D22"/>
  <c r="C22"/>
  <c r="J21"/>
  <c r="H21"/>
  <c r="D21"/>
  <c r="C21"/>
  <c r="J20"/>
  <c r="H20"/>
  <c r="D20"/>
  <c r="C20"/>
  <c r="J19"/>
  <c r="H19"/>
  <c r="D19"/>
  <c r="C19"/>
  <c r="J18"/>
  <c r="H18"/>
  <c r="D18"/>
  <c r="C18"/>
  <c r="J17"/>
  <c r="H17"/>
  <c r="D17"/>
  <c r="C17"/>
  <c r="J16"/>
  <c r="H16"/>
  <c r="D16"/>
  <c r="C16"/>
  <c r="J15"/>
  <c r="H15"/>
  <c r="D15"/>
  <c r="C15"/>
  <c r="J14"/>
  <c r="H14"/>
  <c r="D14"/>
  <c r="C14"/>
  <c r="AB438" i="43"/>
  <c r="AA438"/>
  <c r="W438"/>
  <c r="V438"/>
  <c r="N438"/>
  <c r="J438"/>
  <c r="H438"/>
  <c r="D438"/>
  <c r="C438"/>
  <c r="AB437"/>
  <c r="AA437"/>
  <c r="W437"/>
  <c r="V437"/>
  <c r="N437"/>
  <c r="J437"/>
  <c r="H437"/>
  <c r="D437"/>
  <c r="C437"/>
  <c r="AB436"/>
  <c r="AA436"/>
  <c r="W436"/>
  <c r="V436"/>
  <c r="N436"/>
  <c r="J436"/>
  <c r="H436"/>
  <c r="D436"/>
  <c r="C436"/>
  <c r="AB435"/>
  <c r="AA435"/>
  <c r="W435"/>
  <c r="V435"/>
  <c r="N435"/>
  <c r="J435"/>
  <c r="H435"/>
  <c r="D435"/>
  <c r="C435"/>
  <c r="AB434"/>
  <c r="AA434"/>
  <c r="W434"/>
  <c r="V434"/>
  <c r="N434"/>
  <c r="J434"/>
  <c r="H434"/>
  <c r="D434"/>
  <c r="C434"/>
  <c r="AB433"/>
  <c r="AA433"/>
  <c r="W433"/>
  <c r="V433"/>
  <c r="N433"/>
  <c r="J433"/>
  <c r="H433"/>
  <c r="D433"/>
  <c r="C433"/>
  <c r="AB432"/>
  <c r="AA432"/>
  <c r="W432"/>
  <c r="V432"/>
  <c r="N432"/>
  <c r="J432"/>
  <c r="H432"/>
  <c r="D432"/>
  <c r="C432"/>
  <c r="AB431"/>
  <c r="AA431"/>
  <c r="W431"/>
  <c r="V431"/>
  <c r="N431"/>
  <c r="J431"/>
  <c r="H431"/>
  <c r="D431"/>
  <c r="C431"/>
  <c r="AB430"/>
  <c r="AA430"/>
  <c r="W430"/>
  <c r="V430"/>
  <c r="N430"/>
  <c r="J430"/>
  <c r="H430"/>
  <c r="D430"/>
  <c r="C430"/>
  <c r="AB429"/>
  <c r="AA429"/>
  <c r="W429"/>
  <c r="V429"/>
  <c r="N429"/>
  <c r="J429"/>
  <c r="H429"/>
  <c r="D429"/>
  <c r="C429"/>
  <c r="AB428"/>
  <c r="AA428"/>
  <c r="W428"/>
  <c r="V428"/>
  <c r="N428"/>
  <c r="J428"/>
  <c r="H428"/>
  <c r="D428"/>
  <c r="C428"/>
  <c r="AB427"/>
  <c r="AA427"/>
  <c r="W427"/>
  <c r="V427"/>
  <c r="N427"/>
  <c r="J427"/>
  <c r="H427"/>
  <c r="D427"/>
  <c r="C427"/>
  <c r="AB426"/>
  <c r="AA426"/>
  <c r="W426"/>
  <c r="V426"/>
  <c r="N426"/>
  <c r="J426"/>
  <c r="H426"/>
  <c r="D426"/>
  <c r="C426"/>
  <c r="AB425"/>
  <c r="AA425"/>
  <c r="W425"/>
  <c r="V425"/>
  <c r="N425"/>
  <c r="J425"/>
  <c r="H425"/>
  <c r="D425"/>
  <c r="C425"/>
  <c r="AB424"/>
  <c r="AA424"/>
  <c r="W424"/>
  <c r="V424"/>
  <c r="N424"/>
  <c r="J424"/>
  <c r="H424"/>
  <c r="D424"/>
  <c r="C424"/>
  <c r="AB423"/>
  <c r="AA423"/>
  <c r="W423"/>
  <c r="V423"/>
  <c r="N423"/>
  <c r="J423"/>
  <c r="H423"/>
  <c r="D423"/>
  <c r="C423"/>
  <c r="AB422"/>
  <c r="AA422"/>
  <c r="W422"/>
  <c r="V422"/>
  <c r="N422"/>
  <c r="J422"/>
  <c r="H422"/>
  <c r="D422"/>
  <c r="C422"/>
  <c r="AB421"/>
  <c r="AA421"/>
  <c r="W421"/>
  <c r="V421"/>
  <c r="N421"/>
  <c r="J421"/>
  <c r="H421"/>
  <c r="D421"/>
  <c r="C421"/>
  <c r="AB420"/>
  <c r="AA420"/>
  <c r="W420"/>
  <c r="V420"/>
  <c r="N420"/>
  <c r="H420"/>
  <c r="D420"/>
  <c r="C420"/>
  <c r="AB419"/>
  <c r="AA419"/>
  <c r="W419"/>
  <c r="V419"/>
  <c r="N419"/>
  <c r="J419"/>
  <c r="H419"/>
  <c r="D419"/>
  <c r="C419"/>
  <c r="AB418"/>
  <c r="AA418"/>
  <c r="W418"/>
  <c r="V418"/>
  <c r="N418"/>
  <c r="J418"/>
  <c r="H418"/>
  <c r="D418"/>
  <c r="C418"/>
  <c r="AB417"/>
  <c r="AA417"/>
  <c r="W417"/>
  <c r="V417"/>
  <c r="N417"/>
  <c r="J417"/>
  <c r="H417"/>
  <c r="D417"/>
  <c r="C417"/>
  <c r="AB416"/>
  <c r="AA416"/>
  <c r="W416"/>
  <c r="V416"/>
  <c r="N416"/>
  <c r="J416"/>
  <c r="H416"/>
  <c r="D416"/>
  <c r="C416"/>
  <c r="AB415"/>
  <c r="AA415"/>
  <c r="W415"/>
  <c r="V415"/>
  <c r="N415"/>
  <c r="J415"/>
  <c r="H415"/>
  <c r="D415"/>
  <c r="C415"/>
  <c r="AB414"/>
  <c r="AA414"/>
  <c r="W414"/>
  <c r="V414"/>
  <c r="N414"/>
  <c r="J414"/>
  <c r="H414"/>
  <c r="D414"/>
  <c r="C414"/>
  <c r="AB413"/>
  <c r="AA413"/>
  <c r="W413"/>
  <c r="V413"/>
  <c r="N413"/>
  <c r="J413"/>
  <c r="H413"/>
  <c r="D413"/>
  <c r="C413"/>
  <c r="AB412"/>
  <c r="AA412"/>
  <c r="W412"/>
  <c r="V412"/>
  <c r="N412"/>
  <c r="J412"/>
  <c r="H412"/>
  <c r="D412"/>
  <c r="C412"/>
  <c r="AB411"/>
  <c r="AA411"/>
  <c r="W411"/>
  <c r="V411"/>
  <c r="N411"/>
  <c r="J411"/>
  <c r="H411"/>
  <c r="D411"/>
  <c r="C411"/>
  <c r="AB410"/>
  <c r="AA410"/>
  <c r="W410"/>
  <c r="V410"/>
  <c r="N410"/>
  <c r="J410"/>
  <c r="H410"/>
  <c r="D410"/>
  <c r="C410"/>
  <c r="AB409"/>
  <c r="AA409"/>
  <c r="W409"/>
  <c r="V409"/>
  <c r="N409"/>
  <c r="J409"/>
  <c r="H409"/>
  <c r="D409"/>
  <c r="C409"/>
  <c r="AB408"/>
  <c r="AA408"/>
  <c r="W408"/>
  <c r="V408"/>
  <c r="N408"/>
  <c r="J408"/>
  <c r="H408"/>
  <c r="D408"/>
  <c r="C408"/>
  <c r="AB407"/>
  <c r="AA407"/>
  <c r="W407"/>
  <c r="V407"/>
  <c r="N407"/>
  <c r="J407"/>
  <c r="H407"/>
  <c r="D407"/>
  <c r="C407"/>
  <c r="AB406"/>
  <c r="AA406"/>
  <c r="W406"/>
  <c r="V406"/>
  <c r="N406"/>
  <c r="J406"/>
  <c r="H406"/>
  <c r="D406"/>
  <c r="C406"/>
  <c r="AB405"/>
  <c r="AA405"/>
  <c r="W405"/>
  <c r="V405"/>
  <c r="N405"/>
  <c r="J405"/>
  <c r="H405"/>
  <c r="D405"/>
  <c r="C405"/>
  <c r="AB404"/>
  <c r="AA404"/>
  <c r="W404"/>
  <c r="V404"/>
  <c r="N404"/>
  <c r="J404"/>
  <c r="H404"/>
  <c r="D404"/>
  <c r="C404"/>
  <c r="AB403"/>
  <c r="AA403"/>
  <c r="W403"/>
  <c r="V403"/>
  <c r="N403"/>
  <c r="J403"/>
  <c r="H403"/>
  <c r="D403"/>
  <c r="C403"/>
  <c r="AB402"/>
  <c r="AA402"/>
  <c r="W402"/>
  <c r="V402"/>
  <c r="N402"/>
  <c r="J402"/>
  <c r="H402"/>
  <c r="D402"/>
  <c r="C402"/>
  <c r="AB401"/>
  <c r="AA401"/>
  <c r="W401"/>
  <c r="V401"/>
  <c r="N401"/>
  <c r="J401"/>
  <c r="H401"/>
  <c r="D401"/>
  <c r="C401"/>
  <c r="AB400"/>
  <c r="AA400"/>
  <c r="W400"/>
  <c r="V400"/>
  <c r="N400"/>
  <c r="J400"/>
  <c r="H400"/>
  <c r="D400"/>
  <c r="C400"/>
  <c r="AB399"/>
  <c r="AA399"/>
  <c r="W399"/>
  <c r="V399"/>
  <c r="N399"/>
  <c r="J399"/>
  <c r="H399"/>
  <c r="D399"/>
  <c r="C399"/>
  <c r="AB398"/>
  <c r="AA398"/>
  <c r="W398"/>
  <c r="V398"/>
  <c r="N398"/>
  <c r="J398"/>
  <c r="H398"/>
  <c r="D398"/>
  <c r="C398"/>
  <c r="AB397"/>
  <c r="AA397"/>
  <c r="W397"/>
  <c r="V397"/>
  <c r="N397"/>
  <c r="J397"/>
  <c r="H397"/>
  <c r="D397"/>
  <c r="C397"/>
  <c r="AB396"/>
  <c r="AA396"/>
  <c r="W396"/>
  <c r="V396"/>
  <c r="N396"/>
  <c r="J396"/>
  <c r="H396"/>
  <c r="D396"/>
  <c r="C396"/>
  <c r="AB395"/>
  <c r="AA395"/>
  <c r="W395"/>
  <c r="V395"/>
  <c r="N395"/>
  <c r="J395"/>
  <c r="H395"/>
  <c r="D395"/>
  <c r="C395"/>
  <c r="AB394"/>
  <c r="AA394"/>
  <c r="W394"/>
  <c r="V394"/>
  <c r="N394"/>
  <c r="J394"/>
  <c r="H394"/>
  <c r="D394"/>
  <c r="C394"/>
  <c r="AB393"/>
  <c r="AA393"/>
  <c r="W393"/>
  <c r="V393"/>
  <c r="N393"/>
  <c r="J393"/>
  <c r="H393"/>
  <c r="D393"/>
  <c r="C393"/>
  <c r="AB392"/>
  <c r="AA392"/>
  <c r="W392"/>
  <c r="V392"/>
  <c r="N392"/>
  <c r="J392"/>
  <c r="H392"/>
  <c r="D392"/>
  <c r="C392"/>
  <c r="AB391"/>
  <c r="AA391"/>
  <c r="W391"/>
  <c r="V391"/>
  <c r="N391"/>
  <c r="J391"/>
  <c r="H391"/>
  <c r="D391"/>
  <c r="C391"/>
  <c r="AB390"/>
  <c r="AA390"/>
  <c r="W390"/>
  <c r="V390"/>
  <c r="N390"/>
  <c r="J390"/>
  <c r="H390"/>
  <c r="D390"/>
  <c r="C390"/>
  <c r="AB389"/>
  <c r="AA389"/>
  <c r="W389"/>
  <c r="V389"/>
  <c r="N389"/>
  <c r="J389"/>
  <c r="H389"/>
  <c r="D389"/>
  <c r="C389"/>
  <c r="AB388"/>
  <c r="AA388"/>
  <c r="W388"/>
  <c r="V388"/>
  <c r="N388"/>
  <c r="J388"/>
  <c r="H388"/>
  <c r="D388"/>
  <c r="C388"/>
  <c r="AB387"/>
  <c r="AA387"/>
  <c r="W387"/>
  <c r="V387"/>
  <c r="N387"/>
  <c r="J387"/>
  <c r="H387"/>
  <c r="D387"/>
  <c r="C387"/>
  <c r="AB386"/>
  <c r="AA386"/>
  <c r="W386"/>
  <c r="V386"/>
  <c r="N386"/>
  <c r="J386"/>
  <c r="H386"/>
  <c r="D386"/>
  <c r="C386"/>
  <c r="AB385"/>
  <c r="AA385"/>
  <c r="W385"/>
  <c r="V385"/>
  <c r="N385"/>
  <c r="J385"/>
  <c r="H385"/>
  <c r="D385"/>
  <c r="C385"/>
  <c r="AB384"/>
  <c r="AA384"/>
  <c r="W384"/>
  <c r="V384"/>
  <c r="N384"/>
  <c r="J384"/>
  <c r="H384"/>
  <c r="D384"/>
  <c r="C384"/>
  <c r="AB383"/>
  <c r="AA383"/>
  <c r="W383"/>
  <c r="V383"/>
  <c r="N383"/>
  <c r="J383"/>
  <c r="H383"/>
  <c r="D383"/>
  <c r="C383"/>
  <c r="AB382"/>
  <c r="AA382"/>
  <c r="W382"/>
  <c r="V382"/>
  <c r="N382"/>
  <c r="J382"/>
  <c r="H382"/>
  <c r="D382"/>
  <c r="C382"/>
  <c r="AB381"/>
  <c r="AA381"/>
  <c r="W381"/>
  <c r="V381"/>
  <c r="N381"/>
  <c r="J381"/>
  <c r="H381"/>
  <c r="D381"/>
  <c r="C381"/>
  <c r="AB380"/>
  <c r="AA380"/>
  <c r="W380"/>
  <c r="V380"/>
  <c r="N380"/>
  <c r="J380"/>
  <c r="H380"/>
  <c r="D380"/>
  <c r="C380"/>
  <c r="AB379"/>
  <c r="AA379"/>
  <c r="W379"/>
  <c r="V379"/>
  <c r="N379"/>
  <c r="J379"/>
  <c r="H379"/>
  <c r="D379"/>
  <c r="C379"/>
  <c r="AB378"/>
  <c r="AA378"/>
  <c r="W378"/>
  <c r="V378"/>
  <c r="N378"/>
  <c r="J378"/>
  <c r="H378"/>
  <c r="D378"/>
  <c r="C378"/>
  <c r="AB377"/>
  <c r="AA377"/>
  <c r="W377"/>
  <c r="V377"/>
  <c r="N377"/>
  <c r="J377"/>
  <c r="H377"/>
  <c r="D377"/>
  <c r="C377"/>
  <c r="AB376"/>
  <c r="AA376"/>
  <c r="W376"/>
  <c r="V376"/>
  <c r="N376"/>
  <c r="J376"/>
  <c r="H376"/>
  <c r="D376"/>
  <c r="C376"/>
  <c r="AB375"/>
  <c r="AA375"/>
  <c r="W375"/>
  <c r="V375"/>
  <c r="N375"/>
  <c r="J375"/>
  <c r="H375"/>
  <c r="D375"/>
  <c r="C375"/>
  <c r="AB374"/>
  <c r="AA374"/>
  <c r="W374"/>
  <c r="V374"/>
  <c r="N374"/>
  <c r="J374"/>
  <c r="H374"/>
  <c r="D374"/>
  <c r="C374"/>
  <c r="AB373"/>
  <c r="AA373"/>
  <c r="W373"/>
  <c r="V373"/>
  <c r="N373"/>
  <c r="J373"/>
  <c r="H373"/>
  <c r="D373"/>
  <c r="C373"/>
  <c r="AB372"/>
  <c r="AA372"/>
  <c r="W372"/>
  <c r="V372"/>
  <c r="N372"/>
  <c r="J372"/>
  <c r="H372"/>
  <c r="D372"/>
  <c r="C372"/>
  <c r="AB371"/>
  <c r="AA371"/>
  <c r="W371"/>
  <c r="V371"/>
  <c r="N371"/>
  <c r="J371"/>
  <c r="H371"/>
  <c r="D371"/>
  <c r="C371"/>
  <c r="AB370"/>
  <c r="AA370"/>
  <c r="W370"/>
  <c r="V370"/>
  <c r="N370"/>
  <c r="J370"/>
  <c r="H370"/>
  <c r="D370"/>
  <c r="C370"/>
  <c r="AB369"/>
  <c r="AA369"/>
  <c r="W369"/>
  <c r="V369"/>
  <c r="N369"/>
  <c r="J369"/>
  <c r="H369"/>
  <c r="D369"/>
  <c r="C369"/>
  <c r="AB368"/>
  <c r="AA368"/>
  <c r="W368"/>
  <c r="V368"/>
  <c r="N368"/>
  <c r="J368"/>
  <c r="H368"/>
  <c r="D368"/>
  <c r="C368"/>
  <c r="AB367"/>
  <c r="AA367"/>
  <c r="W367"/>
  <c r="V367"/>
  <c r="N367"/>
  <c r="J367"/>
  <c r="H367"/>
  <c r="D367"/>
  <c r="C367"/>
  <c r="AB366"/>
  <c r="AA366"/>
  <c r="W366"/>
  <c r="V366"/>
  <c r="N366"/>
  <c r="J366"/>
  <c r="H366"/>
  <c r="D366"/>
  <c r="C366"/>
  <c r="AB365"/>
  <c r="AA365"/>
  <c r="W365"/>
  <c r="V365"/>
  <c r="N365"/>
  <c r="J365"/>
  <c r="H365"/>
  <c r="D365"/>
  <c r="C365"/>
  <c r="AB364"/>
  <c r="AA364"/>
  <c r="W364"/>
  <c r="V364"/>
  <c r="N364"/>
  <c r="J364"/>
  <c r="H364"/>
  <c r="D364"/>
  <c r="C364"/>
  <c r="AB363"/>
  <c r="AA363"/>
  <c r="W363"/>
  <c r="V363"/>
  <c r="N363"/>
  <c r="J363"/>
  <c r="H363"/>
  <c r="D363"/>
  <c r="C363"/>
  <c r="AB362"/>
  <c r="AA362"/>
  <c r="W362"/>
  <c r="V362"/>
  <c r="N362"/>
  <c r="J362"/>
  <c r="H362"/>
  <c r="D362"/>
  <c r="C362"/>
  <c r="AB361"/>
  <c r="AA361"/>
  <c r="W361"/>
  <c r="V361"/>
  <c r="N361"/>
  <c r="J361"/>
  <c r="H361"/>
  <c r="D361"/>
  <c r="C361"/>
  <c r="AB360"/>
  <c r="AA360"/>
  <c r="W360"/>
  <c r="V360"/>
  <c r="N360"/>
  <c r="J360"/>
  <c r="H360"/>
  <c r="D360"/>
  <c r="C360"/>
  <c r="AB359"/>
  <c r="AA359"/>
  <c r="W359"/>
  <c r="V359"/>
  <c r="N359"/>
  <c r="J359"/>
  <c r="H359"/>
  <c r="D359"/>
  <c r="C359"/>
  <c r="AB358"/>
  <c r="AA358"/>
  <c r="W358"/>
  <c r="V358"/>
  <c r="N358"/>
  <c r="J358"/>
  <c r="H358"/>
  <c r="D358"/>
  <c r="C358"/>
  <c r="AB357"/>
  <c r="AA357"/>
  <c r="W357"/>
  <c r="V357"/>
  <c r="N357"/>
  <c r="J357"/>
  <c r="H357"/>
  <c r="D357"/>
  <c r="C357"/>
  <c r="AB356"/>
  <c r="AA356"/>
  <c r="W356"/>
  <c r="V356"/>
  <c r="N356"/>
  <c r="J356"/>
  <c r="H356"/>
  <c r="D356"/>
  <c r="C356"/>
  <c r="AB355"/>
  <c r="AA355"/>
  <c r="W355"/>
  <c r="V355"/>
  <c r="N355"/>
  <c r="J355"/>
  <c r="H355"/>
  <c r="D355"/>
  <c r="C355"/>
  <c r="AB354"/>
  <c r="AA354"/>
  <c r="W354"/>
  <c r="V354"/>
  <c r="N354"/>
  <c r="J354"/>
  <c r="H354"/>
  <c r="D354"/>
  <c r="C354"/>
  <c r="AB353"/>
  <c r="AA353"/>
  <c r="W353"/>
  <c r="V353"/>
  <c r="N353"/>
  <c r="J353"/>
  <c r="H353"/>
  <c r="D353"/>
  <c r="C353"/>
  <c r="AB352"/>
  <c r="AA352"/>
  <c r="W352"/>
  <c r="V352"/>
  <c r="N352"/>
  <c r="J352"/>
  <c r="H352"/>
  <c r="D352"/>
  <c r="C352"/>
  <c r="AB351"/>
  <c r="AA351"/>
  <c r="W351"/>
  <c r="V351"/>
  <c r="N351"/>
  <c r="J351"/>
  <c r="H351"/>
  <c r="D351"/>
  <c r="C351"/>
  <c r="AB350"/>
  <c r="AA350"/>
  <c r="W350"/>
  <c r="V350"/>
  <c r="N350"/>
  <c r="J350"/>
  <c r="H350"/>
  <c r="D350"/>
  <c r="C350"/>
  <c r="AB349"/>
  <c r="AA349"/>
  <c r="W349"/>
  <c r="V349"/>
  <c r="N349"/>
  <c r="J349"/>
  <c r="H349"/>
  <c r="D349"/>
  <c r="C349"/>
  <c r="AB348"/>
  <c r="AA348"/>
  <c r="W348"/>
  <c r="V348"/>
  <c r="N348"/>
  <c r="J348"/>
  <c r="H348"/>
  <c r="D348"/>
  <c r="C348"/>
  <c r="AB333"/>
  <c r="AA333"/>
  <c r="W333"/>
  <c r="V333"/>
  <c r="N333"/>
  <c r="J333"/>
  <c r="H333"/>
  <c r="D333"/>
  <c r="C333"/>
  <c r="AB332"/>
  <c r="AA332"/>
  <c r="W332"/>
  <c r="V332"/>
  <c r="N332"/>
  <c r="J332"/>
  <c r="H332"/>
  <c r="D332"/>
  <c r="C332"/>
  <c r="AB331"/>
  <c r="AA331"/>
  <c r="W331"/>
  <c r="V331"/>
  <c r="N331"/>
  <c r="J331"/>
  <c r="H331"/>
  <c r="D331"/>
  <c r="C331"/>
  <c r="AB330"/>
  <c r="AA330"/>
  <c r="W330"/>
  <c r="V330"/>
  <c r="N330"/>
  <c r="J330"/>
  <c r="H330"/>
  <c r="D330"/>
  <c r="C330"/>
  <c r="AB329"/>
  <c r="AA329"/>
  <c r="W329"/>
  <c r="V329"/>
  <c r="N329"/>
  <c r="J329"/>
  <c r="H329"/>
  <c r="D329"/>
  <c r="C329"/>
  <c r="AB328"/>
  <c r="AA328"/>
  <c r="W328"/>
  <c r="V328"/>
  <c r="N328"/>
  <c r="J328"/>
  <c r="H328"/>
  <c r="D328"/>
  <c r="C328"/>
  <c r="AB327"/>
  <c r="AA327"/>
  <c r="W327"/>
  <c r="V327"/>
  <c r="N327"/>
  <c r="J327"/>
  <c r="H327"/>
  <c r="D327"/>
  <c r="C327"/>
  <c r="AB326"/>
  <c r="AA326"/>
  <c r="W326"/>
  <c r="V326"/>
  <c r="N326"/>
  <c r="J326"/>
  <c r="H326"/>
  <c r="D326"/>
  <c r="C326"/>
  <c r="AB325"/>
  <c r="AA325"/>
  <c r="W325"/>
  <c r="V325"/>
  <c r="N325"/>
  <c r="J325"/>
  <c r="H325"/>
  <c r="D325"/>
  <c r="C325"/>
  <c r="AB324"/>
  <c r="AA324"/>
  <c r="W324"/>
  <c r="V324"/>
  <c r="N324"/>
  <c r="J324"/>
  <c r="H324"/>
  <c r="D324"/>
  <c r="C324"/>
  <c r="AB323"/>
  <c r="AA323"/>
  <c r="W323"/>
  <c r="V323"/>
  <c r="N323"/>
  <c r="J323"/>
  <c r="H323"/>
  <c r="D323"/>
  <c r="C323"/>
  <c r="AB322"/>
  <c r="AA322"/>
  <c r="W322"/>
  <c r="V322"/>
  <c r="N322"/>
  <c r="J322"/>
  <c r="H322"/>
  <c r="D322"/>
  <c r="C322"/>
  <c r="AB321"/>
  <c r="AA321"/>
  <c r="W321"/>
  <c r="V321"/>
  <c r="N321"/>
  <c r="J321"/>
  <c r="H321"/>
  <c r="D321"/>
  <c r="C321"/>
  <c r="AB320"/>
  <c r="AA320"/>
  <c r="W320"/>
  <c r="V320"/>
  <c r="N320"/>
  <c r="J320"/>
  <c r="H320"/>
  <c r="D320"/>
  <c r="C320"/>
  <c r="AB319"/>
  <c r="AA319"/>
  <c r="W319"/>
  <c r="V319"/>
  <c r="N319"/>
  <c r="J319"/>
  <c r="H319"/>
  <c r="D319"/>
  <c r="C319"/>
  <c r="AB318"/>
  <c r="AA318"/>
  <c r="W318"/>
  <c r="V318"/>
  <c r="N318"/>
  <c r="J318"/>
  <c r="H318"/>
  <c r="D318"/>
  <c r="C318"/>
  <c r="AB317"/>
  <c r="AA317"/>
  <c r="W317"/>
  <c r="V317"/>
  <c r="N317"/>
  <c r="J317"/>
  <c r="H317"/>
  <c r="D317"/>
  <c r="C317"/>
  <c r="AB316"/>
  <c r="AA316"/>
  <c r="W316"/>
  <c r="V316"/>
  <c r="N316"/>
  <c r="J316"/>
  <c r="H316"/>
  <c r="D316"/>
  <c r="C316"/>
  <c r="AB315"/>
  <c r="AA315"/>
  <c r="W315"/>
  <c r="V315"/>
  <c r="N315"/>
  <c r="J315"/>
  <c r="H315"/>
  <c r="D315"/>
  <c r="C315"/>
  <c r="AB314"/>
  <c r="AA314"/>
  <c r="W314"/>
  <c r="V314"/>
  <c r="N314"/>
  <c r="J314"/>
  <c r="H314"/>
  <c r="D314"/>
  <c r="C314"/>
  <c r="AB313"/>
  <c r="AA313"/>
  <c r="W313"/>
  <c r="V313"/>
  <c r="N313"/>
  <c r="J313"/>
  <c r="H313"/>
  <c r="D313"/>
  <c r="C313"/>
  <c r="AB312"/>
  <c r="AA312"/>
  <c r="W312"/>
  <c r="V312"/>
  <c r="N312"/>
  <c r="J312"/>
  <c r="H312"/>
  <c r="D312"/>
  <c r="C312"/>
  <c r="AB311"/>
  <c r="AA311"/>
  <c r="W311"/>
  <c r="V311"/>
  <c r="U311"/>
  <c r="T311"/>
  <c r="N311"/>
  <c r="J311"/>
  <c r="H311"/>
  <c r="D311"/>
  <c r="C311"/>
  <c r="AB310"/>
  <c r="AA310"/>
  <c r="W310"/>
  <c r="V310"/>
  <c r="N310"/>
  <c r="J310"/>
  <c r="H310"/>
  <c r="D310"/>
  <c r="C310"/>
  <c r="AB309"/>
  <c r="AA309"/>
  <c r="W309"/>
  <c r="V309"/>
  <c r="N309"/>
  <c r="J309"/>
  <c r="H309"/>
  <c r="D309"/>
  <c r="C309"/>
  <c r="AB308"/>
  <c r="AA308"/>
  <c r="W308"/>
  <c r="V308"/>
  <c r="N308"/>
  <c r="J308"/>
  <c r="H308"/>
  <c r="D308"/>
  <c r="C308"/>
  <c r="AB307"/>
  <c r="AA307"/>
  <c r="W307"/>
  <c r="V307"/>
  <c r="N307"/>
  <c r="J307"/>
  <c r="H307"/>
  <c r="D307"/>
  <c r="C307"/>
  <c r="AB306"/>
  <c r="AA306"/>
  <c r="W306"/>
  <c r="V306"/>
  <c r="N306"/>
  <c r="J306"/>
  <c r="H306"/>
  <c r="D306"/>
  <c r="C306"/>
  <c r="AB305"/>
  <c r="AA305"/>
  <c r="W305"/>
  <c r="V305"/>
  <c r="N305"/>
  <c r="J305"/>
  <c r="H305"/>
  <c r="D305"/>
  <c r="C305"/>
  <c r="AB304"/>
  <c r="AA304"/>
  <c r="W304"/>
  <c r="V304"/>
  <c r="N304"/>
  <c r="J304"/>
  <c r="H304"/>
  <c r="D304"/>
  <c r="C304"/>
  <c r="AB303"/>
  <c r="AA303"/>
  <c r="W303"/>
  <c r="V303"/>
  <c r="N303"/>
  <c r="J303"/>
  <c r="H303"/>
  <c r="D303"/>
  <c r="C303"/>
  <c r="AB302"/>
  <c r="AA302"/>
  <c r="W302"/>
  <c r="V302"/>
  <c r="N302"/>
  <c r="J302"/>
  <c r="H302"/>
  <c r="D302"/>
  <c r="C302"/>
  <c r="AB301"/>
  <c r="AA301"/>
  <c r="W301"/>
  <c r="V301"/>
  <c r="N301"/>
  <c r="J301"/>
  <c r="H301"/>
  <c r="D301"/>
  <c r="C301"/>
  <c r="AB300"/>
  <c r="AA300"/>
  <c r="W300"/>
  <c r="V300"/>
  <c r="N300"/>
  <c r="J300"/>
  <c r="H300"/>
  <c r="D300"/>
  <c r="C300"/>
  <c r="AB299"/>
  <c r="AA299"/>
  <c r="W299"/>
  <c r="V299"/>
  <c r="N299"/>
  <c r="J299"/>
  <c r="H299"/>
  <c r="D299"/>
  <c r="C299"/>
  <c r="AB298"/>
  <c r="AA298"/>
  <c r="W298"/>
  <c r="V298"/>
  <c r="N298"/>
  <c r="J298"/>
  <c r="H298"/>
  <c r="D298"/>
  <c r="C298"/>
  <c r="AB297"/>
  <c r="AA297"/>
  <c r="W297"/>
  <c r="V297"/>
  <c r="N297"/>
  <c r="J297"/>
  <c r="H297"/>
  <c r="D297"/>
  <c r="C297"/>
  <c r="AB296"/>
  <c r="AA296"/>
  <c r="W296"/>
  <c r="V296"/>
  <c r="N296"/>
  <c r="H296"/>
  <c r="D296"/>
  <c r="C296"/>
  <c r="AB295"/>
  <c r="AA295"/>
  <c r="W295"/>
  <c r="V295"/>
  <c r="N295"/>
  <c r="J295"/>
  <c r="H295"/>
  <c r="D295"/>
  <c r="C295"/>
  <c r="AB294"/>
  <c r="AA294"/>
  <c r="W294"/>
  <c r="V294"/>
  <c r="N294"/>
  <c r="J294"/>
  <c r="H294"/>
  <c r="D294"/>
  <c r="C294"/>
  <c r="AB293"/>
  <c r="AA293"/>
  <c r="W293"/>
  <c r="V293"/>
  <c r="N293"/>
  <c r="J293"/>
  <c r="H293"/>
  <c r="D293"/>
  <c r="C293"/>
  <c r="AB292"/>
  <c r="AA292"/>
  <c r="W292"/>
  <c r="V292"/>
  <c r="N292"/>
  <c r="J292"/>
  <c r="H292"/>
  <c r="D292"/>
  <c r="C292"/>
  <c r="AB291"/>
  <c r="AA291"/>
  <c r="W291"/>
  <c r="V291"/>
  <c r="N291"/>
  <c r="J291"/>
  <c r="H291"/>
  <c r="D291"/>
  <c r="C291"/>
  <c r="AB290"/>
  <c r="AA290"/>
  <c r="W290"/>
  <c r="V290"/>
  <c r="N290"/>
  <c r="J290"/>
  <c r="H290"/>
  <c r="D290"/>
  <c r="C290"/>
  <c r="AB289"/>
  <c r="AA289"/>
  <c r="W289"/>
  <c r="V289"/>
  <c r="N289"/>
  <c r="J289"/>
  <c r="H289"/>
  <c r="D289"/>
  <c r="C289"/>
  <c r="AB288"/>
  <c r="AA288"/>
  <c r="W288"/>
  <c r="V288"/>
  <c r="N288"/>
  <c r="J288"/>
  <c r="H288"/>
  <c r="D288"/>
  <c r="C288"/>
  <c r="AB287"/>
  <c r="AA287"/>
  <c r="W287"/>
  <c r="V287"/>
  <c r="T287"/>
  <c r="N287"/>
  <c r="J287"/>
  <c r="H287"/>
  <c r="D287"/>
  <c r="C287"/>
  <c r="AB286"/>
  <c r="AA286"/>
  <c r="W286"/>
  <c r="V286"/>
  <c r="N286"/>
  <c r="J286"/>
  <c r="H286"/>
  <c r="D286"/>
  <c r="C286"/>
  <c r="AB285"/>
  <c r="AA285"/>
  <c r="W285"/>
  <c r="V285"/>
  <c r="N285"/>
  <c r="J285"/>
  <c r="H285"/>
  <c r="D285"/>
  <c r="C285"/>
  <c r="AB284"/>
  <c r="AA284"/>
  <c r="W284"/>
  <c r="V284"/>
  <c r="N284"/>
  <c r="J284"/>
  <c r="H284"/>
  <c r="D284"/>
  <c r="C284"/>
  <c r="AB283"/>
  <c r="AA283"/>
  <c r="W283"/>
  <c r="V283"/>
  <c r="T283"/>
  <c r="N283"/>
  <c r="J283"/>
  <c r="H283"/>
  <c r="D283"/>
  <c r="C283"/>
  <c r="AB282"/>
  <c r="AA282"/>
  <c r="W282"/>
  <c r="V282"/>
  <c r="N282"/>
  <c r="J282"/>
  <c r="H282"/>
  <c r="D282"/>
  <c r="C282"/>
  <c r="AB281"/>
  <c r="AA281"/>
  <c r="W281"/>
  <c r="V281"/>
  <c r="N281"/>
  <c r="J281"/>
  <c r="H281"/>
  <c r="D281"/>
  <c r="C281"/>
  <c r="AB280"/>
  <c r="AA280"/>
  <c r="W280"/>
  <c r="V280"/>
  <c r="N280"/>
  <c r="J280"/>
  <c r="H280"/>
  <c r="D280"/>
  <c r="C280"/>
  <c r="AB279"/>
  <c r="AA279"/>
  <c r="W279"/>
  <c r="V279"/>
  <c r="N279"/>
  <c r="J279"/>
  <c r="H279"/>
  <c r="D279"/>
  <c r="C279"/>
  <c r="AB278"/>
  <c r="AA278"/>
  <c r="W278"/>
  <c r="V278"/>
  <c r="N278"/>
  <c r="J278"/>
  <c r="H278"/>
  <c r="D278"/>
  <c r="C278"/>
  <c r="AB277"/>
  <c r="AA277"/>
  <c r="W277"/>
  <c r="V277"/>
  <c r="N277"/>
  <c r="J277"/>
  <c r="H277"/>
  <c r="D277"/>
  <c r="C277"/>
  <c r="AB276"/>
  <c r="AA276"/>
  <c r="W276"/>
  <c r="V276"/>
  <c r="N276"/>
  <c r="J276"/>
  <c r="H276"/>
  <c r="D276"/>
  <c r="C276"/>
  <c r="AB275"/>
  <c r="AA275"/>
  <c r="W275"/>
  <c r="V275"/>
  <c r="N275"/>
  <c r="J275"/>
  <c r="H275"/>
  <c r="D275"/>
  <c r="C275"/>
  <c r="AB274"/>
  <c r="AA274"/>
  <c r="W274"/>
  <c r="V274"/>
  <c r="N274"/>
  <c r="J274"/>
  <c r="H274"/>
  <c r="D274"/>
  <c r="C274"/>
  <c r="AB273"/>
  <c r="AA273"/>
  <c r="W273"/>
  <c r="V273"/>
  <c r="N273"/>
  <c r="J273"/>
  <c r="H273"/>
  <c r="D273"/>
  <c r="C273"/>
  <c r="AB272"/>
  <c r="AA272"/>
  <c r="W272"/>
  <c r="V272"/>
  <c r="N272"/>
  <c r="J272"/>
  <c r="H272"/>
  <c r="D272"/>
  <c r="C272"/>
  <c r="AB271"/>
  <c r="AA271"/>
  <c r="W271"/>
  <c r="V271"/>
  <c r="N271"/>
  <c r="J271"/>
  <c r="H271"/>
  <c r="D271"/>
  <c r="C271"/>
  <c r="AB270"/>
  <c r="AA270"/>
  <c r="W270"/>
  <c r="V270"/>
  <c r="N270"/>
  <c r="J270"/>
  <c r="H270"/>
  <c r="D270"/>
  <c r="C270"/>
  <c r="AB269"/>
  <c r="AA269"/>
  <c r="W269"/>
  <c r="V269"/>
  <c r="N269"/>
  <c r="J269"/>
  <c r="H269"/>
  <c r="D269"/>
  <c r="C269"/>
  <c r="AB268"/>
  <c r="AA268"/>
  <c r="W268"/>
  <c r="V268"/>
  <c r="N268"/>
  <c r="J268"/>
  <c r="H268"/>
  <c r="D268"/>
  <c r="C268"/>
  <c r="AB267"/>
  <c r="AA267"/>
  <c r="W267"/>
  <c r="V267"/>
  <c r="N267"/>
  <c r="J267"/>
  <c r="H267"/>
  <c r="D267"/>
  <c r="C267"/>
  <c r="AB266"/>
  <c r="AA266"/>
  <c r="W266"/>
  <c r="V266"/>
  <c r="N266"/>
  <c r="J266"/>
  <c r="H266"/>
  <c r="D266"/>
  <c r="C266"/>
  <c r="AB265"/>
  <c r="AA265"/>
  <c r="W265"/>
  <c r="V265"/>
  <c r="N265"/>
  <c r="J265"/>
  <c r="H265"/>
  <c r="D265"/>
  <c r="C265"/>
  <c r="AB264"/>
  <c r="AA264"/>
  <c r="W264"/>
  <c r="V264"/>
  <c r="N264"/>
  <c r="J264"/>
  <c r="H264"/>
  <c r="D264"/>
  <c r="C264"/>
  <c r="AB263"/>
  <c r="AA263"/>
  <c r="W263"/>
  <c r="V263"/>
  <c r="N263"/>
  <c r="J263"/>
  <c r="H263"/>
  <c r="D263"/>
  <c r="C263"/>
  <c r="AB262"/>
  <c r="AA262"/>
  <c r="W262"/>
  <c r="V262"/>
  <c r="N262"/>
  <c r="J262"/>
  <c r="H262"/>
  <c r="D262"/>
  <c r="C262"/>
  <c r="AB261"/>
  <c r="AA261"/>
  <c r="W261"/>
  <c r="V261"/>
  <c r="N261"/>
  <c r="J261"/>
  <c r="H261"/>
  <c r="D261"/>
  <c r="C261"/>
  <c r="AB260"/>
  <c r="AA260"/>
  <c r="W260"/>
  <c r="V260"/>
  <c r="N260"/>
  <c r="J260"/>
  <c r="H260"/>
  <c r="D260"/>
  <c r="C260"/>
  <c r="AB259"/>
  <c r="AA259"/>
  <c r="W259"/>
  <c r="V259"/>
  <c r="N259"/>
  <c r="J259"/>
  <c r="H259"/>
  <c r="D259"/>
  <c r="C259"/>
  <c r="AB258"/>
  <c r="AA258"/>
  <c r="W258"/>
  <c r="V258"/>
  <c r="N258"/>
  <c r="J258"/>
  <c r="H258"/>
  <c r="D258"/>
  <c r="C258"/>
  <c r="AB257"/>
  <c r="AA257"/>
  <c r="W257"/>
  <c r="V257"/>
  <c r="N257"/>
  <c r="J257"/>
  <c r="H257"/>
  <c r="D257"/>
  <c r="C257"/>
  <c r="AB256"/>
  <c r="AA256"/>
  <c r="W256"/>
  <c r="V256"/>
  <c r="N256"/>
  <c r="J256"/>
  <c r="H256"/>
  <c r="D256"/>
  <c r="C256"/>
  <c r="AB255"/>
  <c r="AA255"/>
  <c r="W255"/>
  <c r="V255"/>
  <c r="N255"/>
  <c r="J255"/>
  <c r="H255"/>
  <c r="D255"/>
  <c r="C255"/>
  <c r="AB254"/>
  <c r="AA254"/>
  <c r="W254"/>
  <c r="V254"/>
  <c r="N254"/>
  <c r="J254"/>
  <c r="H254"/>
  <c r="D254"/>
  <c r="C254"/>
  <c r="AB253"/>
  <c r="AA253"/>
  <c r="W253"/>
  <c r="V253"/>
  <c r="T253"/>
  <c r="N253"/>
  <c r="J253"/>
  <c r="H253"/>
  <c r="D253"/>
  <c r="C253"/>
  <c r="AB252"/>
  <c r="AA252"/>
  <c r="W252"/>
  <c r="V252"/>
  <c r="N252"/>
  <c r="J252"/>
  <c r="H252"/>
  <c r="D252"/>
  <c r="C252"/>
  <c r="AB251"/>
  <c r="AA251"/>
  <c r="W251"/>
  <c r="V251"/>
  <c r="N251"/>
  <c r="J251"/>
  <c r="H251"/>
  <c r="D251"/>
  <c r="C251"/>
  <c r="AB250"/>
  <c r="AA250"/>
  <c r="W250"/>
  <c r="V250"/>
  <c r="N250"/>
  <c r="J250"/>
  <c r="H250"/>
  <c r="D250"/>
  <c r="C250"/>
  <c r="AB249"/>
  <c r="AA249"/>
  <c r="W249"/>
  <c r="V249"/>
  <c r="N249"/>
  <c r="J249"/>
  <c r="H249"/>
  <c r="D249"/>
  <c r="C249"/>
  <c r="AB248"/>
  <c r="AA248"/>
  <c r="W248"/>
  <c r="V248"/>
  <c r="N248"/>
  <c r="J248"/>
  <c r="H248"/>
  <c r="D248"/>
  <c r="C248"/>
  <c r="AB247"/>
  <c r="AA247"/>
  <c r="W247"/>
  <c r="V247"/>
  <c r="N247"/>
  <c r="J247"/>
  <c r="H247"/>
  <c r="D247"/>
  <c r="C247"/>
  <c r="AB246"/>
  <c r="AA246"/>
  <c r="W246"/>
  <c r="V246"/>
  <c r="N246"/>
  <c r="J246"/>
  <c r="H246"/>
  <c r="D246"/>
  <c r="C246"/>
  <c r="AB245"/>
  <c r="AA245"/>
  <c r="W245"/>
  <c r="V245"/>
  <c r="N245"/>
  <c r="J245"/>
  <c r="H245"/>
  <c r="D245"/>
  <c r="C245"/>
  <c r="AB244"/>
  <c r="AA244"/>
  <c r="W244"/>
  <c r="V244"/>
  <c r="N244"/>
  <c r="J244"/>
  <c r="H244"/>
  <c r="D244"/>
  <c r="C244"/>
  <c r="AB243"/>
  <c r="AA243"/>
  <c r="W243"/>
  <c r="V243"/>
  <c r="N243"/>
  <c r="J243"/>
  <c r="H243"/>
  <c r="D243"/>
  <c r="C243"/>
  <c r="AB242"/>
  <c r="AA242"/>
  <c r="W242"/>
  <c r="V242"/>
  <c r="N242"/>
  <c r="J242"/>
  <c r="H242"/>
  <c r="D242"/>
  <c r="C242"/>
  <c r="AB241"/>
  <c r="AA241"/>
  <c r="W241"/>
  <c r="V241"/>
  <c r="N241"/>
  <c r="J241"/>
  <c r="H241"/>
  <c r="D241"/>
  <c r="C241"/>
  <c r="AB240"/>
  <c r="AA240"/>
  <c r="W240"/>
  <c r="V240"/>
  <c r="N240"/>
  <c r="J240"/>
  <c r="H240"/>
  <c r="D240"/>
  <c r="C240"/>
  <c r="AB239"/>
  <c r="AA239"/>
  <c r="W239"/>
  <c r="V239"/>
  <c r="N239"/>
  <c r="J239"/>
  <c r="H239"/>
  <c r="D239"/>
  <c r="C239"/>
  <c r="AB238"/>
  <c r="AA238"/>
  <c r="W238"/>
  <c r="V238"/>
  <c r="N238"/>
  <c r="J238"/>
  <c r="H238"/>
  <c r="D238"/>
  <c r="C238"/>
  <c r="AB237"/>
  <c r="AA237"/>
  <c r="W237"/>
  <c r="V237"/>
  <c r="N237"/>
  <c r="J237"/>
  <c r="H237"/>
  <c r="D237"/>
  <c r="C237"/>
  <c r="AB236"/>
  <c r="AA236"/>
  <c r="W236"/>
  <c r="V236"/>
  <c r="N236"/>
  <c r="J236"/>
  <c r="H236"/>
  <c r="D236"/>
  <c r="C236"/>
  <c r="AB235"/>
  <c r="AA235"/>
  <c r="W235"/>
  <c r="V235"/>
  <c r="N235"/>
  <c r="J235"/>
  <c r="H235"/>
  <c r="D235"/>
  <c r="C235"/>
  <c r="AB234"/>
  <c r="AA234"/>
  <c r="W234"/>
  <c r="V234"/>
  <c r="N234"/>
  <c r="H234"/>
  <c r="D234"/>
  <c r="C234"/>
  <c r="AB233"/>
  <c r="AA233"/>
  <c r="W233"/>
  <c r="V233"/>
  <c r="N233"/>
  <c r="J233"/>
  <c r="H233"/>
  <c r="D233"/>
  <c r="C233"/>
  <c r="AB232"/>
  <c r="AA232"/>
  <c r="W232"/>
  <c r="V232"/>
  <c r="N232"/>
  <c r="J232"/>
  <c r="H232"/>
  <c r="D232"/>
  <c r="C232"/>
  <c r="AB231"/>
  <c r="AA231"/>
  <c r="W231"/>
  <c r="V231"/>
  <c r="N231"/>
  <c r="J231"/>
  <c r="H231"/>
  <c r="D231"/>
  <c r="C231"/>
  <c r="AB230"/>
  <c r="AA230"/>
  <c r="W230"/>
  <c r="V230"/>
  <c r="N230"/>
  <c r="J230"/>
  <c r="H230"/>
  <c r="D230"/>
  <c r="C230"/>
  <c r="AB229"/>
  <c r="AA229"/>
  <c r="W229"/>
  <c r="V229"/>
  <c r="N229"/>
  <c r="J229"/>
  <c r="H229"/>
  <c r="D229"/>
  <c r="C229"/>
  <c r="AB228"/>
  <c r="AA228"/>
  <c r="W228"/>
  <c r="V228"/>
  <c r="N228"/>
  <c r="J228"/>
  <c r="H228"/>
  <c r="D228"/>
  <c r="C228"/>
  <c r="AB227"/>
  <c r="AA227"/>
  <c r="W227"/>
  <c r="V227"/>
  <c r="N227"/>
  <c r="J227"/>
  <c r="H227"/>
  <c r="D227"/>
  <c r="C227"/>
  <c r="AB226"/>
  <c r="AA226"/>
  <c r="W226"/>
  <c r="V226"/>
  <c r="N226"/>
  <c r="J226"/>
  <c r="H226"/>
  <c r="D226"/>
  <c r="C226"/>
  <c r="AB225"/>
  <c r="AA225"/>
  <c r="W225"/>
  <c r="V225"/>
  <c r="N225"/>
  <c r="J225"/>
  <c r="H225"/>
  <c r="D225"/>
  <c r="C225"/>
  <c r="AB224"/>
  <c r="AA224"/>
  <c r="W224"/>
  <c r="V224"/>
  <c r="N224"/>
  <c r="J224"/>
  <c r="H224"/>
  <c r="D224"/>
  <c r="C224"/>
  <c r="AB223"/>
  <c r="AA223"/>
  <c r="W223"/>
  <c r="V223"/>
  <c r="N223"/>
  <c r="J223"/>
  <c r="H223"/>
  <c r="D223"/>
  <c r="C223"/>
  <c r="AB222"/>
  <c r="AA222"/>
  <c r="W222"/>
  <c r="V222"/>
  <c r="N222"/>
  <c r="J222"/>
  <c r="H222"/>
  <c r="D222"/>
  <c r="C222"/>
  <c r="AB221"/>
  <c r="AA221"/>
  <c r="W221"/>
  <c r="V221"/>
  <c r="N221"/>
  <c r="J221"/>
  <c r="H221"/>
  <c r="D221"/>
  <c r="C221"/>
  <c r="AB220"/>
  <c r="AA220"/>
  <c r="W220"/>
  <c r="V220"/>
  <c r="N220"/>
  <c r="J220"/>
  <c r="H220"/>
  <c r="D220"/>
  <c r="C220"/>
  <c r="AB219"/>
  <c r="AA219"/>
  <c r="W219"/>
  <c r="V219"/>
  <c r="N219"/>
  <c r="H219"/>
  <c r="D219"/>
  <c r="C219"/>
  <c r="AB218"/>
  <c r="AA218"/>
  <c r="W218"/>
  <c r="V218"/>
  <c r="N218"/>
  <c r="J218"/>
  <c r="H218"/>
  <c r="D218"/>
  <c r="C218"/>
  <c r="AB217"/>
  <c r="AA217"/>
  <c r="W217"/>
  <c r="V217"/>
  <c r="N217"/>
  <c r="J217"/>
  <c r="H217"/>
  <c r="D217"/>
  <c r="C217"/>
  <c r="AB216"/>
  <c r="AA216"/>
  <c r="W216"/>
  <c r="V216"/>
  <c r="N216"/>
  <c r="J216"/>
  <c r="H216"/>
  <c r="D216"/>
  <c r="C216"/>
  <c r="AB215"/>
  <c r="AA215"/>
  <c r="W215"/>
  <c r="V215"/>
  <c r="N215"/>
  <c r="J215"/>
  <c r="H215"/>
  <c r="D215"/>
  <c r="C215"/>
  <c r="AB214"/>
  <c r="AA214"/>
  <c r="W214"/>
  <c r="V214"/>
  <c r="N214"/>
  <c r="J214"/>
  <c r="H214"/>
  <c r="D214"/>
  <c r="C214"/>
  <c r="AB213"/>
  <c r="AA213"/>
  <c r="W213"/>
  <c r="V213"/>
  <c r="N213"/>
  <c r="J213"/>
  <c r="H213"/>
  <c r="D213"/>
  <c r="C213"/>
  <c r="AB212"/>
  <c r="AA212"/>
  <c r="W212"/>
  <c r="V212"/>
  <c r="N212"/>
  <c r="J212"/>
  <c r="H212"/>
  <c r="D212"/>
  <c r="C212"/>
  <c r="AB211"/>
  <c r="AA211"/>
  <c r="W211"/>
  <c r="V211"/>
  <c r="N211"/>
  <c r="J211"/>
  <c r="H211"/>
  <c r="D211"/>
  <c r="C211"/>
  <c r="AB210"/>
  <c r="AA210"/>
  <c r="W210"/>
  <c r="V210"/>
  <c r="N210"/>
  <c r="J210"/>
  <c r="H210"/>
  <c r="D210"/>
  <c r="C210"/>
  <c r="AB209"/>
  <c r="AA209"/>
  <c r="W209"/>
  <c r="V209"/>
  <c r="N209"/>
  <c r="J209"/>
  <c r="H209"/>
  <c r="D209"/>
  <c r="C209"/>
  <c r="AB208"/>
  <c r="AA208"/>
  <c r="W208"/>
  <c r="V208"/>
  <c r="N208"/>
  <c r="J208"/>
  <c r="H208"/>
  <c r="D208"/>
  <c r="C208"/>
  <c r="AB207"/>
  <c r="AA207"/>
  <c r="W207"/>
  <c r="V207"/>
  <c r="N207"/>
  <c r="J207"/>
  <c r="H207"/>
  <c r="D207"/>
  <c r="C207"/>
  <c r="AB206"/>
  <c r="AA206"/>
  <c r="W206"/>
  <c r="V206"/>
  <c r="N206"/>
  <c r="J206"/>
  <c r="H206"/>
  <c r="D206"/>
  <c r="C206"/>
  <c r="AB205"/>
  <c r="AA205"/>
  <c r="W205"/>
  <c r="V205"/>
  <c r="N205"/>
  <c r="J205"/>
  <c r="H205"/>
  <c r="D205"/>
  <c r="C205"/>
  <c r="AB204"/>
  <c r="AA204"/>
  <c r="W204"/>
  <c r="V204"/>
  <c r="N204"/>
  <c r="J204"/>
  <c r="H204"/>
  <c r="D204"/>
  <c r="C204"/>
  <c r="AB203"/>
  <c r="AA203"/>
  <c r="W203"/>
  <c r="V203"/>
  <c r="N203"/>
  <c r="J203"/>
  <c r="H203"/>
  <c r="D203"/>
  <c r="C203"/>
  <c r="AB202"/>
  <c r="AA202"/>
  <c r="W202"/>
  <c r="V202"/>
  <c r="N202"/>
  <c r="J202"/>
  <c r="H202"/>
  <c r="D202"/>
  <c r="C202"/>
  <c r="AB201"/>
  <c r="AA201"/>
  <c r="W201"/>
  <c r="V201"/>
  <c r="N201"/>
  <c r="J201"/>
  <c r="H201"/>
  <c r="D201"/>
  <c r="C201"/>
  <c r="AB200"/>
  <c r="AA200"/>
  <c r="W200"/>
  <c r="V200"/>
  <c r="N200"/>
  <c r="J200"/>
  <c r="H200"/>
  <c r="D200"/>
  <c r="C200"/>
  <c r="AB199"/>
  <c r="AA199"/>
  <c r="W199"/>
  <c r="V199"/>
  <c r="N199"/>
  <c r="J199"/>
  <c r="H199"/>
  <c r="D199"/>
  <c r="C199"/>
  <c r="AB198"/>
  <c r="AA198"/>
  <c r="W198"/>
  <c r="V198"/>
  <c r="N198"/>
  <c r="J198"/>
  <c r="H198"/>
  <c r="D198"/>
  <c r="C198"/>
  <c r="AB197"/>
  <c r="AA197"/>
  <c r="W197"/>
  <c r="V197"/>
  <c r="N197"/>
  <c r="J197"/>
  <c r="H197"/>
  <c r="D197"/>
  <c r="C197"/>
  <c r="AB196"/>
  <c r="AA196"/>
  <c r="W196"/>
  <c r="V196"/>
  <c r="N196"/>
  <c r="J196"/>
  <c r="H196"/>
  <c r="D196"/>
  <c r="C196"/>
  <c r="AB195"/>
  <c r="AA195"/>
  <c r="W195"/>
  <c r="V195"/>
  <c r="N195"/>
  <c r="J195"/>
  <c r="H195"/>
  <c r="D195"/>
  <c r="C195"/>
  <c r="AB194"/>
  <c r="AA194"/>
  <c r="W194"/>
  <c r="V194"/>
  <c r="N194"/>
  <c r="J194"/>
  <c r="H194"/>
  <c r="D194"/>
  <c r="C194"/>
  <c r="AB193"/>
  <c r="AA193"/>
  <c r="W193"/>
  <c r="V193"/>
  <c r="N193"/>
  <c r="J193"/>
  <c r="H193"/>
  <c r="D193"/>
  <c r="C193"/>
  <c r="AB192"/>
  <c r="AA192"/>
  <c r="W192"/>
  <c r="V192"/>
  <c r="N192"/>
  <c r="J192"/>
  <c r="H192"/>
  <c r="D192"/>
  <c r="C192"/>
  <c r="AB191"/>
  <c r="AA191"/>
  <c r="W191"/>
  <c r="V191"/>
  <c r="N191"/>
  <c r="J191"/>
  <c r="H191"/>
  <c r="D191"/>
  <c r="C191"/>
  <c r="AB190"/>
  <c r="AA190"/>
  <c r="W190"/>
  <c r="V190"/>
  <c r="N190"/>
  <c r="J190"/>
  <c r="H190"/>
  <c r="D190"/>
  <c r="C190"/>
  <c r="AB189"/>
  <c r="AA189"/>
  <c r="W189"/>
  <c r="V189"/>
  <c r="N189"/>
  <c r="J189"/>
  <c r="H189"/>
  <c r="D189"/>
  <c r="C189"/>
  <c r="AB188"/>
  <c r="AA188"/>
  <c r="W188"/>
  <c r="V188"/>
  <c r="N188"/>
  <c r="J188"/>
  <c r="H188"/>
  <c r="D188"/>
  <c r="C188"/>
  <c r="AB187"/>
  <c r="AA187"/>
  <c r="W187"/>
  <c r="V187"/>
  <c r="N187"/>
  <c r="J187"/>
  <c r="H187"/>
  <c r="D187"/>
  <c r="C187"/>
  <c r="AB186"/>
  <c r="AA186"/>
  <c r="W186"/>
  <c r="V186"/>
  <c r="T186"/>
  <c r="N186"/>
  <c r="J186"/>
  <c r="H186"/>
  <c r="D186"/>
  <c r="C186"/>
  <c r="AB185"/>
  <c r="AA185"/>
  <c r="W185"/>
  <c r="V185"/>
  <c r="N185"/>
  <c r="J185"/>
  <c r="H185"/>
  <c r="D185"/>
  <c r="C185"/>
  <c r="AB184"/>
  <c r="AA184"/>
  <c r="W184"/>
  <c r="V184"/>
  <c r="N184"/>
  <c r="J184"/>
  <c r="H184"/>
  <c r="D184"/>
  <c r="C184"/>
  <c r="AB183"/>
  <c r="AA183"/>
  <c r="W183"/>
  <c r="V183"/>
  <c r="N183"/>
  <c r="J183"/>
  <c r="H183"/>
  <c r="D183"/>
  <c r="C183"/>
  <c r="AB182"/>
  <c r="AA182"/>
  <c r="W182"/>
  <c r="V182"/>
  <c r="N182"/>
  <c r="J182"/>
  <c r="H182"/>
  <c r="D182"/>
  <c r="C182"/>
  <c r="AB181"/>
  <c r="AA181"/>
  <c r="W181"/>
  <c r="V181"/>
  <c r="N181"/>
  <c r="J181"/>
  <c r="H181"/>
  <c r="D181"/>
  <c r="C181"/>
  <c r="AB180"/>
  <c r="AA180"/>
  <c r="W180"/>
  <c r="V180"/>
  <c r="N180"/>
  <c r="J180"/>
  <c r="H180"/>
  <c r="D180"/>
  <c r="C180"/>
  <c r="AB179"/>
  <c r="AA179"/>
  <c r="W179"/>
  <c r="V179"/>
  <c r="N179"/>
  <c r="J179"/>
  <c r="H179"/>
  <c r="D179"/>
  <c r="C179"/>
  <c r="AB178"/>
  <c r="AA178"/>
  <c r="W178"/>
  <c r="V178"/>
  <c r="N178"/>
  <c r="J178"/>
  <c r="H178"/>
  <c r="D178"/>
  <c r="C178"/>
  <c r="AB177"/>
  <c r="AA177"/>
  <c r="W177"/>
  <c r="V177"/>
  <c r="N177"/>
  <c r="J177"/>
  <c r="H177"/>
  <c r="D177"/>
  <c r="C177"/>
  <c r="AB176"/>
  <c r="AA176"/>
  <c r="W176"/>
  <c r="V176"/>
  <c r="N176"/>
  <c r="J176"/>
  <c r="H176"/>
  <c r="D176"/>
  <c r="C176"/>
  <c r="AB175"/>
  <c r="AA175"/>
  <c r="W175"/>
  <c r="V175"/>
  <c r="N175"/>
  <c r="J175"/>
  <c r="H175"/>
  <c r="D175"/>
  <c r="C175"/>
  <c r="AB174"/>
  <c r="AA174"/>
  <c r="W174"/>
  <c r="V174"/>
  <c r="N174"/>
  <c r="J174"/>
  <c r="H174"/>
  <c r="D174"/>
  <c r="C174"/>
  <c r="AB173"/>
  <c r="AA173"/>
  <c r="W173"/>
  <c r="V173"/>
  <c r="N173"/>
  <c r="J173"/>
  <c r="H173"/>
  <c r="D173"/>
  <c r="C173"/>
  <c r="AB172"/>
  <c r="AA172"/>
  <c r="W172"/>
  <c r="V172"/>
  <c r="N172"/>
  <c r="J172"/>
  <c r="H172"/>
  <c r="D172"/>
  <c r="C172"/>
  <c r="AB171"/>
  <c r="AA171"/>
  <c r="W171"/>
  <c r="V171"/>
  <c r="N171"/>
  <c r="J171"/>
  <c r="H171"/>
  <c r="D171"/>
  <c r="C171"/>
  <c r="AB170"/>
  <c r="AA170"/>
  <c r="W170"/>
  <c r="V170"/>
  <c r="N170"/>
  <c r="J170"/>
  <c r="H170"/>
  <c r="D170"/>
  <c r="C170"/>
  <c r="AB169"/>
  <c r="AA169"/>
  <c r="W169"/>
  <c r="V169"/>
  <c r="N169"/>
  <c r="J169"/>
  <c r="H169"/>
  <c r="D169"/>
  <c r="C169"/>
  <c r="AB168"/>
  <c r="AA168"/>
  <c r="W168"/>
  <c r="V168"/>
  <c r="N168"/>
  <c r="J168"/>
  <c r="H168"/>
  <c r="D168"/>
  <c r="C168"/>
  <c r="AB167"/>
  <c r="AA167"/>
  <c r="W167"/>
  <c r="V167"/>
  <c r="N167"/>
  <c r="J167"/>
  <c r="H167"/>
  <c r="D167"/>
  <c r="C167"/>
  <c r="AB166"/>
  <c r="AA166"/>
  <c r="W166"/>
  <c r="V166"/>
  <c r="N166"/>
  <c r="J166"/>
  <c r="H166"/>
  <c r="D166"/>
  <c r="C166"/>
  <c r="AB165"/>
  <c r="AA165"/>
  <c r="W165"/>
  <c r="V165"/>
  <c r="T165"/>
  <c r="N165"/>
  <c r="J165"/>
  <c r="H165"/>
  <c r="D165"/>
  <c r="C165"/>
  <c r="AB164"/>
  <c r="AA164"/>
  <c r="W164"/>
  <c r="V164"/>
  <c r="N164"/>
  <c r="J164"/>
  <c r="H164"/>
  <c r="D164"/>
  <c r="C164"/>
  <c r="AB163"/>
  <c r="AA163"/>
  <c r="W163"/>
  <c r="V163"/>
  <c r="N163"/>
  <c r="J163"/>
  <c r="H163"/>
  <c r="D163"/>
  <c r="C163"/>
  <c r="AB162"/>
  <c r="AA162"/>
  <c r="W162"/>
  <c r="V162"/>
  <c r="N162"/>
  <c r="H162"/>
  <c r="D162"/>
  <c r="C162"/>
  <c r="AB161"/>
  <c r="AA161"/>
  <c r="W161"/>
  <c r="V161"/>
  <c r="N161"/>
  <c r="J161"/>
  <c r="H161"/>
  <c r="D161"/>
  <c r="C161"/>
  <c r="AB160"/>
  <c r="AA160"/>
  <c r="W160"/>
  <c r="V160"/>
  <c r="N160"/>
  <c r="J160"/>
  <c r="H160"/>
  <c r="D160"/>
  <c r="C160"/>
  <c r="AB159"/>
  <c r="AA159"/>
  <c r="W159"/>
  <c r="V159"/>
  <c r="N159"/>
  <c r="J159"/>
  <c r="H159"/>
  <c r="D159"/>
  <c r="C159"/>
  <c r="AB158"/>
  <c r="AA158"/>
  <c r="W158"/>
  <c r="V158"/>
  <c r="T158"/>
  <c r="N158"/>
  <c r="J158"/>
  <c r="H158"/>
  <c r="D158"/>
  <c r="C158"/>
  <c r="AB157"/>
  <c r="AA157"/>
  <c r="W157"/>
  <c r="V157"/>
  <c r="N157"/>
  <c r="J157"/>
  <c r="H157"/>
  <c r="D157"/>
  <c r="C157"/>
  <c r="AB156"/>
  <c r="AA156"/>
  <c r="W156"/>
  <c r="V156"/>
  <c r="N156"/>
  <c r="J156"/>
  <c r="H156"/>
  <c r="D156"/>
  <c r="C156"/>
  <c r="AB155"/>
  <c r="AA155"/>
  <c r="W155"/>
  <c r="V155"/>
  <c r="N155"/>
  <c r="J155"/>
  <c r="H155"/>
  <c r="D155"/>
  <c r="C155"/>
  <c r="AB154"/>
  <c r="AA154"/>
  <c r="W154"/>
  <c r="V154"/>
  <c r="N154"/>
  <c r="J154"/>
  <c r="H154"/>
  <c r="D154"/>
  <c r="C154"/>
  <c r="AB153"/>
  <c r="AA153"/>
  <c r="W153"/>
  <c r="V153"/>
  <c r="N153"/>
  <c r="J153"/>
  <c r="H153"/>
  <c r="D153"/>
  <c r="C153"/>
  <c r="AB152"/>
  <c r="AA152"/>
  <c r="W152"/>
  <c r="V152"/>
  <c r="N152"/>
  <c r="J152"/>
  <c r="H152"/>
  <c r="D152"/>
  <c r="C152"/>
  <c r="AB151"/>
  <c r="AA151"/>
  <c r="W151"/>
  <c r="V151"/>
  <c r="N151"/>
  <c r="J151"/>
  <c r="H151"/>
  <c r="D151"/>
  <c r="C151"/>
  <c r="AB150"/>
  <c r="AA150"/>
  <c r="W150"/>
  <c r="V150"/>
  <c r="T150"/>
  <c r="N150"/>
  <c r="J150"/>
  <c r="H150"/>
  <c r="D150"/>
  <c r="C150"/>
  <c r="AB149"/>
  <c r="AA149"/>
  <c r="W149"/>
  <c r="V149"/>
  <c r="N149"/>
  <c r="J149"/>
  <c r="H149"/>
  <c r="D149"/>
  <c r="C149"/>
  <c r="AB148"/>
  <c r="AA148"/>
  <c r="W148"/>
  <c r="V148"/>
  <c r="N148"/>
  <c r="J148"/>
  <c r="H148"/>
  <c r="D148"/>
  <c r="C148"/>
  <c r="AB147"/>
  <c r="AA147"/>
  <c r="W147"/>
  <c r="V147"/>
  <c r="N147"/>
  <c r="J147"/>
  <c r="H147"/>
  <c r="D147"/>
  <c r="C147"/>
  <c r="AB146"/>
  <c r="AA146"/>
  <c r="W146"/>
  <c r="V146"/>
  <c r="N146"/>
  <c r="J146"/>
  <c r="H146"/>
  <c r="D146"/>
  <c r="C146"/>
  <c r="AB145"/>
  <c r="AA145"/>
  <c r="W145"/>
  <c r="V145"/>
  <c r="N145"/>
  <c r="J145"/>
  <c r="H145"/>
  <c r="D145"/>
  <c r="C145"/>
  <c r="AB144"/>
  <c r="AA144"/>
  <c r="W144"/>
  <c r="V144"/>
  <c r="T144"/>
  <c r="N144"/>
  <c r="J144"/>
  <c r="H144"/>
  <c r="D144"/>
  <c r="C144"/>
  <c r="AB143"/>
  <c r="AA143"/>
  <c r="W143"/>
  <c r="V143"/>
  <c r="N143"/>
  <c r="J143"/>
  <c r="H143"/>
  <c r="D143"/>
  <c r="C143"/>
  <c r="AB142"/>
  <c r="AA142"/>
  <c r="W142"/>
  <c r="V142"/>
  <c r="T142"/>
  <c r="N142"/>
  <c r="J142"/>
  <c r="H142"/>
  <c r="D142"/>
  <c r="C142"/>
  <c r="AB141"/>
  <c r="AA141"/>
  <c r="W141"/>
  <c r="V141"/>
  <c r="N141"/>
  <c r="J141"/>
  <c r="H141"/>
  <c r="D141"/>
  <c r="C141"/>
  <c r="AB140"/>
  <c r="AA140"/>
  <c r="W140"/>
  <c r="V140"/>
  <c r="N140"/>
  <c r="J140"/>
  <c r="H140"/>
  <c r="D140"/>
  <c r="C140"/>
  <c r="AB139"/>
  <c r="AA139"/>
  <c r="W139"/>
  <c r="V139"/>
  <c r="N139"/>
  <c r="J139"/>
  <c r="H139"/>
  <c r="D139"/>
  <c r="C139"/>
  <c r="AB138"/>
  <c r="AA138"/>
  <c r="W138"/>
  <c r="V138"/>
  <c r="N138"/>
  <c r="J138"/>
  <c r="H138"/>
  <c r="D138"/>
  <c r="C138"/>
  <c r="AB137"/>
  <c r="AA137"/>
  <c r="W137"/>
  <c r="V137"/>
  <c r="N137"/>
  <c r="J137"/>
  <c r="H137"/>
  <c r="D137"/>
  <c r="C137"/>
  <c r="AB136"/>
  <c r="AA136"/>
  <c r="W136"/>
  <c r="V136"/>
  <c r="N136"/>
  <c r="J136"/>
  <c r="H136"/>
  <c r="D136"/>
  <c r="C136"/>
  <c r="AB135"/>
  <c r="AA135"/>
  <c r="W135"/>
  <c r="V135"/>
  <c r="N135"/>
  <c r="J135"/>
  <c r="H135"/>
  <c r="D135"/>
  <c r="C135"/>
  <c r="AB134"/>
  <c r="AA134"/>
  <c r="W134"/>
  <c r="V134"/>
  <c r="N134"/>
  <c r="J134"/>
  <c r="H134"/>
  <c r="D134"/>
  <c r="C134"/>
  <c r="AB133"/>
  <c r="AA133"/>
  <c r="W133"/>
  <c r="V133"/>
  <c r="N133"/>
  <c r="J133"/>
  <c r="H133"/>
  <c r="D133"/>
  <c r="C133"/>
  <c r="AB132"/>
  <c r="AA132"/>
  <c r="W132"/>
  <c r="V132"/>
  <c r="N132"/>
  <c r="J132"/>
  <c r="H132"/>
  <c r="D132"/>
  <c r="C132"/>
  <c r="AB131"/>
  <c r="AA131"/>
  <c r="W131"/>
  <c r="V131"/>
  <c r="N131"/>
  <c r="J131"/>
  <c r="H131"/>
  <c r="D131"/>
  <c r="C131"/>
  <c r="AB130"/>
  <c r="AA130"/>
  <c r="W130"/>
  <c r="V130"/>
  <c r="T130"/>
  <c r="N130"/>
  <c r="J130"/>
  <c r="H130"/>
  <c r="D130"/>
  <c r="C130"/>
  <c r="AB129"/>
  <c r="AA129"/>
  <c r="W129"/>
  <c r="V129"/>
  <c r="N129"/>
  <c r="J129"/>
  <c r="H129"/>
  <c r="D129"/>
  <c r="C129"/>
  <c r="AB128"/>
  <c r="AA128"/>
  <c r="W128"/>
  <c r="V128"/>
  <c r="N128"/>
  <c r="J128"/>
  <c r="H128"/>
  <c r="D128"/>
  <c r="C128"/>
  <c r="AB127"/>
  <c r="AA127"/>
  <c r="W127"/>
  <c r="V127"/>
  <c r="N127"/>
  <c r="J127"/>
  <c r="H127"/>
  <c r="D127"/>
  <c r="C127"/>
  <c r="AB126"/>
  <c r="AA126"/>
  <c r="W126"/>
  <c r="V126"/>
  <c r="T126"/>
  <c r="N126"/>
  <c r="J126"/>
  <c r="H126"/>
  <c r="D126"/>
  <c r="C126"/>
  <c r="AB125"/>
  <c r="AA125"/>
  <c r="W125"/>
  <c r="V125"/>
  <c r="N125"/>
  <c r="J125"/>
  <c r="H125"/>
  <c r="D125"/>
  <c r="C125"/>
  <c r="AB124"/>
  <c r="AA124"/>
  <c r="W124"/>
  <c r="V124"/>
  <c r="N124"/>
  <c r="J124"/>
  <c r="H124"/>
  <c r="D124"/>
  <c r="C124"/>
  <c r="AB123"/>
  <c r="AA123"/>
  <c r="W123"/>
  <c r="V123"/>
  <c r="N123"/>
  <c r="J123"/>
  <c r="H123"/>
  <c r="D123"/>
  <c r="C123"/>
  <c r="AB122"/>
  <c r="AA122"/>
  <c r="W122"/>
  <c r="V122"/>
  <c r="N122"/>
  <c r="J122"/>
  <c r="H122"/>
  <c r="D122"/>
  <c r="C122"/>
  <c r="AB121"/>
  <c r="AA121"/>
  <c r="W121"/>
  <c r="V121"/>
  <c r="N121"/>
  <c r="J121"/>
  <c r="H121"/>
  <c r="D121"/>
  <c r="C121"/>
  <c r="AB120"/>
  <c r="AA120"/>
  <c r="W120"/>
  <c r="V120"/>
  <c r="N120"/>
  <c r="J120"/>
  <c r="H120"/>
  <c r="D120"/>
  <c r="C120"/>
  <c r="AB119"/>
  <c r="AA119"/>
  <c r="W119"/>
  <c r="V119"/>
  <c r="N119"/>
  <c r="J119"/>
  <c r="H119"/>
  <c r="D119"/>
  <c r="C119"/>
  <c r="AB118"/>
  <c r="AA118"/>
  <c r="W118"/>
  <c r="V118"/>
  <c r="N118"/>
  <c r="H118"/>
  <c r="D118"/>
  <c r="C118"/>
  <c r="AB117"/>
  <c r="AA117"/>
  <c r="W117"/>
  <c r="V117"/>
  <c r="N117"/>
  <c r="J117"/>
  <c r="H117"/>
  <c r="D117"/>
  <c r="C117"/>
  <c r="AB116"/>
  <c r="AA116"/>
  <c r="W116"/>
  <c r="V116"/>
  <c r="N116"/>
  <c r="J116"/>
  <c r="H116"/>
  <c r="D116"/>
  <c r="C116"/>
  <c r="AB115"/>
  <c r="AA115"/>
  <c r="W115"/>
  <c r="V115"/>
  <c r="N115"/>
  <c r="J115"/>
  <c r="H115"/>
  <c r="D115"/>
  <c r="C115"/>
  <c r="AB114"/>
  <c r="AA114"/>
  <c r="W114"/>
  <c r="V114"/>
  <c r="N114"/>
  <c r="J114"/>
  <c r="H114"/>
  <c r="D114"/>
  <c r="C114"/>
  <c r="AB113"/>
  <c r="AA113"/>
  <c r="W113"/>
  <c r="V113"/>
  <c r="N113"/>
  <c r="J113"/>
  <c r="H113"/>
  <c r="D113"/>
  <c r="C113"/>
  <c r="AB112"/>
  <c r="AA112"/>
  <c r="W112"/>
  <c r="V112"/>
  <c r="T112"/>
  <c r="N112"/>
  <c r="J112"/>
  <c r="H112"/>
  <c r="D112"/>
  <c r="C112"/>
  <c r="AB111"/>
  <c r="AA111"/>
  <c r="W111"/>
  <c r="V111"/>
  <c r="N111"/>
  <c r="J111"/>
  <c r="H111"/>
  <c r="D111"/>
  <c r="C111"/>
  <c r="AB110"/>
  <c r="AA110"/>
  <c r="W110"/>
  <c r="V110"/>
  <c r="N110"/>
  <c r="J110"/>
  <c r="H110"/>
  <c r="D110"/>
  <c r="C110"/>
  <c r="AB109"/>
  <c r="AA109"/>
  <c r="W109"/>
  <c r="V109"/>
  <c r="N109"/>
  <c r="J109"/>
  <c r="H109"/>
  <c r="D109"/>
  <c r="C109"/>
  <c r="AB108"/>
  <c r="AA108"/>
  <c r="W108"/>
  <c r="V108"/>
  <c r="N108"/>
  <c r="J108"/>
  <c r="H108"/>
  <c r="D108"/>
  <c r="C108"/>
  <c r="AB107"/>
  <c r="AA107"/>
  <c r="W107"/>
  <c r="V107"/>
  <c r="N107"/>
  <c r="J107"/>
  <c r="H107"/>
  <c r="D107"/>
  <c r="C107"/>
  <c r="AB106"/>
  <c r="AA106"/>
  <c r="W106"/>
  <c r="V106"/>
  <c r="T106"/>
  <c r="N106"/>
  <c r="J106"/>
  <c r="H106"/>
  <c r="D106"/>
  <c r="C106"/>
  <c r="AB105"/>
  <c r="AA105"/>
  <c r="W105"/>
  <c r="V105"/>
  <c r="N105"/>
  <c r="J105"/>
  <c r="H105"/>
  <c r="D105"/>
  <c r="C105"/>
  <c r="AB104"/>
  <c r="AA104"/>
  <c r="W104"/>
  <c r="V104"/>
  <c r="N104"/>
  <c r="J104"/>
  <c r="H104"/>
  <c r="D104"/>
  <c r="C104"/>
  <c r="AB103"/>
  <c r="AA103"/>
  <c r="W103"/>
  <c r="V103"/>
  <c r="N103"/>
  <c r="J103"/>
  <c r="H103"/>
  <c r="D103"/>
  <c r="C103"/>
  <c r="AB102"/>
  <c r="AA102"/>
  <c r="W102"/>
  <c r="V102"/>
  <c r="N102"/>
  <c r="J102"/>
  <c r="H102"/>
  <c r="D102"/>
  <c r="C102"/>
  <c r="AB101"/>
  <c r="AA101"/>
  <c r="W101"/>
  <c r="V101"/>
  <c r="N101"/>
  <c r="H101"/>
  <c r="D101"/>
  <c r="C101"/>
  <c r="AB100"/>
  <c r="AA100"/>
  <c r="W100"/>
  <c r="V100"/>
  <c r="N100"/>
  <c r="J100"/>
  <c r="H100"/>
  <c r="D100"/>
  <c r="C100"/>
  <c r="AB99"/>
  <c r="AA99"/>
  <c r="W99"/>
  <c r="V99"/>
  <c r="N99"/>
  <c r="J99"/>
  <c r="H99"/>
  <c r="D99"/>
  <c r="C99"/>
  <c r="AB98"/>
  <c r="AA98"/>
  <c r="W98"/>
  <c r="V98"/>
  <c r="N98"/>
  <c r="J98"/>
  <c r="H98"/>
  <c r="D98"/>
  <c r="C98"/>
  <c r="AB97"/>
  <c r="AA97"/>
  <c r="W97"/>
  <c r="V97"/>
  <c r="N97"/>
  <c r="J97"/>
  <c r="H97"/>
  <c r="D97"/>
  <c r="C97"/>
  <c r="AB96"/>
  <c r="AA96"/>
  <c r="W96"/>
  <c r="V96"/>
  <c r="N96"/>
  <c r="J96"/>
  <c r="H96"/>
  <c r="D96"/>
  <c r="C96"/>
  <c r="AB95"/>
  <c r="AA95"/>
  <c r="W95"/>
  <c r="V95"/>
  <c r="N95"/>
  <c r="J95"/>
  <c r="H95"/>
  <c r="D95"/>
  <c r="C95"/>
  <c r="AB94"/>
  <c r="AA94"/>
  <c r="W94"/>
  <c r="V94"/>
  <c r="N94"/>
  <c r="J94"/>
  <c r="H94"/>
  <c r="D94"/>
  <c r="C94"/>
  <c r="AB93"/>
  <c r="AA93"/>
  <c r="W93"/>
  <c r="V93"/>
  <c r="N93"/>
  <c r="J93"/>
  <c r="H93"/>
  <c r="D93"/>
  <c r="C93"/>
  <c r="AB92"/>
  <c r="AA92"/>
  <c r="W92"/>
  <c r="V92"/>
  <c r="N92"/>
  <c r="J92"/>
  <c r="H92"/>
  <c r="D92"/>
  <c r="C92"/>
  <c r="AB91"/>
  <c r="AA91"/>
  <c r="W91"/>
  <c r="V91"/>
  <c r="N91"/>
  <c r="J91"/>
  <c r="H91"/>
  <c r="D91"/>
  <c r="C91"/>
  <c r="AB90"/>
  <c r="AA90"/>
  <c r="W90"/>
  <c r="V90"/>
  <c r="N90"/>
  <c r="J90"/>
  <c r="H90"/>
  <c r="D90"/>
  <c r="C90"/>
  <c r="AB89"/>
  <c r="AA89"/>
  <c r="W89"/>
  <c r="V89"/>
  <c r="N89"/>
  <c r="J89"/>
  <c r="H89"/>
  <c r="D89"/>
  <c r="C89"/>
  <c r="AB88"/>
  <c r="AA88"/>
  <c r="W88"/>
  <c r="V88"/>
  <c r="N88"/>
  <c r="J88"/>
  <c r="H88"/>
  <c r="D88"/>
  <c r="C88"/>
  <c r="AB87"/>
  <c r="AA87"/>
  <c r="W87"/>
  <c r="V87"/>
  <c r="N87"/>
  <c r="J87"/>
  <c r="H87"/>
  <c r="D87"/>
  <c r="C87"/>
  <c r="AB86"/>
  <c r="AA86"/>
  <c r="W86"/>
  <c r="V86"/>
  <c r="N86"/>
  <c r="J86"/>
  <c r="H86"/>
  <c r="D86"/>
  <c r="C86"/>
  <c r="AB85"/>
  <c r="AA85"/>
  <c r="W85"/>
  <c r="V85"/>
  <c r="N85"/>
  <c r="J85"/>
  <c r="H85"/>
  <c r="D85"/>
  <c r="C85"/>
  <c r="AB84"/>
  <c r="AA84"/>
  <c r="W84"/>
  <c r="V84"/>
  <c r="N84"/>
  <c r="J84"/>
  <c r="H84"/>
  <c r="D84"/>
  <c r="C84"/>
  <c r="AB83"/>
  <c r="AA83"/>
  <c r="W83"/>
  <c r="V83"/>
  <c r="N83"/>
  <c r="J83"/>
  <c r="H83"/>
  <c r="D83"/>
  <c r="C83"/>
  <c r="AB82"/>
  <c r="AA82"/>
  <c r="W82"/>
  <c r="V82"/>
  <c r="T82"/>
  <c r="N82"/>
  <c r="J82"/>
  <c r="H82"/>
  <c r="D82"/>
  <c r="C82"/>
  <c r="AB81"/>
  <c r="AA81"/>
  <c r="W81"/>
  <c r="V81"/>
  <c r="N81"/>
  <c r="H81"/>
  <c r="D81"/>
  <c r="C81"/>
  <c r="AB80"/>
  <c r="AA80"/>
  <c r="W80"/>
  <c r="V80"/>
  <c r="N80"/>
  <c r="J80"/>
  <c r="H80"/>
  <c r="D80"/>
  <c r="C80"/>
  <c r="AB79"/>
  <c r="AA79"/>
  <c r="W79"/>
  <c r="V79"/>
  <c r="N79"/>
  <c r="J79"/>
  <c r="H79"/>
  <c r="D79"/>
  <c r="C79"/>
  <c r="AB78"/>
  <c r="AA78"/>
  <c r="W78"/>
  <c r="V78"/>
  <c r="N78"/>
  <c r="J78"/>
  <c r="H78"/>
  <c r="D78"/>
  <c r="C78"/>
  <c r="AB77"/>
  <c r="AA77"/>
  <c r="W77"/>
  <c r="V77"/>
  <c r="N77"/>
  <c r="J77"/>
  <c r="H77"/>
  <c r="D77"/>
  <c r="C77"/>
  <c r="AB76"/>
  <c r="AA76"/>
  <c r="W76"/>
  <c r="V76"/>
  <c r="N76"/>
  <c r="J76"/>
  <c r="H76"/>
  <c r="D76"/>
  <c r="C76"/>
  <c r="AB75"/>
  <c r="AA75"/>
  <c r="W75"/>
  <c r="V75"/>
  <c r="N75"/>
  <c r="J75"/>
  <c r="H75"/>
  <c r="D75"/>
  <c r="C75"/>
  <c r="AB74"/>
  <c r="AA74"/>
  <c r="W74"/>
  <c r="V74"/>
  <c r="T74"/>
  <c r="N74"/>
  <c r="J74"/>
  <c r="H74"/>
  <c r="D74"/>
  <c r="C74"/>
  <c r="AB73"/>
  <c r="AA73"/>
  <c r="W73"/>
  <c r="V73"/>
  <c r="N73"/>
  <c r="J73"/>
  <c r="H73"/>
  <c r="D73"/>
  <c r="C73"/>
  <c r="AB72"/>
  <c r="AA72"/>
  <c r="W72"/>
  <c r="V72"/>
  <c r="N72"/>
  <c r="J72"/>
  <c r="H72"/>
  <c r="D72"/>
  <c r="C72"/>
  <c r="AB71"/>
  <c r="AA71"/>
  <c r="W71"/>
  <c r="V71"/>
  <c r="N71"/>
  <c r="J71"/>
  <c r="H71"/>
  <c r="D71"/>
  <c r="C71"/>
  <c r="AB70"/>
  <c r="AA70"/>
  <c r="W70"/>
  <c r="V70"/>
  <c r="N70"/>
  <c r="J70"/>
  <c r="H70"/>
  <c r="D70"/>
  <c r="C70"/>
  <c r="AB69"/>
  <c r="AA69"/>
  <c r="W69"/>
  <c r="V69"/>
  <c r="N69"/>
  <c r="J69"/>
  <c r="H69"/>
  <c r="D69"/>
  <c r="C69"/>
  <c r="AB68"/>
  <c r="AA68"/>
  <c r="W68"/>
  <c r="V68"/>
  <c r="N68"/>
  <c r="J68"/>
  <c r="H68"/>
  <c r="D68"/>
  <c r="C68"/>
  <c r="AB56"/>
  <c r="AA56"/>
  <c r="W56"/>
  <c r="V56"/>
  <c r="N56"/>
  <c r="J56"/>
  <c r="H56"/>
  <c r="D56"/>
  <c r="C56"/>
  <c r="AB55"/>
  <c r="AA55"/>
  <c r="W55"/>
  <c r="V55"/>
  <c r="N55"/>
  <c r="J55"/>
  <c r="H55"/>
  <c r="D55"/>
  <c r="C55"/>
  <c r="AB54"/>
  <c r="AA54"/>
  <c r="W54"/>
  <c r="V54"/>
  <c r="N54"/>
  <c r="J54"/>
  <c r="H54"/>
  <c r="D54"/>
  <c r="C54"/>
  <c r="AB53"/>
  <c r="AA53"/>
  <c r="W53"/>
  <c r="V53"/>
  <c r="N53"/>
  <c r="J53"/>
  <c r="H53"/>
  <c r="D53"/>
  <c r="C53"/>
  <c r="AB52"/>
  <c r="AA52"/>
  <c r="W52"/>
  <c r="V52"/>
  <c r="N52"/>
  <c r="J52"/>
  <c r="H52"/>
  <c r="D52"/>
  <c r="C52"/>
  <c r="AB51"/>
  <c r="AA51"/>
  <c r="W51"/>
  <c r="V51"/>
  <c r="N51"/>
  <c r="J51"/>
  <c r="H51"/>
  <c r="D51"/>
  <c r="C51"/>
  <c r="AB50"/>
  <c r="AA50"/>
  <c r="W50"/>
  <c r="V50"/>
  <c r="N50"/>
  <c r="H50"/>
  <c r="D50"/>
  <c r="C50"/>
  <c r="AB49"/>
  <c r="AA49"/>
  <c r="W49"/>
  <c r="V49"/>
  <c r="N49"/>
  <c r="J49"/>
  <c r="H49"/>
  <c r="D49"/>
  <c r="C49"/>
  <c r="AB48"/>
  <c r="AA48"/>
  <c r="W48"/>
  <c r="V48"/>
  <c r="N48"/>
  <c r="J48"/>
  <c r="H48"/>
  <c r="D48"/>
  <c r="C48"/>
  <c r="AB47"/>
  <c r="AA47"/>
  <c r="W47"/>
  <c r="V47"/>
  <c r="N47"/>
  <c r="J47"/>
  <c r="H47"/>
  <c r="D47"/>
  <c r="C47"/>
  <c r="AB46"/>
  <c r="AA46"/>
  <c r="W46"/>
  <c r="V46"/>
  <c r="N46"/>
  <c r="J46"/>
  <c r="H46"/>
  <c r="D46"/>
  <c r="C46"/>
  <c r="AB45"/>
  <c r="AA45"/>
  <c r="W45"/>
  <c r="V45"/>
  <c r="N45"/>
  <c r="J45"/>
  <c r="H45"/>
  <c r="D45"/>
  <c r="C45"/>
  <c r="AB44"/>
  <c r="AA44"/>
  <c r="W44"/>
  <c r="V44"/>
  <c r="N44"/>
  <c r="J44"/>
  <c r="H44"/>
  <c r="D44"/>
  <c r="C44"/>
  <c r="AB43"/>
  <c r="AA43"/>
  <c r="W43"/>
  <c r="V43"/>
  <c r="N43"/>
  <c r="J43"/>
  <c r="H43"/>
  <c r="D43"/>
  <c r="C43"/>
  <c r="AB42"/>
  <c r="AA42"/>
  <c r="W42"/>
  <c r="V42"/>
  <c r="N42"/>
  <c r="J42"/>
  <c r="H42"/>
  <c r="D42"/>
  <c r="C42"/>
  <c r="AB41"/>
  <c r="AA41"/>
  <c r="W41"/>
  <c r="V41"/>
  <c r="N41"/>
  <c r="J41"/>
  <c r="H41"/>
  <c r="D41"/>
  <c r="C41"/>
  <c r="AB40"/>
  <c r="AA40"/>
  <c r="W40"/>
  <c r="V40"/>
  <c r="N40"/>
  <c r="J40"/>
  <c r="H40"/>
  <c r="D40"/>
  <c r="C40"/>
  <c r="AB39"/>
  <c r="AA39"/>
  <c r="W39"/>
  <c r="V39"/>
  <c r="N39"/>
  <c r="J39"/>
  <c r="H39"/>
  <c r="D39"/>
  <c r="C39"/>
  <c r="AB38"/>
  <c r="AA38"/>
  <c r="W38"/>
  <c r="V38"/>
  <c r="N38"/>
  <c r="J38"/>
  <c r="H38"/>
  <c r="D38"/>
  <c r="C38"/>
  <c r="AB37"/>
  <c r="AA37"/>
  <c r="W37"/>
  <c r="V37"/>
  <c r="N37"/>
  <c r="J37"/>
  <c r="H37"/>
  <c r="D37"/>
  <c r="C37"/>
  <c r="AB36"/>
  <c r="AA36"/>
  <c r="W36"/>
  <c r="V36"/>
  <c r="N36"/>
  <c r="J36"/>
  <c r="H36"/>
  <c r="D36"/>
  <c r="C36"/>
  <c r="AB35"/>
  <c r="AA35"/>
  <c r="W35"/>
  <c r="V35"/>
  <c r="N35"/>
  <c r="J35"/>
  <c r="H35"/>
  <c r="D35"/>
  <c r="C35"/>
  <c r="AB34"/>
  <c r="AA34"/>
  <c r="W34"/>
  <c r="V34"/>
  <c r="N34"/>
  <c r="J34"/>
  <c r="H34"/>
  <c r="D34"/>
  <c r="C34"/>
  <c r="N405" i="44"/>
  <c r="M405"/>
  <c r="G405"/>
  <c r="H405" s="1"/>
  <c r="C405"/>
  <c r="B405"/>
  <c r="N404"/>
  <c r="M404"/>
  <c r="G404"/>
  <c r="H404" s="1"/>
  <c r="C404"/>
  <c r="B404"/>
  <c r="N403"/>
  <c r="M403"/>
  <c r="G403"/>
  <c r="H403" s="1"/>
  <c r="C403"/>
  <c r="B403"/>
  <c r="N402"/>
  <c r="M402"/>
  <c r="G402"/>
  <c r="H402" s="1"/>
  <c r="C402"/>
  <c r="B402"/>
  <c r="N401"/>
  <c r="M401"/>
  <c r="G401"/>
  <c r="H401" s="1"/>
  <c r="C401"/>
  <c r="B401"/>
  <c r="N400"/>
  <c r="M400"/>
  <c r="G400"/>
  <c r="H400" s="1"/>
  <c r="C400"/>
  <c r="B400"/>
  <c r="N399"/>
  <c r="M399"/>
  <c r="G399"/>
  <c r="H399" s="1"/>
  <c r="C399"/>
  <c r="B399"/>
  <c r="N398"/>
  <c r="M398"/>
  <c r="G398"/>
  <c r="H398" s="1"/>
  <c r="C398"/>
  <c r="B398"/>
  <c r="N397"/>
  <c r="M397"/>
  <c r="G397"/>
  <c r="H397" s="1"/>
  <c r="C397"/>
  <c r="B397"/>
  <c r="N396"/>
  <c r="M396"/>
  <c r="G396"/>
  <c r="H396" s="1"/>
  <c r="C396"/>
  <c r="B396"/>
  <c r="N395"/>
  <c r="M395"/>
  <c r="G395"/>
  <c r="H395" s="1"/>
  <c r="C395"/>
  <c r="B395"/>
  <c r="N394"/>
  <c r="M394"/>
  <c r="G394"/>
  <c r="H394" s="1"/>
  <c r="C394"/>
  <c r="B394"/>
  <c r="N393"/>
  <c r="M393"/>
  <c r="G393"/>
  <c r="H393" s="1"/>
  <c r="C393"/>
  <c r="B393"/>
  <c r="N392"/>
  <c r="M392"/>
  <c r="G392"/>
  <c r="H392" s="1"/>
  <c r="C392"/>
  <c r="B392"/>
  <c r="N391"/>
  <c r="M391"/>
  <c r="G391"/>
  <c r="H391" s="1"/>
  <c r="C391"/>
  <c r="B391"/>
  <c r="N390"/>
  <c r="M390"/>
  <c r="G390"/>
  <c r="H390" s="1"/>
  <c r="C390"/>
  <c r="B390"/>
  <c r="N389"/>
  <c r="M389"/>
  <c r="G389"/>
  <c r="H389" s="1"/>
  <c r="C389"/>
  <c r="B389"/>
  <c r="N388"/>
  <c r="M388"/>
  <c r="G388"/>
  <c r="H388" s="1"/>
  <c r="C388"/>
  <c r="B388"/>
  <c r="N387"/>
  <c r="M387"/>
  <c r="G387"/>
  <c r="H387" s="1"/>
  <c r="C387"/>
  <c r="B387"/>
  <c r="N386"/>
  <c r="M386"/>
  <c r="G386"/>
  <c r="H386" s="1"/>
  <c r="C386"/>
  <c r="B386"/>
  <c r="N385"/>
  <c r="M385"/>
  <c r="G385"/>
  <c r="H385" s="1"/>
  <c r="C385"/>
  <c r="B385"/>
  <c r="N384"/>
  <c r="M384"/>
  <c r="G384"/>
  <c r="H384" s="1"/>
  <c r="C384"/>
  <c r="B384"/>
  <c r="N383"/>
  <c r="M383"/>
  <c r="G383"/>
  <c r="H383" s="1"/>
  <c r="C383"/>
  <c r="B383"/>
  <c r="N382"/>
  <c r="M382"/>
  <c r="G382"/>
  <c r="H382" s="1"/>
  <c r="C382"/>
  <c r="B382"/>
  <c r="N381"/>
  <c r="M381"/>
  <c r="G381"/>
  <c r="H381" s="1"/>
  <c r="C381"/>
  <c r="B381"/>
  <c r="N380"/>
  <c r="M380"/>
  <c r="G380"/>
  <c r="H380" s="1"/>
  <c r="C380"/>
  <c r="B380"/>
  <c r="N379"/>
  <c r="M379"/>
  <c r="G379"/>
  <c r="H379" s="1"/>
  <c r="C379"/>
  <c r="B379"/>
  <c r="N378"/>
  <c r="M378"/>
  <c r="G378"/>
  <c r="H378" s="1"/>
  <c r="C378"/>
  <c r="B378"/>
  <c r="N377"/>
  <c r="M377"/>
  <c r="G377"/>
  <c r="H377" s="1"/>
  <c r="C377"/>
  <c r="B377"/>
  <c r="N376"/>
  <c r="M376"/>
  <c r="G376"/>
  <c r="H376" s="1"/>
  <c r="C376"/>
  <c r="B376"/>
  <c r="N375"/>
  <c r="M375"/>
  <c r="G375"/>
  <c r="H375" s="1"/>
  <c r="C375"/>
  <c r="B375"/>
  <c r="N374"/>
  <c r="M374"/>
  <c r="G374"/>
  <c r="H374" s="1"/>
  <c r="C374"/>
  <c r="B374"/>
  <c r="N373"/>
  <c r="M373"/>
  <c r="G373"/>
  <c r="H373" s="1"/>
  <c r="C373"/>
  <c r="B373"/>
  <c r="N372"/>
  <c r="M372"/>
  <c r="G372"/>
  <c r="H372" s="1"/>
  <c r="C372"/>
  <c r="B372"/>
  <c r="N371"/>
  <c r="M371"/>
  <c r="G371"/>
  <c r="H371" s="1"/>
  <c r="C371"/>
  <c r="B371"/>
  <c r="N370"/>
  <c r="M370"/>
  <c r="G370"/>
  <c r="H370" s="1"/>
  <c r="C370"/>
  <c r="B370"/>
  <c r="N369"/>
  <c r="M369"/>
  <c r="G369"/>
  <c r="H369" s="1"/>
  <c r="C369"/>
  <c r="B369"/>
  <c r="N368"/>
  <c r="M368"/>
  <c r="G368"/>
  <c r="H368" s="1"/>
  <c r="C368"/>
  <c r="B368"/>
  <c r="N367"/>
  <c r="M367"/>
  <c r="G367"/>
  <c r="H367" s="1"/>
  <c r="C367"/>
  <c r="B367"/>
  <c r="N366"/>
  <c r="M366"/>
  <c r="G366"/>
  <c r="H366" s="1"/>
  <c r="C366"/>
  <c r="B366"/>
  <c r="N365"/>
  <c r="M365"/>
  <c r="G365"/>
  <c r="H365" s="1"/>
  <c r="C365"/>
  <c r="B365"/>
  <c r="N364"/>
  <c r="M364"/>
  <c r="G364"/>
  <c r="H364" s="1"/>
  <c r="C364"/>
  <c r="B364"/>
  <c r="N363"/>
  <c r="M363"/>
  <c r="G363"/>
  <c r="H363" s="1"/>
  <c r="C363"/>
  <c r="B363"/>
  <c r="N362"/>
  <c r="M362"/>
  <c r="G362"/>
  <c r="H362" s="1"/>
  <c r="C362"/>
  <c r="B362"/>
  <c r="N361"/>
  <c r="M361"/>
  <c r="G361"/>
  <c r="H361" s="1"/>
  <c r="C361"/>
  <c r="B361"/>
  <c r="N360"/>
  <c r="M360"/>
  <c r="G360"/>
  <c r="H360" s="1"/>
  <c r="C360"/>
  <c r="B360"/>
  <c r="N359"/>
  <c r="M359"/>
  <c r="G359"/>
  <c r="H359" s="1"/>
  <c r="C359"/>
  <c r="B359"/>
  <c r="N358"/>
  <c r="M358"/>
  <c r="G358"/>
  <c r="H358" s="1"/>
  <c r="C358"/>
  <c r="B358"/>
  <c r="N357"/>
  <c r="M357"/>
  <c r="G357"/>
  <c r="H357" s="1"/>
  <c r="C357"/>
  <c r="B357"/>
  <c r="N356"/>
  <c r="M356"/>
  <c r="G356"/>
  <c r="H356" s="1"/>
  <c r="C356"/>
  <c r="B356"/>
  <c r="N355"/>
  <c r="M355"/>
  <c r="G355"/>
  <c r="H355" s="1"/>
  <c r="C355"/>
  <c r="B355"/>
  <c r="N354"/>
  <c r="M354"/>
  <c r="G354"/>
  <c r="H354" s="1"/>
  <c r="C354"/>
  <c r="B354"/>
  <c r="N353"/>
  <c r="M353"/>
  <c r="G353"/>
  <c r="H353" s="1"/>
  <c r="C353"/>
  <c r="B353"/>
  <c r="N352"/>
  <c r="M352"/>
  <c r="G352"/>
  <c r="H352" s="1"/>
  <c r="C352"/>
  <c r="B352"/>
  <c r="N351"/>
  <c r="M351"/>
  <c r="G351"/>
  <c r="H351" s="1"/>
  <c r="C351"/>
  <c r="B351"/>
  <c r="N350"/>
  <c r="M350"/>
  <c r="G350"/>
  <c r="H350" s="1"/>
  <c r="C350"/>
  <c r="B350"/>
  <c r="N349"/>
  <c r="M349"/>
  <c r="G349"/>
  <c r="H349" s="1"/>
  <c r="C349"/>
  <c r="B349"/>
  <c r="N348"/>
  <c r="M348"/>
  <c r="G348"/>
  <c r="H348" s="1"/>
  <c r="C348"/>
  <c r="B348"/>
  <c r="N347"/>
  <c r="M347"/>
  <c r="G347"/>
  <c r="H347" s="1"/>
  <c r="C347"/>
  <c r="B347"/>
  <c r="N346"/>
  <c r="M346"/>
  <c r="G346"/>
  <c r="H346" s="1"/>
  <c r="C346"/>
  <c r="B346"/>
  <c r="N345"/>
  <c r="M345"/>
  <c r="G345"/>
  <c r="H345" s="1"/>
  <c r="C345"/>
  <c r="B345"/>
  <c r="N344"/>
  <c r="M344"/>
  <c r="G344"/>
  <c r="H344" s="1"/>
  <c r="C344"/>
  <c r="B344"/>
  <c r="N343"/>
  <c r="M343"/>
  <c r="G343"/>
  <c r="H343" s="1"/>
  <c r="C343"/>
  <c r="B343"/>
  <c r="N342"/>
  <c r="M342"/>
  <c r="G342"/>
  <c r="H342" s="1"/>
  <c r="C342"/>
  <c r="B342"/>
  <c r="N341"/>
  <c r="M341"/>
  <c r="G341"/>
  <c r="H341" s="1"/>
  <c r="C341"/>
  <c r="B341"/>
  <c r="N340"/>
  <c r="M340"/>
  <c r="G340"/>
  <c r="H340" s="1"/>
  <c r="C340"/>
  <c r="B340"/>
  <c r="N339"/>
  <c r="M339"/>
  <c r="G339"/>
  <c r="H339" s="1"/>
  <c r="C339"/>
  <c r="B339"/>
  <c r="N338"/>
  <c r="M338"/>
  <c r="G338"/>
  <c r="H338" s="1"/>
  <c r="C338"/>
  <c r="B338"/>
  <c r="N337"/>
  <c r="M337"/>
  <c r="G337"/>
  <c r="H337" s="1"/>
  <c r="C337"/>
  <c r="B337"/>
  <c r="N336"/>
  <c r="M336"/>
  <c r="G336"/>
  <c r="H336" s="1"/>
  <c r="C336"/>
  <c r="B336"/>
  <c r="N335"/>
  <c r="M335"/>
  <c r="G335"/>
  <c r="H335" s="1"/>
  <c r="C335"/>
  <c r="B335"/>
  <c r="N334"/>
  <c r="M334"/>
  <c r="G334"/>
  <c r="H334" s="1"/>
  <c r="C334"/>
  <c r="B334"/>
  <c r="N333"/>
  <c r="M333"/>
  <c r="G333"/>
  <c r="H333" s="1"/>
  <c r="C333"/>
  <c r="B333"/>
  <c r="N332"/>
  <c r="M332"/>
  <c r="G332"/>
  <c r="H332" s="1"/>
  <c r="C332"/>
  <c r="B332"/>
  <c r="N331"/>
  <c r="M331"/>
  <c r="G331"/>
  <c r="H331" s="1"/>
  <c r="C331"/>
  <c r="B331"/>
  <c r="N330"/>
  <c r="M330"/>
  <c r="G330"/>
  <c r="H330" s="1"/>
  <c r="C330"/>
  <c r="B330"/>
  <c r="N329"/>
  <c r="M329"/>
  <c r="G329"/>
  <c r="H329" s="1"/>
  <c r="C329"/>
  <c r="B329"/>
  <c r="N328"/>
  <c r="M328"/>
  <c r="G328"/>
  <c r="H328" s="1"/>
  <c r="C328"/>
  <c r="B328"/>
  <c r="N327"/>
  <c r="M327"/>
  <c r="G327"/>
  <c r="H327" s="1"/>
  <c r="C327"/>
  <c r="B327"/>
  <c r="N326"/>
  <c r="M326"/>
  <c r="G326"/>
  <c r="H326" s="1"/>
  <c r="C326"/>
  <c r="B326"/>
  <c r="N325"/>
  <c r="M325"/>
  <c r="G325"/>
  <c r="H325" s="1"/>
  <c r="C325"/>
  <c r="B325"/>
  <c r="N324"/>
  <c r="M324"/>
  <c r="G324"/>
  <c r="H324" s="1"/>
  <c r="C324"/>
  <c r="B324"/>
  <c r="N323"/>
  <c r="M323"/>
  <c r="G323"/>
  <c r="H323" s="1"/>
  <c r="C323"/>
  <c r="B323"/>
  <c r="N322"/>
  <c r="M322"/>
  <c r="G322"/>
  <c r="H322" s="1"/>
  <c r="C322"/>
  <c r="B322"/>
  <c r="Q321"/>
  <c r="P321"/>
  <c r="N321"/>
  <c r="M321"/>
  <c r="K321"/>
  <c r="J321"/>
  <c r="G321"/>
  <c r="H321" s="1"/>
  <c r="C321"/>
  <c r="B321"/>
  <c r="N320"/>
  <c r="M320"/>
  <c r="G320"/>
  <c r="H320" s="1"/>
  <c r="C320"/>
  <c r="B320"/>
  <c r="N319"/>
  <c r="M319"/>
  <c r="G319"/>
  <c r="H319" s="1"/>
  <c r="C319"/>
  <c r="B319"/>
  <c r="N318"/>
  <c r="M318"/>
  <c r="G318"/>
  <c r="H318" s="1"/>
  <c r="C318"/>
  <c r="B318"/>
  <c r="N317"/>
  <c r="M317"/>
  <c r="G317"/>
  <c r="H317" s="1"/>
  <c r="C317"/>
  <c r="B317"/>
  <c r="N316"/>
  <c r="M316"/>
  <c r="G316"/>
  <c r="H316" s="1"/>
  <c r="C316"/>
  <c r="B316"/>
  <c r="Q315"/>
  <c r="P315"/>
  <c r="N315"/>
  <c r="M315"/>
  <c r="K315"/>
  <c r="J315"/>
  <c r="G315"/>
  <c r="H315" s="1"/>
  <c r="C315"/>
  <c r="B315"/>
  <c r="N310"/>
  <c r="M310"/>
  <c r="G310"/>
  <c r="H310" s="1"/>
  <c r="C310"/>
  <c r="B310"/>
  <c r="N309"/>
  <c r="M309"/>
  <c r="G309"/>
  <c r="H309" s="1"/>
  <c r="C309"/>
  <c r="B309"/>
  <c r="N308"/>
  <c r="M308"/>
  <c r="G308"/>
  <c r="H308" s="1"/>
  <c r="C308"/>
  <c r="B308"/>
  <c r="N307"/>
  <c r="M307"/>
  <c r="G307"/>
  <c r="H307" s="1"/>
  <c r="C307"/>
  <c r="B307"/>
  <c r="N306"/>
  <c r="M306"/>
  <c r="G306"/>
  <c r="H306" s="1"/>
  <c r="C306"/>
  <c r="B306"/>
  <c r="N305"/>
  <c r="M305"/>
  <c r="G305"/>
  <c r="H305" s="1"/>
  <c r="C305"/>
  <c r="B305"/>
  <c r="N304"/>
  <c r="M304"/>
  <c r="G304"/>
  <c r="H304" s="1"/>
  <c r="C304"/>
  <c r="B304"/>
  <c r="N303"/>
  <c r="M303"/>
  <c r="G303"/>
  <c r="H303" s="1"/>
  <c r="C303"/>
  <c r="B303"/>
  <c r="N302"/>
  <c r="M302"/>
  <c r="G302"/>
  <c r="H302" s="1"/>
  <c r="C302"/>
  <c r="B302"/>
  <c r="N301"/>
  <c r="M301"/>
  <c r="G301"/>
  <c r="H301" s="1"/>
  <c r="C301"/>
  <c r="B301"/>
  <c r="N300"/>
  <c r="M300"/>
  <c r="G300"/>
  <c r="H300" s="1"/>
  <c r="C300"/>
  <c r="B300"/>
  <c r="N299"/>
  <c r="M299"/>
  <c r="G299"/>
  <c r="H299" s="1"/>
  <c r="C299"/>
  <c r="B299"/>
  <c r="N298"/>
  <c r="M298"/>
  <c r="G298"/>
  <c r="H298" s="1"/>
  <c r="C298"/>
  <c r="B298"/>
  <c r="N297"/>
  <c r="M297"/>
  <c r="G297"/>
  <c r="H297" s="1"/>
  <c r="C297"/>
  <c r="B297"/>
  <c r="N296"/>
  <c r="M296"/>
  <c r="G296"/>
  <c r="H296" s="1"/>
  <c r="C296"/>
  <c r="B296"/>
  <c r="N295"/>
  <c r="M295"/>
  <c r="G295"/>
  <c r="H295" s="1"/>
  <c r="C295"/>
  <c r="B295"/>
  <c r="N294"/>
  <c r="M294"/>
  <c r="G294"/>
  <c r="H294" s="1"/>
  <c r="C294"/>
  <c r="B294"/>
  <c r="N293"/>
  <c r="M293"/>
  <c r="G293"/>
  <c r="H293" s="1"/>
  <c r="C293"/>
  <c r="B293"/>
  <c r="N292"/>
  <c r="M292"/>
  <c r="G292"/>
  <c r="H292" s="1"/>
  <c r="C292"/>
  <c r="B292"/>
  <c r="N291"/>
  <c r="M291"/>
  <c r="G291"/>
  <c r="H291" s="1"/>
  <c r="C291"/>
  <c r="B291"/>
  <c r="N290"/>
  <c r="M290"/>
  <c r="G290"/>
  <c r="H290" s="1"/>
  <c r="C290"/>
  <c r="B290"/>
  <c r="N289"/>
  <c r="M289"/>
  <c r="G289"/>
  <c r="H289" s="1"/>
  <c r="C289"/>
  <c r="B289"/>
  <c r="N288"/>
  <c r="M288"/>
  <c r="G288"/>
  <c r="H288" s="1"/>
  <c r="C288"/>
  <c r="B288"/>
  <c r="N287"/>
  <c r="M287"/>
  <c r="G287"/>
  <c r="H287" s="1"/>
  <c r="C287"/>
  <c r="B287"/>
  <c r="N286"/>
  <c r="M286"/>
  <c r="G286"/>
  <c r="H286" s="1"/>
  <c r="C286"/>
  <c r="B286"/>
  <c r="N285"/>
  <c r="M285"/>
  <c r="G285"/>
  <c r="H285" s="1"/>
  <c r="C285"/>
  <c r="B285"/>
  <c r="N284"/>
  <c r="M284"/>
  <c r="G284"/>
  <c r="H284" s="1"/>
  <c r="C284"/>
  <c r="B284"/>
  <c r="N283"/>
  <c r="M283"/>
  <c r="G283"/>
  <c r="H283" s="1"/>
  <c r="C283"/>
  <c r="B283"/>
  <c r="N282"/>
  <c r="M282"/>
  <c r="G282"/>
  <c r="H282" s="1"/>
  <c r="C282"/>
  <c r="B282"/>
  <c r="N281"/>
  <c r="M281"/>
  <c r="G281"/>
  <c r="H281" s="1"/>
  <c r="C281"/>
  <c r="B281"/>
  <c r="N280"/>
  <c r="M280"/>
  <c r="G280"/>
  <c r="H280" s="1"/>
  <c r="C280"/>
  <c r="B280"/>
  <c r="N279"/>
  <c r="M279"/>
  <c r="G279"/>
  <c r="H279" s="1"/>
  <c r="C279"/>
  <c r="B279"/>
  <c r="N278"/>
  <c r="M278"/>
  <c r="G278"/>
  <c r="H278" s="1"/>
  <c r="C278"/>
  <c r="B278"/>
  <c r="N277"/>
  <c r="M277"/>
  <c r="G277"/>
  <c r="H277" s="1"/>
  <c r="C277"/>
  <c r="B277"/>
  <c r="N276"/>
  <c r="M276"/>
  <c r="G276"/>
  <c r="H276" s="1"/>
  <c r="C276"/>
  <c r="B276"/>
  <c r="N275"/>
  <c r="M275"/>
  <c r="G275"/>
  <c r="H275" s="1"/>
  <c r="C275"/>
  <c r="B275"/>
  <c r="N274"/>
  <c r="M274"/>
  <c r="G274"/>
  <c r="H274" s="1"/>
  <c r="C274"/>
  <c r="B274"/>
  <c r="N273"/>
  <c r="M273"/>
  <c r="G273"/>
  <c r="H273" s="1"/>
  <c r="C273"/>
  <c r="B273"/>
  <c r="N272"/>
  <c r="M272"/>
  <c r="G272"/>
  <c r="H272" s="1"/>
  <c r="C272"/>
  <c r="B272"/>
  <c r="N271"/>
  <c r="M271"/>
  <c r="G271"/>
  <c r="H271" s="1"/>
  <c r="C271"/>
  <c r="B271"/>
  <c r="N270"/>
  <c r="M270"/>
  <c r="G270"/>
  <c r="H270" s="1"/>
  <c r="C270"/>
  <c r="B270"/>
  <c r="N269"/>
  <c r="M269"/>
  <c r="G269"/>
  <c r="H269" s="1"/>
  <c r="C269"/>
  <c r="B269"/>
  <c r="N268"/>
  <c r="M268"/>
  <c r="G268"/>
  <c r="H268" s="1"/>
  <c r="C268"/>
  <c r="B268"/>
  <c r="N267"/>
  <c r="M267"/>
  <c r="G267"/>
  <c r="H267" s="1"/>
  <c r="C267"/>
  <c r="B267"/>
  <c r="N266"/>
  <c r="M266"/>
  <c r="G266"/>
  <c r="H266" s="1"/>
  <c r="C266"/>
  <c r="B266"/>
  <c r="N265"/>
  <c r="M265"/>
  <c r="G265"/>
  <c r="H265" s="1"/>
  <c r="C265"/>
  <c r="B265"/>
  <c r="N264"/>
  <c r="M264"/>
  <c r="G264"/>
  <c r="H264" s="1"/>
  <c r="C264"/>
  <c r="B264"/>
  <c r="N263"/>
  <c r="M263"/>
  <c r="G263"/>
  <c r="H263" s="1"/>
  <c r="C263"/>
  <c r="B263"/>
  <c r="N262"/>
  <c r="M262"/>
  <c r="G262"/>
  <c r="H262" s="1"/>
  <c r="C262"/>
  <c r="B262"/>
  <c r="N261"/>
  <c r="M261"/>
  <c r="G261"/>
  <c r="H261" s="1"/>
  <c r="C261"/>
  <c r="B261"/>
  <c r="N260"/>
  <c r="M260"/>
  <c r="G260"/>
  <c r="H260" s="1"/>
  <c r="C260"/>
  <c r="B260"/>
  <c r="N259"/>
  <c r="M259"/>
  <c r="G259"/>
  <c r="H259" s="1"/>
  <c r="C259"/>
  <c r="B259"/>
  <c r="N258"/>
  <c r="M258"/>
  <c r="G258"/>
  <c r="H258" s="1"/>
  <c r="C258"/>
  <c r="B258"/>
  <c r="N257"/>
  <c r="M257"/>
  <c r="G257"/>
  <c r="H257" s="1"/>
  <c r="C257"/>
  <c r="B257"/>
  <c r="N256"/>
  <c r="M256"/>
  <c r="G256"/>
  <c r="H256" s="1"/>
  <c r="C256"/>
  <c r="B256"/>
  <c r="N255"/>
  <c r="M255"/>
  <c r="G255"/>
  <c r="H255" s="1"/>
  <c r="C255"/>
  <c r="B255"/>
  <c r="N254"/>
  <c r="M254"/>
  <c r="G254"/>
  <c r="H254" s="1"/>
  <c r="C254"/>
  <c r="B254"/>
  <c r="N253"/>
  <c r="M253"/>
  <c r="G253"/>
  <c r="H253" s="1"/>
  <c r="C253"/>
  <c r="B253"/>
  <c r="N252"/>
  <c r="M252"/>
  <c r="G252"/>
  <c r="H252" s="1"/>
  <c r="C252"/>
  <c r="B252"/>
  <c r="N251"/>
  <c r="M251"/>
  <c r="G251"/>
  <c r="H251" s="1"/>
  <c r="C251"/>
  <c r="B251"/>
  <c r="N250"/>
  <c r="M250"/>
  <c r="G250"/>
  <c r="H250" s="1"/>
  <c r="C250"/>
  <c r="B250"/>
  <c r="N249"/>
  <c r="M249"/>
  <c r="G249"/>
  <c r="H249" s="1"/>
  <c r="C249"/>
  <c r="B249"/>
  <c r="N248"/>
  <c r="M248"/>
  <c r="G248"/>
  <c r="H248" s="1"/>
  <c r="C248"/>
  <c r="B248"/>
  <c r="N247"/>
  <c r="M247"/>
  <c r="G247"/>
  <c r="H247" s="1"/>
  <c r="C247"/>
  <c r="B247"/>
  <c r="N246"/>
  <c r="M246"/>
  <c r="G246"/>
  <c r="H246" s="1"/>
  <c r="C246"/>
  <c r="B246"/>
  <c r="N245"/>
  <c r="M245"/>
  <c r="G245"/>
  <c r="H245" s="1"/>
  <c r="C245"/>
  <c r="B245"/>
  <c r="N244"/>
  <c r="M244"/>
  <c r="G244"/>
  <c r="H244" s="1"/>
  <c r="C244"/>
  <c r="B244"/>
  <c r="N243"/>
  <c r="M243"/>
  <c r="G243"/>
  <c r="H243" s="1"/>
  <c r="C243"/>
  <c r="B243"/>
  <c r="N242"/>
  <c r="M242"/>
  <c r="G242"/>
  <c r="H242" s="1"/>
  <c r="C242"/>
  <c r="B242"/>
  <c r="N241"/>
  <c r="M241"/>
  <c r="G241"/>
  <c r="H241" s="1"/>
  <c r="C241"/>
  <c r="B241"/>
  <c r="N240"/>
  <c r="M240"/>
  <c r="G240"/>
  <c r="H240" s="1"/>
  <c r="C240"/>
  <c r="B240"/>
  <c r="N239"/>
  <c r="M239"/>
  <c r="G239"/>
  <c r="H239" s="1"/>
  <c r="C239"/>
  <c r="B239"/>
  <c r="N238"/>
  <c r="M238"/>
  <c r="G238"/>
  <c r="H238" s="1"/>
  <c r="C238"/>
  <c r="B238"/>
  <c r="N237"/>
  <c r="M237"/>
  <c r="G237"/>
  <c r="H237" s="1"/>
  <c r="C237"/>
  <c r="B237"/>
  <c r="N236"/>
  <c r="M236"/>
  <c r="G236"/>
  <c r="H236" s="1"/>
  <c r="C236"/>
  <c r="B236"/>
  <c r="N235"/>
  <c r="M235"/>
  <c r="G235"/>
  <c r="H235" s="1"/>
  <c r="C235"/>
  <c r="B235"/>
  <c r="N234"/>
  <c r="M234"/>
  <c r="G234"/>
  <c r="H234" s="1"/>
  <c r="C234"/>
  <c r="B234"/>
  <c r="N233"/>
  <c r="M233"/>
  <c r="G233"/>
  <c r="H233" s="1"/>
  <c r="C233"/>
  <c r="B233"/>
  <c r="N232"/>
  <c r="M232"/>
  <c r="G232"/>
  <c r="H232" s="1"/>
  <c r="C232"/>
  <c r="B232"/>
  <c r="N231"/>
  <c r="M231"/>
  <c r="G231"/>
  <c r="H231" s="1"/>
  <c r="C231"/>
  <c r="B231"/>
  <c r="N230"/>
  <c r="M230"/>
  <c r="G230"/>
  <c r="H230" s="1"/>
  <c r="C230"/>
  <c r="B230"/>
  <c r="N229"/>
  <c r="M229"/>
  <c r="G229"/>
  <c r="H229" s="1"/>
  <c r="C229"/>
  <c r="B229"/>
  <c r="N228"/>
  <c r="M228"/>
  <c r="G228"/>
  <c r="H228" s="1"/>
  <c r="C228"/>
  <c r="B228"/>
  <c r="N227"/>
  <c r="M227"/>
  <c r="G227"/>
  <c r="H227" s="1"/>
  <c r="C227"/>
  <c r="B227"/>
  <c r="N226"/>
  <c r="M226"/>
  <c r="G226"/>
  <c r="H226" s="1"/>
  <c r="C226"/>
  <c r="B226"/>
  <c r="N225"/>
  <c r="M225"/>
  <c r="G225"/>
  <c r="H225" s="1"/>
  <c r="C225"/>
  <c r="B225"/>
  <c r="N224"/>
  <c r="M224"/>
  <c r="G224"/>
  <c r="H224" s="1"/>
  <c r="C224"/>
  <c r="B224"/>
  <c r="N223"/>
  <c r="M223"/>
  <c r="G223"/>
  <c r="H223" s="1"/>
  <c r="C223"/>
  <c r="B223"/>
  <c r="N222"/>
  <c r="M222"/>
  <c r="G222"/>
  <c r="H222" s="1"/>
  <c r="C222"/>
  <c r="B222"/>
  <c r="N221"/>
  <c r="M221"/>
  <c r="G221"/>
  <c r="H221" s="1"/>
  <c r="C221"/>
  <c r="B221"/>
  <c r="N220"/>
  <c r="M220"/>
  <c r="G220"/>
  <c r="H220" s="1"/>
  <c r="C220"/>
  <c r="B220"/>
  <c r="N219"/>
  <c r="M219"/>
  <c r="G219"/>
  <c r="H219" s="1"/>
  <c r="C219"/>
  <c r="B219"/>
  <c r="N218"/>
  <c r="M218"/>
  <c r="G218"/>
  <c r="H218" s="1"/>
  <c r="C218"/>
  <c r="B218"/>
  <c r="N217"/>
  <c r="M217"/>
  <c r="G217"/>
  <c r="H217" s="1"/>
  <c r="C217"/>
  <c r="B217"/>
  <c r="N216"/>
  <c r="M216"/>
  <c r="G216"/>
  <c r="H216" s="1"/>
  <c r="C216"/>
  <c r="B216"/>
  <c r="N215"/>
  <c r="M215"/>
  <c r="G215"/>
  <c r="H215" s="1"/>
  <c r="C215"/>
  <c r="B215"/>
  <c r="N214"/>
  <c r="M214"/>
  <c r="G214"/>
  <c r="H214" s="1"/>
  <c r="C214"/>
  <c r="B214"/>
  <c r="N213"/>
  <c r="M213"/>
  <c r="G213"/>
  <c r="H213" s="1"/>
  <c r="C213"/>
  <c r="B213"/>
  <c r="N212"/>
  <c r="M212"/>
  <c r="G212"/>
  <c r="H212" s="1"/>
  <c r="C212"/>
  <c r="B212"/>
  <c r="N211"/>
  <c r="M211"/>
  <c r="G211"/>
  <c r="H211" s="1"/>
  <c r="C211"/>
  <c r="B211"/>
  <c r="N210"/>
  <c r="M210"/>
  <c r="G210"/>
  <c r="H210" s="1"/>
  <c r="C210"/>
  <c r="B210"/>
  <c r="N209"/>
  <c r="M209"/>
  <c r="G209"/>
  <c r="H209" s="1"/>
  <c r="C209"/>
  <c r="B209"/>
  <c r="N208"/>
  <c r="M208"/>
  <c r="G208"/>
  <c r="H208" s="1"/>
  <c r="C208"/>
  <c r="B208"/>
  <c r="N207"/>
  <c r="M207"/>
  <c r="G207"/>
  <c r="H207" s="1"/>
  <c r="C207"/>
  <c r="B207"/>
  <c r="N206"/>
  <c r="M206"/>
  <c r="G206"/>
  <c r="H206" s="1"/>
  <c r="C206"/>
  <c r="B206"/>
  <c r="N205"/>
  <c r="M205"/>
  <c r="G205"/>
  <c r="H205" s="1"/>
  <c r="C205"/>
  <c r="B205"/>
  <c r="N204"/>
  <c r="M204"/>
  <c r="G204"/>
  <c r="H204" s="1"/>
  <c r="C204"/>
  <c r="B204"/>
  <c r="N203"/>
  <c r="M203"/>
  <c r="G203"/>
  <c r="H203" s="1"/>
  <c r="C203"/>
  <c r="B203"/>
  <c r="N202"/>
  <c r="M202"/>
  <c r="G202"/>
  <c r="H202" s="1"/>
  <c r="C202"/>
  <c r="B202"/>
  <c r="N201"/>
  <c r="M201"/>
  <c r="G201"/>
  <c r="H201" s="1"/>
  <c r="C201"/>
  <c r="B201"/>
  <c r="N200"/>
  <c r="M200"/>
  <c r="G200"/>
  <c r="H200" s="1"/>
  <c r="C200"/>
  <c r="B200"/>
  <c r="N199"/>
  <c r="M199"/>
  <c r="G199"/>
  <c r="H199" s="1"/>
  <c r="C199"/>
  <c r="B199"/>
  <c r="N198"/>
  <c r="M198"/>
  <c r="G198"/>
  <c r="H198" s="1"/>
  <c r="C198"/>
  <c r="B198"/>
  <c r="N197"/>
  <c r="M197"/>
  <c r="G197"/>
  <c r="H197" s="1"/>
  <c r="C197"/>
  <c r="B197"/>
  <c r="N196"/>
  <c r="M196"/>
  <c r="G196"/>
  <c r="H196" s="1"/>
  <c r="C196"/>
  <c r="B196"/>
  <c r="N195"/>
  <c r="M195"/>
  <c r="G195"/>
  <c r="H195" s="1"/>
  <c r="C195"/>
  <c r="B195"/>
  <c r="N194"/>
  <c r="M194"/>
  <c r="G194"/>
  <c r="H194" s="1"/>
  <c r="C194"/>
  <c r="B194"/>
  <c r="N193"/>
  <c r="M193"/>
  <c r="G193"/>
  <c r="H193" s="1"/>
  <c r="C193"/>
  <c r="B193"/>
  <c r="N192"/>
  <c r="M192"/>
  <c r="G192"/>
  <c r="H192" s="1"/>
  <c r="C192"/>
  <c r="B192"/>
  <c r="N191"/>
  <c r="M191"/>
  <c r="G191"/>
  <c r="H191" s="1"/>
  <c r="C191"/>
  <c r="B191"/>
  <c r="N190"/>
  <c r="M190"/>
  <c r="G190"/>
  <c r="H190" s="1"/>
  <c r="C190"/>
  <c r="B190"/>
  <c r="N189"/>
  <c r="M189"/>
  <c r="G189"/>
  <c r="H189" s="1"/>
  <c r="C189"/>
  <c r="B189"/>
  <c r="N188"/>
  <c r="M188"/>
  <c r="G188"/>
  <c r="H188" s="1"/>
  <c r="C188"/>
  <c r="B188"/>
  <c r="N187"/>
  <c r="M187"/>
  <c r="G187"/>
  <c r="H187" s="1"/>
  <c r="C187"/>
  <c r="B187"/>
  <c r="N186"/>
  <c r="M186"/>
  <c r="G186"/>
  <c r="H186" s="1"/>
  <c r="C186"/>
  <c r="B186"/>
  <c r="N185"/>
  <c r="M185"/>
  <c r="G185"/>
  <c r="H185" s="1"/>
  <c r="C185"/>
  <c r="B185"/>
  <c r="N184"/>
  <c r="M184"/>
  <c r="G184"/>
  <c r="H184" s="1"/>
  <c r="C184"/>
  <c r="B184"/>
  <c r="N183"/>
  <c r="M183"/>
  <c r="G183"/>
  <c r="H183" s="1"/>
  <c r="C183"/>
  <c r="B183"/>
  <c r="N182"/>
  <c r="M182"/>
  <c r="G182"/>
  <c r="H182" s="1"/>
  <c r="C182"/>
  <c r="B182"/>
  <c r="N181"/>
  <c r="M181"/>
  <c r="G181"/>
  <c r="H181" s="1"/>
  <c r="C181"/>
  <c r="B181"/>
  <c r="N180"/>
  <c r="M180"/>
  <c r="G180"/>
  <c r="H180" s="1"/>
  <c r="C180"/>
  <c r="B180"/>
  <c r="N179"/>
  <c r="M179"/>
  <c r="G179"/>
  <c r="H179" s="1"/>
  <c r="C179"/>
  <c r="B179"/>
  <c r="N178"/>
  <c r="M178"/>
  <c r="G178"/>
  <c r="H178" s="1"/>
  <c r="C178"/>
  <c r="B178"/>
  <c r="N177"/>
  <c r="M177"/>
  <c r="G177"/>
  <c r="H177" s="1"/>
  <c r="C177"/>
  <c r="B177"/>
  <c r="N176"/>
  <c r="M176"/>
  <c r="G176"/>
  <c r="H176" s="1"/>
  <c r="C176"/>
  <c r="B176"/>
  <c r="N175"/>
  <c r="M175"/>
  <c r="G175"/>
  <c r="H175" s="1"/>
  <c r="C175"/>
  <c r="B175"/>
  <c r="N174"/>
  <c r="M174"/>
  <c r="G174"/>
  <c r="H174" s="1"/>
  <c r="C174"/>
  <c r="B174"/>
  <c r="N173"/>
  <c r="M173"/>
  <c r="G173"/>
  <c r="H173" s="1"/>
  <c r="C173"/>
  <c r="B173"/>
  <c r="N172"/>
  <c r="M172"/>
  <c r="G172"/>
  <c r="H172" s="1"/>
  <c r="C172"/>
  <c r="B172"/>
  <c r="N171"/>
  <c r="M171"/>
  <c r="G171"/>
  <c r="H171" s="1"/>
  <c r="C171"/>
  <c r="B171"/>
  <c r="N170"/>
  <c r="M170"/>
  <c r="G170"/>
  <c r="H170" s="1"/>
  <c r="C170"/>
  <c r="B170"/>
  <c r="N169"/>
  <c r="M169"/>
  <c r="G169"/>
  <c r="H169" s="1"/>
  <c r="C169"/>
  <c r="B169"/>
  <c r="N168"/>
  <c r="M168"/>
  <c r="G168"/>
  <c r="H168" s="1"/>
  <c r="C168"/>
  <c r="B168"/>
  <c r="N167"/>
  <c r="M167"/>
  <c r="G167"/>
  <c r="H167" s="1"/>
  <c r="C167"/>
  <c r="B167"/>
  <c r="N166"/>
  <c r="M166"/>
  <c r="G166"/>
  <c r="H166" s="1"/>
  <c r="C166"/>
  <c r="B166"/>
  <c r="N165"/>
  <c r="M165"/>
  <c r="G165"/>
  <c r="H165" s="1"/>
  <c r="C165"/>
  <c r="B165"/>
  <c r="N164"/>
  <c r="M164"/>
  <c r="G164"/>
  <c r="H164" s="1"/>
  <c r="C164"/>
  <c r="B164"/>
  <c r="N163"/>
  <c r="M163"/>
  <c r="G163"/>
  <c r="H163" s="1"/>
  <c r="C163"/>
  <c r="B163"/>
  <c r="N162"/>
  <c r="M162"/>
  <c r="G162"/>
  <c r="H162" s="1"/>
  <c r="C162"/>
  <c r="B162"/>
  <c r="N161"/>
  <c r="M161"/>
  <c r="G161"/>
  <c r="H161" s="1"/>
  <c r="C161"/>
  <c r="B161"/>
  <c r="N160"/>
  <c r="M160"/>
  <c r="G160"/>
  <c r="H160" s="1"/>
  <c r="C160"/>
  <c r="B160"/>
  <c r="N159"/>
  <c r="M159"/>
  <c r="G159"/>
  <c r="H159" s="1"/>
  <c r="C159"/>
  <c r="B159"/>
  <c r="N158"/>
  <c r="M158"/>
  <c r="G158"/>
  <c r="H158" s="1"/>
  <c r="C158"/>
  <c r="B158"/>
  <c r="N157"/>
  <c r="M157"/>
  <c r="G157"/>
  <c r="H157" s="1"/>
  <c r="C157"/>
  <c r="B157"/>
  <c r="N156"/>
  <c r="M156"/>
  <c r="G156"/>
  <c r="H156" s="1"/>
  <c r="C156"/>
  <c r="B156"/>
  <c r="N155"/>
  <c r="M155"/>
  <c r="G155"/>
  <c r="H155" s="1"/>
  <c r="C155"/>
  <c r="B155"/>
  <c r="N154"/>
  <c r="M154"/>
  <c r="G154"/>
  <c r="H154" s="1"/>
  <c r="C154"/>
  <c r="B154"/>
  <c r="N153"/>
  <c r="M153"/>
  <c r="G153"/>
  <c r="H153" s="1"/>
  <c r="C153"/>
  <c r="B153"/>
  <c r="N152"/>
  <c r="M152"/>
  <c r="G152"/>
  <c r="H152" s="1"/>
  <c r="C152"/>
  <c r="B152"/>
  <c r="N151"/>
  <c r="M151"/>
  <c r="G151"/>
  <c r="H151" s="1"/>
  <c r="C151"/>
  <c r="B151"/>
  <c r="N150"/>
  <c r="M150"/>
  <c r="G150"/>
  <c r="H150" s="1"/>
  <c r="C150"/>
  <c r="B150"/>
  <c r="N149"/>
  <c r="M149"/>
  <c r="G149"/>
  <c r="H149" s="1"/>
  <c r="C149"/>
  <c r="B149"/>
  <c r="N148"/>
  <c r="M148"/>
  <c r="G148"/>
  <c r="H148" s="1"/>
  <c r="C148"/>
  <c r="B148"/>
  <c r="N147"/>
  <c r="M147"/>
  <c r="G147"/>
  <c r="H147" s="1"/>
  <c r="C147"/>
  <c r="B147"/>
  <c r="N146"/>
  <c r="M146"/>
  <c r="G146"/>
  <c r="H146" s="1"/>
  <c r="C146"/>
  <c r="B146"/>
  <c r="N145"/>
  <c r="M145"/>
  <c r="G145"/>
  <c r="H145" s="1"/>
  <c r="C145"/>
  <c r="B145"/>
  <c r="N144"/>
  <c r="M144"/>
  <c r="G144"/>
  <c r="H144" s="1"/>
  <c r="C144"/>
  <c r="B144"/>
  <c r="N143"/>
  <c r="M143"/>
  <c r="G143"/>
  <c r="H143" s="1"/>
  <c r="C143"/>
  <c r="B143"/>
  <c r="N142"/>
  <c r="M142"/>
  <c r="G142"/>
  <c r="H142" s="1"/>
  <c r="C142"/>
  <c r="B142"/>
  <c r="N141"/>
  <c r="M141"/>
  <c r="G141"/>
  <c r="H141" s="1"/>
  <c r="C141"/>
  <c r="B141"/>
  <c r="N140"/>
  <c r="M140"/>
  <c r="G140"/>
  <c r="H140" s="1"/>
  <c r="C140"/>
  <c r="B140"/>
  <c r="N139"/>
  <c r="M139"/>
  <c r="G139"/>
  <c r="H139" s="1"/>
  <c r="C139"/>
  <c r="B139"/>
  <c r="N138"/>
  <c r="M138"/>
  <c r="G138"/>
  <c r="H138" s="1"/>
  <c r="C138"/>
  <c r="B138"/>
  <c r="N137"/>
  <c r="M137"/>
  <c r="G137"/>
  <c r="H137" s="1"/>
  <c r="C137"/>
  <c r="B137"/>
  <c r="N136"/>
  <c r="M136"/>
  <c r="G136"/>
  <c r="H136" s="1"/>
  <c r="C136"/>
  <c r="B136"/>
  <c r="N135"/>
  <c r="M135"/>
  <c r="G135"/>
  <c r="H135" s="1"/>
  <c r="C135"/>
  <c r="B135"/>
  <c r="N134"/>
  <c r="M134"/>
  <c r="G134"/>
  <c r="H134" s="1"/>
  <c r="C134"/>
  <c r="B134"/>
  <c r="N133"/>
  <c r="M133"/>
  <c r="G133"/>
  <c r="H133" s="1"/>
  <c r="C133"/>
  <c r="B133"/>
  <c r="N132"/>
  <c r="M132"/>
  <c r="G132"/>
  <c r="H132" s="1"/>
  <c r="C132"/>
  <c r="B132"/>
  <c r="N131"/>
  <c r="M131"/>
  <c r="G131"/>
  <c r="H131" s="1"/>
  <c r="C131"/>
  <c r="B131"/>
  <c r="N130"/>
  <c r="M130"/>
  <c r="G130"/>
  <c r="H130" s="1"/>
  <c r="C130"/>
  <c r="B130"/>
  <c r="N129"/>
  <c r="M129"/>
  <c r="G129"/>
  <c r="H129" s="1"/>
  <c r="C129"/>
  <c r="B129"/>
  <c r="N128"/>
  <c r="M128"/>
  <c r="G128"/>
  <c r="H128" s="1"/>
  <c r="C128"/>
  <c r="B128"/>
  <c r="N127"/>
  <c r="M127"/>
  <c r="G127"/>
  <c r="H127" s="1"/>
  <c r="C127"/>
  <c r="B127"/>
  <c r="N126"/>
  <c r="M126"/>
  <c r="G126"/>
  <c r="H126" s="1"/>
  <c r="C126"/>
  <c r="B126"/>
  <c r="N125"/>
  <c r="M125"/>
  <c r="G125"/>
  <c r="H125" s="1"/>
  <c r="C125"/>
  <c r="B125"/>
  <c r="N124"/>
  <c r="M124"/>
  <c r="G124"/>
  <c r="H124" s="1"/>
  <c r="C124"/>
  <c r="B124"/>
  <c r="N123"/>
  <c r="M123"/>
  <c r="G123"/>
  <c r="H123" s="1"/>
  <c r="C123"/>
  <c r="B123"/>
  <c r="N122"/>
  <c r="M122"/>
  <c r="G122"/>
  <c r="H122" s="1"/>
  <c r="C122"/>
  <c r="B122"/>
  <c r="N121"/>
  <c r="M121"/>
  <c r="G121"/>
  <c r="H121" s="1"/>
  <c r="C121"/>
  <c r="B121"/>
  <c r="N120"/>
  <c r="M120"/>
  <c r="G120"/>
  <c r="H120" s="1"/>
  <c r="C120"/>
  <c r="B120"/>
  <c r="N119"/>
  <c r="M119"/>
  <c r="G119"/>
  <c r="H119" s="1"/>
  <c r="C119"/>
  <c r="B119"/>
  <c r="N118"/>
  <c r="M118"/>
  <c r="G118"/>
  <c r="H118" s="1"/>
  <c r="C118"/>
  <c r="B118"/>
  <c r="N117"/>
  <c r="M117"/>
  <c r="G117"/>
  <c r="H117" s="1"/>
  <c r="C117"/>
  <c r="B117"/>
  <c r="N116"/>
  <c r="M116"/>
  <c r="G116"/>
  <c r="H116" s="1"/>
  <c r="C116"/>
  <c r="B116"/>
  <c r="N115"/>
  <c r="M115"/>
  <c r="G115"/>
  <c r="H115" s="1"/>
  <c r="C115"/>
  <c r="B115"/>
  <c r="N114"/>
  <c r="M114"/>
  <c r="G114"/>
  <c r="H114" s="1"/>
  <c r="C114"/>
  <c r="B114"/>
  <c r="N113"/>
  <c r="M113"/>
  <c r="G113"/>
  <c r="H113" s="1"/>
  <c r="C113"/>
  <c r="B113"/>
  <c r="N112"/>
  <c r="M112"/>
  <c r="G112"/>
  <c r="H112" s="1"/>
  <c r="C112"/>
  <c r="B112"/>
  <c r="N111"/>
  <c r="M111"/>
  <c r="G111"/>
  <c r="H111" s="1"/>
  <c r="C111"/>
  <c r="B111"/>
  <c r="N110"/>
  <c r="M110"/>
  <c r="G110"/>
  <c r="H110" s="1"/>
  <c r="C110"/>
  <c r="B110"/>
  <c r="N109"/>
  <c r="M109"/>
  <c r="G109"/>
  <c r="H109" s="1"/>
  <c r="C109"/>
  <c r="B109"/>
  <c r="N108"/>
  <c r="M108"/>
  <c r="G108"/>
  <c r="H108" s="1"/>
  <c r="C108"/>
  <c r="B108"/>
  <c r="N107"/>
  <c r="M107"/>
  <c r="G107"/>
  <c r="H107" s="1"/>
  <c r="C107"/>
  <c r="B107"/>
  <c r="N106"/>
  <c r="M106"/>
  <c r="G106"/>
  <c r="H106" s="1"/>
  <c r="C106"/>
  <c r="B106"/>
  <c r="N105"/>
  <c r="M105"/>
  <c r="G105"/>
  <c r="H105" s="1"/>
  <c r="C105"/>
  <c r="B105"/>
  <c r="N104"/>
  <c r="M104"/>
  <c r="G104"/>
  <c r="H104" s="1"/>
  <c r="C104"/>
  <c r="B104"/>
  <c r="N103"/>
  <c r="M103"/>
  <c r="G103"/>
  <c r="H103" s="1"/>
  <c r="C103"/>
  <c r="B103"/>
  <c r="N102"/>
  <c r="M102"/>
  <c r="G102"/>
  <c r="H102" s="1"/>
  <c r="C102"/>
  <c r="B102"/>
  <c r="N101"/>
  <c r="M101"/>
  <c r="G101"/>
  <c r="H101" s="1"/>
  <c r="C101"/>
  <c r="B101"/>
  <c r="N100"/>
  <c r="M100"/>
  <c r="G100"/>
  <c r="H100" s="1"/>
  <c r="C100"/>
  <c r="B100"/>
  <c r="N99"/>
  <c r="M99"/>
  <c r="G99"/>
  <c r="H99" s="1"/>
  <c r="C99"/>
  <c r="B99"/>
  <c r="N98"/>
  <c r="M98"/>
  <c r="G98"/>
  <c r="H98" s="1"/>
  <c r="C98"/>
  <c r="B98"/>
  <c r="N97"/>
  <c r="M97"/>
  <c r="G97"/>
  <c r="H97" s="1"/>
  <c r="C97"/>
  <c r="B97"/>
  <c r="N96"/>
  <c r="M96"/>
  <c r="G96"/>
  <c r="H96" s="1"/>
  <c r="C96"/>
  <c r="B96"/>
  <c r="N95"/>
  <c r="M95"/>
  <c r="G95"/>
  <c r="H95" s="1"/>
  <c r="C95"/>
  <c r="B95"/>
  <c r="N94"/>
  <c r="M94"/>
  <c r="G94"/>
  <c r="H94" s="1"/>
  <c r="C94"/>
  <c r="B94"/>
  <c r="N93"/>
  <c r="M93"/>
  <c r="G93"/>
  <c r="H93" s="1"/>
  <c r="C93"/>
  <c r="B93"/>
  <c r="N92"/>
  <c r="M92"/>
  <c r="G92"/>
  <c r="H92" s="1"/>
  <c r="C92"/>
  <c r="B92"/>
  <c r="N91"/>
  <c r="M91"/>
  <c r="G91"/>
  <c r="H91" s="1"/>
  <c r="C91"/>
  <c r="B91"/>
  <c r="N90"/>
  <c r="M90"/>
  <c r="G90"/>
  <c r="H90" s="1"/>
  <c r="C90"/>
  <c r="B90"/>
  <c r="N89"/>
  <c r="M89"/>
  <c r="G89"/>
  <c r="H89" s="1"/>
  <c r="C89"/>
  <c r="B89"/>
  <c r="N88"/>
  <c r="M88"/>
  <c r="G88"/>
  <c r="H88" s="1"/>
  <c r="C88"/>
  <c r="B88"/>
  <c r="N87"/>
  <c r="M87"/>
  <c r="G87"/>
  <c r="H87" s="1"/>
  <c r="C87"/>
  <c r="B87"/>
  <c r="N86"/>
  <c r="M86"/>
  <c r="G86"/>
  <c r="H86" s="1"/>
  <c r="C86"/>
  <c r="B86"/>
  <c r="N85"/>
  <c r="M85"/>
  <c r="G85"/>
  <c r="H85" s="1"/>
  <c r="C85"/>
  <c r="B85"/>
  <c r="N84"/>
  <c r="M84"/>
  <c r="G84"/>
  <c r="H84" s="1"/>
  <c r="C84"/>
  <c r="B84"/>
  <c r="N83"/>
  <c r="M83"/>
  <c r="G83"/>
  <c r="H83" s="1"/>
  <c r="C83"/>
  <c r="B83"/>
  <c r="N82"/>
  <c r="M82"/>
  <c r="G82"/>
  <c r="H82" s="1"/>
  <c r="C82"/>
  <c r="B82"/>
  <c r="N81"/>
  <c r="M81"/>
  <c r="G81"/>
  <c r="H81" s="1"/>
  <c r="C81"/>
  <c r="B81"/>
  <c r="N80"/>
  <c r="M80"/>
  <c r="G80"/>
  <c r="H80" s="1"/>
  <c r="C80"/>
  <c r="B80"/>
  <c r="N79"/>
  <c r="M79"/>
  <c r="G79"/>
  <c r="H79" s="1"/>
  <c r="C79"/>
  <c r="B79"/>
  <c r="N78"/>
  <c r="M78"/>
  <c r="G78"/>
  <c r="H78" s="1"/>
  <c r="C78"/>
  <c r="B78"/>
  <c r="N77"/>
  <c r="M77"/>
  <c r="G77"/>
  <c r="H77" s="1"/>
  <c r="C77"/>
  <c r="B77"/>
  <c r="N76"/>
  <c r="M76"/>
  <c r="G76"/>
  <c r="H76" s="1"/>
  <c r="C76"/>
  <c r="B76"/>
  <c r="N75"/>
  <c r="M75"/>
  <c r="G75"/>
  <c r="H75" s="1"/>
  <c r="C75"/>
  <c r="B75"/>
  <c r="N74"/>
  <c r="M74"/>
  <c r="G74"/>
  <c r="H74" s="1"/>
  <c r="C74"/>
  <c r="B74"/>
  <c r="N73"/>
  <c r="M73"/>
  <c r="G73"/>
  <c r="H73" s="1"/>
  <c r="C73"/>
  <c r="B73"/>
  <c r="N72"/>
  <c r="M72"/>
  <c r="G72"/>
  <c r="H72" s="1"/>
  <c r="C72"/>
  <c r="B72"/>
  <c r="N71"/>
  <c r="M71"/>
  <c r="G71"/>
  <c r="H71" s="1"/>
  <c r="C71"/>
  <c r="B71"/>
  <c r="N70"/>
  <c r="M70"/>
  <c r="G70"/>
  <c r="H70" s="1"/>
  <c r="C70"/>
  <c r="B70"/>
  <c r="N69"/>
  <c r="M69"/>
  <c r="G69"/>
  <c r="H69" s="1"/>
  <c r="C69"/>
  <c r="B69"/>
  <c r="N68"/>
  <c r="M68"/>
  <c r="G68"/>
  <c r="H68" s="1"/>
  <c r="C68"/>
  <c r="B68"/>
  <c r="N67"/>
  <c r="M67"/>
  <c r="G67"/>
  <c r="H67" s="1"/>
  <c r="C67"/>
  <c r="B67"/>
  <c r="N66"/>
  <c r="M66"/>
  <c r="G66"/>
  <c r="H66" s="1"/>
  <c r="C66"/>
  <c r="B66"/>
  <c r="N65"/>
  <c r="M65"/>
  <c r="G65"/>
  <c r="H65" s="1"/>
  <c r="C65"/>
  <c r="B65"/>
  <c r="N64"/>
  <c r="M64"/>
  <c r="G64"/>
  <c r="H64" s="1"/>
  <c r="C64"/>
  <c r="B64"/>
  <c r="N63"/>
  <c r="M63"/>
  <c r="G63"/>
  <c r="H63" s="1"/>
  <c r="C63"/>
  <c r="B63"/>
  <c r="N62"/>
  <c r="M62"/>
  <c r="G62"/>
  <c r="H62" s="1"/>
  <c r="C62"/>
  <c r="B62"/>
  <c r="N61"/>
  <c r="M61"/>
  <c r="G61"/>
  <c r="H61" s="1"/>
  <c r="C61"/>
  <c r="B61"/>
  <c r="N60"/>
  <c r="M60"/>
  <c r="G60"/>
  <c r="H60" s="1"/>
  <c r="C60"/>
  <c r="B60"/>
  <c r="N59"/>
  <c r="M59"/>
  <c r="G59"/>
  <c r="H59" s="1"/>
  <c r="C59"/>
  <c r="B59"/>
  <c r="N58"/>
  <c r="M58"/>
  <c r="G58"/>
  <c r="H58" s="1"/>
  <c r="C58"/>
  <c r="B58"/>
  <c r="N57"/>
  <c r="M57"/>
  <c r="G57"/>
  <c r="H57" s="1"/>
  <c r="C57"/>
  <c r="B57"/>
  <c r="Q56"/>
  <c r="N56"/>
  <c r="M56"/>
  <c r="K56"/>
  <c r="J56"/>
  <c r="G56"/>
  <c r="H56" s="1"/>
  <c r="C56"/>
  <c r="B56"/>
  <c r="N55"/>
  <c r="M55"/>
  <c r="G55"/>
  <c r="H55" s="1"/>
  <c r="C55"/>
  <c r="B55"/>
  <c r="N54"/>
  <c r="M54"/>
  <c r="G54"/>
  <c r="H54" s="1"/>
  <c r="C54"/>
  <c r="B54"/>
  <c r="N53"/>
  <c r="M53"/>
  <c r="G53"/>
  <c r="H53" s="1"/>
  <c r="C53"/>
  <c r="B53"/>
  <c r="N52"/>
  <c r="M52"/>
  <c r="G52"/>
  <c r="H52" s="1"/>
  <c r="C52"/>
  <c r="B52"/>
  <c r="N51"/>
  <c r="M51"/>
  <c r="G51"/>
  <c r="H51" s="1"/>
  <c r="C51"/>
  <c r="B51"/>
  <c r="N50"/>
  <c r="M50"/>
  <c r="G50"/>
  <c r="H50" s="1"/>
  <c r="C50"/>
  <c r="B50"/>
  <c r="N49"/>
  <c r="M49"/>
  <c r="G49"/>
  <c r="H49" s="1"/>
  <c r="C49"/>
  <c r="B49"/>
  <c r="N48"/>
  <c r="M48"/>
  <c r="G48"/>
  <c r="H48" s="1"/>
  <c r="C48"/>
  <c r="B48"/>
  <c r="N47"/>
  <c r="M47"/>
  <c r="G47"/>
  <c r="H47" s="1"/>
  <c r="C47"/>
  <c r="B47"/>
  <c r="Q46"/>
  <c r="P46"/>
  <c r="N46"/>
  <c r="M46"/>
  <c r="K46"/>
  <c r="J46"/>
  <c r="G46"/>
  <c r="H46" s="1"/>
  <c r="C46"/>
  <c r="B46"/>
  <c r="N45"/>
  <c r="M45"/>
  <c r="G45"/>
  <c r="H45" s="1"/>
  <c r="C45"/>
  <c r="B45"/>
  <c r="N40"/>
  <c r="M40"/>
  <c r="G40"/>
  <c r="H40" s="1"/>
  <c r="C40"/>
  <c r="B40"/>
  <c r="N39"/>
  <c r="M39"/>
  <c r="G39"/>
  <c r="H39" s="1"/>
  <c r="C39"/>
  <c r="B39"/>
  <c r="N38"/>
  <c r="M38"/>
  <c r="G38"/>
  <c r="H38" s="1"/>
  <c r="C38"/>
  <c r="B38"/>
  <c r="N37"/>
  <c r="M37"/>
  <c r="G37"/>
  <c r="H37" s="1"/>
  <c r="C37"/>
  <c r="B37"/>
  <c r="N36"/>
  <c r="M36"/>
  <c r="G36"/>
  <c r="H36" s="1"/>
  <c r="C36"/>
  <c r="B36"/>
  <c r="N35"/>
  <c r="M35"/>
  <c r="G35"/>
  <c r="H35" s="1"/>
  <c r="C35"/>
  <c r="B35"/>
  <c r="N34"/>
  <c r="M34"/>
  <c r="G34"/>
  <c r="H34" s="1"/>
  <c r="C34"/>
  <c r="B34"/>
  <c r="N33"/>
  <c r="M33"/>
  <c r="G33"/>
  <c r="H33" s="1"/>
  <c r="C33"/>
  <c r="B33"/>
  <c r="N32"/>
  <c r="M32"/>
  <c r="G32"/>
  <c r="H32" s="1"/>
  <c r="C32"/>
  <c r="B32"/>
  <c r="N31"/>
  <c r="M31"/>
  <c r="G31"/>
  <c r="H31" s="1"/>
  <c r="C31"/>
  <c r="B31"/>
  <c r="N30"/>
  <c r="M30"/>
  <c r="G30"/>
  <c r="H30" s="1"/>
  <c r="C30"/>
  <c r="B30"/>
  <c r="N29"/>
  <c r="M29"/>
  <c r="G29"/>
  <c r="H29" s="1"/>
  <c r="C29"/>
  <c r="B29"/>
  <c r="N28"/>
  <c r="M28"/>
  <c r="G28"/>
  <c r="H28" s="1"/>
  <c r="C28"/>
  <c r="B28"/>
  <c r="N27"/>
  <c r="M27"/>
  <c r="G27"/>
  <c r="H27" s="1"/>
  <c r="C27"/>
  <c r="B27"/>
  <c r="N26"/>
  <c r="M26"/>
  <c r="G26"/>
  <c r="H26" s="1"/>
  <c r="C26"/>
  <c r="B26"/>
  <c r="N25"/>
  <c r="M25"/>
  <c r="G25"/>
  <c r="H25" s="1"/>
  <c r="C25"/>
  <c r="B25"/>
  <c r="N24"/>
  <c r="M24"/>
  <c r="G24"/>
  <c r="H24" s="1"/>
  <c r="C24"/>
  <c r="B24"/>
  <c r="N23"/>
  <c r="M23"/>
  <c r="G23"/>
  <c r="H23" s="1"/>
  <c r="C23"/>
  <c r="B23"/>
  <c r="N22"/>
  <c r="M22"/>
  <c r="G22"/>
  <c r="H22" s="1"/>
  <c r="C22"/>
  <c r="B22"/>
  <c r="N21"/>
  <c r="M21"/>
  <c r="G21"/>
  <c r="H21" s="1"/>
  <c r="C21"/>
  <c r="B21"/>
  <c r="N20"/>
  <c r="M20"/>
  <c r="G20"/>
  <c r="H20" s="1"/>
  <c r="C20"/>
  <c r="B20"/>
  <c r="N19"/>
  <c r="M19"/>
  <c r="G19"/>
  <c r="H19" s="1"/>
  <c r="C19"/>
  <c r="B19"/>
  <c r="N18"/>
  <c r="M18"/>
  <c r="G18"/>
  <c r="H18" s="1"/>
  <c r="C18"/>
  <c r="B18"/>
  <c r="AA433" i="45"/>
  <c r="Y433"/>
  <c r="X433"/>
  <c r="N433"/>
  <c r="J433"/>
  <c r="H433"/>
  <c r="D433"/>
  <c r="C433"/>
  <c r="AA432"/>
  <c r="Y432"/>
  <c r="X432"/>
  <c r="N432"/>
  <c r="J432"/>
  <c r="H432"/>
  <c r="D432"/>
  <c r="C432"/>
  <c r="AA431"/>
  <c r="Y431"/>
  <c r="X431"/>
  <c r="N431"/>
  <c r="J431"/>
  <c r="H431"/>
  <c r="D431"/>
  <c r="C431"/>
  <c r="AA430"/>
  <c r="Y430"/>
  <c r="X430"/>
  <c r="N430"/>
  <c r="J430"/>
  <c r="H430"/>
  <c r="D430"/>
  <c r="C430"/>
  <c r="AA429"/>
  <c r="Y429"/>
  <c r="X429"/>
  <c r="N429"/>
  <c r="J429"/>
  <c r="H429"/>
  <c r="D429"/>
  <c r="C429"/>
  <c r="AA428"/>
  <c r="Y428"/>
  <c r="X428"/>
  <c r="N428"/>
  <c r="J428"/>
  <c r="H428"/>
  <c r="D428"/>
  <c r="C428"/>
  <c r="AA427"/>
  <c r="Y427"/>
  <c r="X427"/>
  <c r="N427"/>
  <c r="J427"/>
  <c r="H427"/>
  <c r="D427"/>
  <c r="C427"/>
  <c r="AA426"/>
  <c r="Y426"/>
  <c r="X426"/>
  <c r="N426"/>
  <c r="J426"/>
  <c r="H426"/>
  <c r="D426"/>
  <c r="C426"/>
  <c r="AA425"/>
  <c r="Y425"/>
  <c r="X425"/>
  <c r="N425"/>
  <c r="J425"/>
  <c r="H425"/>
  <c r="D425"/>
  <c r="C425"/>
  <c r="AA424"/>
  <c r="Y424"/>
  <c r="X424"/>
  <c r="N424"/>
  <c r="J424"/>
  <c r="H424"/>
  <c r="D424"/>
  <c r="C424"/>
  <c r="AA423"/>
  <c r="Y423"/>
  <c r="X423"/>
  <c r="N423"/>
  <c r="J423"/>
  <c r="H423"/>
  <c r="D423"/>
  <c r="C423"/>
  <c r="AA422"/>
  <c r="Y422"/>
  <c r="X422"/>
  <c r="N422"/>
  <c r="J422"/>
  <c r="H422"/>
  <c r="D422"/>
  <c r="C422"/>
  <c r="AA421"/>
  <c r="Y421"/>
  <c r="X421"/>
  <c r="N421"/>
  <c r="J421"/>
  <c r="H421"/>
  <c r="D421"/>
  <c r="C421"/>
  <c r="AA420"/>
  <c r="Y420"/>
  <c r="X420"/>
  <c r="N420"/>
  <c r="J420"/>
  <c r="H420"/>
  <c r="D420"/>
  <c r="C420"/>
  <c r="AA419"/>
  <c r="Y419"/>
  <c r="X419"/>
  <c r="N419"/>
  <c r="J419"/>
  <c r="H419"/>
  <c r="D419"/>
  <c r="C419"/>
  <c r="AA418"/>
  <c r="Y418"/>
  <c r="X418"/>
  <c r="N418"/>
  <c r="J418"/>
  <c r="H418"/>
  <c r="D418"/>
  <c r="C418"/>
  <c r="AA417"/>
  <c r="Y417"/>
  <c r="X417"/>
  <c r="N417"/>
  <c r="J417"/>
  <c r="H417"/>
  <c r="D417"/>
  <c r="C417"/>
  <c r="AA416"/>
  <c r="Y416"/>
  <c r="X416"/>
  <c r="N416"/>
  <c r="J416"/>
  <c r="H416"/>
  <c r="D416"/>
  <c r="C416"/>
  <c r="AA415"/>
  <c r="Y415"/>
  <c r="X415"/>
  <c r="N415"/>
  <c r="H415"/>
  <c r="D415"/>
  <c r="C415"/>
  <c r="AA414"/>
  <c r="Y414"/>
  <c r="X414"/>
  <c r="N414"/>
  <c r="J414"/>
  <c r="H414"/>
  <c r="D414"/>
  <c r="C414"/>
  <c r="AA413"/>
  <c r="Y413"/>
  <c r="X413"/>
  <c r="N413"/>
  <c r="J413"/>
  <c r="H413"/>
  <c r="D413"/>
  <c r="C413"/>
  <c r="AA412"/>
  <c r="Y412"/>
  <c r="X412"/>
  <c r="N412"/>
  <c r="J412"/>
  <c r="H412"/>
  <c r="D412"/>
  <c r="C412"/>
  <c r="AA411"/>
  <c r="Y411"/>
  <c r="X411"/>
  <c r="N411"/>
  <c r="J411"/>
  <c r="H411"/>
  <c r="D411"/>
  <c r="C411"/>
  <c r="AA410"/>
  <c r="Y410"/>
  <c r="X410"/>
  <c r="N410"/>
  <c r="J410"/>
  <c r="H410"/>
  <c r="D410"/>
  <c r="C410"/>
  <c r="AA409"/>
  <c r="Y409"/>
  <c r="X409"/>
  <c r="N409"/>
  <c r="J409"/>
  <c r="H409"/>
  <c r="D409"/>
  <c r="C409"/>
  <c r="AA408"/>
  <c r="Y408"/>
  <c r="X408"/>
  <c r="N408"/>
  <c r="J408"/>
  <c r="H408"/>
  <c r="D408"/>
  <c r="C408"/>
  <c r="AA407"/>
  <c r="Y407"/>
  <c r="X407"/>
  <c r="N407"/>
  <c r="J407"/>
  <c r="H407"/>
  <c r="D407"/>
  <c r="C407"/>
  <c r="AA406"/>
  <c r="Y406"/>
  <c r="X406"/>
  <c r="N406"/>
  <c r="J406"/>
  <c r="H406"/>
  <c r="D406"/>
  <c r="C406"/>
  <c r="AA405"/>
  <c r="Y405"/>
  <c r="X405"/>
  <c r="N405"/>
  <c r="J405"/>
  <c r="H405"/>
  <c r="D405"/>
  <c r="C405"/>
  <c r="AA404"/>
  <c r="Y404"/>
  <c r="X404"/>
  <c r="N404"/>
  <c r="J404"/>
  <c r="H404"/>
  <c r="D404"/>
  <c r="C404"/>
  <c r="AA403"/>
  <c r="Y403"/>
  <c r="X403"/>
  <c r="N403"/>
  <c r="J403"/>
  <c r="H403"/>
  <c r="D403"/>
  <c r="C403"/>
  <c r="AA402"/>
  <c r="Y402"/>
  <c r="X402"/>
  <c r="N402"/>
  <c r="J402"/>
  <c r="H402"/>
  <c r="D402"/>
  <c r="C402"/>
  <c r="AA401"/>
  <c r="Y401"/>
  <c r="X401"/>
  <c r="N401"/>
  <c r="J401"/>
  <c r="H401"/>
  <c r="D401"/>
  <c r="C401"/>
  <c r="AA400"/>
  <c r="Y400"/>
  <c r="X400"/>
  <c r="N400"/>
  <c r="J400"/>
  <c r="H400"/>
  <c r="D400"/>
  <c r="C400"/>
  <c r="AA399"/>
  <c r="Y399"/>
  <c r="X399"/>
  <c r="N399"/>
  <c r="J399"/>
  <c r="H399"/>
  <c r="D399"/>
  <c r="C399"/>
  <c r="AA398"/>
  <c r="Y398"/>
  <c r="X398"/>
  <c r="N398"/>
  <c r="J398"/>
  <c r="H398"/>
  <c r="D398"/>
  <c r="C398"/>
  <c r="AA397"/>
  <c r="Y397"/>
  <c r="X397"/>
  <c r="N397"/>
  <c r="J397"/>
  <c r="H397"/>
  <c r="D397"/>
  <c r="C397"/>
  <c r="AA396"/>
  <c r="Y396"/>
  <c r="X396"/>
  <c r="N396"/>
  <c r="J396"/>
  <c r="H396"/>
  <c r="D396"/>
  <c r="C396"/>
  <c r="AA395"/>
  <c r="Y395"/>
  <c r="X395"/>
  <c r="N395"/>
  <c r="J395"/>
  <c r="H395"/>
  <c r="D395"/>
  <c r="C395"/>
  <c r="AA394"/>
  <c r="Y394"/>
  <c r="X394"/>
  <c r="N394"/>
  <c r="J394"/>
  <c r="H394"/>
  <c r="D394"/>
  <c r="C394"/>
  <c r="AA393"/>
  <c r="Y393"/>
  <c r="X393"/>
  <c r="N393"/>
  <c r="J393"/>
  <c r="H393"/>
  <c r="D393"/>
  <c r="C393"/>
  <c r="AA392"/>
  <c r="Y392"/>
  <c r="X392"/>
  <c r="N392"/>
  <c r="J392"/>
  <c r="H392"/>
  <c r="D392"/>
  <c r="C392"/>
  <c r="AA391"/>
  <c r="Y391"/>
  <c r="X391"/>
  <c r="N391"/>
  <c r="J391"/>
  <c r="H391"/>
  <c r="D391"/>
  <c r="C391"/>
  <c r="AA390"/>
  <c r="Y390"/>
  <c r="X390"/>
  <c r="N390"/>
  <c r="J390"/>
  <c r="H390"/>
  <c r="D390"/>
  <c r="C390"/>
  <c r="AA389"/>
  <c r="Y389"/>
  <c r="X389"/>
  <c r="N389"/>
  <c r="J389"/>
  <c r="H389"/>
  <c r="D389"/>
  <c r="C389"/>
  <c r="AA388"/>
  <c r="Y388"/>
  <c r="X388"/>
  <c r="N388"/>
  <c r="J388"/>
  <c r="H388"/>
  <c r="D388"/>
  <c r="C388"/>
  <c r="AA387"/>
  <c r="Y387"/>
  <c r="X387"/>
  <c r="N387"/>
  <c r="J387"/>
  <c r="H387"/>
  <c r="D387"/>
  <c r="C387"/>
  <c r="AA386"/>
  <c r="Y386"/>
  <c r="X386"/>
  <c r="N386"/>
  <c r="J386"/>
  <c r="H386"/>
  <c r="D386"/>
  <c r="C386"/>
  <c r="AA385"/>
  <c r="Y385"/>
  <c r="X385"/>
  <c r="N385"/>
  <c r="J385"/>
  <c r="H385"/>
  <c r="D385"/>
  <c r="C385"/>
  <c r="AA384"/>
  <c r="Y384"/>
  <c r="X384"/>
  <c r="N384"/>
  <c r="J384"/>
  <c r="H384"/>
  <c r="D384"/>
  <c r="C384"/>
  <c r="AA383"/>
  <c r="Y383"/>
  <c r="X383"/>
  <c r="N383"/>
  <c r="J383"/>
  <c r="H383"/>
  <c r="D383"/>
  <c r="C383"/>
  <c r="AA382"/>
  <c r="Y382"/>
  <c r="X382"/>
  <c r="N382"/>
  <c r="J382"/>
  <c r="H382"/>
  <c r="D382"/>
  <c r="C382"/>
  <c r="AA381"/>
  <c r="Y381"/>
  <c r="X381"/>
  <c r="N381"/>
  <c r="J381"/>
  <c r="H381"/>
  <c r="D381"/>
  <c r="C381"/>
  <c r="AA380"/>
  <c r="Y380"/>
  <c r="X380"/>
  <c r="T380"/>
  <c r="N380"/>
  <c r="J380"/>
  <c r="H380"/>
  <c r="D380"/>
  <c r="C380"/>
  <c r="AA379"/>
  <c r="Y379"/>
  <c r="X379"/>
  <c r="T379"/>
  <c r="N379"/>
  <c r="J379"/>
  <c r="H379"/>
  <c r="D379"/>
  <c r="C379"/>
  <c r="AA378"/>
  <c r="Y378"/>
  <c r="X378"/>
  <c r="T378"/>
  <c r="N378"/>
  <c r="J378"/>
  <c r="H378"/>
  <c r="D378"/>
  <c r="C378"/>
  <c r="AA377"/>
  <c r="Y377"/>
  <c r="X377"/>
  <c r="T377"/>
  <c r="N377"/>
  <c r="J377"/>
  <c r="H377"/>
  <c r="D377"/>
  <c r="C377"/>
  <c r="AA376"/>
  <c r="Y376"/>
  <c r="X376"/>
  <c r="T376"/>
  <c r="N376"/>
  <c r="J376"/>
  <c r="H376"/>
  <c r="D376"/>
  <c r="C376"/>
  <c r="AA375"/>
  <c r="Y375"/>
  <c r="X375"/>
  <c r="T375"/>
  <c r="N375"/>
  <c r="J375"/>
  <c r="H375"/>
  <c r="D375"/>
  <c r="C375"/>
  <c r="AA374"/>
  <c r="Y374"/>
  <c r="X374"/>
  <c r="T374"/>
  <c r="N374"/>
  <c r="J374"/>
  <c r="H374"/>
  <c r="D374"/>
  <c r="C374"/>
  <c r="AA373"/>
  <c r="Y373"/>
  <c r="X373"/>
  <c r="T373"/>
  <c r="N373"/>
  <c r="J373"/>
  <c r="H373"/>
  <c r="D373"/>
  <c r="C373"/>
  <c r="AA372"/>
  <c r="Y372"/>
  <c r="X372"/>
  <c r="T372"/>
  <c r="N372"/>
  <c r="J372"/>
  <c r="H372"/>
  <c r="D372"/>
  <c r="C372"/>
  <c r="AA371"/>
  <c r="Y371"/>
  <c r="X371"/>
  <c r="T371"/>
  <c r="N371"/>
  <c r="J371"/>
  <c r="H371"/>
  <c r="D371"/>
  <c r="C371"/>
  <c r="AA370"/>
  <c r="Y370"/>
  <c r="X370"/>
  <c r="N370"/>
  <c r="J370"/>
  <c r="H370"/>
  <c r="D370"/>
  <c r="C370"/>
  <c r="AA369"/>
  <c r="Y369"/>
  <c r="X369"/>
  <c r="N369"/>
  <c r="J369"/>
  <c r="H369"/>
  <c r="D369"/>
  <c r="C369"/>
  <c r="AA368"/>
  <c r="Y368"/>
  <c r="X368"/>
  <c r="N368"/>
  <c r="J368"/>
  <c r="H368"/>
  <c r="D368"/>
  <c r="C368"/>
  <c r="AA367"/>
  <c r="Y367"/>
  <c r="X367"/>
  <c r="N367"/>
  <c r="J367"/>
  <c r="H367"/>
  <c r="D367"/>
  <c r="C367"/>
  <c r="AA366"/>
  <c r="Y366"/>
  <c r="X366"/>
  <c r="N366"/>
  <c r="J366"/>
  <c r="H366"/>
  <c r="D366"/>
  <c r="C366"/>
  <c r="AA365"/>
  <c r="Y365"/>
  <c r="X365"/>
  <c r="N365"/>
  <c r="J365"/>
  <c r="H365"/>
  <c r="D365"/>
  <c r="C365"/>
  <c r="AA364"/>
  <c r="Y364"/>
  <c r="X364"/>
  <c r="N364"/>
  <c r="J364"/>
  <c r="H364"/>
  <c r="D364"/>
  <c r="C364"/>
  <c r="AA363"/>
  <c r="Y363"/>
  <c r="X363"/>
  <c r="N363"/>
  <c r="J363"/>
  <c r="H363"/>
  <c r="D363"/>
  <c r="C363"/>
  <c r="AA362"/>
  <c r="Y362"/>
  <c r="X362"/>
  <c r="N362"/>
  <c r="J362"/>
  <c r="H362"/>
  <c r="D362"/>
  <c r="C362"/>
  <c r="AA361"/>
  <c r="Y361"/>
  <c r="X361"/>
  <c r="N361"/>
  <c r="J361"/>
  <c r="H361"/>
  <c r="D361"/>
  <c r="C361"/>
  <c r="AA360"/>
  <c r="Y360"/>
  <c r="X360"/>
  <c r="N360"/>
  <c r="J360"/>
  <c r="H360"/>
  <c r="D360"/>
  <c r="C360"/>
  <c r="AA359"/>
  <c r="Y359"/>
  <c r="X359"/>
  <c r="N359"/>
  <c r="J359"/>
  <c r="H359"/>
  <c r="D359"/>
  <c r="C359"/>
  <c r="AA358"/>
  <c r="Y358"/>
  <c r="X358"/>
  <c r="N358"/>
  <c r="J358"/>
  <c r="H358"/>
  <c r="D358"/>
  <c r="C358"/>
  <c r="AA357"/>
  <c r="Y357"/>
  <c r="X357"/>
  <c r="N357"/>
  <c r="J357"/>
  <c r="H357"/>
  <c r="D357"/>
  <c r="C357"/>
  <c r="AA356"/>
  <c r="Y356"/>
  <c r="X356"/>
  <c r="N356"/>
  <c r="J356"/>
  <c r="H356"/>
  <c r="D356"/>
  <c r="C356"/>
  <c r="AA355"/>
  <c r="Y355"/>
  <c r="X355"/>
  <c r="N355"/>
  <c r="J355"/>
  <c r="H355"/>
  <c r="D355"/>
  <c r="C355"/>
  <c r="AA354"/>
  <c r="Y354"/>
  <c r="X354"/>
  <c r="N354"/>
  <c r="J354"/>
  <c r="H354"/>
  <c r="D354"/>
  <c r="C354"/>
  <c r="AA353"/>
  <c r="Y353"/>
  <c r="X353"/>
  <c r="N353"/>
  <c r="J353"/>
  <c r="H353"/>
  <c r="D353"/>
  <c r="C353"/>
  <c r="AA352"/>
  <c r="Z352"/>
  <c r="Y352"/>
  <c r="X352"/>
  <c r="N352"/>
  <c r="J352"/>
  <c r="H352"/>
  <c r="D352"/>
  <c r="C352"/>
  <c r="AA351"/>
  <c r="Z351"/>
  <c r="Y351"/>
  <c r="X351"/>
  <c r="N351"/>
  <c r="J351"/>
  <c r="H351"/>
  <c r="D351"/>
  <c r="C351"/>
  <c r="AA350"/>
  <c r="Z350"/>
  <c r="Y350"/>
  <c r="X350"/>
  <c r="N350"/>
  <c r="J350"/>
  <c r="H350"/>
  <c r="D350"/>
  <c r="C350"/>
  <c r="AA349"/>
  <c r="Z349"/>
  <c r="Y349"/>
  <c r="X349"/>
  <c r="V349"/>
  <c r="U349"/>
  <c r="N349"/>
  <c r="J349"/>
  <c r="H349"/>
  <c r="D349"/>
  <c r="C349"/>
  <c r="AA348"/>
  <c r="Z348"/>
  <c r="Y348"/>
  <c r="X348"/>
  <c r="N348"/>
  <c r="J348"/>
  <c r="H348"/>
  <c r="D348"/>
  <c r="C348"/>
  <c r="AA347"/>
  <c r="Z347"/>
  <c r="Y347"/>
  <c r="X347"/>
  <c r="N347"/>
  <c r="J347"/>
  <c r="H347"/>
  <c r="D347"/>
  <c r="C347"/>
  <c r="AA346"/>
  <c r="Z346"/>
  <c r="Y346"/>
  <c r="X346"/>
  <c r="N346"/>
  <c r="J346"/>
  <c r="H346"/>
  <c r="D346"/>
  <c r="C346"/>
  <c r="AA345"/>
  <c r="Z345"/>
  <c r="Y345"/>
  <c r="X345"/>
  <c r="N345"/>
  <c r="J345"/>
  <c r="H345"/>
  <c r="D345"/>
  <c r="C345"/>
  <c r="AA344"/>
  <c r="Z344"/>
  <c r="Y344"/>
  <c r="X344"/>
  <c r="N344"/>
  <c r="J344"/>
  <c r="H344"/>
  <c r="D344"/>
  <c r="C344"/>
  <c r="AA343"/>
  <c r="Z343"/>
  <c r="Y343"/>
  <c r="X343"/>
  <c r="V343"/>
  <c r="U343"/>
  <c r="N343"/>
  <c r="J343"/>
  <c r="H343"/>
  <c r="D343"/>
  <c r="C343"/>
  <c r="AA330"/>
  <c r="Y330"/>
  <c r="X330"/>
  <c r="N330"/>
  <c r="J330"/>
  <c r="H330"/>
  <c r="D330"/>
  <c r="C330"/>
  <c r="AA329"/>
  <c r="Y329"/>
  <c r="X329"/>
  <c r="N329"/>
  <c r="J329"/>
  <c r="H329"/>
  <c r="D329"/>
  <c r="C329"/>
  <c r="AA328"/>
  <c r="Y328"/>
  <c r="X328"/>
  <c r="N328"/>
  <c r="J328"/>
  <c r="H328"/>
  <c r="D328"/>
  <c r="C328"/>
  <c r="AA327"/>
  <c r="Y327"/>
  <c r="X327"/>
  <c r="N327"/>
  <c r="J327"/>
  <c r="H327"/>
  <c r="D327"/>
  <c r="C327"/>
  <c r="AA326"/>
  <c r="Y326"/>
  <c r="X326"/>
  <c r="N326"/>
  <c r="J326"/>
  <c r="H326"/>
  <c r="D326"/>
  <c r="C326"/>
  <c r="AA325"/>
  <c r="Y325"/>
  <c r="X325"/>
  <c r="N325"/>
  <c r="J325"/>
  <c r="H325"/>
  <c r="D325"/>
  <c r="C325"/>
  <c r="AA324"/>
  <c r="Y324"/>
  <c r="X324"/>
  <c r="N324"/>
  <c r="J324"/>
  <c r="H324"/>
  <c r="D324"/>
  <c r="C324"/>
  <c r="AA323"/>
  <c r="Y323"/>
  <c r="X323"/>
  <c r="N323"/>
  <c r="J323"/>
  <c r="H323"/>
  <c r="D323"/>
  <c r="C323"/>
  <c r="AA322"/>
  <c r="Y322"/>
  <c r="X322"/>
  <c r="N322"/>
  <c r="J322"/>
  <c r="H322"/>
  <c r="D322"/>
  <c r="C322"/>
  <c r="AA321"/>
  <c r="Y321"/>
  <c r="X321"/>
  <c r="N321"/>
  <c r="J321"/>
  <c r="H321"/>
  <c r="D321"/>
  <c r="C321"/>
  <c r="AA320"/>
  <c r="Y320"/>
  <c r="X320"/>
  <c r="N320"/>
  <c r="J320"/>
  <c r="H320"/>
  <c r="D320"/>
  <c r="C320"/>
  <c r="AA319"/>
  <c r="Y319"/>
  <c r="X319"/>
  <c r="N319"/>
  <c r="J319"/>
  <c r="H319"/>
  <c r="D319"/>
  <c r="C319"/>
  <c r="AA318"/>
  <c r="Y318"/>
  <c r="X318"/>
  <c r="N318"/>
  <c r="J318"/>
  <c r="H318"/>
  <c r="D318"/>
  <c r="C318"/>
  <c r="AA317"/>
  <c r="Y317"/>
  <c r="X317"/>
  <c r="N317"/>
  <c r="J317"/>
  <c r="H317"/>
  <c r="D317"/>
  <c r="C317"/>
  <c r="AA316"/>
  <c r="Y316"/>
  <c r="X316"/>
  <c r="N316"/>
  <c r="J316"/>
  <c r="H316"/>
  <c r="D316"/>
  <c r="C316"/>
  <c r="AA315"/>
  <c r="Y315"/>
  <c r="X315"/>
  <c r="N315"/>
  <c r="J315"/>
  <c r="H315"/>
  <c r="D315"/>
  <c r="C315"/>
  <c r="AA314"/>
  <c r="Y314"/>
  <c r="X314"/>
  <c r="N314"/>
  <c r="J314"/>
  <c r="H314"/>
  <c r="D314"/>
  <c r="C314"/>
  <c r="AA313"/>
  <c r="Y313"/>
  <c r="X313"/>
  <c r="N313"/>
  <c r="J313"/>
  <c r="H313"/>
  <c r="D313"/>
  <c r="C313"/>
  <c r="AA312"/>
  <c r="Y312"/>
  <c r="X312"/>
  <c r="N312"/>
  <c r="J312"/>
  <c r="H312"/>
  <c r="D312"/>
  <c r="C312"/>
  <c r="AA311"/>
  <c r="Y311"/>
  <c r="X311"/>
  <c r="N311"/>
  <c r="J311"/>
  <c r="H311"/>
  <c r="D311"/>
  <c r="C311"/>
  <c r="AA310"/>
  <c r="Y310"/>
  <c r="X310"/>
  <c r="N310"/>
  <c r="J310"/>
  <c r="H310"/>
  <c r="D310"/>
  <c r="C310"/>
  <c r="AA309"/>
  <c r="Y309"/>
  <c r="X309"/>
  <c r="N309"/>
  <c r="J309"/>
  <c r="H309"/>
  <c r="D309"/>
  <c r="C309"/>
  <c r="AA308"/>
  <c r="Y308"/>
  <c r="X308"/>
  <c r="N308"/>
  <c r="J308"/>
  <c r="H308"/>
  <c r="D308"/>
  <c r="C308"/>
  <c r="AA307"/>
  <c r="Y307"/>
  <c r="X307"/>
  <c r="N307"/>
  <c r="J307"/>
  <c r="H307"/>
  <c r="D307"/>
  <c r="C307"/>
  <c r="AA306"/>
  <c r="Y306"/>
  <c r="X306"/>
  <c r="N306"/>
  <c r="J306"/>
  <c r="H306"/>
  <c r="D306"/>
  <c r="C306"/>
  <c r="AA305"/>
  <c r="Y305"/>
  <c r="X305"/>
  <c r="N305"/>
  <c r="J305"/>
  <c r="H305"/>
  <c r="D305"/>
  <c r="C305"/>
  <c r="AA304"/>
  <c r="Y304"/>
  <c r="X304"/>
  <c r="N304"/>
  <c r="J304"/>
  <c r="H304"/>
  <c r="D304"/>
  <c r="C304"/>
  <c r="AA303"/>
  <c r="Y303"/>
  <c r="X303"/>
  <c r="N303"/>
  <c r="J303"/>
  <c r="H303"/>
  <c r="D303"/>
  <c r="C303"/>
  <c r="AA302"/>
  <c r="Y302"/>
  <c r="X302"/>
  <c r="N302"/>
  <c r="J302"/>
  <c r="H302"/>
  <c r="D302"/>
  <c r="C302"/>
  <c r="AA301"/>
  <c r="Y301"/>
  <c r="X301"/>
  <c r="N301"/>
  <c r="J301"/>
  <c r="H301"/>
  <c r="D301"/>
  <c r="C301"/>
  <c r="AA300"/>
  <c r="Y300"/>
  <c r="X300"/>
  <c r="N300"/>
  <c r="J300"/>
  <c r="H300"/>
  <c r="D300"/>
  <c r="C300"/>
  <c r="AA299"/>
  <c r="Y299"/>
  <c r="X299"/>
  <c r="N299"/>
  <c r="J299"/>
  <c r="H299"/>
  <c r="D299"/>
  <c r="C299"/>
  <c r="AA298"/>
  <c r="Y298"/>
  <c r="X298"/>
  <c r="N298"/>
  <c r="J298"/>
  <c r="H298"/>
  <c r="D298"/>
  <c r="C298"/>
  <c r="AA297"/>
  <c r="Y297"/>
  <c r="X297"/>
  <c r="N297"/>
  <c r="J297"/>
  <c r="H297"/>
  <c r="D297"/>
  <c r="C297"/>
  <c r="AA296"/>
  <c r="Y296"/>
  <c r="X296"/>
  <c r="N296"/>
  <c r="J296"/>
  <c r="H296"/>
  <c r="D296"/>
  <c r="C296"/>
  <c r="AA295"/>
  <c r="Y295"/>
  <c r="X295"/>
  <c r="N295"/>
  <c r="J295"/>
  <c r="H295"/>
  <c r="D295"/>
  <c r="C295"/>
  <c r="AA294"/>
  <c r="Y294"/>
  <c r="X294"/>
  <c r="N294"/>
  <c r="J294"/>
  <c r="H294"/>
  <c r="D294"/>
  <c r="C294"/>
  <c r="AA293"/>
  <c r="Y293"/>
  <c r="X293"/>
  <c r="N293"/>
  <c r="H293"/>
  <c r="D293"/>
  <c r="C293"/>
  <c r="AA292"/>
  <c r="Y292"/>
  <c r="X292"/>
  <c r="N292"/>
  <c r="J292"/>
  <c r="H292"/>
  <c r="D292"/>
  <c r="C292"/>
  <c r="AA291"/>
  <c r="Y291"/>
  <c r="X291"/>
  <c r="N291"/>
  <c r="J291"/>
  <c r="H291"/>
  <c r="D291"/>
  <c r="C291"/>
  <c r="AA290"/>
  <c r="Y290"/>
  <c r="X290"/>
  <c r="N290"/>
  <c r="J290"/>
  <c r="H290"/>
  <c r="D290"/>
  <c r="C290"/>
  <c r="AA289"/>
  <c r="Y289"/>
  <c r="X289"/>
  <c r="N289"/>
  <c r="J289"/>
  <c r="H289"/>
  <c r="D289"/>
  <c r="C289"/>
  <c r="AA288"/>
  <c r="Y288"/>
  <c r="X288"/>
  <c r="N288"/>
  <c r="J288"/>
  <c r="H288"/>
  <c r="D288"/>
  <c r="C288"/>
  <c r="AA287"/>
  <c r="Y287"/>
  <c r="X287"/>
  <c r="N287"/>
  <c r="J287"/>
  <c r="H287"/>
  <c r="D287"/>
  <c r="C287"/>
  <c r="AA286"/>
  <c r="Y286"/>
  <c r="X286"/>
  <c r="N286"/>
  <c r="J286"/>
  <c r="H286"/>
  <c r="D286"/>
  <c r="C286"/>
  <c r="AA285"/>
  <c r="Y285"/>
  <c r="X285"/>
  <c r="N285"/>
  <c r="J285"/>
  <c r="H285"/>
  <c r="D285"/>
  <c r="C285"/>
  <c r="AA284"/>
  <c r="Y284"/>
  <c r="X284"/>
  <c r="R284"/>
  <c r="N284"/>
  <c r="J284"/>
  <c r="H284"/>
  <c r="D284"/>
  <c r="C284"/>
  <c r="AA283"/>
  <c r="Y283"/>
  <c r="X283"/>
  <c r="N283"/>
  <c r="J283"/>
  <c r="H283"/>
  <c r="D283"/>
  <c r="C283"/>
  <c r="AA282"/>
  <c r="Y282"/>
  <c r="X282"/>
  <c r="N282"/>
  <c r="J282"/>
  <c r="H282"/>
  <c r="D282"/>
  <c r="C282"/>
  <c r="AA281"/>
  <c r="Y281"/>
  <c r="X281"/>
  <c r="N281"/>
  <c r="J281"/>
  <c r="H281"/>
  <c r="D281"/>
  <c r="C281"/>
  <c r="AA280"/>
  <c r="Y280"/>
  <c r="X280"/>
  <c r="R280"/>
  <c r="N280"/>
  <c r="J280"/>
  <c r="H280"/>
  <c r="D280"/>
  <c r="C280"/>
  <c r="AA279"/>
  <c r="Y279"/>
  <c r="X279"/>
  <c r="N279"/>
  <c r="J279"/>
  <c r="H279"/>
  <c r="D279"/>
  <c r="C279"/>
  <c r="AA278"/>
  <c r="Y278"/>
  <c r="X278"/>
  <c r="N278"/>
  <c r="J278"/>
  <c r="H278"/>
  <c r="D278"/>
  <c r="C278"/>
  <c r="AA277"/>
  <c r="Y277"/>
  <c r="X277"/>
  <c r="N277"/>
  <c r="J277"/>
  <c r="H277"/>
  <c r="D277"/>
  <c r="C277"/>
  <c r="AA276"/>
  <c r="Y276"/>
  <c r="X276"/>
  <c r="N276"/>
  <c r="J276"/>
  <c r="H276"/>
  <c r="D276"/>
  <c r="C276"/>
  <c r="AA275"/>
  <c r="Y275"/>
  <c r="X275"/>
  <c r="N275"/>
  <c r="J275"/>
  <c r="H275"/>
  <c r="D275"/>
  <c r="C275"/>
  <c r="AA274"/>
  <c r="Y274"/>
  <c r="X274"/>
  <c r="N274"/>
  <c r="J274"/>
  <c r="H274"/>
  <c r="D274"/>
  <c r="C274"/>
  <c r="AA273"/>
  <c r="Y273"/>
  <c r="X273"/>
  <c r="N273"/>
  <c r="J273"/>
  <c r="H273"/>
  <c r="D273"/>
  <c r="C273"/>
  <c r="AA272"/>
  <c r="Y272"/>
  <c r="X272"/>
  <c r="N272"/>
  <c r="J272"/>
  <c r="H272"/>
  <c r="D272"/>
  <c r="C272"/>
  <c r="AA271"/>
  <c r="Y271"/>
  <c r="X271"/>
  <c r="N271"/>
  <c r="J271"/>
  <c r="H271"/>
  <c r="D271"/>
  <c r="C271"/>
  <c r="AA270"/>
  <c r="Y270"/>
  <c r="X270"/>
  <c r="N270"/>
  <c r="J270"/>
  <c r="H270"/>
  <c r="D270"/>
  <c r="C270"/>
  <c r="AA269"/>
  <c r="Y269"/>
  <c r="X269"/>
  <c r="N269"/>
  <c r="J269"/>
  <c r="H269"/>
  <c r="D269"/>
  <c r="C269"/>
  <c r="AA268"/>
  <c r="Y268"/>
  <c r="X268"/>
  <c r="N268"/>
  <c r="J268"/>
  <c r="H268"/>
  <c r="D268"/>
  <c r="C268"/>
  <c r="AA267"/>
  <c r="Y267"/>
  <c r="X267"/>
  <c r="N267"/>
  <c r="J267"/>
  <c r="H267"/>
  <c r="D267"/>
  <c r="C267"/>
  <c r="AA266"/>
  <c r="Y266"/>
  <c r="X266"/>
  <c r="N266"/>
  <c r="J266"/>
  <c r="H266"/>
  <c r="D266"/>
  <c r="C266"/>
  <c r="AA265"/>
  <c r="Y265"/>
  <c r="X265"/>
  <c r="N265"/>
  <c r="J265"/>
  <c r="H265"/>
  <c r="D265"/>
  <c r="C265"/>
  <c r="AA264"/>
  <c r="Y264"/>
  <c r="X264"/>
  <c r="N264"/>
  <c r="J264"/>
  <c r="H264"/>
  <c r="D264"/>
  <c r="C264"/>
  <c r="AA263"/>
  <c r="Y263"/>
  <c r="X263"/>
  <c r="N263"/>
  <c r="J263"/>
  <c r="H263"/>
  <c r="D263"/>
  <c r="C263"/>
  <c r="AA262"/>
  <c r="Y262"/>
  <c r="X262"/>
  <c r="N262"/>
  <c r="J262"/>
  <c r="H262"/>
  <c r="D262"/>
  <c r="C262"/>
  <c r="AA261"/>
  <c r="Y261"/>
  <c r="X261"/>
  <c r="N261"/>
  <c r="J261"/>
  <c r="H261"/>
  <c r="D261"/>
  <c r="C261"/>
  <c r="AA260"/>
  <c r="Y260"/>
  <c r="X260"/>
  <c r="N260"/>
  <c r="J260"/>
  <c r="H260"/>
  <c r="D260"/>
  <c r="C260"/>
  <c r="AA259"/>
  <c r="Y259"/>
  <c r="X259"/>
  <c r="N259"/>
  <c r="J259"/>
  <c r="H259"/>
  <c r="D259"/>
  <c r="C259"/>
  <c r="AA258"/>
  <c r="Y258"/>
  <c r="X258"/>
  <c r="N258"/>
  <c r="J258"/>
  <c r="H258"/>
  <c r="D258"/>
  <c r="C258"/>
  <c r="AA257"/>
  <c r="Y257"/>
  <c r="X257"/>
  <c r="N257"/>
  <c r="J257"/>
  <c r="H257"/>
  <c r="D257"/>
  <c r="C257"/>
  <c r="AA256"/>
  <c r="Y256"/>
  <c r="X256"/>
  <c r="N256"/>
  <c r="J256"/>
  <c r="H256"/>
  <c r="D256"/>
  <c r="C256"/>
  <c r="AA255"/>
  <c r="Y255"/>
  <c r="X255"/>
  <c r="N255"/>
  <c r="J255"/>
  <c r="H255"/>
  <c r="D255"/>
  <c r="C255"/>
  <c r="AA254"/>
  <c r="Y254"/>
  <c r="X254"/>
  <c r="N254"/>
  <c r="J254"/>
  <c r="H254"/>
  <c r="D254"/>
  <c r="C254"/>
  <c r="AA253"/>
  <c r="Y253"/>
  <c r="X253"/>
  <c r="N253"/>
  <c r="J253"/>
  <c r="H253"/>
  <c r="D253"/>
  <c r="C253"/>
  <c r="AA252"/>
  <c r="Y252"/>
  <c r="X252"/>
  <c r="N252"/>
  <c r="J252"/>
  <c r="H252"/>
  <c r="D252"/>
  <c r="C252"/>
  <c r="AA251"/>
  <c r="Y251"/>
  <c r="X251"/>
  <c r="N251"/>
  <c r="J251"/>
  <c r="H251"/>
  <c r="D251"/>
  <c r="C251"/>
  <c r="AA250"/>
  <c r="Y250"/>
  <c r="X250"/>
  <c r="R250"/>
  <c r="N250"/>
  <c r="J250"/>
  <c r="H250"/>
  <c r="D250"/>
  <c r="C250"/>
  <c r="AA249"/>
  <c r="Y249"/>
  <c r="X249"/>
  <c r="N249"/>
  <c r="J249"/>
  <c r="H249"/>
  <c r="D249"/>
  <c r="C249"/>
  <c r="AA248"/>
  <c r="Y248"/>
  <c r="X248"/>
  <c r="N248"/>
  <c r="J248"/>
  <c r="H248"/>
  <c r="D248"/>
  <c r="C248"/>
  <c r="AA247"/>
  <c r="Y247"/>
  <c r="X247"/>
  <c r="N247"/>
  <c r="J247"/>
  <c r="H247"/>
  <c r="D247"/>
  <c r="C247"/>
  <c r="AA246"/>
  <c r="Y246"/>
  <c r="X246"/>
  <c r="N246"/>
  <c r="J246"/>
  <c r="H246"/>
  <c r="D246"/>
  <c r="C246"/>
  <c r="AA245"/>
  <c r="Y245"/>
  <c r="X245"/>
  <c r="N245"/>
  <c r="J245"/>
  <c r="H245"/>
  <c r="D245"/>
  <c r="C245"/>
  <c r="AA244"/>
  <c r="Y244"/>
  <c r="X244"/>
  <c r="N244"/>
  <c r="J244"/>
  <c r="H244"/>
  <c r="D244"/>
  <c r="C244"/>
  <c r="AA243"/>
  <c r="Y243"/>
  <c r="X243"/>
  <c r="N243"/>
  <c r="J243"/>
  <c r="H243"/>
  <c r="D243"/>
  <c r="C243"/>
  <c r="AA242"/>
  <c r="Y242"/>
  <c r="X242"/>
  <c r="N242"/>
  <c r="J242"/>
  <c r="H242"/>
  <c r="D242"/>
  <c r="C242"/>
  <c r="AA241"/>
  <c r="Y241"/>
  <c r="X241"/>
  <c r="N241"/>
  <c r="J241"/>
  <c r="H241"/>
  <c r="D241"/>
  <c r="C241"/>
  <c r="AA240"/>
  <c r="Y240"/>
  <c r="X240"/>
  <c r="N240"/>
  <c r="J240"/>
  <c r="H240"/>
  <c r="D240"/>
  <c r="C240"/>
  <c r="AA239"/>
  <c r="Y239"/>
  <c r="X239"/>
  <c r="N239"/>
  <c r="J239"/>
  <c r="H239"/>
  <c r="D239"/>
  <c r="C239"/>
  <c r="AA238"/>
  <c r="Y238"/>
  <c r="X238"/>
  <c r="N238"/>
  <c r="J238"/>
  <c r="H238"/>
  <c r="D238"/>
  <c r="C238"/>
  <c r="AA237"/>
  <c r="Y237"/>
  <c r="X237"/>
  <c r="N237"/>
  <c r="J237"/>
  <c r="H237"/>
  <c r="D237"/>
  <c r="C237"/>
  <c r="AA236"/>
  <c r="Y236"/>
  <c r="X236"/>
  <c r="N236"/>
  <c r="J236"/>
  <c r="H236"/>
  <c r="D236"/>
  <c r="C236"/>
  <c r="AA235"/>
  <c r="Y235"/>
  <c r="X235"/>
  <c r="N235"/>
  <c r="J235"/>
  <c r="H235"/>
  <c r="D235"/>
  <c r="C235"/>
  <c r="AA234"/>
  <c r="Y234"/>
  <c r="X234"/>
  <c r="N234"/>
  <c r="J234"/>
  <c r="H234"/>
  <c r="D234"/>
  <c r="C234"/>
  <c r="AA233"/>
  <c r="Y233"/>
  <c r="X233"/>
  <c r="N233"/>
  <c r="J233"/>
  <c r="H233"/>
  <c r="D233"/>
  <c r="C233"/>
  <c r="AA232"/>
  <c r="Y232"/>
  <c r="X232"/>
  <c r="N232"/>
  <c r="J232"/>
  <c r="H232"/>
  <c r="D232"/>
  <c r="C232"/>
  <c r="AA231"/>
  <c r="Y231"/>
  <c r="X231"/>
  <c r="N231"/>
  <c r="H231"/>
  <c r="D231"/>
  <c r="C231"/>
  <c r="AA230"/>
  <c r="Y230"/>
  <c r="X230"/>
  <c r="N230"/>
  <c r="J230"/>
  <c r="H230"/>
  <c r="D230"/>
  <c r="C230"/>
  <c r="AA229"/>
  <c r="Y229"/>
  <c r="X229"/>
  <c r="N229"/>
  <c r="J229"/>
  <c r="H229"/>
  <c r="D229"/>
  <c r="C229"/>
  <c r="AA228"/>
  <c r="Y228"/>
  <c r="X228"/>
  <c r="N228"/>
  <c r="J228"/>
  <c r="H228"/>
  <c r="D228"/>
  <c r="C228"/>
  <c r="AA227"/>
  <c r="Y227"/>
  <c r="X227"/>
  <c r="N227"/>
  <c r="J227"/>
  <c r="H227"/>
  <c r="D227"/>
  <c r="C227"/>
  <c r="AA226"/>
  <c r="Y226"/>
  <c r="X226"/>
  <c r="N226"/>
  <c r="J226"/>
  <c r="H226"/>
  <c r="D226"/>
  <c r="C226"/>
  <c r="AA225"/>
  <c r="Y225"/>
  <c r="X225"/>
  <c r="N225"/>
  <c r="J225"/>
  <c r="H225"/>
  <c r="D225"/>
  <c r="C225"/>
  <c r="AA224"/>
  <c r="Y224"/>
  <c r="X224"/>
  <c r="N224"/>
  <c r="J224"/>
  <c r="H224"/>
  <c r="D224"/>
  <c r="C224"/>
  <c r="AA223"/>
  <c r="Y223"/>
  <c r="X223"/>
  <c r="N223"/>
  <c r="J223"/>
  <c r="H223"/>
  <c r="D223"/>
  <c r="C223"/>
  <c r="AA222"/>
  <c r="Y222"/>
  <c r="X222"/>
  <c r="N222"/>
  <c r="J222"/>
  <c r="H222"/>
  <c r="D222"/>
  <c r="C222"/>
  <c r="AA221"/>
  <c r="Y221"/>
  <c r="X221"/>
  <c r="N221"/>
  <c r="J221"/>
  <c r="H221"/>
  <c r="D221"/>
  <c r="C221"/>
  <c r="AA220"/>
  <c r="Y220"/>
  <c r="X220"/>
  <c r="N220"/>
  <c r="J220"/>
  <c r="H220"/>
  <c r="D220"/>
  <c r="C220"/>
  <c r="AA219"/>
  <c r="Y219"/>
  <c r="X219"/>
  <c r="N219"/>
  <c r="J219"/>
  <c r="H219"/>
  <c r="D219"/>
  <c r="C219"/>
  <c r="AA218"/>
  <c r="Y218"/>
  <c r="X218"/>
  <c r="N218"/>
  <c r="J218"/>
  <c r="H218"/>
  <c r="D218"/>
  <c r="C218"/>
  <c r="AA217"/>
  <c r="Y217"/>
  <c r="X217"/>
  <c r="N217"/>
  <c r="J217"/>
  <c r="H217"/>
  <c r="D217"/>
  <c r="C217"/>
  <c r="AA216"/>
  <c r="Y216"/>
  <c r="X216"/>
  <c r="N216"/>
  <c r="H216"/>
  <c r="D216"/>
  <c r="C216"/>
  <c r="AA215"/>
  <c r="Y215"/>
  <c r="X215"/>
  <c r="N215"/>
  <c r="J215"/>
  <c r="H215"/>
  <c r="D215"/>
  <c r="C215"/>
  <c r="AA214"/>
  <c r="Y214"/>
  <c r="X214"/>
  <c r="N214"/>
  <c r="J214"/>
  <c r="H214"/>
  <c r="D214"/>
  <c r="C214"/>
  <c r="AA213"/>
  <c r="Y213"/>
  <c r="X213"/>
  <c r="N213"/>
  <c r="J213"/>
  <c r="H213"/>
  <c r="D213"/>
  <c r="C213"/>
  <c r="AA212"/>
  <c r="Y212"/>
  <c r="X212"/>
  <c r="N212"/>
  <c r="J212"/>
  <c r="H212"/>
  <c r="D212"/>
  <c r="C212"/>
  <c r="AA211"/>
  <c r="Y211"/>
  <c r="X211"/>
  <c r="N211"/>
  <c r="J211"/>
  <c r="H211"/>
  <c r="D211"/>
  <c r="C211"/>
  <c r="AA210"/>
  <c r="Y210"/>
  <c r="X210"/>
  <c r="N210"/>
  <c r="J210"/>
  <c r="H210"/>
  <c r="D210"/>
  <c r="C210"/>
  <c r="AA209"/>
  <c r="Y209"/>
  <c r="X209"/>
  <c r="N209"/>
  <c r="J209"/>
  <c r="H209"/>
  <c r="D209"/>
  <c r="C209"/>
  <c r="AA208"/>
  <c r="Y208"/>
  <c r="X208"/>
  <c r="N208"/>
  <c r="J208"/>
  <c r="H208"/>
  <c r="D208"/>
  <c r="C208"/>
  <c r="AA207"/>
  <c r="Y207"/>
  <c r="X207"/>
  <c r="N207"/>
  <c r="J207"/>
  <c r="H207"/>
  <c r="D207"/>
  <c r="C207"/>
  <c r="AA206"/>
  <c r="Y206"/>
  <c r="X206"/>
  <c r="N206"/>
  <c r="J206"/>
  <c r="H206"/>
  <c r="D206"/>
  <c r="C206"/>
  <c r="AA205"/>
  <c r="Y205"/>
  <c r="X205"/>
  <c r="N205"/>
  <c r="J205"/>
  <c r="H205"/>
  <c r="D205"/>
  <c r="C205"/>
  <c r="AA204"/>
  <c r="Y204"/>
  <c r="X204"/>
  <c r="N204"/>
  <c r="J204"/>
  <c r="H204"/>
  <c r="D204"/>
  <c r="C204"/>
  <c r="AA203"/>
  <c r="Y203"/>
  <c r="X203"/>
  <c r="N203"/>
  <c r="J203"/>
  <c r="H203"/>
  <c r="D203"/>
  <c r="C203"/>
  <c r="AA202"/>
  <c r="Y202"/>
  <c r="X202"/>
  <c r="N202"/>
  <c r="J202"/>
  <c r="H202"/>
  <c r="D202"/>
  <c r="C202"/>
  <c r="AA201"/>
  <c r="Y201"/>
  <c r="X201"/>
  <c r="N201"/>
  <c r="J201"/>
  <c r="H201"/>
  <c r="D201"/>
  <c r="C201"/>
  <c r="AA200"/>
  <c r="Y200"/>
  <c r="X200"/>
  <c r="N200"/>
  <c r="J200"/>
  <c r="H200"/>
  <c r="D200"/>
  <c r="C200"/>
  <c r="AA199"/>
  <c r="Y199"/>
  <c r="X199"/>
  <c r="N199"/>
  <c r="J199"/>
  <c r="H199"/>
  <c r="D199"/>
  <c r="C199"/>
  <c r="AA198"/>
  <c r="Y198"/>
  <c r="X198"/>
  <c r="N198"/>
  <c r="J198"/>
  <c r="H198"/>
  <c r="D198"/>
  <c r="C198"/>
  <c r="AA197"/>
  <c r="Y197"/>
  <c r="X197"/>
  <c r="N197"/>
  <c r="J197"/>
  <c r="H197"/>
  <c r="D197"/>
  <c r="C197"/>
  <c r="AA196"/>
  <c r="Y196"/>
  <c r="X196"/>
  <c r="N196"/>
  <c r="J196"/>
  <c r="H196"/>
  <c r="D196"/>
  <c r="C196"/>
  <c r="AA195"/>
  <c r="Y195"/>
  <c r="X195"/>
  <c r="N195"/>
  <c r="J195"/>
  <c r="H195"/>
  <c r="D195"/>
  <c r="C195"/>
  <c r="AA194"/>
  <c r="Y194"/>
  <c r="X194"/>
  <c r="N194"/>
  <c r="J194"/>
  <c r="H194"/>
  <c r="D194"/>
  <c r="C194"/>
  <c r="AA193"/>
  <c r="Y193"/>
  <c r="X193"/>
  <c r="N193"/>
  <c r="J193"/>
  <c r="H193"/>
  <c r="D193"/>
  <c r="C193"/>
  <c r="AA192"/>
  <c r="Y192"/>
  <c r="X192"/>
  <c r="N192"/>
  <c r="J192"/>
  <c r="H192"/>
  <c r="D192"/>
  <c r="C192"/>
  <c r="AA191"/>
  <c r="Y191"/>
  <c r="X191"/>
  <c r="N191"/>
  <c r="J191"/>
  <c r="H191"/>
  <c r="D191"/>
  <c r="C191"/>
  <c r="AA190"/>
  <c r="Y190"/>
  <c r="X190"/>
  <c r="N190"/>
  <c r="J190"/>
  <c r="H190"/>
  <c r="D190"/>
  <c r="C190"/>
  <c r="AA189"/>
  <c r="Y189"/>
  <c r="X189"/>
  <c r="N189"/>
  <c r="J189"/>
  <c r="H189"/>
  <c r="D189"/>
  <c r="C189"/>
  <c r="AA188"/>
  <c r="Y188"/>
  <c r="X188"/>
  <c r="N188"/>
  <c r="J188"/>
  <c r="H188"/>
  <c r="D188"/>
  <c r="C188"/>
  <c r="AA187"/>
  <c r="Y187"/>
  <c r="X187"/>
  <c r="N187"/>
  <c r="J187"/>
  <c r="H187"/>
  <c r="D187"/>
  <c r="C187"/>
  <c r="AA186"/>
  <c r="Y186"/>
  <c r="X186"/>
  <c r="N186"/>
  <c r="J186"/>
  <c r="H186"/>
  <c r="D186"/>
  <c r="C186"/>
  <c r="AA185"/>
  <c r="Y185"/>
  <c r="X185"/>
  <c r="N185"/>
  <c r="J185"/>
  <c r="H185"/>
  <c r="D185"/>
  <c r="C185"/>
  <c r="AA184"/>
  <c r="Y184"/>
  <c r="X184"/>
  <c r="N184"/>
  <c r="J184"/>
  <c r="H184"/>
  <c r="D184"/>
  <c r="C184"/>
  <c r="AA183"/>
  <c r="Y183"/>
  <c r="X183"/>
  <c r="R183"/>
  <c r="N183"/>
  <c r="J183"/>
  <c r="H183"/>
  <c r="D183"/>
  <c r="C183"/>
  <c r="AA182"/>
  <c r="Y182"/>
  <c r="X182"/>
  <c r="N182"/>
  <c r="J182"/>
  <c r="H182"/>
  <c r="D182"/>
  <c r="C182"/>
  <c r="AA181"/>
  <c r="Y181"/>
  <c r="X181"/>
  <c r="N181"/>
  <c r="J181"/>
  <c r="H181"/>
  <c r="D181"/>
  <c r="C181"/>
  <c r="AA180"/>
  <c r="Y180"/>
  <c r="X180"/>
  <c r="N180"/>
  <c r="J180"/>
  <c r="H180"/>
  <c r="D180"/>
  <c r="C180"/>
  <c r="AA179"/>
  <c r="Y179"/>
  <c r="X179"/>
  <c r="N179"/>
  <c r="J179"/>
  <c r="H179"/>
  <c r="D179"/>
  <c r="C179"/>
  <c r="AA178"/>
  <c r="Y178"/>
  <c r="X178"/>
  <c r="N178"/>
  <c r="J178"/>
  <c r="H178"/>
  <c r="D178"/>
  <c r="C178"/>
  <c r="AA177"/>
  <c r="Y177"/>
  <c r="X177"/>
  <c r="N177"/>
  <c r="J177"/>
  <c r="H177"/>
  <c r="D177"/>
  <c r="C177"/>
  <c r="AA176"/>
  <c r="Y176"/>
  <c r="X176"/>
  <c r="N176"/>
  <c r="J176"/>
  <c r="H176"/>
  <c r="D176"/>
  <c r="C176"/>
  <c r="AA175"/>
  <c r="Y175"/>
  <c r="X175"/>
  <c r="N175"/>
  <c r="J175"/>
  <c r="H175"/>
  <c r="D175"/>
  <c r="C175"/>
  <c r="AA174"/>
  <c r="Y174"/>
  <c r="X174"/>
  <c r="N174"/>
  <c r="J174"/>
  <c r="H174"/>
  <c r="D174"/>
  <c r="C174"/>
  <c r="AA173"/>
  <c r="Y173"/>
  <c r="X173"/>
  <c r="N173"/>
  <c r="J173"/>
  <c r="H173"/>
  <c r="D173"/>
  <c r="C173"/>
  <c r="AA172"/>
  <c r="Y172"/>
  <c r="X172"/>
  <c r="N172"/>
  <c r="J172"/>
  <c r="H172"/>
  <c r="D172"/>
  <c r="C172"/>
  <c r="AA171"/>
  <c r="Y171"/>
  <c r="X171"/>
  <c r="N171"/>
  <c r="J171"/>
  <c r="H171"/>
  <c r="D171"/>
  <c r="C171"/>
  <c r="AA170"/>
  <c r="Y170"/>
  <c r="X170"/>
  <c r="N170"/>
  <c r="J170"/>
  <c r="H170"/>
  <c r="D170"/>
  <c r="C170"/>
  <c r="AA169"/>
  <c r="Y169"/>
  <c r="X169"/>
  <c r="N169"/>
  <c r="J169"/>
  <c r="H169"/>
  <c r="D169"/>
  <c r="C169"/>
  <c r="AA168"/>
  <c r="Y168"/>
  <c r="X168"/>
  <c r="N168"/>
  <c r="J168"/>
  <c r="H168"/>
  <c r="D168"/>
  <c r="C168"/>
  <c r="AA167"/>
  <c r="Y167"/>
  <c r="X167"/>
  <c r="N167"/>
  <c r="J167"/>
  <c r="H167"/>
  <c r="D167"/>
  <c r="C167"/>
  <c r="AA166"/>
  <c r="Y166"/>
  <c r="X166"/>
  <c r="N166"/>
  <c r="J166"/>
  <c r="H166"/>
  <c r="D166"/>
  <c r="C166"/>
  <c r="AA165"/>
  <c r="Y165"/>
  <c r="X165"/>
  <c r="N165"/>
  <c r="J165"/>
  <c r="H165"/>
  <c r="D165"/>
  <c r="C165"/>
  <c r="AA164"/>
  <c r="Y164"/>
  <c r="X164"/>
  <c r="N164"/>
  <c r="J164"/>
  <c r="H164"/>
  <c r="D164"/>
  <c r="C164"/>
  <c r="AA163"/>
  <c r="Y163"/>
  <c r="X163"/>
  <c r="N163"/>
  <c r="J163"/>
  <c r="H163"/>
  <c r="D163"/>
  <c r="C163"/>
  <c r="AA162"/>
  <c r="Y162"/>
  <c r="X162"/>
  <c r="R162"/>
  <c r="N162"/>
  <c r="J162"/>
  <c r="H162"/>
  <c r="D162"/>
  <c r="C162"/>
  <c r="AA161"/>
  <c r="Y161"/>
  <c r="X161"/>
  <c r="N161"/>
  <c r="J161"/>
  <c r="H161"/>
  <c r="D161"/>
  <c r="C161"/>
  <c r="AA160"/>
  <c r="Y160"/>
  <c r="X160"/>
  <c r="N160"/>
  <c r="J160"/>
  <c r="H160"/>
  <c r="D160"/>
  <c r="C160"/>
  <c r="AA159"/>
  <c r="Y159"/>
  <c r="X159"/>
  <c r="N159"/>
  <c r="H159"/>
  <c r="D159"/>
  <c r="C159"/>
  <c r="AA158"/>
  <c r="Y158"/>
  <c r="X158"/>
  <c r="N158"/>
  <c r="J158"/>
  <c r="H158"/>
  <c r="D158"/>
  <c r="C158"/>
  <c r="AA157"/>
  <c r="Y157"/>
  <c r="X157"/>
  <c r="N157"/>
  <c r="J157"/>
  <c r="H157"/>
  <c r="D157"/>
  <c r="C157"/>
  <c r="AA156"/>
  <c r="Y156"/>
  <c r="X156"/>
  <c r="N156"/>
  <c r="J156"/>
  <c r="H156"/>
  <c r="D156"/>
  <c r="C156"/>
  <c r="AA155"/>
  <c r="Y155"/>
  <c r="X155"/>
  <c r="R155"/>
  <c r="N155"/>
  <c r="J155"/>
  <c r="H155"/>
  <c r="D155"/>
  <c r="C155"/>
  <c r="AA154"/>
  <c r="Y154"/>
  <c r="X154"/>
  <c r="N154"/>
  <c r="J154"/>
  <c r="H154"/>
  <c r="D154"/>
  <c r="C154"/>
  <c r="AA153"/>
  <c r="Y153"/>
  <c r="X153"/>
  <c r="N153"/>
  <c r="J153"/>
  <c r="H153"/>
  <c r="D153"/>
  <c r="C153"/>
  <c r="AA152"/>
  <c r="Y152"/>
  <c r="X152"/>
  <c r="N152"/>
  <c r="J152"/>
  <c r="H152"/>
  <c r="D152"/>
  <c r="C152"/>
  <c r="AA151"/>
  <c r="Y151"/>
  <c r="X151"/>
  <c r="N151"/>
  <c r="J151"/>
  <c r="H151"/>
  <c r="D151"/>
  <c r="C151"/>
  <c r="AA150"/>
  <c r="Y150"/>
  <c r="X150"/>
  <c r="N150"/>
  <c r="J150"/>
  <c r="H150"/>
  <c r="D150"/>
  <c r="C150"/>
  <c r="AA149"/>
  <c r="Y149"/>
  <c r="X149"/>
  <c r="N149"/>
  <c r="J149"/>
  <c r="H149"/>
  <c r="D149"/>
  <c r="C149"/>
  <c r="AA148"/>
  <c r="Y148"/>
  <c r="X148"/>
  <c r="N148"/>
  <c r="J148"/>
  <c r="H148"/>
  <c r="D148"/>
  <c r="C148"/>
  <c r="AA147"/>
  <c r="Y147"/>
  <c r="X147"/>
  <c r="R147"/>
  <c r="N147"/>
  <c r="J147"/>
  <c r="H147"/>
  <c r="D147"/>
  <c r="C147"/>
  <c r="AA146"/>
  <c r="Y146"/>
  <c r="X146"/>
  <c r="N146"/>
  <c r="J146"/>
  <c r="H146"/>
  <c r="D146"/>
  <c r="C146"/>
  <c r="AA145"/>
  <c r="Y145"/>
  <c r="X145"/>
  <c r="N145"/>
  <c r="J145"/>
  <c r="H145"/>
  <c r="D145"/>
  <c r="C145"/>
  <c r="AA144"/>
  <c r="Y144"/>
  <c r="X144"/>
  <c r="N144"/>
  <c r="J144"/>
  <c r="H144"/>
  <c r="D144"/>
  <c r="C144"/>
  <c r="AA143"/>
  <c r="Y143"/>
  <c r="X143"/>
  <c r="N143"/>
  <c r="J143"/>
  <c r="H143"/>
  <c r="D143"/>
  <c r="C143"/>
  <c r="AA142"/>
  <c r="Y142"/>
  <c r="X142"/>
  <c r="N142"/>
  <c r="J142"/>
  <c r="H142"/>
  <c r="D142"/>
  <c r="C142"/>
  <c r="AA141"/>
  <c r="Y141"/>
  <c r="X141"/>
  <c r="R141"/>
  <c r="N141"/>
  <c r="J141"/>
  <c r="H141"/>
  <c r="D141"/>
  <c r="C141"/>
  <c r="AA140"/>
  <c r="Y140"/>
  <c r="X140"/>
  <c r="N140"/>
  <c r="J140"/>
  <c r="H140"/>
  <c r="D140"/>
  <c r="C140"/>
  <c r="AA139"/>
  <c r="Y139"/>
  <c r="X139"/>
  <c r="R139"/>
  <c r="N139"/>
  <c r="J139"/>
  <c r="H139"/>
  <c r="D139"/>
  <c r="C139"/>
  <c r="AA138"/>
  <c r="Y138"/>
  <c r="X138"/>
  <c r="N138"/>
  <c r="J138"/>
  <c r="H138"/>
  <c r="D138"/>
  <c r="C138"/>
  <c r="AA137"/>
  <c r="Y137"/>
  <c r="X137"/>
  <c r="N137"/>
  <c r="J137"/>
  <c r="H137"/>
  <c r="D137"/>
  <c r="C137"/>
  <c r="AA136"/>
  <c r="Y136"/>
  <c r="X136"/>
  <c r="N136"/>
  <c r="J136"/>
  <c r="H136"/>
  <c r="D136"/>
  <c r="C136"/>
  <c r="AA135"/>
  <c r="Y135"/>
  <c r="X135"/>
  <c r="N135"/>
  <c r="J135"/>
  <c r="H135"/>
  <c r="D135"/>
  <c r="C135"/>
  <c r="AA134"/>
  <c r="Y134"/>
  <c r="X134"/>
  <c r="N134"/>
  <c r="J134"/>
  <c r="H134"/>
  <c r="D134"/>
  <c r="C134"/>
  <c r="AA133"/>
  <c r="Y133"/>
  <c r="X133"/>
  <c r="N133"/>
  <c r="J133"/>
  <c r="H133"/>
  <c r="D133"/>
  <c r="C133"/>
  <c r="AA132"/>
  <c r="Y132"/>
  <c r="X132"/>
  <c r="N132"/>
  <c r="J132"/>
  <c r="H132"/>
  <c r="D132"/>
  <c r="C132"/>
  <c r="AA131"/>
  <c r="Y131"/>
  <c r="X131"/>
  <c r="N131"/>
  <c r="J131"/>
  <c r="H131"/>
  <c r="D131"/>
  <c r="C131"/>
  <c r="AA130"/>
  <c r="Y130"/>
  <c r="X130"/>
  <c r="N130"/>
  <c r="J130"/>
  <c r="H130"/>
  <c r="D130"/>
  <c r="C130"/>
  <c r="AA129"/>
  <c r="Y129"/>
  <c r="X129"/>
  <c r="N129"/>
  <c r="J129"/>
  <c r="H129"/>
  <c r="D129"/>
  <c r="C129"/>
  <c r="AA128"/>
  <c r="Y128"/>
  <c r="X128"/>
  <c r="N128"/>
  <c r="J128"/>
  <c r="H128"/>
  <c r="D128"/>
  <c r="C128"/>
  <c r="AA127"/>
  <c r="Y127"/>
  <c r="X127"/>
  <c r="R127"/>
  <c r="N127"/>
  <c r="J127"/>
  <c r="H127"/>
  <c r="D127"/>
  <c r="C127"/>
  <c r="AA126"/>
  <c r="Y126"/>
  <c r="X126"/>
  <c r="N126"/>
  <c r="J126"/>
  <c r="H126"/>
  <c r="D126"/>
  <c r="C126"/>
  <c r="AA125"/>
  <c r="Y125"/>
  <c r="X125"/>
  <c r="N125"/>
  <c r="J125"/>
  <c r="H125"/>
  <c r="D125"/>
  <c r="C125"/>
  <c r="AA124"/>
  <c r="Y124"/>
  <c r="X124"/>
  <c r="N124"/>
  <c r="J124"/>
  <c r="H124"/>
  <c r="D124"/>
  <c r="C124"/>
  <c r="AA123"/>
  <c r="Y123"/>
  <c r="X123"/>
  <c r="R123"/>
  <c r="N123"/>
  <c r="J123"/>
  <c r="H123"/>
  <c r="D123"/>
  <c r="C123"/>
  <c r="AA122"/>
  <c r="Y122"/>
  <c r="X122"/>
  <c r="N122"/>
  <c r="J122"/>
  <c r="H122"/>
  <c r="D122"/>
  <c r="C122"/>
  <c r="AA121"/>
  <c r="Y121"/>
  <c r="X121"/>
  <c r="N121"/>
  <c r="J121"/>
  <c r="H121"/>
  <c r="D121"/>
  <c r="C121"/>
  <c r="AA120"/>
  <c r="Y120"/>
  <c r="X120"/>
  <c r="N120"/>
  <c r="J120"/>
  <c r="H120"/>
  <c r="D120"/>
  <c r="C120"/>
  <c r="AA119"/>
  <c r="Y119"/>
  <c r="X119"/>
  <c r="N119"/>
  <c r="J119"/>
  <c r="H119"/>
  <c r="D119"/>
  <c r="C119"/>
  <c r="AA118"/>
  <c r="Y118"/>
  <c r="X118"/>
  <c r="N118"/>
  <c r="J118"/>
  <c r="H118"/>
  <c r="D118"/>
  <c r="C118"/>
  <c r="AA117"/>
  <c r="Y117"/>
  <c r="X117"/>
  <c r="N117"/>
  <c r="J117"/>
  <c r="H117"/>
  <c r="D117"/>
  <c r="C117"/>
  <c r="AA116"/>
  <c r="Y116"/>
  <c r="X116"/>
  <c r="N116"/>
  <c r="J116"/>
  <c r="H116"/>
  <c r="D116"/>
  <c r="C116"/>
  <c r="AA115"/>
  <c r="Y115"/>
  <c r="X115"/>
  <c r="N115"/>
  <c r="H115"/>
  <c r="D115"/>
  <c r="C115"/>
  <c r="AA114"/>
  <c r="Y114"/>
  <c r="X114"/>
  <c r="N114"/>
  <c r="J114"/>
  <c r="H114"/>
  <c r="D114"/>
  <c r="C114"/>
  <c r="AA113"/>
  <c r="Y113"/>
  <c r="X113"/>
  <c r="N113"/>
  <c r="J113"/>
  <c r="H113"/>
  <c r="D113"/>
  <c r="C113"/>
  <c r="AA112"/>
  <c r="Y112"/>
  <c r="X112"/>
  <c r="N112"/>
  <c r="J112"/>
  <c r="H112"/>
  <c r="D112"/>
  <c r="C112"/>
  <c r="AA111"/>
  <c r="Y111"/>
  <c r="X111"/>
  <c r="N111"/>
  <c r="J111"/>
  <c r="H111"/>
  <c r="D111"/>
  <c r="C111"/>
  <c r="AA110"/>
  <c r="Y110"/>
  <c r="X110"/>
  <c r="N110"/>
  <c r="J110"/>
  <c r="H110"/>
  <c r="D110"/>
  <c r="C110"/>
  <c r="AA109"/>
  <c r="Y109"/>
  <c r="X109"/>
  <c r="R109"/>
  <c r="N109"/>
  <c r="J109"/>
  <c r="H109"/>
  <c r="D109"/>
  <c r="C109"/>
  <c r="AA108"/>
  <c r="Y108"/>
  <c r="X108"/>
  <c r="N108"/>
  <c r="J108"/>
  <c r="H108"/>
  <c r="D108"/>
  <c r="C108"/>
  <c r="AA107"/>
  <c r="Y107"/>
  <c r="X107"/>
  <c r="N107"/>
  <c r="J107"/>
  <c r="H107"/>
  <c r="D107"/>
  <c r="C107"/>
  <c r="AA106"/>
  <c r="Y106"/>
  <c r="X106"/>
  <c r="N106"/>
  <c r="J106"/>
  <c r="H106"/>
  <c r="D106"/>
  <c r="C106"/>
  <c r="AA105"/>
  <c r="Y105"/>
  <c r="X105"/>
  <c r="N105"/>
  <c r="J105"/>
  <c r="H105"/>
  <c r="D105"/>
  <c r="C105"/>
  <c r="AA104"/>
  <c r="Y104"/>
  <c r="X104"/>
  <c r="N104"/>
  <c r="J104"/>
  <c r="H104"/>
  <c r="D104"/>
  <c r="C104"/>
  <c r="AA103"/>
  <c r="Y103"/>
  <c r="X103"/>
  <c r="R103"/>
  <c r="N103"/>
  <c r="J103"/>
  <c r="H103"/>
  <c r="D103"/>
  <c r="C103"/>
  <c r="AA102"/>
  <c r="Y102"/>
  <c r="X102"/>
  <c r="N102"/>
  <c r="J102"/>
  <c r="H102"/>
  <c r="D102"/>
  <c r="C102"/>
  <c r="AA101"/>
  <c r="Y101"/>
  <c r="X101"/>
  <c r="N101"/>
  <c r="J101"/>
  <c r="H101"/>
  <c r="D101"/>
  <c r="C101"/>
  <c r="AA100"/>
  <c r="Y100"/>
  <c r="X100"/>
  <c r="N100"/>
  <c r="J100"/>
  <c r="H100"/>
  <c r="D100"/>
  <c r="C100"/>
  <c r="AA99"/>
  <c r="Y99"/>
  <c r="X99"/>
  <c r="N99"/>
  <c r="J99"/>
  <c r="H99"/>
  <c r="D99"/>
  <c r="C99"/>
  <c r="AA98"/>
  <c r="Y98"/>
  <c r="X98"/>
  <c r="N98"/>
  <c r="H98"/>
  <c r="D98"/>
  <c r="C98"/>
  <c r="AA97"/>
  <c r="Y97"/>
  <c r="X97"/>
  <c r="N97"/>
  <c r="J97"/>
  <c r="H97"/>
  <c r="D97"/>
  <c r="C97"/>
  <c r="AA96"/>
  <c r="Y96"/>
  <c r="X96"/>
  <c r="N96"/>
  <c r="J96"/>
  <c r="H96"/>
  <c r="D96"/>
  <c r="C96"/>
  <c r="AA95"/>
  <c r="Y95"/>
  <c r="X95"/>
  <c r="N95"/>
  <c r="J95"/>
  <c r="H95"/>
  <c r="D95"/>
  <c r="C95"/>
  <c r="AA94"/>
  <c r="Y94"/>
  <c r="X94"/>
  <c r="N94"/>
  <c r="J94"/>
  <c r="H94"/>
  <c r="D94"/>
  <c r="C94"/>
  <c r="AA93"/>
  <c r="Y93"/>
  <c r="X93"/>
  <c r="N93"/>
  <c r="J93"/>
  <c r="H93"/>
  <c r="D93"/>
  <c r="C93"/>
  <c r="AA92"/>
  <c r="Y92"/>
  <c r="X92"/>
  <c r="N92"/>
  <c r="J92"/>
  <c r="H92"/>
  <c r="D92"/>
  <c r="C92"/>
  <c r="AA91"/>
  <c r="Y91"/>
  <c r="X91"/>
  <c r="N91"/>
  <c r="J91"/>
  <c r="H91"/>
  <c r="D91"/>
  <c r="C91"/>
  <c r="AA90"/>
  <c r="Y90"/>
  <c r="X90"/>
  <c r="N90"/>
  <c r="J90"/>
  <c r="H90"/>
  <c r="D90"/>
  <c r="C90"/>
  <c r="AA89"/>
  <c r="Y89"/>
  <c r="X89"/>
  <c r="N89"/>
  <c r="J89"/>
  <c r="H89"/>
  <c r="D89"/>
  <c r="C89"/>
  <c r="AA88"/>
  <c r="Y88"/>
  <c r="X88"/>
  <c r="N88"/>
  <c r="J88"/>
  <c r="H88"/>
  <c r="D88"/>
  <c r="C88"/>
  <c r="AA87"/>
  <c r="Y87"/>
  <c r="X87"/>
  <c r="N87"/>
  <c r="J87"/>
  <c r="H87"/>
  <c r="D87"/>
  <c r="C87"/>
  <c r="AA86"/>
  <c r="Y86"/>
  <c r="X86"/>
  <c r="N86"/>
  <c r="J86"/>
  <c r="H86"/>
  <c r="D86"/>
  <c r="C86"/>
  <c r="AA85"/>
  <c r="Y85"/>
  <c r="X85"/>
  <c r="T85"/>
  <c r="N85"/>
  <c r="J85"/>
  <c r="H85"/>
  <c r="D85"/>
  <c r="C85"/>
  <c r="AA84"/>
  <c r="Y84"/>
  <c r="X84"/>
  <c r="T84"/>
  <c r="N84"/>
  <c r="J84"/>
  <c r="H84"/>
  <c r="D84"/>
  <c r="C84"/>
  <c r="AA83"/>
  <c r="Y83"/>
  <c r="X83"/>
  <c r="T83"/>
  <c r="N83"/>
  <c r="J83"/>
  <c r="H83"/>
  <c r="D83"/>
  <c r="C83"/>
  <c r="AA82"/>
  <c r="Y82"/>
  <c r="X82"/>
  <c r="T82"/>
  <c r="N82"/>
  <c r="J82"/>
  <c r="H82"/>
  <c r="D82"/>
  <c r="C82"/>
  <c r="AA81"/>
  <c r="Y81"/>
  <c r="X81"/>
  <c r="T81"/>
  <c r="N81"/>
  <c r="J81"/>
  <c r="H81"/>
  <c r="D81"/>
  <c r="C81"/>
  <c r="AA80"/>
  <c r="Y80"/>
  <c r="X80"/>
  <c r="T80"/>
  <c r="N80"/>
  <c r="J80"/>
  <c r="H80"/>
  <c r="D80"/>
  <c r="C80"/>
  <c r="AA79"/>
  <c r="Y79"/>
  <c r="X79"/>
  <c r="T79"/>
  <c r="R79"/>
  <c r="N79"/>
  <c r="J79"/>
  <c r="H79"/>
  <c r="D79"/>
  <c r="C79"/>
  <c r="AA78"/>
  <c r="Z78"/>
  <c r="Y78"/>
  <c r="X78"/>
  <c r="T78"/>
  <c r="N78"/>
  <c r="H78"/>
  <c r="D78"/>
  <c r="C78"/>
  <c r="AA77"/>
  <c r="Z77"/>
  <c r="Y77"/>
  <c r="X77"/>
  <c r="T77"/>
  <c r="N77"/>
  <c r="J77"/>
  <c r="H77"/>
  <c r="D77"/>
  <c r="C77"/>
  <c r="AA76"/>
  <c r="Z76"/>
  <c r="Y76"/>
  <c r="X76"/>
  <c r="V76"/>
  <c r="U76"/>
  <c r="N76"/>
  <c r="J76"/>
  <c r="H76"/>
  <c r="D76"/>
  <c r="C76"/>
  <c r="AA75"/>
  <c r="Z75"/>
  <c r="Y75"/>
  <c r="X75"/>
  <c r="N75"/>
  <c r="J75"/>
  <c r="H75"/>
  <c r="D75"/>
  <c r="C75"/>
  <c r="AA74"/>
  <c r="Z74"/>
  <c r="Y74"/>
  <c r="X74"/>
  <c r="N74"/>
  <c r="J74"/>
  <c r="H74"/>
  <c r="D74"/>
  <c r="C74"/>
  <c r="AA73"/>
  <c r="Z73"/>
  <c r="Y73"/>
  <c r="X73"/>
  <c r="N73"/>
  <c r="J73"/>
  <c r="H73"/>
  <c r="D73"/>
  <c r="C73"/>
  <c r="AA72"/>
  <c r="Z72"/>
  <c r="Y72"/>
  <c r="X72"/>
  <c r="N72"/>
  <c r="J72"/>
  <c r="H72"/>
  <c r="D72"/>
  <c r="C72"/>
  <c r="AA71"/>
  <c r="Z71"/>
  <c r="Y71"/>
  <c r="X71"/>
  <c r="R71"/>
  <c r="N71"/>
  <c r="J71"/>
  <c r="H71"/>
  <c r="D71"/>
  <c r="C71"/>
  <c r="AA70"/>
  <c r="Z70"/>
  <c r="Y70"/>
  <c r="X70"/>
  <c r="N70"/>
  <c r="J70"/>
  <c r="H70"/>
  <c r="D70"/>
  <c r="C70"/>
  <c r="AA69"/>
  <c r="Y69"/>
  <c r="X69"/>
  <c r="N69"/>
  <c r="J69"/>
  <c r="H69"/>
  <c r="D69"/>
  <c r="C69"/>
  <c r="AA68"/>
  <c r="Y68"/>
  <c r="X68"/>
  <c r="N68"/>
  <c r="J68"/>
  <c r="H68"/>
  <c r="D68"/>
  <c r="C68"/>
  <c r="AA67"/>
  <c r="Y67"/>
  <c r="X67"/>
  <c r="N67"/>
  <c r="J67"/>
  <c r="H67"/>
  <c r="D67"/>
  <c r="C67"/>
  <c r="AA66"/>
  <c r="Y66"/>
  <c r="X66"/>
  <c r="V66"/>
  <c r="U66"/>
  <c r="N66"/>
  <c r="J66"/>
  <c r="H66"/>
  <c r="D66"/>
  <c r="C66"/>
  <c r="AA65"/>
  <c r="Y65"/>
  <c r="X65"/>
  <c r="N65"/>
  <c r="J65"/>
  <c r="H65"/>
  <c r="D65"/>
  <c r="C65"/>
  <c r="AA53"/>
  <c r="Y53"/>
  <c r="X53"/>
  <c r="N53"/>
  <c r="J53"/>
  <c r="H53"/>
  <c r="D53"/>
  <c r="C53"/>
  <c r="AA52"/>
  <c r="Y52"/>
  <c r="X52"/>
  <c r="N52"/>
  <c r="J52"/>
  <c r="H52"/>
  <c r="D52"/>
  <c r="C52"/>
  <c r="AA51"/>
  <c r="Y51"/>
  <c r="X51"/>
  <c r="N51"/>
  <c r="J51"/>
  <c r="H51"/>
  <c r="D51"/>
  <c r="C51"/>
  <c r="AA50"/>
  <c r="Y50"/>
  <c r="X50"/>
  <c r="N50"/>
  <c r="J50"/>
  <c r="H50"/>
  <c r="D50"/>
  <c r="C50"/>
  <c r="AA49"/>
  <c r="Y49"/>
  <c r="X49"/>
  <c r="N49"/>
  <c r="J49"/>
  <c r="H49"/>
  <c r="D49"/>
  <c r="C49"/>
  <c r="AA48"/>
  <c r="Y48"/>
  <c r="X48"/>
  <c r="N48"/>
  <c r="J48"/>
  <c r="H48"/>
  <c r="D48"/>
  <c r="C48"/>
  <c r="AA47"/>
  <c r="Y47"/>
  <c r="X47"/>
  <c r="N47"/>
  <c r="H47"/>
  <c r="D47"/>
  <c r="C47"/>
  <c r="AA46"/>
  <c r="Y46"/>
  <c r="X46"/>
  <c r="N46"/>
  <c r="J46"/>
  <c r="H46"/>
  <c r="D46"/>
  <c r="C46"/>
  <c r="AA45"/>
  <c r="Y45"/>
  <c r="X45"/>
  <c r="N45"/>
  <c r="J45"/>
  <c r="H45"/>
  <c r="D45"/>
  <c r="C45"/>
  <c r="AA44"/>
  <c r="Y44"/>
  <c r="X44"/>
  <c r="N44"/>
  <c r="J44"/>
  <c r="H44"/>
  <c r="D44"/>
  <c r="C44"/>
  <c r="AA43"/>
  <c r="Y43"/>
  <c r="X43"/>
  <c r="N43"/>
  <c r="J43"/>
  <c r="H43"/>
  <c r="D43"/>
  <c r="C43"/>
  <c r="AA42"/>
  <c r="Z42"/>
  <c r="Y42"/>
  <c r="X42"/>
  <c r="T42"/>
  <c r="N42"/>
  <c r="J42"/>
  <c r="H42"/>
  <c r="D42"/>
  <c r="C42"/>
  <c r="AA41"/>
  <c r="Z41"/>
  <c r="Y41"/>
  <c r="X41"/>
  <c r="T41"/>
  <c r="N41"/>
  <c r="J41"/>
  <c r="H41"/>
  <c r="D41"/>
  <c r="C41"/>
  <c r="AA40"/>
  <c r="Z40"/>
  <c r="Y40"/>
  <c r="X40"/>
  <c r="T40"/>
  <c r="N40"/>
  <c r="J40"/>
  <c r="H40"/>
  <c r="D40"/>
  <c r="C40"/>
  <c r="AA39"/>
  <c r="Z39"/>
  <c r="Y39"/>
  <c r="X39"/>
  <c r="T39"/>
  <c r="N39"/>
  <c r="J39"/>
  <c r="H39"/>
  <c r="D39"/>
  <c r="C39"/>
  <c r="AA38"/>
  <c r="Z38"/>
  <c r="Y38"/>
  <c r="X38"/>
  <c r="T38"/>
  <c r="N38"/>
  <c r="J38"/>
  <c r="H38"/>
  <c r="D38"/>
  <c r="C38"/>
  <c r="AA37"/>
  <c r="Z37"/>
  <c r="Y37"/>
  <c r="X37"/>
  <c r="T37"/>
  <c r="N37"/>
  <c r="J37"/>
  <c r="H37"/>
  <c r="D37"/>
  <c r="C37"/>
  <c r="AA36"/>
  <c r="Z36"/>
  <c r="Y36"/>
  <c r="X36"/>
  <c r="T36"/>
  <c r="N36"/>
  <c r="J36"/>
  <c r="H36"/>
  <c r="D36"/>
  <c r="C36"/>
  <c r="AA35"/>
  <c r="Z35"/>
  <c r="Y35"/>
  <c r="X35"/>
  <c r="T35"/>
  <c r="N35"/>
  <c r="J35"/>
  <c r="H35"/>
  <c r="D35"/>
  <c r="C35"/>
  <c r="AA34"/>
  <c r="Z34"/>
  <c r="Y34"/>
  <c r="X34"/>
  <c r="T34"/>
  <c r="N34"/>
  <c r="J34"/>
  <c r="H34"/>
  <c r="D34"/>
  <c r="C34"/>
  <c r="AA33"/>
  <c r="Z33"/>
  <c r="Y33"/>
  <c r="X33"/>
  <c r="T33"/>
  <c r="N33"/>
  <c r="J33"/>
  <c r="H33"/>
  <c r="D33"/>
  <c r="C33"/>
  <c r="AA32"/>
  <c r="Z32"/>
  <c r="Y32"/>
  <c r="X32"/>
  <c r="T32"/>
  <c r="N32"/>
  <c r="J32"/>
  <c r="H32"/>
  <c r="D32"/>
  <c r="C32"/>
  <c r="AA31"/>
  <c r="Z31"/>
  <c r="Y31"/>
  <c r="X31"/>
  <c r="T31"/>
  <c r="N31"/>
  <c r="J31"/>
  <c r="H31"/>
  <c r="D31"/>
  <c r="C31"/>
  <c r="BF38" i="1"/>
  <c r="J272"/>
  <c r="J268" i="42" l="1"/>
  <c r="J296" i="43"/>
  <c r="J293" i="45"/>
  <c r="D474" i="20"/>
  <c r="DM389" i="1"/>
  <c r="DL389"/>
  <c r="DK389"/>
  <c r="DJ389"/>
  <c r="CM389"/>
  <c r="CH389"/>
  <c r="CA389"/>
  <c r="BJ389"/>
  <c r="CL389" s="1"/>
  <c r="BH389"/>
  <c r="BD389"/>
  <c r="AZ389"/>
  <c r="AQ389"/>
  <c r="U424" i="43" s="1"/>
  <c r="AO389" i="1"/>
  <c r="T424" i="43" s="1"/>
  <c r="AC389" i="1"/>
  <c r="R419" i="45" s="1"/>
  <c r="T389" i="1"/>
  <c r="CU389" l="1"/>
  <c r="L385" i="42"/>
  <c r="AT389" i="1"/>
  <c r="CQ389" s="1"/>
  <c r="V389"/>
  <c r="DM292"/>
  <c r="DL292"/>
  <c r="DK292"/>
  <c r="DJ292"/>
  <c r="CM292"/>
  <c r="CH292"/>
  <c r="CA292"/>
  <c r="BJ292"/>
  <c r="CL292" s="1"/>
  <c r="BH292"/>
  <c r="BD292"/>
  <c r="AZ292"/>
  <c r="AQ292"/>
  <c r="U316" i="43" s="1"/>
  <c r="AO292" i="1"/>
  <c r="T316" i="43" s="1"/>
  <c r="AC292" i="1"/>
  <c r="R313" i="45" s="1"/>
  <c r="T292" i="1"/>
  <c r="Q292"/>
  <c r="CU292" l="1"/>
  <c r="L288" i="42"/>
  <c r="W389" i="1"/>
  <c r="AT292"/>
  <c r="CQ292" s="1"/>
  <c r="V292"/>
  <c r="B418"/>
  <c r="B419" s="1"/>
  <c r="B420" s="1"/>
  <c r="B421" s="1"/>
  <c r="B422" s="1"/>
  <c r="P424" i="43" l="1"/>
  <c r="O419" i="45"/>
  <c r="W292" i="1"/>
  <c r="P316" i="43" l="1"/>
  <c r="O313" i="45"/>
  <c r="DM224" i="1"/>
  <c r="DL224"/>
  <c r="DK224"/>
  <c r="DJ224"/>
  <c r="CM224"/>
  <c r="CH224"/>
  <c r="CA224"/>
  <c r="BJ224"/>
  <c r="CL224" s="1"/>
  <c r="BH224"/>
  <c r="BD224"/>
  <c r="AZ224"/>
  <c r="AQ224"/>
  <c r="U248" i="43" s="1"/>
  <c r="AO224" i="1"/>
  <c r="T248" i="43" s="1"/>
  <c r="AC224" i="1"/>
  <c r="R245" i="45" s="1"/>
  <c r="T224" i="1"/>
  <c r="Q224"/>
  <c r="CU224" l="1"/>
  <c r="L220" i="42"/>
  <c r="AT224" i="1"/>
  <c r="CQ224" s="1"/>
  <c r="V224"/>
  <c r="W224" l="1"/>
  <c r="DM303"/>
  <c r="DL303"/>
  <c r="DK303"/>
  <c r="DJ303"/>
  <c r="CM303"/>
  <c r="CH303"/>
  <c r="CA303"/>
  <c r="BJ303"/>
  <c r="CL303" s="1"/>
  <c r="BH303"/>
  <c r="BD303"/>
  <c r="AZ303"/>
  <c r="AQ303"/>
  <c r="U327" i="43" s="1"/>
  <c r="AO303" i="1"/>
  <c r="T327" i="43" s="1"/>
  <c r="AC303" i="1"/>
  <c r="R324" i="45" s="1"/>
  <c r="T303" i="1"/>
  <c r="Q303"/>
  <c r="CU303" l="1"/>
  <c r="L299" i="42"/>
  <c r="P248" i="43"/>
  <c r="O245" i="45"/>
  <c r="AT303" i="1"/>
  <c r="CQ303" s="1"/>
  <c r="V303"/>
  <c r="Q195"/>
  <c r="W303" l="1"/>
  <c r="P327" i="43" l="1"/>
  <c r="O324" i="45"/>
  <c r="AA335" i="52"/>
  <c r="W335"/>
  <c r="N335"/>
  <c r="H335"/>
  <c r="D335"/>
  <c r="C335"/>
  <c r="AA334"/>
  <c r="W334"/>
  <c r="N334"/>
  <c r="J334"/>
  <c r="H334"/>
  <c r="D334"/>
  <c r="C334"/>
  <c r="AA333"/>
  <c r="W333"/>
  <c r="N333"/>
  <c r="J333"/>
  <c r="H333"/>
  <c r="D333"/>
  <c r="C333"/>
  <c r="AA332"/>
  <c r="W332"/>
  <c r="N332"/>
  <c r="J332"/>
  <c r="H332"/>
  <c r="D332"/>
  <c r="C332"/>
  <c r="AA331"/>
  <c r="W331"/>
  <c r="N331"/>
  <c r="J331"/>
  <c r="H331"/>
  <c r="D331"/>
  <c r="C331"/>
  <c r="AA330"/>
  <c r="W330"/>
  <c r="N330"/>
  <c r="J330"/>
  <c r="H330"/>
  <c r="D330"/>
  <c r="C330"/>
  <c r="AA329"/>
  <c r="W329"/>
  <c r="N329"/>
  <c r="J329"/>
  <c r="H329"/>
  <c r="D329"/>
  <c r="C329"/>
  <c r="AA328"/>
  <c r="W328"/>
  <c r="N328"/>
  <c r="J328"/>
  <c r="H328"/>
  <c r="D328"/>
  <c r="C328"/>
  <c r="AA327"/>
  <c r="W327"/>
  <c r="N327"/>
  <c r="J327"/>
  <c r="H327"/>
  <c r="D327"/>
  <c r="C327"/>
  <c r="AA326"/>
  <c r="W326"/>
  <c r="N326"/>
  <c r="J326"/>
  <c r="H326"/>
  <c r="D326"/>
  <c r="C326"/>
  <c r="AA325"/>
  <c r="W325"/>
  <c r="N325"/>
  <c r="J325"/>
  <c r="H325"/>
  <c r="D325"/>
  <c r="C325"/>
  <c r="AA324"/>
  <c r="W324"/>
  <c r="N324"/>
  <c r="J324"/>
  <c r="H324"/>
  <c r="D324"/>
  <c r="C324"/>
  <c r="AA323"/>
  <c r="W323"/>
  <c r="N323"/>
  <c r="J323"/>
  <c r="H323"/>
  <c r="D323"/>
  <c r="C323"/>
  <c r="AA322"/>
  <c r="W322"/>
  <c r="N322"/>
  <c r="J322"/>
  <c r="H322"/>
  <c r="D322"/>
  <c r="C322"/>
  <c r="AA321"/>
  <c r="W321"/>
  <c r="N321"/>
  <c r="J321"/>
  <c r="H321"/>
  <c r="D321"/>
  <c r="C321"/>
  <c r="AA320"/>
  <c r="W320"/>
  <c r="N320"/>
  <c r="J320"/>
  <c r="H320"/>
  <c r="D320"/>
  <c r="C320"/>
  <c r="AA319"/>
  <c r="W319"/>
  <c r="N319"/>
  <c r="J319"/>
  <c r="H319"/>
  <c r="D319"/>
  <c r="C319"/>
  <c r="AA318"/>
  <c r="W318"/>
  <c r="N318"/>
  <c r="J318"/>
  <c r="H318"/>
  <c r="D318"/>
  <c r="C318"/>
  <c r="AA317"/>
  <c r="W317"/>
  <c r="N317"/>
  <c r="J317"/>
  <c r="H317"/>
  <c r="D317"/>
  <c r="C317"/>
  <c r="AA316"/>
  <c r="W316"/>
  <c r="N316"/>
  <c r="J316"/>
  <c r="H316"/>
  <c r="D316"/>
  <c r="C316"/>
  <c r="AA315"/>
  <c r="W315"/>
  <c r="N315"/>
  <c r="J315"/>
  <c r="H315"/>
  <c r="D315"/>
  <c r="C315"/>
  <c r="AA314"/>
  <c r="W314"/>
  <c r="V314"/>
  <c r="N314"/>
  <c r="J314"/>
  <c r="H314"/>
  <c r="D314"/>
  <c r="C314"/>
  <c r="AA313"/>
  <c r="W313"/>
  <c r="N313"/>
  <c r="J313"/>
  <c r="H313"/>
  <c r="D313"/>
  <c r="C313"/>
  <c r="AA312"/>
  <c r="W312"/>
  <c r="N312"/>
  <c r="J312"/>
  <c r="H312"/>
  <c r="D312"/>
  <c r="C312"/>
  <c r="AA311"/>
  <c r="W311"/>
  <c r="N311"/>
  <c r="J311"/>
  <c r="H311"/>
  <c r="D311"/>
  <c r="C311"/>
  <c r="AA310"/>
  <c r="W310"/>
  <c r="N310"/>
  <c r="J310"/>
  <c r="H310"/>
  <c r="D310"/>
  <c r="C310"/>
  <c r="AA309"/>
  <c r="W309"/>
  <c r="N309"/>
  <c r="J309"/>
  <c r="H309"/>
  <c r="D309"/>
  <c r="C309"/>
  <c r="AA308"/>
  <c r="W308"/>
  <c r="N308"/>
  <c r="J308"/>
  <c r="H308"/>
  <c r="D308"/>
  <c r="C308"/>
  <c r="AA307"/>
  <c r="W307"/>
  <c r="N307"/>
  <c r="J307"/>
  <c r="H307"/>
  <c r="D307"/>
  <c r="C307"/>
  <c r="AA306"/>
  <c r="W306"/>
  <c r="N306"/>
  <c r="J306"/>
  <c r="H306"/>
  <c r="D306"/>
  <c r="C306"/>
  <c r="AA305"/>
  <c r="W305"/>
  <c r="N305"/>
  <c r="J305"/>
  <c r="H305"/>
  <c r="D305"/>
  <c r="C305"/>
  <c r="AA304"/>
  <c r="W304"/>
  <c r="N304"/>
  <c r="J304"/>
  <c r="H304"/>
  <c r="D304"/>
  <c r="C304"/>
  <c r="AA303"/>
  <c r="W303"/>
  <c r="N303"/>
  <c r="J303"/>
  <c r="H303"/>
  <c r="D303"/>
  <c r="C303"/>
  <c r="AA302"/>
  <c r="W302"/>
  <c r="N302"/>
  <c r="J302"/>
  <c r="H302"/>
  <c r="D302"/>
  <c r="C302"/>
  <c r="AA301"/>
  <c r="W301"/>
  <c r="N301"/>
  <c r="J301"/>
  <c r="H301"/>
  <c r="D301"/>
  <c r="C301"/>
  <c r="AA300"/>
  <c r="W300"/>
  <c r="N300"/>
  <c r="J300"/>
  <c r="H300"/>
  <c r="D300"/>
  <c r="C300"/>
  <c r="AA299"/>
  <c r="W299"/>
  <c r="N299"/>
  <c r="J299"/>
  <c r="H299"/>
  <c r="D299"/>
  <c r="C299"/>
  <c r="AA298"/>
  <c r="W298"/>
  <c r="N298"/>
  <c r="J298"/>
  <c r="H298"/>
  <c r="D298"/>
  <c r="C298"/>
  <c r="AA297"/>
  <c r="W297"/>
  <c r="N297"/>
  <c r="J297"/>
  <c r="H297"/>
  <c r="D297"/>
  <c r="C297"/>
  <c r="AA296"/>
  <c r="W296"/>
  <c r="N296"/>
  <c r="J296"/>
  <c r="H296"/>
  <c r="D296"/>
  <c r="C296"/>
  <c r="AA295"/>
  <c r="W295"/>
  <c r="N295"/>
  <c r="J295"/>
  <c r="H295"/>
  <c r="D295"/>
  <c r="C295"/>
  <c r="AA294"/>
  <c r="W294"/>
  <c r="N294"/>
  <c r="J294"/>
  <c r="H294"/>
  <c r="D294"/>
  <c r="C294"/>
  <c r="AA293"/>
  <c r="W293"/>
  <c r="N293"/>
  <c r="J293"/>
  <c r="H293"/>
  <c r="D293"/>
  <c r="C293"/>
  <c r="AA292"/>
  <c r="W292"/>
  <c r="N292"/>
  <c r="J292"/>
  <c r="H292"/>
  <c r="D292"/>
  <c r="C292"/>
  <c r="AA291"/>
  <c r="W291"/>
  <c r="N291"/>
  <c r="J291"/>
  <c r="H291"/>
  <c r="D291"/>
  <c r="C291"/>
  <c r="AA290"/>
  <c r="W290"/>
  <c r="T290"/>
  <c r="S290"/>
  <c r="P290"/>
  <c r="N290"/>
  <c r="J290"/>
  <c r="H290"/>
  <c r="D290"/>
  <c r="C290"/>
  <c r="AA289"/>
  <c r="W289"/>
  <c r="N289"/>
  <c r="J289"/>
  <c r="H289"/>
  <c r="D289"/>
  <c r="C289"/>
  <c r="AA288"/>
  <c r="W288"/>
  <c r="N288"/>
  <c r="J288"/>
  <c r="H288"/>
  <c r="D288"/>
  <c r="C288"/>
  <c r="AA287"/>
  <c r="W287"/>
  <c r="N287"/>
  <c r="J287"/>
  <c r="H287"/>
  <c r="D287"/>
  <c r="C287"/>
  <c r="AA286"/>
  <c r="W286"/>
  <c r="T286"/>
  <c r="S286"/>
  <c r="P286"/>
  <c r="N286"/>
  <c r="J286"/>
  <c r="H286"/>
  <c r="D286"/>
  <c r="C286"/>
  <c r="AA285"/>
  <c r="W285"/>
  <c r="N285"/>
  <c r="J285"/>
  <c r="H285"/>
  <c r="D285"/>
  <c r="C285"/>
  <c r="AA284"/>
  <c r="W284"/>
  <c r="N284"/>
  <c r="J284"/>
  <c r="H284"/>
  <c r="D284"/>
  <c r="C284"/>
  <c r="AA283"/>
  <c r="W283"/>
  <c r="N283"/>
  <c r="J283"/>
  <c r="H283"/>
  <c r="D283"/>
  <c r="C283"/>
  <c r="AA282"/>
  <c r="W282"/>
  <c r="N282"/>
  <c r="J282"/>
  <c r="H282"/>
  <c r="D282"/>
  <c r="C282"/>
  <c r="AA281"/>
  <c r="W281"/>
  <c r="N281"/>
  <c r="J281"/>
  <c r="H281"/>
  <c r="D281"/>
  <c r="C281"/>
  <c r="AA280"/>
  <c r="W280"/>
  <c r="N280"/>
  <c r="J280"/>
  <c r="H280"/>
  <c r="D280"/>
  <c r="C280"/>
  <c r="AA279"/>
  <c r="W279"/>
  <c r="N279"/>
  <c r="J279"/>
  <c r="H279"/>
  <c r="D279"/>
  <c r="C279"/>
  <c r="AA278"/>
  <c r="W278"/>
  <c r="N278"/>
  <c r="J278"/>
  <c r="H278"/>
  <c r="D278"/>
  <c r="C278"/>
  <c r="AA277"/>
  <c r="W277"/>
  <c r="N277"/>
  <c r="J277"/>
  <c r="H277"/>
  <c r="D277"/>
  <c r="C277"/>
  <c r="AA276"/>
  <c r="W276"/>
  <c r="N276"/>
  <c r="J276"/>
  <c r="H276"/>
  <c r="D276"/>
  <c r="C276"/>
  <c r="AA275"/>
  <c r="W275"/>
  <c r="N275"/>
  <c r="J275"/>
  <c r="H275"/>
  <c r="D275"/>
  <c r="C275"/>
  <c r="AA274"/>
  <c r="W274"/>
  <c r="N274"/>
  <c r="J274"/>
  <c r="H274"/>
  <c r="D274"/>
  <c r="C274"/>
  <c r="AA273"/>
  <c r="W273"/>
  <c r="N273"/>
  <c r="J273"/>
  <c r="H273"/>
  <c r="D273"/>
  <c r="C273"/>
  <c r="AA272"/>
  <c r="W272"/>
  <c r="N272"/>
  <c r="J272"/>
  <c r="H272"/>
  <c r="D272"/>
  <c r="C272"/>
  <c r="AA271"/>
  <c r="W271"/>
  <c r="N271"/>
  <c r="J271"/>
  <c r="H271"/>
  <c r="D271"/>
  <c r="C271"/>
  <c r="AA270"/>
  <c r="W270"/>
  <c r="N270"/>
  <c r="J270"/>
  <c r="H270"/>
  <c r="D270"/>
  <c r="C270"/>
  <c r="AA269"/>
  <c r="W269"/>
  <c r="N269"/>
  <c r="J269"/>
  <c r="H269"/>
  <c r="D269"/>
  <c r="C269"/>
  <c r="AA268"/>
  <c r="W268"/>
  <c r="N268"/>
  <c r="J268"/>
  <c r="H268"/>
  <c r="D268"/>
  <c r="C268"/>
  <c r="AA267"/>
  <c r="W267"/>
  <c r="N267"/>
  <c r="J267"/>
  <c r="H267"/>
  <c r="D267"/>
  <c r="C267"/>
  <c r="AA266"/>
  <c r="W266"/>
  <c r="N266"/>
  <c r="J266"/>
  <c r="H266"/>
  <c r="D266"/>
  <c r="C266"/>
  <c r="AA265"/>
  <c r="W265"/>
  <c r="N265"/>
  <c r="J265"/>
  <c r="H265"/>
  <c r="D265"/>
  <c r="C265"/>
  <c r="AA264"/>
  <c r="W264"/>
  <c r="N264"/>
  <c r="J264"/>
  <c r="H264"/>
  <c r="D264"/>
  <c r="C264"/>
  <c r="AA263"/>
  <c r="W263"/>
  <c r="N263"/>
  <c r="J263"/>
  <c r="H263"/>
  <c r="D263"/>
  <c r="C263"/>
  <c r="AA262"/>
  <c r="W262"/>
  <c r="N262"/>
  <c r="J262"/>
  <c r="H262"/>
  <c r="D262"/>
  <c r="C262"/>
  <c r="AA261"/>
  <c r="W261"/>
  <c r="N261"/>
  <c r="J261"/>
  <c r="H261"/>
  <c r="D261"/>
  <c r="C261"/>
  <c r="AA260"/>
  <c r="W260"/>
  <c r="N260"/>
  <c r="J260"/>
  <c r="H260"/>
  <c r="D260"/>
  <c r="C260"/>
  <c r="AA259"/>
  <c r="W259"/>
  <c r="N259"/>
  <c r="J259"/>
  <c r="H259"/>
  <c r="D259"/>
  <c r="C259"/>
  <c r="AA258"/>
  <c r="W258"/>
  <c r="N258"/>
  <c r="J258"/>
  <c r="H258"/>
  <c r="D258"/>
  <c r="C258"/>
  <c r="AA257"/>
  <c r="W257"/>
  <c r="N257"/>
  <c r="J257"/>
  <c r="H257"/>
  <c r="D257"/>
  <c r="C257"/>
  <c r="AA256"/>
  <c r="W256"/>
  <c r="T256"/>
  <c r="S256"/>
  <c r="P256"/>
  <c r="N256"/>
  <c r="J256"/>
  <c r="H256"/>
  <c r="D256"/>
  <c r="C256"/>
  <c r="AA255"/>
  <c r="W255"/>
  <c r="N255"/>
  <c r="J255"/>
  <c r="H255"/>
  <c r="D255"/>
  <c r="C255"/>
  <c r="AA254"/>
  <c r="W254"/>
  <c r="N254"/>
  <c r="J254"/>
  <c r="H254"/>
  <c r="D254"/>
  <c r="C254"/>
  <c r="AA253"/>
  <c r="W253"/>
  <c r="N253"/>
  <c r="J253"/>
  <c r="H253"/>
  <c r="D253"/>
  <c r="C253"/>
  <c r="AA252"/>
  <c r="W252"/>
  <c r="N252"/>
  <c r="J252"/>
  <c r="H252"/>
  <c r="D252"/>
  <c r="C252"/>
  <c r="AA251"/>
  <c r="W251"/>
  <c r="N251"/>
  <c r="J251"/>
  <c r="H251"/>
  <c r="D251"/>
  <c r="C251"/>
  <c r="AA250"/>
  <c r="W250"/>
  <c r="N250"/>
  <c r="J250"/>
  <c r="H250"/>
  <c r="D250"/>
  <c r="C250"/>
  <c r="AA249"/>
  <c r="W249"/>
  <c r="N249"/>
  <c r="J249"/>
  <c r="H249"/>
  <c r="D249"/>
  <c r="C249"/>
  <c r="AA248"/>
  <c r="W248"/>
  <c r="N248"/>
  <c r="J248"/>
  <c r="H248"/>
  <c r="D248"/>
  <c r="C248"/>
  <c r="AA247"/>
  <c r="W247"/>
  <c r="N247"/>
  <c r="J247"/>
  <c r="H247"/>
  <c r="D247"/>
  <c r="C247"/>
  <c r="AA246"/>
  <c r="W246"/>
  <c r="N246"/>
  <c r="J246"/>
  <c r="H246"/>
  <c r="D246"/>
  <c r="C246"/>
  <c r="AA245"/>
  <c r="W245"/>
  <c r="N245"/>
  <c r="J245"/>
  <c r="H245"/>
  <c r="D245"/>
  <c r="C245"/>
  <c r="AA244"/>
  <c r="W244"/>
  <c r="N244"/>
  <c r="J244"/>
  <c r="H244"/>
  <c r="D244"/>
  <c r="C244"/>
  <c r="AA243"/>
  <c r="W243"/>
  <c r="N243"/>
  <c r="J243"/>
  <c r="H243"/>
  <c r="D243"/>
  <c r="C243"/>
  <c r="AA242"/>
  <c r="W242"/>
  <c r="N242"/>
  <c r="J242"/>
  <c r="H242"/>
  <c r="D242"/>
  <c r="C242"/>
  <c r="AA241"/>
  <c r="W241"/>
  <c r="N241"/>
  <c r="J241"/>
  <c r="H241"/>
  <c r="D241"/>
  <c r="C241"/>
  <c r="AA240"/>
  <c r="W240"/>
  <c r="N240"/>
  <c r="J240"/>
  <c r="H240"/>
  <c r="D240"/>
  <c r="C240"/>
  <c r="AA239"/>
  <c r="W239"/>
  <c r="N239"/>
  <c r="J239"/>
  <c r="H239"/>
  <c r="D239"/>
  <c r="C239"/>
  <c r="AA238"/>
  <c r="W238"/>
  <c r="N238"/>
  <c r="J238"/>
  <c r="H238"/>
  <c r="D238"/>
  <c r="C238"/>
  <c r="AA237"/>
  <c r="W237"/>
  <c r="N237"/>
  <c r="J237"/>
  <c r="H237"/>
  <c r="D237"/>
  <c r="C237"/>
  <c r="AA236"/>
  <c r="W236"/>
  <c r="N236"/>
  <c r="J236"/>
  <c r="H236"/>
  <c r="D236"/>
  <c r="C236"/>
  <c r="AA235"/>
  <c r="W235"/>
  <c r="N235"/>
  <c r="H235"/>
  <c r="D235"/>
  <c r="C235"/>
  <c r="AA234"/>
  <c r="W234"/>
  <c r="N234"/>
  <c r="J234"/>
  <c r="H234"/>
  <c r="D234"/>
  <c r="C234"/>
  <c r="AA233"/>
  <c r="W233"/>
  <c r="N233"/>
  <c r="J233"/>
  <c r="H233"/>
  <c r="D233"/>
  <c r="C233"/>
  <c r="AA232"/>
  <c r="W232"/>
  <c r="N232"/>
  <c r="J232"/>
  <c r="H232"/>
  <c r="D232"/>
  <c r="C232"/>
  <c r="AA231"/>
  <c r="W231"/>
  <c r="N231"/>
  <c r="J231"/>
  <c r="H231"/>
  <c r="D231"/>
  <c r="C231"/>
  <c r="AA230"/>
  <c r="W230"/>
  <c r="N230"/>
  <c r="J230"/>
  <c r="H230"/>
  <c r="D230"/>
  <c r="C230"/>
  <c r="AA229"/>
  <c r="W229"/>
  <c r="N229"/>
  <c r="J229"/>
  <c r="H229"/>
  <c r="D229"/>
  <c r="C229"/>
  <c r="AA228"/>
  <c r="W228"/>
  <c r="N228"/>
  <c r="J228"/>
  <c r="H228"/>
  <c r="D228"/>
  <c r="C228"/>
  <c r="AA227"/>
  <c r="W227"/>
  <c r="N227"/>
  <c r="J227"/>
  <c r="H227"/>
  <c r="D227"/>
  <c r="C227"/>
  <c r="AA226"/>
  <c r="W226"/>
  <c r="N226"/>
  <c r="J226"/>
  <c r="H226"/>
  <c r="D226"/>
  <c r="C226"/>
  <c r="AA225"/>
  <c r="W225"/>
  <c r="N225"/>
  <c r="J225"/>
  <c r="H225"/>
  <c r="D225"/>
  <c r="C225"/>
  <c r="AA224"/>
  <c r="W224"/>
  <c r="N224"/>
  <c r="J224"/>
  <c r="H224"/>
  <c r="D224"/>
  <c r="C224"/>
  <c r="AA223"/>
  <c r="W223"/>
  <c r="N223"/>
  <c r="J223"/>
  <c r="H223"/>
  <c r="D223"/>
  <c r="C223"/>
  <c r="AA222"/>
  <c r="W222"/>
  <c r="N222"/>
  <c r="J222"/>
  <c r="H222"/>
  <c r="D222"/>
  <c r="C222"/>
  <c r="AA221"/>
  <c r="W221"/>
  <c r="N221"/>
  <c r="J221"/>
  <c r="H221"/>
  <c r="D221"/>
  <c r="C221"/>
  <c r="AA220"/>
  <c r="W220"/>
  <c r="N220"/>
  <c r="H220"/>
  <c r="D220"/>
  <c r="C220"/>
  <c r="AA219"/>
  <c r="W219"/>
  <c r="N219"/>
  <c r="J219"/>
  <c r="H219"/>
  <c r="D219"/>
  <c r="C219"/>
  <c r="AA218"/>
  <c r="W218"/>
  <c r="N218"/>
  <c r="J218"/>
  <c r="H218"/>
  <c r="D218"/>
  <c r="C218"/>
  <c r="AA217"/>
  <c r="W217"/>
  <c r="N217"/>
  <c r="J217"/>
  <c r="H217"/>
  <c r="D217"/>
  <c r="C217"/>
  <c r="AA216"/>
  <c r="W216"/>
  <c r="N216"/>
  <c r="J216"/>
  <c r="H216"/>
  <c r="D216"/>
  <c r="C216"/>
  <c r="AA215"/>
  <c r="W215"/>
  <c r="N215"/>
  <c r="J215"/>
  <c r="H215"/>
  <c r="D215"/>
  <c r="C215"/>
  <c r="AA214"/>
  <c r="W214"/>
  <c r="N214"/>
  <c r="J214"/>
  <c r="H214"/>
  <c r="D214"/>
  <c r="C214"/>
  <c r="AA213"/>
  <c r="W213"/>
  <c r="N213"/>
  <c r="J213"/>
  <c r="H213"/>
  <c r="D213"/>
  <c r="C213"/>
  <c r="AA212"/>
  <c r="W212"/>
  <c r="N212"/>
  <c r="J212"/>
  <c r="H212"/>
  <c r="D212"/>
  <c r="C212"/>
  <c r="AA211"/>
  <c r="W211"/>
  <c r="N211"/>
  <c r="J211"/>
  <c r="H211"/>
  <c r="D211"/>
  <c r="C211"/>
  <c r="AA210"/>
  <c r="W210"/>
  <c r="N210"/>
  <c r="J210"/>
  <c r="H210"/>
  <c r="D210"/>
  <c r="C210"/>
  <c r="AA209"/>
  <c r="W209"/>
  <c r="N209"/>
  <c r="J209"/>
  <c r="H209"/>
  <c r="D209"/>
  <c r="C209"/>
  <c r="AA208"/>
  <c r="W208"/>
  <c r="N208"/>
  <c r="J208"/>
  <c r="H208"/>
  <c r="D208"/>
  <c r="C208"/>
  <c r="AA207"/>
  <c r="W207"/>
  <c r="N207"/>
  <c r="J207"/>
  <c r="H207"/>
  <c r="D207"/>
  <c r="C207"/>
  <c r="AA206"/>
  <c r="W206"/>
  <c r="N206"/>
  <c r="J206"/>
  <c r="H206"/>
  <c r="D206"/>
  <c r="C206"/>
  <c r="AA205"/>
  <c r="W205"/>
  <c r="N205"/>
  <c r="J205"/>
  <c r="H205"/>
  <c r="D205"/>
  <c r="C205"/>
  <c r="AA204"/>
  <c r="W204"/>
  <c r="N204"/>
  <c r="J204"/>
  <c r="H204"/>
  <c r="D204"/>
  <c r="C204"/>
  <c r="AA203"/>
  <c r="W203"/>
  <c r="N203"/>
  <c r="J203"/>
  <c r="H203"/>
  <c r="D203"/>
  <c r="C203"/>
  <c r="AA202"/>
  <c r="W202"/>
  <c r="N202"/>
  <c r="J202"/>
  <c r="H202"/>
  <c r="D202"/>
  <c r="C202"/>
  <c r="AA201"/>
  <c r="W201"/>
  <c r="N201"/>
  <c r="J201"/>
  <c r="H201"/>
  <c r="D201"/>
  <c r="C201"/>
  <c r="AA200"/>
  <c r="W200"/>
  <c r="N200"/>
  <c r="J200"/>
  <c r="H200"/>
  <c r="D200"/>
  <c r="C200"/>
  <c r="AA199"/>
  <c r="W199"/>
  <c r="N199"/>
  <c r="J199"/>
  <c r="H199"/>
  <c r="D199"/>
  <c r="C199"/>
  <c r="AA198"/>
  <c r="W198"/>
  <c r="N198"/>
  <c r="J198"/>
  <c r="H198"/>
  <c r="D198"/>
  <c r="C198"/>
  <c r="AA197"/>
  <c r="W197"/>
  <c r="N197"/>
  <c r="J197"/>
  <c r="H197"/>
  <c r="D197"/>
  <c r="C197"/>
  <c r="AA196"/>
  <c r="W196"/>
  <c r="N196"/>
  <c r="J196"/>
  <c r="H196"/>
  <c r="D196"/>
  <c r="C196"/>
  <c r="AA195"/>
  <c r="W195"/>
  <c r="N195"/>
  <c r="J195"/>
  <c r="H195"/>
  <c r="D195"/>
  <c r="C195"/>
  <c r="AA194"/>
  <c r="W194"/>
  <c r="N194"/>
  <c r="J194"/>
  <c r="H194"/>
  <c r="D194"/>
  <c r="C194"/>
  <c r="AA193"/>
  <c r="W193"/>
  <c r="N193"/>
  <c r="J193"/>
  <c r="H193"/>
  <c r="D193"/>
  <c r="C193"/>
  <c r="AA192"/>
  <c r="W192"/>
  <c r="N192"/>
  <c r="J192"/>
  <c r="H192"/>
  <c r="D192"/>
  <c r="C192"/>
  <c r="AA191"/>
  <c r="W191"/>
  <c r="N191"/>
  <c r="J191"/>
  <c r="H191"/>
  <c r="D191"/>
  <c r="C191"/>
  <c r="AA190"/>
  <c r="W190"/>
  <c r="N190"/>
  <c r="J190"/>
  <c r="H190"/>
  <c r="D190"/>
  <c r="C190"/>
  <c r="AA189"/>
  <c r="W189"/>
  <c r="N189"/>
  <c r="J189"/>
  <c r="H189"/>
  <c r="D189"/>
  <c r="C189"/>
  <c r="AA188"/>
  <c r="W188"/>
  <c r="T188"/>
  <c r="S188"/>
  <c r="P188"/>
  <c r="N188"/>
  <c r="J188"/>
  <c r="H188"/>
  <c r="D188"/>
  <c r="C188"/>
  <c r="AA187"/>
  <c r="W187"/>
  <c r="N187"/>
  <c r="J187"/>
  <c r="H187"/>
  <c r="D187"/>
  <c r="C187"/>
  <c r="AA186"/>
  <c r="W186"/>
  <c r="N186"/>
  <c r="J186"/>
  <c r="H186"/>
  <c r="D186"/>
  <c r="C186"/>
  <c r="AA185"/>
  <c r="W185"/>
  <c r="N185"/>
  <c r="J185"/>
  <c r="H185"/>
  <c r="D185"/>
  <c r="C185"/>
  <c r="AA184"/>
  <c r="W184"/>
  <c r="N184"/>
  <c r="J184"/>
  <c r="H184"/>
  <c r="D184"/>
  <c r="C184"/>
  <c r="AA183"/>
  <c r="W183"/>
  <c r="N183"/>
  <c r="J183"/>
  <c r="H183"/>
  <c r="D183"/>
  <c r="C183"/>
  <c r="AA182"/>
  <c r="W182"/>
  <c r="N182"/>
  <c r="J182"/>
  <c r="H182"/>
  <c r="D182"/>
  <c r="C182"/>
  <c r="AA181"/>
  <c r="W181"/>
  <c r="N181"/>
  <c r="J181"/>
  <c r="H181"/>
  <c r="D181"/>
  <c r="C181"/>
  <c r="AA180"/>
  <c r="W180"/>
  <c r="N180"/>
  <c r="J180"/>
  <c r="H180"/>
  <c r="D180"/>
  <c r="C180"/>
  <c r="AA179"/>
  <c r="W179"/>
  <c r="N179"/>
  <c r="J179"/>
  <c r="H179"/>
  <c r="D179"/>
  <c r="C179"/>
  <c r="AA178"/>
  <c r="W178"/>
  <c r="N178"/>
  <c r="J178"/>
  <c r="H178"/>
  <c r="D178"/>
  <c r="C178"/>
  <c r="AA177"/>
  <c r="W177"/>
  <c r="N177"/>
  <c r="J177"/>
  <c r="H177"/>
  <c r="D177"/>
  <c r="C177"/>
  <c r="AA176"/>
  <c r="W176"/>
  <c r="N176"/>
  <c r="J176"/>
  <c r="H176"/>
  <c r="D176"/>
  <c r="C176"/>
  <c r="AA175"/>
  <c r="W175"/>
  <c r="N175"/>
  <c r="J175"/>
  <c r="H175"/>
  <c r="D175"/>
  <c r="C175"/>
  <c r="AA174"/>
  <c r="W174"/>
  <c r="N174"/>
  <c r="J174"/>
  <c r="H174"/>
  <c r="D174"/>
  <c r="C174"/>
  <c r="AA173"/>
  <c r="W173"/>
  <c r="N173"/>
  <c r="J173"/>
  <c r="H173"/>
  <c r="D173"/>
  <c r="C173"/>
  <c r="AA172"/>
  <c r="W172"/>
  <c r="N172"/>
  <c r="J172"/>
  <c r="H172"/>
  <c r="D172"/>
  <c r="C172"/>
  <c r="AA171"/>
  <c r="W171"/>
  <c r="N171"/>
  <c r="J171"/>
  <c r="H171"/>
  <c r="D171"/>
  <c r="C171"/>
  <c r="AA170"/>
  <c r="W170"/>
  <c r="N170"/>
  <c r="J170"/>
  <c r="H170"/>
  <c r="D170"/>
  <c r="C170"/>
  <c r="AA169"/>
  <c r="W169"/>
  <c r="N169"/>
  <c r="J169"/>
  <c r="H169"/>
  <c r="D169"/>
  <c r="C169"/>
  <c r="AA168"/>
  <c r="W168"/>
  <c r="N168"/>
  <c r="J168"/>
  <c r="H168"/>
  <c r="D168"/>
  <c r="C168"/>
  <c r="AA167"/>
  <c r="W167"/>
  <c r="N167"/>
  <c r="J167"/>
  <c r="H167"/>
  <c r="D167"/>
  <c r="C167"/>
  <c r="AA166"/>
  <c r="W166"/>
  <c r="T166"/>
  <c r="S166"/>
  <c r="P166"/>
  <c r="N166"/>
  <c r="J166"/>
  <c r="H166"/>
  <c r="D166"/>
  <c r="C166"/>
  <c r="AA165"/>
  <c r="W165"/>
  <c r="N165"/>
  <c r="J165"/>
  <c r="H165"/>
  <c r="D165"/>
  <c r="C165"/>
  <c r="AA164"/>
  <c r="W164"/>
  <c r="N164"/>
  <c r="J164"/>
  <c r="H164"/>
  <c r="D164"/>
  <c r="C164"/>
  <c r="AA163"/>
  <c r="W163"/>
  <c r="N163"/>
  <c r="J163"/>
  <c r="H163"/>
  <c r="D163"/>
  <c r="C163"/>
  <c r="AA162"/>
  <c r="W162"/>
  <c r="N162"/>
  <c r="H162"/>
  <c r="D162"/>
  <c r="C162"/>
  <c r="AA161"/>
  <c r="W161"/>
  <c r="N161"/>
  <c r="J161"/>
  <c r="H161"/>
  <c r="D161"/>
  <c r="C161"/>
  <c r="AA160"/>
  <c r="W160"/>
  <c r="N160"/>
  <c r="J160"/>
  <c r="H160"/>
  <c r="D160"/>
  <c r="C160"/>
  <c r="AA159"/>
  <c r="W159"/>
  <c r="T159"/>
  <c r="S159"/>
  <c r="P159"/>
  <c r="N159"/>
  <c r="J159"/>
  <c r="H159"/>
  <c r="D159"/>
  <c r="C159"/>
  <c r="AA158"/>
  <c r="W158"/>
  <c r="N158"/>
  <c r="J158"/>
  <c r="H158"/>
  <c r="D158"/>
  <c r="C158"/>
  <c r="AA157"/>
  <c r="W157"/>
  <c r="N157"/>
  <c r="J157"/>
  <c r="H157"/>
  <c r="D157"/>
  <c r="C157"/>
  <c r="AA156"/>
  <c r="W156"/>
  <c r="N156"/>
  <c r="J156"/>
  <c r="H156"/>
  <c r="D156"/>
  <c r="C156"/>
  <c r="AA155"/>
  <c r="W155"/>
  <c r="N155"/>
  <c r="J155"/>
  <c r="H155"/>
  <c r="D155"/>
  <c r="C155"/>
  <c r="AA154"/>
  <c r="W154"/>
  <c r="N154"/>
  <c r="J154"/>
  <c r="H154"/>
  <c r="D154"/>
  <c r="C154"/>
  <c r="AA153"/>
  <c r="W153"/>
  <c r="N153"/>
  <c r="J153"/>
  <c r="H153"/>
  <c r="D153"/>
  <c r="C153"/>
  <c r="AA152"/>
  <c r="W152"/>
  <c r="N152"/>
  <c r="J152"/>
  <c r="H152"/>
  <c r="D152"/>
  <c r="C152"/>
  <c r="AA151"/>
  <c r="W151"/>
  <c r="T151"/>
  <c r="S151"/>
  <c r="P151"/>
  <c r="N151"/>
  <c r="J151"/>
  <c r="H151"/>
  <c r="D151"/>
  <c r="C151"/>
  <c r="AA150"/>
  <c r="W150"/>
  <c r="N150"/>
  <c r="J150"/>
  <c r="H150"/>
  <c r="D150"/>
  <c r="C150"/>
  <c r="AA149"/>
  <c r="W149"/>
  <c r="N149"/>
  <c r="J149"/>
  <c r="H149"/>
  <c r="D149"/>
  <c r="C149"/>
  <c r="AA148"/>
  <c r="W148"/>
  <c r="N148"/>
  <c r="J148"/>
  <c r="H148"/>
  <c r="D148"/>
  <c r="C148"/>
  <c r="AA147"/>
  <c r="W147"/>
  <c r="N147"/>
  <c r="J147"/>
  <c r="H147"/>
  <c r="D147"/>
  <c r="C147"/>
  <c r="AA146"/>
  <c r="W146"/>
  <c r="N146"/>
  <c r="J146"/>
  <c r="H146"/>
  <c r="D146"/>
  <c r="C146"/>
  <c r="AA145"/>
  <c r="W145"/>
  <c r="T145"/>
  <c r="S145"/>
  <c r="P145"/>
  <c r="N145"/>
  <c r="J145"/>
  <c r="H145"/>
  <c r="D145"/>
  <c r="C145"/>
  <c r="AA144"/>
  <c r="W144"/>
  <c r="N144"/>
  <c r="J144"/>
  <c r="H144"/>
  <c r="D144"/>
  <c r="C144"/>
  <c r="AA143"/>
  <c r="W143"/>
  <c r="T143"/>
  <c r="S143"/>
  <c r="P143"/>
  <c r="N143"/>
  <c r="J143"/>
  <c r="H143"/>
  <c r="D143"/>
  <c r="C143"/>
  <c r="AA142"/>
  <c r="W142"/>
  <c r="N142"/>
  <c r="J142"/>
  <c r="H142"/>
  <c r="D142"/>
  <c r="C142"/>
  <c r="AA141"/>
  <c r="W141"/>
  <c r="N141"/>
  <c r="J141"/>
  <c r="H141"/>
  <c r="D141"/>
  <c r="C141"/>
  <c r="AA140"/>
  <c r="W140"/>
  <c r="N140"/>
  <c r="J140"/>
  <c r="H140"/>
  <c r="D140"/>
  <c r="C140"/>
  <c r="AA139"/>
  <c r="W139"/>
  <c r="N139"/>
  <c r="J139"/>
  <c r="H139"/>
  <c r="D139"/>
  <c r="C139"/>
  <c r="AA138"/>
  <c r="W138"/>
  <c r="N138"/>
  <c r="J138"/>
  <c r="H138"/>
  <c r="D138"/>
  <c r="C138"/>
  <c r="AA137"/>
  <c r="W137"/>
  <c r="N137"/>
  <c r="J137"/>
  <c r="H137"/>
  <c r="D137"/>
  <c r="C137"/>
  <c r="AA136"/>
  <c r="W136"/>
  <c r="N136"/>
  <c r="J136"/>
  <c r="H136"/>
  <c r="D136"/>
  <c r="C136"/>
  <c r="AA135"/>
  <c r="W135"/>
  <c r="N135"/>
  <c r="J135"/>
  <c r="H135"/>
  <c r="D135"/>
  <c r="C135"/>
  <c r="AA134"/>
  <c r="W134"/>
  <c r="N134"/>
  <c r="J134"/>
  <c r="H134"/>
  <c r="D134"/>
  <c r="C134"/>
  <c r="AA133"/>
  <c r="W133"/>
  <c r="N133"/>
  <c r="J133"/>
  <c r="H133"/>
  <c r="D133"/>
  <c r="C133"/>
  <c r="AA132"/>
  <c r="W132"/>
  <c r="S132"/>
  <c r="P132"/>
  <c r="N132"/>
  <c r="J132"/>
  <c r="H132"/>
  <c r="D132"/>
  <c r="C132"/>
  <c r="AA131"/>
  <c r="W131"/>
  <c r="T131"/>
  <c r="S131"/>
  <c r="P131"/>
  <c r="N131"/>
  <c r="J131"/>
  <c r="H131"/>
  <c r="D131"/>
  <c r="C131"/>
  <c r="AA130"/>
  <c r="W130"/>
  <c r="N130"/>
  <c r="J130"/>
  <c r="H130"/>
  <c r="D130"/>
  <c r="C130"/>
  <c r="AA129"/>
  <c r="W129"/>
  <c r="N129"/>
  <c r="J129"/>
  <c r="H129"/>
  <c r="D129"/>
  <c r="C129"/>
  <c r="AA128"/>
  <c r="W128"/>
  <c r="N128"/>
  <c r="J128"/>
  <c r="H128"/>
  <c r="D128"/>
  <c r="C128"/>
  <c r="AA127"/>
  <c r="W127"/>
  <c r="T127"/>
  <c r="S127"/>
  <c r="P127"/>
  <c r="N127"/>
  <c r="J127"/>
  <c r="H127"/>
  <c r="D127"/>
  <c r="C127"/>
  <c r="AA126"/>
  <c r="W126"/>
  <c r="N126"/>
  <c r="J126"/>
  <c r="H126"/>
  <c r="D126"/>
  <c r="C126"/>
  <c r="AA125"/>
  <c r="W125"/>
  <c r="N125"/>
  <c r="J125"/>
  <c r="H125"/>
  <c r="D125"/>
  <c r="C125"/>
  <c r="AA124"/>
  <c r="W124"/>
  <c r="N124"/>
  <c r="J124"/>
  <c r="H124"/>
  <c r="D124"/>
  <c r="C124"/>
  <c r="AA123"/>
  <c r="W123"/>
  <c r="N123"/>
  <c r="J123"/>
  <c r="H123"/>
  <c r="D123"/>
  <c r="C123"/>
  <c r="AA122"/>
  <c r="W122"/>
  <c r="N122"/>
  <c r="J122"/>
  <c r="H122"/>
  <c r="D122"/>
  <c r="C122"/>
  <c r="AA121"/>
  <c r="W121"/>
  <c r="N121"/>
  <c r="J121"/>
  <c r="H121"/>
  <c r="D121"/>
  <c r="C121"/>
  <c r="AA120"/>
  <c r="W120"/>
  <c r="N120"/>
  <c r="J120"/>
  <c r="H120"/>
  <c r="D120"/>
  <c r="C120"/>
  <c r="AA119"/>
  <c r="W119"/>
  <c r="N119"/>
  <c r="J119"/>
  <c r="H119"/>
  <c r="D119"/>
  <c r="C119"/>
  <c r="AA118"/>
  <c r="W118"/>
  <c r="N118"/>
  <c r="H118"/>
  <c r="D118"/>
  <c r="C118"/>
  <c r="AA117"/>
  <c r="W117"/>
  <c r="N117"/>
  <c r="J117"/>
  <c r="H117"/>
  <c r="D117"/>
  <c r="C117"/>
  <c r="AA116"/>
  <c r="W116"/>
  <c r="N116"/>
  <c r="J116"/>
  <c r="H116"/>
  <c r="D116"/>
  <c r="C116"/>
  <c r="AA115"/>
  <c r="W115"/>
  <c r="N115"/>
  <c r="J115"/>
  <c r="H115"/>
  <c r="D115"/>
  <c r="C115"/>
  <c r="AA114"/>
  <c r="W114"/>
  <c r="N114"/>
  <c r="J114"/>
  <c r="H114"/>
  <c r="D114"/>
  <c r="C114"/>
  <c r="AA113"/>
  <c r="W113"/>
  <c r="T113"/>
  <c r="S113"/>
  <c r="P113"/>
  <c r="N113"/>
  <c r="J113"/>
  <c r="H113"/>
  <c r="D113"/>
  <c r="C113"/>
  <c r="AA112"/>
  <c r="W112"/>
  <c r="N112"/>
  <c r="J112"/>
  <c r="H112"/>
  <c r="D112"/>
  <c r="C112"/>
  <c r="AA111"/>
  <c r="W111"/>
  <c r="N111"/>
  <c r="J111"/>
  <c r="H111"/>
  <c r="D111"/>
  <c r="C111"/>
  <c r="AA110"/>
  <c r="W110"/>
  <c r="N110"/>
  <c r="J110"/>
  <c r="H110"/>
  <c r="D110"/>
  <c r="C110"/>
  <c r="AA109"/>
  <c r="W109"/>
  <c r="N109"/>
  <c r="J109"/>
  <c r="H109"/>
  <c r="D109"/>
  <c r="C109"/>
  <c r="AA108"/>
  <c r="W108"/>
  <c r="N108"/>
  <c r="J108"/>
  <c r="H108"/>
  <c r="D108"/>
  <c r="C108"/>
  <c r="AA107"/>
  <c r="W107"/>
  <c r="T107"/>
  <c r="S107"/>
  <c r="P107"/>
  <c r="N107"/>
  <c r="J107"/>
  <c r="H107"/>
  <c r="D107"/>
  <c r="C107"/>
  <c r="AA106"/>
  <c r="W106"/>
  <c r="N106"/>
  <c r="J106"/>
  <c r="H106"/>
  <c r="D106"/>
  <c r="C106"/>
  <c r="AA105"/>
  <c r="W105"/>
  <c r="N105"/>
  <c r="J105"/>
  <c r="H105"/>
  <c r="D105"/>
  <c r="C105"/>
  <c r="AA104"/>
  <c r="W104"/>
  <c r="N104"/>
  <c r="J104"/>
  <c r="H104"/>
  <c r="D104"/>
  <c r="C104"/>
  <c r="AA103"/>
  <c r="W103"/>
  <c r="N103"/>
  <c r="J103"/>
  <c r="H103"/>
  <c r="D103"/>
  <c r="C103"/>
  <c r="AA102"/>
  <c r="W102"/>
  <c r="N102"/>
  <c r="J102"/>
  <c r="H102"/>
  <c r="D102"/>
  <c r="C102"/>
  <c r="AA101"/>
  <c r="W101"/>
  <c r="N101"/>
  <c r="H101"/>
  <c r="D101"/>
  <c r="C101"/>
  <c r="AA100"/>
  <c r="W100"/>
  <c r="N100"/>
  <c r="J100"/>
  <c r="H100"/>
  <c r="D100"/>
  <c r="C100"/>
  <c r="AA99"/>
  <c r="W99"/>
  <c r="N99"/>
  <c r="J99"/>
  <c r="H99"/>
  <c r="D99"/>
  <c r="C99"/>
  <c r="AA98"/>
  <c r="W98"/>
  <c r="N98"/>
  <c r="J98"/>
  <c r="H98"/>
  <c r="D98"/>
  <c r="C98"/>
  <c r="AA97"/>
  <c r="W97"/>
  <c r="N97"/>
  <c r="J97"/>
  <c r="H97"/>
  <c r="D97"/>
  <c r="C97"/>
  <c r="AA96"/>
  <c r="W96"/>
  <c r="N96"/>
  <c r="J96"/>
  <c r="H96"/>
  <c r="D96"/>
  <c r="C96"/>
  <c r="AA95"/>
  <c r="W95"/>
  <c r="N95"/>
  <c r="J95"/>
  <c r="H95"/>
  <c r="D95"/>
  <c r="C95"/>
  <c r="AA94"/>
  <c r="W94"/>
  <c r="N94"/>
  <c r="J94"/>
  <c r="H94"/>
  <c r="D94"/>
  <c r="C94"/>
  <c r="AA93"/>
  <c r="W93"/>
  <c r="N93"/>
  <c r="J93"/>
  <c r="H93"/>
  <c r="D93"/>
  <c r="C93"/>
  <c r="AA92"/>
  <c r="W92"/>
  <c r="N92"/>
  <c r="J92"/>
  <c r="H92"/>
  <c r="D92"/>
  <c r="C92"/>
  <c r="AA91"/>
  <c r="W91"/>
  <c r="S91"/>
  <c r="P91"/>
  <c r="N91"/>
  <c r="J91"/>
  <c r="H91"/>
  <c r="D91"/>
  <c r="C91"/>
  <c r="AA90"/>
  <c r="W90"/>
  <c r="N90"/>
  <c r="J90"/>
  <c r="H90"/>
  <c r="D90"/>
  <c r="C90"/>
  <c r="AA89"/>
  <c r="W89"/>
  <c r="N89"/>
  <c r="J89"/>
  <c r="H89"/>
  <c r="D89"/>
  <c r="C89"/>
  <c r="AA88"/>
  <c r="W88"/>
  <c r="N88"/>
  <c r="J88"/>
  <c r="H88"/>
  <c r="D88"/>
  <c r="C88"/>
  <c r="AA87"/>
  <c r="W87"/>
  <c r="N87"/>
  <c r="J87"/>
  <c r="H87"/>
  <c r="D87"/>
  <c r="C87"/>
  <c r="AA86"/>
  <c r="W86"/>
  <c r="N86"/>
  <c r="J86"/>
  <c r="H86"/>
  <c r="D86"/>
  <c r="C86"/>
  <c r="AA85"/>
  <c r="W85"/>
  <c r="N85"/>
  <c r="J85"/>
  <c r="H85"/>
  <c r="D85"/>
  <c r="C85"/>
  <c r="AA84"/>
  <c r="W84"/>
  <c r="N84"/>
  <c r="J84"/>
  <c r="H84"/>
  <c r="D84"/>
  <c r="C84"/>
  <c r="AA83"/>
  <c r="W83"/>
  <c r="T83"/>
  <c r="S83"/>
  <c r="P83"/>
  <c r="N83"/>
  <c r="J83"/>
  <c r="H83"/>
  <c r="D83"/>
  <c r="C83"/>
  <c r="AA82"/>
  <c r="W82"/>
  <c r="N82"/>
  <c r="J82"/>
  <c r="H82"/>
  <c r="D82"/>
  <c r="C82"/>
  <c r="AA81"/>
  <c r="W81"/>
  <c r="N81"/>
  <c r="H81"/>
  <c r="D81"/>
  <c r="C81"/>
  <c r="AA80"/>
  <c r="W80"/>
  <c r="N80"/>
  <c r="J80"/>
  <c r="H80"/>
  <c r="D80"/>
  <c r="C80"/>
  <c r="AA79"/>
  <c r="W79"/>
  <c r="N79"/>
  <c r="J79"/>
  <c r="H79"/>
  <c r="D79"/>
  <c r="C79"/>
  <c r="AA78"/>
  <c r="W78"/>
  <c r="N78"/>
  <c r="J78"/>
  <c r="H78"/>
  <c r="D78"/>
  <c r="C78"/>
  <c r="AA77"/>
  <c r="W77"/>
  <c r="N77"/>
  <c r="J77"/>
  <c r="H77"/>
  <c r="D77"/>
  <c r="C77"/>
  <c r="AA76"/>
  <c r="W76"/>
  <c r="N76"/>
  <c r="J76"/>
  <c r="H76"/>
  <c r="D76"/>
  <c r="C76"/>
  <c r="AA75"/>
  <c r="W75"/>
  <c r="T75"/>
  <c r="S75"/>
  <c r="P75"/>
  <c r="N75"/>
  <c r="J75"/>
  <c r="H75"/>
  <c r="D75"/>
  <c r="C75"/>
  <c r="AA74"/>
  <c r="W74"/>
  <c r="N74"/>
  <c r="J74"/>
  <c r="H74"/>
  <c r="D74"/>
  <c r="C74"/>
  <c r="AA73"/>
  <c r="W73"/>
  <c r="N73"/>
  <c r="J73"/>
  <c r="H73"/>
  <c r="D73"/>
  <c r="C73"/>
  <c r="AA72"/>
  <c r="W72"/>
  <c r="N72"/>
  <c r="J72"/>
  <c r="H72"/>
  <c r="D72"/>
  <c r="C72"/>
  <c r="AA71"/>
  <c r="W71"/>
  <c r="N71"/>
  <c r="J71"/>
  <c r="H71"/>
  <c r="D71"/>
  <c r="C71"/>
  <c r="AA70"/>
  <c r="W70"/>
  <c r="N70"/>
  <c r="J70"/>
  <c r="H70"/>
  <c r="D70"/>
  <c r="C70"/>
  <c r="AA69"/>
  <c r="W69"/>
  <c r="N69"/>
  <c r="J69"/>
  <c r="H69"/>
  <c r="D69"/>
  <c r="C69"/>
  <c r="V319" l="1"/>
  <c r="T319"/>
  <c r="DM243" i="1"/>
  <c r="DL243"/>
  <c r="DK243"/>
  <c r="DJ243"/>
  <c r="CM243"/>
  <c r="CH243"/>
  <c r="CA243"/>
  <c r="BJ243"/>
  <c r="CL243" s="1"/>
  <c r="BH243"/>
  <c r="BD243"/>
  <c r="AZ243"/>
  <c r="CU243" l="1"/>
  <c r="L239" i="42"/>
  <c r="P319" i="52"/>
  <c r="AQ243" i="1"/>
  <c r="AO243"/>
  <c r="T267" i="43" s="1"/>
  <c r="AC243" i="1"/>
  <c r="T243"/>
  <c r="Q243"/>
  <c r="V270" i="52" l="1"/>
  <c r="U267" i="43"/>
  <c r="T270" i="52"/>
  <c r="R264" i="45"/>
  <c r="V243" i="1"/>
  <c r="P270" i="52"/>
  <c r="X319"/>
  <c r="AT243" i="1"/>
  <c r="W243" l="1"/>
  <c r="CQ243"/>
  <c r="X270" i="52"/>
  <c r="AA443"/>
  <c r="AA442"/>
  <c r="AA441"/>
  <c r="AA440"/>
  <c r="AA439"/>
  <c r="AA438"/>
  <c r="AA437"/>
  <c r="AA436"/>
  <c r="AA435"/>
  <c r="AA434"/>
  <c r="AA433"/>
  <c r="AA432"/>
  <c r="AA431"/>
  <c r="AA430"/>
  <c r="AA429"/>
  <c r="AA428"/>
  <c r="AA427"/>
  <c r="AA426"/>
  <c r="AA425"/>
  <c r="AA424"/>
  <c r="AA423"/>
  <c r="AA422"/>
  <c r="AA421"/>
  <c r="AA420"/>
  <c r="AA419"/>
  <c r="AA418"/>
  <c r="AA417"/>
  <c r="AA416"/>
  <c r="AA415"/>
  <c r="AA414"/>
  <c r="AA413"/>
  <c r="AA412"/>
  <c r="AA411"/>
  <c r="AA410"/>
  <c r="AA409"/>
  <c r="AA408"/>
  <c r="AA407"/>
  <c r="AA406"/>
  <c r="AA405"/>
  <c r="AA404"/>
  <c r="AA403"/>
  <c r="AA402"/>
  <c r="AA401"/>
  <c r="AA400"/>
  <c r="AA399"/>
  <c r="AA398"/>
  <c r="AA397"/>
  <c r="AA396"/>
  <c r="AA395"/>
  <c r="AA394"/>
  <c r="AA393"/>
  <c r="AA392"/>
  <c r="AA391"/>
  <c r="AA390"/>
  <c r="AA389"/>
  <c r="AA388"/>
  <c r="AA387"/>
  <c r="AA386"/>
  <c r="AA385"/>
  <c r="AA384"/>
  <c r="AA383"/>
  <c r="AA382"/>
  <c r="AA381"/>
  <c r="AA380"/>
  <c r="AA379"/>
  <c r="AA378"/>
  <c r="AA377"/>
  <c r="AA376"/>
  <c r="AA375"/>
  <c r="AA374"/>
  <c r="AA373"/>
  <c r="AA372"/>
  <c r="AA371"/>
  <c r="AA370"/>
  <c r="AA369"/>
  <c r="AA368"/>
  <c r="AA367"/>
  <c r="AA366"/>
  <c r="AA365"/>
  <c r="AA364"/>
  <c r="AA363"/>
  <c r="AA362"/>
  <c r="AA361"/>
  <c r="AA360"/>
  <c r="AA359"/>
  <c r="AA358"/>
  <c r="AA357"/>
  <c r="AA356"/>
  <c r="AA355"/>
  <c r="AA354"/>
  <c r="AA353"/>
  <c r="AA352"/>
  <c r="AA68"/>
  <c r="AA336" s="1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AA39"/>
  <c r="AA38"/>
  <c r="AA37"/>
  <c r="AA36"/>
  <c r="AA35"/>
  <c r="AA34"/>
  <c r="AA33"/>
  <c r="AA14"/>
  <c r="AH443"/>
  <c r="W443"/>
  <c r="N443"/>
  <c r="J443"/>
  <c r="H443"/>
  <c r="D443"/>
  <c r="C443"/>
  <c r="AH442"/>
  <c r="W442"/>
  <c r="N442"/>
  <c r="J442"/>
  <c r="H442"/>
  <c r="D442"/>
  <c r="C442"/>
  <c r="AH441"/>
  <c r="W441"/>
  <c r="N441"/>
  <c r="J441"/>
  <c r="H441"/>
  <c r="D441"/>
  <c r="C441"/>
  <c r="AH440"/>
  <c r="W440"/>
  <c r="N440"/>
  <c r="J440"/>
  <c r="H440"/>
  <c r="D440"/>
  <c r="C440"/>
  <c r="AH439"/>
  <c r="W439"/>
  <c r="N439"/>
  <c r="J439"/>
  <c r="H439"/>
  <c r="D439"/>
  <c r="C439"/>
  <c r="AH438"/>
  <c r="W438"/>
  <c r="N438"/>
  <c r="J438"/>
  <c r="H438"/>
  <c r="D438"/>
  <c r="C438"/>
  <c r="AH437"/>
  <c r="W437"/>
  <c r="N437"/>
  <c r="J437"/>
  <c r="H437"/>
  <c r="D437"/>
  <c r="C437"/>
  <c r="AH436"/>
  <c r="W436"/>
  <c r="N436"/>
  <c r="J436"/>
  <c r="H436"/>
  <c r="D436"/>
  <c r="C436"/>
  <c r="AH435"/>
  <c r="W435"/>
  <c r="N435"/>
  <c r="J435"/>
  <c r="H435"/>
  <c r="D435"/>
  <c r="C435"/>
  <c r="AH434"/>
  <c r="W434"/>
  <c r="N434"/>
  <c r="J434"/>
  <c r="H434"/>
  <c r="D434"/>
  <c r="C434"/>
  <c r="AH433"/>
  <c r="W433"/>
  <c r="N433"/>
  <c r="J433"/>
  <c r="H433"/>
  <c r="D433"/>
  <c r="C433"/>
  <c r="AH432"/>
  <c r="W432"/>
  <c r="N432"/>
  <c r="J432"/>
  <c r="H432"/>
  <c r="D432"/>
  <c r="C432"/>
  <c r="AH431"/>
  <c r="W431"/>
  <c r="N431"/>
  <c r="J431"/>
  <c r="H431"/>
  <c r="D431"/>
  <c r="C431"/>
  <c r="AH430"/>
  <c r="W430"/>
  <c r="N430"/>
  <c r="J430"/>
  <c r="H430"/>
  <c r="D430"/>
  <c r="C430"/>
  <c r="AH429"/>
  <c r="W429"/>
  <c r="N429"/>
  <c r="J429"/>
  <c r="H429"/>
  <c r="D429"/>
  <c r="C429"/>
  <c r="AH428"/>
  <c r="W428"/>
  <c r="N428"/>
  <c r="J428"/>
  <c r="H428"/>
  <c r="D428"/>
  <c r="C428"/>
  <c r="AH427"/>
  <c r="W427"/>
  <c r="N427"/>
  <c r="H427"/>
  <c r="D427"/>
  <c r="C427"/>
  <c r="AH426"/>
  <c r="W426"/>
  <c r="N426"/>
  <c r="J426"/>
  <c r="H426"/>
  <c r="D426"/>
  <c r="C426"/>
  <c r="AH425"/>
  <c r="W425"/>
  <c r="N425"/>
  <c r="J425"/>
  <c r="H425"/>
  <c r="D425"/>
  <c r="C425"/>
  <c r="AH424"/>
  <c r="W424"/>
  <c r="N424"/>
  <c r="J424"/>
  <c r="H424"/>
  <c r="D424"/>
  <c r="C424"/>
  <c r="AH423"/>
  <c r="W423"/>
  <c r="N423"/>
  <c r="J423"/>
  <c r="H423"/>
  <c r="D423"/>
  <c r="C423"/>
  <c r="AH422"/>
  <c r="W422"/>
  <c r="N422"/>
  <c r="J422"/>
  <c r="H422"/>
  <c r="D422"/>
  <c r="C422"/>
  <c r="AH421"/>
  <c r="W421"/>
  <c r="N421"/>
  <c r="J421"/>
  <c r="H421"/>
  <c r="D421"/>
  <c r="C421"/>
  <c r="AH420"/>
  <c r="W420"/>
  <c r="N420"/>
  <c r="J420"/>
  <c r="H420"/>
  <c r="D420"/>
  <c r="C420"/>
  <c r="AH419"/>
  <c r="W419"/>
  <c r="N419"/>
  <c r="J419"/>
  <c r="H419"/>
  <c r="D419"/>
  <c r="C419"/>
  <c r="AH418"/>
  <c r="W418"/>
  <c r="N418"/>
  <c r="J418"/>
  <c r="H418"/>
  <c r="D418"/>
  <c r="C418"/>
  <c r="AH417"/>
  <c r="W417"/>
  <c r="N417"/>
  <c r="J417"/>
  <c r="H417"/>
  <c r="D417"/>
  <c r="C417"/>
  <c r="AH416"/>
  <c r="W416"/>
  <c r="N416"/>
  <c r="J416"/>
  <c r="H416"/>
  <c r="D416"/>
  <c r="C416"/>
  <c r="AH415"/>
  <c r="W415"/>
  <c r="N415"/>
  <c r="J415"/>
  <c r="H415"/>
  <c r="D415"/>
  <c r="C415"/>
  <c r="AH414"/>
  <c r="W414"/>
  <c r="N414"/>
  <c r="J414"/>
  <c r="H414"/>
  <c r="D414"/>
  <c r="C414"/>
  <c r="AH413"/>
  <c r="W413"/>
  <c r="N413"/>
  <c r="J413"/>
  <c r="H413"/>
  <c r="D413"/>
  <c r="C413"/>
  <c r="AH412"/>
  <c r="W412"/>
  <c r="N412"/>
  <c r="J412"/>
  <c r="H412"/>
  <c r="D412"/>
  <c r="C412"/>
  <c r="AH411"/>
  <c r="W411"/>
  <c r="N411"/>
  <c r="J411"/>
  <c r="H411"/>
  <c r="D411"/>
  <c r="C411"/>
  <c r="AH410"/>
  <c r="W410"/>
  <c r="N410"/>
  <c r="J410"/>
  <c r="H410"/>
  <c r="D410"/>
  <c r="C410"/>
  <c r="AH409"/>
  <c r="W409"/>
  <c r="N409"/>
  <c r="J409"/>
  <c r="H409"/>
  <c r="D409"/>
  <c r="C409"/>
  <c r="AH408"/>
  <c r="W408"/>
  <c r="N408"/>
  <c r="J408"/>
  <c r="H408"/>
  <c r="D408"/>
  <c r="C408"/>
  <c r="AH407"/>
  <c r="W407"/>
  <c r="N407"/>
  <c r="J407"/>
  <c r="H407"/>
  <c r="D407"/>
  <c r="C407"/>
  <c r="AH406"/>
  <c r="W406"/>
  <c r="N406"/>
  <c r="J406"/>
  <c r="H406"/>
  <c r="D406"/>
  <c r="C406"/>
  <c r="AH405"/>
  <c r="W405"/>
  <c r="N405"/>
  <c r="J405"/>
  <c r="H405"/>
  <c r="D405"/>
  <c r="C405"/>
  <c r="AH404"/>
  <c r="W404"/>
  <c r="N404"/>
  <c r="J404"/>
  <c r="H404"/>
  <c r="D404"/>
  <c r="C404"/>
  <c r="AH403"/>
  <c r="W403"/>
  <c r="N403"/>
  <c r="J403"/>
  <c r="H403"/>
  <c r="D403"/>
  <c r="C403"/>
  <c r="AH402"/>
  <c r="W402"/>
  <c r="N402"/>
  <c r="J402"/>
  <c r="H402"/>
  <c r="D402"/>
  <c r="C402"/>
  <c r="AH401"/>
  <c r="W401"/>
  <c r="N401"/>
  <c r="J401"/>
  <c r="H401"/>
  <c r="D401"/>
  <c r="C401"/>
  <c r="AH400"/>
  <c r="W400"/>
  <c r="N400"/>
  <c r="J400"/>
  <c r="H400"/>
  <c r="D400"/>
  <c r="C400"/>
  <c r="AH399"/>
  <c r="W399"/>
  <c r="N399"/>
  <c r="J399"/>
  <c r="H399"/>
  <c r="D399"/>
  <c r="C399"/>
  <c r="AH398"/>
  <c r="W398"/>
  <c r="N398"/>
  <c r="J398"/>
  <c r="H398"/>
  <c r="D398"/>
  <c r="C398"/>
  <c r="AH397"/>
  <c r="W397"/>
  <c r="N397"/>
  <c r="J397"/>
  <c r="H397"/>
  <c r="D397"/>
  <c r="C397"/>
  <c r="AH396"/>
  <c r="W396"/>
  <c r="N396"/>
  <c r="J396"/>
  <c r="H396"/>
  <c r="D396"/>
  <c r="C396"/>
  <c r="AH395"/>
  <c r="W395"/>
  <c r="N395"/>
  <c r="J395"/>
  <c r="H395"/>
  <c r="D395"/>
  <c r="C395"/>
  <c r="AH394"/>
  <c r="W394"/>
  <c r="N394"/>
  <c r="J394"/>
  <c r="H394"/>
  <c r="D394"/>
  <c r="C394"/>
  <c r="AH393"/>
  <c r="W393"/>
  <c r="N393"/>
  <c r="J393"/>
  <c r="H393"/>
  <c r="D393"/>
  <c r="C393"/>
  <c r="AH392"/>
  <c r="W392"/>
  <c r="N392"/>
  <c r="J392"/>
  <c r="H392"/>
  <c r="D392"/>
  <c r="C392"/>
  <c r="AH391"/>
  <c r="W391"/>
  <c r="N391"/>
  <c r="J391"/>
  <c r="H391"/>
  <c r="D391"/>
  <c r="C391"/>
  <c r="AH390"/>
  <c r="W390"/>
  <c r="N390"/>
  <c r="J390"/>
  <c r="H390"/>
  <c r="D390"/>
  <c r="C390"/>
  <c r="AH389"/>
  <c r="W389"/>
  <c r="N389"/>
  <c r="J389"/>
  <c r="H389"/>
  <c r="D389"/>
  <c r="C389"/>
  <c r="AH388"/>
  <c r="W388"/>
  <c r="N388"/>
  <c r="J388"/>
  <c r="H388"/>
  <c r="D388"/>
  <c r="C388"/>
  <c r="AH387"/>
  <c r="W387"/>
  <c r="N387"/>
  <c r="J387"/>
  <c r="H387"/>
  <c r="D387"/>
  <c r="C387"/>
  <c r="AH386"/>
  <c r="W386"/>
  <c r="N386"/>
  <c r="J386"/>
  <c r="H386"/>
  <c r="D386"/>
  <c r="C386"/>
  <c r="AH385"/>
  <c r="W385"/>
  <c r="N385"/>
  <c r="J385"/>
  <c r="H385"/>
  <c r="D385"/>
  <c r="C385"/>
  <c r="AH384"/>
  <c r="W384"/>
  <c r="N384"/>
  <c r="J384"/>
  <c r="H384"/>
  <c r="D384"/>
  <c r="C384"/>
  <c r="AH383"/>
  <c r="W383"/>
  <c r="N383"/>
  <c r="J383"/>
  <c r="H383"/>
  <c r="D383"/>
  <c r="C383"/>
  <c r="AH382"/>
  <c r="W382"/>
  <c r="N382"/>
  <c r="J382"/>
  <c r="H382"/>
  <c r="D382"/>
  <c r="C382"/>
  <c r="AH381"/>
  <c r="W381"/>
  <c r="N381"/>
  <c r="J381"/>
  <c r="H381"/>
  <c r="D381"/>
  <c r="C381"/>
  <c r="AH380"/>
  <c r="W380"/>
  <c r="N380"/>
  <c r="J380"/>
  <c r="H380"/>
  <c r="D380"/>
  <c r="C380"/>
  <c r="AH379"/>
  <c r="W379"/>
  <c r="N379"/>
  <c r="J379"/>
  <c r="H379"/>
  <c r="D379"/>
  <c r="C379"/>
  <c r="AH378"/>
  <c r="W378"/>
  <c r="N378"/>
  <c r="J378"/>
  <c r="H378"/>
  <c r="D378"/>
  <c r="C378"/>
  <c r="AH377"/>
  <c r="W377"/>
  <c r="N377"/>
  <c r="J377"/>
  <c r="H377"/>
  <c r="D377"/>
  <c r="C377"/>
  <c r="AH376"/>
  <c r="W376"/>
  <c r="N376"/>
  <c r="J376"/>
  <c r="H376"/>
  <c r="D376"/>
  <c r="C376"/>
  <c r="AH375"/>
  <c r="W375"/>
  <c r="N375"/>
  <c r="J375"/>
  <c r="H375"/>
  <c r="D375"/>
  <c r="C375"/>
  <c r="AH374"/>
  <c r="W374"/>
  <c r="N374"/>
  <c r="J374"/>
  <c r="H374"/>
  <c r="D374"/>
  <c r="C374"/>
  <c r="AH373"/>
  <c r="W373"/>
  <c r="N373"/>
  <c r="J373"/>
  <c r="H373"/>
  <c r="D373"/>
  <c r="C373"/>
  <c r="AH372"/>
  <c r="W372"/>
  <c r="N372"/>
  <c r="J372"/>
  <c r="H372"/>
  <c r="D372"/>
  <c r="C372"/>
  <c r="AH371"/>
  <c r="W371"/>
  <c r="N371"/>
  <c r="J371"/>
  <c r="H371"/>
  <c r="D371"/>
  <c r="C371"/>
  <c r="AH370"/>
  <c r="W370"/>
  <c r="N370"/>
  <c r="J370"/>
  <c r="H370"/>
  <c r="D370"/>
  <c r="C370"/>
  <c r="AH369"/>
  <c r="W369"/>
  <c r="N369"/>
  <c r="J369"/>
  <c r="H369"/>
  <c r="D369"/>
  <c r="C369"/>
  <c r="AH368"/>
  <c r="W368"/>
  <c r="N368"/>
  <c r="J368"/>
  <c r="H368"/>
  <c r="D368"/>
  <c r="C368"/>
  <c r="AH367"/>
  <c r="W367"/>
  <c r="N367"/>
  <c r="J367"/>
  <c r="H367"/>
  <c r="D367"/>
  <c r="C367"/>
  <c r="AH366"/>
  <c r="W366"/>
  <c r="N366"/>
  <c r="J366"/>
  <c r="H366"/>
  <c r="D366"/>
  <c r="C366"/>
  <c r="AH365"/>
  <c r="W365"/>
  <c r="N365"/>
  <c r="J365"/>
  <c r="H365"/>
  <c r="D365"/>
  <c r="C365"/>
  <c r="AH364"/>
  <c r="W364"/>
  <c r="N364"/>
  <c r="J364"/>
  <c r="H364"/>
  <c r="D364"/>
  <c r="C364"/>
  <c r="AH363"/>
  <c r="W363"/>
  <c r="N363"/>
  <c r="J363"/>
  <c r="H363"/>
  <c r="D363"/>
  <c r="C363"/>
  <c r="AH362"/>
  <c r="W362"/>
  <c r="N362"/>
  <c r="J362"/>
  <c r="H362"/>
  <c r="D362"/>
  <c r="C362"/>
  <c r="AH361"/>
  <c r="W361"/>
  <c r="N361"/>
  <c r="J361"/>
  <c r="H361"/>
  <c r="D361"/>
  <c r="C361"/>
  <c r="AH360"/>
  <c r="W360"/>
  <c r="N360"/>
  <c r="J360"/>
  <c r="H360"/>
  <c r="D360"/>
  <c r="C360"/>
  <c r="AH359"/>
  <c r="W359"/>
  <c r="N359"/>
  <c r="J359"/>
  <c r="H359"/>
  <c r="D359"/>
  <c r="C359"/>
  <c r="AH358"/>
  <c r="W358"/>
  <c r="N358"/>
  <c r="J358"/>
  <c r="H358"/>
  <c r="D358"/>
  <c r="C358"/>
  <c r="AH357"/>
  <c r="W357"/>
  <c r="N357"/>
  <c r="J357"/>
  <c r="H357"/>
  <c r="D357"/>
  <c r="C357"/>
  <c r="AH356"/>
  <c r="W356"/>
  <c r="N356"/>
  <c r="J356"/>
  <c r="H356"/>
  <c r="D356"/>
  <c r="C356"/>
  <c r="AH355"/>
  <c r="W355"/>
  <c r="N355"/>
  <c r="J355"/>
  <c r="H355"/>
  <c r="D355"/>
  <c r="C355"/>
  <c r="AH354"/>
  <c r="W354"/>
  <c r="N354"/>
  <c r="J354"/>
  <c r="H354"/>
  <c r="D354"/>
  <c r="C354"/>
  <c r="AH353"/>
  <c r="W353"/>
  <c r="N353"/>
  <c r="J353"/>
  <c r="I353"/>
  <c r="H353"/>
  <c r="D353"/>
  <c r="C353"/>
  <c r="AH352"/>
  <c r="W352"/>
  <c r="N352"/>
  <c r="H352"/>
  <c r="D352"/>
  <c r="C352"/>
  <c r="AH335"/>
  <c r="AH333"/>
  <c r="AH332"/>
  <c r="AH331"/>
  <c r="AH330"/>
  <c r="AH329"/>
  <c r="AH328"/>
  <c r="AH327"/>
  <c r="AH326"/>
  <c r="AH325"/>
  <c r="AH324"/>
  <c r="AH323"/>
  <c r="AH322"/>
  <c r="AH321"/>
  <c r="AH320"/>
  <c r="AH319"/>
  <c r="AH318"/>
  <c r="AH317"/>
  <c r="AH316"/>
  <c r="AH315"/>
  <c r="AH314"/>
  <c r="AH313"/>
  <c r="AH312"/>
  <c r="AH311"/>
  <c r="AH310"/>
  <c r="AH309"/>
  <c r="AH308"/>
  <c r="AH307"/>
  <c r="AH306"/>
  <c r="AH305"/>
  <c r="AH304"/>
  <c r="AH303"/>
  <c r="AH302"/>
  <c r="AH301"/>
  <c r="AH300"/>
  <c r="AH299"/>
  <c r="AH298"/>
  <c r="AH297"/>
  <c r="AH296"/>
  <c r="AH295"/>
  <c r="AH294"/>
  <c r="AH293"/>
  <c r="AH292"/>
  <c r="AH291"/>
  <c r="AH290"/>
  <c r="AH289"/>
  <c r="AH288"/>
  <c r="AH287"/>
  <c r="AH286"/>
  <c r="AH285"/>
  <c r="AH284"/>
  <c r="AH283"/>
  <c r="AH282"/>
  <c r="AH281"/>
  <c r="AH280"/>
  <c r="AH279"/>
  <c r="AH278"/>
  <c r="AH277"/>
  <c r="AH276"/>
  <c r="AH275"/>
  <c r="AH274"/>
  <c r="AH273"/>
  <c r="AH272"/>
  <c r="AH271"/>
  <c r="AH270"/>
  <c r="AH269"/>
  <c r="AH268"/>
  <c r="AH267"/>
  <c r="AH266"/>
  <c r="AH265"/>
  <c r="AH264"/>
  <c r="AH263"/>
  <c r="AH262"/>
  <c r="AH261"/>
  <c r="AH260"/>
  <c r="AH259"/>
  <c r="AH258"/>
  <c r="AH257"/>
  <c r="AH256"/>
  <c r="AH255"/>
  <c r="AH254"/>
  <c r="AH253"/>
  <c r="AH252"/>
  <c r="AH251"/>
  <c r="AH250"/>
  <c r="AH249"/>
  <c r="AH248"/>
  <c r="AH247"/>
  <c r="AH246"/>
  <c r="AH245"/>
  <c r="AH244"/>
  <c r="AH243"/>
  <c r="AH242"/>
  <c r="AH241"/>
  <c r="AH240"/>
  <c r="AH239"/>
  <c r="AH238"/>
  <c r="AH237"/>
  <c r="AH236"/>
  <c r="AH235"/>
  <c r="AH234"/>
  <c r="AH233"/>
  <c r="AH232"/>
  <c r="AH231"/>
  <c r="AH230"/>
  <c r="AH229"/>
  <c r="AH228"/>
  <c r="AH227"/>
  <c r="AH226"/>
  <c r="AH225"/>
  <c r="AH224"/>
  <c r="AH223"/>
  <c r="AH222"/>
  <c r="AH221"/>
  <c r="AH220"/>
  <c r="AH219"/>
  <c r="AH218"/>
  <c r="AH217"/>
  <c r="AH216"/>
  <c r="AH215"/>
  <c r="AH214"/>
  <c r="AH213"/>
  <c r="AH212"/>
  <c r="AH211"/>
  <c r="AH210"/>
  <c r="AH209"/>
  <c r="AH208"/>
  <c r="AH207"/>
  <c r="AH206"/>
  <c r="AH205"/>
  <c r="AH204"/>
  <c r="AH203"/>
  <c r="AH202"/>
  <c r="AH201"/>
  <c r="AH200"/>
  <c r="AH199"/>
  <c r="AH198"/>
  <c r="AH197"/>
  <c r="AH196"/>
  <c r="AH195"/>
  <c r="AH194"/>
  <c r="AH193"/>
  <c r="AH192"/>
  <c r="AH191"/>
  <c r="AH190"/>
  <c r="AH189"/>
  <c r="AH188"/>
  <c r="AH187"/>
  <c r="AH186"/>
  <c r="AH185"/>
  <c r="AH184"/>
  <c r="AH183"/>
  <c r="AH182"/>
  <c r="AH181"/>
  <c r="AH180"/>
  <c r="AH179"/>
  <c r="AH178"/>
  <c r="AH177"/>
  <c r="AH176"/>
  <c r="AH175"/>
  <c r="AH174"/>
  <c r="AH173"/>
  <c r="AH172"/>
  <c r="AH171"/>
  <c r="AH170"/>
  <c r="AH169"/>
  <c r="AH168"/>
  <c r="AH167"/>
  <c r="AH166"/>
  <c r="AH165"/>
  <c r="AH164"/>
  <c r="AH163"/>
  <c r="AH162"/>
  <c r="AH161"/>
  <c r="AH160"/>
  <c r="AH159"/>
  <c r="AH158"/>
  <c r="AH157"/>
  <c r="AH156"/>
  <c r="AH155"/>
  <c r="AH154"/>
  <c r="AH153"/>
  <c r="AH152"/>
  <c r="AH151"/>
  <c r="AH150"/>
  <c r="AH149"/>
  <c r="AH148"/>
  <c r="AH147"/>
  <c r="AH146"/>
  <c r="AH145"/>
  <c r="AH144"/>
  <c r="AH143"/>
  <c r="AH142"/>
  <c r="AH141"/>
  <c r="AH140"/>
  <c r="AH139"/>
  <c r="AH138"/>
  <c r="AH137"/>
  <c r="AH136"/>
  <c r="AH135"/>
  <c r="AH134"/>
  <c r="AH133"/>
  <c r="AH132"/>
  <c r="AH131"/>
  <c r="AH130"/>
  <c r="AH129"/>
  <c r="AH128"/>
  <c r="AH127"/>
  <c r="AH126"/>
  <c r="AH125"/>
  <c r="AH124"/>
  <c r="AH123"/>
  <c r="AH122"/>
  <c r="AH121"/>
  <c r="AH120"/>
  <c r="AH119"/>
  <c r="AH118"/>
  <c r="AH117"/>
  <c r="AH116"/>
  <c r="AH115"/>
  <c r="AH114"/>
  <c r="AH113"/>
  <c r="AH112"/>
  <c r="AH111"/>
  <c r="AH110"/>
  <c r="AH109"/>
  <c r="AH108"/>
  <c r="AH107"/>
  <c r="AH106"/>
  <c r="AH105"/>
  <c r="AH104"/>
  <c r="AH103"/>
  <c r="AH102"/>
  <c r="AH101"/>
  <c r="AH100"/>
  <c r="AH99"/>
  <c r="AH98"/>
  <c r="AH97"/>
  <c r="AH96"/>
  <c r="AH95"/>
  <c r="AH94"/>
  <c r="AH93"/>
  <c r="AH92"/>
  <c r="AH91"/>
  <c r="AH90"/>
  <c r="AH89"/>
  <c r="AH88"/>
  <c r="AH87"/>
  <c r="AH86"/>
  <c r="AH85"/>
  <c r="AH84"/>
  <c r="AH83"/>
  <c r="AH82"/>
  <c r="AH81"/>
  <c r="AH80"/>
  <c r="AH79"/>
  <c r="AH78"/>
  <c r="AH77"/>
  <c r="AH76"/>
  <c r="AH75"/>
  <c r="AH74"/>
  <c r="AH73"/>
  <c r="AH72"/>
  <c r="AH71"/>
  <c r="AH70"/>
  <c r="AH69"/>
  <c r="AH68"/>
  <c r="W68"/>
  <c r="W336" s="1"/>
  <c r="N68"/>
  <c r="J68"/>
  <c r="H68"/>
  <c r="D68"/>
  <c r="C68"/>
  <c r="AH57"/>
  <c r="W57"/>
  <c r="N57"/>
  <c r="J57"/>
  <c r="H57"/>
  <c r="D57"/>
  <c r="C57"/>
  <c r="AH56"/>
  <c r="W56"/>
  <c r="N56"/>
  <c r="J56"/>
  <c r="H56"/>
  <c r="D56"/>
  <c r="C56"/>
  <c r="AH55"/>
  <c r="W55"/>
  <c r="N55"/>
  <c r="J55"/>
  <c r="H55"/>
  <c r="D55"/>
  <c r="C55"/>
  <c r="AH54"/>
  <c r="W54"/>
  <c r="N54"/>
  <c r="J54"/>
  <c r="H54"/>
  <c r="D54"/>
  <c r="C54"/>
  <c r="AH53"/>
  <c r="W53"/>
  <c r="N53"/>
  <c r="J53"/>
  <c r="H53"/>
  <c r="D53"/>
  <c r="C53"/>
  <c r="AH52"/>
  <c r="W52"/>
  <c r="N52"/>
  <c r="J52"/>
  <c r="H52"/>
  <c r="D52"/>
  <c r="C52"/>
  <c r="AH51"/>
  <c r="W51"/>
  <c r="N51"/>
  <c r="H51"/>
  <c r="D51"/>
  <c r="C51"/>
  <c r="AH50"/>
  <c r="W50"/>
  <c r="N50"/>
  <c r="J50"/>
  <c r="H50"/>
  <c r="D50"/>
  <c r="C50"/>
  <c r="AH49"/>
  <c r="W49"/>
  <c r="N49"/>
  <c r="J49"/>
  <c r="H49"/>
  <c r="D49"/>
  <c r="C49"/>
  <c r="AH48"/>
  <c r="W48"/>
  <c r="N48"/>
  <c r="J48"/>
  <c r="H48"/>
  <c r="D48"/>
  <c r="C48"/>
  <c r="AH47"/>
  <c r="W47"/>
  <c r="N47"/>
  <c r="J47"/>
  <c r="H47"/>
  <c r="D47"/>
  <c r="C47"/>
  <c r="AH46"/>
  <c r="W46"/>
  <c r="N46"/>
  <c r="J46"/>
  <c r="H46"/>
  <c r="D46"/>
  <c r="C46"/>
  <c r="AH45"/>
  <c r="W45"/>
  <c r="N45"/>
  <c r="J45"/>
  <c r="H45"/>
  <c r="D45"/>
  <c r="C45"/>
  <c r="AH44"/>
  <c r="W44"/>
  <c r="N44"/>
  <c r="J44"/>
  <c r="H44"/>
  <c r="D44"/>
  <c r="C44"/>
  <c r="AH43"/>
  <c r="W43"/>
  <c r="N43"/>
  <c r="J43"/>
  <c r="H43"/>
  <c r="D43"/>
  <c r="C43"/>
  <c r="AH42"/>
  <c r="W42"/>
  <c r="N42"/>
  <c r="J42"/>
  <c r="H42"/>
  <c r="D42"/>
  <c r="C42"/>
  <c r="AH41"/>
  <c r="W41"/>
  <c r="N41"/>
  <c r="J41"/>
  <c r="H41"/>
  <c r="D41"/>
  <c r="C41"/>
  <c r="AH40"/>
  <c r="W40"/>
  <c r="N40"/>
  <c r="J40"/>
  <c r="H40"/>
  <c r="D40"/>
  <c r="C40"/>
  <c r="AH39"/>
  <c r="W39"/>
  <c r="N39"/>
  <c r="J39"/>
  <c r="H39"/>
  <c r="D39"/>
  <c r="C39"/>
  <c r="AH38"/>
  <c r="W38"/>
  <c r="N38"/>
  <c r="J38"/>
  <c r="H38"/>
  <c r="D38"/>
  <c r="C38"/>
  <c r="AH37"/>
  <c r="W37"/>
  <c r="N37"/>
  <c r="J37"/>
  <c r="H37"/>
  <c r="D37"/>
  <c r="C37"/>
  <c r="AH36"/>
  <c r="W36"/>
  <c r="N36"/>
  <c r="J36"/>
  <c r="H36"/>
  <c r="D36"/>
  <c r="C36"/>
  <c r="AH35"/>
  <c r="W35"/>
  <c r="N35"/>
  <c r="J35"/>
  <c r="H35"/>
  <c r="D35"/>
  <c r="C35"/>
  <c r="AH34"/>
  <c r="W34"/>
  <c r="N34"/>
  <c r="J34"/>
  <c r="H34"/>
  <c r="D34"/>
  <c r="C34"/>
  <c r="AH33"/>
  <c r="W33"/>
  <c r="N33"/>
  <c r="J33"/>
  <c r="H33"/>
  <c r="D33"/>
  <c r="C33"/>
  <c r="AH14"/>
  <c r="W14"/>
  <c r="N14"/>
  <c r="H14"/>
  <c r="D14"/>
  <c r="C14"/>
  <c r="AH13"/>
  <c r="W13"/>
  <c r="W15" s="1"/>
  <c r="P13"/>
  <c r="N13"/>
  <c r="J13"/>
  <c r="H13"/>
  <c r="D13"/>
  <c r="C13"/>
  <c r="B351"/>
  <c r="B67"/>
  <c r="B32"/>
  <c r="C9"/>
  <c r="B12"/>
  <c r="Q444"/>
  <c r="B353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Q336"/>
  <c r="B69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Q58"/>
  <c r="B34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14"/>
  <c r="D1"/>
  <c r="P267" i="43" l="1"/>
  <c r="O264" i="45"/>
  <c r="B447" i="52"/>
  <c r="AA58"/>
  <c r="AA444"/>
  <c r="W444"/>
  <c r="K353"/>
  <c r="W58"/>
  <c r="W447" l="1"/>
  <c r="DM272" i="1"/>
  <c r="DL272"/>
  <c r="DK272"/>
  <c r="DJ272"/>
  <c r="CM272"/>
  <c r="CH272"/>
  <c r="CA272"/>
  <c r="BJ272"/>
  <c r="CL272" s="1"/>
  <c r="BH272"/>
  <c r="BD272"/>
  <c r="AZ272"/>
  <c r="AQ272"/>
  <c r="AO272"/>
  <c r="T296" i="43" s="1"/>
  <c r="AC272" i="1"/>
  <c r="T272"/>
  <c r="P299" i="52" s="1"/>
  <c r="Q272" i="1"/>
  <c r="T299" i="52" l="1"/>
  <c r="R293" i="45"/>
  <c r="V299" i="52"/>
  <c r="U296" i="43"/>
  <c r="CU272" i="1"/>
  <c r="L268" i="42"/>
  <c r="AT272" i="1"/>
  <c r="V272"/>
  <c r="DM225"/>
  <c r="DL225"/>
  <c r="DK225"/>
  <c r="DJ225"/>
  <c r="CM225"/>
  <c r="CH225"/>
  <c r="CA225"/>
  <c r="BJ225"/>
  <c r="CL225" s="1"/>
  <c r="BH225"/>
  <c r="BD225"/>
  <c r="AZ225"/>
  <c r="AQ225"/>
  <c r="AO225"/>
  <c r="T249" i="43" s="1"/>
  <c r="AC225" i="1"/>
  <c r="T225"/>
  <c r="P251" i="52" s="1"/>
  <c r="Q225" i="1"/>
  <c r="V251" i="52" l="1"/>
  <c r="U249" i="43"/>
  <c r="CU225" i="1"/>
  <c r="L221" i="42"/>
  <c r="T251" i="52"/>
  <c r="R246" i="45"/>
  <c r="CQ272" i="1"/>
  <c r="X299" i="52"/>
  <c r="AT225" i="1"/>
  <c r="V225"/>
  <c r="W225" s="1"/>
  <c r="W272"/>
  <c r="CM403"/>
  <c r="CM402"/>
  <c r="CM401"/>
  <c r="CM400"/>
  <c r="CM399"/>
  <c r="CM398"/>
  <c r="CM397"/>
  <c r="CM396"/>
  <c r="CM395"/>
  <c r="CM394"/>
  <c r="CM393"/>
  <c r="CM392"/>
  <c r="CM391"/>
  <c r="CM390"/>
  <c r="CM388"/>
  <c r="CM387"/>
  <c r="CM386"/>
  <c r="CM385"/>
  <c r="CM384"/>
  <c r="CM383"/>
  <c r="CM382"/>
  <c r="CM381"/>
  <c r="CM380"/>
  <c r="CM379"/>
  <c r="CM378"/>
  <c r="CM377"/>
  <c r="CM376"/>
  <c r="CM375"/>
  <c r="CM374"/>
  <c r="CM373"/>
  <c r="CM372"/>
  <c r="CM371"/>
  <c r="CM370"/>
  <c r="CM369"/>
  <c r="CM368"/>
  <c r="CM367"/>
  <c r="CM366"/>
  <c r="CM365"/>
  <c r="CM364"/>
  <c r="CM363"/>
  <c r="CM362"/>
  <c r="CM361"/>
  <c r="CM360"/>
  <c r="CM359"/>
  <c r="CM358"/>
  <c r="CM357"/>
  <c r="CM356"/>
  <c r="CM355"/>
  <c r="CM354"/>
  <c r="CM353"/>
  <c r="CM352"/>
  <c r="CM351"/>
  <c r="CM350"/>
  <c r="CM349"/>
  <c r="CM348"/>
  <c r="CM347"/>
  <c r="CM346"/>
  <c r="CM345"/>
  <c r="CM344"/>
  <c r="CM343"/>
  <c r="CM342"/>
  <c r="CM341"/>
  <c r="CM340"/>
  <c r="CM339"/>
  <c r="CM338"/>
  <c r="CM337"/>
  <c r="CM336"/>
  <c r="CM335"/>
  <c r="CM334"/>
  <c r="CM333"/>
  <c r="CM332"/>
  <c r="CM331"/>
  <c r="CM330"/>
  <c r="CM329"/>
  <c r="CM328"/>
  <c r="CM327"/>
  <c r="CM326"/>
  <c r="CM325"/>
  <c r="CM324"/>
  <c r="CM323"/>
  <c r="CM322"/>
  <c r="CM321"/>
  <c r="CM320"/>
  <c r="CM319"/>
  <c r="CM318"/>
  <c r="CM317"/>
  <c r="CM316"/>
  <c r="CM315"/>
  <c r="CM314"/>
  <c r="CM313"/>
  <c r="CM312"/>
  <c r="CM309"/>
  <c r="CM308"/>
  <c r="CM307"/>
  <c r="CM306"/>
  <c r="CM305"/>
  <c r="CM304"/>
  <c r="CM302"/>
  <c r="CM301"/>
  <c r="CM300"/>
  <c r="CM299"/>
  <c r="CM298"/>
  <c r="CM297"/>
  <c r="CM296"/>
  <c r="CM295"/>
  <c r="CM294"/>
  <c r="CM293"/>
  <c r="CM291"/>
  <c r="CM290"/>
  <c r="CM289"/>
  <c r="CM288"/>
  <c r="CM287"/>
  <c r="CM286"/>
  <c r="CM285"/>
  <c r="CM284"/>
  <c r="CM283"/>
  <c r="CM282"/>
  <c r="CM281"/>
  <c r="CM280"/>
  <c r="CM279"/>
  <c r="CM278"/>
  <c r="CM277"/>
  <c r="CM276"/>
  <c r="CM275"/>
  <c r="CM274"/>
  <c r="CM273"/>
  <c r="CM271"/>
  <c r="CM270"/>
  <c r="CM269"/>
  <c r="CM268"/>
  <c r="CM267"/>
  <c r="CM266"/>
  <c r="CM265"/>
  <c r="CM264"/>
  <c r="CM263"/>
  <c r="CM262"/>
  <c r="CM261"/>
  <c r="CM260"/>
  <c r="CM259"/>
  <c r="CM258"/>
  <c r="CM257"/>
  <c r="CM256"/>
  <c r="CM255"/>
  <c r="CM254"/>
  <c r="CM253"/>
  <c r="CM252"/>
  <c r="CM251"/>
  <c r="CM250"/>
  <c r="CM249"/>
  <c r="CM248"/>
  <c r="CM247"/>
  <c r="CM246"/>
  <c r="CM245"/>
  <c r="CM244"/>
  <c r="CM242"/>
  <c r="CM241"/>
  <c r="CM240"/>
  <c r="CM239"/>
  <c r="CM238"/>
  <c r="CM237"/>
  <c r="CM236"/>
  <c r="CM235"/>
  <c r="CM234"/>
  <c r="CM233"/>
  <c r="CM232"/>
  <c r="CM231"/>
  <c r="CM230"/>
  <c r="CM229"/>
  <c r="CM228"/>
  <c r="CM227"/>
  <c r="CM226"/>
  <c r="CM223"/>
  <c r="CM222"/>
  <c r="CM221"/>
  <c r="CM220"/>
  <c r="CM219"/>
  <c r="CM218"/>
  <c r="CM217"/>
  <c r="CM216"/>
  <c r="CM215"/>
  <c r="CM214"/>
  <c r="CM213"/>
  <c r="CM212"/>
  <c r="CM211"/>
  <c r="CM210"/>
  <c r="CM209"/>
  <c r="CM208"/>
  <c r="CM207"/>
  <c r="CM206"/>
  <c r="CM205"/>
  <c r="CM204"/>
  <c r="CM203"/>
  <c r="CM202"/>
  <c r="CM201"/>
  <c r="CM200"/>
  <c r="CM199"/>
  <c r="CM198"/>
  <c r="CM197"/>
  <c r="CM196"/>
  <c r="CM195"/>
  <c r="CM194"/>
  <c r="CM193"/>
  <c r="CM192"/>
  <c r="CM191"/>
  <c r="CM190"/>
  <c r="CM189"/>
  <c r="CM188"/>
  <c r="CM187"/>
  <c r="CM186"/>
  <c r="CM185"/>
  <c r="CM184"/>
  <c r="CM183"/>
  <c r="CM182"/>
  <c r="CM181"/>
  <c r="CM180"/>
  <c r="CM179"/>
  <c r="CM178"/>
  <c r="CM177"/>
  <c r="CM176"/>
  <c r="CM175"/>
  <c r="CM174"/>
  <c r="CM173"/>
  <c r="CM172"/>
  <c r="CM171"/>
  <c r="CM170"/>
  <c r="CM169"/>
  <c r="CM168"/>
  <c r="CM167"/>
  <c r="CM166"/>
  <c r="CM165"/>
  <c r="CM164"/>
  <c r="CM163"/>
  <c r="CM162"/>
  <c r="CM161"/>
  <c r="CM160"/>
  <c r="CM159"/>
  <c r="CM158"/>
  <c r="CM157"/>
  <c r="CM156"/>
  <c r="CM155"/>
  <c r="CM154"/>
  <c r="CM153"/>
  <c r="CM152"/>
  <c r="CM151"/>
  <c r="CM150"/>
  <c r="CM149"/>
  <c r="CM148"/>
  <c r="CM147"/>
  <c r="CM146"/>
  <c r="CM145"/>
  <c r="CM144"/>
  <c r="CM143"/>
  <c r="CM142"/>
  <c r="CM141"/>
  <c r="CM140"/>
  <c r="CM139"/>
  <c r="CM138"/>
  <c r="CM137"/>
  <c r="CM136"/>
  <c r="CM135"/>
  <c r="CM134"/>
  <c r="CM133"/>
  <c r="CM132"/>
  <c r="CM131"/>
  <c r="CM130"/>
  <c r="CM129"/>
  <c r="CM128"/>
  <c r="CM127"/>
  <c r="CM126"/>
  <c r="CM125"/>
  <c r="CM124"/>
  <c r="CM123"/>
  <c r="CM122"/>
  <c r="CM121"/>
  <c r="CM120"/>
  <c r="CM119"/>
  <c r="CM118"/>
  <c r="CM117"/>
  <c r="CM116"/>
  <c r="CM115"/>
  <c r="CM114"/>
  <c r="CM113"/>
  <c r="CM112"/>
  <c r="CM111"/>
  <c r="CM110"/>
  <c r="CM109"/>
  <c r="CM108"/>
  <c r="CM107"/>
  <c r="CM106"/>
  <c r="CM105"/>
  <c r="CM104"/>
  <c r="CM103"/>
  <c r="CM102"/>
  <c r="CM101"/>
  <c r="CM100"/>
  <c r="CM99"/>
  <c r="CM98"/>
  <c r="CM97"/>
  <c r="CM96"/>
  <c r="CM95"/>
  <c r="CM94"/>
  <c r="CM93"/>
  <c r="CM92"/>
  <c r="CM91"/>
  <c r="CM90"/>
  <c r="CM89"/>
  <c r="CM88"/>
  <c r="CM87"/>
  <c r="CM86"/>
  <c r="CM85"/>
  <c r="CM84"/>
  <c r="CM83"/>
  <c r="CM82"/>
  <c r="CM81"/>
  <c r="CM80"/>
  <c r="CM79"/>
  <c r="CM78"/>
  <c r="CM77"/>
  <c r="CM76"/>
  <c r="CM75"/>
  <c r="CM74"/>
  <c r="CM73"/>
  <c r="CM72"/>
  <c r="CM71"/>
  <c r="CM70"/>
  <c r="CM69"/>
  <c r="CM68"/>
  <c r="CM67"/>
  <c r="CM66"/>
  <c r="CM65"/>
  <c r="CM64"/>
  <c r="CM63"/>
  <c r="CM62"/>
  <c r="CM61"/>
  <c r="CM60"/>
  <c r="CM59"/>
  <c r="CM58"/>
  <c r="CM57"/>
  <c r="CM56"/>
  <c r="CM55"/>
  <c r="CM54"/>
  <c r="CM53"/>
  <c r="CM52"/>
  <c r="CM51"/>
  <c r="CM50"/>
  <c r="CM49"/>
  <c r="CM48"/>
  <c r="CM47"/>
  <c r="CM46"/>
  <c r="CM45"/>
  <c r="CM44"/>
  <c r="CM43"/>
  <c r="CM40"/>
  <c r="CM39"/>
  <c r="CM38"/>
  <c r="CM37"/>
  <c r="CM36"/>
  <c r="CM35"/>
  <c r="CM34"/>
  <c r="CM33"/>
  <c r="CM32"/>
  <c r="CM31"/>
  <c r="CM30"/>
  <c r="CM29"/>
  <c r="CM28"/>
  <c r="CM27"/>
  <c r="CM26"/>
  <c r="CM25"/>
  <c r="CM24"/>
  <c r="CM23"/>
  <c r="CM22"/>
  <c r="CM21"/>
  <c r="CM20"/>
  <c r="CM19"/>
  <c r="CM18"/>
  <c r="CM17"/>
  <c r="CM14"/>
  <c r="CM13"/>
  <c r="P296" i="43" l="1"/>
  <c r="O293" i="45"/>
  <c r="P249" i="43"/>
  <c r="O246" i="45"/>
  <c r="CM15" i="1"/>
  <c r="CM41"/>
  <c r="CQ225"/>
  <c r="X251" i="52"/>
  <c r="CM310" i="1"/>
  <c r="CM404"/>
  <c r="D328" i="51"/>
  <c r="D268"/>
  <c r="D24"/>
  <c r="G6"/>
  <c r="D331" l="1"/>
  <c r="CM407" i="1"/>
  <c r="H39" i="51"/>
  <c r="H56"/>
  <c r="H60"/>
  <c r="H69"/>
  <c r="H96"/>
  <c r="H106"/>
  <c r="H111"/>
  <c r="H120"/>
  <c r="H129"/>
  <c r="H141"/>
  <c r="H52"/>
  <c r="H63"/>
  <c r="H65"/>
  <c r="H79"/>
  <c r="H83"/>
  <c r="H104"/>
  <c r="H115"/>
  <c r="H125"/>
  <c r="H325"/>
  <c r="H321"/>
  <c r="H319"/>
  <c r="H316"/>
  <c r="H313"/>
  <c r="H311"/>
  <c r="H308"/>
  <c r="H306"/>
  <c r="H304"/>
  <c r="H300"/>
  <c r="H298"/>
  <c r="H297"/>
  <c r="H293"/>
  <c r="H290"/>
  <c r="H288"/>
  <c r="H280"/>
  <c r="H272"/>
  <c r="H262"/>
  <c r="H259"/>
  <c r="H253"/>
  <c r="H249"/>
  <c r="H245"/>
  <c r="H241"/>
  <c r="H238"/>
  <c r="H235"/>
  <c r="H232"/>
  <c r="H229"/>
  <c r="H225"/>
  <c r="H221"/>
  <c r="H217"/>
  <c r="H214"/>
  <c r="H211"/>
  <c r="H208"/>
  <c r="H204"/>
  <c r="H202"/>
  <c r="H199"/>
  <c r="H196"/>
  <c r="H191"/>
  <c r="H186"/>
  <c r="H183"/>
  <c r="H180"/>
  <c r="H174"/>
  <c r="H172"/>
  <c r="H169"/>
  <c r="H166"/>
  <c r="H164"/>
  <c r="H161"/>
  <c r="H159"/>
  <c r="H156"/>
  <c r="H153"/>
  <c r="H149"/>
  <c r="H145"/>
  <c r="H139"/>
  <c r="H136"/>
  <c r="H323"/>
  <c r="H318"/>
  <c r="H310"/>
  <c r="H301"/>
  <c r="H287"/>
  <c r="H278"/>
  <c r="H276"/>
  <c r="H251"/>
  <c r="H243"/>
  <c r="H237"/>
  <c r="H234"/>
  <c r="H227"/>
  <c r="H219"/>
  <c r="H212"/>
  <c r="H206"/>
  <c r="H198"/>
  <c r="H193"/>
  <c r="H171"/>
  <c r="H155"/>
  <c r="H151"/>
  <c r="H144"/>
  <c r="H134"/>
  <c r="H132"/>
  <c r="H130"/>
  <c r="H123"/>
  <c r="H119"/>
  <c r="H117"/>
  <c r="H110"/>
  <c r="H108"/>
  <c r="H102"/>
  <c r="H98"/>
  <c r="H89"/>
  <c r="H87"/>
  <c r="H81"/>
  <c r="H78"/>
  <c r="H74"/>
  <c r="H72"/>
  <c r="H62"/>
  <c r="H58"/>
  <c r="H50"/>
  <c r="H48"/>
  <c r="H46"/>
  <c r="H44"/>
  <c r="H41"/>
  <c r="H37"/>
  <c r="H35"/>
  <c r="H33"/>
  <c r="H28"/>
  <c r="H21"/>
  <c r="H17"/>
  <c r="H15"/>
  <c r="H13"/>
  <c r="H11"/>
  <c r="H326"/>
  <c r="H315"/>
  <c r="H303"/>
  <c r="H295"/>
  <c r="H292"/>
  <c r="H284"/>
  <c r="H282"/>
  <c r="H274"/>
  <c r="H257"/>
  <c r="H247"/>
  <c r="H240"/>
  <c r="H230"/>
  <c r="H223"/>
  <c r="H215"/>
  <c r="H209"/>
  <c r="H201"/>
  <c r="H195"/>
  <c r="H189"/>
  <c r="H187"/>
  <c r="H182"/>
  <c r="H176"/>
  <c r="H163"/>
  <c r="H19"/>
  <c r="H30"/>
  <c r="H42"/>
  <c r="H54"/>
  <c r="H67"/>
  <c r="H71"/>
  <c r="H76"/>
  <c r="H85"/>
  <c r="H92"/>
  <c r="H94"/>
  <c r="H100"/>
  <c r="H113"/>
  <c r="H127"/>
  <c r="H138"/>
  <c r="H147"/>
  <c r="H158"/>
  <c r="BJ403" i="1" l="1"/>
  <c r="CL403" s="1"/>
  <c r="BJ402"/>
  <c r="CL402" s="1"/>
  <c r="BJ401"/>
  <c r="CL401" s="1"/>
  <c r="BJ400"/>
  <c r="CL400" s="1"/>
  <c r="BJ399"/>
  <c r="CL399" s="1"/>
  <c r="BJ398"/>
  <c r="CL398" s="1"/>
  <c r="BJ397"/>
  <c r="CL397" s="1"/>
  <c r="BJ396"/>
  <c r="CL396" s="1"/>
  <c r="BJ395"/>
  <c r="CL395" s="1"/>
  <c r="BJ394"/>
  <c r="CL394" s="1"/>
  <c r="BJ393"/>
  <c r="CL393" s="1"/>
  <c r="BJ392"/>
  <c r="CL392" s="1"/>
  <c r="BJ391"/>
  <c r="CL391" s="1"/>
  <c r="BJ390"/>
  <c r="CL390" s="1"/>
  <c r="BJ388"/>
  <c r="CL388" s="1"/>
  <c r="BJ387"/>
  <c r="CL387" s="1"/>
  <c r="BJ386"/>
  <c r="CL386" s="1"/>
  <c r="BJ385"/>
  <c r="CL385" s="1"/>
  <c r="BJ384"/>
  <c r="CL384" s="1"/>
  <c r="BJ383"/>
  <c r="CL383" s="1"/>
  <c r="BJ382"/>
  <c r="CL382" s="1"/>
  <c r="BJ381"/>
  <c r="CL381" s="1"/>
  <c r="BJ380"/>
  <c r="CL380" s="1"/>
  <c r="BJ379"/>
  <c r="CL379" s="1"/>
  <c r="BJ378"/>
  <c r="CL378" s="1"/>
  <c r="BJ377"/>
  <c r="CL377" s="1"/>
  <c r="BJ376"/>
  <c r="CL376" s="1"/>
  <c r="BJ375"/>
  <c r="CL375" s="1"/>
  <c r="BJ374"/>
  <c r="CL374" s="1"/>
  <c r="BJ373"/>
  <c r="CL373" s="1"/>
  <c r="BJ372"/>
  <c r="CL372" s="1"/>
  <c r="BJ371"/>
  <c r="CL371" s="1"/>
  <c r="BJ370"/>
  <c r="CL370" s="1"/>
  <c r="BJ369"/>
  <c r="CL369" s="1"/>
  <c r="BJ368"/>
  <c r="CL368" s="1"/>
  <c r="BJ367"/>
  <c r="CL367" s="1"/>
  <c r="BJ366"/>
  <c r="CL366" s="1"/>
  <c r="BJ365"/>
  <c r="CL365" s="1"/>
  <c r="BJ364"/>
  <c r="CL364" s="1"/>
  <c r="BJ363"/>
  <c r="CL363" s="1"/>
  <c r="BJ362"/>
  <c r="CL362" s="1"/>
  <c r="BJ361"/>
  <c r="CL361" s="1"/>
  <c r="BJ360"/>
  <c r="CL360" s="1"/>
  <c r="BJ359"/>
  <c r="CL359" s="1"/>
  <c r="BJ358"/>
  <c r="CL358" s="1"/>
  <c r="BJ357"/>
  <c r="CL357" s="1"/>
  <c r="BJ356"/>
  <c r="CL356" s="1"/>
  <c r="BJ355"/>
  <c r="CL355" s="1"/>
  <c r="BJ354"/>
  <c r="CL354" s="1"/>
  <c r="BJ353"/>
  <c r="CL353" s="1"/>
  <c r="BJ352"/>
  <c r="CL352" s="1"/>
  <c r="BJ351"/>
  <c r="CL351" s="1"/>
  <c r="BJ350"/>
  <c r="CL350" s="1"/>
  <c r="BJ349"/>
  <c r="CL349" s="1"/>
  <c r="BJ348"/>
  <c r="CL348" s="1"/>
  <c r="BJ347"/>
  <c r="CL347" s="1"/>
  <c r="BJ346"/>
  <c r="CL346" s="1"/>
  <c r="BJ345"/>
  <c r="CL345" s="1"/>
  <c r="BJ344"/>
  <c r="CL344" s="1"/>
  <c r="BJ343"/>
  <c r="CL343" s="1"/>
  <c r="BJ342"/>
  <c r="CL342" s="1"/>
  <c r="BJ341"/>
  <c r="CL341" s="1"/>
  <c r="BJ340"/>
  <c r="CL340" s="1"/>
  <c r="BJ339"/>
  <c r="CL339" s="1"/>
  <c r="BJ338"/>
  <c r="CL338" s="1"/>
  <c r="BJ337"/>
  <c r="CL337" s="1"/>
  <c r="BJ336"/>
  <c r="CL336" s="1"/>
  <c r="BJ335"/>
  <c r="CL335" s="1"/>
  <c r="BJ334"/>
  <c r="CL334" s="1"/>
  <c r="BJ333"/>
  <c r="CL333" s="1"/>
  <c r="BJ332"/>
  <c r="CL332" s="1"/>
  <c r="BJ331"/>
  <c r="CL331" s="1"/>
  <c r="BJ330"/>
  <c r="CL330" s="1"/>
  <c r="BJ329"/>
  <c r="CL329" s="1"/>
  <c r="BJ328"/>
  <c r="CL328" s="1"/>
  <c r="BJ327"/>
  <c r="CL327" s="1"/>
  <c r="BJ326"/>
  <c r="CL326" s="1"/>
  <c r="BJ325"/>
  <c r="CL325" s="1"/>
  <c r="BJ324"/>
  <c r="CL324" s="1"/>
  <c r="BJ323"/>
  <c r="CL323" s="1"/>
  <c r="BJ322"/>
  <c r="CL322" s="1"/>
  <c r="BJ321"/>
  <c r="CL321" s="1"/>
  <c r="BJ320"/>
  <c r="CL320" s="1"/>
  <c r="BJ319"/>
  <c r="CL319" s="1"/>
  <c r="BJ318"/>
  <c r="CL318" s="1"/>
  <c r="BJ317"/>
  <c r="CL317" s="1"/>
  <c r="BJ316"/>
  <c r="CL316" s="1"/>
  <c r="BJ315"/>
  <c r="CL315" s="1"/>
  <c r="BJ314"/>
  <c r="CL314" s="1"/>
  <c r="BJ313"/>
  <c r="CL313" s="1"/>
  <c r="BJ312"/>
  <c r="CL312" s="1"/>
  <c r="BJ309"/>
  <c r="CL309" s="1"/>
  <c r="BJ308"/>
  <c r="CL308" s="1"/>
  <c r="BJ307"/>
  <c r="CL307" s="1"/>
  <c r="BJ306"/>
  <c r="CL306" s="1"/>
  <c r="BJ305"/>
  <c r="CL305" s="1"/>
  <c r="BJ304"/>
  <c r="CL304" s="1"/>
  <c r="BJ302"/>
  <c r="CL302" s="1"/>
  <c r="BJ301"/>
  <c r="CL301" s="1"/>
  <c r="BJ300"/>
  <c r="CL300" s="1"/>
  <c r="BJ299"/>
  <c r="CL299" s="1"/>
  <c r="BJ298"/>
  <c r="CL298" s="1"/>
  <c r="BJ297"/>
  <c r="CL297" s="1"/>
  <c r="BJ296"/>
  <c r="CL296" s="1"/>
  <c r="BJ295"/>
  <c r="CL295" s="1"/>
  <c r="BJ294"/>
  <c r="CL294" s="1"/>
  <c r="BJ293"/>
  <c r="CL293" s="1"/>
  <c r="BJ291"/>
  <c r="CL291" s="1"/>
  <c r="BJ290"/>
  <c r="CL290" s="1"/>
  <c r="BJ289"/>
  <c r="CL289" s="1"/>
  <c r="BJ288"/>
  <c r="CL288" s="1"/>
  <c r="BJ287"/>
  <c r="CL287" s="1"/>
  <c r="BJ286"/>
  <c r="CL286" s="1"/>
  <c r="BJ285"/>
  <c r="CL285" s="1"/>
  <c r="BJ284"/>
  <c r="CL284" s="1"/>
  <c r="BJ283"/>
  <c r="CL283" s="1"/>
  <c r="BJ282"/>
  <c r="CL282" s="1"/>
  <c r="BJ281"/>
  <c r="CL281" s="1"/>
  <c r="BJ280"/>
  <c r="CL280" s="1"/>
  <c r="BJ279"/>
  <c r="CL279" s="1"/>
  <c r="BJ278"/>
  <c r="CL278" s="1"/>
  <c r="BJ277"/>
  <c r="CL277" s="1"/>
  <c r="BJ276"/>
  <c r="CL276" s="1"/>
  <c r="BJ275"/>
  <c r="CL275" s="1"/>
  <c r="BJ274"/>
  <c r="CL274" s="1"/>
  <c r="BJ273"/>
  <c r="CL273" s="1"/>
  <c r="BJ271"/>
  <c r="CL271" s="1"/>
  <c r="BJ270"/>
  <c r="CL270" s="1"/>
  <c r="BJ269"/>
  <c r="CL269" s="1"/>
  <c r="BJ268"/>
  <c r="CL268" s="1"/>
  <c r="BJ267"/>
  <c r="CL267" s="1"/>
  <c r="BJ266"/>
  <c r="CL266" s="1"/>
  <c r="BJ265"/>
  <c r="CL265" s="1"/>
  <c r="BJ264"/>
  <c r="CL264" s="1"/>
  <c r="BJ263"/>
  <c r="CL263" s="1"/>
  <c r="BJ262"/>
  <c r="CL262" s="1"/>
  <c r="BJ261"/>
  <c r="CL261" s="1"/>
  <c r="BJ260"/>
  <c r="CL260" s="1"/>
  <c r="BJ259"/>
  <c r="CL259" s="1"/>
  <c r="BJ258"/>
  <c r="CL258" s="1"/>
  <c r="BJ257"/>
  <c r="CL257" s="1"/>
  <c r="BJ256"/>
  <c r="CL256" s="1"/>
  <c r="BJ255"/>
  <c r="CL255" s="1"/>
  <c r="BJ254"/>
  <c r="CL254" s="1"/>
  <c r="BJ253"/>
  <c r="CL253" s="1"/>
  <c r="BJ252"/>
  <c r="CL252" s="1"/>
  <c r="BJ251"/>
  <c r="CL251" s="1"/>
  <c r="BJ250"/>
  <c r="CL250" s="1"/>
  <c r="BJ249"/>
  <c r="CL249" s="1"/>
  <c r="BJ248"/>
  <c r="CL248" s="1"/>
  <c r="BJ247"/>
  <c r="CL247" s="1"/>
  <c r="BJ246"/>
  <c r="CL246" s="1"/>
  <c r="BJ245"/>
  <c r="CL245" s="1"/>
  <c r="BJ244"/>
  <c r="CL244" s="1"/>
  <c r="BJ242"/>
  <c r="CL242" s="1"/>
  <c r="BJ241"/>
  <c r="CL241" s="1"/>
  <c r="BJ240"/>
  <c r="CL240" s="1"/>
  <c r="BJ239"/>
  <c r="CL239" s="1"/>
  <c r="BJ238"/>
  <c r="CL238" s="1"/>
  <c r="BJ237"/>
  <c r="CL237" s="1"/>
  <c r="BJ236"/>
  <c r="CL236" s="1"/>
  <c r="BJ235"/>
  <c r="CL235" s="1"/>
  <c r="BJ234"/>
  <c r="CL234" s="1"/>
  <c r="BJ233"/>
  <c r="CL233" s="1"/>
  <c r="BJ232"/>
  <c r="CL232" s="1"/>
  <c r="BJ231"/>
  <c r="CL231" s="1"/>
  <c r="BJ230"/>
  <c r="CL230" s="1"/>
  <c r="BJ229"/>
  <c r="CL229" s="1"/>
  <c r="BJ228"/>
  <c r="CL228" s="1"/>
  <c r="BJ227"/>
  <c r="CL227" s="1"/>
  <c r="BJ226"/>
  <c r="CL226" s="1"/>
  <c r="BJ223"/>
  <c r="CL223" s="1"/>
  <c r="BJ222"/>
  <c r="CL222" s="1"/>
  <c r="BJ221"/>
  <c r="CL221" s="1"/>
  <c r="BJ220"/>
  <c r="CL220" s="1"/>
  <c r="BJ219"/>
  <c r="CL219" s="1"/>
  <c r="BJ218"/>
  <c r="CL218" s="1"/>
  <c r="BJ217"/>
  <c r="CL217" s="1"/>
  <c r="BJ216"/>
  <c r="CL216" s="1"/>
  <c r="BJ215"/>
  <c r="CL215" s="1"/>
  <c r="BJ214"/>
  <c r="CL214" s="1"/>
  <c r="BJ213"/>
  <c r="CL213" s="1"/>
  <c r="BJ212"/>
  <c r="CL212" s="1"/>
  <c r="BJ211"/>
  <c r="CL211" s="1"/>
  <c r="BJ210"/>
  <c r="CL210" s="1"/>
  <c r="BJ209"/>
  <c r="CL209" s="1"/>
  <c r="BJ208"/>
  <c r="CL208" s="1"/>
  <c r="BJ207"/>
  <c r="CL207" s="1"/>
  <c r="BJ206"/>
  <c r="CL206" s="1"/>
  <c r="BJ205"/>
  <c r="CL205" s="1"/>
  <c r="BJ204"/>
  <c r="CL204" s="1"/>
  <c r="BJ203"/>
  <c r="CL203" s="1"/>
  <c r="BJ202"/>
  <c r="CL202" s="1"/>
  <c r="BJ201"/>
  <c r="CL201" s="1"/>
  <c r="BJ200"/>
  <c r="CL200" s="1"/>
  <c r="BJ199"/>
  <c r="CL199" s="1"/>
  <c r="BJ198"/>
  <c r="CL198" s="1"/>
  <c r="BJ197"/>
  <c r="CL197" s="1"/>
  <c r="BJ196"/>
  <c r="CL196" s="1"/>
  <c r="BJ195"/>
  <c r="CL195" s="1"/>
  <c r="BJ194"/>
  <c r="CL194" s="1"/>
  <c r="BJ193"/>
  <c r="CL193" s="1"/>
  <c r="BJ192"/>
  <c r="CL192" s="1"/>
  <c r="BJ191"/>
  <c r="CL191" s="1"/>
  <c r="BJ190"/>
  <c r="CL190" s="1"/>
  <c r="BJ189"/>
  <c r="CL189" s="1"/>
  <c r="BJ188"/>
  <c r="CL188" s="1"/>
  <c r="BJ187"/>
  <c r="CL187" s="1"/>
  <c r="BJ186"/>
  <c r="CL186" s="1"/>
  <c r="BJ185"/>
  <c r="CL185" s="1"/>
  <c r="BJ184"/>
  <c r="CL184" s="1"/>
  <c r="BJ183"/>
  <c r="CL183" s="1"/>
  <c r="BJ182"/>
  <c r="CL182" s="1"/>
  <c r="BJ181"/>
  <c r="CL181" s="1"/>
  <c r="BJ180"/>
  <c r="CL180" s="1"/>
  <c r="BJ179"/>
  <c r="CL179" s="1"/>
  <c r="BJ178"/>
  <c r="CL178" s="1"/>
  <c r="BJ177"/>
  <c r="CL177" s="1"/>
  <c r="BJ176"/>
  <c r="CL176" s="1"/>
  <c r="BJ175"/>
  <c r="CL175" s="1"/>
  <c r="BJ174"/>
  <c r="CL174" s="1"/>
  <c r="BJ173"/>
  <c r="CL173" s="1"/>
  <c r="BJ172"/>
  <c r="CL172" s="1"/>
  <c r="BJ171"/>
  <c r="CL171" s="1"/>
  <c r="BJ170"/>
  <c r="CL170" s="1"/>
  <c r="BJ169"/>
  <c r="CL169" s="1"/>
  <c r="BJ168"/>
  <c r="CL168" s="1"/>
  <c r="BJ167"/>
  <c r="CL167" s="1"/>
  <c r="BJ166"/>
  <c r="CL166" s="1"/>
  <c r="BJ165"/>
  <c r="CL165" s="1"/>
  <c r="BJ164"/>
  <c r="CL164" s="1"/>
  <c r="BJ163"/>
  <c r="CL163" s="1"/>
  <c r="BJ162"/>
  <c r="CL162" s="1"/>
  <c r="BJ161"/>
  <c r="CL161" s="1"/>
  <c r="BJ160"/>
  <c r="CL160" s="1"/>
  <c r="BJ159"/>
  <c r="CL159" s="1"/>
  <c r="BJ158"/>
  <c r="CL158" s="1"/>
  <c r="BJ157"/>
  <c r="CL157" s="1"/>
  <c r="BJ156"/>
  <c r="CL156" s="1"/>
  <c r="BJ155"/>
  <c r="CL155" s="1"/>
  <c r="BJ154"/>
  <c r="CL154" s="1"/>
  <c r="BJ153"/>
  <c r="CL153" s="1"/>
  <c r="BJ152"/>
  <c r="CL152" s="1"/>
  <c r="BJ151"/>
  <c r="CL151" s="1"/>
  <c r="BJ150"/>
  <c r="CL150" s="1"/>
  <c r="BJ149"/>
  <c r="CL149" s="1"/>
  <c r="BJ148"/>
  <c r="CL148" s="1"/>
  <c r="BJ147"/>
  <c r="CL147" s="1"/>
  <c r="BJ146"/>
  <c r="CL146" s="1"/>
  <c r="BJ145"/>
  <c r="CL145" s="1"/>
  <c r="BJ144"/>
  <c r="CL144" s="1"/>
  <c r="BJ143"/>
  <c r="CL143" s="1"/>
  <c r="BJ142"/>
  <c r="CL142" s="1"/>
  <c r="BJ141"/>
  <c r="CL141" s="1"/>
  <c r="BJ140"/>
  <c r="CL140" s="1"/>
  <c r="BJ139"/>
  <c r="CL139" s="1"/>
  <c r="BJ138"/>
  <c r="CL138" s="1"/>
  <c r="BJ137"/>
  <c r="CL137" s="1"/>
  <c r="BJ136"/>
  <c r="CL136" s="1"/>
  <c r="BJ135"/>
  <c r="CL135" s="1"/>
  <c r="BJ134"/>
  <c r="CL134" s="1"/>
  <c r="BJ133"/>
  <c r="CL133" s="1"/>
  <c r="BJ132"/>
  <c r="CL132" s="1"/>
  <c r="BJ131"/>
  <c r="CL131" s="1"/>
  <c r="BJ130"/>
  <c r="CL130" s="1"/>
  <c r="BJ129"/>
  <c r="CL129" s="1"/>
  <c r="BJ128"/>
  <c r="CL128" s="1"/>
  <c r="BJ127"/>
  <c r="CL127" s="1"/>
  <c r="BJ126"/>
  <c r="CL126" s="1"/>
  <c r="BJ125"/>
  <c r="CL125" s="1"/>
  <c r="BJ124"/>
  <c r="CL124" s="1"/>
  <c r="BJ123"/>
  <c r="CL123" s="1"/>
  <c r="BJ122"/>
  <c r="CL122" s="1"/>
  <c r="BJ121"/>
  <c r="CL121" s="1"/>
  <c r="BJ120"/>
  <c r="CL120" s="1"/>
  <c r="BJ119"/>
  <c r="CL119" s="1"/>
  <c r="BJ118"/>
  <c r="CL118" s="1"/>
  <c r="BJ117"/>
  <c r="CL117" s="1"/>
  <c r="BJ116"/>
  <c r="CL116" s="1"/>
  <c r="BJ115"/>
  <c r="CL115" s="1"/>
  <c r="BJ114"/>
  <c r="CL114" s="1"/>
  <c r="BJ113"/>
  <c r="CL113" s="1"/>
  <c r="BJ112"/>
  <c r="CL112" s="1"/>
  <c r="BJ111"/>
  <c r="CL111" s="1"/>
  <c r="BJ110"/>
  <c r="CL110" s="1"/>
  <c r="BJ109"/>
  <c r="CL109" s="1"/>
  <c r="BJ108"/>
  <c r="CL108" s="1"/>
  <c r="BJ107"/>
  <c r="CL107" s="1"/>
  <c r="BJ106"/>
  <c r="CL106" s="1"/>
  <c r="BJ105"/>
  <c r="CL105" s="1"/>
  <c r="BJ104"/>
  <c r="CL104" s="1"/>
  <c r="BJ103"/>
  <c r="CL103" s="1"/>
  <c r="BJ102"/>
  <c r="CL102" s="1"/>
  <c r="BJ101"/>
  <c r="CL101" s="1"/>
  <c r="BJ100"/>
  <c r="CL100" s="1"/>
  <c r="BJ99"/>
  <c r="CL99" s="1"/>
  <c r="BJ98"/>
  <c r="CL98" s="1"/>
  <c r="BJ97"/>
  <c r="CL97" s="1"/>
  <c r="BJ96"/>
  <c r="CL96" s="1"/>
  <c r="BJ95"/>
  <c r="CL95" s="1"/>
  <c r="BJ94"/>
  <c r="CL94" s="1"/>
  <c r="BJ93"/>
  <c r="CL93" s="1"/>
  <c r="BJ92"/>
  <c r="CL92" s="1"/>
  <c r="BJ91"/>
  <c r="CL91" s="1"/>
  <c r="BJ90"/>
  <c r="CL90" s="1"/>
  <c r="BJ89"/>
  <c r="CL89" s="1"/>
  <c r="BJ88"/>
  <c r="CL88" s="1"/>
  <c r="BJ87"/>
  <c r="CL87" s="1"/>
  <c r="BJ86"/>
  <c r="CL86" s="1"/>
  <c r="BJ85"/>
  <c r="CL85" s="1"/>
  <c r="BJ84"/>
  <c r="CL84" s="1"/>
  <c r="BJ83"/>
  <c r="CL83" s="1"/>
  <c r="BJ82"/>
  <c r="CL82" s="1"/>
  <c r="BJ81"/>
  <c r="CL81" s="1"/>
  <c r="BJ80"/>
  <c r="CL80" s="1"/>
  <c r="BJ79"/>
  <c r="CL79" s="1"/>
  <c r="BJ78"/>
  <c r="CL78" s="1"/>
  <c r="BJ77"/>
  <c r="CL77" s="1"/>
  <c r="BJ76"/>
  <c r="CL76" s="1"/>
  <c r="BJ75"/>
  <c r="CL75" s="1"/>
  <c r="BJ74"/>
  <c r="CL74" s="1"/>
  <c r="BJ73"/>
  <c r="CL73" s="1"/>
  <c r="BJ72"/>
  <c r="CL72" s="1"/>
  <c r="BJ71"/>
  <c r="CL71" s="1"/>
  <c r="BJ70"/>
  <c r="CL70" s="1"/>
  <c r="BJ69"/>
  <c r="CL69" s="1"/>
  <c r="BJ68"/>
  <c r="CL68" s="1"/>
  <c r="BJ67"/>
  <c r="CL67" s="1"/>
  <c r="BJ66"/>
  <c r="CL66" s="1"/>
  <c r="BJ65"/>
  <c r="CL65" s="1"/>
  <c r="BJ64"/>
  <c r="CL64" s="1"/>
  <c r="BJ63"/>
  <c r="CL63" s="1"/>
  <c r="BJ62"/>
  <c r="CL62" s="1"/>
  <c r="BJ61"/>
  <c r="CL61" s="1"/>
  <c r="BJ60"/>
  <c r="CL60" s="1"/>
  <c r="BJ59"/>
  <c r="CL59" s="1"/>
  <c r="BJ58"/>
  <c r="CL58" s="1"/>
  <c r="BJ57"/>
  <c r="CL57" s="1"/>
  <c r="BJ56"/>
  <c r="CL56" s="1"/>
  <c r="BJ55"/>
  <c r="CL55" s="1"/>
  <c r="BJ54"/>
  <c r="CL54" s="1"/>
  <c r="BJ53"/>
  <c r="CL53" s="1"/>
  <c r="BJ52"/>
  <c r="CL52" s="1"/>
  <c r="BJ51"/>
  <c r="CL51" s="1"/>
  <c r="BJ50"/>
  <c r="CL50" s="1"/>
  <c r="BJ49"/>
  <c r="CL49" s="1"/>
  <c r="BJ48"/>
  <c r="CL48" s="1"/>
  <c r="BJ47"/>
  <c r="CL47" s="1"/>
  <c r="BJ46"/>
  <c r="CL46" s="1"/>
  <c r="BJ45"/>
  <c r="CL45" s="1"/>
  <c r="BJ44"/>
  <c r="CL44" s="1"/>
  <c r="BJ43"/>
  <c r="CL43" s="1"/>
  <c r="BJ40"/>
  <c r="CL40" s="1"/>
  <c r="BJ39"/>
  <c r="CL39" s="1"/>
  <c r="BJ38"/>
  <c r="CL38" s="1"/>
  <c r="BJ37"/>
  <c r="CL37" s="1"/>
  <c r="BJ36"/>
  <c r="CL36" s="1"/>
  <c r="BJ35"/>
  <c r="CL35" s="1"/>
  <c r="BJ34"/>
  <c r="CL34" s="1"/>
  <c r="BJ33"/>
  <c r="CL33" s="1"/>
  <c r="BJ32"/>
  <c r="CL32" s="1"/>
  <c r="BJ31"/>
  <c r="CL31" s="1"/>
  <c r="BJ30"/>
  <c r="CL30" s="1"/>
  <c r="BJ29"/>
  <c r="CL29" s="1"/>
  <c r="BJ28"/>
  <c r="CL28" s="1"/>
  <c r="BJ27"/>
  <c r="CL27" s="1"/>
  <c r="BJ26"/>
  <c r="CL26" s="1"/>
  <c r="BJ25"/>
  <c r="CL25" s="1"/>
  <c r="BJ24"/>
  <c r="CL24" s="1"/>
  <c r="BJ23"/>
  <c r="CL23" s="1"/>
  <c r="BJ22"/>
  <c r="CL22" s="1"/>
  <c r="BJ21"/>
  <c r="CL21" s="1"/>
  <c r="BJ20"/>
  <c r="CL20" s="1"/>
  <c r="BJ19"/>
  <c r="CL19" s="1"/>
  <c r="BJ18"/>
  <c r="CL18" s="1"/>
  <c r="BJ17"/>
  <c r="CL17" s="1"/>
  <c r="BJ14"/>
  <c r="CL14" s="1"/>
  <c r="BJ13"/>
  <c r="BJ15" l="1"/>
  <c r="CL13"/>
  <c r="BJ404"/>
  <c r="BJ41"/>
  <c r="BJ310"/>
  <c r="BJ407" l="1"/>
  <c r="BH17"/>
  <c r="CA295" l="1"/>
  <c r="DM295"/>
  <c r="DL295"/>
  <c r="DK295"/>
  <c r="DJ295"/>
  <c r="CH295"/>
  <c r="BH295"/>
  <c r="BD295"/>
  <c r="AZ295"/>
  <c r="AQ295"/>
  <c r="AO295"/>
  <c r="T319" i="43" s="1"/>
  <c r="AC295" i="1"/>
  <c r="T295"/>
  <c r="P322" i="52" s="1"/>
  <c r="Q295" i="1"/>
  <c r="T322" i="52" l="1"/>
  <c r="R316" i="45"/>
  <c r="V322" i="52"/>
  <c r="U319" i="43"/>
  <c r="CU295" i="1"/>
  <c r="L291" i="42"/>
  <c r="AT295" i="1"/>
  <c r="V295"/>
  <c r="AZ251"/>
  <c r="CQ295" l="1"/>
  <c r="X322" i="52"/>
  <c r="W295" i="1"/>
  <c r="AN259"/>
  <c r="J210"/>
  <c r="J385"/>
  <c r="J235" i="52" l="1"/>
  <c r="J206" i="42"/>
  <c r="J234" i="43"/>
  <c r="J231" i="45"/>
  <c r="O316"/>
  <c r="P319" i="43"/>
  <c r="J381" i="42"/>
  <c r="J420" i="43"/>
  <c r="J415" i="45"/>
  <c r="J427" i="52"/>
  <c r="J404" i="1"/>
  <c r="DM251" l="1"/>
  <c r="DL251"/>
  <c r="DK251"/>
  <c r="DJ251"/>
  <c r="CH251"/>
  <c r="CA251"/>
  <c r="L247" i="42" s="1"/>
  <c r="BH251" i="1"/>
  <c r="BD251"/>
  <c r="AQ251"/>
  <c r="AO251"/>
  <c r="T275" i="43" s="1"/>
  <c r="AC251" i="1"/>
  <c r="T251"/>
  <c r="P278" i="52" s="1"/>
  <c r="Q251" i="1"/>
  <c r="AA342" i="45"/>
  <c r="T278" i="52" l="1"/>
  <c r="R272" i="45"/>
  <c r="V278" i="52"/>
  <c r="U275" i="43"/>
  <c r="CU251" i="1"/>
  <c r="AT251"/>
  <c r="V251"/>
  <c r="CQ251" l="1"/>
  <c r="X278" i="52"/>
  <c r="W251" i="1"/>
  <c r="Q223"/>
  <c r="V250" i="52"/>
  <c r="T250"/>
  <c r="P250"/>
  <c r="P275" i="43" l="1"/>
  <c r="O272" i="45"/>
  <c r="X250" i="52"/>
  <c r="J57" i="1" l="1"/>
  <c r="DM57"/>
  <c r="DL57"/>
  <c r="DK57"/>
  <c r="DJ57"/>
  <c r="CH57"/>
  <c r="CA57"/>
  <c r="L53" i="42" s="1"/>
  <c r="BH57" i="1"/>
  <c r="BF57"/>
  <c r="BD57"/>
  <c r="AZ57"/>
  <c r="AW57"/>
  <c r="X81" i="43" s="1"/>
  <c r="AQ57" i="1"/>
  <c r="AO57"/>
  <c r="T81" i="43" s="1"/>
  <c r="AC57" i="1"/>
  <c r="T57"/>
  <c r="P82" i="52" s="1"/>
  <c r="Q57" i="1"/>
  <c r="V82" i="52" l="1"/>
  <c r="U81" i="43"/>
  <c r="J53" i="42"/>
  <c r="J81" i="43"/>
  <c r="J78" i="45"/>
  <c r="T82" i="52"/>
  <c r="R78" i="45"/>
  <c r="J81" i="52"/>
  <c r="CP57" i="1"/>
  <c r="CU57"/>
  <c r="AT57"/>
  <c r="X82" i="52" s="1"/>
  <c r="V57" i="1"/>
  <c r="CQ57" l="1"/>
  <c r="W57"/>
  <c r="P81" i="43" l="1"/>
  <c r="O78" i="45"/>
  <c r="DM119" i="1"/>
  <c r="DL119"/>
  <c r="DK119"/>
  <c r="DJ119"/>
  <c r="CH119"/>
  <c r="CA119"/>
  <c r="L115" i="42" s="1"/>
  <c r="BH119" i="1"/>
  <c r="BF119"/>
  <c r="BD119"/>
  <c r="AZ119"/>
  <c r="AW119"/>
  <c r="X143" i="43" s="1"/>
  <c r="AQ119" i="1"/>
  <c r="AO119"/>
  <c r="T143" i="43" s="1"/>
  <c r="AC119" i="1"/>
  <c r="T119"/>
  <c r="P144" i="52" s="1"/>
  <c r="Q119" i="1"/>
  <c r="DM331"/>
  <c r="DL331"/>
  <c r="DK331"/>
  <c r="DJ331"/>
  <c r="CH331"/>
  <c r="CA331"/>
  <c r="L327" i="42" s="1"/>
  <c r="BH331" i="1"/>
  <c r="BD331"/>
  <c r="AZ331"/>
  <c r="AW331"/>
  <c r="X366" i="43" s="1"/>
  <c r="AQ331" i="1"/>
  <c r="AO331"/>
  <c r="T366" i="43" s="1"/>
  <c r="AC331" i="1"/>
  <c r="T331"/>
  <c r="P371" i="52" s="1"/>
  <c r="DM397" i="1"/>
  <c r="DL397"/>
  <c r="DK397"/>
  <c r="DJ397"/>
  <c r="CH397"/>
  <c r="CA397"/>
  <c r="L393" i="42" s="1"/>
  <c r="BH397" i="1"/>
  <c r="BF397"/>
  <c r="BD397"/>
  <c r="AZ397"/>
  <c r="AW397"/>
  <c r="X432" i="43" s="1"/>
  <c r="AQ397" i="1"/>
  <c r="AO397"/>
  <c r="T432" i="43" s="1"/>
  <c r="AC397" i="1"/>
  <c r="T397"/>
  <c r="P436" i="52" s="1"/>
  <c r="DM393" i="1"/>
  <c r="DL393"/>
  <c r="DK393"/>
  <c r="DJ393"/>
  <c r="CH393"/>
  <c r="CA393"/>
  <c r="L389" i="42" s="1"/>
  <c r="BH393" i="1"/>
  <c r="BD393"/>
  <c r="AZ393"/>
  <c r="AW393"/>
  <c r="X428" i="43" s="1"/>
  <c r="AQ393" i="1"/>
  <c r="AO393"/>
  <c r="T428" i="43" s="1"/>
  <c r="AC393" i="1"/>
  <c r="T393"/>
  <c r="V432" i="52" l="1"/>
  <c r="U428" i="43"/>
  <c r="T436" i="52"/>
  <c r="R427" i="45"/>
  <c r="V371" i="52"/>
  <c r="U366" i="43"/>
  <c r="T432" i="52"/>
  <c r="R423" i="45"/>
  <c r="V436" i="52"/>
  <c r="U432" i="43"/>
  <c r="T144" i="52"/>
  <c r="R140" i="45"/>
  <c r="T371" i="52"/>
  <c r="R361" i="45"/>
  <c r="V144" i="52"/>
  <c r="U143" i="43"/>
  <c r="P432" i="52"/>
  <c r="V397" i="1"/>
  <c r="W397" s="1"/>
  <c r="V331"/>
  <c r="W331" s="1"/>
  <c r="CU119"/>
  <c r="CP393"/>
  <c r="CP397"/>
  <c r="CP331"/>
  <c r="CU393"/>
  <c r="CU397"/>
  <c r="CU331"/>
  <c r="CP119"/>
  <c r="AT331"/>
  <c r="AT119"/>
  <c r="X144" i="52" s="1"/>
  <c r="V119" i="1"/>
  <c r="AT393"/>
  <c r="AT397"/>
  <c r="V393"/>
  <c r="DM269"/>
  <c r="DL269"/>
  <c r="DK269"/>
  <c r="DJ269"/>
  <c r="CH269"/>
  <c r="CA269"/>
  <c r="L265" i="42" s="1"/>
  <c r="BF269" i="1"/>
  <c r="BD269"/>
  <c r="AZ269"/>
  <c r="AW269"/>
  <c r="X293" i="43" s="1"/>
  <c r="AQ269" i="1"/>
  <c r="AO269"/>
  <c r="T293" i="43" s="1"/>
  <c r="BH269" i="1"/>
  <c r="T269"/>
  <c r="P296" i="52" s="1"/>
  <c r="Q269" i="1"/>
  <c r="V296" i="52" l="1"/>
  <c r="U293" i="43"/>
  <c r="P432"/>
  <c r="O427" i="45"/>
  <c r="P366" i="43"/>
  <c r="O361" i="45"/>
  <c r="X436" i="52"/>
  <c r="CQ397" i="1"/>
  <c r="X432" i="52"/>
  <c r="CQ393" i="1"/>
  <c r="CQ119"/>
  <c r="X371" i="52"/>
  <c r="CQ331" i="1"/>
  <c r="V269"/>
  <c r="W269" s="1"/>
  <c r="CP269"/>
  <c r="CU269"/>
  <c r="W119"/>
  <c r="W393"/>
  <c r="AT269"/>
  <c r="X296" i="52" s="1"/>
  <c r="AC269" i="1"/>
  <c r="P143" i="43" l="1"/>
  <c r="O140" i="45"/>
  <c r="T296" i="52"/>
  <c r="R290" i="45"/>
  <c r="P428" i="43"/>
  <c r="O423" i="45"/>
  <c r="P293" i="43"/>
  <c r="O290" i="45"/>
  <c r="CQ269" i="1"/>
  <c r="BF218"/>
  <c r="DM216"/>
  <c r="DL216"/>
  <c r="DK216"/>
  <c r="DJ216"/>
  <c r="CH216"/>
  <c r="CA216"/>
  <c r="L212" i="42" s="1"/>
  <c r="BH216" i="1"/>
  <c r="BD216"/>
  <c r="AZ216"/>
  <c r="AQ216"/>
  <c r="AO216"/>
  <c r="T240" i="43" s="1"/>
  <c r="AC216" i="1"/>
  <c r="T216"/>
  <c r="P242" i="52" s="1"/>
  <c r="Q216" i="1"/>
  <c r="BE404"/>
  <c r="DM372"/>
  <c r="DL372"/>
  <c r="DK372"/>
  <c r="DJ372"/>
  <c r="CH372"/>
  <c r="CA372"/>
  <c r="L368" i="42" s="1"/>
  <c r="BH372" i="1"/>
  <c r="BD372"/>
  <c r="AZ372"/>
  <c r="AW372"/>
  <c r="X407" i="43" s="1"/>
  <c r="AQ372" i="1"/>
  <c r="AO372"/>
  <c r="T407" i="43" s="1"/>
  <c r="AC372" i="1"/>
  <c r="T372"/>
  <c r="DM90"/>
  <c r="DL90"/>
  <c r="DK90"/>
  <c r="DJ90"/>
  <c r="CH90"/>
  <c r="CA90"/>
  <c r="L86" i="42" s="1"/>
  <c r="BH90" i="1"/>
  <c r="BD90"/>
  <c r="AZ90"/>
  <c r="AQ90"/>
  <c r="AO90"/>
  <c r="T114" i="43" s="1"/>
  <c r="AC90" i="1"/>
  <c r="T90"/>
  <c r="P115" i="52" s="1"/>
  <c r="Q90" i="1"/>
  <c r="V115" i="52" l="1"/>
  <c r="U114" i="43"/>
  <c r="V412" i="52"/>
  <c r="U407" i="43"/>
  <c r="V242" i="52"/>
  <c r="U240" i="43"/>
  <c r="T115" i="52"/>
  <c r="R111" i="45"/>
  <c r="T412" i="52"/>
  <c r="R402" i="45"/>
  <c r="T242" i="52"/>
  <c r="R237" i="45"/>
  <c r="P412" i="52"/>
  <c r="CU90" i="1"/>
  <c r="CP372"/>
  <c r="CU372"/>
  <c r="CU216"/>
  <c r="AT216"/>
  <c r="X242" i="52" s="1"/>
  <c r="V216" i="1"/>
  <c r="AT90"/>
  <c r="X115" i="52" s="1"/>
  <c r="AT372" i="1"/>
  <c r="V372"/>
  <c r="V90"/>
  <c r="BY404"/>
  <c r="BY310"/>
  <c r="BY41"/>
  <c r="BY15"/>
  <c r="X412" i="52" l="1"/>
  <c r="CQ372" i="1"/>
  <c r="CQ90"/>
  <c r="CQ216"/>
  <c r="W216"/>
  <c r="BY407"/>
  <c r="W372"/>
  <c r="W90"/>
  <c r="BF156"/>
  <c r="P240" i="43" l="1"/>
  <c r="O237" i="45"/>
  <c r="P407" i="43"/>
  <c r="O402" i="45"/>
  <c r="O111"/>
  <c r="P114" i="43"/>
  <c r="T185" i="1"/>
  <c r="P211" i="52" s="1"/>
  <c r="T38" i="1"/>
  <c r="DM38"/>
  <c r="DL38"/>
  <c r="DK38"/>
  <c r="DJ38"/>
  <c r="CH38"/>
  <c r="CA38"/>
  <c r="L34" i="42" s="1"/>
  <c r="BH38" i="1"/>
  <c r="BD38"/>
  <c r="AZ38"/>
  <c r="AW38"/>
  <c r="X54" i="43" s="1"/>
  <c r="AQ38" i="1"/>
  <c r="AO38"/>
  <c r="T54" i="43" s="1"/>
  <c r="AC38" i="1"/>
  <c r="Q38"/>
  <c r="CA218"/>
  <c r="L214" i="42" s="1"/>
  <c r="T218" i="1"/>
  <c r="P244" i="52" s="1"/>
  <c r="BK404" i="1"/>
  <c r="DM385"/>
  <c r="DL385"/>
  <c r="DK385"/>
  <c r="DJ385"/>
  <c r="CH385"/>
  <c r="CA385"/>
  <c r="L381" i="42" s="1"/>
  <c r="BH385" i="1"/>
  <c r="BD385"/>
  <c r="AZ385"/>
  <c r="AQ385"/>
  <c r="AO385"/>
  <c r="T420" i="43" s="1"/>
  <c r="AC385" i="1"/>
  <c r="T385"/>
  <c r="DM254"/>
  <c r="DL254"/>
  <c r="DK254"/>
  <c r="DJ254"/>
  <c r="CH254"/>
  <c r="CA254"/>
  <c r="L250" i="42" s="1"/>
  <c r="BH254" i="1"/>
  <c r="BD254"/>
  <c r="AZ254"/>
  <c r="AQ254"/>
  <c r="AO254"/>
  <c r="T278" i="43" s="1"/>
  <c r="AC254" i="1"/>
  <c r="T254"/>
  <c r="P281" i="52" s="1"/>
  <c r="Q254" i="1"/>
  <c r="V281" i="52" l="1"/>
  <c r="U278" i="43"/>
  <c r="V425" i="52"/>
  <c r="U420" i="43"/>
  <c r="V55" i="52"/>
  <c r="U54" i="43"/>
  <c r="T281" i="52"/>
  <c r="R275" i="45"/>
  <c r="T425" i="52"/>
  <c r="R415" i="45"/>
  <c r="T55" i="52"/>
  <c r="R51" i="45"/>
  <c r="P425" i="52"/>
  <c r="P55"/>
  <c r="CU254" i="1"/>
  <c r="CP38"/>
  <c r="CU385"/>
  <c r="CU38"/>
  <c r="AT38"/>
  <c r="V38"/>
  <c r="AT385"/>
  <c r="AT254"/>
  <c r="X281" i="52" s="1"/>
  <c r="V385" i="1"/>
  <c r="V254"/>
  <c r="Q108"/>
  <c r="T108"/>
  <c r="P133" i="52" s="1"/>
  <c r="AC108" i="1"/>
  <c r="AO108"/>
  <c r="T132" i="43" s="1"/>
  <c r="AQ108" i="1"/>
  <c r="AW108"/>
  <c r="X132" i="43" s="1"/>
  <c r="T133" i="52" l="1"/>
  <c r="R129" i="45"/>
  <c r="V133" i="52"/>
  <c r="U132" i="43"/>
  <c r="CQ254" i="1"/>
  <c r="X425" i="52"/>
  <c r="CQ385" i="1"/>
  <c r="X55" i="52"/>
  <c r="CQ38" i="1"/>
  <c r="V108"/>
  <c r="W108" s="1"/>
  <c r="W38"/>
  <c r="W385"/>
  <c r="W254"/>
  <c r="AT108"/>
  <c r="X133" i="52" s="1"/>
  <c r="AZ108" i="1"/>
  <c r="BD108"/>
  <c r="BF108"/>
  <c r="BH108"/>
  <c r="CA108"/>
  <c r="L104" i="42" s="1"/>
  <c r="CH108" i="1"/>
  <c r="CP108"/>
  <c r="DJ108"/>
  <c r="DK108"/>
  <c r="DL108"/>
  <c r="DM108"/>
  <c r="P420" i="43" l="1"/>
  <c r="O415" i="45"/>
  <c r="P54" i="43"/>
  <c r="O51" i="45"/>
  <c r="P132" i="43"/>
  <c r="O129" i="45"/>
  <c r="O275"/>
  <c r="P278" i="43"/>
  <c r="CQ108" i="1"/>
  <c r="CU108"/>
  <c r="BE310"/>
  <c r="CA156" l="1"/>
  <c r="L152" i="42" s="1"/>
  <c r="AO156" i="1"/>
  <c r="T180" i="43" s="1"/>
  <c r="AC156" i="1"/>
  <c r="T156"/>
  <c r="P182" i="52" s="1"/>
  <c r="T182" l="1"/>
  <c r="R177" i="45"/>
  <c r="H28" i="49"/>
  <c r="D28"/>
  <c r="H27"/>
  <c r="D27"/>
  <c r="H26"/>
  <c r="D26"/>
  <c r="H25"/>
  <c r="D25"/>
  <c r="H24"/>
  <c r="D24"/>
  <c r="H23"/>
  <c r="D23"/>
  <c r="H22"/>
  <c r="D22"/>
  <c r="H21"/>
  <c r="D21"/>
  <c r="H20"/>
  <c r="D20"/>
  <c r="H19"/>
  <c r="D19"/>
  <c r="H18"/>
  <c r="D18"/>
  <c r="H17"/>
  <c r="D17"/>
  <c r="N15"/>
  <c r="L7"/>
  <c r="M7" s="1"/>
  <c r="O7" s="1"/>
  <c r="R7" s="1"/>
  <c r="S7" s="1"/>
  <c r="T7" s="1"/>
  <c r="L6"/>
  <c r="M6" s="1"/>
  <c r="O6" s="1"/>
  <c r="R6" s="1"/>
  <c r="S6" s="1"/>
  <c r="T6" s="1"/>
  <c r="L5"/>
  <c r="M5" s="1"/>
  <c r="O5" s="1"/>
  <c r="R5" s="1"/>
  <c r="S5" s="1"/>
  <c r="T5" s="1"/>
  <c r="K4"/>
  <c r="AZ403" i="1"/>
  <c r="AZ402"/>
  <c r="AZ401"/>
  <c r="AZ400"/>
  <c r="AZ399"/>
  <c r="AZ398"/>
  <c r="AZ396"/>
  <c r="AZ395"/>
  <c r="AZ394"/>
  <c r="AZ392"/>
  <c r="AZ391"/>
  <c r="AZ390"/>
  <c r="AZ388"/>
  <c r="AZ387"/>
  <c r="AZ386"/>
  <c r="AZ384"/>
  <c r="AZ383"/>
  <c r="AZ382"/>
  <c r="AZ381"/>
  <c r="AZ380"/>
  <c r="AZ379"/>
  <c r="AZ378"/>
  <c r="AZ377"/>
  <c r="AZ376"/>
  <c r="AZ375"/>
  <c r="AZ374"/>
  <c r="AZ373"/>
  <c r="AZ371"/>
  <c r="AZ370"/>
  <c r="AZ369"/>
  <c r="AZ368"/>
  <c r="AZ367"/>
  <c r="AZ366"/>
  <c r="AZ365"/>
  <c r="AZ364"/>
  <c r="AZ363"/>
  <c r="AZ362"/>
  <c r="AZ361"/>
  <c r="AZ360"/>
  <c r="AZ359"/>
  <c r="AZ358"/>
  <c r="AZ357"/>
  <c r="AZ356"/>
  <c r="AZ355"/>
  <c r="AZ354"/>
  <c r="AZ353"/>
  <c r="AZ352"/>
  <c r="AZ351"/>
  <c r="AZ350"/>
  <c r="AZ349"/>
  <c r="AZ348"/>
  <c r="AZ347"/>
  <c r="AZ346"/>
  <c r="AZ345"/>
  <c r="AZ344"/>
  <c r="AZ343"/>
  <c r="AZ342"/>
  <c r="AZ341"/>
  <c r="AZ340"/>
  <c r="AZ339"/>
  <c r="AZ338"/>
  <c r="AZ337"/>
  <c r="AZ336"/>
  <c r="AZ335"/>
  <c r="AZ334"/>
  <c r="AZ333"/>
  <c r="AZ332"/>
  <c r="AZ330"/>
  <c r="AZ329"/>
  <c r="AZ328"/>
  <c r="AZ327"/>
  <c r="AZ326"/>
  <c r="AZ325"/>
  <c r="AZ324"/>
  <c r="AZ323"/>
  <c r="AZ322"/>
  <c r="AZ321"/>
  <c r="AZ320"/>
  <c r="AZ319"/>
  <c r="AZ318"/>
  <c r="AZ317"/>
  <c r="AZ316"/>
  <c r="AZ315"/>
  <c r="AZ314"/>
  <c r="AZ313"/>
  <c r="AZ312"/>
  <c r="AZ309"/>
  <c r="AZ308"/>
  <c r="AZ307"/>
  <c r="AZ306"/>
  <c r="AZ305"/>
  <c r="AZ304"/>
  <c r="AZ302"/>
  <c r="AZ301"/>
  <c r="AZ300"/>
  <c r="AZ299"/>
  <c r="AZ298"/>
  <c r="AZ297"/>
  <c r="AZ296"/>
  <c r="AZ294"/>
  <c r="AZ293"/>
  <c r="AZ291"/>
  <c r="AZ290"/>
  <c r="AZ289"/>
  <c r="AZ288"/>
  <c r="AZ287"/>
  <c r="AZ286"/>
  <c r="AZ285"/>
  <c r="AZ284"/>
  <c r="AZ283"/>
  <c r="AZ282"/>
  <c r="AZ281"/>
  <c r="AZ280"/>
  <c r="AZ279"/>
  <c r="AZ278"/>
  <c r="AZ277"/>
  <c r="AZ276"/>
  <c r="AZ275"/>
  <c r="AZ274"/>
  <c r="AZ273"/>
  <c r="AZ271"/>
  <c r="AZ270"/>
  <c r="AZ268"/>
  <c r="AZ267"/>
  <c r="AZ266"/>
  <c r="AZ265"/>
  <c r="AZ264"/>
  <c r="AZ263"/>
  <c r="AZ262"/>
  <c r="AZ261"/>
  <c r="AZ260"/>
  <c r="AZ259"/>
  <c r="AZ258"/>
  <c r="AZ257"/>
  <c r="AZ256"/>
  <c r="AZ255"/>
  <c r="AZ253"/>
  <c r="AZ252"/>
  <c r="AZ250"/>
  <c r="AZ249"/>
  <c r="AZ248"/>
  <c r="AZ247"/>
  <c r="AZ246"/>
  <c r="AZ245"/>
  <c r="AZ244"/>
  <c r="AZ242"/>
  <c r="AZ241"/>
  <c r="AZ240"/>
  <c r="AZ239"/>
  <c r="AZ238"/>
  <c r="AZ237"/>
  <c r="AZ236"/>
  <c r="AZ235"/>
  <c r="AZ234"/>
  <c r="AZ233"/>
  <c r="AZ232"/>
  <c r="AZ231"/>
  <c r="AZ230"/>
  <c r="AZ229"/>
  <c r="AZ228"/>
  <c r="AZ227"/>
  <c r="AZ226"/>
  <c r="AZ223"/>
  <c r="AZ222"/>
  <c r="AZ221"/>
  <c r="AZ220"/>
  <c r="AZ219"/>
  <c r="AZ218"/>
  <c r="AZ217"/>
  <c r="AZ215"/>
  <c r="AZ214"/>
  <c r="AZ213"/>
  <c r="AZ212"/>
  <c r="AZ211"/>
  <c r="AZ210"/>
  <c r="AZ209"/>
  <c r="AZ208"/>
  <c r="AZ207"/>
  <c r="AZ206"/>
  <c r="AZ205"/>
  <c r="AZ204"/>
  <c r="AZ203"/>
  <c r="AZ202"/>
  <c r="AZ201"/>
  <c r="AZ200"/>
  <c r="AZ199"/>
  <c r="AZ198"/>
  <c r="AZ197"/>
  <c r="AZ196"/>
  <c r="AZ195"/>
  <c r="AZ194"/>
  <c r="AZ193"/>
  <c r="AZ192"/>
  <c r="AZ191"/>
  <c r="AZ190"/>
  <c r="AZ189"/>
  <c r="AZ188"/>
  <c r="AZ187"/>
  <c r="AZ186"/>
  <c r="AZ185"/>
  <c r="AZ184"/>
  <c r="AZ183"/>
  <c r="AZ182"/>
  <c r="AZ181"/>
  <c r="AZ180"/>
  <c r="AZ179"/>
  <c r="AZ178"/>
  <c r="AZ177"/>
  <c r="AZ176"/>
  <c r="AZ175"/>
  <c r="AZ174"/>
  <c r="AZ173"/>
  <c r="AZ172"/>
  <c r="AZ171"/>
  <c r="AZ170"/>
  <c r="AZ169"/>
  <c r="AZ168"/>
  <c r="AZ167"/>
  <c r="AZ166"/>
  <c r="AZ165"/>
  <c r="AZ164"/>
  <c r="AZ163"/>
  <c r="AZ162"/>
  <c r="AZ161"/>
  <c r="AZ160"/>
  <c r="AZ159"/>
  <c r="AZ158"/>
  <c r="AZ157"/>
  <c r="AZ156"/>
  <c r="AZ155"/>
  <c r="AZ154"/>
  <c r="AZ153"/>
  <c r="AZ152"/>
  <c r="AZ151"/>
  <c r="AZ150"/>
  <c r="AZ149"/>
  <c r="AZ148"/>
  <c r="AZ147"/>
  <c r="AZ146"/>
  <c r="AZ145"/>
  <c r="AZ144"/>
  <c r="AZ143"/>
  <c r="AZ142"/>
  <c r="AZ141"/>
  <c r="AZ140"/>
  <c r="AZ139"/>
  <c r="AZ138"/>
  <c r="AZ137"/>
  <c r="AZ136"/>
  <c r="AZ135"/>
  <c r="AZ134"/>
  <c r="AZ133"/>
  <c r="AZ132"/>
  <c r="AZ131"/>
  <c r="AZ130"/>
  <c r="AZ129"/>
  <c r="AZ128"/>
  <c r="AZ127"/>
  <c r="AZ126"/>
  <c r="AZ125"/>
  <c r="AZ124"/>
  <c r="AZ123"/>
  <c r="AZ122"/>
  <c r="AZ121"/>
  <c r="AZ120"/>
  <c r="AZ118"/>
  <c r="AZ117"/>
  <c r="AZ116"/>
  <c r="AZ115"/>
  <c r="AZ114"/>
  <c r="AZ113"/>
  <c r="AZ112"/>
  <c r="AZ111"/>
  <c r="AZ110"/>
  <c r="AZ109"/>
  <c r="AZ107"/>
  <c r="AZ106"/>
  <c r="AZ105"/>
  <c r="AZ104"/>
  <c r="AZ103"/>
  <c r="AZ102"/>
  <c r="AZ101"/>
  <c r="AZ100"/>
  <c r="AZ99"/>
  <c r="AZ98"/>
  <c r="AZ97"/>
  <c r="AZ96"/>
  <c r="AZ95"/>
  <c r="AZ94"/>
  <c r="AZ93"/>
  <c r="AZ92"/>
  <c r="AZ91"/>
  <c r="AZ89"/>
  <c r="AZ88"/>
  <c r="AZ87"/>
  <c r="AZ86"/>
  <c r="AZ85"/>
  <c r="AZ84"/>
  <c r="AZ83"/>
  <c r="AZ82"/>
  <c r="AZ81"/>
  <c r="AZ80"/>
  <c r="AZ79"/>
  <c r="AZ78"/>
  <c r="AZ77"/>
  <c r="AZ76"/>
  <c r="AZ75"/>
  <c r="AZ74"/>
  <c r="AZ73"/>
  <c r="AZ72"/>
  <c r="AZ71"/>
  <c r="AZ70"/>
  <c r="AZ69"/>
  <c r="AZ68"/>
  <c r="AZ67"/>
  <c r="AZ66"/>
  <c r="AZ65"/>
  <c r="AZ64"/>
  <c r="AZ63"/>
  <c r="AZ62"/>
  <c r="AZ61"/>
  <c r="AZ60"/>
  <c r="AZ59"/>
  <c r="AZ58"/>
  <c r="AZ56"/>
  <c r="AZ55"/>
  <c r="AZ54"/>
  <c r="AZ53"/>
  <c r="AZ52"/>
  <c r="AZ51"/>
  <c r="AZ50"/>
  <c r="AZ49"/>
  <c r="AZ48"/>
  <c r="AZ47"/>
  <c r="AZ46"/>
  <c r="AZ45"/>
  <c r="AZ44"/>
  <c r="AZ43"/>
  <c r="AZ40"/>
  <c r="AZ39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3"/>
  <c r="AA67" i="43"/>
  <c r="AA33"/>
  <c r="AA64" i="45"/>
  <c r="AA14"/>
  <c r="L4" i="49" l="1"/>
  <c r="M4" s="1"/>
  <c r="O4" s="1"/>
  <c r="AA30" i="45"/>
  <c r="BK41" i="1"/>
  <c r="T34" i="49" l="1"/>
  <c r="S62"/>
  <c r="T62" s="1"/>
  <c r="O8"/>
  <c r="O10" s="1"/>
  <c r="R4"/>
  <c r="S4" s="1"/>
  <c r="T4" s="1"/>
  <c r="T8" s="1"/>
  <c r="T10" s="1"/>
  <c r="T35"/>
  <c r="AA54" i="45"/>
  <c r="DM203" i="1"/>
  <c r="DL203"/>
  <c r="DK203"/>
  <c r="DJ203"/>
  <c r="CH203"/>
  <c r="CA203"/>
  <c r="L199" i="42" s="1"/>
  <c r="BH203" i="1"/>
  <c r="BD203"/>
  <c r="AQ203"/>
  <c r="AO203"/>
  <c r="T227" i="43" s="1"/>
  <c r="AC203" i="1"/>
  <c r="T203"/>
  <c r="P229" i="52" s="1"/>
  <c r="Q203" i="1"/>
  <c r="V218"/>
  <c r="DM218"/>
  <c r="DL218"/>
  <c r="DK218"/>
  <c r="DJ218"/>
  <c r="CH218"/>
  <c r="CU218"/>
  <c r="BH218"/>
  <c r="BD218"/>
  <c r="AW218"/>
  <c r="X242" i="43" s="1"/>
  <c r="AQ218" i="1"/>
  <c r="AO218"/>
  <c r="T242" i="43" s="1"/>
  <c r="AC218" i="1"/>
  <c r="Q218"/>
  <c r="V229" i="52" l="1"/>
  <c r="U227" i="43"/>
  <c r="V244" i="52"/>
  <c r="U242" i="43"/>
  <c r="T229" i="52"/>
  <c r="R224" i="45"/>
  <c r="S8" i="49"/>
  <c r="S10" s="1"/>
  <c r="T244" i="52"/>
  <c r="R239" i="45"/>
  <c r="V203" i="1"/>
  <c r="W203" s="1"/>
  <c r="T37" i="49"/>
  <c r="CU203" i="1"/>
  <c r="CP218"/>
  <c r="AT218"/>
  <c r="X244" i="52" s="1"/>
  <c r="AT203" i="1"/>
  <c r="X229" i="52" s="1"/>
  <c r="W218" i="1"/>
  <c r="DM277"/>
  <c r="DL277"/>
  <c r="DK277"/>
  <c r="DJ277"/>
  <c r="CH277"/>
  <c r="CA277"/>
  <c r="L273" i="42" s="1"/>
  <c r="BH277" i="1"/>
  <c r="BF277"/>
  <c r="BD277"/>
  <c r="AQ277"/>
  <c r="AO277"/>
  <c r="T301" i="43" s="1"/>
  <c r="AC277" i="1"/>
  <c r="T277"/>
  <c r="P304" i="52" s="1"/>
  <c r="Q277" i="1"/>
  <c r="T304" i="52" l="1"/>
  <c r="R298" i="45"/>
  <c r="P242" i="43"/>
  <c r="O239" i="45"/>
  <c r="V304" i="52"/>
  <c r="U301" i="43"/>
  <c r="P227"/>
  <c r="O224" i="45"/>
  <c r="CQ218" i="1"/>
  <c r="CQ203"/>
  <c r="V277"/>
  <c r="W277" s="1"/>
  <c r="CU277"/>
  <c r="AT277"/>
  <c r="X304" i="52" s="1"/>
  <c r="CA135" i="1"/>
  <c r="L131" i="42" s="1"/>
  <c r="AO135" i="1"/>
  <c r="T159" i="43" s="1"/>
  <c r="AC135" i="1"/>
  <c r="T135"/>
  <c r="P160" i="52" s="1"/>
  <c r="T160" l="1"/>
  <c r="R156" i="45"/>
  <c r="P301" i="43"/>
  <c r="O298" i="45"/>
  <c r="CQ277" i="1"/>
  <c r="DM280"/>
  <c r="DL280"/>
  <c r="DK280"/>
  <c r="DJ280"/>
  <c r="CH280"/>
  <c r="CA280"/>
  <c r="L276" i="42" s="1"/>
  <c r="BH280" i="1"/>
  <c r="BD280"/>
  <c r="AQ280"/>
  <c r="AO280"/>
  <c r="T304" i="43" s="1"/>
  <c r="AC280" i="1"/>
  <c r="T280"/>
  <c r="P307" i="52" s="1"/>
  <c r="Q280" i="1"/>
  <c r="T307" i="52" l="1"/>
  <c r="R301" i="45"/>
  <c r="V307" i="52"/>
  <c r="U304" i="43"/>
  <c r="V280" i="1"/>
  <c r="W280" s="1"/>
  <c r="CU280"/>
  <c r="AT280"/>
  <c r="X307" i="52" s="1"/>
  <c r="DM219" i="1"/>
  <c r="DL219"/>
  <c r="DK219"/>
  <c r="DJ219"/>
  <c r="CH219"/>
  <c r="CA219"/>
  <c r="L215" i="42" s="1"/>
  <c r="BH219" i="1"/>
  <c r="BD219"/>
  <c r="AQ219"/>
  <c r="AO219"/>
  <c r="T243" i="43" s="1"/>
  <c r="AC219" i="1"/>
  <c r="T219"/>
  <c r="P245" i="52" s="1"/>
  <c r="Q219" i="1"/>
  <c r="T245" i="52" l="1"/>
  <c r="R240" i="45"/>
  <c r="P304" i="43"/>
  <c r="O301" i="45"/>
  <c r="V245" i="52"/>
  <c r="U243" i="43"/>
  <c r="CQ280" i="1"/>
  <c r="CU219"/>
  <c r="AT219"/>
  <c r="X245" i="52" s="1"/>
  <c r="V219" i="1"/>
  <c r="CQ219" l="1"/>
  <c r="W219"/>
  <c r="P243" i="43" l="1"/>
  <c r="O240" i="45"/>
  <c r="BR8" i="1"/>
  <c r="I389" s="1"/>
  <c r="I385" i="42" l="1"/>
  <c r="I424" i="43"/>
  <c r="K424" s="1"/>
  <c r="I419" i="45"/>
  <c r="K419" s="1"/>
  <c r="K389" i="1"/>
  <c r="K385" i="42" s="1"/>
  <c r="AA389" i="1"/>
  <c r="I292"/>
  <c r="I224"/>
  <c r="I303"/>
  <c r="I403"/>
  <c r="I401"/>
  <c r="I400"/>
  <c r="I398"/>
  <c r="I396"/>
  <c r="I394"/>
  <c r="I392"/>
  <c r="I390"/>
  <c r="I387"/>
  <c r="I385"/>
  <c r="I383"/>
  <c r="I381"/>
  <c r="I379"/>
  <c r="I377"/>
  <c r="I375"/>
  <c r="I373"/>
  <c r="I371"/>
  <c r="I369"/>
  <c r="I367"/>
  <c r="I365"/>
  <c r="I363"/>
  <c r="I361"/>
  <c r="I359"/>
  <c r="I357"/>
  <c r="I355"/>
  <c r="I353"/>
  <c r="I351"/>
  <c r="I349"/>
  <c r="I347"/>
  <c r="I345"/>
  <c r="I343"/>
  <c r="I341"/>
  <c r="I339"/>
  <c r="I337"/>
  <c r="I335"/>
  <c r="I333"/>
  <c r="I331"/>
  <c r="I329"/>
  <c r="I327"/>
  <c r="I325"/>
  <c r="I323"/>
  <c r="I321"/>
  <c r="I319"/>
  <c r="I317"/>
  <c r="I315"/>
  <c r="I313"/>
  <c r="I309"/>
  <c r="I307"/>
  <c r="I305"/>
  <c r="I302"/>
  <c r="I300"/>
  <c r="I298"/>
  <c r="I296"/>
  <c r="I294"/>
  <c r="I318" i="52"/>
  <c r="K318" s="1"/>
  <c r="I290" i="1"/>
  <c r="I288"/>
  <c r="I286"/>
  <c r="I284"/>
  <c r="I282"/>
  <c r="I280"/>
  <c r="I278"/>
  <c r="I276"/>
  <c r="I274"/>
  <c r="I272"/>
  <c r="I270"/>
  <c r="I268"/>
  <c r="I266"/>
  <c r="I264"/>
  <c r="I262"/>
  <c r="I260"/>
  <c r="I258"/>
  <c r="I256"/>
  <c r="I254"/>
  <c r="I252"/>
  <c r="I250"/>
  <c r="I248"/>
  <c r="I246"/>
  <c r="I244"/>
  <c r="I242"/>
  <c r="I240"/>
  <c r="I238"/>
  <c r="I236"/>
  <c r="I234"/>
  <c r="I232"/>
  <c r="I230"/>
  <c r="I227"/>
  <c r="I225"/>
  <c r="I223"/>
  <c r="I221"/>
  <c r="I219"/>
  <c r="I217"/>
  <c r="I215"/>
  <c r="I213"/>
  <c r="I211"/>
  <c r="I209"/>
  <c r="I207"/>
  <c r="I205"/>
  <c r="I203"/>
  <c r="I201"/>
  <c r="I199"/>
  <c r="I197"/>
  <c r="I195"/>
  <c r="I193"/>
  <c r="I191"/>
  <c r="I189"/>
  <c r="I187"/>
  <c r="I185"/>
  <c r="I183"/>
  <c r="I181"/>
  <c r="I179"/>
  <c r="I177"/>
  <c r="I175"/>
  <c r="I173"/>
  <c r="I171"/>
  <c r="I169"/>
  <c r="I167"/>
  <c r="I165"/>
  <c r="I163"/>
  <c r="I161"/>
  <c r="I159"/>
  <c r="I157"/>
  <c r="I155"/>
  <c r="I153"/>
  <c r="I151"/>
  <c r="I150"/>
  <c r="I148"/>
  <c r="I146"/>
  <c r="I144"/>
  <c r="I142"/>
  <c r="I140"/>
  <c r="I138"/>
  <c r="I136"/>
  <c r="I134"/>
  <c r="I132"/>
  <c r="I130"/>
  <c r="I128"/>
  <c r="I126"/>
  <c r="I124"/>
  <c r="I122"/>
  <c r="I120"/>
  <c r="I118"/>
  <c r="I116"/>
  <c r="I114"/>
  <c r="I112"/>
  <c r="I110"/>
  <c r="I108"/>
  <c r="I106"/>
  <c r="I104"/>
  <c r="I102"/>
  <c r="I100"/>
  <c r="I98"/>
  <c r="I96"/>
  <c r="I94"/>
  <c r="I92"/>
  <c r="I90"/>
  <c r="I88"/>
  <c r="I86"/>
  <c r="I84"/>
  <c r="I82"/>
  <c r="I80"/>
  <c r="I78"/>
  <c r="I76"/>
  <c r="I74"/>
  <c r="I72"/>
  <c r="I402"/>
  <c r="I399"/>
  <c r="I397"/>
  <c r="I395"/>
  <c r="I393"/>
  <c r="I391"/>
  <c r="I388"/>
  <c r="I386"/>
  <c r="I384"/>
  <c r="I382"/>
  <c r="I380"/>
  <c r="I378"/>
  <c r="I376"/>
  <c r="I374"/>
  <c r="I372"/>
  <c r="I370"/>
  <c r="I368"/>
  <c r="I366"/>
  <c r="I364"/>
  <c r="I362"/>
  <c r="I360"/>
  <c r="I358"/>
  <c r="I356"/>
  <c r="I354"/>
  <c r="I352"/>
  <c r="I350"/>
  <c r="I348"/>
  <c r="I346"/>
  <c r="I344"/>
  <c r="I342"/>
  <c r="I340"/>
  <c r="I338"/>
  <c r="I336"/>
  <c r="I334"/>
  <c r="I332"/>
  <c r="I330"/>
  <c r="I328"/>
  <c r="I326"/>
  <c r="I324"/>
  <c r="I322"/>
  <c r="I320"/>
  <c r="I318"/>
  <c r="I316"/>
  <c r="I314"/>
  <c r="I312"/>
  <c r="I308"/>
  <c r="I306"/>
  <c r="I304"/>
  <c r="I301"/>
  <c r="I299"/>
  <c r="I297"/>
  <c r="I295"/>
  <c r="I293"/>
  <c r="I291"/>
  <c r="I289"/>
  <c r="I287"/>
  <c r="I285"/>
  <c r="I283"/>
  <c r="I281"/>
  <c r="I279"/>
  <c r="I277"/>
  <c r="I275"/>
  <c r="I273"/>
  <c r="I271"/>
  <c r="I269"/>
  <c r="I267"/>
  <c r="I265"/>
  <c r="I263"/>
  <c r="I261"/>
  <c r="I259"/>
  <c r="I257"/>
  <c r="I255"/>
  <c r="I253"/>
  <c r="I251"/>
  <c r="I249"/>
  <c r="I247"/>
  <c r="I245"/>
  <c r="I243"/>
  <c r="I241"/>
  <c r="I239"/>
  <c r="I237"/>
  <c r="I235"/>
  <c r="I233"/>
  <c r="I231"/>
  <c r="I229"/>
  <c r="I226"/>
  <c r="I222"/>
  <c r="I218"/>
  <c r="I214"/>
  <c r="I210"/>
  <c r="I206"/>
  <c r="I202"/>
  <c r="I198"/>
  <c r="I194"/>
  <c r="I190"/>
  <c r="I186"/>
  <c r="I182"/>
  <c r="I178"/>
  <c r="I174"/>
  <c r="I170"/>
  <c r="I166"/>
  <c r="I162"/>
  <c r="I158"/>
  <c r="I154"/>
  <c r="I147"/>
  <c r="I143"/>
  <c r="I139"/>
  <c r="I135"/>
  <c r="I131"/>
  <c r="I127"/>
  <c r="I123"/>
  <c r="I119"/>
  <c r="I115"/>
  <c r="I111"/>
  <c r="I107"/>
  <c r="I103"/>
  <c r="I99"/>
  <c r="I95"/>
  <c r="I91"/>
  <c r="I87"/>
  <c r="I83"/>
  <c r="I79"/>
  <c r="I75"/>
  <c r="I71"/>
  <c r="I69"/>
  <c r="I67"/>
  <c r="I65"/>
  <c r="I63"/>
  <c r="I61"/>
  <c r="I59"/>
  <c r="I57"/>
  <c r="I55"/>
  <c r="I53"/>
  <c r="I51"/>
  <c r="I49"/>
  <c r="I47"/>
  <c r="I45"/>
  <c r="I43"/>
  <c r="I39"/>
  <c r="I37"/>
  <c r="I35"/>
  <c r="I33"/>
  <c r="I31"/>
  <c r="I29"/>
  <c r="I27"/>
  <c r="I24"/>
  <c r="I22"/>
  <c r="I20"/>
  <c r="I18"/>
  <c r="I14"/>
  <c r="I228"/>
  <c r="I249" i="52"/>
  <c r="K249" s="1"/>
  <c r="I220" i="1"/>
  <c r="I216"/>
  <c r="I212"/>
  <c r="I208"/>
  <c r="I204"/>
  <c r="I200"/>
  <c r="I196"/>
  <c r="I192"/>
  <c r="I188"/>
  <c r="I184"/>
  <c r="I180"/>
  <c r="I176"/>
  <c r="I172"/>
  <c r="I168"/>
  <c r="I164"/>
  <c r="I160"/>
  <c r="I156"/>
  <c r="I152"/>
  <c r="I149"/>
  <c r="I145"/>
  <c r="I141"/>
  <c r="I137"/>
  <c r="I133"/>
  <c r="I129"/>
  <c r="I125"/>
  <c r="I121"/>
  <c r="I117"/>
  <c r="I113"/>
  <c r="I109"/>
  <c r="I105"/>
  <c r="I101"/>
  <c r="I97"/>
  <c r="I93"/>
  <c r="I89"/>
  <c r="I85"/>
  <c r="I81"/>
  <c r="I77"/>
  <c r="I73"/>
  <c r="I70"/>
  <c r="I68"/>
  <c r="I66"/>
  <c r="I64"/>
  <c r="I62"/>
  <c r="I60"/>
  <c r="I58"/>
  <c r="I56"/>
  <c r="I54"/>
  <c r="I52"/>
  <c r="I50"/>
  <c r="I48"/>
  <c r="I46"/>
  <c r="I44"/>
  <c r="I40"/>
  <c r="I38"/>
  <c r="I36"/>
  <c r="I34"/>
  <c r="I32"/>
  <c r="I30"/>
  <c r="I28"/>
  <c r="I26"/>
  <c r="I25"/>
  <c r="I23"/>
  <c r="I21"/>
  <c r="I19"/>
  <c r="I17"/>
  <c r="I13"/>
  <c r="R319" i="52"/>
  <c r="I250"/>
  <c r="K250" s="1"/>
  <c r="I143"/>
  <c r="K143" s="1"/>
  <c r="I132"/>
  <c r="K132" s="1"/>
  <c r="J308" i="42"/>
  <c r="H308"/>
  <c r="D308"/>
  <c r="C308"/>
  <c r="I19" l="1"/>
  <c r="I39" i="43"/>
  <c r="K39" s="1"/>
  <c r="I36" i="45"/>
  <c r="K36" s="1"/>
  <c r="I34" i="42"/>
  <c r="I54" i="43"/>
  <c r="K54" s="1"/>
  <c r="I51" i="45"/>
  <c r="K51" s="1"/>
  <c r="I52" i="42"/>
  <c r="I80" i="43"/>
  <c r="K80" s="1"/>
  <c r="I77" i="45"/>
  <c r="K77" s="1"/>
  <c r="I69" i="42"/>
  <c r="I97" i="43"/>
  <c r="K97" s="1"/>
  <c r="I94" i="45"/>
  <c r="K94" s="1"/>
  <c r="I101" i="42"/>
  <c r="I129" i="43"/>
  <c r="K129" s="1"/>
  <c r="I126" i="45"/>
  <c r="K126" s="1"/>
  <c r="I133" i="42"/>
  <c r="I161" i="43"/>
  <c r="K161" s="1"/>
  <c r="I158" i="45"/>
  <c r="K158" s="1"/>
  <c r="I164" i="42"/>
  <c r="I189" i="45"/>
  <c r="K189" s="1"/>
  <c r="I192" i="43"/>
  <c r="K192" s="1"/>
  <c r="I196" i="42"/>
  <c r="I224" i="43"/>
  <c r="K224" s="1"/>
  <c r="I221" i="45"/>
  <c r="K221" s="1"/>
  <c r="I29" i="42"/>
  <c r="I49" i="43"/>
  <c r="K49" s="1"/>
  <c r="I46" i="45"/>
  <c r="K46" s="1"/>
  <c r="I47" i="42"/>
  <c r="I75" i="43"/>
  <c r="K75" s="1"/>
  <c r="I72" i="45"/>
  <c r="K72" s="1"/>
  <c r="I63" i="42"/>
  <c r="I91" i="43"/>
  <c r="K91" s="1"/>
  <c r="I88" i="45"/>
  <c r="K88" s="1"/>
  <c r="I119" i="43"/>
  <c r="K119" s="1"/>
  <c r="I91" i="42"/>
  <c r="I116" i="45"/>
  <c r="K116" s="1"/>
  <c r="I123" i="42"/>
  <c r="I151" i="43"/>
  <c r="K151" s="1"/>
  <c r="I148" i="45"/>
  <c r="K148" s="1"/>
  <c r="I158" i="42"/>
  <c r="I186" i="43"/>
  <c r="K186" s="1"/>
  <c r="I183" i="45"/>
  <c r="K183" s="1"/>
  <c r="I190" i="42"/>
  <c r="I218" i="43"/>
  <c r="K218" s="1"/>
  <c r="I215" i="45"/>
  <c r="K215" s="1"/>
  <c r="I222" i="42"/>
  <c r="I250" i="43"/>
  <c r="K250" s="1"/>
  <c r="I247" i="45"/>
  <c r="K247" s="1"/>
  <c r="I239" i="42"/>
  <c r="I267" i="43"/>
  <c r="K267" s="1"/>
  <c r="I264" i="45"/>
  <c r="K264" s="1"/>
  <c r="I255" i="42"/>
  <c r="I283" i="43"/>
  <c r="K283" s="1"/>
  <c r="I280" i="45"/>
  <c r="K280" s="1"/>
  <c r="I271" i="42"/>
  <c r="I299" i="43"/>
  <c r="K299" s="1"/>
  <c r="I296" i="45"/>
  <c r="K296" s="1"/>
  <c r="I287" i="42"/>
  <c r="I312" i="45"/>
  <c r="K312" s="1"/>
  <c r="I315" i="43"/>
  <c r="K315" s="1"/>
  <c r="I304" i="42"/>
  <c r="I332" i="43"/>
  <c r="K332" s="1"/>
  <c r="I329" i="45"/>
  <c r="K329" s="1"/>
  <c r="I330" i="42"/>
  <c r="I369" i="43"/>
  <c r="K369" s="1"/>
  <c r="I364" i="45"/>
  <c r="K364" s="1"/>
  <c r="I346" i="42"/>
  <c r="I385" i="43"/>
  <c r="K385" s="1"/>
  <c r="I380" i="45"/>
  <c r="K380" s="1"/>
  <c r="I362" i="42"/>
  <c r="I401" i="43"/>
  <c r="K401" s="1"/>
  <c r="I396" i="45"/>
  <c r="K396" s="1"/>
  <c r="I378" i="42"/>
  <c r="I417" i="43"/>
  <c r="K417" s="1"/>
  <c r="I412" i="45"/>
  <c r="K412" s="1"/>
  <c r="I395" i="42"/>
  <c r="I434" i="43"/>
  <c r="K434" s="1"/>
  <c r="I429" i="45"/>
  <c r="K429" s="1"/>
  <c r="I80" i="42"/>
  <c r="I108" i="43"/>
  <c r="K108" s="1"/>
  <c r="I105" i="45"/>
  <c r="K105" s="1"/>
  <c r="I96" i="42"/>
  <c r="I124" i="43"/>
  <c r="K124" s="1"/>
  <c r="I121" i="45"/>
  <c r="K121" s="1"/>
  <c r="I112" i="42"/>
  <c r="I140" i="43"/>
  <c r="K140" s="1"/>
  <c r="I137" i="45"/>
  <c r="K137" s="1"/>
  <c r="I128" i="42"/>
  <c r="I156" i="43"/>
  <c r="K156" s="1"/>
  <c r="I153" i="45"/>
  <c r="K153" s="1"/>
  <c r="I136" i="42"/>
  <c r="I164" i="43"/>
  <c r="K164" s="1"/>
  <c r="I161" i="45"/>
  <c r="K161" s="1"/>
  <c r="I151" i="42"/>
  <c r="I179" i="43"/>
  <c r="K179" s="1"/>
  <c r="I176" i="45"/>
  <c r="K176" s="1"/>
  <c r="I175" i="42"/>
  <c r="I203" i="43"/>
  <c r="K203" s="1"/>
  <c r="I200" i="45"/>
  <c r="K200" s="1"/>
  <c r="I183" i="42"/>
  <c r="I211" i="43"/>
  <c r="K211" s="1"/>
  <c r="I208" i="45"/>
  <c r="K208" s="1"/>
  <c r="I199" i="42"/>
  <c r="I227" i="43"/>
  <c r="K227" s="1"/>
  <c r="I224" i="45"/>
  <c r="K224" s="1"/>
  <c r="I215" i="42"/>
  <c r="I243" i="43"/>
  <c r="K243" s="1"/>
  <c r="I240" i="45"/>
  <c r="K240" s="1"/>
  <c r="I232" i="42"/>
  <c r="I260" i="43"/>
  <c r="K260" s="1"/>
  <c r="I257" i="45"/>
  <c r="K257" s="1"/>
  <c r="I248" i="42"/>
  <c r="I276" i="43"/>
  <c r="K276" s="1"/>
  <c r="I273" i="45"/>
  <c r="K273" s="1"/>
  <c r="I264" i="42"/>
  <c r="I292" i="43"/>
  <c r="K292" s="1"/>
  <c r="I289" i="45"/>
  <c r="K289" s="1"/>
  <c r="I280" i="42"/>
  <c r="I308" i="43"/>
  <c r="K308" s="1"/>
  <c r="I305" i="45"/>
  <c r="K305" s="1"/>
  <c r="I305" i="42"/>
  <c r="I333" i="43"/>
  <c r="K333" s="1"/>
  <c r="I330" i="45"/>
  <c r="K330" s="1"/>
  <c r="I323" i="42"/>
  <c r="I362" i="43"/>
  <c r="K362" s="1"/>
  <c r="I357" i="45"/>
  <c r="K357" s="1"/>
  <c r="I339" i="42"/>
  <c r="I378" i="43"/>
  <c r="K378" s="1"/>
  <c r="I373" i="45"/>
  <c r="K373" s="1"/>
  <c r="I355" i="42"/>
  <c r="I394" i="43"/>
  <c r="K394" s="1"/>
  <c r="I389" i="45"/>
  <c r="K389" s="1"/>
  <c r="I371" i="42"/>
  <c r="I410" i="43"/>
  <c r="K410" s="1"/>
  <c r="I405" i="45"/>
  <c r="K405" s="1"/>
  <c r="I388" i="42"/>
  <c r="I427" i="43"/>
  <c r="K427" s="1"/>
  <c r="I422" i="45"/>
  <c r="K422" s="1"/>
  <c r="I220" i="42"/>
  <c r="I245" i="45"/>
  <c r="K245" s="1"/>
  <c r="I248" i="43"/>
  <c r="K248" s="1"/>
  <c r="I21" i="42"/>
  <c r="I38" i="45"/>
  <c r="K38" s="1"/>
  <c r="I41" i="43"/>
  <c r="K41" s="1"/>
  <c r="I36" i="42"/>
  <c r="I56" i="43"/>
  <c r="K56" s="1"/>
  <c r="I53" i="45"/>
  <c r="K53" s="1"/>
  <c r="I54" i="42"/>
  <c r="I82" i="43"/>
  <c r="K82" s="1"/>
  <c r="I79" i="45"/>
  <c r="K79" s="1"/>
  <c r="I73" i="42"/>
  <c r="I101" i="43"/>
  <c r="I98" i="45"/>
  <c r="I105" i="42"/>
  <c r="I133" i="43"/>
  <c r="K133" s="1"/>
  <c r="I130" i="45"/>
  <c r="K130" s="1"/>
  <c r="I137" i="42"/>
  <c r="I165" i="43"/>
  <c r="K165" s="1"/>
  <c r="I162" i="45"/>
  <c r="K162" s="1"/>
  <c r="I168" i="42"/>
  <c r="I193" i="45"/>
  <c r="K193" s="1"/>
  <c r="I196" i="43"/>
  <c r="K196" s="1"/>
  <c r="I200" i="42"/>
  <c r="I228" i="43"/>
  <c r="K228" s="1"/>
  <c r="I225" i="45"/>
  <c r="K225" s="1"/>
  <c r="I14" i="42"/>
  <c r="I34" i="43"/>
  <c r="K34" s="1"/>
  <c r="I31" i="45"/>
  <c r="K31" s="1"/>
  <c r="I31" i="42"/>
  <c r="I51" i="43"/>
  <c r="K51" s="1"/>
  <c r="I48" i="45"/>
  <c r="K48" s="1"/>
  <c r="I49" i="42"/>
  <c r="I77" i="43"/>
  <c r="K77" s="1"/>
  <c r="I74" i="45"/>
  <c r="K74" s="1"/>
  <c r="I79" i="42"/>
  <c r="I107" i="43"/>
  <c r="K107" s="1"/>
  <c r="I104" i="45"/>
  <c r="K104" s="1"/>
  <c r="I123" i="43"/>
  <c r="K123" s="1"/>
  <c r="I95" i="42"/>
  <c r="I120" i="45"/>
  <c r="K120" s="1"/>
  <c r="I127" i="42"/>
  <c r="I155" i="43"/>
  <c r="K155" s="1"/>
  <c r="I152" i="45"/>
  <c r="K152" s="1"/>
  <c r="I162" i="42"/>
  <c r="I190" i="43"/>
  <c r="K190" s="1"/>
  <c r="I187" i="45"/>
  <c r="K187" s="1"/>
  <c r="I194" i="42"/>
  <c r="I222" i="43"/>
  <c r="K222" s="1"/>
  <c r="I219" i="45"/>
  <c r="K219" s="1"/>
  <c r="I225" i="42"/>
  <c r="I253" i="43"/>
  <c r="K253" s="1"/>
  <c r="I250" i="45"/>
  <c r="K250" s="1"/>
  <c r="I241" i="42"/>
  <c r="I269" i="43"/>
  <c r="K269" s="1"/>
  <c r="I266" i="45"/>
  <c r="K266" s="1"/>
  <c r="I257" i="42"/>
  <c r="I285" i="43"/>
  <c r="K285" s="1"/>
  <c r="I282" i="45"/>
  <c r="K282" s="1"/>
  <c r="I273" i="42"/>
  <c r="I301" i="43"/>
  <c r="K301" s="1"/>
  <c r="I298" i="45"/>
  <c r="K298" s="1"/>
  <c r="I289" i="42"/>
  <c r="I317" i="43"/>
  <c r="K317" s="1"/>
  <c r="I314" i="45"/>
  <c r="K314" s="1"/>
  <c r="I297" i="42"/>
  <c r="I325" i="43"/>
  <c r="K325" s="1"/>
  <c r="I322" i="45"/>
  <c r="K322" s="1"/>
  <c r="I316" i="42"/>
  <c r="I355" i="43"/>
  <c r="K355" s="1"/>
  <c r="I350" i="45"/>
  <c r="K350" s="1"/>
  <c r="I332" i="42"/>
  <c r="I371" i="43"/>
  <c r="K371" s="1"/>
  <c r="I366" i="45"/>
  <c r="K366" s="1"/>
  <c r="I348" i="42"/>
  <c r="I387" i="43"/>
  <c r="K387" s="1"/>
  <c r="I382" i="45"/>
  <c r="K382" s="1"/>
  <c r="I364" i="42"/>
  <c r="I403" i="43"/>
  <c r="K403" s="1"/>
  <c r="I398" i="45"/>
  <c r="K398" s="1"/>
  <c r="I380" i="42"/>
  <c r="I419" i="43"/>
  <c r="K419" s="1"/>
  <c r="I414" i="45"/>
  <c r="K414" s="1"/>
  <c r="I389" i="42"/>
  <c r="I428" i="43"/>
  <c r="K428" s="1"/>
  <c r="I423" i="45"/>
  <c r="K423" s="1"/>
  <c r="I74" i="42"/>
  <c r="I102" i="43"/>
  <c r="K102" s="1"/>
  <c r="I99" i="45"/>
  <c r="K99" s="1"/>
  <c r="I90" i="42"/>
  <c r="I118" i="43"/>
  <c r="I115" i="45"/>
  <c r="I106" i="42"/>
  <c r="I134" i="43"/>
  <c r="K134" s="1"/>
  <c r="I131" i="45"/>
  <c r="K131" s="1"/>
  <c r="I122" i="42"/>
  <c r="I150" i="43"/>
  <c r="K150" s="1"/>
  <c r="I147" i="45"/>
  <c r="K147" s="1"/>
  <c r="I138" i="42"/>
  <c r="I166" i="43"/>
  <c r="K166" s="1"/>
  <c r="I163" i="45"/>
  <c r="K163" s="1"/>
  <c r="I153" i="42"/>
  <c r="I181" i="43"/>
  <c r="K181" s="1"/>
  <c r="I178" i="45"/>
  <c r="K178" s="1"/>
  <c r="I169" i="42"/>
  <c r="I197" i="43"/>
  <c r="K197" s="1"/>
  <c r="I194" i="45"/>
  <c r="K194" s="1"/>
  <c r="I185" i="42"/>
  <c r="I213" i="43"/>
  <c r="K213" s="1"/>
  <c r="I210" i="45"/>
  <c r="K210" s="1"/>
  <c r="I201" i="42"/>
  <c r="I229" i="43"/>
  <c r="K229" s="1"/>
  <c r="I226" i="45"/>
  <c r="K226" s="1"/>
  <c r="I217" i="42"/>
  <c r="I245" i="43"/>
  <c r="K245" s="1"/>
  <c r="I242" i="45"/>
  <c r="K242" s="1"/>
  <c r="I234" i="42"/>
  <c r="I262" i="43"/>
  <c r="K262" s="1"/>
  <c r="I259" i="45"/>
  <c r="K259" s="1"/>
  <c r="I258" i="42"/>
  <c r="I286" i="43"/>
  <c r="K286" s="1"/>
  <c r="I283" i="45"/>
  <c r="K283" s="1"/>
  <c r="I274" i="42"/>
  <c r="I302" i="43"/>
  <c r="K302" s="1"/>
  <c r="I299" i="45"/>
  <c r="K299" s="1"/>
  <c r="I282" i="42"/>
  <c r="I310" i="43"/>
  <c r="K310" s="1"/>
  <c r="I307" i="45"/>
  <c r="K307" s="1"/>
  <c r="I298" i="42"/>
  <c r="I326" i="43"/>
  <c r="K326" s="1"/>
  <c r="I323" i="45"/>
  <c r="K323" s="1"/>
  <c r="I317" i="42"/>
  <c r="I356" i="43"/>
  <c r="K356" s="1"/>
  <c r="I351" i="45"/>
  <c r="K351" s="1"/>
  <c r="I333" i="42"/>
  <c r="I372" i="43"/>
  <c r="K372" s="1"/>
  <c r="I367" i="45"/>
  <c r="K367" s="1"/>
  <c r="I349" i="42"/>
  <c r="I388" i="43"/>
  <c r="K388" s="1"/>
  <c r="I383" i="45"/>
  <c r="K383" s="1"/>
  <c r="I365" i="42"/>
  <c r="I404" i="43"/>
  <c r="K404" s="1"/>
  <c r="I399" i="45"/>
  <c r="K399" s="1"/>
  <c r="I390" i="42"/>
  <c r="I429" i="43"/>
  <c r="K429" s="1"/>
  <c r="I424" i="45"/>
  <c r="K424" s="1"/>
  <c r="I288" i="42"/>
  <c r="I316" i="43"/>
  <c r="K316" s="1"/>
  <c r="I313" i="45"/>
  <c r="K313" s="1"/>
  <c r="I35" i="43"/>
  <c r="K35" s="1"/>
  <c r="I15" i="42"/>
  <c r="I32" i="45"/>
  <c r="K32" s="1"/>
  <c r="I22" i="42"/>
  <c r="I42" i="43"/>
  <c r="K42" s="1"/>
  <c r="I39" i="45"/>
  <c r="K39" s="1"/>
  <c r="I30" i="42"/>
  <c r="I50" i="43"/>
  <c r="I47" i="45"/>
  <c r="I40" i="42"/>
  <c r="I68" i="43"/>
  <c r="K68" s="1"/>
  <c r="I65" i="45"/>
  <c r="K65" s="1"/>
  <c r="I48" i="42"/>
  <c r="I76" i="43"/>
  <c r="K76" s="1"/>
  <c r="I73" i="45"/>
  <c r="K73" s="1"/>
  <c r="I56" i="42"/>
  <c r="I84" i="43"/>
  <c r="K84" s="1"/>
  <c r="I81" i="45"/>
  <c r="K81" s="1"/>
  <c r="I64" i="42"/>
  <c r="I92" i="43"/>
  <c r="K92" s="1"/>
  <c r="I89" i="45"/>
  <c r="K89" s="1"/>
  <c r="I77" i="42"/>
  <c r="I105" i="43"/>
  <c r="K105" s="1"/>
  <c r="I102" i="45"/>
  <c r="K102" s="1"/>
  <c r="I93" i="42"/>
  <c r="I121" i="43"/>
  <c r="K121" s="1"/>
  <c r="I118" i="45"/>
  <c r="K118" s="1"/>
  <c r="I109" i="42"/>
  <c r="I137" i="43"/>
  <c r="K137" s="1"/>
  <c r="I134" i="45"/>
  <c r="K134" s="1"/>
  <c r="I125" i="42"/>
  <c r="I153" i="43"/>
  <c r="K153" s="1"/>
  <c r="I150" i="45"/>
  <c r="K150" s="1"/>
  <c r="I141" i="42"/>
  <c r="I169" i="43"/>
  <c r="K169" s="1"/>
  <c r="I166" i="45"/>
  <c r="K166" s="1"/>
  <c r="I156" i="42"/>
  <c r="I184" i="43"/>
  <c r="K184" s="1"/>
  <c r="I181" i="45"/>
  <c r="K181" s="1"/>
  <c r="I172" i="42"/>
  <c r="I197" i="45"/>
  <c r="K197" s="1"/>
  <c r="I200" i="43"/>
  <c r="K200" s="1"/>
  <c r="I188" i="42"/>
  <c r="I213" i="45"/>
  <c r="K213" s="1"/>
  <c r="I216" i="43"/>
  <c r="K216" s="1"/>
  <c r="I204" i="42"/>
  <c r="I232" i="43"/>
  <c r="K232" s="1"/>
  <c r="I229" i="45"/>
  <c r="K229" s="1"/>
  <c r="I16" i="42"/>
  <c r="I36" i="43"/>
  <c r="K36" s="1"/>
  <c r="I33" i="45"/>
  <c r="K33" s="1"/>
  <c r="I25" i="42"/>
  <c r="I42" i="45"/>
  <c r="K42" s="1"/>
  <c r="I45" i="43"/>
  <c r="K45" s="1"/>
  <c r="I33" i="42"/>
  <c r="I53" i="43"/>
  <c r="K53" s="1"/>
  <c r="I50" i="45"/>
  <c r="K50" s="1"/>
  <c r="I43" i="42"/>
  <c r="I71" i="43"/>
  <c r="K71" s="1"/>
  <c r="I68" i="45"/>
  <c r="K68" s="1"/>
  <c r="I79" i="43"/>
  <c r="K79" s="1"/>
  <c r="I76" i="45"/>
  <c r="K76" s="1"/>
  <c r="I51" i="42"/>
  <c r="I59"/>
  <c r="I87" i="43"/>
  <c r="K87" s="1"/>
  <c r="I84" i="45"/>
  <c r="K84" s="1"/>
  <c r="I67" i="42"/>
  <c r="I95" i="43"/>
  <c r="K95" s="1"/>
  <c r="I92" i="45"/>
  <c r="K92" s="1"/>
  <c r="I83" i="42"/>
  <c r="I111" i="43"/>
  <c r="K111" s="1"/>
  <c r="I108" i="45"/>
  <c r="K108" s="1"/>
  <c r="I99" i="42"/>
  <c r="I127" i="43"/>
  <c r="K127" s="1"/>
  <c r="I124" i="45"/>
  <c r="K124" s="1"/>
  <c r="I143" i="43"/>
  <c r="K143" s="1"/>
  <c r="I115" i="42"/>
  <c r="I140" i="45"/>
  <c r="K140" s="1"/>
  <c r="I131" i="42"/>
  <c r="I159" i="43"/>
  <c r="K159" s="1"/>
  <c r="I156" i="45"/>
  <c r="K156" s="1"/>
  <c r="I150" i="42"/>
  <c r="I178" i="43"/>
  <c r="K178" s="1"/>
  <c r="I175" i="45"/>
  <c r="K175" s="1"/>
  <c r="I166" i="42"/>
  <c r="I194" i="43"/>
  <c r="K194" s="1"/>
  <c r="I191" i="45"/>
  <c r="K191" s="1"/>
  <c r="I182" i="42"/>
  <c r="I210" i="43"/>
  <c r="K210" s="1"/>
  <c r="I207" i="45"/>
  <c r="K207" s="1"/>
  <c r="I198" i="42"/>
  <c r="I226" i="43"/>
  <c r="K226" s="1"/>
  <c r="I223" i="45"/>
  <c r="K223" s="1"/>
  <c r="I214" i="42"/>
  <c r="I242" i="43"/>
  <c r="K242" s="1"/>
  <c r="I239" i="45"/>
  <c r="K239" s="1"/>
  <c r="I227" i="42"/>
  <c r="I255" i="43"/>
  <c r="K255" s="1"/>
  <c r="I252" i="45"/>
  <c r="K252" s="1"/>
  <c r="I235" i="42"/>
  <c r="I263" i="43"/>
  <c r="K263" s="1"/>
  <c r="I260" i="45"/>
  <c r="K260" s="1"/>
  <c r="I243" i="42"/>
  <c r="I271" i="43"/>
  <c r="K271" s="1"/>
  <c r="I268" i="45"/>
  <c r="K268" s="1"/>
  <c r="I251" i="42"/>
  <c r="I279" i="43"/>
  <c r="K279" s="1"/>
  <c r="I276" i="45"/>
  <c r="K276" s="1"/>
  <c r="I259" i="42"/>
  <c r="I287" i="43"/>
  <c r="K287" s="1"/>
  <c r="I284" i="45"/>
  <c r="K284" s="1"/>
  <c r="I267" i="42"/>
  <c r="I295" i="43"/>
  <c r="K295" s="1"/>
  <c r="I292" i="45"/>
  <c r="K292" s="1"/>
  <c r="I275" i="42"/>
  <c r="I303" i="43"/>
  <c r="K303" s="1"/>
  <c r="I300" i="45"/>
  <c r="K300" s="1"/>
  <c r="I283" i="42"/>
  <c r="I311" i="43"/>
  <c r="K311" s="1"/>
  <c r="I308" i="45"/>
  <c r="K308" s="1"/>
  <c r="I291" i="42"/>
  <c r="I319" i="43"/>
  <c r="K319" s="1"/>
  <c r="I316" i="45"/>
  <c r="K316" s="1"/>
  <c r="I300" i="42"/>
  <c r="I325" i="45"/>
  <c r="K325" s="1"/>
  <c r="I328" i="43"/>
  <c r="K328" s="1"/>
  <c r="I310" i="42"/>
  <c r="I349" i="43"/>
  <c r="K349" s="1"/>
  <c r="I344" i="45"/>
  <c r="K344" s="1"/>
  <c r="I318" i="42"/>
  <c r="I357" i="43"/>
  <c r="K357" s="1"/>
  <c r="I352" i="45"/>
  <c r="K352" s="1"/>
  <c r="I326" i="42"/>
  <c r="I365" i="43"/>
  <c r="K365" s="1"/>
  <c r="I360" i="45"/>
  <c r="K360" s="1"/>
  <c r="I334" i="42"/>
  <c r="I373" i="43"/>
  <c r="K373" s="1"/>
  <c r="I368" i="45"/>
  <c r="K368" s="1"/>
  <c r="I342" i="42"/>
  <c r="I381" i="43"/>
  <c r="K381" s="1"/>
  <c r="I376" i="45"/>
  <c r="K376" s="1"/>
  <c r="I350" i="42"/>
  <c r="I389" i="43"/>
  <c r="K389" s="1"/>
  <c r="I384" i="45"/>
  <c r="K384" s="1"/>
  <c r="I358" i="42"/>
  <c r="I397" i="43"/>
  <c r="K397" s="1"/>
  <c r="I392" i="45"/>
  <c r="K392" s="1"/>
  <c r="I366" i="42"/>
  <c r="I405" i="43"/>
  <c r="K405" s="1"/>
  <c r="I400" i="45"/>
  <c r="K400" s="1"/>
  <c r="I374" i="42"/>
  <c r="I413" i="43"/>
  <c r="K413" s="1"/>
  <c r="I408" i="45"/>
  <c r="K408" s="1"/>
  <c r="I382" i="42"/>
  <c r="I421" i="43"/>
  <c r="K421" s="1"/>
  <c r="I416" i="45"/>
  <c r="K416" s="1"/>
  <c r="I430" i="43"/>
  <c r="K430" s="1"/>
  <c r="I391" i="42"/>
  <c r="I425" i="45"/>
  <c r="K425" s="1"/>
  <c r="I68" i="42"/>
  <c r="I96" i="43"/>
  <c r="K96" s="1"/>
  <c r="I93" i="45"/>
  <c r="K93" s="1"/>
  <c r="I76" i="42"/>
  <c r="I104" i="43"/>
  <c r="K104" s="1"/>
  <c r="I101" i="45"/>
  <c r="K101" s="1"/>
  <c r="I84" i="42"/>
  <c r="I112" i="43"/>
  <c r="K112" s="1"/>
  <c r="I109" i="45"/>
  <c r="K109" s="1"/>
  <c r="I92" i="42"/>
  <c r="I120" i="43"/>
  <c r="K120" s="1"/>
  <c r="I117" i="45"/>
  <c r="K117" s="1"/>
  <c r="I100" i="42"/>
  <c r="I128" i="43"/>
  <c r="K128" s="1"/>
  <c r="I125" i="45"/>
  <c r="K125" s="1"/>
  <c r="I108" i="42"/>
  <c r="I136" i="43"/>
  <c r="K136" s="1"/>
  <c r="I133" i="45"/>
  <c r="K133" s="1"/>
  <c r="I116" i="42"/>
  <c r="I144" i="43"/>
  <c r="K144" s="1"/>
  <c r="I141" i="45"/>
  <c r="K141" s="1"/>
  <c r="I124" i="42"/>
  <c r="I152" i="43"/>
  <c r="K152" s="1"/>
  <c r="I149" i="45"/>
  <c r="K149" s="1"/>
  <c r="I132" i="42"/>
  <c r="I160" i="43"/>
  <c r="K160" s="1"/>
  <c r="I157" i="45"/>
  <c r="K157" s="1"/>
  <c r="I140" i="42"/>
  <c r="I168" i="43"/>
  <c r="K168" s="1"/>
  <c r="I165" i="45"/>
  <c r="K165" s="1"/>
  <c r="I147" i="42"/>
  <c r="I175" i="43"/>
  <c r="K175" s="1"/>
  <c r="I172" i="45"/>
  <c r="K172" s="1"/>
  <c r="I155" i="42"/>
  <c r="I183" i="43"/>
  <c r="K183" s="1"/>
  <c r="I180" i="45"/>
  <c r="K180" s="1"/>
  <c r="I163" i="42"/>
  <c r="I191" i="43"/>
  <c r="K191" s="1"/>
  <c r="I188" i="45"/>
  <c r="K188" s="1"/>
  <c r="I171" i="42"/>
  <c r="I199" i="43"/>
  <c r="K199" s="1"/>
  <c r="I196" i="45"/>
  <c r="K196" s="1"/>
  <c r="I179" i="42"/>
  <c r="I207" i="43"/>
  <c r="K207" s="1"/>
  <c r="I204" i="45"/>
  <c r="K204" s="1"/>
  <c r="I187" i="42"/>
  <c r="I215" i="43"/>
  <c r="K215" s="1"/>
  <c r="I212" i="45"/>
  <c r="K212" s="1"/>
  <c r="I195" i="42"/>
  <c r="I223" i="43"/>
  <c r="K223" s="1"/>
  <c r="I220" i="45"/>
  <c r="K220" s="1"/>
  <c r="I231" i="43"/>
  <c r="K231" s="1"/>
  <c r="I203" i="42"/>
  <c r="I228" i="45"/>
  <c r="K228" s="1"/>
  <c r="I211" i="42"/>
  <c r="I239" i="43"/>
  <c r="K239" s="1"/>
  <c r="I236" i="45"/>
  <c r="K236" s="1"/>
  <c r="I219" i="42"/>
  <c r="I247" i="43"/>
  <c r="K247" s="1"/>
  <c r="I244" i="45"/>
  <c r="K244" s="1"/>
  <c r="I228" i="42"/>
  <c r="I256" i="43"/>
  <c r="K256" s="1"/>
  <c r="I253" i="45"/>
  <c r="K253" s="1"/>
  <c r="I236" i="42"/>
  <c r="I264" i="43"/>
  <c r="K264" s="1"/>
  <c r="I261" i="45"/>
  <c r="K261" s="1"/>
  <c r="I244" i="42"/>
  <c r="I272" i="43"/>
  <c r="K272" s="1"/>
  <c r="I269" i="45"/>
  <c r="K269" s="1"/>
  <c r="I252" i="42"/>
  <c r="I277" i="45"/>
  <c r="K277" s="1"/>
  <c r="I280" i="43"/>
  <c r="K280" s="1"/>
  <c r="I260" i="42"/>
  <c r="I285" i="45"/>
  <c r="K285" s="1"/>
  <c r="I288" i="43"/>
  <c r="K288" s="1"/>
  <c r="I268" i="42"/>
  <c r="I296" i="43"/>
  <c r="K296" s="1"/>
  <c r="I293" i="45"/>
  <c r="K293" s="1"/>
  <c r="I276" i="42"/>
  <c r="I301" i="45"/>
  <c r="K301" s="1"/>
  <c r="I304" i="43"/>
  <c r="K304" s="1"/>
  <c r="I284" i="42"/>
  <c r="I309" i="45"/>
  <c r="K309" s="1"/>
  <c r="I312" i="43"/>
  <c r="K312" s="1"/>
  <c r="I292" i="42"/>
  <c r="I317" i="45"/>
  <c r="K317" s="1"/>
  <c r="I320" i="43"/>
  <c r="K320" s="1"/>
  <c r="I301" i="42"/>
  <c r="I329" i="43"/>
  <c r="K329" s="1"/>
  <c r="I326" i="45"/>
  <c r="K326" s="1"/>
  <c r="I311" i="42"/>
  <c r="I345" i="45"/>
  <c r="K345" s="1"/>
  <c r="I350" i="43"/>
  <c r="K350" s="1"/>
  <c r="I319" i="42"/>
  <c r="I353" i="45"/>
  <c r="K353" s="1"/>
  <c r="I358" i="43"/>
  <c r="K358" s="1"/>
  <c r="I327" i="42"/>
  <c r="I361" i="45"/>
  <c r="K361" s="1"/>
  <c r="I366" i="43"/>
  <c r="K366" s="1"/>
  <c r="I335" i="42"/>
  <c r="I374" i="43"/>
  <c r="K374" s="1"/>
  <c r="I369" i="45"/>
  <c r="K369" s="1"/>
  <c r="I343" i="42"/>
  <c r="I382" i="43"/>
  <c r="K382" s="1"/>
  <c r="I377" i="45"/>
  <c r="K377" s="1"/>
  <c r="I351" i="42"/>
  <c r="I390" i="43"/>
  <c r="K390" s="1"/>
  <c r="I385" i="45"/>
  <c r="K385" s="1"/>
  <c r="I359" i="42"/>
  <c r="I398" i="43"/>
  <c r="K398" s="1"/>
  <c r="I393" i="45"/>
  <c r="K393" s="1"/>
  <c r="I367" i="42"/>
  <c r="I406" i="43"/>
  <c r="K406" s="1"/>
  <c r="I401" i="45"/>
  <c r="K401" s="1"/>
  <c r="I375" i="42"/>
  <c r="I414" i="43"/>
  <c r="K414" s="1"/>
  <c r="I409" i="45"/>
  <c r="K409" s="1"/>
  <c r="I383" i="42"/>
  <c r="I422" i="43"/>
  <c r="K422" s="1"/>
  <c r="I417" i="45"/>
  <c r="K417" s="1"/>
  <c r="I392" i="42"/>
  <c r="I431" i="43"/>
  <c r="K431" s="1"/>
  <c r="I426" i="45"/>
  <c r="K426" s="1"/>
  <c r="I399" i="42"/>
  <c r="I438" i="43"/>
  <c r="K438" s="1"/>
  <c r="I433" i="45"/>
  <c r="K433" s="1"/>
  <c r="I26" i="42"/>
  <c r="I46" i="43"/>
  <c r="K46" s="1"/>
  <c r="I43" i="45"/>
  <c r="K43" s="1"/>
  <c r="I44" i="42"/>
  <c r="I72" i="43"/>
  <c r="K72" s="1"/>
  <c r="I69" i="45"/>
  <c r="K69" s="1"/>
  <c r="I60" i="42"/>
  <c r="I88" i="43"/>
  <c r="K88" s="1"/>
  <c r="I85" i="45"/>
  <c r="K85" s="1"/>
  <c r="I85" i="42"/>
  <c r="I113" i="43"/>
  <c r="K113" s="1"/>
  <c r="I110" i="45"/>
  <c r="K110" s="1"/>
  <c r="I117" i="42"/>
  <c r="I145" i="43"/>
  <c r="K145" s="1"/>
  <c r="I142" i="45"/>
  <c r="K142" s="1"/>
  <c r="I148" i="42"/>
  <c r="I176" i="43"/>
  <c r="K176" s="1"/>
  <c r="I173" i="45"/>
  <c r="K173" s="1"/>
  <c r="I180" i="42"/>
  <c r="I205" i="45"/>
  <c r="K205" s="1"/>
  <c r="I208" i="43"/>
  <c r="K208" s="1"/>
  <c r="I212" i="42"/>
  <c r="I240" i="43"/>
  <c r="K240" s="1"/>
  <c r="I237" i="45"/>
  <c r="K237" s="1"/>
  <c r="I20" i="42"/>
  <c r="I40" i="43"/>
  <c r="K40" s="1"/>
  <c r="I37" i="45"/>
  <c r="K37" s="1"/>
  <c r="I55" i="42"/>
  <c r="I83" i="43"/>
  <c r="K83" s="1"/>
  <c r="I80" i="45"/>
  <c r="K80" s="1"/>
  <c r="I75" i="42"/>
  <c r="I103" i="43"/>
  <c r="K103" s="1"/>
  <c r="I100" i="45"/>
  <c r="K100" s="1"/>
  <c r="I107" i="42"/>
  <c r="I135" i="43"/>
  <c r="K135" s="1"/>
  <c r="I132" i="45"/>
  <c r="K132" s="1"/>
  <c r="I139" i="42"/>
  <c r="I167" i="43"/>
  <c r="K167" s="1"/>
  <c r="I164" i="45"/>
  <c r="K164" s="1"/>
  <c r="I174" i="42"/>
  <c r="I202" i="43"/>
  <c r="K202" s="1"/>
  <c r="I199" i="45"/>
  <c r="K199" s="1"/>
  <c r="I206" i="42"/>
  <c r="I234" i="43"/>
  <c r="K234" s="1"/>
  <c r="I231" i="45"/>
  <c r="K231" s="1"/>
  <c r="I231" i="42"/>
  <c r="I259" i="43"/>
  <c r="K259" s="1"/>
  <c r="I256" i="45"/>
  <c r="K256" s="1"/>
  <c r="I247" i="42"/>
  <c r="I275" i="43"/>
  <c r="K275" s="1"/>
  <c r="I272" i="45"/>
  <c r="K272" s="1"/>
  <c r="I263" i="42"/>
  <c r="I291" i="43"/>
  <c r="K291" s="1"/>
  <c r="I288" i="45"/>
  <c r="K288" s="1"/>
  <c r="I279" i="42"/>
  <c r="I307" i="43"/>
  <c r="K307" s="1"/>
  <c r="I304" i="45"/>
  <c r="K304" s="1"/>
  <c r="I295" i="42"/>
  <c r="I323" i="43"/>
  <c r="K323" s="1"/>
  <c r="I320" i="45"/>
  <c r="K320" s="1"/>
  <c r="I314" i="42"/>
  <c r="I353" i="43"/>
  <c r="K353" s="1"/>
  <c r="I348" i="45"/>
  <c r="K348" s="1"/>
  <c r="I322" i="42"/>
  <c r="I356" i="45"/>
  <c r="K356" s="1"/>
  <c r="I361" i="43"/>
  <c r="K361" s="1"/>
  <c r="I338" i="42"/>
  <c r="I377" i="43"/>
  <c r="K377" s="1"/>
  <c r="I372" i="45"/>
  <c r="K372" s="1"/>
  <c r="I354" i="42"/>
  <c r="I393" i="43"/>
  <c r="K393" s="1"/>
  <c r="I388" i="45"/>
  <c r="K388" s="1"/>
  <c r="I370" i="42"/>
  <c r="I409" i="43"/>
  <c r="K409" s="1"/>
  <c r="I404" i="45"/>
  <c r="K404" s="1"/>
  <c r="I387" i="42"/>
  <c r="I426" i="43"/>
  <c r="K426" s="1"/>
  <c r="I421" i="45"/>
  <c r="K421" s="1"/>
  <c r="I72" i="42"/>
  <c r="I100" i="43"/>
  <c r="K100" s="1"/>
  <c r="I97" i="45"/>
  <c r="K97" s="1"/>
  <c r="I88" i="42"/>
  <c r="I116" i="43"/>
  <c r="K116" s="1"/>
  <c r="I113" i="45"/>
  <c r="K113" s="1"/>
  <c r="I104" i="42"/>
  <c r="I132" i="43"/>
  <c r="K132" s="1"/>
  <c r="I129" i="45"/>
  <c r="K129" s="1"/>
  <c r="I120" i="42"/>
  <c r="I148" i="43"/>
  <c r="K148" s="1"/>
  <c r="I145" i="45"/>
  <c r="K145" s="1"/>
  <c r="I144" i="42"/>
  <c r="I172" i="43"/>
  <c r="K172" s="1"/>
  <c r="I169" i="45"/>
  <c r="K169" s="1"/>
  <c r="I159" i="42"/>
  <c r="I187" i="43"/>
  <c r="K187" s="1"/>
  <c r="I184" i="45"/>
  <c r="K184" s="1"/>
  <c r="I195" i="43"/>
  <c r="K195" s="1"/>
  <c r="I167" i="42"/>
  <c r="I192" i="45"/>
  <c r="K192" s="1"/>
  <c r="I191" i="42"/>
  <c r="I219" i="43"/>
  <c r="I216" i="45"/>
  <c r="I207" i="42"/>
  <c r="I235" i="43"/>
  <c r="K235" s="1"/>
  <c r="I232" i="45"/>
  <c r="K232" s="1"/>
  <c r="I223" i="42"/>
  <c r="I251" i="43"/>
  <c r="K251" s="1"/>
  <c r="I248" i="45"/>
  <c r="K248" s="1"/>
  <c r="I240" i="42"/>
  <c r="I268" i="43"/>
  <c r="K268" s="1"/>
  <c r="I265" i="45"/>
  <c r="K265" s="1"/>
  <c r="I256" i="42"/>
  <c r="I284" i="43"/>
  <c r="K284" s="1"/>
  <c r="I281" i="45"/>
  <c r="K281" s="1"/>
  <c r="I272" i="42"/>
  <c r="I300" i="43"/>
  <c r="K300" s="1"/>
  <c r="I297" i="45"/>
  <c r="K297" s="1"/>
  <c r="I296" i="42"/>
  <c r="I324" i="43"/>
  <c r="K324" s="1"/>
  <c r="I321" i="45"/>
  <c r="K321" s="1"/>
  <c r="I315" i="42"/>
  <c r="I354" i="43"/>
  <c r="K354" s="1"/>
  <c r="I349" i="45"/>
  <c r="K349" s="1"/>
  <c r="I331" i="42"/>
  <c r="I370" i="43"/>
  <c r="K370" s="1"/>
  <c r="I365" i="45"/>
  <c r="K365" s="1"/>
  <c r="I347" i="42"/>
  <c r="I386" i="43"/>
  <c r="K386" s="1"/>
  <c r="I381" i="45"/>
  <c r="K381" s="1"/>
  <c r="I402" i="43"/>
  <c r="K402" s="1"/>
  <c r="I363" i="42"/>
  <c r="I397" i="45"/>
  <c r="K397" s="1"/>
  <c r="I379" i="42"/>
  <c r="I418" i="43"/>
  <c r="K418" s="1"/>
  <c r="I413" i="45"/>
  <c r="K413" s="1"/>
  <c r="I396" i="42"/>
  <c r="I435" i="43"/>
  <c r="K435" s="1"/>
  <c r="I430" i="45"/>
  <c r="K430" s="1"/>
  <c r="I28" i="42"/>
  <c r="I48" i="43"/>
  <c r="K48" s="1"/>
  <c r="I45" i="45"/>
  <c r="K45" s="1"/>
  <c r="I46" i="42"/>
  <c r="I74" i="43"/>
  <c r="K74" s="1"/>
  <c r="I71" i="45"/>
  <c r="K71" s="1"/>
  <c r="I62" i="42"/>
  <c r="I90" i="43"/>
  <c r="K90" s="1"/>
  <c r="I87" i="45"/>
  <c r="K87" s="1"/>
  <c r="I89" i="42"/>
  <c r="I117" i="43"/>
  <c r="K117" s="1"/>
  <c r="I114" i="45"/>
  <c r="K114" s="1"/>
  <c r="I121" i="42"/>
  <c r="I149" i="43"/>
  <c r="K149" s="1"/>
  <c r="I146" i="45"/>
  <c r="K146" s="1"/>
  <c r="I152" i="42"/>
  <c r="I180" i="43"/>
  <c r="K180" s="1"/>
  <c r="I177" i="45"/>
  <c r="K177" s="1"/>
  <c r="I184" i="42"/>
  <c r="I209" i="45"/>
  <c r="K209" s="1"/>
  <c r="I212" i="43"/>
  <c r="K212" s="1"/>
  <c r="I216" i="42"/>
  <c r="I244" i="43"/>
  <c r="K244" s="1"/>
  <c r="I241" i="45"/>
  <c r="K241" s="1"/>
  <c r="I23" i="42"/>
  <c r="I43" i="43"/>
  <c r="K43" s="1"/>
  <c r="I40" i="45"/>
  <c r="K40" s="1"/>
  <c r="I41" i="42"/>
  <c r="I69" i="43"/>
  <c r="K69" s="1"/>
  <c r="I66" i="45"/>
  <c r="K66" s="1"/>
  <c r="I57" i="42"/>
  <c r="I85" i="43"/>
  <c r="K85" s="1"/>
  <c r="I82" i="45"/>
  <c r="K82" s="1"/>
  <c r="I65" i="42"/>
  <c r="I93" i="43"/>
  <c r="K93" s="1"/>
  <c r="I90" i="45"/>
  <c r="K90" s="1"/>
  <c r="I111" i="42"/>
  <c r="I139" i="43"/>
  <c r="K139" s="1"/>
  <c r="I136" i="45"/>
  <c r="K136" s="1"/>
  <c r="I143" i="42"/>
  <c r="I171" i="43"/>
  <c r="K171" s="1"/>
  <c r="I168" i="45"/>
  <c r="K168" s="1"/>
  <c r="I178" i="42"/>
  <c r="I206" i="43"/>
  <c r="K206" s="1"/>
  <c r="I203" i="45"/>
  <c r="K203" s="1"/>
  <c r="I210" i="42"/>
  <c r="I238" i="43"/>
  <c r="K238" s="1"/>
  <c r="I235" i="45"/>
  <c r="K235" s="1"/>
  <c r="I233" i="42"/>
  <c r="I261" i="43"/>
  <c r="K261" s="1"/>
  <c r="I258" i="45"/>
  <c r="K258" s="1"/>
  <c r="I277" i="43"/>
  <c r="K277" s="1"/>
  <c r="I249" i="42"/>
  <c r="I274" i="45"/>
  <c r="K274" s="1"/>
  <c r="I265" i="42"/>
  <c r="I293" i="43"/>
  <c r="K293" s="1"/>
  <c r="I290" i="45"/>
  <c r="K290" s="1"/>
  <c r="I281" i="42"/>
  <c r="I309" i="43"/>
  <c r="K309" s="1"/>
  <c r="I306" i="45"/>
  <c r="K306" s="1"/>
  <c r="I324" i="42"/>
  <c r="I363" i="43"/>
  <c r="K363" s="1"/>
  <c r="I358" i="45"/>
  <c r="K358" s="1"/>
  <c r="I340" i="42"/>
  <c r="I379" i="43"/>
  <c r="K379" s="1"/>
  <c r="I374" i="45"/>
  <c r="K374" s="1"/>
  <c r="I356" i="42"/>
  <c r="I395" i="43"/>
  <c r="K395" s="1"/>
  <c r="I390" i="45"/>
  <c r="K390" s="1"/>
  <c r="I372" i="42"/>
  <c r="I411" i="43"/>
  <c r="K411" s="1"/>
  <c r="I406" i="45"/>
  <c r="K406" s="1"/>
  <c r="I398" i="42"/>
  <c r="I437" i="43"/>
  <c r="K437" s="1"/>
  <c r="I432" i="45"/>
  <c r="K432" s="1"/>
  <c r="I82" i="42"/>
  <c r="I110" i="43"/>
  <c r="K110" s="1"/>
  <c r="I107" i="45"/>
  <c r="K107" s="1"/>
  <c r="I98" i="42"/>
  <c r="I126" i="43"/>
  <c r="K126" s="1"/>
  <c r="I123" i="45"/>
  <c r="K123" s="1"/>
  <c r="I114" i="42"/>
  <c r="I142" i="43"/>
  <c r="K142" s="1"/>
  <c r="I139" i="45"/>
  <c r="K139" s="1"/>
  <c r="I130" i="42"/>
  <c r="I158" i="43"/>
  <c r="K158" s="1"/>
  <c r="I155" i="45"/>
  <c r="K155" s="1"/>
  <c r="I146" i="42"/>
  <c r="I174" i="43"/>
  <c r="K174" s="1"/>
  <c r="I171" i="45"/>
  <c r="K171" s="1"/>
  <c r="I161" i="42"/>
  <c r="I189" i="43"/>
  <c r="K189" s="1"/>
  <c r="I186" i="45"/>
  <c r="K186" s="1"/>
  <c r="I177" i="42"/>
  <c r="I205" i="43"/>
  <c r="K205" s="1"/>
  <c r="I202" i="45"/>
  <c r="K202" s="1"/>
  <c r="I193" i="42"/>
  <c r="I221" i="43"/>
  <c r="K221" s="1"/>
  <c r="I218" i="45"/>
  <c r="K218" s="1"/>
  <c r="I209" i="42"/>
  <c r="I237" i="43"/>
  <c r="K237" s="1"/>
  <c r="I234" i="45"/>
  <c r="K234" s="1"/>
  <c r="I226" i="42"/>
  <c r="I254" i="43"/>
  <c r="K254" s="1"/>
  <c r="I251" i="45"/>
  <c r="K251" s="1"/>
  <c r="I242" i="42"/>
  <c r="I270" i="43"/>
  <c r="K270" s="1"/>
  <c r="I267" i="45"/>
  <c r="K267" s="1"/>
  <c r="I250" i="42"/>
  <c r="I278" i="43"/>
  <c r="K278" s="1"/>
  <c r="I275" i="45"/>
  <c r="K275" s="1"/>
  <c r="I266" i="42"/>
  <c r="I294" i="43"/>
  <c r="K294" s="1"/>
  <c r="I291" i="45"/>
  <c r="K291" s="1"/>
  <c r="I290" i="42"/>
  <c r="I318" i="43"/>
  <c r="K318" s="1"/>
  <c r="I315" i="45"/>
  <c r="K315" s="1"/>
  <c r="I309" i="42"/>
  <c r="I348" i="43"/>
  <c r="K348" s="1"/>
  <c r="I343" i="45"/>
  <c r="K343" s="1"/>
  <c r="I325" i="42"/>
  <c r="I364" i="43"/>
  <c r="K364" s="1"/>
  <c r="I359" i="45"/>
  <c r="K359" s="1"/>
  <c r="I341" i="42"/>
  <c r="I380" i="43"/>
  <c r="K380" s="1"/>
  <c r="I375" i="45"/>
  <c r="K375" s="1"/>
  <c r="I357" i="42"/>
  <c r="I396" i="43"/>
  <c r="K396" s="1"/>
  <c r="I391" i="45"/>
  <c r="K391" s="1"/>
  <c r="I373" i="42"/>
  <c r="I412" i="43"/>
  <c r="K412" s="1"/>
  <c r="I407" i="45"/>
  <c r="K407" s="1"/>
  <c r="I381" i="42"/>
  <c r="I420" i="43"/>
  <c r="K420" s="1"/>
  <c r="I415" i="45"/>
  <c r="K415" s="1"/>
  <c r="I397" i="42"/>
  <c r="I436" i="43"/>
  <c r="K436" s="1"/>
  <c r="I431" i="45"/>
  <c r="K431" s="1"/>
  <c r="I244" i="52"/>
  <c r="K244" s="1"/>
  <c r="I17" i="42"/>
  <c r="I34" i="45"/>
  <c r="K34" s="1"/>
  <c r="I37" i="43"/>
  <c r="K37" s="1"/>
  <c r="I24" i="42"/>
  <c r="I44" i="43"/>
  <c r="K44" s="1"/>
  <c r="I41" i="45"/>
  <c r="K41" s="1"/>
  <c r="I32" i="42"/>
  <c r="I52" i="43"/>
  <c r="K52" s="1"/>
  <c r="I49" i="45"/>
  <c r="K49" s="1"/>
  <c r="I42" i="42"/>
  <c r="I70" i="43"/>
  <c r="K70" s="1"/>
  <c r="I67" i="45"/>
  <c r="K67" s="1"/>
  <c r="I50" i="42"/>
  <c r="I78" i="43"/>
  <c r="K78" s="1"/>
  <c r="I75" i="45"/>
  <c r="K75" s="1"/>
  <c r="I58" i="42"/>
  <c r="I86" i="43"/>
  <c r="K86" s="1"/>
  <c r="I83" i="45"/>
  <c r="K83" s="1"/>
  <c r="I66" i="42"/>
  <c r="I94" i="43"/>
  <c r="K94" s="1"/>
  <c r="I91" i="45"/>
  <c r="K91" s="1"/>
  <c r="I81" i="42"/>
  <c r="I109" i="43"/>
  <c r="K109" s="1"/>
  <c r="I106" i="45"/>
  <c r="K106" s="1"/>
  <c r="I97" i="42"/>
  <c r="I125" i="43"/>
  <c r="K125" s="1"/>
  <c r="I122" i="45"/>
  <c r="K122" s="1"/>
  <c r="I113" i="42"/>
  <c r="I141" i="43"/>
  <c r="K141" s="1"/>
  <c r="I138" i="45"/>
  <c r="K138" s="1"/>
  <c r="I129" i="42"/>
  <c r="I157" i="43"/>
  <c r="K157" s="1"/>
  <c r="I154" i="45"/>
  <c r="K154" s="1"/>
  <c r="I145" i="42"/>
  <c r="I173" i="43"/>
  <c r="K173" s="1"/>
  <c r="I170" i="45"/>
  <c r="K170" s="1"/>
  <c r="I160" i="42"/>
  <c r="I185" i="45"/>
  <c r="K185" s="1"/>
  <c r="I188" i="43"/>
  <c r="K188" s="1"/>
  <c r="I176" i="42"/>
  <c r="I201" i="45"/>
  <c r="K201" s="1"/>
  <c r="I204" i="43"/>
  <c r="K204" s="1"/>
  <c r="I192" i="42"/>
  <c r="I220" i="43"/>
  <c r="K220" s="1"/>
  <c r="I217" i="45"/>
  <c r="K217" s="1"/>
  <c r="I208" i="42"/>
  <c r="I236" i="43"/>
  <c r="K236" s="1"/>
  <c r="I233" i="45"/>
  <c r="K233" s="1"/>
  <c r="I224" i="42"/>
  <c r="I252" i="43"/>
  <c r="K252" s="1"/>
  <c r="I249" i="45"/>
  <c r="K249" s="1"/>
  <c r="I18" i="42"/>
  <c r="I38" i="43"/>
  <c r="K38" s="1"/>
  <c r="I35" i="45"/>
  <c r="K35" s="1"/>
  <c r="I27" i="42"/>
  <c r="I47" i="43"/>
  <c r="K47" s="1"/>
  <c r="I44" i="45"/>
  <c r="K44" s="1"/>
  <c r="I35" i="42"/>
  <c r="I55" i="43"/>
  <c r="K55" s="1"/>
  <c r="I52" i="45"/>
  <c r="K52" s="1"/>
  <c r="I45" i="42"/>
  <c r="I73" i="43"/>
  <c r="K73" s="1"/>
  <c r="I70" i="45"/>
  <c r="K70" s="1"/>
  <c r="I53" i="42"/>
  <c r="I81" i="43"/>
  <c r="K81" s="1"/>
  <c r="I78" i="45"/>
  <c r="K78" s="1"/>
  <c r="I61" i="42"/>
  <c r="I89" i="43"/>
  <c r="K89" s="1"/>
  <c r="I86" i="45"/>
  <c r="K86" s="1"/>
  <c r="I71" i="42"/>
  <c r="I99" i="43"/>
  <c r="K99" s="1"/>
  <c r="I96" i="45"/>
  <c r="K96" s="1"/>
  <c r="I87" i="42"/>
  <c r="I115" i="43"/>
  <c r="K115" s="1"/>
  <c r="I112" i="45"/>
  <c r="K112" s="1"/>
  <c r="I103" i="42"/>
  <c r="I131" i="43"/>
  <c r="K131" s="1"/>
  <c r="I128" i="45"/>
  <c r="K128" s="1"/>
  <c r="I119" i="42"/>
  <c r="I147" i="43"/>
  <c r="K147" s="1"/>
  <c r="I144" i="45"/>
  <c r="K144" s="1"/>
  <c r="I135" i="42"/>
  <c r="I163" i="43"/>
  <c r="K163" s="1"/>
  <c r="I160" i="45"/>
  <c r="K160" s="1"/>
  <c r="I154" i="42"/>
  <c r="I182" i="43"/>
  <c r="K182" s="1"/>
  <c r="I179" i="45"/>
  <c r="K179" s="1"/>
  <c r="I170" i="42"/>
  <c r="I198" i="43"/>
  <c r="K198" s="1"/>
  <c r="I195" i="45"/>
  <c r="K195" s="1"/>
  <c r="I186" i="42"/>
  <c r="I214" i="43"/>
  <c r="K214" s="1"/>
  <c r="I211" i="45"/>
  <c r="K211" s="1"/>
  <c r="I202" i="42"/>
  <c r="I230" i="43"/>
  <c r="K230" s="1"/>
  <c r="I227" i="45"/>
  <c r="K227" s="1"/>
  <c r="I218" i="42"/>
  <c r="I246" i="43"/>
  <c r="K246" s="1"/>
  <c r="I243" i="45"/>
  <c r="K243" s="1"/>
  <c r="I229" i="42"/>
  <c r="I257" i="43"/>
  <c r="K257" s="1"/>
  <c r="I254" i="45"/>
  <c r="K254" s="1"/>
  <c r="I237" i="42"/>
  <c r="I265" i="43"/>
  <c r="K265" s="1"/>
  <c r="I262" i="45"/>
  <c r="K262" s="1"/>
  <c r="I245" i="42"/>
  <c r="I273" i="43"/>
  <c r="K273" s="1"/>
  <c r="I270" i="45"/>
  <c r="K270" s="1"/>
  <c r="I253" i="42"/>
  <c r="I281" i="43"/>
  <c r="K281" s="1"/>
  <c r="I278" i="45"/>
  <c r="K278" s="1"/>
  <c r="I261" i="42"/>
  <c r="I289" i="43"/>
  <c r="K289" s="1"/>
  <c r="I286" i="45"/>
  <c r="K286" s="1"/>
  <c r="I269" i="42"/>
  <c r="I297" i="43"/>
  <c r="K297" s="1"/>
  <c r="I294" i="45"/>
  <c r="K294" s="1"/>
  <c r="I277" i="42"/>
  <c r="I305" i="43"/>
  <c r="K305" s="1"/>
  <c r="I302" i="45"/>
  <c r="K302" s="1"/>
  <c r="I285" i="42"/>
  <c r="I313" i="43"/>
  <c r="K313" s="1"/>
  <c r="I310" i="45"/>
  <c r="K310" s="1"/>
  <c r="I293" i="42"/>
  <c r="I321" i="43"/>
  <c r="K321" s="1"/>
  <c r="I318" i="45"/>
  <c r="K318" s="1"/>
  <c r="I302" i="42"/>
  <c r="I330" i="43"/>
  <c r="K330" s="1"/>
  <c r="I327" i="45"/>
  <c r="K327" s="1"/>
  <c r="I312" i="42"/>
  <c r="I351" i="43"/>
  <c r="K351" s="1"/>
  <c r="I346" i="45"/>
  <c r="K346" s="1"/>
  <c r="I320" i="42"/>
  <c r="I359" i="43"/>
  <c r="K359" s="1"/>
  <c r="I354" i="45"/>
  <c r="K354" s="1"/>
  <c r="I328" i="42"/>
  <c r="I367" i="43"/>
  <c r="K367" s="1"/>
  <c r="I362" i="45"/>
  <c r="K362" s="1"/>
  <c r="I336" i="42"/>
  <c r="I375" i="43"/>
  <c r="K375" s="1"/>
  <c r="I370" i="45"/>
  <c r="K370" s="1"/>
  <c r="I344" i="42"/>
  <c r="I383" i="43"/>
  <c r="K383" s="1"/>
  <c r="I378" i="45"/>
  <c r="K378" s="1"/>
  <c r="I352" i="42"/>
  <c r="I391" i="43"/>
  <c r="K391" s="1"/>
  <c r="I386" i="45"/>
  <c r="K386" s="1"/>
  <c r="I360" i="42"/>
  <c r="I399" i="43"/>
  <c r="K399" s="1"/>
  <c r="I394" i="45"/>
  <c r="K394" s="1"/>
  <c r="I368" i="42"/>
  <c r="I407" i="43"/>
  <c r="K407" s="1"/>
  <c r="I402" i="45"/>
  <c r="K402" s="1"/>
  <c r="I376" i="42"/>
  <c r="I415" i="43"/>
  <c r="K415" s="1"/>
  <c r="I410" i="45"/>
  <c r="K410" s="1"/>
  <c r="I384" i="42"/>
  <c r="I423" i="43"/>
  <c r="K423" s="1"/>
  <c r="I418" i="45"/>
  <c r="K418" s="1"/>
  <c r="I393" i="42"/>
  <c r="I432" i="43"/>
  <c r="K432" s="1"/>
  <c r="I427" i="45"/>
  <c r="K427" s="1"/>
  <c r="I70" i="42"/>
  <c r="I98" i="43"/>
  <c r="K98" s="1"/>
  <c r="I95" i="45"/>
  <c r="K95" s="1"/>
  <c r="I78" i="42"/>
  <c r="I106" i="43"/>
  <c r="K106" s="1"/>
  <c r="I103" i="45"/>
  <c r="K103" s="1"/>
  <c r="I86" i="42"/>
  <c r="I114" i="43"/>
  <c r="K114" s="1"/>
  <c r="I111" i="45"/>
  <c r="K111" s="1"/>
  <c r="I94" i="42"/>
  <c r="I122" i="43"/>
  <c r="K122" s="1"/>
  <c r="I119" i="45"/>
  <c r="K119" s="1"/>
  <c r="I102" i="42"/>
  <c r="I130" i="43"/>
  <c r="K130" s="1"/>
  <c r="I127" i="45"/>
  <c r="K127" s="1"/>
  <c r="I110" i="42"/>
  <c r="I138" i="43"/>
  <c r="K138" s="1"/>
  <c r="I135" i="45"/>
  <c r="K135" s="1"/>
  <c r="I118" i="42"/>
  <c r="I146" i="43"/>
  <c r="K146" s="1"/>
  <c r="I143" i="45"/>
  <c r="K143" s="1"/>
  <c r="I126" i="42"/>
  <c r="I154" i="43"/>
  <c r="K154" s="1"/>
  <c r="I151" i="45"/>
  <c r="K151" s="1"/>
  <c r="I134" i="42"/>
  <c r="I162" i="43"/>
  <c r="I159" i="45"/>
  <c r="I142" i="42"/>
  <c r="I170" i="43"/>
  <c r="K170" s="1"/>
  <c r="I167" i="45"/>
  <c r="K167" s="1"/>
  <c r="I149" i="42"/>
  <c r="I177" i="43"/>
  <c r="K177" s="1"/>
  <c r="I174" i="45"/>
  <c r="K174" s="1"/>
  <c r="I157" i="42"/>
  <c r="I185" i="43"/>
  <c r="K185" s="1"/>
  <c r="I182" i="45"/>
  <c r="K182" s="1"/>
  <c r="I165" i="42"/>
  <c r="I193" i="43"/>
  <c r="K193" s="1"/>
  <c r="I190" i="45"/>
  <c r="K190" s="1"/>
  <c r="I173" i="42"/>
  <c r="I201" i="43"/>
  <c r="K201" s="1"/>
  <c r="I198" i="45"/>
  <c r="K198" s="1"/>
  <c r="I181" i="42"/>
  <c r="I209" i="43"/>
  <c r="K209" s="1"/>
  <c r="I206" i="45"/>
  <c r="K206" s="1"/>
  <c r="I189" i="42"/>
  <c r="I217" i="43"/>
  <c r="K217" s="1"/>
  <c r="I214" i="45"/>
  <c r="K214" s="1"/>
  <c r="I197" i="42"/>
  <c r="I225" i="43"/>
  <c r="K225" s="1"/>
  <c r="I222" i="45"/>
  <c r="K222" s="1"/>
  <c r="I205" i="42"/>
  <c r="I233" i="43"/>
  <c r="K233" s="1"/>
  <c r="I230" i="45"/>
  <c r="K230" s="1"/>
  <c r="I213" i="42"/>
  <c r="I241" i="43"/>
  <c r="K241" s="1"/>
  <c r="I238" i="45"/>
  <c r="K238" s="1"/>
  <c r="I221" i="42"/>
  <c r="I249" i="43"/>
  <c r="K249" s="1"/>
  <c r="I246" i="45"/>
  <c r="K246" s="1"/>
  <c r="I230" i="42"/>
  <c r="I258" i="43"/>
  <c r="K258" s="1"/>
  <c r="I255" i="45"/>
  <c r="K255" s="1"/>
  <c r="I238" i="42"/>
  <c r="I266" i="43"/>
  <c r="K266" s="1"/>
  <c r="I263" i="45"/>
  <c r="K263" s="1"/>
  <c r="I246" i="42"/>
  <c r="I274" i="43"/>
  <c r="K274" s="1"/>
  <c r="I271" i="45"/>
  <c r="K271" s="1"/>
  <c r="I254" i="42"/>
  <c r="I282" i="43"/>
  <c r="K282" s="1"/>
  <c r="I279" i="45"/>
  <c r="K279" s="1"/>
  <c r="I262" i="42"/>
  <c r="I290" i="43"/>
  <c r="K290" s="1"/>
  <c r="I287" i="45"/>
  <c r="K287" s="1"/>
  <c r="I270" i="42"/>
  <c r="I298" i="43"/>
  <c r="K298" s="1"/>
  <c r="I295" i="45"/>
  <c r="K295" s="1"/>
  <c r="I278" i="42"/>
  <c r="I306" i="43"/>
  <c r="K306" s="1"/>
  <c r="I303" i="45"/>
  <c r="K303" s="1"/>
  <c r="I286" i="42"/>
  <c r="I314" i="43"/>
  <c r="K314" s="1"/>
  <c r="I311" i="45"/>
  <c r="K311" s="1"/>
  <c r="I294" i="42"/>
  <c r="I322" i="43"/>
  <c r="K322" s="1"/>
  <c r="I319" i="45"/>
  <c r="K319" s="1"/>
  <c r="I303" i="42"/>
  <c r="I328" i="45"/>
  <c r="K328" s="1"/>
  <c r="I331" i="43"/>
  <c r="K331" s="1"/>
  <c r="I313" i="42"/>
  <c r="I352" i="43"/>
  <c r="K352" s="1"/>
  <c r="I347" i="45"/>
  <c r="K347" s="1"/>
  <c r="I321" i="42"/>
  <c r="I360" i="43"/>
  <c r="K360" s="1"/>
  <c r="I355" i="45"/>
  <c r="K355" s="1"/>
  <c r="I329" i="42"/>
  <c r="I368" i="43"/>
  <c r="K368" s="1"/>
  <c r="I363" i="45"/>
  <c r="K363" s="1"/>
  <c r="I337" i="42"/>
  <c r="I376" i="43"/>
  <c r="K376" s="1"/>
  <c r="I371" i="45"/>
  <c r="K371" s="1"/>
  <c r="I345" i="42"/>
  <c r="I384" i="43"/>
  <c r="K384" s="1"/>
  <c r="I379" i="45"/>
  <c r="K379" s="1"/>
  <c r="I353" i="42"/>
  <c r="I392" i="43"/>
  <c r="K392" s="1"/>
  <c r="I387" i="45"/>
  <c r="K387" s="1"/>
  <c r="I361" i="42"/>
  <c r="I400" i="43"/>
  <c r="K400" s="1"/>
  <c r="I395" i="45"/>
  <c r="K395" s="1"/>
  <c r="I369" i="42"/>
  <c r="I408" i="43"/>
  <c r="K408" s="1"/>
  <c r="I403" i="45"/>
  <c r="K403" s="1"/>
  <c r="I377" i="42"/>
  <c r="I416" i="43"/>
  <c r="K416" s="1"/>
  <c r="I411" i="45"/>
  <c r="K411" s="1"/>
  <c r="I386" i="42"/>
  <c r="I425" i="43"/>
  <c r="K425" s="1"/>
  <c r="I420" i="45"/>
  <c r="K420" s="1"/>
  <c r="I394" i="42"/>
  <c r="I433" i="43"/>
  <c r="K433" s="1"/>
  <c r="I428" i="45"/>
  <c r="K428" s="1"/>
  <c r="I299" i="42"/>
  <c r="I327" i="43"/>
  <c r="K327" s="1"/>
  <c r="I324" i="45"/>
  <c r="K324" s="1"/>
  <c r="I15" i="1"/>
  <c r="I241" i="52"/>
  <c r="K241" s="1"/>
  <c r="I243"/>
  <c r="K243" s="1"/>
  <c r="I269"/>
  <c r="K269" s="1"/>
  <c r="I321"/>
  <c r="K321" s="1"/>
  <c r="I228"/>
  <c r="K228" s="1"/>
  <c r="I298"/>
  <c r="K298" s="1"/>
  <c r="I306"/>
  <c r="K306" s="1"/>
  <c r="K331" i="1"/>
  <c r="K327" i="42" s="1"/>
  <c r="K224" i="1"/>
  <c r="K220" i="42" s="1"/>
  <c r="I81" i="52"/>
  <c r="K81" s="1"/>
  <c r="I295"/>
  <c r="K295" s="1"/>
  <c r="I303"/>
  <c r="K303" s="1"/>
  <c r="I114"/>
  <c r="K114" s="1"/>
  <c r="I280"/>
  <c r="K280" s="1"/>
  <c r="AA292" i="1"/>
  <c r="AF292" s="1"/>
  <c r="P313" i="45" s="1"/>
  <c r="I310" i="1"/>
  <c r="I41"/>
  <c r="I404"/>
  <c r="K292"/>
  <c r="K288" i="42" s="1"/>
  <c r="AF389" i="1"/>
  <c r="AA224"/>
  <c r="AF224" s="1"/>
  <c r="P245" i="45" s="1"/>
  <c r="K303" i="1"/>
  <c r="K299" i="42" s="1"/>
  <c r="AA303" i="1"/>
  <c r="K251"/>
  <c r="K247" i="42" s="1"/>
  <c r="I277" i="52"/>
  <c r="K277" s="1"/>
  <c r="K243" i="1"/>
  <c r="K239" i="42" s="1"/>
  <c r="AA243" i="1"/>
  <c r="I427" i="52"/>
  <c r="K427" s="1"/>
  <c r="I414"/>
  <c r="K414" s="1"/>
  <c r="I438"/>
  <c r="K438" s="1"/>
  <c r="I373"/>
  <c r="K373" s="1"/>
  <c r="I55"/>
  <c r="K55" s="1"/>
  <c r="I434"/>
  <c r="K434" s="1"/>
  <c r="K225" i="1"/>
  <c r="K221" i="42" s="1"/>
  <c r="AA225" i="1"/>
  <c r="K272"/>
  <c r="K268" i="42" s="1"/>
  <c r="AA272" i="1"/>
  <c r="AA251"/>
  <c r="R278" i="52" s="1"/>
  <c r="AA295" i="1"/>
  <c r="R322" i="52" s="1"/>
  <c r="K295" i="1"/>
  <c r="K291" i="42" s="1"/>
  <c r="AA216" i="1"/>
  <c r="R242" i="52" s="1"/>
  <c r="K219" i="1"/>
  <c r="K215" i="42" s="1"/>
  <c r="K277" i="1"/>
  <c r="K273" i="42" s="1"/>
  <c r="K216" i="1"/>
  <c r="K212" i="42" s="1"/>
  <c r="AA393" i="1"/>
  <c r="R432" i="52" s="1"/>
  <c r="AA57" i="1"/>
  <c r="R82" i="52" s="1"/>
  <c r="AA203" i="1"/>
  <c r="R229" i="52" s="1"/>
  <c r="AA108" i="1"/>
  <c r="R133" i="52" s="1"/>
  <c r="AA90" i="1"/>
  <c r="R115" i="52" s="1"/>
  <c r="AA331" i="1"/>
  <c r="R371" i="52" s="1"/>
  <c r="K90" i="1"/>
  <c r="K86" i="42" s="1"/>
  <c r="K57" i="1"/>
  <c r="K53" i="42" s="1"/>
  <c r="K393" i="1"/>
  <c r="K389" i="42" s="1"/>
  <c r="R250" i="52"/>
  <c r="K119" i="1"/>
  <c r="K115" i="42" s="1"/>
  <c r="AA119" i="1"/>
  <c r="R144" i="52" s="1"/>
  <c r="K397" i="1"/>
  <c r="K393" i="42" s="1"/>
  <c r="AA397" i="1"/>
  <c r="AA269"/>
  <c r="R296" i="52" s="1"/>
  <c r="K269" i="1"/>
  <c r="K265" i="42" s="1"/>
  <c r="K372" i="1"/>
  <c r="K368" i="42" s="1"/>
  <c r="AA372" i="1"/>
  <c r="K385"/>
  <c r="K381" i="42" s="1"/>
  <c r="AA38" i="1"/>
  <c r="K38"/>
  <c r="K34" i="42" s="1"/>
  <c r="AA385" i="1"/>
  <c r="K108"/>
  <c r="K104" i="42" s="1"/>
  <c r="K254" i="1"/>
  <c r="K250" i="42" s="1"/>
  <c r="AA254" i="1"/>
  <c r="R281" i="52" s="1"/>
  <c r="AA277" i="1"/>
  <c r="R304" i="52" s="1"/>
  <c r="K203" i="1"/>
  <c r="K199" i="42" s="1"/>
  <c r="AA219" i="1"/>
  <c r="R245" i="52" s="1"/>
  <c r="AF203" i="1"/>
  <c r="P224" i="45" s="1"/>
  <c r="K218" i="1"/>
  <c r="K214" i="42" s="1"/>
  <c r="AA218" i="1"/>
  <c r="R244" i="52" s="1"/>
  <c r="K280" i="1"/>
  <c r="K276" i="42" s="1"/>
  <c r="AA280" i="1"/>
  <c r="R307" i="52" s="1"/>
  <c r="AG389" i="1" l="1"/>
  <c r="Q424" i="43" s="1"/>
  <c r="P419" i="45"/>
  <c r="I407" i="1"/>
  <c r="I335" i="52"/>
  <c r="I352"/>
  <c r="AG292" i="1"/>
  <c r="Q316" i="43" s="1"/>
  <c r="AG224" i="1"/>
  <c r="Q248" i="43" s="1"/>
  <c r="R270" i="52"/>
  <c r="R299"/>
  <c r="R251"/>
  <c r="AF303" i="1"/>
  <c r="AF243"/>
  <c r="R55" i="52"/>
  <c r="R425"/>
  <c r="R412"/>
  <c r="R436"/>
  <c r="AF251" i="1"/>
  <c r="AF272"/>
  <c r="AF225"/>
  <c r="AF295"/>
  <c r="P316" i="45" s="1"/>
  <c r="AF216" i="1"/>
  <c r="P237" i="45" s="1"/>
  <c r="AF331" i="1"/>
  <c r="AF108"/>
  <c r="P129" i="45" s="1"/>
  <c r="AF90" i="1"/>
  <c r="P111" i="45" s="1"/>
  <c r="AF393" i="1"/>
  <c r="AF57"/>
  <c r="P78" i="45" s="1"/>
  <c r="AF277" i="1"/>
  <c r="P298" i="45" s="1"/>
  <c r="AF219" i="1"/>
  <c r="P240" i="45" s="1"/>
  <c r="AF119" i="1"/>
  <c r="P140" i="45" s="1"/>
  <c r="AF397" i="1"/>
  <c r="P427" i="45" s="1"/>
  <c r="AF269" i="1"/>
  <c r="P290" i="45" s="1"/>
  <c r="AF385" i="1"/>
  <c r="P415" i="45" s="1"/>
  <c r="AF372" i="1"/>
  <c r="P402" i="45" s="1"/>
  <c r="AF38" i="1"/>
  <c r="P51" i="45" s="1"/>
  <c r="AF254" i="1"/>
  <c r="P275" i="45" s="1"/>
  <c r="AG203" i="1"/>
  <c r="Q227" i="43" s="1"/>
  <c r="AF218" i="1"/>
  <c r="P239" i="45" s="1"/>
  <c r="AW277" i="1"/>
  <c r="X301" i="43" s="1"/>
  <c r="AF280" i="1"/>
  <c r="P301" i="45" s="1"/>
  <c r="CA309" i="1"/>
  <c r="L305" i="42" s="1"/>
  <c r="T309" i="1"/>
  <c r="P335" i="52" s="1"/>
  <c r="AG393" i="1" l="1"/>
  <c r="Q428" i="43" s="1"/>
  <c r="P423" i="45"/>
  <c r="AG225" i="1"/>
  <c r="Q249" i="43" s="1"/>
  <c r="P246" i="45"/>
  <c r="AG303" i="1"/>
  <c r="Q327" i="43" s="1"/>
  <c r="P324" i="45"/>
  <c r="AG251" i="1"/>
  <c r="Q275" i="43" s="1"/>
  <c r="P272" i="45"/>
  <c r="AG243" i="1"/>
  <c r="Q267" i="43" s="1"/>
  <c r="P264" i="45"/>
  <c r="AG331" i="1"/>
  <c r="Q366" i="43" s="1"/>
  <c r="P361" i="45"/>
  <c r="AG272" i="1"/>
  <c r="Q296" i="43" s="1"/>
  <c r="P293" i="45"/>
  <c r="AG385" i="1"/>
  <c r="Q420" i="43" s="1"/>
  <c r="AW303" i="1"/>
  <c r="X327" i="43" s="1"/>
  <c r="AG90" i="1"/>
  <c r="Q114" i="43" s="1"/>
  <c r="AG219" i="1"/>
  <c r="Q243" i="43" s="1"/>
  <c r="AG295" i="1"/>
  <c r="Q319" i="43" s="1"/>
  <c r="AG277" i="1"/>
  <c r="Q301" i="43" s="1"/>
  <c r="AG216" i="1"/>
  <c r="Q240" i="43" s="1"/>
  <c r="AG108" i="1"/>
  <c r="Q132" i="43" s="1"/>
  <c r="AG57" i="1"/>
  <c r="Q81" i="43" s="1"/>
  <c r="AG372" i="1"/>
  <c r="Q407" i="43" s="1"/>
  <c r="AG397" i="1"/>
  <c r="Q432" i="43" s="1"/>
  <c r="AG254" i="1"/>
  <c r="Q278" i="43" s="1"/>
  <c r="AG269" i="1"/>
  <c r="Q293" i="43" s="1"/>
  <c r="AG119" i="1"/>
  <c r="Q143" i="43" s="1"/>
  <c r="AG38" i="1"/>
  <c r="Q54" i="43" s="1"/>
  <c r="CP277" i="1"/>
  <c r="AG218"/>
  <c r="Q242" i="43" s="1"/>
  <c r="AG280" i="1"/>
  <c r="Q304" i="43" s="1"/>
  <c r="BF292" i="1" l="1"/>
  <c r="BF224"/>
  <c r="CP303"/>
  <c r="BF303"/>
  <c r="DM215"/>
  <c r="DL215"/>
  <c r="DK215"/>
  <c r="DJ215"/>
  <c r="CH215"/>
  <c r="CA215"/>
  <c r="L211" i="42" s="1"/>
  <c r="BH215" i="1"/>
  <c r="BD215"/>
  <c r="AQ215"/>
  <c r="AO215"/>
  <c r="T239" i="43" s="1"/>
  <c r="AC215" i="1"/>
  <c r="T215"/>
  <c r="P241" i="52" s="1"/>
  <c r="Q215" i="1"/>
  <c r="DM112"/>
  <c r="DL112"/>
  <c r="DK112"/>
  <c r="DJ112"/>
  <c r="CH112"/>
  <c r="CA112"/>
  <c r="L108" i="42" s="1"/>
  <c r="BH112" i="1"/>
  <c r="BD112"/>
  <c r="AQ112"/>
  <c r="AO112"/>
  <c r="T136" i="43" s="1"/>
  <c r="AC112" i="1"/>
  <c r="T112"/>
  <c r="P137" i="52" s="1"/>
  <c r="Q112" i="1"/>
  <c r="DM186"/>
  <c r="DL186"/>
  <c r="DK186"/>
  <c r="DJ186"/>
  <c r="CH186"/>
  <c r="CA186"/>
  <c r="L182" i="42" s="1"/>
  <c r="BH186" i="1"/>
  <c r="BF186"/>
  <c r="BD186"/>
  <c r="AW186"/>
  <c r="X210" i="43" s="1"/>
  <c r="AQ186" i="1"/>
  <c r="AO186"/>
  <c r="T210" i="43" s="1"/>
  <c r="AC186" i="1"/>
  <c r="T186"/>
  <c r="P212" i="52" s="1"/>
  <c r="DM247" i="1"/>
  <c r="DL247"/>
  <c r="DK247"/>
  <c r="DJ247"/>
  <c r="CH247"/>
  <c r="CA247"/>
  <c r="L243" i="42" s="1"/>
  <c r="BH247" i="1"/>
  <c r="BF247"/>
  <c r="BD247"/>
  <c r="AW247"/>
  <c r="X271" i="43" s="1"/>
  <c r="AQ247" i="1"/>
  <c r="AO247"/>
  <c r="T271" i="43" s="1"/>
  <c r="AC247" i="1"/>
  <c r="T247"/>
  <c r="P274" i="52" s="1"/>
  <c r="Q247" i="1"/>
  <c r="V137" i="52" l="1"/>
  <c r="U136" i="43"/>
  <c r="T274" i="52"/>
  <c r="R268" i="45"/>
  <c r="V212" i="52"/>
  <c r="U210" i="43"/>
  <c r="T137" i="52"/>
  <c r="R133" i="45"/>
  <c r="V274" i="52"/>
  <c r="U271" i="43"/>
  <c r="T212" i="52"/>
  <c r="R207" i="45"/>
  <c r="T241" i="52"/>
  <c r="R236" i="45"/>
  <c r="V241" i="52"/>
  <c r="U239" i="43"/>
  <c r="BK310" i="1"/>
  <c r="CU112"/>
  <c r="CU215"/>
  <c r="CU247"/>
  <c r="CU186"/>
  <c r="CP247"/>
  <c r="CP186"/>
  <c r="AT215"/>
  <c r="X241" i="52" s="1"/>
  <c r="V215" i="1"/>
  <c r="AT186"/>
  <c r="X212" i="52" s="1"/>
  <c r="AT112" i="1"/>
  <c r="X137" i="52" s="1"/>
  <c r="V112" i="1"/>
  <c r="V186"/>
  <c r="AT247"/>
  <c r="X274" i="52" s="1"/>
  <c r="V247" i="1"/>
  <c r="DM100"/>
  <c r="DL100"/>
  <c r="DK100"/>
  <c r="DJ100"/>
  <c r="CH100"/>
  <c r="CU100"/>
  <c r="BH100"/>
  <c r="BD100"/>
  <c r="AW100"/>
  <c r="X124" i="43" s="1"/>
  <c r="AQ100" i="1"/>
  <c r="AO100"/>
  <c r="T124" i="43" s="1"/>
  <c r="AC100" i="1"/>
  <c r="T100"/>
  <c r="P125" i="52" s="1"/>
  <c r="Q100" i="1"/>
  <c r="T125" i="52" l="1"/>
  <c r="R121" i="45"/>
  <c r="V125" i="52"/>
  <c r="U124" i="43"/>
  <c r="CQ247" i="1"/>
  <c r="CQ186"/>
  <c r="CQ215"/>
  <c r="CQ112"/>
  <c r="CP100"/>
  <c r="W215"/>
  <c r="W112"/>
  <c r="W186"/>
  <c r="W247"/>
  <c r="AT100"/>
  <c r="X125" i="52" s="1"/>
  <c r="V100" i="1"/>
  <c r="P210" i="43" l="1"/>
  <c r="O207" i="45"/>
  <c r="P136" i="43"/>
  <c r="O133" i="45"/>
  <c r="O236"/>
  <c r="P239" i="43"/>
  <c r="P271"/>
  <c r="O268" i="45"/>
  <c r="CQ100" i="1"/>
  <c r="W100"/>
  <c r="P124" i="43" l="1"/>
  <c r="O121" i="45"/>
  <c r="BT14" i="1"/>
  <c r="BT13"/>
  <c r="DM25"/>
  <c r="DL25"/>
  <c r="DK25"/>
  <c r="DJ25"/>
  <c r="CH25"/>
  <c r="CA25"/>
  <c r="L21" i="42" s="1"/>
  <c r="BH25" i="1"/>
  <c r="BF25"/>
  <c r="BD25"/>
  <c r="AW25"/>
  <c r="X41" i="43" s="1"/>
  <c r="AQ25" i="1"/>
  <c r="AO25"/>
  <c r="T41" i="43" s="1"/>
  <c r="AC25" i="1"/>
  <c r="T25"/>
  <c r="Q25"/>
  <c r="V41" i="52" l="1"/>
  <c r="U41" i="43"/>
  <c r="T41" i="52"/>
  <c r="R38" i="45"/>
  <c r="P41" i="52"/>
  <c r="CP25" i="1"/>
  <c r="CU25"/>
  <c r="AT25"/>
  <c r="V25"/>
  <c r="AA15" i="43"/>
  <c r="X41" i="52" l="1"/>
  <c r="CQ25" i="1"/>
  <c r="I240" i="52"/>
  <c r="K240" s="1"/>
  <c r="I136"/>
  <c r="K136" s="1"/>
  <c r="I273"/>
  <c r="K273" s="1"/>
  <c r="I211"/>
  <c r="K211" s="1"/>
  <c r="I124"/>
  <c r="K124" s="1"/>
  <c r="W25" i="1"/>
  <c r="DM232"/>
  <c r="DL232"/>
  <c r="DK232"/>
  <c r="DJ232"/>
  <c r="CH232"/>
  <c r="CA232"/>
  <c r="L228" i="42" s="1"/>
  <c r="BH232" i="1"/>
  <c r="BD232"/>
  <c r="AQ232"/>
  <c r="AO232"/>
  <c r="T256" i="43" s="1"/>
  <c r="AC232" i="1"/>
  <c r="T232"/>
  <c r="P259" i="52" s="1"/>
  <c r="Q232" i="1"/>
  <c r="DM358"/>
  <c r="DL358"/>
  <c r="DK358"/>
  <c r="DJ358"/>
  <c r="CH358"/>
  <c r="CA358"/>
  <c r="L354" i="42" s="1"/>
  <c r="BH358" i="1"/>
  <c r="BD358"/>
  <c r="AQ358"/>
  <c r="AO358"/>
  <c r="T393" i="43" s="1"/>
  <c r="AC358" i="1"/>
  <c r="T358"/>
  <c r="DM202"/>
  <c r="DL202"/>
  <c r="DK202"/>
  <c r="DJ202"/>
  <c r="CH202"/>
  <c r="CA202"/>
  <c r="L198" i="42" s="1"/>
  <c r="BH202" i="1"/>
  <c r="BD202"/>
  <c r="AQ202"/>
  <c r="AO202"/>
  <c r="T226" i="43" s="1"/>
  <c r="AC202" i="1"/>
  <c r="T202"/>
  <c r="P228" i="52" s="1"/>
  <c r="Q202" i="1"/>
  <c r="DM129"/>
  <c r="DL129"/>
  <c r="DK129"/>
  <c r="DJ129"/>
  <c r="CH129"/>
  <c r="CA129"/>
  <c r="L125" i="42" s="1"/>
  <c r="BH129" i="1"/>
  <c r="BD129"/>
  <c r="AQ129"/>
  <c r="AO129"/>
  <c r="T153" i="43" s="1"/>
  <c r="AC129" i="1"/>
  <c r="T129"/>
  <c r="P154" i="52" s="1"/>
  <c r="Q129" i="1"/>
  <c r="DM226"/>
  <c r="DL226"/>
  <c r="DK226"/>
  <c r="DJ226"/>
  <c r="CH226"/>
  <c r="CA226"/>
  <c r="L222" i="42" s="1"/>
  <c r="BH226" i="1"/>
  <c r="BD226"/>
  <c r="AQ226"/>
  <c r="AO226"/>
  <c r="T250" i="43" s="1"/>
  <c r="AC226" i="1"/>
  <c r="T226"/>
  <c r="P252" i="52" s="1"/>
  <c r="Q226" i="1"/>
  <c r="T154" i="52" l="1"/>
  <c r="R150" i="45"/>
  <c r="V259" i="52"/>
  <c r="U256" i="43"/>
  <c r="V252" i="52"/>
  <c r="U250" i="43"/>
  <c r="T228" i="52"/>
  <c r="R223" i="45"/>
  <c r="T398" i="52"/>
  <c r="R388" i="45"/>
  <c r="P41" i="43"/>
  <c r="O38" i="45"/>
  <c r="V154" i="52"/>
  <c r="U153" i="43"/>
  <c r="T259" i="52"/>
  <c r="R253" i="45"/>
  <c r="T252" i="52"/>
  <c r="R247" i="45"/>
  <c r="V228" i="52"/>
  <c r="U226" i="43"/>
  <c r="V398" i="52"/>
  <c r="U393" i="43"/>
  <c r="I41" i="52"/>
  <c r="K41" s="1"/>
  <c r="P398"/>
  <c r="K215" i="1"/>
  <c r="K211" i="42" s="1"/>
  <c r="AA215" i="1"/>
  <c r="R241" i="52" s="1"/>
  <c r="AA25" i="1"/>
  <c r="R41" i="52" s="1"/>
  <c r="K247" i="1"/>
  <c r="K243" i="42" s="1"/>
  <c r="K112" i="1"/>
  <c r="K108" i="42" s="1"/>
  <c r="AA247" i="1"/>
  <c r="R274" i="52" s="1"/>
  <c r="AA112" i="1"/>
  <c r="R137" i="52" s="1"/>
  <c r="K25" i="1"/>
  <c r="K21" i="42" s="1"/>
  <c r="K186" i="1"/>
  <c r="K182" i="42" s="1"/>
  <c r="AA186" i="1"/>
  <c r="R212" i="52" s="1"/>
  <c r="K100" i="1"/>
  <c r="K96" i="42" s="1"/>
  <c r="AA100" i="1"/>
  <c r="R125" i="52" s="1"/>
  <c r="CU226" i="1"/>
  <c r="CU129"/>
  <c r="CU232"/>
  <c r="CU202"/>
  <c r="CU358"/>
  <c r="AT232"/>
  <c r="X259" i="52" s="1"/>
  <c r="AT358" i="1"/>
  <c r="V232"/>
  <c r="V358"/>
  <c r="AT202"/>
  <c r="X228" i="52" s="1"/>
  <c r="V202" i="1"/>
  <c r="AT129"/>
  <c r="X154" i="52" s="1"/>
  <c r="V129" i="1"/>
  <c r="AT226"/>
  <c r="X252" i="52" s="1"/>
  <c r="V226" i="1"/>
  <c r="CQ226" l="1"/>
  <c r="CQ202"/>
  <c r="X398" i="52"/>
  <c r="CQ358" i="1"/>
  <c r="CQ129"/>
  <c r="CQ232"/>
  <c r="AF25"/>
  <c r="P38" i="45" s="1"/>
  <c r="AF247" i="1"/>
  <c r="P268" i="45" s="1"/>
  <c r="AF215" i="1"/>
  <c r="P236" i="45" s="1"/>
  <c r="AF112" i="1"/>
  <c r="P133" i="45" s="1"/>
  <c r="AF186" i="1"/>
  <c r="P207" i="45" s="1"/>
  <c r="AF100" i="1"/>
  <c r="P121" i="45" s="1"/>
  <c r="W232" i="1"/>
  <c r="W358"/>
  <c r="W202"/>
  <c r="W129"/>
  <c r="W226"/>
  <c r="DM158"/>
  <c r="DL158"/>
  <c r="DK158"/>
  <c r="DJ158"/>
  <c r="CH158"/>
  <c r="CA158"/>
  <c r="L154" i="42" s="1"/>
  <c r="BH158" i="1"/>
  <c r="BF158"/>
  <c r="BD158"/>
  <c r="AW158"/>
  <c r="X182" i="43" s="1"/>
  <c r="AQ158" i="1"/>
  <c r="AO158"/>
  <c r="T182" i="43" s="1"/>
  <c r="AC158" i="1"/>
  <c r="T158"/>
  <c r="P184" i="52" s="1"/>
  <c r="Q158" i="1"/>
  <c r="DM183"/>
  <c r="DL183"/>
  <c r="DK183"/>
  <c r="DJ183"/>
  <c r="CH183"/>
  <c r="CA183"/>
  <c r="L179" i="42" s="1"/>
  <c r="BH183" i="1"/>
  <c r="BD183"/>
  <c r="AQ183"/>
  <c r="AO183"/>
  <c r="T207" i="43" s="1"/>
  <c r="AC183" i="1"/>
  <c r="T183"/>
  <c r="P209" i="52" s="1"/>
  <c r="Q183" i="1"/>
  <c r="V209" i="52" l="1"/>
  <c r="U207" i="43"/>
  <c r="P250"/>
  <c r="O247" i="45"/>
  <c r="P256" i="43"/>
  <c r="O253" i="45"/>
  <c r="T209" i="52"/>
  <c r="R204" i="45"/>
  <c r="O223"/>
  <c r="P226" i="43"/>
  <c r="T184" i="52"/>
  <c r="R179" i="45"/>
  <c r="P393" i="43"/>
  <c r="O388" i="45"/>
  <c r="V184" i="52"/>
  <c r="U182" i="43"/>
  <c r="P153"/>
  <c r="O150" i="45"/>
  <c r="AG25" i="1"/>
  <c r="Q41" i="43" s="1"/>
  <c r="AG247" i="1"/>
  <c r="Q271" i="43" s="1"/>
  <c r="AG215" i="1"/>
  <c r="Q239" i="43" s="1"/>
  <c r="AG112" i="1"/>
  <c r="Q136" i="43" s="1"/>
  <c r="AG100" i="1"/>
  <c r="Q124" i="43" s="1"/>
  <c r="AG186" i="1"/>
  <c r="Q210" i="43" s="1"/>
  <c r="BF100" i="1"/>
  <c r="CU158"/>
  <c r="CU183"/>
  <c r="CP158"/>
  <c r="AT183"/>
  <c r="X209" i="52" s="1"/>
  <c r="AT158" i="1"/>
  <c r="X184" i="52" s="1"/>
  <c r="V158" i="1"/>
  <c r="V183"/>
  <c r="DM210"/>
  <c r="DL210"/>
  <c r="DK210"/>
  <c r="DJ210"/>
  <c r="CH210"/>
  <c r="CA210"/>
  <c r="L206" i="42" s="1"/>
  <c r="BH210" i="1"/>
  <c r="BD210"/>
  <c r="AQ210"/>
  <c r="AO210"/>
  <c r="T234" i="43" s="1"/>
  <c r="AC210" i="1"/>
  <c r="T210"/>
  <c r="P236" i="52" s="1"/>
  <c r="Q210" i="1"/>
  <c r="V236" i="52" l="1"/>
  <c r="U234" i="43"/>
  <c r="T236" i="52"/>
  <c r="R231" i="45"/>
  <c r="CQ158" i="1"/>
  <c r="CQ183"/>
  <c r="CU210"/>
  <c r="W158"/>
  <c r="W183"/>
  <c r="AT210"/>
  <c r="X236" i="52" s="1"/>
  <c r="V210" i="1"/>
  <c r="V42" i="52"/>
  <c r="T42"/>
  <c r="DM293" i="1"/>
  <c r="DL293"/>
  <c r="DK293"/>
  <c r="DJ293"/>
  <c r="CH293"/>
  <c r="CA293"/>
  <c r="L289" i="42" s="1"/>
  <c r="BH293" i="1"/>
  <c r="BD293"/>
  <c r="AQ293"/>
  <c r="AO293"/>
  <c r="T317" i="43" s="1"/>
  <c r="AC293" i="1"/>
  <c r="T293"/>
  <c r="P320" i="52" s="1"/>
  <c r="Q293" i="1"/>
  <c r="DM294"/>
  <c r="DL294"/>
  <c r="DK294"/>
  <c r="DJ294"/>
  <c r="CH294"/>
  <c r="CA294"/>
  <c r="L290" i="42" s="1"/>
  <c r="BH294" i="1"/>
  <c r="BD294"/>
  <c r="AQ294"/>
  <c r="AO294"/>
  <c r="T318" i="43" s="1"/>
  <c r="AC294" i="1"/>
  <c r="T294"/>
  <c r="P321" i="52" s="1"/>
  <c r="Q294" i="1"/>
  <c r="T320" i="52" l="1"/>
  <c r="R314" i="45"/>
  <c r="V321" i="52"/>
  <c r="U318" i="43"/>
  <c r="O179" i="45"/>
  <c r="P182" i="43"/>
  <c r="V320" i="52"/>
  <c r="U317" i="43"/>
  <c r="T321" i="52"/>
  <c r="R315" i="45"/>
  <c r="P207" i="43"/>
  <c r="O204" i="45"/>
  <c r="CQ210" i="1"/>
  <c r="P42" i="52"/>
  <c r="CU293" i="1"/>
  <c r="CU294"/>
  <c r="W210"/>
  <c r="AT293"/>
  <c r="X320" i="52" s="1"/>
  <c r="AT294" i="1"/>
  <c r="X321" i="52" s="1"/>
  <c r="V293" i="1"/>
  <c r="V294"/>
  <c r="BH313"/>
  <c r="BH314"/>
  <c r="BH315"/>
  <c r="BH316"/>
  <c r="BH317"/>
  <c r="BH318"/>
  <c r="BH319"/>
  <c r="BH320"/>
  <c r="BH321"/>
  <c r="BH322"/>
  <c r="BH323"/>
  <c r="BH324"/>
  <c r="BH325"/>
  <c r="BH326"/>
  <c r="BH327"/>
  <c r="BH328"/>
  <c r="BH329"/>
  <c r="BH330"/>
  <c r="BH332"/>
  <c r="BH333"/>
  <c r="BH334"/>
  <c r="BH335"/>
  <c r="BH336"/>
  <c r="BH337"/>
  <c r="BH338"/>
  <c r="BH339"/>
  <c r="BH340"/>
  <c r="BH341"/>
  <c r="BH342"/>
  <c r="BH343"/>
  <c r="BH344"/>
  <c r="BH345"/>
  <c r="BH346"/>
  <c r="BH347"/>
  <c r="BH348"/>
  <c r="BH349"/>
  <c r="BH350"/>
  <c r="BH351"/>
  <c r="BH352"/>
  <c r="BH353"/>
  <c r="BH354"/>
  <c r="BH355"/>
  <c r="BH356"/>
  <c r="BH357"/>
  <c r="BH359"/>
  <c r="BH360"/>
  <c r="BH361"/>
  <c r="BH362"/>
  <c r="BH363"/>
  <c r="BH364"/>
  <c r="BH365"/>
  <c r="BH366"/>
  <c r="BH367"/>
  <c r="BH368"/>
  <c r="BH369"/>
  <c r="BH370"/>
  <c r="BH371"/>
  <c r="BH373"/>
  <c r="BH374"/>
  <c r="BH375"/>
  <c r="BH376"/>
  <c r="BH377"/>
  <c r="BH378"/>
  <c r="BH379"/>
  <c r="BH380"/>
  <c r="BH381"/>
  <c r="BH382"/>
  <c r="BH383"/>
  <c r="BH384"/>
  <c r="BH386"/>
  <c r="BH387"/>
  <c r="BH388"/>
  <c r="BH390"/>
  <c r="BH391"/>
  <c r="BH392"/>
  <c r="BH394"/>
  <c r="BH395"/>
  <c r="BH396"/>
  <c r="BH398"/>
  <c r="BH399"/>
  <c r="BH400"/>
  <c r="BH401"/>
  <c r="BH402"/>
  <c r="BH403"/>
  <c r="BH312"/>
  <c r="BH44"/>
  <c r="BH45"/>
  <c r="BH46"/>
  <c r="BH47"/>
  <c r="BH48"/>
  <c r="BH49"/>
  <c r="BH50"/>
  <c r="BH51"/>
  <c r="BH52"/>
  <c r="BH53"/>
  <c r="BH54"/>
  <c r="BH55"/>
  <c r="BH56"/>
  <c r="BH58"/>
  <c r="BH59"/>
  <c r="BH60"/>
  <c r="BH61"/>
  <c r="BH62"/>
  <c r="BH63"/>
  <c r="BH64"/>
  <c r="BH65"/>
  <c r="BH66"/>
  <c r="BH67"/>
  <c r="BH68"/>
  <c r="BH69"/>
  <c r="BH70"/>
  <c r="BH71"/>
  <c r="BH72"/>
  <c r="BH73"/>
  <c r="BH74"/>
  <c r="BH75"/>
  <c r="BH76"/>
  <c r="BH77"/>
  <c r="BH78"/>
  <c r="BH79"/>
  <c r="BH80"/>
  <c r="BH81"/>
  <c r="BH82"/>
  <c r="BH83"/>
  <c r="BH84"/>
  <c r="BH85"/>
  <c r="BH86"/>
  <c r="BH87"/>
  <c r="BH88"/>
  <c r="BH89"/>
  <c r="BH91"/>
  <c r="BH92"/>
  <c r="BH93"/>
  <c r="BH94"/>
  <c r="BH95"/>
  <c r="BH96"/>
  <c r="BH97"/>
  <c r="BH98"/>
  <c r="BH99"/>
  <c r="BH101"/>
  <c r="BH102"/>
  <c r="BH103"/>
  <c r="BH104"/>
  <c r="BH105"/>
  <c r="BH106"/>
  <c r="BH107"/>
  <c r="BH109"/>
  <c r="BH110"/>
  <c r="BH111"/>
  <c r="BH113"/>
  <c r="BH114"/>
  <c r="BH115"/>
  <c r="BH116"/>
  <c r="BH117"/>
  <c r="BH118"/>
  <c r="BH120"/>
  <c r="BH121"/>
  <c r="BH122"/>
  <c r="BH123"/>
  <c r="BH124"/>
  <c r="BH125"/>
  <c r="BH126"/>
  <c r="BH127"/>
  <c r="BH128"/>
  <c r="BH130"/>
  <c r="BH131"/>
  <c r="BH132"/>
  <c r="BH133"/>
  <c r="BH134"/>
  <c r="BH135"/>
  <c r="BH136"/>
  <c r="BH137"/>
  <c r="BH138"/>
  <c r="BH139"/>
  <c r="BH140"/>
  <c r="BH141"/>
  <c r="BH142"/>
  <c r="BH143"/>
  <c r="BH144"/>
  <c r="BH145"/>
  <c r="BH146"/>
  <c r="BH147"/>
  <c r="BH148"/>
  <c r="BH149"/>
  <c r="BH150"/>
  <c r="BH151"/>
  <c r="BH152"/>
  <c r="BH153"/>
  <c r="BH154"/>
  <c r="BH155"/>
  <c r="BH156"/>
  <c r="BH157"/>
  <c r="BH159"/>
  <c r="BH160"/>
  <c r="BH161"/>
  <c r="BH162"/>
  <c r="BH163"/>
  <c r="BH164"/>
  <c r="BH165"/>
  <c r="BH166"/>
  <c r="BH167"/>
  <c r="BH168"/>
  <c r="BH169"/>
  <c r="BH170"/>
  <c r="BH171"/>
  <c r="BH172"/>
  <c r="BH173"/>
  <c r="BH174"/>
  <c r="BH175"/>
  <c r="BH176"/>
  <c r="BH177"/>
  <c r="BH178"/>
  <c r="BH179"/>
  <c r="BH180"/>
  <c r="BH181"/>
  <c r="BH182"/>
  <c r="BH184"/>
  <c r="BH185"/>
  <c r="BH187"/>
  <c r="BH188"/>
  <c r="BH189"/>
  <c r="BH190"/>
  <c r="BH191"/>
  <c r="BH192"/>
  <c r="BH193"/>
  <c r="BH194"/>
  <c r="BH195"/>
  <c r="BH196"/>
  <c r="BH197"/>
  <c r="BH198"/>
  <c r="BH199"/>
  <c r="BH200"/>
  <c r="BH201"/>
  <c r="BH204"/>
  <c r="BH205"/>
  <c r="BH206"/>
  <c r="BH207"/>
  <c r="BH208"/>
  <c r="BH209"/>
  <c r="BH211"/>
  <c r="BH212"/>
  <c r="BH213"/>
  <c r="BH214"/>
  <c r="BH217"/>
  <c r="BH220"/>
  <c r="BH221"/>
  <c r="BH222"/>
  <c r="BH223"/>
  <c r="BH227"/>
  <c r="BH228"/>
  <c r="BH229"/>
  <c r="BH230"/>
  <c r="BH231"/>
  <c r="BH233"/>
  <c r="BH235"/>
  <c r="BH236"/>
  <c r="BH237"/>
  <c r="BH238"/>
  <c r="BH239"/>
  <c r="BH240"/>
  <c r="BH241"/>
  <c r="BH242"/>
  <c r="BH244"/>
  <c r="BH245"/>
  <c r="BH246"/>
  <c r="BH248"/>
  <c r="BH249"/>
  <c r="BH250"/>
  <c r="BH252"/>
  <c r="BH253"/>
  <c r="BH255"/>
  <c r="BH256"/>
  <c r="BH257"/>
  <c r="BH258"/>
  <c r="BH259"/>
  <c r="BH260"/>
  <c r="BH261"/>
  <c r="BH262"/>
  <c r="BH263"/>
  <c r="BH264"/>
  <c r="BH265"/>
  <c r="BH266"/>
  <c r="BH267"/>
  <c r="BH270"/>
  <c r="BH271"/>
  <c r="BH273"/>
  <c r="BH274"/>
  <c r="BH275"/>
  <c r="BH276"/>
  <c r="BH278"/>
  <c r="BH279"/>
  <c r="BH281"/>
  <c r="BH282"/>
  <c r="BH283"/>
  <c r="BH284"/>
  <c r="BH285"/>
  <c r="BH286"/>
  <c r="BH287"/>
  <c r="BH288"/>
  <c r="BH289"/>
  <c r="BH290"/>
  <c r="BH291"/>
  <c r="BH296"/>
  <c r="BH297"/>
  <c r="BH298"/>
  <c r="BH299"/>
  <c r="BH300"/>
  <c r="BH301"/>
  <c r="BH302"/>
  <c r="BH304"/>
  <c r="BH305"/>
  <c r="BH306"/>
  <c r="BH307"/>
  <c r="BH308"/>
  <c r="BH309"/>
  <c r="BH43"/>
  <c r="BH21"/>
  <c r="BH22"/>
  <c r="BH23"/>
  <c r="BH24"/>
  <c r="BH26"/>
  <c r="BH27"/>
  <c r="BH28"/>
  <c r="BH29"/>
  <c r="BH30"/>
  <c r="BH31"/>
  <c r="BH32"/>
  <c r="BH33"/>
  <c r="BH34"/>
  <c r="BH35"/>
  <c r="BH36"/>
  <c r="BH37"/>
  <c r="BH39"/>
  <c r="BH40"/>
  <c r="BH18"/>
  <c r="BH19"/>
  <c r="BH20"/>
  <c r="P234" i="43" l="1"/>
  <c r="O231" i="45"/>
  <c r="CQ294" i="1"/>
  <c r="X42" i="52"/>
  <c r="CQ293" i="1"/>
  <c r="W293"/>
  <c r="W294"/>
  <c r="B450"/>
  <c r="B451" s="1"/>
  <c r="B452" s="1"/>
  <c r="B453" s="1"/>
  <c r="B454" s="1"/>
  <c r="B455" s="1"/>
  <c r="B456" s="1"/>
  <c r="B457" s="1"/>
  <c r="P318" i="43" l="1"/>
  <c r="O315" i="45"/>
  <c r="P317" i="43"/>
  <c r="O314" i="45"/>
  <c r="B458" i="1"/>
  <c r="B459" s="1"/>
  <c r="B460" s="1"/>
  <c r="B461" s="1"/>
  <c r="BH14"/>
  <c r="BH13"/>
  <c r="CU368"/>
  <c r="CU273"/>
  <c r="CU265"/>
  <c r="CU263"/>
  <c r="CU259"/>
  <c r="CU229"/>
  <c r="CU189"/>
  <c r="CU162"/>
  <c r="CU156"/>
  <c r="CU141"/>
  <c r="CU135"/>
  <c r="CU134"/>
  <c r="CU126"/>
  <c r="CU120"/>
  <c r="CU118"/>
  <c r="CU107"/>
  <c r="CU106"/>
  <c r="CU102"/>
  <c r="CU88"/>
  <c r="CU82"/>
  <c r="CU66"/>
  <c r="CU58"/>
  <c r="CU53"/>
  <c r="CU50"/>
  <c r="J94"/>
  <c r="J118" i="52" l="1"/>
  <c r="J90" i="42"/>
  <c r="J118" i="43"/>
  <c r="K118" s="1"/>
  <c r="J115" i="45"/>
  <c r="K115" s="1"/>
  <c r="DM128" i="1"/>
  <c r="DL128"/>
  <c r="DK128"/>
  <c r="DJ128"/>
  <c r="CH128"/>
  <c r="CA128"/>
  <c r="L124" i="42" s="1"/>
  <c r="BF128" i="1"/>
  <c r="BD128"/>
  <c r="AW128"/>
  <c r="X152" i="43" s="1"/>
  <c r="AQ128" i="1"/>
  <c r="AO128"/>
  <c r="T152" i="43" s="1"/>
  <c r="AC128" i="1"/>
  <c r="T128"/>
  <c r="P153" i="52" s="1"/>
  <c r="Q128" i="1"/>
  <c r="G6" i="20"/>
  <c r="T153" i="52" l="1"/>
  <c r="R149" i="45"/>
  <c r="V153" i="52"/>
  <c r="U152" i="43"/>
  <c r="H564" i="20"/>
  <c r="H563"/>
  <c r="H565"/>
  <c r="H470"/>
  <c r="H471"/>
  <c r="H469"/>
  <c r="H467"/>
  <c r="H578"/>
  <c r="H409"/>
  <c r="H366"/>
  <c r="H327"/>
  <c r="H326"/>
  <c r="H386"/>
  <c r="H387"/>
  <c r="H93"/>
  <c r="H63"/>
  <c r="H417"/>
  <c r="H587"/>
  <c r="H47"/>
  <c r="H48"/>
  <c r="H54"/>
  <c r="H310"/>
  <c r="H159"/>
  <c r="H160"/>
  <c r="H158"/>
  <c r="H551"/>
  <c r="H552"/>
  <c r="H455"/>
  <c r="H392"/>
  <c r="H393"/>
  <c r="H252"/>
  <c r="H402"/>
  <c r="H432"/>
  <c r="H425"/>
  <c r="H312"/>
  <c r="H313"/>
  <c r="H305"/>
  <c r="H306"/>
  <c r="H241"/>
  <c r="H375"/>
  <c r="H376"/>
  <c r="H283"/>
  <c r="H284"/>
  <c r="H329"/>
  <c r="H165"/>
  <c r="H124"/>
  <c r="H294"/>
  <c r="H237"/>
  <c r="H453"/>
  <c r="H451"/>
  <c r="CU128" i="1"/>
  <c r="CP128"/>
  <c r="H220" i="20"/>
  <c r="H110"/>
  <c r="H106"/>
  <c r="H109"/>
  <c r="AT128" i="1"/>
  <c r="X153" i="52" s="1"/>
  <c r="V128" i="1"/>
  <c r="CQ128" l="1"/>
  <c r="W128"/>
  <c r="H219" i="20"/>
  <c r="DM178" i="1"/>
  <c r="DL178"/>
  <c r="DK178"/>
  <c r="DJ178"/>
  <c r="CH178"/>
  <c r="CA178"/>
  <c r="L174" i="42" s="1"/>
  <c r="BD178" i="1"/>
  <c r="AQ178"/>
  <c r="AO178"/>
  <c r="T202" i="43" s="1"/>
  <c r="AC178" i="1"/>
  <c r="T178"/>
  <c r="P204" i="52" s="1"/>
  <c r="Q178" i="1"/>
  <c r="AZ14"/>
  <c r="V204" i="52" l="1"/>
  <c r="U202" i="43"/>
  <c r="T204" i="52"/>
  <c r="R199" i="45"/>
  <c r="P152" i="43"/>
  <c r="O149" i="45"/>
  <c r="V178" i="1"/>
  <c r="W178" s="1"/>
  <c r="CU178"/>
  <c r="AT178"/>
  <c r="X204" i="52" s="1"/>
  <c r="DM271" i="1"/>
  <c r="DL271"/>
  <c r="DK271"/>
  <c r="DJ271"/>
  <c r="CH271"/>
  <c r="CA271"/>
  <c r="L267" i="42" s="1"/>
  <c r="BF271" i="1"/>
  <c r="BD271"/>
  <c r="AW271"/>
  <c r="X295" i="43" s="1"/>
  <c r="AQ271" i="1"/>
  <c r="AO271"/>
  <c r="T295" i="43" s="1"/>
  <c r="AC271" i="1"/>
  <c r="T271"/>
  <c r="P298" i="52" s="1"/>
  <c r="Q271" i="1"/>
  <c r="V298" i="52" l="1"/>
  <c r="U295" i="43"/>
  <c r="P202"/>
  <c r="O199" i="45"/>
  <c r="T298" i="52"/>
  <c r="R292" i="45"/>
  <c r="CQ178" i="1"/>
  <c r="CU271"/>
  <c r="CP271"/>
  <c r="AT271"/>
  <c r="X298" i="52" s="1"/>
  <c r="V271" i="1"/>
  <c r="CQ271" l="1"/>
  <c r="W271"/>
  <c r="AB14" i="43"/>
  <c r="W14"/>
  <c r="V14"/>
  <c r="N14"/>
  <c r="H14"/>
  <c r="D14"/>
  <c r="C14"/>
  <c r="N14" i="44"/>
  <c r="M14"/>
  <c r="G14"/>
  <c r="H14" s="1"/>
  <c r="C14"/>
  <c r="B14"/>
  <c r="Y14" i="45"/>
  <c r="X14"/>
  <c r="N14"/>
  <c r="H14"/>
  <c r="D14"/>
  <c r="C14"/>
  <c r="P295" i="43" l="1"/>
  <c r="O292" i="45"/>
  <c r="H465" i="20"/>
  <c r="DM287" i="1"/>
  <c r="DK287"/>
  <c r="DJ287"/>
  <c r="CH287"/>
  <c r="CA287"/>
  <c r="L283" i="42" s="1"/>
  <c r="BF287" i="1"/>
  <c r="BD287"/>
  <c r="AW287"/>
  <c r="X311" i="43" s="1"/>
  <c r="DL287" i="1"/>
  <c r="AT287"/>
  <c r="X314" i="52" s="1"/>
  <c r="AC287" i="1"/>
  <c r="T287"/>
  <c r="P314" i="52" s="1"/>
  <c r="J195" i="1"/>
  <c r="J220" i="52" l="1"/>
  <c r="J191" i="42"/>
  <c r="J219" i="43"/>
  <c r="K219" s="1"/>
  <c r="J216" i="45"/>
  <c r="K216" s="1"/>
  <c r="T314" i="52"/>
  <c r="R308" i="45"/>
  <c r="CQ287" i="1"/>
  <c r="V287"/>
  <c r="W287" s="1"/>
  <c r="CU287"/>
  <c r="CP287"/>
  <c r="CO15"/>
  <c r="P311" i="43" l="1"/>
  <c r="O308" i="45"/>
  <c r="Z15" i="1"/>
  <c r="U15"/>
  <c r="CA15"/>
  <c r="BU15"/>
  <c r="BP15"/>
  <c r="BO15"/>
  <c r="BI15"/>
  <c r="BH15"/>
  <c r="BG15"/>
  <c r="BE15"/>
  <c r="BC15"/>
  <c r="AV15"/>
  <c r="AS15"/>
  <c r="AR15"/>
  <c r="AP15"/>
  <c r="AN15"/>
  <c r="AO107" l="1"/>
  <c r="T131" i="43" s="1"/>
  <c r="AC107" i="1"/>
  <c r="T132" i="52" l="1"/>
  <c r="R128" i="45"/>
  <c r="Q94" i="1"/>
  <c r="DM94"/>
  <c r="DL94"/>
  <c r="DK94"/>
  <c r="DJ94"/>
  <c r="CH94"/>
  <c r="CA94"/>
  <c r="L90" i="42" s="1"/>
  <c r="BD94" i="1"/>
  <c r="AQ94"/>
  <c r="AO94"/>
  <c r="T118" i="43" s="1"/>
  <c r="AC94" i="1"/>
  <c r="T94"/>
  <c r="P119" i="52" s="1"/>
  <c r="E325" i="36"/>
  <c r="D325"/>
  <c r="C325"/>
  <c r="B325"/>
  <c r="E325" i="37"/>
  <c r="D325"/>
  <c r="C325"/>
  <c r="B325"/>
  <c r="A326"/>
  <c r="A327" s="1"/>
  <c r="F13" i="38"/>
  <c r="E13"/>
  <c r="D13"/>
  <c r="C13"/>
  <c r="B13"/>
  <c r="F37" i="39"/>
  <c r="E37"/>
  <c r="D37"/>
  <c r="C37"/>
  <c r="B37"/>
  <c r="E323" i="40"/>
  <c r="D323"/>
  <c r="C323"/>
  <c r="B323"/>
  <c r="E323" i="41"/>
  <c r="D323"/>
  <c r="C323"/>
  <c r="B323"/>
  <c r="AB347" i="43"/>
  <c r="W347"/>
  <c r="V347"/>
  <c r="N347"/>
  <c r="J347"/>
  <c r="H347"/>
  <c r="D347"/>
  <c r="C347"/>
  <c r="N314" i="44"/>
  <c r="M314"/>
  <c r="G314"/>
  <c r="C314"/>
  <c r="B314"/>
  <c r="Y342" i="45"/>
  <c r="X342"/>
  <c r="N342"/>
  <c r="J342"/>
  <c r="H342"/>
  <c r="D342"/>
  <c r="C342"/>
  <c r="T119" i="52" l="1"/>
  <c r="R115" i="45"/>
  <c r="V119" i="52"/>
  <c r="U118" i="43"/>
  <c r="CU94" i="1"/>
  <c r="AT94"/>
  <c r="X119" i="52" s="1"/>
  <c r="V94" i="1"/>
  <c r="CQ94" l="1"/>
  <c r="W94"/>
  <c r="AW44"/>
  <c r="X68" i="43" s="1"/>
  <c r="AW45" i="1"/>
  <c r="X69" i="43" s="1"/>
  <c r="AW46" i="1"/>
  <c r="X70" i="43" s="1"/>
  <c r="AW47" i="1"/>
  <c r="X71" i="43" s="1"/>
  <c r="AW48" i="1"/>
  <c r="X72" i="43" s="1"/>
  <c r="AW49" i="1"/>
  <c r="X73" i="43" s="1"/>
  <c r="AW50" i="1"/>
  <c r="X74" i="43" s="1"/>
  <c r="AW53" i="1"/>
  <c r="X77" i="43" s="1"/>
  <c r="AW55" i="1"/>
  <c r="X79" i="43" s="1"/>
  <c r="AW56" i="1"/>
  <c r="X80" i="43" s="1"/>
  <c r="AW58" i="1"/>
  <c r="X82" i="43" s="1"/>
  <c r="AW59" i="1"/>
  <c r="X83" i="43" s="1"/>
  <c r="AW60" i="1"/>
  <c r="X84" i="43" s="1"/>
  <c r="AW61" i="1"/>
  <c r="X85" i="43" s="1"/>
  <c r="AW62" i="1"/>
  <c r="X86" i="43" s="1"/>
  <c r="AW63" i="1"/>
  <c r="X87" i="43" s="1"/>
  <c r="AW64" i="1"/>
  <c r="X88" i="43" s="1"/>
  <c r="AW65" i="1"/>
  <c r="X89" i="43" s="1"/>
  <c r="AW66" i="1"/>
  <c r="X90" i="43" s="1"/>
  <c r="AW67" i="1"/>
  <c r="X91" i="43" s="1"/>
  <c r="AW68" i="1"/>
  <c r="X92" i="43" s="1"/>
  <c r="AW69" i="1"/>
  <c r="X93" i="43" s="1"/>
  <c r="AW70" i="1"/>
  <c r="X94" i="43" s="1"/>
  <c r="AW72" i="1"/>
  <c r="X96" i="43" s="1"/>
  <c r="AW73" i="1"/>
  <c r="X97" i="43" s="1"/>
  <c r="AW75" i="1"/>
  <c r="X99" i="43" s="1"/>
  <c r="AW76" i="1"/>
  <c r="X100" i="43" s="1"/>
  <c r="AW80" i="1"/>
  <c r="X104" i="43" s="1"/>
  <c r="AW81" i="1"/>
  <c r="X105" i="43" s="1"/>
  <c r="AW82" i="1"/>
  <c r="X106" i="43" s="1"/>
  <c r="AW84" i="1"/>
  <c r="X108" i="43" s="1"/>
  <c r="AW85" i="1"/>
  <c r="X109" i="43" s="1"/>
  <c r="AW87" i="1"/>
  <c r="X111" i="43" s="1"/>
  <c r="AW88" i="1"/>
  <c r="X112" i="43" s="1"/>
  <c r="AW89" i="1"/>
  <c r="X113" i="43" s="1"/>
  <c r="AW91" i="1"/>
  <c r="X115" i="43" s="1"/>
  <c r="AW96" i="1"/>
  <c r="X120" i="43" s="1"/>
  <c r="AW98" i="1"/>
  <c r="X122" i="43" s="1"/>
  <c r="AW99" i="1"/>
  <c r="X123" i="43" s="1"/>
  <c r="AW101" i="1"/>
  <c r="X125" i="43" s="1"/>
  <c r="AW102" i="1"/>
  <c r="X126" i="43" s="1"/>
  <c r="AW103" i="1"/>
  <c r="X127" i="43" s="1"/>
  <c r="AW104" i="1"/>
  <c r="X128" i="43" s="1"/>
  <c r="AW105" i="1"/>
  <c r="X129" i="43" s="1"/>
  <c r="AW106" i="1"/>
  <c r="X130" i="43" s="1"/>
  <c r="AW107" i="1"/>
  <c r="X131" i="43" s="1"/>
  <c r="AW109" i="1"/>
  <c r="X133" i="43" s="1"/>
  <c r="AW110" i="1"/>
  <c r="X134" i="43" s="1"/>
  <c r="AW111" i="1"/>
  <c r="X135" i="43" s="1"/>
  <c r="AW113" i="1"/>
  <c r="X137" i="43" s="1"/>
  <c r="AW114" i="1"/>
  <c r="X138" i="43" s="1"/>
  <c r="AW115" i="1"/>
  <c r="X139" i="43" s="1"/>
  <c r="AW116" i="1"/>
  <c r="X140" i="43" s="1"/>
  <c r="AW117" i="1"/>
  <c r="X141" i="43" s="1"/>
  <c r="AW118" i="1"/>
  <c r="X142" i="43" s="1"/>
  <c r="AW120" i="1"/>
  <c r="X144" i="43" s="1"/>
  <c r="AW121" i="1"/>
  <c r="X145" i="43" s="1"/>
  <c r="AW122" i="1"/>
  <c r="X146" i="43" s="1"/>
  <c r="AW123" i="1"/>
  <c r="X147" i="43" s="1"/>
  <c r="AW124" i="1"/>
  <c r="X148" i="43" s="1"/>
  <c r="AW126" i="1"/>
  <c r="X150" i="43" s="1"/>
  <c r="AW127" i="1"/>
  <c r="X151" i="43" s="1"/>
  <c r="AW130" i="1"/>
  <c r="X154" i="43" s="1"/>
  <c r="AW131" i="1"/>
  <c r="X155" i="43" s="1"/>
  <c r="AW132" i="1"/>
  <c r="X156" i="43" s="1"/>
  <c r="AW134" i="1"/>
  <c r="X158" i="43" s="1"/>
  <c r="AW135" i="1"/>
  <c r="X159" i="43" s="1"/>
  <c r="AW136" i="1"/>
  <c r="X160" i="43" s="1"/>
  <c r="AW137" i="1"/>
  <c r="X161" i="43" s="1"/>
  <c r="AW138" i="1"/>
  <c r="X162" i="43" s="1"/>
  <c r="AW140" i="1"/>
  <c r="X164" i="43" s="1"/>
  <c r="AW141" i="1"/>
  <c r="X165" i="43" s="1"/>
  <c r="AW142" i="1"/>
  <c r="X166" i="43" s="1"/>
  <c r="AW143" i="1"/>
  <c r="X167" i="43" s="1"/>
  <c r="AW144" i="1"/>
  <c r="X168" i="43" s="1"/>
  <c r="AW145" i="1"/>
  <c r="X169" i="43" s="1"/>
  <c r="AW146" i="1"/>
  <c r="X170" i="43" s="1"/>
  <c r="AW147" i="1"/>
  <c r="X171" i="43" s="1"/>
  <c r="AW148" i="1"/>
  <c r="X172" i="43" s="1"/>
  <c r="AW149" i="1"/>
  <c r="X173" i="43" s="1"/>
  <c r="AW150" i="1"/>
  <c r="X174" i="43" s="1"/>
  <c r="AW152" i="1"/>
  <c r="X176" i="43" s="1"/>
  <c r="AW153" i="1"/>
  <c r="X177" i="43" s="1"/>
  <c r="AW154" i="1"/>
  <c r="X178" i="43" s="1"/>
  <c r="AW156" i="1"/>
  <c r="X180" i="43" s="1"/>
  <c r="AW159" i="1"/>
  <c r="X183" i="43" s="1"/>
  <c r="AW160" i="1"/>
  <c r="X184" i="43" s="1"/>
  <c r="AW161" i="1"/>
  <c r="X185" i="43" s="1"/>
  <c r="AW162" i="1"/>
  <c r="X186" i="43" s="1"/>
  <c r="AW164" i="1"/>
  <c r="X188" i="43" s="1"/>
  <c r="AW166" i="1"/>
  <c r="X190" i="43" s="1"/>
  <c r="AW169" i="1"/>
  <c r="X193" i="43" s="1"/>
  <c r="AW170" i="1"/>
  <c r="X194" i="43" s="1"/>
  <c r="AW171" i="1"/>
  <c r="X195" i="43" s="1"/>
  <c r="AW172" i="1"/>
  <c r="X196" i="43" s="1"/>
  <c r="AW175" i="1"/>
  <c r="X199" i="43" s="1"/>
  <c r="AW177" i="1"/>
  <c r="X201" i="43" s="1"/>
  <c r="AW180" i="1"/>
  <c r="X204" i="43" s="1"/>
  <c r="AW184" i="1"/>
  <c r="X208" i="43" s="1"/>
  <c r="AW185" i="1"/>
  <c r="X209" i="43" s="1"/>
  <c r="AW188" i="1"/>
  <c r="X212" i="43" s="1"/>
  <c r="AW189" i="1"/>
  <c r="X213" i="43" s="1"/>
  <c r="AW193" i="1"/>
  <c r="X217" i="43" s="1"/>
  <c r="AW194" i="1"/>
  <c r="X218" i="43" s="1"/>
  <c r="AW195" i="1"/>
  <c r="X219" i="43" s="1"/>
  <c r="AW199" i="1"/>
  <c r="X223" i="43" s="1"/>
  <c r="AW200" i="1"/>
  <c r="X224" i="43" s="1"/>
  <c r="AW201" i="1"/>
  <c r="X225" i="43" s="1"/>
  <c r="AW204" i="1"/>
  <c r="X228" i="43" s="1"/>
  <c r="AW205" i="1"/>
  <c r="X229" i="43" s="1"/>
  <c r="AW207" i="1"/>
  <c r="X231" i="43" s="1"/>
  <c r="AW208" i="1"/>
  <c r="X232" i="43" s="1"/>
  <c r="AW209" i="1"/>
  <c r="X233" i="43" s="1"/>
  <c r="AW211" i="1"/>
  <c r="X235" i="43" s="1"/>
  <c r="AW213" i="1"/>
  <c r="X237" i="43" s="1"/>
  <c r="AW217" i="1"/>
  <c r="X241" i="43" s="1"/>
  <c r="AW221" i="1"/>
  <c r="X245" i="43" s="1"/>
  <c r="AW222" i="1"/>
  <c r="X246" i="43" s="1"/>
  <c r="AW227" i="1"/>
  <c r="X251" i="43" s="1"/>
  <c r="AW228" i="1"/>
  <c r="X252" i="43" s="1"/>
  <c r="AW229" i="1"/>
  <c r="X253" i="43" s="1"/>
  <c r="AW230" i="1"/>
  <c r="X254" i="43" s="1"/>
  <c r="AW231" i="1"/>
  <c r="X255" i="43" s="1"/>
  <c r="AW233" i="1"/>
  <c r="X257" i="43" s="1"/>
  <c r="AW234" i="1"/>
  <c r="X258" i="43" s="1"/>
  <c r="AW238" i="1"/>
  <c r="X262" i="43" s="1"/>
  <c r="AW239" i="1"/>
  <c r="X263" i="43" s="1"/>
  <c r="AW240" i="1"/>
  <c r="X264" i="43" s="1"/>
  <c r="AW241" i="1"/>
  <c r="X265" i="43" s="1"/>
  <c r="AW242" i="1"/>
  <c r="X266" i="43" s="1"/>
  <c r="AW248" i="1"/>
  <c r="X272" i="43" s="1"/>
  <c r="AW249" i="1"/>
  <c r="X273" i="43" s="1"/>
  <c r="AW256" i="1"/>
  <c r="X280" i="43" s="1"/>
  <c r="AW257" i="1"/>
  <c r="X281" i="43" s="1"/>
  <c r="AW258" i="1"/>
  <c r="X282" i="43" s="1"/>
  <c r="AW259" i="1"/>
  <c r="X283" i="43" s="1"/>
  <c r="AW261" i="1"/>
  <c r="X285" i="43" s="1"/>
  <c r="AW262" i="1"/>
  <c r="X286" i="43" s="1"/>
  <c r="AW263" i="1"/>
  <c r="X287" i="43" s="1"/>
  <c r="AW265" i="1"/>
  <c r="X289" i="43" s="1"/>
  <c r="AW266" i="1"/>
  <c r="X290" i="43" s="1"/>
  <c r="AW267" i="1"/>
  <c r="X291" i="43" s="1"/>
  <c r="AW268" i="1"/>
  <c r="X292" i="43" s="1"/>
  <c r="AW270" i="1"/>
  <c r="X294" i="43" s="1"/>
  <c r="AW273" i="1"/>
  <c r="X297" i="43" s="1"/>
  <c r="AW281" i="1"/>
  <c r="X305" i="43" s="1"/>
  <c r="AW283" i="1"/>
  <c r="X307" i="43" s="1"/>
  <c r="AW285" i="1"/>
  <c r="X309" i="43" s="1"/>
  <c r="AW286" i="1"/>
  <c r="X310" i="43" s="1"/>
  <c r="AW289" i="1"/>
  <c r="X313" i="43" s="1"/>
  <c r="AW291" i="1"/>
  <c r="X315" i="43" s="1"/>
  <c r="AW296" i="1"/>
  <c r="X320" i="43" s="1"/>
  <c r="AW297" i="1"/>
  <c r="X321" i="43" s="1"/>
  <c r="AW298" i="1"/>
  <c r="X322" i="43" s="1"/>
  <c r="AW299" i="1"/>
  <c r="X323" i="43" s="1"/>
  <c r="AW300" i="1"/>
  <c r="X324" i="43" s="1"/>
  <c r="AW301" i="1"/>
  <c r="X325" i="43" s="1"/>
  <c r="AW304" i="1"/>
  <c r="X328" i="43" s="1"/>
  <c r="AW305" i="1"/>
  <c r="X329" i="43" s="1"/>
  <c r="AW308" i="1"/>
  <c r="X332" i="43" s="1"/>
  <c r="AW309" i="1"/>
  <c r="X333" i="43" s="1"/>
  <c r="AW312" i="1"/>
  <c r="X347" i="43" s="1"/>
  <c r="AW313" i="1"/>
  <c r="X348" i="43" s="1"/>
  <c r="AW314" i="1"/>
  <c r="X349" i="43" s="1"/>
  <c r="AW315" i="1"/>
  <c r="X350" i="43" s="1"/>
  <c r="AW316" i="1"/>
  <c r="X351" i="43" s="1"/>
  <c r="AW318" i="1"/>
  <c r="X353" i="43" s="1"/>
  <c r="AW319" i="1"/>
  <c r="X354" i="43" s="1"/>
  <c r="AW320" i="1"/>
  <c r="X355" i="43" s="1"/>
  <c r="AW321" i="1"/>
  <c r="X356" i="43" s="1"/>
  <c r="AW322" i="1"/>
  <c r="X357" i="43" s="1"/>
  <c r="AW323" i="1"/>
  <c r="X358" i="43" s="1"/>
  <c r="AW324" i="1"/>
  <c r="X359" i="43" s="1"/>
  <c r="AW325" i="1"/>
  <c r="X360" i="43" s="1"/>
  <c r="AW326" i="1"/>
  <c r="X361" i="43" s="1"/>
  <c r="AW327" i="1"/>
  <c r="X362" i="43" s="1"/>
  <c r="AW328" i="1"/>
  <c r="X363" i="43" s="1"/>
  <c r="AW329" i="1"/>
  <c r="X364" i="43" s="1"/>
  <c r="AW330" i="1"/>
  <c r="X365" i="43" s="1"/>
  <c r="AW333" i="1"/>
  <c r="X368" i="43" s="1"/>
  <c r="AW334" i="1"/>
  <c r="X369" i="43" s="1"/>
  <c r="AW335" i="1"/>
  <c r="X370" i="43" s="1"/>
  <c r="AW336" i="1"/>
  <c r="X371" i="43" s="1"/>
  <c r="AW337" i="1"/>
  <c r="X372" i="43" s="1"/>
  <c r="AW338" i="1"/>
  <c r="X373" i="43" s="1"/>
  <c r="AW340" i="1"/>
  <c r="X375" i="43" s="1"/>
  <c r="AW341" i="1"/>
  <c r="X376" i="43" s="1"/>
  <c r="AW342" i="1"/>
  <c r="X377" i="43" s="1"/>
  <c r="AW343" i="1"/>
  <c r="X378" i="43" s="1"/>
  <c r="AW344" i="1"/>
  <c r="X379" i="43" s="1"/>
  <c r="AW345" i="1"/>
  <c r="X380" i="43" s="1"/>
  <c r="AW346" i="1"/>
  <c r="X381" i="43" s="1"/>
  <c r="AW347" i="1"/>
  <c r="X382" i="43" s="1"/>
  <c r="AW348" i="1"/>
  <c r="X383" i="43" s="1"/>
  <c r="AW350" i="1"/>
  <c r="X385" i="43" s="1"/>
  <c r="AW351" i="1"/>
  <c r="X386" i="43" s="1"/>
  <c r="AW352" i="1"/>
  <c r="X387" i="43" s="1"/>
  <c r="AW353" i="1"/>
  <c r="X388" i="43" s="1"/>
  <c r="AW354" i="1"/>
  <c r="X389" i="43" s="1"/>
  <c r="AW355" i="1"/>
  <c r="X390" i="43" s="1"/>
  <c r="AW359" i="1"/>
  <c r="X394" i="43" s="1"/>
  <c r="AW363" i="1"/>
  <c r="X398" i="43" s="1"/>
  <c r="AW364" i="1"/>
  <c r="X399" i="43" s="1"/>
  <c r="AW365" i="1"/>
  <c r="X400" i="43" s="1"/>
  <c r="AW366" i="1"/>
  <c r="X401" i="43" s="1"/>
  <c r="AW367" i="1"/>
  <c r="X402" i="43" s="1"/>
  <c r="AW368" i="1"/>
  <c r="X403" i="43" s="1"/>
  <c r="AW369" i="1"/>
  <c r="X404" i="43" s="1"/>
  <c r="AW370" i="1"/>
  <c r="X405" i="43" s="1"/>
  <c r="AW371" i="1"/>
  <c r="X406" i="43" s="1"/>
  <c r="AW373" i="1"/>
  <c r="X408" i="43" s="1"/>
  <c r="AW374" i="1"/>
  <c r="X409" i="43" s="1"/>
  <c r="AW375" i="1"/>
  <c r="X410" i="43" s="1"/>
  <c r="AW376" i="1"/>
  <c r="X411" i="43" s="1"/>
  <c r="AW377" i="1"/>
  <c r="X412" i="43" s="1"/>
  <c r="AW378" i="1"/>
  <c r="X413" i="43" s="1"/>
  <c r="AW379" i="1"/>
  <c r="X414" i="43" s="1"/>
  <c r="AW380" i="1"/>
  <c r="X415" i="43" s="1"/>
  <c r="AW381" i="1"/>
  <c r="X416" i="43" s="1"/>
  <c r="AW382" i="1"/>
  <c r="X417" i="43" s="1"/>
  <c r="AW383" i="1"/>
  <c r="X418" i="43" s="1"/>
  <c r="AW384" i="1"/>
  <c r="X419" i="43" s="1"/>
  <c r="AW386" i="1"/>
  <c r="X421" i="43" s="1"/>
  <c r="AW388" i="1"/>
  <c r="X423" i="43" s="1"/>
  <c r="AW390" i="1"/>
  <c r="X425" i="43" s="1"/>
  <c r="AW392" i="1"/>
  <c r="X427" i="43" s="1"/>
  <c r="AW395" i="1"/>
  <c r="X430" i="43" s="1"/>
  <c r="AW396" i="1"/>
  <c r="X431" i="43" s="1"/>
  <c r="AW398" i="1"/>
  <c r="X433" i="43" s="1"/>
  <c r="AW399" i="1"/>
  <c r="X434" i="43" s="1"/>
  <c r="AW400" i="1"/>
  <c r="X435" i="43" s="1"/>
  <c r="AW401" i="1"/>
  <c r="X436" i="43" s="1"/>
  <c r="AW402" i="1"/>
  <c r="X437" i="43" s="1"/>
  <c r="AW403" i="1"/>
  <c r="X438" i="43" s="1"/>
  <c r="O115" i="45" l="1"/>
  <c r="P118" i="43"/>
  <c r="BF263" i="1"/>
  <c r="BF259"/>
  <c r="BF229"/>
  <c r="BF162"/>
  <c r="BF141"/>
  <c r="BF135"/>
  <c r="BF134"/>
  <c r="BF126"/>
  <c r="H399" i="20" l="1"/>
  <c r="H398"/>
  <c r="H275" l="1"/>
  <c r="H274"/>
  <c r="H258" l="1"/>
  <c r="H61" l="1"/>
  <c r="E50" i="36" l="1"/>
  <c r="D50"/>
  <c r="C50"/>
  <c r="B50"/>
  <c r="E13"/>
  <c r="D13"/>
  <c r="C13"/>
  <c r="B13"/>
  <c r="E50" i="37"/>
  <c r="D50"/>
  <c r="C50"/>
  <c r="B50"/>
  <c r="E13"/>
  <c r="D13"/>
  <c r="C13"/>
  <c r="B13"/>
  <c r="G16" i="38"/>
  <c r="G14"/>
  <c r="G39" i="39"/>
  <c r="G25"/>
  <c r="F23"/>
  <c r="E23"/>
  <c r="D23"/>
  <c r="C23"/>
  <c r="B23"/>
  <c r="F14"/>
  <c r="E14"/>
  <c r="D14"/>
  <c r="C14"/>
  <c r="B14"/>
  <c r="E47" i="40"/>
  <c r="D47"/>
  <c r="C47"/>
  <c r="B47"/>
  <c r="E13"/>
  <c r="D13"/>
  <c r="C13"/>
  <c r="B13"/>
  <c r="E47" i="41"/>
  <c r="D47"/>
  <c r="C47"/>
  <c r="B47"/>
  <c r="E13"/>
  <c r="D13"/>
  <c r="C13"/>
  <c r="B13"/>
  <c r="J39" i="42"/>
  <c r="H39"/>
  <c r="D39"/>
  <c r="C39"/>
  <c r="J13"/>
  <c r="H13"/>
  <c r="D13"/>
  <c r="C13"/>
  <c r="AB67" i="43"/>
  <c r="W67"/>
  <c r="V67"/>
  <c r="N67"/>
  <c r="J67"/>
  <c r="H67"/>
  <c r="D67"/>
  <c r="C67"/>
  <c r="AB33"/>
  <c r="W33"/>
  <c r="V33"/>
  <c r="N33"/>
  <c r="J33"/>
  <c r="H33"/>
  <c r="D33"/>
  <c r="C33"/>
  <c r="AB13"/>
  <c r="W13"/>
  <c r="V13"/>
  <c r="N13"/>
  <c r="J13"/>
  <c r="H13"/>
  <c r="D13"/>
  <c r="C13"/>
  <c r="N44" i="44"/>
  <c r="M44"/>
  <c r="G44"/>
  <c r="C44"/>
  <c r="B44"/>
  <c r="N17"/>
  <c r="M17"/>
  <c r="G17"/>
  <c r="C17"/>
  <c r="B17"/>
  <c r="N13"/>
  <c r="M13"/>
  <c r="G13"/>
  <c r="C13"/>
  <c r="B13"/>
  <c r="Y64" i="45"/>
  <c r="X64"/>
  <c r="N64"/>
  <c r="J64"/>
  <c r="H64"/>
  <c r="D64"/>
  <c r="C64"/>
  <c r="Y30"/>
  <c r="X30"/>
  <c r="N30"/>
  <c r="J30"/>
  <c r="H30"/>
  <c r="D30"/>
  <c r="C30"/>
  <c r="AA13"/>
  <c r="Y13"/>
  <c r="X13"/>
  <c r="N13"/>
  <c r="J13"/>
  <c r="H13"/>
  <c r="D13"/>
  <c r="C13"/>
  <c r="B343" l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65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Y331"/>
  <c r="X331"/>
  <c r="B3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Z30"/>
  <c r="Y54"/>
  <c r="T30"/>
  <c r="AA15"/>
  <c r="Y15"/>
  <c r="X15"/>
  <c r="D1"/>
  <c r="AI406" i="44"/>
  <c r="AE406"/>
  <c r="U406"/>
  <c r="AM405"/>
  <c r="AJ405"/>
  <c r="AH405"/>
  <c r="AG405"/>
  <c r="AF405"/>
  <c r="AD405"/>
  <c r="AC405"/>
  <c r="AK405" s="1"/>
  <c r="AB405"/>
  <c r="W405"/>
  <c r="AM396"/>
  <c r="AJ396"/>
  <c r="AH396"/>
  <c r="AG396"/>
  <c r="AF396"/>
  <c r="AD396"/>
  <c r="AC396"/>
  <c r="AK396" s="1"/>
  <c r="AB396"/>
  <c r="W396"/>
  <c r="AM395"/>
  <c r="AJ395"/>
  <c r="AH395"/>
  <c r="AG395"/>
  <c r="AF395"/>
  <c r="AD395"/>
  <c r="AC395"/>
  <c r="AK395" s="1"/>
  <c r="AB395"/>
  <c r="W395"/>
  <c r="AM394"/>
  <c r="AJ394"/>
  <c r="AH394"/>
  <c r="AG394"/>
  <c r="AF394"/>
  <c r="AD394"/>
  <c r="AC394"/>
  <c r="AK394" s="1"/>
  <c r="AB394"/>
  <c r="W394"/>
  <c r="AM393"/>
  <c r="AJ393"/>
  <c r="AH393"/>
  <c r="AG393"/>
  <c r="AF393"/>
  <c r="AD393"/>
  <c r="AC393"/>
  <c r="AK393" s="1"/>
  <c r="AB393"/>
  <c r="W393"/>
  <c r="AM392"/>
  <c r="AJ392"/>
  <c r="AH392"/>
  <c r="AG392"/>
  <c r="AF392"/>
  <c r="AD392"/>
  <c r="AC392"/>
  <c r="AK392" s="1"/>
  <c r="AB392"/>
  <c r="W392"/>
  <c r="AM391"/>
  <c r="AJ391"/>
  <c r="AH391"/>
  <c r="AG391"/>
  <c r="AF391"/>
  <c r="AD391"/>
  <c r="AC391"/>
  <c r="AK391" s="1"/>
  <c r="AB391"/>
  <c r="W391"/>
  <c r="AM390"/>
  <c r="AJ390"/>
  <c r="AH390"/>
  <c r="AG390"/>
  <c r="AF390"/>
  <c r="AD390"/>
  <c r="AC390"/>
  <c r="AK390" s="1"/>
  <c r="AB390"/>
  <c r="W390"/>
  <c r="AM389"/>
  <c r="AJ389"/>
  <c r="AH389"/>
  <c r="AG389"/>
  <c r="AF389"/>
  <c r="AD389"/>
  <c r="AC389"/>
  <c r="AK389" s="1"/>
  <c r="AB389"/>
  <c r="W389"/>
  <c r="AM388"/>
  <c r="AJ388"/>
  <c r="AH388"/>
  <c r="AG388"/>
  <c r="AF388"/>
  <c r="AD388"/>
  <c r="AC388"/>
  <c r="AK388" s="1"/>
  <c r="AB388"/>
  <c r="W388"/>
  <c r="AM387"/>
  <c r="AJ387"/>
  <c r="AH387"/>
  <c r="AG387"/>
  <c r="AF387"/>
  <c r="AD387"/>
  <c r="AC387"/>
  <c r="AK387" s="1"/>
  <c r="AB387"/>
  <c r="W387"/>
  <c r="AM386"/>
  <c r="AJ386"/>
  <c r="AH386"/>
  <c r="AG386"/>
  <c r="AF386"/>
  <c r="AD386"/>
  <c r="AC386"/>
  <c r="AK386" s="1"/>
  <c r="AB386"/>
  <c r="W386"/>
  <c r="AM385"/>
  <c r="AJ385"/>
  <c r="AH385"/>
  <c r="AG385"/>
  <c r="AF385"/>
  <c r="AD385"/>
  <c r="AC385"/>
  <c r="AK385" s="1"/>
  <c r="AB385"/>
  <c r="W385"/>
  <c r="AM384"/>
  <c r="AJ384"/>
  <c r="AH384"/>
  <c r="AG384"/>
  <c r="AF384"/>
  <c r="AD384"/>
  <c r="AC384"/>
  <c r="AK384" s="1"/>
  <c r="AB384"/>
  <c r="W384"/>
  <c r="AM383"/>
  <c r="AJ383"/>
  <c r="AH383"/>
  <c r="AG383"/>
  <c r="AF383"/>
  <c r="AD383"/>
  <c r="AC383"/>
  <c r="AK383" s="1"/>
  <c r="AB383"/>
  <c r="W383"/>
  <c r="AM382"/>
  <c r="AJ382"/>
  <c r="AH382"/>
  <c r="AG382"/>
  <c r="AF382"/>
  <c r="AD382"/>
  <c r="AC382"/>
  <c r="AK382" s="1"/>
  <c r="AB382"/>
  <c r="W382"/>
  <c r="AM381"/>
  <c r="AJ381"/>
  <c r="AH381"/>
  <c r="AG381"/>
  <c r="AF381"/>
  <c r="AD381"/>
  <c r="AC381"/>
  <c r="AK381" s="1"/>
  <c r="AB381"/>
  <c r="W381"/>
  <c r="AM380"/>
  <c r="AJ380"/>
  <c r="AH380"/>
  <c r="AG380"/>
  <c r="AF380"/>
  <c r="AD380"/>
  <c r="AC380"/>
  <c r="AK380" s="1"/>
  <c r="AB380"/>
  <c r="W380"/>
  <c r="AM379"/>
  <c r="AJ379"/>
  <c r="AH379"/>
  <c r="AG379"/>
  <c r="AF379"/>
  <c r="AD379"/>
  <c r="AC379"/>
  <c r="AK379" s="1"/>
  <c r="AB379"/>
  <c r="W379"/>
  <c r="AM378"/>
  <c r="AJ378"/>
  <c r="AH378"/>
  <c r="AG378"/>
  <c r="AF378"/>
  <c r="AD378"/>
  <c r="AC378"/>
  <c r="AK378" s="1"/>
  <c r="AB378"/>
  <c r="W378"/>
  <c r="AM377"/>
  <c r="AJ377"/>
  <c r="AH377"/>
  <c r="AG377"/>
  <c r="AF377"/>
  <c r="AD377"/>
  <c r="AC377"/>
  <c r="AK377" s="1"/>
  <c r="AB377"/>
  <c r="W377"/>
  <c r="AM376"/>
  <c r="AJ376"/>
  <c r="AH376"/>
  <c r="AG376"/>
  <c r="AF376"/>
  <c r="AD376"/>
  <c r="AC376"/>
  <c r="AK376" s="1"/>
  <c r="AB376"/>
  <c r="W376"/>
  <c r="AM375"/>
  <c r="AJ375"/>
  <c r="AH375"/>
  <c r="AG375"/>
  <c r="AF375"/>
  <c r="AD375"/>
  <c r="AC375"/>
  <c r="AK375" s="1"/>
  <c r="AB375"/>
  <c r="W375"/>
  <c r="AM374"/>
  <c r="AJ374"/>
  <c r="AH374"/>
  <c r="AG374"/>
  <c r="AF374"/>
  <c r="AD374"/>
  <c r="AC374"/>
  <c r="AK374" s="1"/>
  <c r="AB374"/>
  <c r="W374"/>
  <c r="AM373"/>
  <c r="AJ373"/>
  <c r="AH373"/>
  <c r="AG373"/>
  <c r="AF373"/>
  <c r="AD373"/>
  <c r="AC373"/>
  <c r="AK373" s="1"/>
  <c r="AB373"/>
  <c r="W373"/>
  <c r="AM372"/>
  <c r="AJ372"/>
  <c r="AH372"/>
  <c r="AG372"/>
  <c r="AF372"/>
  <c r="AD372"/>
  <c r="AC372"/>
  <c r="AK372" s="1"/>
  <c r="AB372"/>
  <c r="W372"/>
  <c r="AM371"/>
  <c r="AJ371"/>
  <c r="AH371"/>
  <c r="AG371"/>
  <c r="AF371"/>
  <c r="AD371"/>
  <c r="AC371"/>
  <c r="AK371" s="1"/>
  <c r="AB371"/>
  <c r="W371"/>
  <c r="AM370"/>
  <c r="AJ370"/>
  <c r="AH370"/>
  <c r="AG370"/>
  <c r="AF370"/>
  <c r="AD370"/>
  <c r="AC370"/>
  <c r="AK370" s="1"/>
  <c r="AB370"/>
  <c r="W370"/>
  <c r="AM369"/>
  <c r="AJ369"/>
  <c r="AH369"/>
  <c r="AG369"/>
  <c r="AF369"/>
  <c r="AD369"/>
  <c r="AC369"/>
  <c r="AK369" s="1"/>
  <c r="AB369"/>
  <c r="W369"/>
  <c r="AM368"/>
  <c r="AJ368"/>
  <c r="AH368"/>
  <c r="AG368"/>
  <c r="AF368"/>
  <c r="AD368"/>
  <c r="AC368"/>
  <c r="AK368" s="1"/>
  <c r="AB368"/>
  <c r="W368"/>
  <c r="AM367"/>
  <c r="AJ367"/>
  <c r="AH367"/>
  <c r="AG367"/>
  <c r="AF367"/>
  <c r="AD367"/>
  <c r="AC367"/>
  <c r="AK367" s="1"/>
  <c r="AB367"/>
  <c r="W367"/>
  <c r="AM366"/>
  <c r="AJ366"/>
  <c r="AH366"/>
  <c r="AG366"/>
  <c r="AF366"/>
  <c r="AD366"/>
  <c r="AC366"/>
  <c r="AK366" s="1"/>
  <c r="AB366"/>
  <c r="W366"/>
  <c r="AM365"/>
  <c r="AJ365"/>
  <c r="AH365"/>
  <c r="AG365"/>
  <c r="AF365"/>
  <c r="AD365"/>
  <c r="AC365"/>
  <c r="AK365" s="1"/>
  <c r="AB365"/>
  <c r="W365"/>
  <c r="AM364"/>
  <c r="AJ364"/>
  <c r="AH364"/>
  <c r="AG364"/>
  <c r="AF364"/>
  <c r="AD364"/>
  <c r="AC364"/>
  <c r="AK364" s="1"/>
  <c r="AB364"/>
  <c r="W364"/>
  <c r="AM363"/>
  <c r="AJ363"/>
  <c r="AH363"/>
  <c r="AG363"/>
  <c r="AF363"/>
  <c r="AD363"/>
  <c r="AC363"/>
  <c r="AK363" s="1"/>
  <c r="AB363"/>
  <c r="W363"/>
  <c r="AM362"/>
  <c r="AJ362"/>
  <c r="AH362"/>
  <c r="AG362"/>
  <c r="AF362"/>
  <c r="AD362"/>
  <c r="AC362"/>
  <c r="AK362" s="1"/>
  <c r="AB362"/>
  <c r="W362"/>
  <c r="AM361"/>
  <c r="AJ361"/>
  <c r="AH361"/>
  <c r="AG361"/>
  <c r="AF361"/>
  <c r="AD361"/>
  <c r="AC361"/>
  <c r="AK361" s="1"/>
  <c r="AB361"/>
  <c r="W361"/>
  <c r="AM360"/>
  <c r="AJ360"/>
  <c r="AH360"/>
  <c r="AG360"/>
  <c r="AF360"/>
  <c r="AD360"/>
  <c r="AC360"/>
  <c r="AK360" s="1"/>
  <c r="AB360"/>
  <c r="W360"/>
  <c r="AM359"/>
  <c r="AJ359"/>
  <c r="AH359"/>
  <c r="AG359"/>
  <c r="AF359"/>
  <c r="AD359"/>
  <c r="AC359"/>
  <c r="AK359" s="1"/>
  <c r="AB359"/>
  <c r="W359"/>
  <c r="AM358"/>
  <c r="AJ358"/>
  <c r="AH358"/>
  <c r="AG358"/>
  <c r="AF358"/>
  <c r="AD358"/>
  <c r="AC358"/>
  <c r="AK358" s="1"/>
  <c r="AB358"/>
  <c r="W358"/>
  <c r="AM357"/>
  <c r="AJ357"/>
  <c r="AH357"/>
  <c r="AG357"/>
  <c r="AF357"/>
  <c r="AD357"/>
  <c r="AC357"/>
  <c r="AK357" s="1"/>
  <c r="AB357"/>
  <c r="W357"/>
  <c r="AM356"/>
  <c r="AJ356"/>
  <c r="AH356"/>
  <c r="AG356"/>
  <c r="AF356"/>
  <c r="AD356"/>
  <c r="AC356"/>
  <c r="AK356" s="1"/>
  <c r="AB356"/>
  <c r="W356"/>
  <c r="AM355"/>
  <c r="AJ355"/>
  <c r="AH355"/>
  <c r="AG355"/>
  <c r="AF355"/>
  <c r="AD355"/>
  <c r="AC355"/>
  <c r="AK355" s="1"/>
  <c r="AB355"/>
  <c r="W355"/>
  <c r="AM354"/>
  <c r="AJ354"/>
  <c r="AH354"/>
  <c r="AG354"/>
  <c r="AF354"/>
  <c r="AD354"/>
  <c r="AC354"/>
  <c r="AK354" s="1"/>
  <c r="AB354"/>
  <c r="W354"/>
  <c r="AM353"/>
  <c r="AJ353"/>
  <c r="AH353"/>
  <c r="AG353"/>
  <c r="AF353"/>
  <c r="AD353"/>
  <c r="AC353"/>
  <c r="AK353" s="1"/>
  <c r="AB353"/>
  <c r="W353"/>
  <c r="AM352"/>
  <c r="AJ352"/>
  <c r="AH352"/>
  <c r="AG352"/>
  <c r="AF352"/>
  <c r="AD352"/>
  <c r="AC352"/>
  <c r="AK352" s="1"/>
  <c r="AB352"/>
  <c r="W352"/>
  <c r="AM351"/>
  <c r="AJ351"/>
  <c r="AH351"/>
  <c r="AG351"/>
  <c r="AF351"/>
  <c r="AD351"/>
  <c r="AC351"/>
  <c r="AK351" s="1"/>
  <c r="AB351"/>
  <c r="W351"/>
  <c r="AM350"/>
  <c r="AJ350"/>
  <c r="AH350"/>
  <c r="AG350"/>
  <c r="AF350"/>
  <c r="AD350"/>
  <c r="AC350"/>
  <c r="AK350" s="1"/>
  <c r="AB350"/>
  <c r="W350"/>
  <c r="AM349"/>
  <c r="AJ349"/>
  <c r="AH349"/>
  <c r="AG349"/>
  <c r="AF349"/>
  <c r="AD349"/>
  <c r="AC349"/>
  <c r="AK349" s="1"/>
  <c r="AB349"/>
  <c r="W349"/>
  <c r="AM348"/>
  <c r="AJ348"/>
  <c r="AH348"/>
  <c r="AG348"/>
  <c r="AF348"/>
  <c r="AD348"/>
  <c r="AC348"/>
  <c r="AK348" s="1"/>
  <c r="AB348"/>
  <c r="W348"/>
  <c r="AM347"/>
  <c r="AJ347"/>
  <c r="AH347"/>
  <c r="AG347"/>
  <c r="AF347"/>
  <c r="AD347"/>
  <c r="AC347"/>
  <c r="AK347" s="1"/>
  <c r="AB347"/>
  <c r="W347"/>
  <c r="AM346"/>
  <c r="AJ346"/>
  <c r="AH346"/>
  <c r="AG346"/>
  <c r="AF346"/>
  <c r="AD346"/>
  <c r="AC346"/>
  <c r="AK346" s="1"/>
  <c r="AB346"/>
  <c r="W346"/>
  <c r="AM345"/>
  <c r="AJ345"/>
  <c r="AH345"/>
  <c r="AG345"/>
  <c r="AF345"/>
  <c r="AD345"/>
  <c r="AC345"/>
  <c r="AK345" s="1"/>
  <c r="AB345"/>
  <c r="W345"/>
  <c r="AM344"/>
  <c r="AJ344"/>
  <c r="AH344"/>
  <c r="AG344"/>
  <c r="AF344"/>
  <c r="AD344"/>
  <c r="AC344"/>
  <c r="AK344" s="1"/>
  <c r="AB344"/>
  <c r="W344"/>
  <c r="AM343"/>
  <c r="AJ343"/>
  <c r="AH343"/>
  <c r="AG343"/>
  <c r="AF343"/>
  <c r="AD343"/>
  <c r="AC343"/>
  <c r="AK343" s="1"/>
  <c r="AB343"/>
  <c r="W343"/>
  <c r="AM342"/>
  <c r="AJ342"/>
  <c r="AH342"/>
  <c r="AG342"/>
  <c r="AF342"/>
  <c r="AD342"/>
  <c r="AC342"/>
  <c r="AK342" s="1"/>
  <c r="AB342"/>
  <c r="W342"/>
  <c r="AM341"/>
  <c r="AJ341"/>
  <c r="AH341"/>
  <c r="AG341"/>
  <c r="AF341"/>
  <c r="AD341"/>
  <c r="AC341"/>
  <c r="AK341" s="1"/>
  <c r="AB341"/>
  <c r="W341"/>
  <c r="AM340"/>
  <c r="AJ340"/>
  <c r="AH340"/>
  <c r="AG340"/>
  <c r="AF340"/>
  <c r="AD340"/>
  <c r="AC340"/>
  <c r="AK340" s="1"/>
  <c r="AB340"/>
  <c r="W340"/>
  <c r="AM339"/>
  <c r="AJ339"/>
  <c r="AH339"/>
  <c r="AG339"/>
  <c r="AF339"/>
  <c r="AD339"/>
  <c r="AC339"/>
  <c r="AK339" s="1"/>
  <c r="AB339"/>
  <c r="W339"/>
  <c r="AM338"/>
  <c r="AJ338"/>
  <c r="AH338"/>
  <c r="AG338"/>
  <c r="AF338"/>
  <c r="AD338"/>
  <c r="AC338"/>
  <c r="AK338" s="1"/>
  <c r="AB338"/>
  <c r="W338"/>
  <c r="AM337"/>
  <c r="AJ337"/>
  <c r="AH337"/>
  <c r="AG337"/>
  <c r="AF337"/>
  <c r="AD337"/>
  <c r="AC337"/>
  <c r="AK337" s="1"/>
  <c r="AB337"/>
  <c r="W337"/>
  <c r="AM336"/>
  <c r="AJ336"/>
  <c r="AH336"/>
  <c r="AG336"/>
  <c r="AF336"/>
  <c r="AD336"/>
  <c r="AC336"/>
  <c r="AK336" s="1"/>
  <c r="AB336"/>
  <c r="W336"/>
  <c r="AM335"/>
  <c r="AJ335"/>
  <c r="AH335"/>
  <c r="AG335"/>
  <c r="AF335"/>
  <c r="AD335"/>
  <c r="AC335"/>
  <c r="AK335" s="1"/>
  <c r="AB335"/>
  <c r="W335"/>
  <c r="AM334"/>
  <c r="AJ334"/>
  <c r="AH334"/>
  <c r="AG334"/>
  <c r="AF334"/>
  <c r="AD334"/>
  <c r="AC334"/>
  <c r="AK334" s="1"/>
  <c r="AB334"/>
  <c r="W334"/>
  <c r="AM333"/>
  <c r="AJ333"/>
  <c r="AH333"/>
  <c r="AG333"/>
  <c r="AF333"/>
  <c r="AD333"/>
  <c r="AC333"/>
  <c r="AK333" s="1"/>
  <c r="AB333"/>
  <c r="W333"/>
  <c r="AM332"/>
  <c r="AJ332"/>
  <c r="AH332"/>
  <c r="AG332"/>
  <c r="AF332"/>
  <c r="AD332"/>
  <c r="AC332"/>
  <c r="AK332" s="1"/>
  <c r="AB332"/>
  <c r="W332"/>
  <c r="AM331"/>
  <c r="AJ331"/>
  <c r="AH331"/>
  <c r="AG331"/>
  <c r="AF331"/>
  <c r="AD331"/>
  <c r="AC331"/>
  <c r="AK331" s="1"/>
  <c r="AB331"/>
  <c r="W331"/>
  <c r="AM330"/>
  <c r="AJ330"/>
  <c r="AH330"/>
  <c r="AG330"/>
  <c r="AF330"/>
  <c r="AD330"/>
  <c r="AC330"/>
  <c r="AK330" s="1"/>
  <c r="AB330"/>
  <c r="W330"/>
  <c r="AM329"/>
  <c r="AJ329"/>
  <c r="AH329"/>
  <c r="AG329"/>
  <c r="AF329"/>
  <c r="AD329"/>
  <c r="AC329"/>
  <c r="AK329" s="1"/>
  <c r="AB329"/>
  <c r="W329"/>
  <c r="AM328"/>
  <c r="AJ328"/>
  <c r="AH328"/>
  <c r="AG328"/>
  <c r="AF328"/>
  <c r="AD328"/>
  <c r="AC328"/>
  <c r="AK328" s="1"/>
  <c r="AB328"/>
  <c r="W328"/>
  <c r="AM327"/>
  <c r="AJ327"/>
  <c r="AH327"/>
  <c r="AG327"/>
  <c r="AF327"/>
  <c r="AD327"/>
  <c r="AC327"/>
  <c r="AK327" s="1"/>
  <c r="AB327"/>
  <c r="W327"/>
  <c r="AM326"/>
  <c r="AJ326"/>
  <c r="AH326"/>
  <c r="AG326"/>
  <c r="AF326"/>
  <c r="AD326"/>
  <c r="AC326"/>
  <c r="AK326" s="1"/>
  <c r="AB326"/>
  <c r="W326"/>
  <c r="AM325"/>
  <c r="AJ325"/>
  <c r="AH325"/>
  <c r="AG325"/>
  <c r="AF325"/>
  <c r="AD325"/>
  <c r="AC325"/>
  <c r="AK325" s="1"/>
  <c r="AB325"/>
  <c r="W325"/>
  <c r="AM324"/>
  <c r="AJ324"/>
  <c r="AH324"/>
  <c r="AG324"/>
  <c r="AF324"/>
  <c r="AD324"/>
  <c r="AC324"/>
  <c r="AK324" s="1"/>
  <c r="AB324"/>
  <c r="W324"/>
  <c r="AM323"/>
  <c r="AJ323"/>
  <c r="AH323"/>
  <c r="AG323"/>
  <c r="AF323"/>
  <c r="AD323"/>
  <c r="AC323"/>
  <c r="AK323" s="1"/>
  <c r="AB323"/>
  <c r="W323"/>
  <c r="AM322"/>
  <c r="AJ322"/>
  <c r="AH322"/>
  <c r="AG322"/>
  <c r="AF322"/>
  <c r="AD322"/>
  <c r="AC322"/>
  <c r="AK322" s="1"/>
  <c r="AB322"/>
  <c r="W322"/>
  <c r="AM321"/>
  <c r="AJ321"/>
  <c r="AH321"/>
  <c r="AG321"/>
  <c r="AF321"/>
  <c r="AD321"/>
  <c r="AC321"/>
  <c r="AK321" s="1"/>
  <c r="AB321"/>
  <c r="W321"/>
  <c r="AM320"/>
  <c r="AJ320"/>
  <c r="AH320"/>
  <c r="AG320"/>
  <c r="AF320"/>
  <c r="AD320"/>
  <c r="AC320"/>
  <c r="AK320" s="1"/>
  <c r="AB320"/>
  <c r="W320"/>
  <c r="AM319"/>
  <c r="AJ319"/>
  <c r="AH319"/>
  <c r="AG319"/>
  <c r="AF319"/>
  <c r="AD319"/>
  <c r="AC319"/>
  <c r="AK319" s="1"/>
  <c r="AB319"/>
  <c r="W319"/>
  <c r="AM318"/>
  <c r="AJ318"/>
  <c r="AH318"/>
  <c r="AG318"/>
  <c r="AF318"/>
  <c r="AD318"/>
  <c r="AC318"/>
  <c r="AK318" s="1"/>
  <c r="AB318"/>
  <c r="W318"/>
  <c r="AM317"/>
  <c r="AJ317"/>
  <c r="AH317"/>
  <c r="AG317"/>
  <c r="AF317"/>
  <c r="AD317"/>
  <c r="AC317"/>
  <c r="AK317" s="1"/>
  <c r="AB317"/>
  <c r="W317"/>
  <c r="AM316"/>
  <c r="AJ316"/>
  <c r="AH316"/>
  <c r="AG316"/>
  <c r="AF316"/>
  <c r="AD316"/>
  <c r="AC316"/>
  <c r="AK316" s="1"/>
  <c r="AB316"/>
  <c r="W316"/>
  <c r="AM315"/>
  <c r="AJ315"/>
  <c r="AH315"/>
  <c r="AG315"/>
  <c r="AF315"/>
  <c r="AD315"/>
  <c r="AC315"/>
  <c r="AK315" s="1"/>
  <c r="AB315"/>
  <c r="W315"/>
  <c r="A315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M314"/>
  <c r="AJ314"/>
  <c r="AJ406" s="1"/>
  <c r="AH314"/>
  <c r="AH406" s="1"/>
  <c r="AG314"/>
  <c r="AG406" s="1"/>
  <c r="AF314"/>
  <c r="AF406" s="1"/>
  <c r="AD314"/>
  <c r="AD406" s="1"/>
  <c r="AC314"/>
  <c r="AC406" s="1"/>
  <c r="AB314"/>
  <c r="AB406" s="1"/>
  <c r="W314"/>
  <c r="W406" s="1"/>
  <c r="H314"/>
  <c r="AE311"/>
  <c r="U311"/>
  <c r="AM310"/>
  <c r="AJ310"/>
  <c r="AH310"/>
  <c r="AG310"/>
  <c r="AF310"/>
  <c r="AD310"/>
  <c r="AC310"/>
  <c r="AK310" s="1"/>
  <c r="AB310"/>
  <c r="W310"/>
  <c r="AM277"/>
  <c r="AJ277"/>
  <c r="AH277"/>
  <c r="AG277"/>
  <c r="AF277"/>
  <c r="AD277"/>
  <c r="AC277"/>
  <c r="AK277" s="1"/>
  <c r="AB277"/>
  <c r="W277"/>
  <c r="AM276"/>
  <c r="AJ276"/>
  <c r="AH276"/>
  <c r="AG276"/>
  <c r="AF276"/>
  <c r="AD276"/>
  <c r="AC276"/>
  <c r="AK276" s="1"/>
  <c r="AB276"/>
  <c r="W276"/>
  <c r="AM275"/>
  <c r="AJ275"/>
  <c r="AH275"/>
  <c r="AG275"/>
  <c r="AF275"/>
  <c r="AD275"/>
  <c r="AC275"/>
  <c r="AK275" s="1"/>
  <c r="AB275"/>
  <c r="W275"/>
  <c r="AM274"/>
  <c r="AJ274"/>
  <c r="AH274"/>
  <c r="AG274"/>
  <c r="AF274"/>
  <c r="AD274"/>
  <c r="AC274"/>
  <c r="AK274" s="1"/>
  <c r="AB274"/>
  <c r="W274"/>
  <c r="AM273"/>
  <c r="AJ273"/>
  <c r="AH273"/>
  <c r="AG273"/>
  <c r="AF273"/>
  <c r="AD273"/>
  <c r="AC273"/>
  <c r="AK273" s="1"/>
  <c r="AB273"/>
  <c r="W273"/>
  <c r="AM272"/>
  <c r="AJ272"/>
  <c r="AH272"/>
  <c r="AG272"/>
  <c r="AF272"/>
  <c r="AD272"/>
  <c r="AC272"/>
  <c r="AK272" s="1"/>
  <c r="AB272"/>
  <c r="W272"/>
  <c r="AM271"/>
  <c r="AJ271"/>
  <c r="AH271"/>
  <c r="AG271"/>
  <c r="AF271"/>
  <c r="AD271"/>
  <c r="AC271"/>
  <c r="AK271" s="1"/>
  <c r="AB271"/>
  <c r="W271"/>
  <c r="AM270"/>
  <c r="AJ270"/>
  <c r="AH270"/>
  <c r="AG270"/>
  <c r="AF270"/>
  <c r="AD270"/>
  <c r="AC270"/>
  <c r="AK270" s="1"/>
  <c r="AB270"/>
  <c r="W270"/>
  <c r="AM269"/>
  <c r="AJ269"/>
  <c r="AH269"/>
  <c r="AG269"/>
  <c r="AF269"/>
  <c r="AD269"/>
  <c r="AC269"/>
  <c r="AK269" s="1"/>
  <c r="AB269"/>
  <c r="W269"/>
  <c r="AM268"/>
  <c r="AJ268"/>
  <c r="AH268"/>
  <c r="AG268"/>
  <c r="AF268"/>
  <c r="AD268"/>
  <c r="AC268"/>
  <c r="AK268" s="1"/>
  <c r="AB268"/>
  <c r="W268"/>
  <c r="AM267"/>
  <c r="AJ267"/>
  <c r="AH267"/>
  <c r="AG267"/>
  <c r="AF267"/>
  <c r="AD267"/>
  <c r="AC267"/>
  <c r="AK267" s="1"/>
  <c r="AB267"/>
  <c r="W267"/>
  <c r="AM266"/>
  <c r="AJ266"/>
  <c r="AH266"/>
  <c r="AG266"/>
  <c r="AF266"/>
  <c r="AD266"/>
  <c r="AC266"/>
  <c r="AK266" s="1"/>
  <c r="AB266"/>
  <c r="W266"/>
  <c r="AM265"/>
  <c r="AJ265"/>
  <c r="AH265"/>
  <c r="AG265"/>
  <c r="AF265"/>
  <c r="AD265"/>
  <c r="AC265"/>
  <c r="AK265" s="1"/>
  <c r="AB265"/>
  <c r="W265"/>
  <c r="AM264"/>
  <c r="AJ264"/>
  <c r="AH264"/>
  <c r="AG264"/>
  <c r="AF264"/>
  <c r="AD264"/>
  <c r="AC264"/>
  <c r="AK264" s="1"/>
  <c r="AB264"/>
  <c r="W264"/>
  <c r="AM263"/>
  <c r="AJ263"/>
  <c r="AH263"/>
  <c r="AG263"/>
  <c r="AF263"/>
  <c r="AD263"/>
  <c r="AC263"/>
  <c r="AK263" s="1"/>
  <c r="AB263"/>
  <c r="W263"/>
  <c r="AM262"/>
  <c r="AJ262"/>
  <c r="AH262"/>
  <c r="AG262"/>
  <c r="AF262"/>
  <c r="AD262"/>
  <c r="AC262"/>
  <c r="AK262" s="1"/>
  <c r="AB262"/>
  <c r="W262"/>
  <c r="AM261"/>
  <c r="AJ261"/>
  <c r="AH261"/>
  <c r="AG261"/>
  <c r="AF261"/>
  <c r="AD261"/>
  <c r="AC261"/>
  <c r="AK261" s="1"/>
  <c r="AB261"/>
  <c r="W261"/>
  <c r="AM260"/>
  <c r="AJ260"/>
  <c r="AH260"/>
  <c r="AG260"/>
  <c r="AF260"/>
  <c r="AD260"/>
  <c r="AC260"/>
  <c r="AK260" s="1"/>
  <c r="AB260"/>
  <c r="W260"/>
  <c r="AM259"/>
  <c r="AJ259"/>
  <c r="AH259"/>
  <c r="AG259"/>
  <c r="AF259"/>
  <c r="AD259"/>
  <c r="AC259"/>
  <c r="AK259" s="1"/>
  <c r="AB259"/>
  <c r="W259"/>
  <c r="AM258"/>
  <c r="AJ258"/>
  <c r="AH258"/>
  <c r="AG258"/>
  <c r="AF258"/>
  <c r="AD258"/>
  <c r="AC258"/>
  <c r="AK258" s="1"/>
  <c r="AB258"/>
  <c r="W258"/>
  <c r="AM257"/>
  <c r="AJ257"/>
  <c r="AH257"/>
  <c r="AG257"/>
  <c r="AF257"/>
  <c r="AD257"/>
  <c r="AC257"/>
  <c r="AK257" s="1"/>
  <c r="AB257"/>
  <c r="W257"/>
  <c r="AM256"/>
  <c r="AJ256"/>
  <c r="AH256"/>
  <c r="AG256"/>
  <c r="AF256"/>
  <c r="AD256"/>
  <c r="AC256"/>
  <c r="AK256" s="1"/>
  <c r="AB256"/>
  <c r="W256"/>
  <c r="AM255"/>
  <c r="AJ255"/>
  <c r="AH255"/>
  <c r="AG255"/>
  <c r="AF255"/>
  <c r="AD255"/>
  <c r="AC255"/>
  <c r="AK255" s="1"/>
  <c r="AB255"/>
  <c r="W255"/>
  <c r="AM254"/>
  <c r="AJ254"/>
  <c r="AH254"/>
  <c r="AG254"/>
  <c r="AF254"/>
  <c r="AD254"/>
  <c r="AC254"/>
  <c r="AK254" s="1"/>
  <c r="AB254"/>
  <c r="W254"/>
  <c r="AM253"/>
  <c r="AJ253"/>
  <c r="AH253"/>
  <c r="AG253"/>
  <c r="AF253"/>
  <c r="AD253"/>
  <c r="AC253"/>
  <c r="AK253" s="1"/>
  <c r="AB253"/>
  <c r="W253"/>
  <c r="AM252"/>
  <c r="AJ252"/>
  <c r="AH252"/>
  <c r="AG252"/>
  <c r="AF252"/>
  <c r="AD252"/>
  <c r="AC252"/>
  <c r="AK252" s="1"/>
  <c r="AB252"/>
  <c r="W252"/>
  <c r="AM251"/>
  <c r="AJ251"/>
  <c r="AH251"/>
  <c r="AG251"/>
  <c r="AF251"/>
  <c r="AD251"/>
  <c r="AC251"/>
  <c r="AK251" s="1"/>
  <c r="AB251"/>
  <c r="W251"/>
  <c r="AM250"/>
  <c r="AJ250"/>
  <c r="AH250"/>
  <c r="AG250"/>
  <c r="AF250"/>
  <c r="AD250"/>
  <c r="AC250"/>
  <c r="AK250" s="1"/>
  <c r="AB250"/>
  <c r="W250"/>
  <c r="AM249"/>
  <c r="AJ249"/>
  <c r="AH249"/>
  <c r="AG249"/>
  <c r="AF249"/>
  <c r="AD249"/>
  <c r="AC249"/>
  <c r="AK249" s="1"/>
  <c r="AB249"/>
  <c r="W249"/>
  <c r="AM248"/>
  <c r="AJ248"/>
  <c r="AH248"/>
  <c r="AG248"/>
  <c r="AF248"/>
  <c r="AD248"/>
  <c r="AC248"/>
  <c r="AK248" s="1"/>
  <c r="AB248"/>
  <c r="W248"/>
  <c r="AM247"/>
  <c r="AJ247"/>
  <c r="AH247"/>
  <c r="AG247"/>
  <c r="AF247"/>
  <c r="AD247"/>
  <c r="AC247"/>
  <c r="AK247" s="1"/>
  <c r="AB247"/>
  <c r="W247"/>
  <c r="AM246"/>
  <c r="AJ246"/>
  <c r="AH246"/>
  <c r="AG246"/>
  <c r="AF246"/>
  <c r="AD246"/>
  <c r="AC246"/>
  <c r="AK246" s="1"/>
  <c r="AB246"/>
  <c r="W246"/>
  <c r="AM245"/>
  <c r="AJ245"/>
  <c r="AH245"/>
  <c r="AG245"/>
  <c r="AF245"/>
  <c r="AD245"/>
  <c r="AC245"/>
  <c r="AK245" s="1"/>
  <c r="AB245"/>
  <c r="W245"/>
  <c r="AM244"/>
  <c r="AJ244"/>
  <c r="AH244"/>
  <c r="AG244"/>
  <c r="AF244"/>
  <c r="AD244"/>
  <c r="AC244"/>
  <c r="AK244" s="1"/>
  <c r="AB244"/>
  <c r="W244"/>
  <c r="AM243"/>
  <c r="AJ243"/>
  <c r="AH243"/>
  <c r="AG243"/>
  <c r="AF243"/>
  <c r="AD243"/>
  <c r="AC243"/>
  <c r="AK243" s="1"/>
  <c r="AB243"/>
  <c r="W243"/>
  <c r="AM242"/>
  <c r="AJ242"/>
  <c r="AH242"/>
  <c r="AG242"/>
  <c r="AF242"/>
  <c r="AD242"/>
  <c r="AC242"/>
  <c r="AK242" s="1"/>
  <c r="AB242"/>
  <c r="W242"/>
  <c r="AM241"/>
  <c r="AJ241"/>
  <c r="AH241"/>
  <c r="AG241"/>
  <c r="AF241"/>
  <c r="AD241"/>
  <c r="AC241"/>
  <c r="AK241" s="1"/>
  <c r="AB241"/>
  <c r="W241"/>
  <c r="AM240"/>
  <c r="AJ240"/>
  <c r="AH240"/>
  <c r="AG240"/>
  <c r="AF240"/>
  <c r="AD240"/>
  <c r="AC240"/>
  <c r="AK240" s="1"/>
  <c r="AB240"/>
  <c r="W240"/>
  <c r="AM239"/>
  <c r="AJ239"/>
  <c r="AH239"/>
  <c r="AG239"/>
  <c r="AF239"/>
  <c r="AD239"/>
  <c r="AC239"/>
  <c r="AK239" s="1"/>
  <c r="AB239"/>
  <c r="W239"/>
  <c r="AM238"/>
  <c r="AJ238"/>
  <c r="AH238"/>
  <c r="AG238"/>
  <c r="AF238"/>
  <c r="AD238"/>
  <c r="AC238"/>
  <c r="AK238" s="1"/>
  <c r="AB238"/>
  <c r="W238"/>
  <c r="AM237"/>
  <c r="AJ237"/>
  <c r="AH237"/>
  <c r="AG237"/>
  <c r="AF237"/>
  <c r="AD237"/>
  <c r="AC237"/>
  <c r="AK237" s="1"/>
  <c r="AB237"/>
  <c r="W237"/>
  <c r="AM236"/>
  <c r="AJ236"/>
  <c r="AH236"/>
  <c r="AG236"/>
  <c r="AF236"/>
  <c r="AD236"/>
  <c r="AC236"/>
  <c r="AK236" s="1"/>
  <c r="AB236"/>
  <c r="W236"/>
  <c r="AM235"/>
  <c r="AJ235"/>
  <c r="AH235"/>
  <c r="AG235"/>
  <c r="AF235"/>
  <c r="AD235"/>
  <c r="AC235"/>
  <c r="AK235" s="1"/>
  <c r="AB235"/>
  <c r="W235"/>
  <c r="AM234"/>
  <c r="AJ234"/>
  <c r="AH234"/>
  <c r="AG234"/>
  <c r="AF234"/>
  <c r="AD234"/>
  <c r="AC234"/>
  <c r="AK234" s="1"/>
  <c r="AB234"/>
  <c r="W234"/>
  <c r="AM233"/>
  <c r="AJ233"/>
  <c r="AH233"/>
  <c r="AG233"/>
  <c r="AF233"/>
  <c r="AD233"/>
  <c r="AC233"/>
  <c r="AK233" s="1"/>
  <c r="AB233"/>
  <c r="W233"/>
  <c r="AM232"/>
  <c r="AJ232"/>
  <c r="AH232"/>
  <c r="AG232"/>
  <c r="AF232"/>
  <c r="AD232"/>
  <c r="AC232"/>
  <c r="AK232" s="1"/>
  <c r="AB232"/>
  <c r="W232"/>
  <c r="AM231"/>
  <c r="AJ231"/>
  <c r="AH231"/>
  <c r="AG231"/>
  <c r="AF231"/>
  <c r="AD231"/>
  <c r="AC231"/>
  <c r="AK231" s="1"/>
  <c r="AB231"/>
  <c r="W231"/>
  <c r="AM230"/>
  <c r="AJ230"/>
  <c r="AH230"/>
  <c r="AG230"/>
  <c r="AF230"/>
  <c r="AD230"/>
  <c r="AC230"/>
  <c r="AK230" s="1"/>
  <c r="AB230"/>
  <c r="W230"/>
  <c r="AM229"/>
  <c r="AJ229"/>
  <c r="AH229"/>
  <c r="AG229"/>
  <c r="AF229"/>
  <c r="AD229"/>
  <c r="AC229"/>
  <c r="AK229" s="1"/>
  <c r="AB229"/>
  <c r="W229"/>
  <c r="AM228"/>
  <c r="AJ228"/>
  <c r="AH228"/>
  <c r="AG228"/>
  <c r="AF228"/>
  <c r="AD228"/>
  <c r="AC228"/>
  <c r="AK228" s="1"/>
  <c r="AB228"/>
  <c r="W228"/>
  <c r="AM227"/>
  <c r="AJ227"/>
  <c r="AH227"/>
  <c r="AG227"/>
  <c r="AF227"/>
  <c r="AD227"/>
  <c r="AC227"/>
  <c r="AK227" s="1"/>
  <c r="AB227"/>
  <c r="W227"/>
  <c r="AM226"/>
  <c r="AJ226"/>
  <c r="AH226"/>
  <c r="AG226"/>
  <c r="AF226"/>
  <c r="AD226"/>
  <c r="AC226"/>
  <c r="AK226" s="1"/>
  <c r="AB226"/>
  <c r="W226"/>
  <c r="AM225"/>
  <c r="AJ225"/>
  <c r="AH225"/>
  <c r="AG225"/>
  <c r="AF225"/>
  <c r="AD225"/>
  <c r="AC225"/>
  <c r="AK225" s="1"/>
  <c r="AB225"/>
  <c r="W225"/>
  <c r="AM224"/>
  <c r="AJ224"/>
  <c r="AH224"/>
  <c r="AG224"/>
  <c r="AF224"/>
  <c r="AD224"/>
  <c r="AC224"/>
  <c r="AK224" s="1"/>
  <c r="AB224"/>
  <c r="W224"/>
  <c r="AM223"/>
  <c r="AJ223"/>
  <c r="AH223"/>
  <c r="AG223"/>
  <c r="AF223"/>
  <c r="AD223"/>
  <c r="AC223"/>
  <c r="AK223" s="1"/>
  <c r="AB223"/>
  <c r="W223"/>
  <c r="AM222"/>
  <c r="AJ222"/>
  <c r="AH222"/>
  <c r="AG222"/>
  <c r="AF222"/>
  <c r="AD222"/>
  <c r="AC222"/>
  <c r="AK222" s="1"/>
  <c r="AB222"/>
  <c r="W222"/>
  <c r="AM221"/>
  <c r="AJ221"/>
  <c r="AH221"/>
  <c r="AG221"/>
  <c r="AF221"/>
  <c r="AD221"/>
  <c r="AC221"/>
  <c r="AK221" s="1"/>
  <c r="AB221"/>
  <c r="W221"/>
  <c r="AM220"/>
  <c r="AJ220"/>
  <c r="AH220"/>
  <c r="AG220"/>
  <c r="AF220"/>
  <c r="AD220"/>
  <c r="AC220"/>
  <c r="AK220" s="1"/>
  <c r="AB220"/>
  <c r="W220"/>
  <c r="AM219"/>
  <c r="AJ219"/>
  <c r="AH219"/>
  <c r="AG219"/>
  <c r="AF219"/>
  <c r="AD219"/>
  <c r="AC219"/>
  <c r="AK219" s="1"/>
  <c r="AB219"/>
  <c r="W219"/>
  <c r="AM218"/>
  <c r="AJ218"/>
  <c r="AH218"/>
  <c r="AG218"/>
  <c r="AF218"/>
  <c r="AD218"/>
  <c r="AC218"/>
  <c r="AK218" s="1"/>
  <c r="AB218"/>
  <c r="W218"/>
  <c r="AM217"/>
  <c r="AJ217"/>
  <c r="AH217"/>
  <c r="AG217"/>
  <c r="AF217"/>
  <c r="AD217"/>
  <c r="AC217"/>
  <c r="AK217" s="1"/>
  <c r="AB217"/>
  <c r="W217"/>
  <c r="AM216"/>
  <c r="AJ216"/>
  <c r="AH216"/>
  <c r="AG216"/>
  <c r="AF216"/>
  <c r="AD216"/>
  <c r="AC216"/>
  <c r="AK216" s="1"/>
  <c r="AB216"/>
  <c r="W216"/>
  <c r="AM215"/>
  <c r="AJ215"/>
  <c r="AH215"/>
  <c r="AG215"/>
  <c r="AF215"/>
  <c r="AD215"/>
  <c r="AC215"/>
  <c r="AK215" s="1"/>
  <c r="AB215"/>
  <c r="W215"/>
  <c r="AM214"/>
  <c r="AJ214"/>
  <c r="AH214"/>
  <c r="AG214"/>
  <c r="AF214"/>
  <c r="AD214"/>
  <c r="AC214"/>
  <c r="AK214" s="1"/>
  <c r="AB214"/>
  <c r="W214"/>
  <c r="AM213"/>
  <c r="AJ213"/>
  <c r="AH213"/>
  <c r="AG213"/>
  <c r="AF213"/>
  <c r="AD213"/>
  <c r="AC213"/>
  <c r="AK213" s="1"/>
  <c r="AB213"/>
  <c r="W213"/>
  <c r="AM212"/>
  <c r="AJ212"/>
  <c r="AH212"/>
  <c r="AG212"/>
  <c r="AF212"/>
  <c r="AD212"/>
  <c r="AC212"/>
  <c r="AK212" s="1"/>
  <c r="AB212"/>
  <c r="W212"/>
  <c r="AM211"/>
  <c r="AJ211"/>
  <c r="AH211"/>
  <c r="AG211"/>
  <c r="AF211"/>
  <c r="AD211"/>
  <c r="AC211"/>
  <c r="AK211" s="1"/>
  <c r="AB211"/>
  <c r="W211"/>
  <c r="AM210"/>
  <c r="AJ210"/>
  <c r="AH210"/>
  <c r="AG210"/>
  <c r="AF210"/>
  <c r="AD210"/>
  <c r="AC210"/>
  <c r="AK210" s="1"/>
  <c r="AB210"/>
  <c r="W210"/>
  <c r="AM209"/>
  <c r="AJ209"/>
  <c r="AH209"/>
  <c r="AG209"/>
  <c r="AF209"/>
  <c r="AD209"/>
  <c r="AC209"/>
  <c r="AK209" s="1"/>
  <c r="AB209"/>
  <c r="W209"/>
  <c r="AM208"/>
  <c r="AJ208"/>
  <c r="AH208"/>
  <c r="AG208"/>
  <c r="AF208"/>
  <c r="AD208"/>
  <c r="AC208"/>
  <c r="AK208" s="1"/>
  <c r="AB208"/>
  <c r="W208"/>
  <c r="AM207"/>
  <c r="AJ207"/>
  <c r="AH207"/>
  <c r="AG207"/>
  <c r="AF207"/>
  <c r="AD207"/>
  <c r="AC207"/>
  <c r="AK207" s="1"/>
  <c r="AB207"/>
  <c r="W207"/>
  <c r="AM206"/>
  <c r="AJ206"/>
  <c r="AH206"/>
  <c r="AG206"/>
  <c r="AF206"/>
  <c r="AD206"/>
  <c r="AC206"/>
  <c r="AK206" s="1"/>
  <c r="AB206"/>
  <c r="W206"/>
  <c r="AM205"/>
  <c r="AJ205"/>
  <c r="AH205"/>
  <c r="AG205"/>
  <c r="AF205"/>
  <c r="AD205"/>
  <c r="AC205"/>
  <c r="AK205" s="1"/>
  <c r="AB205"/>
  <c r="W205"/>
  <c r="AM204"/>
  <c r="AJ204"/>
  <c r="AH204"/>
  <c r="AG204"/>
  <c r="AF204"/>
  <c r="AD204"/>
  <c r="AC204"/>
  <c r="AK204" s="1"/>
  <c r="AB204"/>
  <c r="W204"/>
  <c r="AM203"/>
  <c r="AJ203"/>
  <c r="AH203"/>
  <c r="AG203"/>
  <c r="AF203"/>
  <c r="AD203"/>
  <c r="AC203"/>
  <c r="AK203" s="1"/>
  <c r="AB203"/>
  <c r="W203"/>
  <c r="AM202"/>
  <c r="AJ202"/>
  <c r="AH202"/>
  <c r="AG202"/>
  <c r="AF202"/>
  <c r="AD202"/>
  <c r="AC202"/>
  <c r="AK202" s="1"/>
  <c r="AB202"/>
  <c r="W202"/>
  <c r="AM201"/>
  <c r="AJ201"/>
  <c r="AH201"/>
  <c r="AG201"/>
  <c r="AF201"/>
  <c r="AD201"/>
  <c r="AC201"/>
  <c r="AK201" s="1"/>
  <c r="AB201"/>
  <c r="W201"/>
  <c r="AM200"/>
  <c r="AJ200"/>
  <c r="AH200"/>
  <c r="AG200"/>
  <c r="AF200"/>
  <c r="AD200"/>
  <c r="AC200"/>
  <c r="AK200" s="1"/>
  <c r="AB200"/>
  <c r="W200"/>
  <c r="AM199"/>
  <c r="AJ199"/>
  <c r="AH199"/>
  <c r="AG199"/>
  <c r="AF199"/>
  <c r="AD199"/>
  <c r="AC199"/>
  <c r="AK199" s="1"/>
  <c r="AB199"/>
  <c r="W199"/>
  <c r="AM198"/>
  <c r="AJ198"/>
  <c r="AH198"/>
  <c r="AG198"/>
  <c r="AF198"/>
  <c r="AD198"/>
  <c r="AC198"/>
  <c r="AK198" s="1"/>
  <c r="AB198"/>
  <c r="W198"/>
  <c r="AM197"/>
  <c r="AJ197"/>
  <c r="AH197"/>
  <c r="AG197"/>
  <c r="AF197"/>
  <c r="AD197"/>
  <c r="AC197"/>
  <c r="AK197" s="1"/>
  <c r="AB197"/>
  <c r="W197"/>
  <c r="AM196"/>
  <c r="AJ196"/>
  <c r="AH196"/>
  <c r="AG196"/>
  <c r="AF196"/>
  <c r="AD196"/>
  <c r="AC196"/>
  <c r="AK196" s="1"/>
  <c r="AB196"/>
  <c r="W196"/>
  <c r="AM195"/>
  <c r="AJ195"/>
  <c r="AH195"/>
  <c r="AG195"/>
  <c r="AF195"/>
  <c r="AD195"/>
  <c r="AC195"/>
  <c r="AK195" s="1"/>
  <c r="AB195"/>
  <c r="W195"/>
  <c r="AM194"/>
  <c r="AJ194"/>
  <c r="AH194"/>
  <c r="AG194"/>
  <c r="AF194"/>
  <c r="AD194"/>
  <c r="AC194"/>
  <c r="AK194" s="1"/>
  <c r="AB194"/>
  <c r="W194"/>
  <c r="AM193"/>
  <c r="AJ193"/>
  <c r="AH193"/>
  <c r="AG193"/>
  <c r="AF193"/>
  <c r="AD193"/>
  <c r="AC193"/>
  <c r="AK193" s="1"/>
  <c r="AB193"/>
  <c r="W193"/>
  <c r="AM192"/>
  <c r="AJ192"/>
  <c r="AH192"/>
  <c r="AG192"/>
  <c r="AF192"/>
  <c r="AD192"/>
  <c r="AC192"/>
  <c r="AK192" s="1"/>
  <c r="AB192"/>
  <c r="W192"/>
  <c r="AM191"/>
  <c r="AJ191"/>
  <c r="AH191"/>
  <c r="AG191"/>
  <c r="AF191"/>
  <c r="AD191"/>
  <c r="AC191"/>
  <c r="AK191" s="1"/>
  <c r="AB191"/>
  <c r="W191"/>
  <c r="AM190"/>
  <c r="AJ190"/>
  <c r="AH190"/>
  <c r="AG190"/>
  <c r="AF190"/>
  <c r="AD190"/>
  <c r="AC190"/>
  <c r="AK190" s="1"/>
  <c r="AB190"/>
  <c r="W190"/>
  <c r="AM189"/>
  <c r="AJ189"/>
  <c r="AH189"/>
  <c r="AG189"/>
  <c r="AF189"/>
  <c r="AD189"/>
  <c r="AC189"/>
  <c r="AK189" s="1"/>
  <c r="AB189"/>
  <c r="W189"/>
  <c r="AM188"/>
  <c r="AJ188"/>
  <c r="AH188"/>
  <c r="AG188"/>
  <c r="AF188"/>
  <c r="AD188"/>
  <c r="AC188"/>
  <c r="AK188" s="1"/>
  <c r="AB188"/>
  <c r="W188"/>
  <c r="AM187"/>
  <c r="AJ187"/>
  <c r="AH187"/>
  <c r="AG187"/>
  <c r="AF187"/>
  <c r="AD187"/>
  <c r="AC187"/>
  <c r="AK187" s="1"/>
  <c r="AB187"/>
  <c r="W187"/>
  <c r="AM186"/>
  <c r="AJ186"/>
  <c r="AH186"/>
  <c r="AG186"/>
  <c r="AF186"/>
  <c r="AD186"/>
  <c r="AC186"/>
  <c r="AK186" s="1"/>
  <c r="AB186"/>
  <c r="W186"/>
  <c r="AM185"/>
  <c r="AJ185"/>
  <c r="AH185"/>
  <c r="AG185"/>
  <c r="AF185"/>
  <c r="AD185"/>
  <c r="AC185"/>
  <c r="AK185" s="1"/>
  <c r="AB185"/>
  <c r="W185"/>
  <c r="AM184"/>
  <c r="AJ184"/>
  <c r="AH184"/>
  <c r="AG184"/>
  <c r="AF184"/>
  <c r="AD184"/>
  <c r="AC184"/>
  <c r="AK184" s="1"/>
  <c r="AB184"/>
  <c r="W184"/>
  <c r="AM183"/>
  <c r="AJ183"/>
  <c r="AH183"/>
  <c r="AG183"/>
  <c r="AF183"/>
  <c r="AD183"/>
  <c r="AC183"/>
  <c r="AK183" s="1"/>
  <c r="AB183"/>
  <c r="W183"/>
  <c r="AM182"/>
  <c r="AJ182"/>
  <c r="AH182"/>
  <c r="AG182"/>
  <c r="AF182"/>
  <c r="AD182"/>
  <c r="AC182"/>
  <c r="AK182" s="1"/>
  <c r="AB182"/>
  <c r="W182"/>
  <c r="AM181"/>
  <c r="AJ181"/>
  <c r="AH181"/>
  <c r="AG181"/>
  <c r="AF181"/>
  <c r="AD181"/>
  <c r="AC181"/>
  <c r="AK181" s="1"/>
  <c r="AB181"/>
  <c r="W181"/>
  <c r="AM180"/>
  <c r="AJ180"/>
  <c r="AH180"/>
  <c r="AG180"/>
  <c r="AF180"/>
  <c r="AD180"/>
  <c r="AC180"/>
  <c r="AK180" s="1"/>
  <c r="AB180"/>
  <c r="W180"/>
  <c r="AM179"/>
  <c r="AJ179"/>
  <c r="AH179"/>
  <c r="AG179"/>
  <c r="AF179"/>
  <c r="AD179"/>
  <c r="AC179"/>
  <c r="AK179" s="1"/>
  <c r="AB179"/>
  <c r="W179"/>
  <c r="AM178"/>
  <c r="AJ178"/>
  <c r="AH178"/>
  <c r="AG178"/>
  <c r="AF178"/>
  <c r="AD178"/>
  <c r="AC178"/>
  <c r="AK178" s="1"/>
  <c r="AB178"/>
  <c r="W178"/>
  <c r="AM177"/>
  <c r="AJ177"/>
  <c r="AH177"/>
  <c r="AG177"/>
  <c r="AF177"/>
  <c r="AD177"/>
  <c r="AC177"/>
  <c r="AK177" s="1"/>
  <c r="AB177"/>
  <c r="W177"/>
  <c r="AM176"/>
  <c r="AJ176"/>
  <c r="AH176"/>
  <c r="AG176"/>
  <c r="AF176"/>
  <c r="AD176"/>
  <c r="AC176"/>
  <c r="AK176" s="1"/>
  <c r="AB176"/>
  <c r="W176"/>
  <c r="AM175"/>
  <c r="AJ175"/>
  <c r="AH175"/>
  <c r="AG175"/>
  <c r="AF175"/>
  <c r="AD175"/>
  <c r="AC175"/>
  <c r="AK175" s="1"/>
  <c r="AB175"/>
  <c r="W175"/>
  <c r="AM174"/>
  <c r="AJ174"/>
  <c r="AH174"/>
  <c r="AG174"/>
  <c r="AF174"/>
  <c r="AD174"/>
  <c r="AC174"/>
  <c r="AK174" s="1"/>
  <c r="AB174"/>
  <c r="W174"/>
  <c r="AM173"/>
  <c r="AJ173"/>
  <c r="AH173"/>
  <c r="AG173"/>
  <c r="AF173"/>
  <c r="AD173"/>
  <c r="AC173"/>
  <c r="AK173" s="1"/>
  <c r="AB173"/>
  <c r="W173"/>
  <c r="AM172"/>
  <c r="AJ172"/>
  <c r="AH172"/>
  <c r="AG172"/>
  <c r="AF172"/>
  <c r="AD172"/>
  <c r="AC172"/>
  <c r="AK172" s="1"/>
  <c r="AB172"/>
  <c r="W172"/>
  <c r="AM171"/>
  <c r="AJ171"/>
  <c r="AH171"/>
  <c r="AG171"/>
  <c r="AF171"/>
  <c r="AD171"/>
  <c r="AC171"/>
  <c r="AK171" s="1"/>
  <c r="AB171"/>
  <c r="W171"/>
  <c r="AM170"/>
  <c r="AJ170"/>
  <c r="AH170"/>
  <c r="AG170"/>
  <c r="AF170"/>
  <c r="AD170"/>
  <c r="AC170"/>
  <c r="AK170" s="1"/>
  <c r="AB170"/>
  <c r="W170"/>
  <c r="AM169"/>
  <c r="AJ169"/>
  <c r="AH169"/>
  <c r="AG169"/>
  <c r="AF169"/>
  <c r="AD169"/>
  <c r="AC169"/>
  <c r="AK169" s="1"/>
  <c r="AB169"/>
  <c r="W169"/>
  <c r="AM168"/>
  <c r="AJ168"/>
  <c r="AH168"/>
  <c r="AG168"/>
  <c r="AF168"/>
  <c r="AD168"/>
  <c r="AC168"/>
  <c r="AK168" s="1"/>
  <c r="AB168"/>
  <c r="W168"/>
  <c r="AM167"/>
  <c r="AJ167"/>
  <c r="AH167"/>
  <c r="AG167"/>
  <c r="AF167"/>
  <c r="AD167"/>
  <c r="AC167"/>
  <c r="AK167" s="1"/>
  <c r="AB167"/>
  <c r="W167"/>
  <c r="AM166"/>
  <c r="AJ166"/>
  <c r="AH166"/>
  <c r="AG166"/>
  <c r="AF166"/>
  <c r="AD166"/>
  <c r="AC166"/>
  <c r="AK166" s="1"/>
  <c r="AB166"/>
  <c r="W166"/>
  <c r="AM165"/>
  <c r="AJ165"/>
  <c r="AH165"/>
  <c r="AG165"/>
  <c r="AF165"/>
  <c r="AD165"/>
  <c r="AC165"/>
  <c r="AK165" s="1"/>
  <c r="AB165"/>
  <c r="W165"/>
  <c r="AM164"/>
  <c r="AJ164"/>
  <c r="AH164"/>
  <c r="AG164"/>
  <c r="AF164"/>
  <c r="AD164"/>
  <c r="AC164"/>
  <c r="AK164" s="1"/>
  <c r="AB164"/>
  <c r="W164"/>
  <c r="AM163"/>
  <c r="AJ163"/>
  <c r="AH163"/>
  <c r="AG163"/>
  <c r="AF163"/>
  <c r="AD163"/>
  <c r="AC163"/>
  <c r="AK163" s="1"/>
  <c r="AB163"/>
  <c r="W163"/>
  <c r="AM162"/>
  <c r="AJ162"/>
  <c r="AH162"/>
  <c r="AG162"/>
  <c r="AF162"/>
  <c r="AD162"/>
  <c r="AC162"/>
  <c r="AK162" s="1"/>
  <c r="AB162"/>
  <c r="W162"/>
  <c r="AM161"/>
  <c r="AJ161"/>
  <c r="AH161"/>
  <c r="AG161"/>
  <c r="AF161"/>
  <c r="AD161"/>
  <c r="AC161"/>
  <c r="AK161" s="1"/>
  <c r="AB161"/>
  <c r="W161"/>
  <c r="AM160"/>
  <c r="AJ160"/>
  <c r="AH160"/>
  <c r="AG160"/>
  <c r="AF160"/>
  <c r="AD160"/>
  <c r="AC160"/>
  <c r="AK160" s="1"/>
  <c r="AB160"/>
  <c r="W160"/>
  <c r="AM159"/>
  <c r="AJ159"/>
  <c r="AH159"/>
  <c r="AG159"/>
  <c r="AF159"/>
  <c r="AD159"/>
  <c r="AC159"/>
  <c r="AK159" s="1"/>
  <c r="AB159"/>
  <c r="W159"/>
  <c r="AM158"/>
  <c r="AJ158"/>
  <c r="AH158"/>
  <c r="AG158"/>
  <c r="AF158"/>
  <c r="AD158"/>
  <c r="AC158"/>
  <c r="AK158" s="1"/>
  <c r="AB158"/>
  <c r="W158"/>
  <c r="AM157"/>
  <c r="AJ157"/>
  <c r="AH157"/>
  <c r="AG157"/>
  <c r="AF157"/>
  <c r="AD157"/>
  <c r="AC157"/>
  <c r="AK157" s="1"/>
  <c r="AB157"/>
  <c r="W157"/>
  <c r="AM156"/>
  <c r="AJ156"/>
  <c r="AH156"/>
  <c r="AG156"/>
  <c r="AF156"/>
  <c r="AD156"/>
  <c r="AC156"/>
  <c r="AK156" s="1"/>
  <c r="AB156"/>
  <c r="W156"/>
  <c r="AM155"/>
  <c r="AJ155"/>
  <c r="AH155"/>
  <c r="AG155"/>
  <c r="AF155"/>
  <c r="AD155"/>
  <c r="AC155"/>
  <c r="AK155" s="1"/>
  <c r="AB155"/>
  <c r="W155"/>
  <c r="AM154"/>
  <c r="AJ154"/>
  <c r="AH154"/>
  <c r="AG154"/>
  <c r="AF154"/>
  <c r="AD154"/>
  <c r="AC154"/>
  <c r="AK154" s="1"/>
  <c r="AB154"/>
  <c r="W154"/>
  <c r="AM153"/>
  <c r="AJ153"/>
  <c r="AH153"/>
  <c r="AG153"/>
  <c r="AF153"/>
  <c r="AD153"/>
  <c r="AC153"/>
  <c r="AK153" s="1"/>
  <c r="AB153"/>
  <c r="W153"/>
  <c r="AM152"/>
  <c r="AJ152"/>
  <c r="AH152"/>
  <c r="AG152"/>
  <c r="AF152"/>
  <c r="AD152"/>
  <c r="AC152"/>
  <c r="AK152" s="1"/>
  <c r="AB152"/>
  <c r="W152"/>
  <c r="AM151"/>
  <c r="AJ151"/>
  <c r="AH151"/>
  <c r="AG151"/>
  <c r="AF151"/>
  <c r="AD151"/>
  <c r="AC151"/>
  <c r="AK151" s="1"/>
  <c r="AB151"/>
  <c r="W151"/>
  <c r="AM150"/>
  <c r="AJ150"/>
  <c r="AH150"/>
  <c r="AG150"/>
  <c r="AF150"/>
  <c r="AD150"/>
  <c r="AC150"/>
  <c r="AK150" s="1"/>
  <c r="AB150"/>
  <c r="W150"/>
  <c r="AM149"/>
  <c r="AJ149"/>
  <c r="AH149"/>
  <c r="AG149"/>
  <c r="AF149"/>
  <c r="AD149"/>
  <c r="AC149"/>
  <c r="AK149" s="1"/>
  <c r="AB149"/>
  <c r="W149"/>
  <c r="AM148"/>
  <c r="AJ148"/>
  <c r="AH148"/>
  <c r="AG148"/>
  <c r="AF148"/>
  <c r="AD148"/>
  <c r="AC148"/>
  <c r="AK148" s="1"/>
  <c r="AB148"/>
  <c r="W148"/>
  <c r="AM147"/>
  <c r="AJ147"/>
  <c r="AH147"/>
  <c r="AG147"/>
  <c r="AF147"/>
  <c r="AD147"/>
  <c r="AC147"/>
  <c r="AK147" s="1"/>
  <c r="AB147"/>
  <c r="W147"/>
  <c r="AM146"/>
  <c r="AJ146"/>
  <c r="AH146"/>
  <c r="AG146"/>
  <c r="AF146"/>
  <c r="AD146"/>
  <c r="AC146"/>
  <c r="AK146" s="1"/>
  <c r="AB146"/>
  <c r="W146"/>
  <c r="AM145"/>
  <c r="AJ145"/>
  <c r="AH145"/>
  <c r="AG145"/>
  <c r="AF145"/>
  <c r="AD145"/>
  <c r="AC145"/>
  <c r="AK145" s="1"/>
  <c r="AB145"/>
  <c r="W145"/>
  <c r="AM144"/>
  <c r="AJ144"/>
  <c r="AH144"/>
  <c r="AG144"/>
  <c r="AF144"/>
  <c r="AD144"/>
  <c r="AC144"/>
  <c r="AK144" s="1"/>
  <c r="AB144"/>
  <c r="W144"/>
  <c r="AM143"/>
  <c r="AJ143"/>
  <c r="AH143"/>
  <c r="AG143"/>
  <c r="AF143"/>
  <c r="AD143"/>
  <c r="AC143"/>
  <c r="AK143" s="1"/>
  <c r="AB143"/>
  <c r="W143"/>
  <c r="AM142"/>
  <c r="AJ142"/>
  <c r="AH142"/>
  <c r="AG142"/>
  <c r="AF142"/>
  <c r="AD142"/>
  <c r="AC142"/>
  <c r="AK142" s="1"/>
  <c r="AB142"/>
  <c r="W142"/>
  <c r="AM141"/>
  <c r="AJ141"/>
  <c r="AH141"/>
  <c r="AG141"/>
  <c r="AF141"/>
  <c r="AD141"/>
  <c r="AC141"/>
  <c r="AK141" s="1"/>
  <c r="AB141"/>
  <c r="W141"/>
  <c r="AM140"/>
  <c r="AJ140"/>
  <c r="AH140"/>
  <c r="AG140"/>
  <c r="AF140"/>
  <c r="AD140"/>
  <c r="AC140"/>
  <c r="AK140" s="1"/>
  <c r="AB140"/>
  <c r="W140"/>
  <c r="AM139"/>
  <c r="AJ139"/>
  <c r="AH139"/>
  <c r="AG139"/>
  <c r="AF139"/>
  <c r="AD139"/>
  <c r="AC139"/>
  <c r="AK139" s="1"/>
  <c r="AB139"/>
  <c r="W139"/>
  <c r="AM138"/>
  <c r="AJ138"/>
  <c r="AH138"/>
  <c r="AG138"/>
  <c r="AF138"/>
  <c r="AD138"/>
  <c r="AC138"/>
  <c r="AK138" s="1"/>
  <c r="AB138"/>
  <c r="W138"/>
  <c r="AM137"/>
  <c r="AJ137"/>
  <c r="AH137"/>
  <c r="AG137"/>
  <c r="AF137"/>
  <c r="AD137"/>
  <c r="AC137"/>
  <c r="AK137" s="1"/>
  <c r="AB137"/>
  <c r="W137"/>
  <c r="AM136"/>
  <c r="AJ136"/>
  <c r="AH136"/>
  <c r="AG136"/>
  <c r="AF136"/>
  <c r="AD136"/>
  <c r="AC136"/>
  <c r="AK136" s="1"/>
  <c r="AB136"/>
  <c r="W136"/>
  <c r="AM135"/>
  <c r="AJ135"/>
  <c r="AH135"/>
  <c r="AG135"/>
  <c r="AF135"/>
  <c r="AD135"/>
  <c r="AC135"/>
  <c r="AK135" s="1"/>
  <c r="AB135"/>
  <c r="W135"/>
  <c r="AM134"/>
  <c r="AJ134"/>
  <c r="AH134"/>
  <c r="AG134"/>
  <c r="AF134"/>
  <c r="AD134"/>
  <c r="AC134"/>
  <c r="AK134" s="1"/>
  <c r="AB134"/>
  <c r="W134"/>
  <c r="AM133"/>
  <c r="AJ133"/>
  <c r="AH133"/>
  <c r="AG133"/>
  <c r="AF133"/>
  <c r="AD133"/>
  <c r="AC133"/>
  <c r="AK133" s="1"/>
  <c r="AB133"/>
  <c r="W133"/>
  <c r="AM132"/>
  <c r="AJ132"/>
  <c r="AH132"/>
  <c r="AG132"/>
  <c r="AF132"/>
  <c r="AD132"/>
  <c r="AC132"/>
  <c r="AK132" s="1"/>
  <c r="AB132"/>
  <c r="W132"/>
  <c r="AM131"/>
  <c r="AJ131"/>
  <c r="AH131"/>
  <c r="AG131"/>
  <c r="AF131"/>
  <c r="AD131"/>
  <c r="AC131"/>
  <c r="AK131" s="1"/>
  <c r="AB131"/>
  <c r="W131"/>
  <c r="AM130"/>
  <c r="AJ130"/>
  <c r="AH130"/>
  <c r="AG130"/>
  <c r="AF130"/>
  <c r="AD130"/>
  <c r="AC130"/>
  <c r="AK130" s="1"/>
  <c r="AB130"/>
  <c r="W130"/>
  <c r="AM129"/>
  <c r="AJ129"/>
  <c r="AH129"/>
  <c r="AG129"/>
  <c r="AF129"/>
  <c r="AD129"/>
  <c r="AC129"/>
  <c r="AK129" s="1"/>
  <c r="AB129"/>
  <c r="W129"/>
  <c r="AM128"/>
  <c r="AJ128"/>
  <c r="AH128"/>
  <c r="AG128"/>
  <c r="AF128"/>
  <c r="AD128"/>
  <c r="AC128"/>
  <c r="AK128" s="1"/>
  <c r="AB128"/>
  <c r="W128"/>
  <c r="AM127"/>
  <c r="AJ127"/>
  <c r="AH127"/>
  <c r="AG127"/>
  <c r="AF127"/>
  <c r="AD127"/>
  <c r="AC127"/>
  <c r="AK127" s="1"/>
  <c r="AB127"/>
  <c r="W127"/>
  <c r="AM126"/>
  <c r="AJ126"/>
  <c r="AH126"/>
  <c r="AG126"/>
  <c r="AF126"/>
  <c r="AD126"/>
  <c r="AC126"/>
  <c r="AK126" s="1"/>
  <c r="AB126"/>
  <c r="W126"/>
  <c r="AM125"/>
  <c r="AJ125"/>
  <c r="AH125"/>
  <c r="AG125"/>
  <c r="AF125"/>
  <c r="AD125"/>
  <c r="AC125"/>
  <c r="AK125" s="1"/>
  <c r="AB125"/>
  <c r="W125"/>
  <c r="AM124"/>
  <c r="AJ124"/>
  <c r="AH124"/>
  <c r="AG124"/>
  <c r="AF124"/>
  <c r="AD124"/>
  <c r="AC124"/>
  <c r="AK124" s="1"/>
  <c r="AB124"/>
  <c r="W124"/>
  <c r="AM123"/>
  <c r="AJ123"/>
  <c r="AH123"/>
  <c r="AG123"/>
  <c r="AF123"/>
  <c r="AD123"/>
  <c r="AC123"/>
  <c r="AK123" s="1"/>
  <c r="AB123"/>
  <c r="W123"/>
  <c r="AM122"/>
  <c r="AJ122"/>
  <c r="AH122"/>
  <c r="AG122"/>
  <c r="AF122"/>
  <c r="AD122"/>
  <c r="AC122"/>
  <c r="AK122" s="1"/>
  <c r="AB122"/>
  <c r="W122"/>
  <c r="AM121"/>
  <c r="AJ121"/>
  <c r="AH121"/>
  <c r="AG121"/>
  <c r="AF121"/>
  <c r="AD121"/>
  <c r="AC121"/>
  <c r="AK121" s="1"/>
  <c r="AB121"/>
  <c r="W121"/>
  <c r="AM120"/>
  <c r="AJ120"/>
  <c r="AH120"/>
  <c r="AG120"/>
  <c r="AF120"/>
  <c r="AD120"/>
  <c r="AC120"/>
  <c r="AK120" s="1"/>
  <c r="AB120"/>
  <c r="W120"/>
  <c r="AM119"/>
  <c r="AJ119"/>
  <c r="AH119"/>
  <c r="AG119"/>
  <c r="AF119"/>
  <c r="AD119"/>
  <c r="AC119"/>
  <c r="AK119" s="1"/>
  <c r="AB119"/>
  <c r="W119"/>
  <c r="AM118"/>
  <c r="AJ118"/>
  <c r="AH118"/>
  <c r="AG118"/>
  <c r="AF118"/>
  <c r="AD118"/>
  <c r="AC118"/>
  <c r="AK118" s="1"/>
  <c r="AB118"/>
  <c r="W118"/>
  <c r="AM117"/>
  <c r="AJ117"/>
  <c r="AH117"/>
  <c r="AG117"/>
  <c r="AF117"/>
  <c r="AD117"/>
  <c r="AC117"/>
  <c r="AK117" s="1"/>
  <c r="AB117"/>
  <c r="W117"/>
  <c r="AM116"/>
  <c r="AJ116"/>
  <c r="AH116"/>
  <c r="AG116"/>
  <c r="AF116"/>
  <c r="AD116"/>
  <c r="AC116"/>
  <c r="AK116" s="1"/>
  <c r="AB116"/>
  <c r="W116"/>
  <c r="AM115"/>
  <c r="AJ115"/>
  <c r="AH115"/>
  <c r="AG115"/>
  <c r="AF115"/>
  <c r="AD115"/>
  <c r="AC115"/>
  <c r="AK115" s="1"/>
  <c r="AB115"/>
  <c r="W115"/>
  <c r="AM114"/>
  <c r="AJ114"/>
  <c r="AH114"/>
  <c r="AG114"/>
  <c r="AF114"/>
  <c r="AD114"/>
  <c r="AC114"/>
  <c r="AK114" s="1"/>
  <c r="AB114"/>
  <c r="W114"/>
  <c r="AM113"/>
  <c r="AJ113"/>
  <c r="AH113"/>
  <c r="AG113"/>
  <c r="AF113"/>
  <c r="AD113"/>
  <c r="AC113"/>
  <c r="AK113" s="1"/>
  <c r="AB113"/>
  <c r="W113"/>
  <c r="AM112"/>
  <c r="AJ112"/>
  <c r="AH112"/>
  <c r="AG112"/>
  <c r="AF112"/>
  <c r="AD112"/>
  <c r="AC112"/>
  <c r="AK112" s="1"/>
  <c r="AB112"/>
  <c r="W112"/>
  <c r="AM111"/>
  <c r="AJ111"/>
  <c r="AH111"/>
  <c r="AG111"/>
  <c r="AF111"/>
  <c r="AD111"/>
  <c r="AC111"/>
  <c r="AK111" s="1"/>
  <c r="AB111"/>
  <c r="W111"/>
  <c r="AM110"/>
  <c r="AJ110"/>
  <c r="AH110"/>
  <c r="AG110"/>
  <c r="AF110"/>
  <c r="AD110"/>
  <c r="AC110"/>
  <c r="AK110" s="1"/>
  <c r="AB110"/>
  <c r="W110"/>
  <c r="AM109"/>
  <c r="AJ109"/>
  <c r="AH109"/>
  <c r="AG109"/>
  <c r="AF109"/>
  <c r="AD109"/>
  <c r="AC109"/>
  <c r="AK109" s="1"/>
  <c r="AB109"/>
  <c r="W109"/>
  <c r="AM108"/>
  <c r="AJ108"/>
  <c r="AH108"/>
  <c r="AG108"/>
  <c r="AF108"/>
  <c r="AD108"/>
  <c r="AC108"/>
  <c r="AK108" s="1"/>
  <c r="AB108"/>
  <c r="W108"/>
  <c r="AM107"/>
  <c r="AJ107"/>
  <c r="AH107"/>
  <c r="AG107"/>
  <c r="AF107"/>
  <c r="AD107"/>
  <c r="AC107"/>
  <c r="AK107" s="1"/>
  <c r="AB107"/>
  <c r="W107"/>
  <c r="AM106"/>
  <c r="AJ106"/>
  <c r="AH106"/>
  <c r="AG106"/>
  <c r="AF106"/>
  <c r="AD106"/>
  <c r="AC106"/>
  <c r="AK106" s="1"/>
  <c r="AB106"/>
  <c r="W106"/>
  <c r="AM105"/>
  <c r="AJ105"/>
  <c r="AH105"/>
  <c r="AG105"/>
  <c r="AF105"/>
  <c r="AD105"/>
  <c r="AC105"/>
  <c r="AK105" s="1"/>
  <c r="AB105"/>
  <c r="W105"/>
  <c r="AM104"/>
  <c r="AJ104"/>
  <c r="AH104"/>
  <c r="AG104"/>
  <c r="AF104"/>
  <c r="AD104"/>
  <c r="AC104"/>
  <c r="AK104" s="1"/>
  <c r="AB104"/>
  <c r="W104"/>
  <c r="AM103"/>
  <c r="AJ103"/>
  <c r="AH103"/>
  <c r="AG103"/>
  <c r="AF103"/>
  <c r="AD103"/>
  <c r="AC103"/>
  <c r="AK103" s="1"/>
  <c r="AB103"/>
  <c r="W103"/>
  <c r="AM102"/>
  <c r="AJ102"/>
  <c r="AH102"/>
  <c r="AG102"/>
  <c r="AF102"/>
  <c r="AD102"/>
  <c r="AC102"/>
  <c r="AK102" s="1"/>
  <c r="AB102"/>
  <c r="W102"/>
  <c r="AM101"/>
  <c r="AJ101"/>
  <c r="AH101"/>
  <c r="AG101"/>
  <c r="AF101"/>
  <c r="AD101"/>
  <c r="AC101"/>
  <c r="AK101" s="1"/>
  <c r="AB101"/>
  <c r="W101"/>
  <c r="AM100"/>
  <c r="AJ100"/>
  <c r="AH100"/>
  <c r="AG100"/>
  <c r="AF100"/>
  <c r="AD100"/>
  <c r="AC100"/>
  <c r="AK100" s="1"/>
  <c r="AB100"/>
  <c r="W100"/>
  <c r="AM99"/>
  <c r="AJ99"/>
  <c r="AH99"/>
  <c r="AG99"/>
  <c r="AF99"/>
  <c r="AD99"/>
  <c r="AC99"/>
  <c r="AK99" s="1"/>
  <c r="AB99"/>
  <c r="W99"/>
  <c r="AM98"/>
  <c r="AJ98"/>
  <c r="AH98"/>
  <c r="AG98"/>
  <c r="AF98"/>
  <c r="AD98"/>
  <c r="AC98"/>
  <c r="AK98" s="1"/>
  <c r="AB98"/>
  <c r="W98"/>
  <c r="AM97"/>
  <c r="AJ97"/>
  <c r="AH97"/>
  <c r="AG97"/>
  <c r="AF97"/>
  <c r="AD97"/>
  <c r="AC97"/>
  <c r="AK97" s="1"/>
  <c r="AB97"/>
  <c r="W97"/>
  <c r="AM96"/>
  <c r="AJ96"/>
  <c r="AH96"/>
  <c r="AG96"/>
  <c r="AF96"/>
  <c r="AD96"/>
  <c r="AC96"/>
  <c r="AK96" s="1"/>
  <c r="AB96"/>
  <c r="W96"/>
  <c r="AM95"/>
  <c r="AJ95"/>
  <c r="AH95"/>
  <c r="AG95"/>
  <c r="AF95"/>
  <c r="AD95"/>
  <c r="AC95"/>
  <c r="AK95" s="1"/>
  <c r="AB95"/>
  <c r="W95"/>
  <c r="AM94"/>
  <c r="AJ94"/>
  <c r="AH94"/>
  <c r="AG94"/>
  <c r="AF94"/>
  <c r="AD94"/>
  <c r="AC94"/>
  <c r="AK94" s="1"/>
  <c r="AB94"/>
  <c r="W94"/>
  <c r="AM93"/>
  <c r="AJ93"/>
  <c r="AH93"/>
  <c r="AG93"/>
  <c r="AF93"/>
  <c r="AD93"/>
  <c r="AC93"/>
  <c r="AK93" s="1"/>
  <c r="AB93"/>
  <c r="W93"/>
  <c r="AM92"/>
  <c r="AJ92"/>
  <c r="AH92"/>
  <c r="AG92"/>
  <c r="AF92"/>
  <c r="AD92"/>
  <c r="AC92"/>
  <c r="AK92" s="1"/>
  <c r="AB92"/>
  <c r="W92"/>
  <c r="AM91"/>
  <c r="AJ91"/>
  <c r="AH91"/>
  <c r="AG91"/>
  <c r="AF91"/>
  <c r="AD91"/>
  <c r="AC91"/>
  <c r="AK91" s="1"/>
  <c r="AB91"/>
  <c r="W91"/>
  <c r="AM90"/>
  <c r="AJ90"/>
  <c r="AH90"/>
  <c r="AG90"/>
  <c r="AF90"/>
  <c r="AD90"/>
  <c r="AC90"/>
  <c r="AK90" s="1"/>
  <c r="AB90"/>
  <c r="W90"/>
  <c r="AM89"/>
  <c r="AJ89"/>
  <c r="AH89"/>
  <c r="AG89"/>
  <c r="AF89"/>
  <c r="AD89"/>
  <c r="AC89"/>
  <c r="AK89" s="1"/>
  <c r="AB89"/>
  <c r="W89"/>
  <c r="AM88"/>
  <c r="AJ88"/>
  <c r="AH88"/>
  <c r="AG88"/>
  <c r="AF88"/>
  <c r="AD88"/>
  <c r="AC88"/>
  <c r="AK88" s="1"/>
  <c r="AB88"/>
  <c r="W88"/>
  <c r="AM87"/>
  <c r="AJ87"/>
  <c r="AH87"/>
  <c r="AG87"/>
  <c r="AF87"/>
  <c r="AD87"/>
  <c r="AC87"/>
  <c r="AK87" s="1"/>
  <c r="AB87"/>
  <c r="W87"/>
  <c r="AM86"/>
  <c r="AJ86"/>
  <c r="AH86"/>
  <c r="AG86"/>
  <c r="AF86"/>
  <c r="AD86"/>
  <c r="AC86"/>
  <c r="AK86" s="1"/>
  <c r="AB86"/>
  <c r="W86"/>
  <c r="AM85"/>
  <c r="AJ85"/>
  <c r="AH85"/>
  <c r="AG85"/>
  <c r="AF85"/>
  <c r="AD85"/>
  <c r="AC85"/>
  <c r="AK85" s="1"/>
  <c r="AB85"/>
  <c r="W85"/>
  <c r="AM84"/>
  <c r="AJ84"/>
  <c r="AH84"/>
  <c r="AG84"/>
  <c r="AF84"/>
  <c r="AD84"/>
  <c r="AC84"/>
  <c r="AK84" s="1"/>
  <c r="AB84"/>
  <c r="W84"/>
  <c r="AM83"/>
  <c r="AJ83"/>
  <c r="AH83"/>
  <c r="AG83"/>
  <c r="AF83"/>
  <c r="AD83"/>
  <c r="AC83"/>
  <c r="AK83" s="1"/>
  <c r="AB83"/>
  <c r="W83"/>
  <c r="AM82"/>
  <c r="AJ82"/>
  <c r="AH82"/>
  <c r="AG82"/>
  <c r="AF82"/>
  <c r="AD82"/>
  <c r="AC82"/>
  <c r="AK82" s="1"/>
  <c r="AB82"/>
  <c r="W82"/>
  <c r="AM81"/>
  <c r="AJ81"/>
  <c r="AH81"/>
  <c r="AG81"/>
  <c r="AF81"/>
  <c r="AD81"/>
  <c r="AC81"/>
  <c r="AK81" s="1"/>
  <c r="AB81"/>
  <c r="W81"/>
  <c r="AM80"/>
  <c r="AJ80"/>
  <c r="AH80"/>
  <c r="AG80"/>
  <c r="AF80"/>
  <c r="AD80"/>
  <c r="AC80"/>
  <c r="AK80" s="1"/>
  <c r="AB80"/>
  <c r="W80"/>
  <c r="AM79"/>
  <c r="AJ79"/>
  <c r="AH79"/>
  <c r="AG79"/>
  <c r="AF79"/>
  <c r="AD79"/>
  <c r="AC79"/>
  <c r="AK79" s="1"/>
  <c r="AB79"/>
  <c r="W79"/>
  <c r="AM78"/>
  <c r="AJ78"/>
  <c r="AH78"/>
  <c r="AG78"/>
  <c r="AF78"/>
  <c r="AD78"/>
  <c r="AC78"/>
  <c r="AK78" s="1"/>
  <c r="AB78"/>
  <c r="W78"/>
  <c r="AM77"/>
  <c r="AJ77"/>
  <c r="AH77"/>
  <c r="AG77"/>
  <c r="AF77"/>
  <c r="AD77"/>
  <c r="AC77"/>
  <c r="AK77" s="1"/>
  <c r="AB77"/>
  <c r="W77"/>
  <c r="AM76"/>
  <c r="AJ76"/>
  <c r="AH76"/>
  <c r="AG76"/>
  <c r="AF76"/>
  <c r="AD76"/>
  <c r="AC76"/>
  <c r="AK76" s="1"/>
  <c r="AB76"/>
  <c r="W76"/>
  <c r="AM75"/>
  <c r="AJ75"/>
  <c r="AH75"/>
  <c r="AG75"/>
  <c r="AF75"/>
  <c r="AD75"/>
  <c r="AC75"/>
  <c r="AK75" s="1"/>
  <c r="AB75"/>
  <c r="W75"/>
  <c r="AM74"/>
  <c r="AJ74"/>
  <c r="AH74"/>
  <c r="AG74"/>
  <c r="AF74"/>
  <c r="AD74"/>
  <c r="AC74"/>
  <c r="AK74" s="1"/>
  <c r="AB74"/>
  <c r="W74"/>
  <c r="AM73"/>
  <c r="AJ73"/>
  <c r="AH73"/>
  <c r="AG73"/>
  <c r="AF73"/>
  <c r="AD73"/>
  <c r="AC73"/>
  <c r="AK73" s="1"/>
  <c r="AB73"/>
  <c r="W73"/>
  <c r="AM72"/>
  <c r="AJ72"/>
  <c r="AH72"/>
  <c r="AG72"/>
  <c r="AF72"/>
  <c r="AD72"/>
  <c r="AC72"/>
  <c r="AK72" s="1"/>
  <c r="AB72"/>
  <c r="W72"/>
  <c r="AM71"/>
  <c r="AJ71"/>
  <c r="AH71"/>
  <c r="AG71"/>
  <c r="AF71"/>
  <c r="AD71"/>
  <c r="AC71"/>
  <c r="AK71" s="1"/>
  <c r="AB71"/>
  <c r="W71"/>
  <c r="AM70"/>
  <c r="AJ70"/>
  <c r="AH70"/>
  <c r="AG70"/>
  <c r="AF70"/>
  <c r="AD70"/>
  <c r="AC70"/>
  <c r="AK70" s="1"/>
  <c r="AB70"/>
  <c r="W70"/>
  <c r="AM69"/>
  <c r="AJ69"/>
  <c r="AH69"/>
  <c r="AG69"/>
  <c r="AF69"/>
  <c r="AD69"/>
  <c r="AC69"/>
  <c r="AK69" s="1"/>
  <c r="AB69"/>
  <c r="W69"/>
  <c r="AM68"/>
  <c r="AJ68"/>
  <c r="AH68"/>
  <c r="AG68"/>
  <c r="AF68"/>
  <c r="AD68"/>
  <c r="AC68"/>
  <c r="AK68" s="1"/>
  <c r="AB68"/>
  <c r="W68"/>
  <c r="AM67"/>
  <c r="AJ67"/>
  <c r="AH67"/>
  <c r="AG67"/>
  <c r="AF67"/>
  <c r="AD67"/>
  <c r="AC67"/>
  <c r="AK67" s="1"/>
  <c r="AB67"/>
  <c r="W67"/>
  <c r="AM66"/>
  <c r="AJ66"/>
  <c r="AH66"/>
  <c r="AG66"/>
  <c r="AF66"/>
  <c r="AD66"/>
  <c r="AC66"/>
  <c r="AK66" s="1"/>
  <c r="AB66"/>
  <c r="W66"/>
  <c r="AM65"/>
  <c r="AJ65"/>
  <c r="AH65"/>
  <c r="AG65"/>
  <c r="AF65"/>
  <c r="AD65"/>
  <c r="AC65"/>
  <c r="AK65" s="1"/>
  <c r="AB65"/>
  <c r="W65"/>
  <c r="AM64"/>
  <c r="AJ64"/>
  <c r="AH64"/>
  <c r="AG64"/>
  <c r="AF64"/>
  <c r="AD64"/>
  <c r="AC64"/>
  <c r="AK64" s="1"/>
  <c r="AB64"/>
  <c r="W64"/>
  <c r="AM63"/>
  <c r="AJ63"/>
  <c r="AH63"/>
  <c r="AG63"/>
  <c r="AF63"/>
  <c r="AD63"/>
  <c r="AC63"/>
  <c r="AK63" s="1"/>
  <c r="AB63"/>
  <c r="W63"/>
  <c r="AM62"/>
  <c r="AJ62"/>
  <c r="AH62"/>
  <c r="AG62"/>
  <c r="AF62"/>
  <c r="AD62"/>
  <c r="AC62"/>
  <c r="AK62" s="1"/>
  <c r="AB62"/>
  <c r="W62"/>
  <c r="AM61"/>
  <c r="AJ61"/>
  <c r="AH61"/>
  <c r="AG61"/>
  <c r="AF61"/>
  <c r="AD61"/>
  <c r="AC61"/>
  <c r="AK61" s="1"/>
  <c r="AB61"/>
  <c r="W61"/>
  <c r="AM60"/>
  <c r="AJ60"/>
  <c r="AH60"/>
  <c r="AG60"/>
  <c r="AF60"/>
  <c r="AD60"/>
  <c r="AC60"/>
  <c r="AK60" s="1"/>
  <c r="AB60"/>
  <c r="W60"/>
  <c r="AM59"/>
  <c r="AJ59"/>
  <c r="AH59"/>
  <c r="AG59"/>
  <c r="AF59"/>
  <c r="AD59"/>
  <c r="AC59"/>
  <c r="AK59" s="1"/>
  <c r="AB59"/>
  <c r="W59"/>
  <c r="AM58"/>
  <c r="AJ58"/>
  <c r="AH58"/>
  <c r="AG58"/>
  <c r="AF58"/>
  <c r="AD58"/>
  <c r="AC58"/>
  <c r="AK58" s="1"/>
  <c r="AB58"/>
  <c r="W58"/>
  <c r="AM57"/>
  <c r="AJ57"/>
  <c r="AH57"/>
  <c r="AG57"/>
  <c r="AF57"/>
  <c r="AD57"/>
  <c r="AC57"/>
  <c r="AK57" s="1"/>
  <c r="AB57"/>
  <c r="W57"/>
  <c r="AM56"/>
  <c r="AJ56"/>
  <c r="AH56"/>
  <c r="AG56"/>
  <c r="AF56"/>
  <c r="AD56"/>
  <c r="AC56"/>
  <c r="AK56" s="1"/>
  <c r="AB56"/>
  <c r="W56"/>
  <c r="AM55"/>
  <c r="AJ55"/>
  <c r="AH55"/>
  <c r="AG55"/>
  <c r="AF55"/>
  <c r="AD55"/>
  <c r="AC55"/>
  <c r="AK55" s="1"/>
  <c r="AB55"/>
  <c r="W55"/>
  <c r="AM54"/>
  <c r="AJ54"/>
  <c r="AH54"/>
  <c r="AG54"/>
  <c r="AF54"/>
  <c r="AD54"/>
  <c r="AC54"/>
  <c r="AK54" s="1"/>
  <c r="AB54"/>
  <c r="W54"/>
  <c r="AM53"/>
  <c r="AJ53"/>
  <c r="AH53"/>
  <c r="AG53"/>
  <c r="AF53"/>
  <c r="AD53"/>
  <c r="AC53"/>
  <c r="AK53" s="1"/>
  <c r="AB53"/>
  <c r="W53"/>
  <c r="AM52"/>
  <c r="AJ52"/>
  <c r="AH52"/>
  <c r="AG52"/>
  <c r="AF52"/>
  <c r="AD52"/>
  <c r="AC52"/>
  <c r="AK52" s="1"/>
  <c r="AB52"/>
  <c r="W52"/>
  <c r="AM51"/>
  <c r="AJ51"/>
  <c r="AH51"/>
  <c r="AG51"/>
  <c r="AF51"/>
  <c r="AD51"/>
  <c r="AC51"/>
  <c r="AK51" s="1"/>
  <c r="AB51"/>
  <c r="W51"/>
  <c r="AM50"/>
  <c r="AJ50"/>
  <c r="AH50"/>
  <c r="AG50"/>
  <c r="AF50"/>
  <c r="AD50"/>
  <c r="AC50"/>
  <c r="AK50" s="1"/>
  <c r="AB50"/>
  <c r="W50"/>
  <c r="AM49"/>
  <c r="AJ49"/>
  <c r="AH49"/>
  <c r="AG49"/>
  <c r="AF49"/>
  <c r="AD49"/>
  <c r="AC49"/>
  <c r="AK49" s="1"/>
  <c r="AB49"/>
  <c r="W49"/>
  <c r="AM48"/>
  <c r="AJ48"/>
  <c r="AH48"/>
  <c r="AG48"/>
  <c r="AF48"/>
  <c r="AD48"/>
  <c r="AC48"/>
  <c r="AK48" s="1"/>
  <c r="AB48"/>
  <c r="W48"/>
  <c r="AM47"/>
  <c r="AJ47"/>
  <c r="AH47"/>
  <c r="AG47"/>
  <c r="AF47"/>
  <c r="AD47"/>
  <c r="AC47"/>
  <c r="AK47" s="1"/>
  <c r="AB47"/>
  <c r="W47"/>
  <c r="AM46"/>
  <c r="AJ46"/>
  <c r="AH46"/>
  <c r="AG46"/>
  <c r="AF46"/>
  <c r="AD46"/>
  <c r="AC46"/>
  <c r="AK46" s="1"/>
  <c r="AB46"/>
  <c r="W46"/>
  <c r="AM45"/>
  <c r="AJ45"/>
  <c r="AH45"/>
  <c r="AG45"/>
  <c r="AF45"/>
  <c r="AD45"/>
  <c r="AC45"/>
  <c r="AK45" s="1"/>
  <c r="AB45"/>
  <c r="W45"/>
  <c r="A45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M44"/>
  <c r="AJ44"/>
  <c r="AJ311" s="1"/>
  <c r="AH44"/>
  <c r="AH311" s="1"/>
  <c r="AG44"/>
  <c r="AG311" s="1"/>
  <c r="AF44"/>
  <c r="AF311" s="1"/>
  <c r="AD44"/>
  <c r="AD311" s="1"/>
  <c r="AC44"/>
  <c r="AC311" s="1"/>
  <c r="AB44"/>
  <c r="AB311" s="1"/>
  <c r="W44"/>
  <c r="W311" s="1"/>
  <c r="H44"/>
  <c r="AE41"/>
  <c r="U41"/>
  <c r="AM40"/>
  <c r="AJ40"/>
  <c r="AH40"/>
  <c r="AG40"/>
  <c r="AF40"/>
  <c r="AD40"/>
  <c r="AC40"/>
  <c r="AK40" s="1"/>
  <c r="AB40"/>
  <c r="W40"/>
  <c r="AM38"/>
  <c r="AJ38"/>
  <c r="AH38"/>
  <c r="AG38"/>
  <c r="AF38"/>
  <c r="AD38"/>
  <c r="AC38"/>
  <c r="AK38" s="1"/>
  <c r="AB38"/>
  <c r="W38"/>
  <c r="AM37"/>
  <c r="AJ37"/>
  <c r="AH37"/>
  <c r="AG37"/>
  <c r="AF37"/>
  <c r="AD37"/>
  <c r="AC37"/>
  <c r="AK37" s="1"/>
  <c r="AB37"/>
  <c r="W37"/>
  <c r="AM36"/>
  <c r="AJ36"/>
  <c r="AH36"/>
  <c r="AG36"/>
  <c r="AF36"/>
  <c r="AD36"/>
  <c r="AC36"/>
  <c r="AK36" s="1"/>
  <c r="AB36"/>
  <c r="W36"/>
  <c r="AM35"/>
  <c r="AJ35"/>
  <c r="AH35"/>
  <c r="AG35"/>
  <c r="AF35"/>
  <c r="AD35"/>
  <c r="AC35"/>
  <c r="AK35" s="1"/>
  <c r="AB35"/>
  <c r="W35"/>
  <c r="AM34"/>
  <c r="AJ34"/>
  <c r="AH34"/>
  <c r="AG34"/>
  <c r="AF34"/>
  <c r="AD34"/>
  <c r="AC34"/>
  <c r="AK34" s="1"/>
  <c r="AB34"/>
  <c r="W34"/>
  <c r="AM33"/>
  <c r="AJ33"/>
  <c r="AH33"/>
  <c r="AG33"/>
  <c r="AF33"/>
  <c r="AD33"/>
  <c r="AC33"/>
  <c r="AK33" s="1"/>
  <c r="AB33"/>
  <c r="W33"/>
  <c r="AM32"/>
  <c r="AJ32"/>
  <c r="AH32"/>
  <c r="AG32"/>
  <c r="AF32"/>
  <c r="AD32"/>
  <c r="AC32"/>
  <c r="AK32" s="1"/>
  <c r="AB32"/>
  <c r="W32"/>
  <c r="AM31"/>
  <c r="AJ31"/>
  <c r="AH31"/>
  <c r="AG31"/>
  <c r="AF31"/>
  <c r="AD31"/>
  <c r="AC31"/>
  <c r="AK31" s="1"/>
  <c r="AB31"/>
  <c r="W31"/>
  <c r="AM30"/>
  <c r="AJ30"/>
  <c r="AH30"/>
  <c r="AG30"/>
  <c r="AF30"/>
  <c r="AD30"/>
  <c r="AC30"/>
  <c r="AK30" s="1"/>
  <c r="AB30"/>
  <c r="W30"/>
  <c r="AM29"/>
  <c r="AJ29"/>
  <c r="AH29"/>
  <c r="AG29"/>
  <c r="AF29"/>
  <c r="AD29"/>
  <c r="AC29"/>
  <c r="AK29" s="1"/>
  <c r="AB29"/>
  <c r="W29"/>
  <c r="AM28"/>
  <c r="AJ28"/>
  <c r="AH28"/>
  <c r="AG28"/>
  <c r="AF28"/>
  <c r="AD28"/>
  <c r="AC28"/>
  <c r="AK28" s="1"/>
  <c r="AB28"/>
  <c r="W28"/>
  <c r="AM27"/>
  <c r="AJ27"/>
  <c r="AH27"/>
  <c r="AG27"/>
  <c r="AF27"/>
  <c r="AD27"/>
  <c r="AC27"/>
  <c r="AK27" s="1"/>
  <c r="AB27"/>
  <c r="W27"/>
  <c r="AM26"/>
  <c r="AJ26"/>
  <c r="AH26"/>
  <c r="AG26"/>
  <c r="AF26"/>
  <c r="AD26"/>
  <c r="AC26"/>
  <c r="AK26" s="1"/>
  <c r="AB26"/>
  <c r="W26"/>
  <c r="AM25"/>
  <c r="AJ25"/>
  <c r="AH25"/>
  <c r="AG25"/>
  <c r="AF25"/>
  <c r="AD25"/>
  <c r="AC25"/>
  <c r="AK25" s="1"/>
  <c r="AB25"/>
  <c r="W25"/>
  <c r="AM24"/>
  <c r="AJ24"/>
  <c r="AH24"/>
  <c r="AG24"/>
  <c r="AF24"/>
  <c r="AD24"/>
  <c r="AC24"/>
  <c r="AK24" s="1"/>
  <c r="AB24"/>
  <c r="W24"/>
  <c r="AM23"/>
  <c r="AJ23"/>
  <c r="AH23"/>
  <c r="AG23"/>
  <c r="AF23"/>
  <c r="AD23"/>
  <c r="AC23"/>
  <c r="AK23" s="1"/>
  <c r="AB23"/>
  <c r="W23"/>
  <c r="AM22"/>
  <c r="AJ22"/>
  <c r="AH22"/>
  <c r="AG22"/>
  <c r="AF22"/>
  <c r="AD22"/>
  <c r="AC22"/>
  <c r="AK22" s="1"/>
  <c r="AB22"/>
  <c r="W22"/>
  <c r="AM21"/>
  <c r="AJ21"/>
  <c r="AH21"/>
  <c r="AG21"/>
  <c r="AF21"/>
  <c r="AD21"/>
  <c r="AC21"/>
  <c r="AK21" s="1"/>
  <c r="AB21"/>
  <c r="W21"/>
  <c r="AM20"/>
  <c r="AJ20"/>
  <c r="AH20"/>
  <c r="AG20"/>
  <c r="AF20"/>
  <c r="AD20"/>
  <c r="AC20"/>
  <c r="AK20" s="1"/>
  <c r="AB20"/>
  <c r="W20"/>
  <c r="AM19"/>
  <c r="AJ19"/>
  <c r="AH19"/>
  <c r="AG19"/>
  <c r="AF19"/>
  <c r="AD19"/>
  <c r="AC19"/>
  <c r="AK19" s="1"/>
  <c r="AB19"/>
  <c r="W19"/>
  <c r="AM18"/>
  <c r="AJ18"/>
  <c r="AH18"/>
  <c r="AG18"/>
  <c r="AF18"/>
  <c r="AD18"/>
  <c r="AC18"/>
  <c r="AK18" s="1"/>
  <c r="AB18"/>
  <c r="W18"/>
  <c r="A18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M17"/>
  <c r="AJ17"/>
  <c r="AH17"/>
  <c r="AG17"/>
  <c r="AF17"/>
  <c r="AD17"/>
  <c r="AC17"/>
  <c r="AK17" s="1"/>
  <c r="AB17"/>
  <c r="W17"/>
  <c r="W41" s="1"/>
  <c r="N41"/>
  <c r="H17"/>
  <c r="U15"/>
  <c r="AM13"/>
  <c r="AJ13"/>
  <c r="AJ41" s="1"/>
  <c r="AH13"/>
  <c r="AH41" s="1"/>
  <c r="AG13"/>
  <c r="AG41" s="1"/>
  <c r="AF13"/>
  <c r="AF41" s="1"/>
  <c r="AD13"/>
  <c r="AD41" s="1"/>
  <c r="AC13"/>
  <c r="AC41" s="1"/>
  <c r="AB13"/>
  <c r="AB41" s="1"/>
  <c r="W13"/>
  <c r="W15" s="1"/>
  <c r="N15"/>
  <c r="H13"/>
  <c r="C1"/>
  <c r="B348" i="43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68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W334"/>
  <c r="V334"/>
  <c r="B34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V57"/>
  <c r="AB15"/>
  <c r="W15"/>
  <c r="D1"/>
  <c r="Z400" i="42"/>
  <c r="V400"/>
  <c r="S400"/>
  <c r="AC399"/>
  <c r="AA399"/>
  <c r="Y399"/>
  <c r="X399"/>
  <c r="W399"/>
  <c r="U399"/>
  <c r="T399"/>
  <c r="AB399" s="1"/>
  <c r="R399"/>
  <c r="Q399"/>
  <c r="N399"/>
  <c r="M399"/>
  <c r="AC389"/>
  <c r="AA389"/>
  <c r="Y389"/>
  <c r="X389"/>
  <c r="W389"/>
  <c r="U389"/>
  <c r="T389"/>
  <c r="AB389" s="1"/>
  <c r="R389"/>
  <c r="Q389"/>
  <c r="N389"/>
  <c r="M389"/>
  <c r="AC388"/>
  <c r="AA388"/>
  <c r="Y388"/>
  <c r="X388"/>
  <c r="W388"/>
  <c r="U388"/>
  <c r="T388"/>
  <c r="AB388" s="1"/>
  <c r="R388"/>
  <c r="Q388"/>
  <c r="N388"/>
  <c r="M388"/>
  <c r="AC387"/>
  <c r="AA387"/>
  <c r="Y387"/>
  <c r="X387"/>
  <c r="W387"/>
  <c r="U387"/>
  <c r="T387"/>
  <c r="AB387" s="1"/>
  <c r="R387"/>
  <c r="Q387"/>
  <c r="N387"/>
  <c r="M387"/>
  <c r="AC386"/>
  <c r="AA386"/>
  <c r="Y386"/>
  <c r="X386"/>
  <c r="W386"/>
  <c r="U386"/>
  <c r="T386"/>
  <c r="AB386" s="1"/>
  <c r="R386"/>
  <c r="Q386"/>
  <c r="N386"/>
  <c r="M386"/>
  <c r="AC385"/>
  <c r="AA385"/>
  <c r="Y385"/>
  <c r="X385"/>
  <c r="W385"/>
  <c r="U385"/>
  <c r="T385"/>
  <c r="AB385" s="1"/>
  <c r="R385"/>
  <c r="Q385"/>
  <c r="N385"/>
  <c r="M385"/>
  <c r="AC384"/>
  <c r="AA384"/>
  <c r="Y384"/>
  <c r="X384"/>
  <c r="W384"/>
  <c r="U384"/>
  <c r="T384"/>
  <c r="AB384" s="1"/>
  <c r="R384"/>
  <c r="Q384"/>
  <c r="N384"/>
  <c r="M384"/>
  <c r="AC383"/>
  <c r="AA383"/>
  <c r="Y383"/>
  <c r="X383"/>
  <c r="W383"/>
  <c r="U383"/>
  <c r="T383"/>
  <c r="AB383" s="1"/>
  <c r="R383"/>
  <c r="Q383"/>
  <c r="N383"/>
  <c r="M383"/>
  <c r="AC382"/>
  <c r="AA382"/>
  <c r="Y382"/>
  <c r="X382"/>
  <c r="W382"/>
  <c r="U382"/>
  <c r="T382"/>
  <c r="AB382" s="1"/>
  <c r="R382"/>
  <c r="Q382"/>
  <c r="N382"/>
  <c r="M382"/>
  <c r="AC381"/>
  <c r="AA381"/>
  <c r="Y381"/>
  <c r="X381"/>
  <c r="W381"/>
  <c r="U381"/>
  <c r="T381"/>
  <c r="AB381" s="1"/>
  <c r="R381"/>
  <c r="Q381"/>
  <c r="N381"/>
  <c r="M381"/>
  <c r="AC380"/>
  <c r="AA380"/>
  <c r="Y380"/>
  <c r="X380"/>
  <c r="W380"/>
  <c r="U380"/>
  <c r="T380"/>
  <c r="AB380" s="1"/>
  <c r="R380"/>
  <c r="Q380"/>
  <c r="N380"/>
  <c r="M380"/>
  <c r="AC379"/>
  <c r="AA379"/>
  <c r="Y379"/>
  <c r="X379"/>
  <c r="W379"/>
  <c r="U379"/>
  <c r="T379"/>
  <c r="AB379" s="1"/>
  <c r="R379"/>
  <c r="Q379"/>
  <c r="N379"/>
  <c r="M379"/>
  <c r="AC378"/>
  <c r="AA378"/>
  <c r="Y378"/>
  <c r="X378"/>
  <c r="W378"/>
  <c r="U378"/>
  <c r="T378"/>
  <c r="AB378" s="1"/>
  <c r="R378"/>
  <c r="Q378"/>
  <c r="N378"/>
  <c r="M378"/>
  <c r="AC377"/>
  <c r="AA377"/>
  <c r="Y377"/>
  <c r="X377"/>
  <c r="W377"/>
  <c r="U377"/>
  <c r="T377"/>
  <c r="AB377" s="1"/>
  <c r="R377"/>
  <c r="Q377"/>
  <c r="N377"/>
  <c r="M377"/>
  <c r="AC376"/>
  <c r="AA376"/>
  <c r="Y376"/>
  <c r="X376"/>
  <c r="W376"/>
  <c r="U376"/>
  <c r="T376"/>
  <c r="AB376" s="1"/>
  <c r="R376"/>
  <c r="Q376"/>
  <c r="N376"/>
  <c r="M376"/>
  <c r="AC375"/>
  <c r="AA375"/>
  <c r="Y375"/>
  <c r="X375"/>
  <c r="W375"/>
  <c r="U375"/>
  <c r="T375"/>
  <c r="AB375" s="1"/>
  <c r="R375"/>
  <c r="Q375"/>
  <c r="N375"/>
  <c r="M375"/>
  <c r="AC374"/>
  <c r="AA374"/>
  <c r="Y374"/>
  <c r="X374"/>
  <c r="W374"/>
  <c r="U374"/>
  <c r="T374"/>
  <c r="AB374" s="1"/>
  <c r="R374"/>
  <c r="Q374"/>
  <c r="N374"/>
  <c r="M374"/>
  <c r="AC373"/>
  <c r="AA373"/>
  <c r="Y373"/>
  <c r="X373"/>
  <c r="W373"/>
  <c r="U373"/>
  <c r="T373"/>
  <c r="AB373" s="1"/>
  <c r="R373"/>
  <c r="Q373"/>
  <c r="N373"/>
  <c r="M373"/>
  <c r="AC372"/>
  <c r="AA372"/>
  <c r="Y372"/>
  <c r="X372"/>
  <c r="W372"/>
  <c r="U372"/>
  <c r="T372"/>
  <c r="AB372" s="1"/>
  <c r="R372"/>
  <c r="Q372"/>
  <c r="N372"/>
  <c r="M372"/>
  <c r="AC371"/>
  <c r="AA371"/>
  <c r="Y371"/>
  <c r="X371"/>
  <c r="W371"/>
  <c r="U371"/>
  <c r="T371"/>
  <c r="AB371" s="1"/>
  <c r="R371"/>
  <c r="Q371"/>
  <c r="N371"/>
  <c r="M371"/>
  <c r="AC370"/>
  <c r="AA370"/>
  <c r="Y370"/>
  <c r="X370"/>
  <c r="W370"/>
  <c r="U370"/>
  <c r="T370"/>
  <c r="AB370" s="1"/>
  <c r="R370"/>
  <c r="Q370"/>
  <c r="N370"/>
  <c r="M370"/>
  <c r="AC369"/>
  <c r="AA369"/>
  <c r="Y369"/>
  <c r="X369"/>
  <c r="W369"/>
  <c r="U369"/>
  <c r="T369"/>
  <c r="AB369" s="1"/>
  <c r="R369"/>
  <c r="Q369"/>
  <c r="N369"/>
  <c r="M369"/>
  <c r="AC368"/>
  <c r="AA368"/>
  <c r="Y368"/>
  <c r="X368"/>
  <c r="W368"/>
  <c r="U368"/>
  <c r="T368"/>
  <c r="AB368" s="1"/>
  <c r="R368"/>
  <c r="Q368"/>
  <c r="N368"/>
  <c r="M368"/>
  <c r="AC367"/>
  <c r="AA367"/>
  <c r="Y367"/>
  <c r="X367"/>
  <c r="W367"/>
  <c r="U367"/>
  <c r="T367"/>
  <c r="AB367" s="1"/>
  <c r="R367"/>
  <c r="Q367"/>
  <c r="N367"/>
  <c r="M367"/>
  <c r="AC366"/>
  <c r="AA366"/>
  <c r="Y366"/>
  <c r="X366"/>
  <c r="W366"/>
  <c r="U366"/>
  <c r="T366"/>
  <c r="AB366" s="1"/>
  <c r="R366"/>
  <c r="Q366"/>
  <c r="N366"/>
  <c r="M366"/>
  <c r="AC365"/>
  <c r="AA365"/>
  <c r="Y365"/>
  <c r="X365"/>
  <c r="W365"/>
  <c r="U365"/>
  <c r="T365"/>
  <c r="AB365" s="1"/>
  <c r="R365"/>
  <c r="Q365"/>
  <c r="N365"/>
  <c r="M365"/>
  <c r="AC364"/>
  <c r="AA364"/>
  <c r="Y364"/>
  <c r="X364"/>
  <c r="W364"/>
  <c r="U364"/>
  <c r="T364"/>
  <c r="AB364" s="1"/>
  <c r="R364"/>
  <c r="Q364"/>
  <c r="N364"/>
  <c r="M364"/>
  <c r="AC363"/>
  <c r="AA363"/>
  <c r="Y363"/>
  <c r="X363"/>
  <c r="W363"/>
  <c r="U363"/>
  <c r="T363"/>
  <c r="AB363" s="1"/>
  <c r="R363"/>
  <c r="Q363"/>
  <c r="N363"/>
  <c r="M363"/>
  <c r="AC362"/>
  <c r="AA362"/>
  <c r="Y362"/>
  <c r="X362"/>
  <c r="W362"/>
  <c r="U362"/>
  <c r="T362"/>
  <c r="AB362" s="1"/>
  <c r="R362"/>
  <c r="Q362"/>
  <c r="N362"/>
  <c r="M362"/>
  <c r="AC361"/>
  <c r="AA361"/>
  <c r="Y361"/>
  <c r="X361"/>
  <c r="W361"/>
  <c r="U361"/>
  <c r="T361"/>
  <c r="AB361" s="1"/>
  <c r="R361"/>
  <c r="Q361"/>
  <c r="N361"/>
  <c r="M361"/>
  <c r="AC360"/>
  <c r="AA360"/>
  <c r="Y360"/>
  <c r="X360"/>
  <c r="W360"/>
  <c r="U360"/>
  <c r="T360"/>
  <c r="AB360" s="1"/>
  <c r="R360"/>
  <c r="Q360"/>
  <c r="N360"/>
  <c r="M360"/>
  <c r="AC359"/>
  <c r="AA359"/>
  <c r="Y359"/>
  <c r="X359"/>
  <c r="W359"/>
  <c r="U359"/>
  <c r="T359"/>
  <c r="AB359" s="1"/>
  <c r="R359"/>
  <c r="Q359"/>
  <c r="N359"/>
  <c r="M359"/>
  <c r="AC358"/>
  <c r="AA358"/>
  <c r="Y358"/>
  <c r="X358"/>
  <c r="W358"/>
  <c r="U358"/>
  <c r="T358"/>
  <c r="AB358" s="1"/>
  <c r="R358"/>
  <c r="Q358"/>
  <c r="N358"/>
  <c r="M358"/>
  <c r="AC357"/>
  <c r="AA357"/>
  <c r="Y357"/>
  <c r="X357"/>
  <c r="W357"/>
  <c r="U357"/>
  <c r="T357"/>
  <c r="AB357" s="1"/>
  <c r="R357"/>
  <c r="Q357"/>
  <c r="N357"/>
  <c r="M357"/>
  <c r="AC356"/>
  <c r="AA356"/>
  <c r="Y356"/>
  <c r="X356"/>
  <c r="W356"/>
  <c r="U356"/>
  <c r="T356"/>
  <c r="AB356" s="1"/>
  <c r="R356"/>
  <c r="Q356"/>
  <c r="N356"/>
  <c r="M356"/>
  <c r="AC355"/>
  <c r="AA355"/>
  <c r="Y355"/>
  <c r="X355"/>
  <c r="W355"/>
  <c r="U355"/>
  <c r="T355"/>
  <c r="AB355" s="1"/>
  <c r="R355"/>
  <c r="Q355"/>
  <c r="N355"/>
  <c r="M355"/>
  <c r="AC354"/>
  <c r="AA354"/>
  <c r="Y354"/>
  <c r="X354"/>
  <c r="W354"/>
  <c r="U354"/>
  <c r="T354"/>
  <c r="AB354" s="1"/>
  <c r="R354"/>
  <c r="Q354"/>
  <c r="N354"/>
  <c r="M354"/>
  <c r="AC353"/>
  <c r="AA353"/>
  <c r="Y353"/>
  <c r="X353"/>
  <c r="W353"/>
  <c r="U353"/>
  <c r="T353"/>
  <c r="AB353" s="1"/>
  <c r="R353"/>
  <c r="Q353"/>
  <c r="N353"/>
  <c r="M353"/>
  <c r="AC352"/>
  <c r="AA352"/>
  <c r="Y352"/>
  <c r="X352"/>
  <c r="W352"/>
  <c r="U352"/>
  <c r="T352"/>
  <c r="AB352" s="1"/>
  <c r="R352"/>
  <c r="Q352"/>
  <c r="N352"/>
  <c r="M352"/>
  <c r="AC351"/>
  <c r="AA351"/>
  <c r="Y351"/>
  <c r="X351"/>
  <c r="W351"/>
  <c r="U351"/>
  <c r="T351"/>
  <c r="AB351" s="1"/>
  <c r="R351"/>
  <c r="Q351"/>
  <c r="N351"/>
  <c r="M351"/>
  <c r="AC350"/>
  <c r="AA350"/>
  <c r="Y350"/>
  <c r="X350"/>
  <c r="W350"/>
  <c r="U350"/>
  <c r="T350"/>
  <c r="AB350" s="1"/>
  <c r="R350"/>
  <c r="Q350"/>
  <c r="N350"/>
  <c r="M350"/>
  <c r="AC349"/>
  <c r="AA349"/>
  <c r="Y349"/>
  <c r="X349"/>
  <c r="W349"/>
  <c r="U349"/>
  <c r="T349"/>
  <c r="AB349" s="1"/>
  <c r="R349"/>
  <c r="Q349"/>
  <c r="N349"/>
  <c r="M349"/>
  <c r="AC348"/>
  <c r="AA348"/>
  <c r="Y348"/>
  <c r="X348"/>
  <c r="W348"/>
  <c r="U348"/>
  <c r="T348"/>
  <c r="AB348" s="1"/>
  <c r="R348"/>
  <c r="Q348"/>
  <c r="N348"/>
  <c r="M348"/>
  <c r="AC347"/>
  <c r="AA347"/>
  <c r="Y347"/>
  <c r="X347"/>
  <c r="W347"/>
  <c r="U347"/>
  <c r="T347"/>
  <c r="AB347" s="1"/>
  <c r="R347"/>
  <c r="Q347"/>
  <c r="N347"/>
  <c r="M347"/>
  <c r="AC346"/>
  <c r="AA346"/>
  <c r="Y346"/>
  <c r="X346"/>
  <c r="W346"/>
  <c r="U346"/>
  <c r="T346"/>
  <c r="AB346" s="1"/>
  <c r="R346"/>
  <c r="Q346"/>
  <c r="N346"/>
  <c r="M346"/>
  <c r="AC345"/>
  <c r="AA345"/>
  <c r="Y345"/>
  <c r="X345"/>
  <c r="W345"/>
  <c r="U345"/>
  <c r="T345"/>
  <c r="AB345" s="1"/>
  <c r="R345"/>
  <c r="Q345"/>
  <c r="N345"/>
  <c r="M345"/>
  <c r="AC344"/>
  <c r="AA344"/>
  <c r="Y344"/>
  <c r="X344"/>
  <c r="W344"/>
  <c r="U344"/>
  <c r="T344"/>
  <c r="AB344" s="1"/>
  <c r="R344"/>
  <c r="Q344"/>
  <c r="N344"/>
  <c r="M344"/>
  <c r="AC343"/>
  <c r="AA343"/>
  <c r="Y343"/>
  <c r="X343"/>
  <c r="W343"/>
  <c r="U343"/>
  <c r="T343"/>
  <c r="AB343" s="1"/>
  <c r="R343"/>
  <c r="Q343"/>
  <c r="N343"/>
  <c r="M343"/>
  <c r="AC342"/>
  <c r="AA342"/>
  <c r="Y342"/>
  <c r="X342"/>
  <c r="W342"/>
  <c r="U342"/>
  <c r="T342"/>
  <c r="AB342" s="1"/>
  <c r="R342"/>
  <c r="Q342"/>
  <c r="N342"/>
  <c r="M342"/>
  <c r="AC341"/>
  <c r="AA341"/>
  <c r="Y341"/>
  <c r="X341"/>
  <c r="W341"/>
  <c r="U341"/>
  <c r="T341"/>
  <c r="AB341" s="1"/>
  <c r="R341"/>
  <c r="Q341"/>
  <c r="N341"/>
  <c r="M341"/>
  <c r="AC340"/>
  <c r="AA340"/>
  <c r="Y340"/>
  <c r="X340"/>
  <c r="W340"/>
  <c r="U340"/>
  <c r="T340"/>
  <c r="AB340" s="1"/>
  <c r="R340"/>
  <c r="Q340"/>
  <c r="N340"/>
  <c r="M340"/>
  <c r="AC339"/>
  <c r="AA339"/>
  <c r="Y339"/>
  <c r="X339"/>
  <c r="W339"/>
  <c r="U339"/>
  <c r="T339"/>
  <c r="AB339" s="1"/>
  <c r="R339"/>
  <c r="Q339"/>
  <c r="N339"/>
  <c r="M339"/>
  <c r="AC338"/>
  <c r="AA338"/>
  <c r="Y338"/>
  <c r="X338"/>
  <c r="W338"/>
  <c r="U338"/>
  <c r="T338"/>
  <c r="AB338" s="1"/>
  <c r="R338"/>
  <c r="Q338"/>
  <c r="N338"/>
  <c r="M338"/>
  <c r="AC337"/>
  <c r="AA337"/>
  <c r="Y337"/>
  <c r="X337"/>
  <c r="W337"/>
  <c r="U337"/>
  <c r="T337"/>
  <c r="AB337" s="1"/>
  <c r="R337"/>
  <c r="Q337"/>
  <c r="N337"/>
  <c r="M337"/>
  <c r="AC336"/>
  <c r="AA336"/>
  <c r="Y336"/>
  <c r="X336"/>
  <c r="W336"/>
  <c r="U336"/>
  <c r="T336"/>
  <c r="AB336" s="1"/>
  <c r="R336"/>
  <c r="Q336"/>
  <c r="N336"/>
  <c r="M336"/>
  <c r="AC334"/>
  <c r="AA334"/>
  <c r="Y334"/>
  <c r="X334"/>
  <c r="W334"/>
  <c r="U334"/>
  <c r="T334"/>
  <c r="AB334" s="1"/>
  <c r="R334"/>
  <c r="Q334"/>
  <c r="N334"/>
  <c r="M334"/>
  <c r="AC333"/>
  <c r="AA333"/>
  <c r="Y333"/>
  <c r="X333"/>
  <c r="W333"/>
  <c r="U333"/>
  <c r="T333"/>
  <c r="AB333" s="1"/>
  <c r="R333"/>
  <c r="Q333"/>
  <c r="N333"/>
  <c r="M333"/>
  <c r="AC332"/>
  <c r="AA332"/>
  <c r="Y332"/>
  <c r="X332"/>
  <c r="W332"/>
  <c r="U332"/>
  <c r="T332"/>
  <c r="AB332" s="1"/>
  <c r="R332"/>
  <c r="Q332"/>
  <c r="N332"/>
  <c r="M332"/>
  <c r="AC331"/>
  <c r="AA331"/>
  <c r="Y331"/>
  <c r="X331"/>
  <c r="W331"/>
  <c r="U331"/>
  <c r="T331"/>
  <c r="AB331" s="1"/>
  <c r="R331"/>
  <c r="Q331"/>
  <c r="N331"/>
  <c r="M331"/>
  <c r="AC330"/>
  <c r="AA330"/>
  <c r="Y330"/>
  <c r="X330"/>
  <c r="W330"/>
  <c r="U330"/>
  <c r="T330"/>
  <c r="AB330" s="1"/>
  <c r="R330"/>
  <c r="Q330"/>
  <c r="N330"/>
  <c r="M330"/>
  <c r="AC329"/>
  <c r="AA329"/>
  <c r="Y329"/>
  <c r="X329"/>
  <c r="W329"/>
  <c r="U329"/>
  <c r="T329"/>
  <c r="AB329" s="1"/>
  <c r="R329"/>
  <c r="Q329"/>
  <c r="N329"/>
  <c r="M329"/>
  <c r="AC328"/>
  <c r="AA328"/>
  <c r="Y328"/>
  <c r="X328"/>
  <c r="W328"/>
  <c r="U328"/>
  <c r="T328"/>
  <c r="AB328" s="1"/>
  <c r="R328"/>
  <c r="Q328"/>
  <c r="N328"/>
  <c r="M328"/>
  <c r="AC327"/>
  <c r="AA327"/>
  <c r="Y327"/>
  <c r="X327"/>
  <c r="W327"/>
  <c r="U327"/>
  <c r="T327"/>
  <c r="AB327" s="1"/>
  <c r="R327"/>
  <c r="Q327"/>
  <c r="N327"/>
  <c r="M327"/>
  <c r="AC326"/>
  <c r="AA326"/>
  <c r="Y326"/>
  <c r="X326"/>
  <c r="W326"/>
  <c r="U326"/>
  <c r="T326"/>
  <c r="AB326" s="1"/>
  <c r="R326"/>
  <c r="Q326"/>
  <c r="N326"/>
  <c r="M326"/>
  <c r="AC325"/>
  <c r="AA325"/>
  <c r="Y325"/>
  <c r="X325"/>
  <c r="W325"/>
  <c r="U325"/>
  <c r="T325"/>
  <c r="AB325" s="1"/>
  <c r="R325"/>
  <c r="Q325"/>
  <c r="N325"/>
  <c r="M325"/>
  <c r="AC324"/>
  <c r="AA324"/>
  <c r="Y324"/>
  <c r="X324"/>
  <c r="W324"/>
  <c r="U324"/>
  <c r="T324"/>
  <c r="AB324" s="1"/>
  <c r="R324"/>
  <c r="Q324"/>
  <c r="N324"/>
  <c r="M324"/>
  <c r="AC323"/>
  <c r="AA323"/>
  <c r="Y323"/>
  <c r="X323"/>
  <c r="W323"/>
  <c r="U323"/>
  <c r="T323"/>
  <c r="AB323" s="1"/>
  <c r="R323"/>
  <c r="Q323"/>
  <c r="N323"/>
  <c r="M323"/>
  <c r="AC322"/>
  <c r="AA322"/>
  <c r="Y322"/>
  <c r="X322"/>
  <c r="W322"/>
  <c r="U322"/>
  <c r="T322"/>
  <c r="AB322" s="1"/>
  <c r="R322"/>
  <c r="Q322"/>
  <c r="N322"/>
  <c r="M322"/>
  <c r="AC321"/>
  <c r="AA321"/>
  <c r="Y321"/>
  <c r="X321"/>
  <c r="W321"/>
  <c r="U321"/>
  <c r="T321"/>
  <c r="AB321" s="1"/>
  <c r="R321"/>
  <c r="Q321"/>
  <c r="N321"/>
  <c r="M321"/>
  <c r="AC320"/>
  <c r="AA320"/>
  <c r="Y320"/>
  <c r="X320"/>
  <c r="W320"/>
  <c r="U320"/>
  <c r="T320"/>
  <c r="AB320" s="1"/>
  <c r="R320"/>
  <c r="Q320"/>
  <c r="N320"/>
  <c r="M320"/>
  <c r="AC319"/>
  <c r="AA319"/>
  <c r="Y319"/>
  <c r="X319"/>
  <c r="W319"/>
  <c r="U319"/>
  <c r="T319"/>
  <c r="AB319" s="1"/>
  <c r="R319"/>
  <c r="Q319"/>
  <c r="N319"/>
  <c r="M319"/>
  <c r="AC318"/>
  <c r="AA318"/>
  <c r="Y318"/>
  <c r="X318"/>
  <c r="W318"/>
  <c r="U318"/>
  <c r="T318"/>
  <c r="AB318" s="1"/>
  <c r="R318"/>
  <c r="Q318"/>
  <c r="N318"/>
  <c r="M318"/>
  <c r="AC317"/>
  <c r="AA317"/>
  <c r="Y317"/>
  <c r="X317"/>
  <c r="W317"/>
  <c r="U317"/>
  <c r="T317"/>
  <c r="AB317" s="1"/>
  <c r="R317"/>
  <c r="Q317"/>
  <c r="N317"/>
  <c r="M317"/>
  <c r="AC316"/>
  <c r="AA316"/>
  <c r="Y316"/>
  <c r="X316"/>
  <c r="W316"/>
  <c r="U316"/>
  <c r="T316"/>
  <c r="AB316" s="1"/>
  <c r="R316"/>
  <c r="Q316"/>
  <c r="N316"/>
  <c r="M316"/>
  <c r="AC315"/>
  <c r="AA315"/>
  <c r="Y315"/>
  <c r="X315"/>
  <c r="W315"/>
  <c r="U315"/>
  <c r="T315"/>
  <c r="AB315" s="1"/>
  <c r="R315"/>
  <c r="Q315"/>
  <c r="N315"/>
  <c r="M315"/>
  <c r="AC314"/>
  <c r="AA314"/>
  <c r="Y314"/>
  <c r="X314"/>
  <c r="W314"/>
  <c r="U314"/>
  <c r="T314"/>
  <c r="AB314" s="1"/>
  <c r="R314"/>
  <c r="Q314"/>
  <c r="N314"/>
  <c r="M314"/>
  <c r="AC313"/>
  <c r="AA313"/>
  <c r="Y313"/>
  <c r="X313"/>
  <c r="W313"/>
  <c r="U313"/>
  <c r="T313"/>
  <c r="AB313" s="1"/>
  <c r="R313"/>
  <c r="Q313"/>
  <c r="N313"/>
  <c r="M313"/>
  <c r="AC312"/>
  <c r="AA312"/>
  <c r="Y312"/>
  <c r="X312"/>
  <c r="W312"/>
  <c r="U312"/>
  <c r="T312"/>
  <c r="AB312" s="1"/>
  <c r="R312"/>
  <c r="Q312"/>
  <c r="N312"/>
  <c r="M312"/>
  <c r="AC311"/>
  <c r="AA311"/>
  <c r="Y311"/>
  <c r="X311"/>
  <c r="W311"/>
  <c r="U311"/>
  <c r="T311"/>
  <c r="AB311" s="1"/>
  <c r="R311"/>
  <c r="Q311"/>
  <c r="N311"/>
  <c r="M311"/>
  <c r="AC310"/>
  <c r="AA310"/>
  <c r="Y310"/>
  <c r="X310"/>
  <c r="W310"/>
  <c r="U310"/>
  <c r="T310"/>
  <c r="AB310" s="1"/>
  <c r="R310"/>
  <c r="Q310"/>
  <c r="N310"/>
  <c r="M310"/>
  <c r="AC309"/>
  <c r="AA309"/>
  <c r="Y309"/>
  <c r="X309"/>
  <c r="W309"/>
  <c r="U309"/>
  <c r="T309"/>
  <c r="AB309" s="1"/>
  <c r="R309"/>
  <c r="Q309"/>
  <c r="N309"/>
  <c r="M309"/>
  <c r="B309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AC308"/>
  <c r="AC400" s="1"/>
  <c r="AA308"/>
  <c r="AA400" s="1"/>
  <c r="Y308"/>
  <c r="Y400" s="1"/>
  <c r="X308"/>
  <c r="X400" s="1"/>
  <c r="W308"/>
  <c r="W400" s="1"/>
  <c r="U308"/>
  <c r="U400" s="1"/>
  <c r="T308"/>
  <c r="T400" s="1"/>
  <c r="R308"/>
  <c r="R400" s="1"/>
  <c r="Q308"/>
  <c r="N308"/>
  <c r="N400" s="1"/>
  <c r="M308"/>
  <c r="M400" s="1"/>
  <c r="AC305"/>
  <c r="AA305"/>
  <c r="Y305"/>
  <c r="X305"/>
  <c r="W305"/>
  <c r="U305"/>
  <c r="T305"/>
  <c r="AB305" s="1"/>
  <c r="R305"/>
  <c r="Q305"/>
  <c r="N305"/>
  <c r="M305"/>
  <c r="AC239"/>
  <c r="AA239"/>
  <c r="Y239"/>
  <c r="X239"/>
  <c r="W239"/>
  <c r="U239"/>
  <c r="T239"/>
  <c r="AB239" s="1"/>
  <c r="R239"/>
  <c r="Q239"/>
  <c r="N239"/>
  <c r="M239"/>
  <c r="AC238"/>
  <c r="AA238"/>
  <c r="Y238"/>
  <c r="X238"/>
  <c r="W238"/>
  <c r="U238"/>
  <c r="T238"/>
  <c r="AB238" s="1"/>
  <c r="R238"/>
  <c r="Q238"/>
  <c r="N238"/>
  <c r="M238"/>
  <c r="AC237"/>
  <c r="AA237"/>
  <c r="Y237"/>
  <c r="X237"/>
  <c r="W237"/>
  <c r="U237"/>
  <c r="T237"/>
  <c r="AB237" s="1"/>
  <c r="R237"/>
  <c r="Q237"/>
  <c r="N237"/>
  <c r="M237"/>
  <c r="AC236"/>
  <c r="AA236"/>
  <c r="Y236"/>
  <c r="X236"/>
  <c r="W236"/>
  <c r="U236"/>
  <c r="T236"/>
  <c r="AB236" s="1"/>
  <c r="R236"/>
  <c r="Q236"/>
  <c r="N236"/>
  <c r="M236"/>
  <c r="AC235"/>
  <c r="AA235"/>
  <c r="Y235"/>
  <c r="X235"/>
  <c r="W235"/>
  <c r="U235"/>
  <c r="T235"/>
  <c r="AB235" s="1"/>
  <c r="R235"/>
  <c r="Q235"/>
  <c r="N235"/>
  <c r="M235"/>
  <c r="AC234"/>
  <c r="AA234"/>
  <c r="Y234"/>
  <c r="X234"/>
  <c r="W234"/>
  <c r="U234"/>
  <c r="T234"/>
  <c r="AB234" s="1"/>
  <c r="R234"/>
  <c r="Q234"/>
  <c r="N234"/>
  <c r="M234"/>
  <c r="AC233"/>
  <c r="AA233"/>
  <c r="Y233"/>
  <c r="X233"/>
  <c r="W233"/>
  <c r="U233"/>
  <c r="T233"/>
  <c r="AB233" s="1"/>
  <c r="R233"/>
  <c r="Q233"/>
  <c r="N233"/>
  <c r="M233"/>
  <c r="AC232"/>
  <c r="AA232"/>
  <c r="Y232"/>
  <c r="X232"/>
  <c r="W232"/>
  <c r="U232"/>
  <c r="T232"/>
  <c r="AB232" s="1"/>
  <c r="R232"/>
  <c r="Q232"/>
  <c r="N232"/>
  <c r="M232"/>
  <c r="AC231"/>
  <c r="AA231"/>
  <c r="Y231"/>
  <c r="X231"/>
  <c r="W231"/>
  <c r="U231"/>
  <c r="T231"/>
  <c r="AB231" s="1"/>
  <c r="R231"/>
  <c r="Q231"/>
  <c r="N231"/>
  <c r="M231"/>
  <c r="AC230"/>
  <c r="AA230"/>
  <c r="Y230"/>
  <c r="X230"/>
  <c r="W230"/>
  <c r="U230"/>
  <c r="T230"/>
  <c r="AB230" s="1"/>
  <c r="R230"/>
  <c r="Q230"/>
  <c r="N230"/>
  <c r="M230"/>
  <c r="AC229"/>
  <c r="AA229"/>
  <c r="Y229"/>
  <c r="X229"/>
  <c r="W229"/>
  <c r="U229"/>
  <c r="T229"/>
  <c r="AB229" s="1"/>
  <c r="R229"/>
  <c r="Q229"/>
  <c r="N229"/>
  <c r="M229"/>
  <c r="AC228"/>
  <c r="AA228"/>
  <c r="Y228"/>
  <c r="X228"/>
  <c r="W228"/>
  <c r="U228"/>
  <c r="T228"/>
  <c r="AB228" s="1"/>
  <c r="R228"/>
  <c r="Q228"/>
  <c r="N228"/>
  <c r="M228"/>
  <c r="AC227"/>
  <c r="AA227"/>
  <c r="Y227"/>
  <c r="X227"/>
  <c r="W227"/>
  <c r="U227"/>
  <c r="T227"/>
  <c r="AB227" s="1"/>
  <c r="R227"/>
  <c r="Q227"/>
  <c r="N227"/>
  <c r="M227"/>
  <c r="AC226"/>
  <c r="AA226"/>
  <c r="Y226"/>
  <c r="X226"/>
  <c r="W226"/>
  <c r="U226"/>
  <c r="T226"/>
  <c r="AB226" s="1"/>
  <c r="R226"/>
  <c r="Q226"/>
  <c r="N226"/>
  <c r="M226"/>
  <c r="AC225"/>
  <c r="AA225"/>
  <c r="Y225"/>
  <c r="X225"/>
  <c r="W225"/>
  <c r="U225"/>
  <c r="T225"/>
  <c r="AB225" s="1"/>
  <c r="R225"/>
  <c r="Q225"/>
  <c r="N225"/>
  <c r="M225"/>
  <c r="AC224"/>
  <c r="AA224"/>
  <c r="Y224"/>
  <c r="X224"/>
  <c r="W224"/>
  <c r="U224"/>
  <c r="T224"/>
  <c r="AB224" s="1"/>
  <c r="R224"/>
  <c r="Q224"/>
  <c r="N224"/>
  <c r="M224"/>
  <c r="AC223"/>
  <c r="AA223"/>
  <c r="Y223"/>
  <c r="X223"/>
  <c r="W223"/>
  <c r="U223"/>
  <c r="T223"/>
  <c r="AB223" s="1"/>
  <c r="R223"/>
  <c r="Q223"/>
  <c r="N223"/>
  <c r="M223"/>
  <c r="AC222"/>
  <c r="AA222"/>
  <c r="Y222"/>
  <c r="X222"/>
  <c r="W222"/>
  <c r="U222"/>
  <c r="T222"/>
  <c r="AB222" s="1"/>
  <c r="R222"/>
  <c r="Q222"/>
  <c r="N222"/>
  <c r="M222"/>
  <c r="AC221"/>
  <c r="AA221"/>
  <c r="Y221"/>
  <c r="X221"/>
  <c r="W221"/>
  <c r="U221"/>
  <c r="T221"/>
  <c r="AB221" s="1"/>
  <c r="R221"/>
  <c r="Q221"/>
  <c r="N221"/>
  <c r="M221"/>
  <c r="AC220"/>
  <c r="AA220"/>
  <c r="Y220"/>
  <c r="X220"/>
  <c r="W220"/>
  <c r="U220"/>
  <c r="T220"/>
  <c r="AB220" s="1"/>
  <c r="R220"/>
  <c r="Q220"/>
  <c r="N220"/>
  <c r="M220"/>
  <c r="AC219"/>
  <c r="AA219"/>
  <c r="Y219"/>
  <c r="X219"/>
  <c r="W219"/>
  <c r="U219"/>
  <c r="T219"/>
  <c r="AB219" s="1"/>
  <c r="R219"/>
  <c r="Q219"/>
  <c r="N219"/>
  <c r="M219"/>
  <c r="AC218"/>
  <c r="AA218"/>
  <c r="Y218"/>
  <c r="X218"/>
  <c r="W218"/>
  <c r="U218"/>
  <c r="T218"/>
  <c r="AB218" s="1"/>
  <c r="R218"/>
  <c r="Q218"/>
  <c r="N218"/>
  <c r="M218"/>
  <c r="AC217"/>
  <c r="AA217"/>
  <c r="Y217"/>
  <c r="X217"/>
  <c r="W217"/>
  <c r="U217"/>
  <c r="T217"/>
  <c r="AB217" s="1"/>
  <c r="R217"/>
  <c r="Q217"/>
  <c r="N217"/>
  <c r="M217"/>
  <c r="AC216"/>
  <c r="AA216"/>
  <c r="Y216"/>
  <c r="X216"/>
  <c r="W216"/>
  <c r="U216"/>
  <c r="T216"/>
  <c r="AB216" s="1"/>
  <c r="R216"/>
  <c r="Q216"/>
  <c r="N216"/>
  <c r="M216"/>
  <c r="AC215"/>
  <c r="AA215"/>
  <c r="Y215"/>
  <c r="X215"/>
  <c r="W215"/>
  <c r="U215"/>
  <c r="T215"/>
  <c r="AB215" s="1"/>
  <c r="R215"/>
  <c r="Q215"/>
  <c r="N215"/>
  <c r="M215"/>
  <c r="AC214"/>
  <c r="AA214"/>
  <c r="Y214"/>
  <c r="X214"/>
  <c r="W214"/>
  <c r="U214"/>
  <c r="T214"/>
  <c r="AB214" s="1"/>
  <c r="R214"/>
  <c r="Q214"/>
  <c r="N214"/>
  <c r="M214"/>
  <c r="AC213"/>
  <c r="AA213"/>
  <c r="Y213"/>
  <c r="X213"/>
  <c r="W213"/>
  <c r="U213"/>
  <c r="T213"/>
  <c r="AB213" s="1"/>
  <c r="R213"/>
  <c r="Q213"/>
  <c r="N213"/>
  <c r="M213"/>
  <c r="AC212"/>
  <c r="AA212"/>
  <c r="Y212"/>
  <c r="X212"/>
  <c r="W212"/>
  <c r="U212"/>
  <c r="T212"/>
  <c r="AB212" s="1"/>
  <c r="R212"/>
  <c r="Q212"/>
  <c r="N212"/>
  <c r="M212"/>
  <c r="AC211"/>
  <c r="AA211"/>
  <c r="Y211"/>
  <c r="X211"/>
  <c r="W211"/>
  <c r="U211"/>
  <c r="T211"/>
  <c r="AB211" s="1"/>
  <c r="R211"/>
  <c r="Q211"/>
  <c r="N211"/>
  <c r="M211"/>
  <c r="AC210"/>
  <c r="AA210"/>
  <c r="Y210"/>
  <c r="X210"/>
  <c r="W210"/>
  <c r="U210"/>
  <c r="T210"/>
  <c r="AB210" s="1"/>
  <c r="R210"/>
  <c r="Q210"/>
  <c r="N210"/>
  <c r="M210"/>
  <c r="AC209"/>
  <c r="AA209"/>
  <c r="Y209"/>
  <c r="X209"/>
  <c r="W209"/>
  <c r="U209"/>
  <c r="T209"/>
  <c r="AB209" s="1"/>
  <c r="R209"/>
  <c r="Q209"/>
  <c r="N209"/>
  <c r="M209"/>
  <c r="AC208"/>
  <c r="AA208"/>
  <c r="Y208"/>
  <c r="X208"/>
  <c r="W208"/>
  <c r="U208"/>
  <c r="T208"/>
  <c r="AB208" s="1"/>
  <c r="R208"/>
  <c r="Q208"/>
  <c r="N208"/>
  <c r="M208"/>
  <c r="AC207"/>
  <c r="AA207"/>
  <c r="Y207"/>
  <c r="X207"/>
  <c r="W207"/>
  <c r="U207"/>
  <c r="T207"/>
  <c r="AB207" s="1"/>
  <c r="R207"/>
  <c r="Q207"/>
  <c r="N207"/>
  <c r="M207"/>
  <c r="AC206"/>
  <c r="AA206"/>
  <c r="Y206"/>
  <c r="X206"/>
  <c r="W206"/>
  <c r="U206"/>
  <c r="T206"/>
  <c r="AB206" s="1"/>
  <c r="R206"/>
  <c r="Q206"/>
  <c r="N206"/>
  <c r="M206"/>
  <c r="AC205"/>
  <c r="AA205"/>
  <c r="Y205"/>
  <c r="X205"/>
  <c r="W205"/>
  <c r="U205"/>
  <c r="T205"/>
  <c r="AB205" s="1"/>
  <c r="R205"/>
  <c r="Q205"/>
  <c r="N205"/>
  <c r="M205"/>
  <c r="AC204"/>
  <c r="AA204"/>
  <c r="Y204"/>
  <c r="X204"/>
  <c r="W204"/>
  <c r="U204"/>
  <c r="T204"/>
  <c r="AB204" s="1"/>
  <c r="R204"/>
  <c r="Q204"/>
  <c r="N204"/>
  <c r="M204"/>
  <c r="AC203"/>
  <c r="AA203"/>
  <c r="Y203"/>
  <c r="X203"/>
  <c r="W203"/>
  <c r="U203"/>
  <c r="T203"/>
  <c r="AB203" s="1"/>
  <c r="R203"/>
  <c r="Q203"/>
  <c r="N203"/>
  <c r="M203"/>
  <c r="AC202"/>
  <c r="AA202"/>
  <c r="Y202"/>
  <c r="X202"/>
  <c r="W202"/>
  <c r="U202"/>
  <c r="T202"/>
  <c r="AB202" s="1"/>
  <c r="R202"/>
  <c r="Q202"/>
  <c r="N202"/>
  <c r="M202"/>
  <c r="AC201"/>
  <c r="AA201"/>
  <c r="Y201"/>
  <c r="X201"/>
  <c r="W201"/>
  <c r="U201"/>
  <c r="T201"/>
  <c r="AB201" s="1"/>
  <c r="R201"/>
  <c r="Q201"/>
  <c r="N201"/>
  <c r="M201"/>
  <c r="AC200"/>
  <c r="AA200"/>
  <c r="Y200"/>
  <c r="X200"/>
  <c r="W200"/>
  <c r="U200"/>
  <c r="T200"/>
  <c r="AB200" s="1"/>
  <c r="R200"/>
  <c r="Q200"/>
  <c r="N200"/>
  <c r="M200"/>
  <c r="AC199"/>
  <c r="AA199"/>
  <c r="Y199"/>
  <c r="X199"/>
  <c r="W199"/>
  <c r="U199"/>
  <c r="T199"/>
  <c r="AB199" s="1"/>
  <c r="R199"/>
  <c r="Q199"/>
  <c r="N199"/>
  <c r="M199"/>
  <c r="AC198"/>
  <c r="AA198"/>
  <c r="Y198"/>
  <c r="X198"/>
  <c r="W198"/>
  <c r="U198"/>
  <c r="T198"/>
  <c r="AB198" s="1"/>
  <c r="R198"/>
  <c r="Q198"/>
  <c r="N198"/>
  <c r="M198"/>
  <c r="AC197"/>
  <c r="AA197"/>
  <c r="Y197"/>
  <c r="X197"/>
  <c r="W197"/>
  <c r="U197"/>
  <c r="T197"/>
  <c r="AB197" s="1"/>
  <c r="R197"/>
  <c r="Q197"/>
  <c r="N197"/>
  <c r="M197"/>
  <c r="AC196"/>
  <c r="AA196"/>
  <c r="Y196"/>
  <c r="X196"/>
  <c r="W196"/>
  <c r="U196"/>
  <c r="T196"/>
  <c r="AB196" s="1"/>
  <c r="R196"/>
  <c r="Q196"/>
  <c r="N196"/>
  <c r="M196"/>
  <c r="AC195"/>
  <c r="AA195"/>
  <c r="Y195"/>
  <c r="X195"/>
  <c r="W195"/>
  <c r="U195"/>
  <c r="T195"/>
  <c r="AB195" s="1"/>
  <c r="R195"/>
  <c r="Q195"/>
  <c r="N195"/>
  <c r="M195"/>
  <c r="AC194"/>
  <c r="AA194"/>
  <c r="Y194"/>
  <c r="X194"/>
  <c r="W194"/>
  <c r="U194"/>
  <c r="T194"/>
  <c r="AB194" s="1"/>
  <c r="R194"/>
  <c r="Q194"/>
  <c r="N194"/>
  <c r="M194"/>
  <c r="AC193"/>
  <c r="AA193"/>
  <c r="Y193"/>
  <c r="X193"/>
  <c r="W193"/>
  <c r="U193"/>
  <c r="T193"/>
  <c r="AB193" s="1"/>
  <c r="R193"/>
  <c r="Q193"/>
  <c r="N193"/>
  <c r="M193"/>
  <c r="AC192"/>
  <c r="AA192"/>
  <c r="Y192"/>
  <c r="X192"/>
  <c r="W192"/>
  <c r="U192"/>
  <c r="T192"/>
  <c r="AB192" s="1"/>
  <c r="R192"/>
  <c r="Q192"/>
  <c r="N192"/>
  <c r="M192"/>
  <c r="AC191"/>
  <c r="AA191"/>
  <c r="Y191"/>
  <c r="X191"/>
  <c r="W191"/>
  <c r="U191"/>
  <c r="T191"/>
  <c r="AB191" s="1"/>
  <c r="R191"/>
  <c r="Q191"/>
  <c r="N191"/>
  <c r="M191"/>
  <c r="AC190"/>
  <c r="AA190"/>
  <c r="Y190"/>
  <c r="X190"/>
  <c r="W190"/>
  <c r="U190"/>
  <c r="T190"/>
  <c r="AB190" s="1"/>
  <c r="R190"/>
  <c r="Q190"/>
  <c r="N190"/>
  <c r="M190"/>
  <c r="AC189"/>
  <c r="AA189"/>
  <c r="Y189"/>
  <c r="X189"/>
  <c r="W189"/>
  <c r="U189"/>
  <c r="T189"/>
  <c r="AB189" s="1"/>
  <c r="R189"/>
  <c r="Q189"/>
  <c r="N189"/>
  <c r="M189"/>
  <c r="AC188"/>
  <c r="AA188"/>
  <c r="Y188"/>
  <c r="X188"/>
  <c r="W188"/>
  <c r="U188"/>
  <c r="T188"/>
  <c r="AB188" s="1"/>
  <c r="R188"/>
  <c r="Q188"/>
  <c r="N188"/>
  <c r="M188"/>
  <c r="AC187"/>
  <c r="AA187"/>
  <c r="Y187"/>
  <c r="X187"/>
  <c r="W187"/>
  <c r="U187"/>
  <c r="T187"/>
  <c r="AB187" s="1"/>
  <c r="R187"/>
  <c r="Q187"/>
  <c r="N187"/>
  <c r="M187"/>
  <c r="AC186"/>
  <c r="AA186"/>
  <c r="Y186"/>
  <c r="X186"/>
  <c r="W186"/>
  <c r="U186"/>
  <c r="T186"/>
  <c r="AB186" s="1"/>
  <c r="R186"/>
  <c r="Q186"/>
  <c r="N186"/>
  <c r="M186"/>
  <c r="AC185"/>
  <c r="AA185"/>
  <c r="Y185"/>
  <c r="X185"/>
  <c r="W185"/>
  <c r="U185"/>
  <c r="T185"/>
  <c r="AB185" s="1"/>
  <c r="R185"/>
  <c r="Q185"/>
  <c r="N185"/>
  <c r="M185"/>
  <c r="AC184"/>
  <c r="AA184"/>
  <c r="Y184"/>
  <c r="X184"/>
  <c r="W184"/>
  <c r="U184"/>
  <c r="T184"/>
  <c r="AB184" s="1"/>
  <c r="R184"/>
  <c r="Q184"/>
  <c r="N184"/>
  <c r="M184"/>
  <c r="AC183"/>
  <c r="AA183"/>
  <c r="Y183"/>
  <c r="X183"/>
  <c r="W183"/>
  <c r="U183"/>
  <c r="T183"/>
  <c r="AB183" s="1"/>
  <c r="R183"/>
  <c r="Q183"/>
  <c r="N183"/>
  <c r="M183"/>
  <c r="AC182"/>
  <c r="AA182"/>
  <c r="Y182"/>
  <c r="X182"/>
  <c r="W182"/>
  <c r="U182"/>
  <c r="T182"/>
  <c r="AB182" s="1"/>
  <c r="R182"/>
  <c r="Q182"/>
  <c r="N182"/>
  <c r="M182"/>
  <c r="AC181"/>
  <c r="AA181"/>
  <c r="Y181"/>
  <c r="X181"/>
  <c r="W181"/>
  <c r="U181"/>
  <c r="T181"/>
  <c r="AB181" s="1"/>
  <c r="R181"/>
  <c r="Q181"/>
  <c r="N181"/>
  <c r="M181"/>
  <c r="AC180"/>
  <c r="AA180"/>
  <c r="Y180"/>
  <c r="X180"/>
  <c r="W180"/>
  <c r="U180"/>
  <c r="T180"/>
  <c r="AB180" s="1"/>
  <c r="R180"/>
  <c r="Q180"/>
  <c r="N180"/>
  <c r="M180"/>
  <c r="AC179"/>
  <c r="AA179"/>
  <c r="Y179"/>
  <c r="X179"/>
  <c r="W179"/>
  <c r="U179"/>
  <c r="T179"/>
  <c r="AB179" s="1"/>
  <c r="R179"/>
  <c r="Q179"/>
  <c r="N179"/>
  <c r="M179"/>
  <c r="AC178"/>
  <c r="AA178"/>
  <c r="Y178"/>
  <c r="X178"/>
  <c r="W178"/>
  <c r="U178"/>
  <c r="T178"/>
  <c r="AB178" s="1"/>
  <c r="R178"/>
  <c r="Q178"/>
  <c r="N178"/>
  <c r="M178"/>
  <c r="AC177"/>
  <c r="AA177"/>
  <c r="Y177"/>
  <c r="X177"/>
  <c r="W177"/>
  <c r="U177"/>
  <c r="T177"/>
  <c r="AB177" s="1"/>
  <c r="R177"/>
  <c r="Q177"/>
  <c r="N177"/>
  <c r="M177"/>
  <c r="AC176"/>
  <c r="AA176"/>
  <c r="Y176"/>
  <c r="X176"/>
  <c r="W176"/>
  <c r="U176"/>
  <c r="T176"/>
  <c r="AB176" s="1"/>
  <c r="R176"/>
  <c r="Q176"/>
  <c r="N176"/>
  <c r="M176"/>
  <c r="AC175"/>
  <c r="AA175"/>
  <c r="Y175"/>
  <c r="X175"/>
  <c r="W175"/>
  <c r="U175"/>
  <c r="T175"/>
  <c r="AB175" s="1"/>
  <c r="R175"/>
  <c r="Q175"/>
  <c r="N175"/>
  <c r="M175"/>
  <c r="AC174"/>
  <c r="AA174"/>
  <c r="Y174"/>
  <c r="X174"/>
  <c r="W174"/>
  <c r="U174"/>
  <c r="T174"/>
  <c r="AB174" s="1"/>
  <c r="R174"/>
  <c r="Q174"/>
  <c r="N174"/>
  <c r="M174"/>
  <c r="AC173"/>
  <c r="AA173"/>
  <c r="Y173"/>
  <c r="X173"/>
  <c r="W173"/>
  <c r="U173"/>
  <c r="T173"/>
  <c r="AB173" s="1"/>
  <c r="R173"/>
  <c r="Q173"/>
  <c r="N173"/>
  <c r="M173"/>
  <c r="AC172"/>
  <c r="AA172"/>
  <c r="Y172"/>
  <c r="X172"/>
  <c r="W172"/>
  <c r="U172"/>
  <c r="T172"/>
  <c r="AB172" s="1"/>
  <c r="R172"/>
  <c r="Q172"/>
  <c r="N172"/>
  <c r="M172"/>
  <c r="AC171"/>
  <c r="AA171"/>
  <c r="Y171"/>
  <c r="X171"/>
  <c r="W171"/>
  <c r="U171"/>
  <c r="T171"/>
  <c r="AB171" s="1"/>
  <c r="R171"/>
  <c r="Q171"/>
  <c r="N171"/>
  <c r="M171"/>
  <c r="AC170"/>
  <c r="AA170"/>
  <c r="Y170"/>
  <c r="X170"/>
  <c r="W170"/>
  <c r="U170"/>
  <c r="T170"/>
  <c r="AB170" s="1"/>
  <c r="R170"/>
  <c r="Q170"/>
  <c r="N170"/>
  <c r="M170"/>
  <c r="AC169"/>
  <c r="AA169"/>
  <c r="Y169"/>
  <c r="X169"/>
  <c r="W169"/>
  <c r="U169"/>
  <c r="T169"/>
  <c r="AB169" s="1"/>
  <c r="R169"/>
  <c r="Q169"/>
  <c r="N169"/>
  <c r="M169"/>
  <c r="AC168"/>
  <c r="AA168"/>
  <c r="Y168"/>
  <c r="X168"/>
  <c r="W168"/>
  <c r="U168"/>
  <c r="T168"/>
  <c r="AB168" s="1"/>
  <c r="R168"/>
  <c r="Q168"/>
  <c r="N168"/>
  <c r="M168"/>
  <c r="AC167"/>
  <c r="AA167"/>
  <c r="Y167"/>
  <c r="X167"/>
  <c r="W167"/>
  <c r="U167"/>
  <c r="T167"/>
  <c r="AB167" s="1"/>
  <c r="R167"/>
  <c r="Q167"/>
  <c r="N167"/>
  <c r="M167"/>
  <c r="AC166"/>
  <c r="AA166"/>
  <c r="Y166"/>
  <c r="X166"/>
  <c r="W166"/>
  <c r="U166"/>
  <c r="T166"/>
  <c r="AB166" s="1"/>
  <c r="R166"/>
  <c r="Q166"/>
  <c r="N166"/>
  <c r="M166"/>
  <c r="AC165"/>
  <c r="AA165"/>
  <c r="Y165"/>
  <c r="X165"/>
  <c r="W165"/>
  <c r="U165"/>
  <c r="T165"/>
  <c r="AB165" s="1"/>
  <c r="R165"/>
  <c r="Q165"/>
  <c r="N165"/>
  <c r="M165"/>
  <c r="AC164"/>
  <c r="AA164"/>
  <c r="Y164"/>
  <c r="X164"/>
  <c r="W164"/>
  <c r="U164"/>
  <c r="T164"/>
  <c r="AB164" s="1"/>
  <c r="R164"/>
  <c r="Q164"/>
  <c r="N164"/>
  <c r="M164"/>
  <c r="AC163"/>
  <c r="AA163"/>
  <c r="Y163"/>
  <c r="X163"/>
  <c r="W163"/>
  <c r="U163"/>
  <c r="T163"/>
  <c r="AB163" s="1"/>
  <c r="R163"/>
  <c r="Q163"/>
  <c r="N163"/>
  <c r="M163"/>
  <c r="AC162"/>
  <c r="AA162"/>
  <c r="Y162"/>
  <c r="X162"/>
  <c r="W162"/>
  <c r="U162"/>
  <c r="T162"/>
  <c r="AB162" s="1"/>
  <c r="R162"/>
  <c r="Q162"/>
  <c r="N162"/>
  <c r="M162"/>
  <c r="AC161"/>
  <c r="AA161"/>
  <c r="Y161"/>
  <c r="X161"/>
  <c r="W161"/>
  <c r="U161"/>
  <c r="T161"/>
  <c r="AB161" s="1"/>
  <c r="R161"/>
  <c r="Q161"/>
  <c r="N161"/>
  <c r="M161"/>
  <c r="AC160"/>
  <c r="AA160"/>
  <c r="Y160"/>
  <c r="X160"/>
  <c r="W160"/>
  <c r="U160"/>
  <c r="T160"/>
  <c r="AB160" s="1"/>
  <c r="R160"/>
  <c r="Q160"/>
  <c r="N160"/>
  <c r="M160"/>
  <c r="AC159"/>
  <c r="AA159"/>
  <c r="Y159"/>
  <c r="X159"/>
  <c r="W159"/>
  <c r="U159"/>
  <c r="T159"/>
  <c r="AB159" s="1"/>
  <c r="R159"/>
  <c r="Q159"/>
  <c r="N159"/>
  <c r="M159"/>
  <c r="AC158"/>
  <c r="AA158"/>
  <c r="Y158"/>
  <c r="X158"/>
  <c r="W158"/>
  <c r="U158"/>
  <c r="T158"/>
  <c r="AB158" s="1"/>
  <c r="R158"/>
  <c r="Q158"/>
  <c r="N158"/>
  <c r="M158"/>
  <c r="AC157"/>
  <c r="AA157"/>
  <c r="Y157"/>
  <c r="X157"/>
  <c r="W157"/>
  <c r="U157"/>
  <c r="T157"/>
  <c r="AB157" s="1"/>
  <c r="R157"/>
  <c r="Q157"/>
  <c r="N157"/>
  <c r="M157"/>
  <c r="AC156"/>
  <c r="AA156"/>
  <c r="Y156"/>
  <c r="X156"/>
  <c r="W156"/>
  <c r="U156"/>
  <c r="T156"/>
  <c r="AB156" s="1"/>
  <c r="R156"/>
  <c r="Q156"/>
  <c r="N156"/>
  <c r="M156"/>
  <c r="AC155"/>
  <c r="AA155"/>
  <c r="Y155"/>
  <c r="X155"/>
  <c r="W155"/>
  <c r="U155"/>
  <c r="T155"/>
  <c r="AB155" s="1"/>
  <c r="R155"/>
  <c r="Q155"/>
  <c r="N155"/>
  <c r="M155"/>
  <c r="AC154"/>
  <c r="AA154"/>
  <c r="Y154"/>
  <c r="X154"/>
  <c r="W154"/>
  <c r="U154"/>
  <c r="T154"/>
  <c r="AB154" s="1"/>
  <c r="R154"/>
  <c r="Q154"/>
  <c r="N154"/>
  <c r="M154"/>
  <c r="AC153"/>
  <c r="AA153"/>
  <c r="Y153"/>
  <c r="X153"/>
  <c r="W153"/>
  <c r="U153"/>
  <c r="T153"/>
  <c r="AB153" s="1"/>
  <c r="R153"/>
  <c r="Q153"/>
  <c r="N153"/>
  <c r="M153"/>
  <c r="AC152"/>
  <c r="AA152"/>
  <c r="Y152"/>
  <c r="X152"/>
  <c r="W152"/>
  <c r="U152"/>
  <c r="T152"/>
  <c r="AB152" s="1"/>
  <c r="R152"/>
  <c r="Q152"/>
  <c r="N152"/>
  <c r="M152"/>
  <c r="AC151"/>
  <c r="AA151"/>
  <c r="Y151"/>
  <c r="X151"/>
  <c r="W151"/>
  <c r="U151"/>
  <c r="T151"/>
  <c r="AB151" s="1"/>
  <c r="R151"/>
  <c r="Q151"/>
  <c r="N151"/>
  <c r="M151"/>
  <c r="AC150"/>
  <c r="AA150"/>
  <c r="Y150"/>
  <c r="X150"/>
  <c r="W150"/>
  <c r="U150"/>
  <c r="T150"/>
  <c r="AB150" s="1"/>
  <c r="R150"/>
  <c r="Q150"/>
  <c r="N150"/>
  <c r="M150"/>
  <c r="AC149"/>
  <c r="AA149"/>
  <c r="Y149"/>
  <c r="X149"/>
  <c r="W149"/>
  <c r="U149"/>
  <c r="T149"/>
  <c r="AB149" s="1"/>
  <c r="R149"/>
  <c r="Q149"/>
  <c r="N149"/>
  <c r="M149"/>
  <c r="AC148"/>
  <c r="AA148"/>
  <c r="Y148"/>
  <c r="X148"/>
  <c r="W148"/>
  <c r="U148"/>
  <c r="T148"/>
  <c r="AB148" s="1"/>
  <c r="R148"/>
  <c r="Q148"/>
  <c r="N148"/>
  <c r="M148"/>
  <c r="AC147"/>
  <c r="AA147"/>
  <c r="Y147"/>
  <c r="X147"/>
  <c r="W147"/>
  <c r="U147"/>
  <c r="T147"/>
  <c r="AB147" s="1"/>
  <c r="R147"/>
  <c r="Q147"/>
  <c r="N147"/>
  <c r="M147"/>
  <c r="AC146"/>
  <c r="AA146"/>
  <c r="Y146"/>
  <c r="X146"/>
  <c r="W146"/>
  <c r="U146"/>
  <c r="T146"/>
  <c r="AB146" s="1"/>
  <c r="R146"/>
  <c r="Q146"/>
  <c r="N146"/>
  <c r="M146"/>
  <c r="AC145"/>
  <c r="AA145"/>
  <c r="Y145"/>
  <c r="X145"/>
  <c r="W145"/>
  <c r="U145"/>
  <c r="T145"/>
  <c r="AB145" s="1"/>
  <c r="R145"/>
  <c r="Q145"/>
  <c r="N145"/>
  <c r="M145"/>
  <c r="AC144"/>
  <c r="AA144"/>
  <c r="Y144"/>
  <c r="X144"/>
  <c r="W144"/>
  <c r="U144"/>
  <c r="T144"/>
  <c r="AB144" s="1"/>
  <c r="R144"/>
  <c r="Q144"/>
  <c r="N144"/>
  <c r="M144"/>
  <c r="AC143"/>
  <c r="AA143"/>
  <c r="Y143"/>
  <c r="X143"/>
  <c r="W143"/>
  <c r="U143"/>
  <c r="T143"/>
  <c r="AB143" s="1"/>
  <c r="R143"/>
  <c r="Q143"/>
  <c r="N143"/>
  <c r="M143"/>
  <c r="AC142"/>
  <c r="AA142"/>
  <c r="Y142"/>
  <c r="X142"/>
  <c r="W142"/>
  <c r="U142"/>
  <c r="T142"/>
  <c r="AB142" s="1"/>
  <c r="R142"/>
  <c r="Q142"/>
  <c r="N142"/>
  <c r="M142"/>
  <c r="AC141"/>
  <c r="AA141"/>
  <c r="Y141"/>
  <c r="X141"/>
  <c r="W141"/>
  <c r="U141"/>
  <c r="T141"/>
  <c r="AB141" s="1"/>
  <c r="R141"/>
  <c r="Q141"/>
  <c r="N141"/>
  <c r="M141"/>
  <c r="AC140"/>
  <c r="AA140"/>
  <c r="Y140"/>
  <c r="X140"/>
  <c r="W140"/>
  <c r="U140"/>
  <c r="T140"/>
  <c r="AB140" s="1"/>
  <c r="R140"/>
  <c r="Q140"/>
  <c r="N140"/>
  <c r="M140"/>
  <c r="AC139"/>
  <c r="AA139"/>
  <c r="Y139"/>
  <c r="X139"/>
  <c r="W139"/>
  <c r="U139"/>
  <c r="T139"/>
  <c r="AB139" s="1"/>
  <c r="R139"/>
  <c r="Q139"/>
  <c r="N139"/>
  <c r="M139"/>
  <c r="AC138"/>
  <c r="AA138"/>
  <c r="Y138"/>
  <c r="X138"/>
  <c r="W138"/>
  <c r="U138"/>
  <c r="T138"/>
  <c r="AB138" s="1"/>
  <c r="R138"/>
  <c r="Q138"/>
  <c r="N138"/>
  <c r="M138"/>
  <c r="AC137"/>
  <c r="AA137"/>
  <c r="Y137"/>
  <c r="X137"/>
  <c r="W137"/>
  <c r="U137"/>
  <c r="T137"/>
  <c r="AB137" s="1"/>
  <c r="R137"/>
  <c r="Q137"/>
  <c r="N137"/>
  <c r="M137"/>
  <c r="AC136"/>
  <c r="AA136"/>
  <c r="Y136"/>
  <c r="X136"/>
  <c r="W136"/>
  <c r="U136"/>
  <c r="T136"/>
  <c r="AB136" s="1"/>
  <c r="R136"/>
  <c r="Q136"/>
  <c r="N136"/>
  <c r="M136"/>
  <c r="AC135"/>
  <c r="AA135"/>
  <c r="Y135"/>
  <c r="X135"/>
  <c r="W135"/>
  <c r="U135"/>
  <c r="T135"/>
  <c r="AB135" s="1"/>
  <c r="R135"/>
  <c r="Q135"/>
  <c r="N135"/>
  <c r="M135"/>
  <c r="AC134"/>
  <c r="AA134"/>
  <c r="Y134"/>
  <c r="X134"/>
  <c r="W134"/>
  <c r="U134"/>
  <c r="T134"/>
  <c r="AB134" s="1"/>
  <c r="R134"/>
  <c r="Q134"/>
  <c r="N134"/>
  <c r="M134"/>
  <c r="AC133"/>
  <c r="AA133"/>
  <c r="Y133"/>
  <c r="X133"/>
  <c r="W133"/>
  <c r="U133"/>
  <c r="T133"/>
  <c r="AB133" s="1"/>
  <c r="R133"/>
  <c r="Q133"/>
  <c r="N133"/>
  <c r="M133"/>
  <c r="AC132"/>
  <c r="AA132"/>
  <c r="Y132"/>
  <c r="X132"/>
  <c r="W132"/>
  <c r="U132"/>
  <c r="T132"/>
  <c r="AB132" s="1"/>
  <c r="R132"/>
  <c r="Q132"/>
  <c r="N132"/>
  <c r="M132"/>
  <c r="AC131"/>
  <c r="AA131"/>
  <c r="Y131"/>
  <c r="X131"/>
  <c r="W131"/>
  <c r="U131"/>
  <c r="T131"/>
  <c r="AB131" s="1"/>
  <c r="R131"/>
  <c r="Q131"/>
  <c r="N131"/>
  <c r="M131"/>
  <c r="AC130"/>
  <c r="AA130"/>
  <c r="Y130"/>
  <c r="X130"/>
  <c r="W130"/>
  <c r="U130"/>
  <c r="T130"/>
  <c r="AB130" s="1"/>
  <c r="R130"/>
  <c r="Q130"/>
  <c r="N130"/>
  <c r="M130"/>
  <c r="AC129"/>
  <c r="AA129"/>
  <c r="Y129"/>
  <c r="X129"/>
  <c r="W129"/>
  <c r="U129"/>
  <c r="T129"/>
  <c r="AB129" s="1"/>
  <c r="R129"/>
  <c r="Q129"/>
  <c r="N129"/>
  <c r="M129"/>
  <c r="AC128"/>
  <c r="AA128"/>
  <c r="Y128"/>
  <c r="X128"/>
  <c r="W128"/>
  <c r="U128"/>
  <c r="T128"/>
  <c r="AB128" s="1"/>
  <c r="R128"/>
  <c r="Q128"/>
  <c r="N128"/>
  <c r="M128"/>
  <c r="AC127"/>
  <c r="AA127"/>
  <c r="Y127"/>
  <c r="X127"/>
  <c r="W127"/>
  <c r="U127"/>
  <c r="T127"/>
  <c r="AB127" s="1"/>
  <c r="R127"/>
  <c r="Q127"/>
  <c r="N127"/>
  <c r="M127"/>
  <c r="AC126"/>
  <c r="AA126"/>
  <c r="Y126"/>
  <c r="X126"/>
  <c r="W126"/>
  <c r="U126"/>
  <c r="T126"/>
  <c r="AB126" s="1"/>
  <c r="R126"/>
  <c r="Q126"/>
  <c r="N126"/>
  <c r="M126"/>
  <c r="AC125"/>
  <c r="AA125"/>
  <c r="Y125"/>
  <c r="X125"/>
  <c r="W125"/>
  <c r="U125"/>
  <c r="T125"/>
  <c r="AB125" s="1"/>
  <c r="R125"/>
  <c r="Q125"/>
  <c r="N125"/>
  <c r="M125"/>
  <c r="AC124"/>
  <c r="AA124"/>
  <c r="Y124"/>
  <c r="X124"/>
  <c r="W124"/>
  <c r="U124"/>
  <c r="T124"/>
  <c r="AB124" s="1"/>
  <c r="R124"/>
  <c r="Q124"/>
  <c r="N124"/>
  <c r="M124"/>
  <c r="AC123"/>
  <c r="AA123"/>
  <c r="Y123"/>
  <c r="X123"/>
  <c r="W123"/>
  <c r="U123"/>
  <c r="T123"/>
  <c r="AB123" s="1"/>
  <c r="R123"/>
  <c r="Q123"/>
  <c r="N123"/>
  <c r="M123"/>
  <c r="AC122"/>
  <c r="AA122"/>
  <c r="Y122"/>
  <c r="X122"/>
  <c r="W122"/>
  <c r="U122"/>
  <c r="T122"/>
  <c r="AB122" s="1"/>
  <c r="R122"/>
  <c r="Q122"/>
  <c r="N122"/>
  <c r="M122"/>
  <c r="AC121"/>
  <c r="AA121"/>
  <c r="Y121"/>
  <c r="X121"/>
  <c r="W121"/>
  <c r="U121"/>
  <c r="T121"/>
  <c r="AB121" s="1"/>
  <c r="R121"/>
  <c r="Q121"/>
  <c r="N121"/>
  <c r="M121"/>
  <c r="AC120"/>
  <c r="AA120"/>
  <c r="Y120"/>
  <c r="X120"/>
  <c r="W120"/>
  <c r="U120"/>
  <c r="T120"/>
  <c r="AB120" s="1"/>
  <c r="R120"/>
  <c r="Q120"/>
  <c r="N120"/>
  <c r="M120"/>
  <c r="AC119"/>
  <c r="AA119"/>
  <c r="Y119"/>
  <c r="X119"/>
  <c r="W119"/>
  <c r="U119"/>
  <c r="T119"/>
  <c r="AB119" s="1"/>
  <c r="R119"/>
  <c r="Q119"/>
  <c r="N119"/>
  <c r="M119"/>
  <c r="AC118"/>
  <c r="AA118"/>
  <c r="Y118"/>
  <c r="X118"/>
  <c r="W118"/>
  <c r="U118"/>
  <c r="T118"/>
  <c r="AB118" s="1"/>
  <c r="R118"/>
  <c r="Q118"/>
  <c r="N118"/>
  <c r="M118"/>
  <c r="AC117"/>
  <c r="AA117"/>
  <c r="Y117"/>
  <c r="X117"/>
  <c r="W117"/>
  <c r="U117"/>
  <c r="T117"/>
  <c r="AB117" s="1"/>
  <c r="R117"/>
  <c r="Q117"/>
  <c r="N117"/>
  <c r="M117"/>
  <c r="AC116"/>
  <c r="AA116"/>
  <c r="Y116"/>
  <c r="X116"/>
  <c r="W116"/>
  <c r="U116"/>
  <c r="T116"/>
  <c r="AB116" s="1"/>
  <c r="R116"/>
  <c r="Q116"/>
  <c r="N116"/>
  <c r="M116"/>
  <c r="AC115"/>
  <c r="AA115"/>
  <c r="Y115"/>
  <c r="X115"/>
  <c r="W115"/>
  <c r="U115"/>
  <c r="T115"/>
  <c r="AB115" s="1"/>
  <c r="R115"/>
  <c r="Q115"/>
  <c r="N115"/>
  <c r="M115"/>
  <c r="AC114"/>
  <c r="AA114"/>
  <c r="Y114"/>
  <c r="X114"/>
  <c r="W114"/>
  <c r="U114"/>
  <c r="T114"/>
  <c r="AB114" s="1"/>
  <c r="R114"/>
  <c r="Q114"/>
  <c r="N114"/>
  <c r="M114"/>
  <c r="AC113"/>
  <c r="AA113"/>
  <c r="Y113"/>
  <c r="X113"/>
  <c r="W113"/>
  <c r="U113"/>
  <c r="T113"/>
  <c r="AB113" s="1"/>
  <c r="R113"/>
  <c r="Q113"/>
  <c r="N113"/>
  <c r="M113"/>
  <c r="AC112"/>
  <c r="AA112"/>
  <c r="Y112"/>
  <c r="X112"/>
  <c r="W112"/>
  <c r="U112"/>
  <c r="T112"/>
  <c r="AB112" s="1"/>
  <c r="R112"/>
  <c r="Q112"/>
  <c r="N112"/>
  <c r="M112"/>
  <c r="AC111"/>
  <c r="AA111"/>
  <c r="Y111"/>
  <c r="X111"/>
  <c r="W111"/>
  <c r="U111"/>
  <c r="T111"/>
  <c r="AB111" s="1"/>
  <c r="R111"/>
  <c r="Q111"/>
  <c r="N111"/>
  <c r="M111"/>
  <c r="AC110"/>
  <c r="AA110"/>
  <c r="Y110"/>
  <c r="X110"/>
  <c r="W110"/>
  <c r="U110"/>
  <c r="T110"/>
  <c r="AB110" s="1"/>
  <c r="R110"/>
  <c r="Q110"/>
  <c r="N110"/>
  <c r="M110"/>
  <c r="AC109"/>
  <c r="AA109"/>
  <c r="Y109"/>
  <c r="X109"/>
  <c r="W109"/>
  <c r="U109"/>
  <c r="T109"/>
  <c r="AB109" s="1"/>
  <c r="R109"/>
  <c r="Q109"/>
  <c r="N109"/>
  <c r="M109"/>
  <c r="AC108"/>
  <c r="AA108"/>
  <c r="Y108"/>
  <c r="X108"/>
  <c r="W108"/>
  <c r="U108"/>
  <c r="T108"/>
  <c r="AB108" s="1"/>
  <c r="R108"/>
  <c r="Q108"/>
  <c r="N108"/>
  <c r="M108"/>
  <c r="AC107"/>
  <c r="AA107"/>
  <c r="Y107"/>
  <c r="X107"/>
  <c r="W107"/>
  <c r="U107"/>
  <c r="T107"/>
  <c r="AB107" s="1"/>
  <c r="R107"/>
  <c r="Q107"/>
  <c r="N107"/>
  <c r="M107"/>
  <c r="AC106"/>
  <c r="AA106"/>
  <c r="Y106"/>
  <c r="X106"/>
  <c r="W106"/>
  <c r="U106"/>
  <c r="T106"/>
  <c r="AB106" s="1"/>
  <c r="R106"/>
  <c r="Q106"/>
  <c r="N106"/>
  <c r="M106"/>
  <c r="AC105"/>
  <c r="AA105"/>
  <c r="Y105"/>
  <c r="X105"/>
  <c r="W105"/>
  <c r="U105"/>
  <c r="T105"/>
  <c r="AB105" s="1"/>
  <c r="R105"/>
  <c r="Q105"/>
  <c r="N105"/>
  <c r="M105"/>
  <c r="AC104"/>
  <c r="AA104"/>
  <c r="Y104"/>
  <c r="X104"/>
  <c r="W104"/>
  <c r="U104"/>
  <c r="T104"/>
  <c r="AB104" s="1"/>
  <c r="R104"/>
  <c r="Q104"/>
  <c r="N104"/>
  <c r="M104"/>
  <c r="AC103"/>
  <c r="AA103"/>
  <c r="Y103"/>
  <c r="X103"/>
  <c r="W103"/>
  <c r="U103"/>
  <c r="T103"/>
  <c r="AB103" s="1"/>
  <c r="R103"/>
  <c r="Q103"/>
  <c r="N103"/>
  <c r="M103"/>
  <c r="AC102"/>
  <c r="AA102"/>
  <c r="Y102"/>
  <c r="X102"/>
  <c r="W102"/>
  <c r="U102"/>
  <c r="T102"/>
  <c r="AB102" s="1"/>
  <c r="R102"/>
  <c r="Q102"/>
  <c r="N102"/>
  <c r="M102"/>
  <c r="AC101"/>
  <c r="AA101"/>
  <c r="Y101"/>
  <c r="X101"/>
  <c r="W101"/>
  <c r="U101"/>
  <c r="T101"/>
  <c r="AB101" s="1"/>
  <c r="R101"/>
  <c r="Q101"/>
  <c r="N101"/>
  <c r="M101"/>
  <c r="AC100"/>
  <c r="AA100"/>
  <c r="Y100"/>
  <c r="X100"/>
  <c r="W100"/>
  <c r="U100"/>
  <c r="T100"/>
  <c r="AB100" s="1"/>
  <c r="R100"/>
  <c r="Q100"/>
  <c r="N100"/>
  <c r="M100"/>
  <c r="AC99"/>
  <c r="AA99"/>
  <c r="Y99"/>
  <c r="X99"/>
  <c r="W99"/>
  <c r="U99"/>
  <c r="T99"/>
  <c r="AB99" s="1"/>
  <c r="R99"/>
  <c r="Q99"/>
  <c r="N99"/>
  <c r="M99"/>
  <c r="AC98"/>
  <c r="AA98"/>
  <c r="Y98"/>
  <c r="X98"/>
  <c r="W98"/>
  <c r="U98"/>
  <c r="T98"/>
  <c r="AB98" s="1"/>
  <c r="R98"/>
  <c r="Q98"/>
  <c r="N98"/>
  <c r="M98"/>
  <c r="AC97"/>
  <c r="AA97"/>
  <c r="Y97"/>
  <c r="X97"/>
  <c r="W97"/>
  <c r="U97"/>
  <c r="T97"/>
  <c r="AB97" s="1"/>
  <c r="R97"/>
  <c r="Q97"/>
  <c r="N97"/>
  <c r="M97"/>
  <c r="AC96"/>
  <c r="AA96"/>
  <c r="Y96"/>
  <c r="X96"/>
  <c r="W96"/>
  <c r="U96"/>
  <c r="T96"/>
  <c r="AB96" s="1"/>
  <c r="R96"/>
  <c r="Q96"/>
  <c r="N96"/>
  <c r="M96"/>
  <c r="AC95"/>
  <c r="AA95"/>
  <c r="Y95"/>
  <c r="X95"/>
  <c r="W95"/>
  <c r="U95"/>
  <c r="T95"/>
  <c r="AB95" s="1"/>
  <c r="R95"/>
  <c r="Q95"/>
  <c r="N95"/>
  <c r="M95"/>
  <c r="AC94"/>
  <c r="AA94"/>
  <c r="Y94"/>
  <c r="X94"/>
  <c r="W94"/>
  <c r="U94"/>
  <c r="T94"/>
  <c r="AB94" s="1"/>
  <c r="R94"/>
  <c r="Q94"/>
  <c r="N94"/>
  <c r="M94"/>
  <c r="AC93"/>
  <c r="AA93"/>
  <c r="Y93"/>
  <c r="X93"/>
  <c r="W93"/>
  <c r="U93"/>
  <c r="T93"/>
  <c r="AB93" s="1"/>
  <c r="R93"/>
  <c r="Q93"/>
  <c r="N93"/>
  <c r="M93"/>
  <c r="AC92"/>
  <c r="AA92"/>
  <c r="Y92"/>
  <c r="X92"/>
  <c r="W92"/>
  <c r="U92"/>
  <c r="T92"/>
  <c r="AB92" s="1"/>
  <c r="R92"/>
  <c r="Q92"/>
  <c r="N92"/>
  <c r="M92"/>
  <c r="AC91"/>
  <c r="AA91"/>
  <c r="Y91"/>
  <c r="X91"/>
  <c r="W91"/>
  <c r="U91"/>
  <c r="T91"/>
  <c r="AB91" s="1"/>
  <c r="R91"/>
  <c r="Q91"/>
  <c r="N91"/>
  <c r="M91"/>
  <c r="AC90"/>
  <c r="AA90"/>
  <c r="Y90"/>
  <c r="X90"/>
  <c r="W90"/>
  <c r="U90"/>
  <c r="T90"/>
  <c r="AB90" s="1"/>
  <c r="R90"/>
  <c r="Q90"/>
  <c r="N90"/>
  <c r="M90"/>
  <c r="AC89"/>
  <c r="AA89"/>
  <c r="Y89"/>
  <c r="X89"/>
  <c r="W89"/>
  <c r="U89"/>
  <c r="T89"/>
  <c r="AB89" s="1"/>
  <c r="R89"/>
  <c r="Q89"/>
  <c r="N89"/>
  <c r="M89"/>
  <c r="AC88"/>
  <c r="AA88"/>
  <c r="Y88"/>
  <c r="X88"/>
  <c r="W88"/>
  <c r="U88"/>
  <c r="T88"/>
  <c r="AB88" s="1"/>
  <c r="R88"/>
  <c r="Q88"/>
  <c r="N88"/>
  <c r="M88"/>
  <c r="AC87"/>
  <c r="AA87"/>
  <c r="Y87"/>
  <c r="X87"/>
  <c r="W87"/>
  <c r="U87"/>
  <c r="T87"/>
  <c r="AB87" s="1"/>
  <c r="R87"/>
  <c r="Q87"/>
  <c r="N87"/>
  <c r="M87"/>
  <c r="AC86"/>
  <c r="AA86"/>
  <c r="Y86"/>
  <c r="X86"/>
  <c r="W86"/>
  <c r="U86"/>
  <c r="T86"/>
  <c r="AB86" s="1"/>
  <c r="R86"/>
  <c r="Q86"/>
  <c r="N86"/>
  <c r="M86"/>
  <c r="AC85"/>
  <c r="AA85"/>
  <c r="Y85"/>
  <c r="X85"/>
  <c r="W85"/>
  <c r="U85"/>
  <c r="T85"/>
  <c r="AB85" s="1"/>
  <c r="R85"/>
  <c r="Q85"/>
  <c r="N85"/>
  <c r="M85"/>
  <c r="AC84"/>
  <c r="AA84"/>
  <c r="Y84"/>
  <c r="X84"/>
  <c r="W84"/>
  <c r="U84"/>
  <c r="T84"/>
  <c r="AB84" s="1"/>
  <c r="R84"/>
  <c r="Q84"/>
  <c r="N84"/>
  <c r="M84"/>
  <c r="AC83"/>
  <c r="AA83"/>
  <c r="Y83"/>
  <c r="X83"/>
  <c r="W83"/>
  <c r="U83"/>
  <c r="T83"/>
  <c r="AB83" s="1"/>
  <c r="R83"/>
  <c r="Q83"/>
  <c r="N83"/>
  <c r="M83"/>
  <c r="AC82"/>
  <c r="AA82"/>
  <c r="Y82"/>
  <c r="X82"/>
  <c r="W82"/>
  <c r="U82"/>
  <c r="T82"/>
  <c r="AB82" s="1"/>
  <c r="R82"/>
  <c r="Q82"/>
  <c r="N82"/>
  <c r="M82"/>
  <c r="AC81"/>
  <c r="AA81"/>
  <c r="Y81"/>
  <c r="X81"/>
  <c r="W81"/>
  <c r="U81"/>
  <c r="T81"/>
  <c r="AB81" s="1"/>
  <c r="R81"/>
  <c r="Q81"/>
  <c r="N81"/>
  <c r="M81"/>
  <c r="AC80"/>
  <c r="AA80"/>
  <c r="Y80"/>
  <c r="X80"/>
  <c r="W80"/>
  <c r="U80"/>
  <c r="T80"/>
  <c r="AB80" s="1"/>
  <c r="R80"/>
  <c r="Q80"/>
  <c r="N80"/>
  <c r="M80"/>
  <c r="AC79"/>
  <c r="AA79"/>
  <c r="Y79"/>
  <c r="X79"/>
  <c r="W79"/>
  <c r="U79"/>
  <c r="T79"/>
  <c r="AB79" s="1"/>
  <c r="R79"/>
  <c r="Q79"/>
  <c r="N79"/>
  <c r="M79"/>
  <c r="AC78"/>
  <c r="AA78"/>
  <c r="Y78"/>
  <c r="X78"/>
  <c r="W78"/>
  <c r="U78"/>
  <c r="T78"/>
  <c r="AB78" s="1"/>
  <c r="R78"/>
  <c r="Q78"/>
  <c r="N78"/>
  <c r="M78"/>
  <c r="AC77"/>
  <c r="AA77"/>
  <c r="Y77"/>
  <c r="X77"/>
  <c r="W77"/>
  <c r="U77"/>
  <c r="T77"/>
  <c r="AB77" s="1"/>
  <c r="R77"/>
  <c r="Q77"/>
  <c r="N77"/>
  <c r="M77"/>
  <c r="AC76"/>
  <c r="AA76"/>
  <c r="Y76"/>
  <c r="X76"/>
  <c r="W76"/>
  <c r="U76"/>
  <c r="T76"/>
  <c r="AB76" s="1"/>
  <c r="R76"/>
  <c r="Q76"/>
  <c r="N76"/>
  <c r="M76"/>
  <c r="AC75"/>
  <c r="AA75"/>
  <c r="Y75"/>
  <c r="X75"/>
  <c r="W75"/>
  <c r="U75"/>
  <c r="T75"/>
  <c r="AB75" s="1"/>
  <c r="R75"/>
  <c r="Q75"/>
  <c r="N75"/>
  <c r="M75"/>
  <c r="AC74"/>
  <c r="AA74"/>
  <c r="Y74"/>
  <c r="X74"/>
  <c r="W74"/>
  <c r="U74"/>
  <c r="T74"/>
  <c r="AB74" s="1"/>
  <c r="R74"/>
  <c r="Q74"/>
  <c r="N74"/>
  <c r="M74"/>
  <c r="AC73"/>
  <c r="AA73"/>
  <c r="Y73"/>
  <c r="X73"/>
  <c r="W73"/>
  <c r="U73"/>
  <c r="T73"/>
  <c r="AB73" s="1"/>
  <c r="R73"/>
  <c r="Q73"/>
  <c r="N73"/>
  <c r="M73"/>
  <c r="AC72"/>
  <c r="AA72"/>
  <c r="Y72"/>
  <c r="X72"/>
  <c r="W72"/>
  <c r="U72"/>
  <c r="T72"/>
  <c r="AB72" s="1"/>
  <c r="R72"/>
  <c r="Q72"/>
  <c r="N72"/>
  <c r="M72"/>
  <c r="AC71"/>
  <c r="AA71"/>
  <c r="Y71"/>
  <c r="X71"/>
  <c r="W71"/>
  <c r="U71"/>
  <c r="T71"/>
  <c r="AB71" s="1"/>
  <c r="R71"/>
  <c r="Q71"/>
  <c r="N71"/>
  <c r="M71"/>
  <c r="AC70"/>
  <c r="AA70"/>
  <c r="Y70"/>
  <c r="X70"/>
  <c r="W70"/>
  <c r="U70"/>
  <c r="T70"/>
  <c r="AB70" s="1"/>
  <c r="R70"/>
  <c r="Q70"/>
  <c r="N70"/>
  <c r="M70"/>
  <c r="AC69"/>
  <c r="AA69"/>
  <c r="Y69"/>
  <c r="X69"/>
  <c r="W69"/>
  <c r="U69"/>
  <c r="T69"/>
  <c r="AB69" s="1"/>
  <c r="R69"/>
  <c r="Q69"/>
  <c r="N69"/>
  <c r="M69"/>
  <c r="AC68"/>
  <c r="AA68"/>
  <c r="Y68"/>
  <c r="X68"/>
  <c r="W68"/>
  <c r="U68"/>
  <c r="T68"/>
  <c r="AB68" s="1"/>
  <c r="R68"/>
  <c r="Q68"/>
  <c r="N68"/>
  <c r="M68"/>
  <c r="AC67"/>
  <c r="AA67"/>
  <c r="Y67"/>
  <c r="X67"/>
  <c r="W67"/>
  <c r="U67"/>
  <c r="T67"/>
  <c r="AB67" s="1"/>
  <c r="R67"/>
  <c r="Q67"/>
  <c r="N67"/>
  <c r="M67"/>
  <c r="AC66"/>
  <c r="AA66"/>
  <c r="Y66"/>
  <c r="X66"/>
  <c r="W66"/>
  <c r="U66"/>
  <c r="T66"/>
  <c r="AB66" s="1"/>
  <c r="R66"/>
  <c r="Q66"/>
  <c r="N66"/>
  <c r="M66"/>
  <c r="AC65"/>
  <c r="AA65"/>
  <c r="Y65"/>
  <c r="X65"/>
  <c r="W65"/>
  <c r="U65"/>
  <c r="T65"/>
  <c r="AB65" s="1"/>
  <c r="R65"/>
  <c r="Q65"/>
  <c r="N65"/>
  <c r="M65"/>
  <c r="AC64"/>
  <c r="AA64"/>
  <c r="Y64"/>
  <c r="X64"/>
  <c r="W64"/>
  <c r="U64"/>
  <c r="T64"/>
  <c r="AB64" s="1"/>
  <c r="R64"/>
  <c r="Q64"/>
  <c r="N64"/>
  <c r="M64"/>
  <c r="AC63"/>
  <c r="AA63"/>
  <c r="Y63"/>
  <c r="X63"/>
  <c r="W63"/>
  <c r="U63"/>
  <c r="T63"/>
  <c r="AB63" s="1"/>
  <c r="R63"/>
  <c r="Q63"/>
  <c r="N63"/>
  <c r="M63"/>
  <c r="AC62"/>
  <c r="AA62"/>
  <c r="Y62"/>
  <c r="X62"/>
  <c r="W62"/>
  <c r="U62"/>
  <c r="T62"/>
  <c r="AB62" s="1"/>
  <c r="R62"/>
  <c r="Q62"/>
  <c r="N62"/>
  <c r="M62"/>
  <c r="AC61"/>
  <c r="AA61"/>
  <c r="Y61"/>
  <c r="X61"/>
  <c r="W61"/>
  <c r="U61"/>
  <c r="T61"/>
  <c r="AB61" s="1"/>
  <c r="R61"/>
  <c r="Q61"/>
  <c r="N61"/>
  <c r="M61"/>
  <c r="AC60"/>
  <c r="AA60"/>
  <c r="Y60"/>
  <c r="X60"/>
  <c r="W60"/>
  <c r="U60"/>
  <c r="T60"/>
  <c r="AB60" s="1"/>
  <c r="R60"/>
  <c r="Q60"/>
  <c r="N60"/>
  <c r="M60"/>
  <c r="AC59"/>
  <c r="AA59"/>
  <c r="Y59"/>
  <c r="X59"/>
  <c r="W59"/>
  <c r="U59"/>
  <c r="T59"/>
  <c r="AB59" s="1"/>
  <c r="R59"/>
  <c r="Q59"/>
  <c r="N59"/>
  <c r="M59"/>
  <c r="AC58"/>
  <c r="AA58"/>
  <c r="Y58"/>
  <c r="X58"/>
  <c r="W58"/>
  <c r="U58"/>
  <c r="T58"/>
  <c r="AB58" s="1"/>
  <c r="R58"/>
  <c r="Q58"/>
  <c r="N58"/>
  <c r="M58"/>
  <c r="AC57"/>
  <c r="AA57"/>
  <c r="Y57"/>
  <c r="X57"/>
  <c r="W57"/>
  <c r="U57"/>
  <c r="T57"/>
  <c r="AB57" s="1"/>
  <c r="R57"/>
  <c r="Q57"/>
  <c r="N57"/>
  <c r="M57"/>
  <c r="AC56"/>
  <c r="AA56"/>
  <c r="Y56"/>
  <c r="X56"/>
  <c r="W56"/>
  <c r="U56"/>
  <c r="T56"/>
  <c r="AB56" s="1"/>
  <c r="R56"/>
  <c r="Q56"/>
  <c r="N56"/>
  <c r="M56"/>
  <c r="AC55"/>
  <c r="AA55"/>
  <c r="Y55"/>
  <c r="X55"/>
  <c r="W55"/>
  <c r="U55"/>
  <c r="T55"/>
  <c r="AB55" s="1"/>
  <c r="R55"/>
  <c r="Q55"/>
  <c r="N55"/>
  <c r="M55"/>
  <c r="AC54"/>
  <c r="AA54"/>
  <c r="Y54"/>
  <c r="X54"/>
  <c r="W54"/>
  <c r="U54"/>
  <c r="T54"/>
  <c r="AB54" s="1"/>
  <c r="R54"/>
  <c r="Q54"/>
  <c r="N54"/>
  <c r="M54"/>
  <c r="AC53"/>
  <c r="AA53"/>
  <c r="Y53"/>
  <c r="X53"/>
  <c r="W53"/>
  <c r="U53"/>
  <c r="T53"/>
  <c r="AB53" s="1"/>
  <c r="R53"/>
  <c r="Q53"/>
  <c r="N53"/>
  <c r="M53"/>
  <c r="AC52"/>
  <c r="AA52"/>
  <c r="Y52"/>
  <c r="X52"/>
  <c r="W52"/>
  <c r="U52"/>
  <c r="T52"/>
  <c r="AB52" s="1"/>
  <c r="R52"/>
  <c r="Q52"/>
  <c r="N52"/>
  <c r="M52"/>
  <c r="AC51"/>
  <c r="AA51"/>
  <c r="Y51"/>
  <c r="X51"/>
  <c r="W51"/>
  <c r="U51"/>
  <c r="T51"/>
  <c r="AB51" s="1"/>
  <c r="R51"/>
  <c r="Q51"/>
  <c r="N51"/>
  <c r="M51"/>
  <c r="AC50"/>
  <c r="AA50"/>
  <c r="Y50"/>
  <c r="X50"/>
  <c r="W50"/>
  <c r="U50"/>
  <c r="T50"/>
  <c r="AB50" s="1"/>
  <c r="R50"/>
  <c r="Q50"/>
  <c r="N50"/>
  <c r="M50"/>
  <c r="AC49"/>
  <c r="AA49"/>
  <c r="Y49"/>
  <c r="X49"/>
  <c r="W49"/>
  <c r="U49"/>
  <c r="T49"/>
  <c r="AB49" s="1"/>
  <c r="R49"/>
  <c r="Q49"/>
  <c r="N49"/>
  <c r="M49"/>
  <c r="AC48"/>
  <c r="AA48"/>
  <c r="Y48"/>
  <c r="X48"/>
  <c r="W48"/>
  <c r="U48"/>
  <c r="T48"/>
  <c r="AB48" s="1"/>
  <c r="R48"/>
  <c r="Q48"/>
  <c r="N48"/>
  <c r="M48"/>
  <c r="AC47"/>
  <c r="AA47"/>
  <c r="Y47"/>
  <c r="X47"/>
  <c r="W47"/>
  <c r="U47"/>
  <c r="T47"/>
  <c r="AB47" s="1"/>
  <c r="R47"/>
  <c r="Q47"/>
  <c r="N47"/>
  <c r="M47"/>
  <c r="AC46"/>
  <c r="AA46"/>
  <c r="Y46"/>
  <c r="X46"/>
  <c r="W46"/>
  <c r="U46"/>
  <c r="T46"/>
  <c r="AB46" s="1"/>
  <c r="R46"/>
  <c r="Q46"/>
  <c r="N46"/>
  <c r="M46"/>
  <c r="AC45"/>
  <c r="AA45"/>
  <c r="Y45"/>
  <c r="X45"/>
  <c r="W45"/>
  <c r="U45"/>
  <c r="T45"/>
  <c r="AB45" s="1"/>
  <c r="R45"/>
  <c r="Q45"/>
  <c r="N45"/>
  <c r="M45"/>
  <c r="AC44"/>
  <c r="AA44"/>
  <c r="Y44"/>
  <c r="X44"/>
  <c r="W44"/>
  <c r="U44"/>
  <c r="T44"/>
  <c r="AB44" s="1"/>
  <c r="R44"/>
  <c r="Q44"/>
  <c r="N44"/>
  <c r="M44"/>
  <c r="AC43"/>
  <c r="AA43"/>
  <c r="Y43"/>
  <c r="X43"/>
  <c r="W43"/>
  <c r="U43"/>
  <c r="T43"/>
  <c r="AB43" s="1"/>
  <c r="R43"/>
  <c r="Q43"/>
  <c r="N43"/>
  <c r="M43"/>
  <c r="AC42"/>
  <c r="AA42"/>
  <c r="Y42"/>
  <c r="X42"/>
  <c r="W42"/>
  <c r="U42"/>
  <c r="T42"/>
  <c r="AB42" s="1"/>
  <c r="R42"/>
  <c r="Q42"/>
  <c r="N42"/>
  <c r="M42"/>
  <c r="AC41"/>
  <c r="AA41"/>
  <c r="Y41"/>
  <c r="X41"/>
  <c r="W41"/>
  <c r="U41"/>
  <c r="T41"/>
  <c r="AB41" s="1"/>
  <c r="R41"/>
  <c r="Q41"/>
  <c r="N41"/>
  <c r="M41"/>
  <c r="AC40"/>
  <c r="AA40"/>
  <c r="Y40"/>
  <c r="X40"/>
  <c r="W40"/>
  <c r="U40"/>
  <c r="T40"/>
  <c r="AB40" s="1"/>
  <c r="R40"/>
  <c r="Q40"/>
  <c r="N40"/>
  <c r="M40"/>
  <c r="B40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AC39"/>
  <c r="AA39"/>
  <c r="Y39"/>
  <c r="X39"/>
  <c r="W39"/>
  <c r="U39"/>
  <c r="T39"/>
  <c r="R39"/>
  <c r="Q39"/>
  <c r="N39"/>
  <c r="M39"/>
  <c r="V37"/>
  <c r="S37"/>
  <c r="AC36"/>
  <c r="AA36"/>
  <c r="Y36"/>
  <c r="X36"/>
  <c r="W36"/>
  <c r="U36"/>
  <c r="T36"/>
  <c r="AB36" s="1"/>
  <c r="R36"/>
  <c r="Q36"/>
  <c r="N36"/>
  <c r="M36"/>
  <c r="AC34"/>
  <c r="AA34"/>
  <c r="Y34"/>
  <c r="X34"/>
  <c r="W34"/>
  <c r="U34"/>
  <c r="T34"/>
  <c r="AB34" s="1"/>
  <c r="R34"/>
  <c r="Q34"/>
  <c r="N34"/>
  <c r="M34"/>
  <c r="AC33"/>
  <c r="AA33"/>
  <c r="Y33"/>
  <c r="X33"/>
  <c r="W33"/>
  <c r="U33"/>
  <c r="T33"/>
  <c r="AB33" s="1"/>
  <c r="R33"/>
  <c r="Q33"/>
  <c r="N33"/>
  <c r="M33"/>
  <c r="AC32"/>
  <c r="AA32"/>
  <c r="Y32"/>
  <c r="X32"/>
  <c r="W32"/>
  <c r="U32"/>
  <c r="T32"/>
  <c r="AB32" s="1"/>
  <c r="R32"/>
  <c r="Q32"/>
  <c r="N32"/>
  <c r="M32"/>
  <c r="AC31"/>
  <c r="AA31"/>
  <c r="Y31"/>
  <c r="X31"/>
  <c r="W31"/>
  <c r="U31"/>
  <c r="T31"/>
  <c r="AB31" s="1"/>
  <c r="R31"/>
  <c r="Q31"/>
  <c r="N31"/>
  <c r="M31"/>
  <c r="AC30"/>
  <c r="AA30"/>
  <c r="Y30"/>
  <c r="X30"/>
  <c r="W30"/>
  <c r="U30"/>
  <c r="T30"/>
  <c r="AB30" s="1"/>
  <c r="R30"/>
  <c r="Q30"/>
  <c r="N30"/>
  <c r="M30"/>
  <c r="AC29"/>
  <c r="AA29"/>
  <c r="Y29"/>
  <c r="X29"/>
  <c r="W29"/>
  <c r="U29"/>
  <c r="T29"/>
  <c r="AB29" s="1"/>
  <c r="R29"/>
  <c r="Q29"/>
  <c r="N29"/>
  <c r="M29"/>
  <c r="AC28"/>
  <c r="AA28"/>
  <c r="Y28"/>
  <c r="X28"/>
  <c r="W28"/>
  <c r="U28"/>
  <c r="T28"/>
  <c r="AB28" s="1"/>
  <c r="R28"/>
  <c r="Q28"/>
  <c r="N28"/>
  <c r="M28"/>
  <c r="AC27"/>
  <c r="AA27"/>
  <c r="Y27"/>
  <c r="X27"/>
  <c r="W27"/>
  <c r="U27"/>
  <c r="T27"/>
  <c r="AB27" s="1"/>
  <c r="R27"/>
  <c r="Q27"/>
  <c r="N27"/>
  <c r="M27"/>
  <c r="AC26"/>
  <c r="AA26"/>
  <c r="Y26"/>
  <c r="X26"/>
  <c r="W26"/>
  <c r="U26"/>
  <c r="T26"/>
  <c r="AB26" s="1"/>
  <c r="R26"/>
  <c r="Q26"/>
  <c r="N26"/>
  <c r="M26"/>
  <c r="AC25"/>
  <c r="AA25"/>
  <c r="Y25"/>
  <c r="X25"/>
  <c r="W25"/>
  <c r="U25"/>
  <c r="T25"/>
  <c r="AB25" s="1"/>
  <c r="R25"/>
  <c r="Q25"/>
  <c r="N25"/>
  <c r="M25"/>
  <c r="AC24"/>
  <c r="AA24"/>
  <c r="Y24"/>
  <c r="X24"/>
  <c r="W24"/>
  <c r="U24"/>
  <c r="T24"/>
  <c r="AB24" s="1"/>
  <c r="R24"/>
  <c r="Q24"/>
  <c r="N24"/>
  <c r="M24"/>
  <c r="AC23"/>
  <c r="AA23"/>
  <c r="Y23"/>
  <c r="X23"/>
  <c r="W23"/>
  <c r="U23"/>
  <c r="T23"/>
  <c r="AB23" s="1"/>
  <c r="R23"/>
  <c r="Q23"/>
  <c r="N23"/>
  <c r="M23"/>
  <c r="AC22"/>
  <c r="AA22"/>
  <c r="Y22"/>
  <c r="X22"/>
  <c r="W22"/>
  <c r="U22"/>
  <c r="T22"/>
  <c r="AB22" s="1"/>
  <c r="R22"/>
  <c r="Q22"/>
  <c r="N22"/>
  <c r="M22"/>
  <c r="AC21"/>
  <c r="AA21"/>
  <c r="Y21"/>
  <c r="X21"/>
  <c r="W21"/>
  <c r="U21"/>
  <c r="T21"/>
  <c r="AB21" s="1"/>
  <c r="R21"/>
  <c r="Q21"/>
  <c r="N21"/>
  <c r="M21"/>
  <c r="AC20"/>
  <c r="AA20"/>
  <c r="Y20"/>
  <c r="X20"/>
  <c r="W20"/>
  <c r="U20"/>
  <c r="T20"/>
  <c r="AB20" s="1"/>
  <c r="R20"/>
  <c r="Q20"/>
  <c r="N20"/>
  <c r="M20"/>
  <c r="AC19"/>
  <c r="AA19"/>
  <c r="Y19"/>
  <c r="X19"/>
  <c r="W19"/>
  <c r="U19"/>
  <c r="T19"/>
  <c r="AB19" s="1"/>
  <c r="R19"/>
  <c r="Q19"/>
  <c r="N19"/>
  <c r="M19"/>
  <c r="AC18"/>
  <c r="AA18"/>
  <c r="Y18"/>
  <c r="X18"/>
  <c r="W18"/>
  <c r="U18"/>
  <c r="T18"/>
  <c r="AB18" s="1"/>
  <c r="R18"/>
  <c r="Q18"/>
  <c r="N18"/>
  <c r="M18"/>
  <c r="AC17"/>
  <c r="AA17"/>
  <c r="Y17"/>
  <c r="X17"/>
  <c r="W17"/>
  <c r="U17"/>
  <c r="T17"/>
  <c r="AB17" s="1"/>
  <c r="R17"/>
  <c r="Q17"/>
  <c r="N17"/>
  <c r="M17"/>
  <c r="AC16"/>
  <c r="AA16"/>
  <c r="Y16"/>
  <c r="X16"/>
  <c r="W16"/>
  <c r="U16"/>
  <c r="T16"/>
  <c r="AB16" s="1"/>
  <c r="R16"/>
  <c r="Q16"/>
  <c r="N16"/>
  <c r="M16"/>
  <c r="AC15"/>
  <c r="AA15"/>
  <c r="Y15"/>
  <c r="X15"/>
  <c r="W15"/>
  <c r="U15"/>
  <c r="T15"/>
  <c r="AB15" s="1"/>
  <c r="R15"/>
  <c r="Q15"/>
  <c r="N15"/>
  <c r="M15"/>
  <c r="AC14"/>
  <c r="AA14"/>
  <c r="Y14"/>
  <c r="X14"/>
  <c r="W14"/>
  <c r="U14"/>
  <c r="T14"/>
  <c r="AB14" s="1"/>
  <c r="R14"/>
  <c r="Q14"/>
  <c r="N14"/>
  <c r="M14"/>
  <c r="B14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AC13"/>
  <c r="AC37" s="1"/>
  <c r="AA13"/>
  <c r="AA37" s="1"/>
  <c r="Y13"/>
  <c r="Y37" s="1"/>
  <c r="X13"/>
  <c r="X37" s="1"/>
  <c r="W13"/>
  <c r="W37" s="1"/>
  <c r="U13"/>
  <c r="U37" s="1"/>
  <c r="T13"/>
  <c r="T37" s="1"/>
  <c r="R13"/>
  <c r="R37" s="1"/>
  <c r="P37" s="1"/>
  <c r="Q13"/>
  <c r="N13"/>
  <c r="N37" s="1"/>
  <c r="M13"/>
  <c r="M37" s="1"/>
  <c r="H9"/>
  <c r="D1"/>
  <c r="A324" i="4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8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14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24" i="40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8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14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F39" i="39"/>
  <c r="F25"/>
  <c r="H25" s="1"/>
  <c r="F15"/>
  <c r="F14" i="38"/>
  <c r="F16" s="1"/>
  <c r="H16" s="1"/>
  <c r="A328" i="37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5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14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26" i="36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5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14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B403" i="42" l="1"/>
  <c r="B437" i="45"/>
  <c r="B442" i="43"/>
  <c r="Y307" i="42"/>
  <c r="A149" i="44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M403" i="42"/>
  <c r="A34" i="44"/>
  <c r="A35" s="1"/>
  <c r="A36" s="1"/>
  <c r="A37" s="1"/>
  <c r="A38" s="1"/>
  <c r="A39" s="1"/>
  <c r="A40" s="1"/>
  <c r="N403" i="42"/>
  <c r="AH313" i="44"/>
  <c r="AM41"/>
  <c r="U409"/>
  <c r="AB334" i="43"/>
  <c r="M15" i="44"/>
  <c r="V15" i="43"/>
  <c r="W57"/>
  <c r="AB57"/>
  <c r="M41" i="44"/>
  <c r="N311"/>
  <c r="X54" i="45"/>
  <c r="T403" i="42"/>
  <c r="W403"/>
  <c r="Y403"/>
  <c r="AC403"/>
  <c r="V403"/>
  <c r="H14" i="38"/>
  <c r="H39" i="39"/>
  <c r="AB13" i="42"/>
  <c r="AB37" s="1"/>
  <c r="AB39"/>
  <c r="R403"/>
  <c r="U403"/>
  <c r="X403"/>
  <c r="AA403"/>
  <c r="S403"/>
  <c r="W409" i="44"/>
  <c r="AB308" i="42"/>
  <c r="AB400" s="1"/>
  <c r="AK13" i="44"/>
  <c r="AK41" s="1"/>
  <c r="M311"/>
  <c r="AK44"/>
  <c r="AK311" s="1"/>
  <c r="AM311"/>
  <c r="AB409"/>
  <c r="AD409"/>
  <c r="AG409"/>
  <c r="AJ409"/>
  <c r="AE409"/>
  <c r="AC409"/>
  <c r="AF409"/>
  <c r="AH409"/>
  <c r="AK314"/>
  <c r="AK406" s="1"/>
  <c r="AM406"/>
  <c r="A409" l="1"/>
  <c r="X404" i="42"/>
  <c r="AK409" i="44"/>
  <c r="AG410"/>
  <c r="AB403" i="42"/>
  <c r="AM409" i="44"/>
  <c r="DM51" i="1" l="1"/>
  <c r="DL51"/>
  <c r="DK51"/>
  <c r="DJ51"/>
  <c r="CH51"/>
  <c r="CA51"/>
  <c r="L47" i="42" s="1"/>
  <c r="BD51" i="1"/>
  <c r="AQ51"/>
  <c r="AO51"/>
  <c r="T75" i="43" s="1"/>
  <c r="AC51" i="1"/>
  <c r="T51"/>
  <c r="P76" i="52" s="1"/>
  <c r="Q51" i="1"/>
  <c r="DM252"/>
  <c r="DL252"/>
  <c r="DK252"/>
  <c r="DJ252"/>
  <c r="CH252"/>
  <c r="CA252"/>
  <c r="L248" i="42" s="1"/>
  <c r="BD252" i="1"/>
  <c r="AQ252"/>
  <c r="AO252"/>
  <c r="T276" i="43" s="1"/>
  <c r="AC252" i="1"/>
  <c r="T252"/>
  <c r="P279" i="52" s="1"/>
  <c r="Q252" i="1"/>
  <c r="DM194"/>
  <c r="DL194"/>
  <c r="DK194"/>
  <c r="DJ194"/>
  <c r="CH194"/>
  <c r="CA194"/>
  <c r="L190" i="42" s="1"/>
  <c r="BF194" i="1"/>
  <c r="BD194"/>
  <c r="AQ194"/>
  <c r="AO194"/>
  <c r="T218" i="43" s="1"/>
  <c r="AC194" i="1"/>
  <c r="T194"/>
  <c r="P220" i="52" s="1"/>
  <c r="Q194" i="1"/>
  <c r="V279" i="52" l="1"/>
  <c r="U276" i="43"/>
  <c r="V76" i="52"/>
  <c r="U75" i="43"/>
  <c r="T220" i="52"/>
  <c r="R215" i="45"/>
  <c r="T279" i="52"/>
  <c r="R273" i="45"/>
  <c r="T76" i="52"/>
  <c r="R72" i="45"/>
  <c r="V220" i="52"/>
  <c r="U218" i="43"/>
  <c r="CU252" i="1"/>
  <c r="CU194"/>
  <c r="CU51"/>
  <c r="AT51"/>
  <c r="X76" i="52" s="1"/>
  <c r="AT194" i="1"/>
  <c r="X220" i="52" s="1"/>
  <c r="CP194" i="1"/>
  <c r="AT252"/>
  <c r="X279" i="52" s="1"/>
  <c r="V51" i="1"/>
  <c r="V252"/>
  <c r="V194"/>
  <c r="CQ51" l="1"/>
  <c r="CQ252"/>
  <c r="CQ194"/>
  <c r="W51"/>
  <c r="W252"/>
  <c r="W194"/>
  <c r="P75" i="43" l="1"/>
  <c r="O72" i="45"/>
  <c r="P276" i="43"/>
  <c r="O273" i="45"/>
  <c r="P218" i="43"/>
  <c r="O215" i="45"/>
  <c r="DM309" i="1"/>
  <c r="DL309"/>
  <c r="DK309"/>
  <c r="DJ309"/>
  <c r="CH309"/>
  <c r="BF309"/>
  <c r="BD309"/>
  <c r="CP309"/>
  <c r="AQ309"/>
  <c r="AO309"/>
  <c r="T333" i="43" s="1"/>
  <c r="AC309" i="1"/>
  <c r="Q309"/>
  <c r="T335" i="52" l="1"/>
  <c r="R330" i="45"/>
  <c r="V335" i="52"/>
  <c r="U333" i="43"/>
  <c r="CU309" i="1"/>
  <c r="AT309"/>
  <c r="X335" i="52" s="1"/>
  <c r="V309" i="1"/>
  <c r="CQ309" l="1"/>
  <c r="W309"/>
  <c r="P333" i="43" l="1"/>
  <c r="O330" i="45"/>
  <c r="Z234" i="1"/>
  <c r="H344" i="20"/>
  <c r="H415"/>
  <c r="Z268" i="1"/>
  <c r="BH268" s="1"/>
  <c r="J138"/>
  <c r="DM199"/>
  <c r="DL199"/>
  <c r="DK199"/>
  <c r="DJ199"/>
  <c r="CH199"/>
  <c r="CA199"/>
  <c r="L195" i="42" s="1"/>
  <c r="BF199" i="1"/>
  <c r="BD199"/>
  <c r="AQ199"/>
  <c r="AO199"/>
  <c r="T223" i="43" s="1"/>
  <c r="AC199" i="1"/>
  <c r="T199"/>
  <c r="P225" i="52" s="1"/>
  <c r="Q199" i="1"/>
  <c r="J162" i="52" l="1"/>
  <c r="J134" i="42"/>
  <c r="J162" i="43"/>
  <c r="K162" s="1"/>
  <c r="J159" i="45"/>
  <c r="K159" s="1"/>
  <c r="V225" i="52"/>
  <c r="U223" i="43"/>
  <c r="T225" i="52"/>
  <c r="R220" i="45"/>
  <c r="BH234" i="1"/>
  <c r="Z310"/>
  <c r="E474" i="20" s="1"/>
  <c r="CU199" i="1"/>
  <c r="CP199"/>
  <c r="AT199"/>
  <c r="X225" i="52" s="1"/>
  <c r="V199" i="1"/>
  <c r="DM255"/>
  <c r="DL255"/>
  <c r="DK255"/>
  <c r="DJ255"/>
  <c r="CH255"/>
  <c r="CA255"/>
  <c r="L251" i="42" s="1"/>
  <c r="BD255" i="1"/>
  <c r="AQ255"/>
  <c r="AO255"/>
  <c r="T279" i="43" s="1"/>
  <c r="AC255" i="1"/>
  <c r="T255"/>
  <c r="P282" i="52" s="1"/>
  <c r="Q255" i="1"/>
  <c r="Q256"/>
  <c r="T256"/>
  <c r="P283" i="52" s="1"/>
  <c r="AC256" i="1"/>
  <c r="AO256"/>
  <c r="T280" i="43" s="1"/>
  <c r="AQ256" i="1"/>
  <c r="V282" i="52" l="1"/>
  <c r="U279" i="43"/>
  <c r="V283" i="52"/>
  <c r="U280" i="43"/>
  <c r="T283" i="52"/>
  <c r="R277" i="45"/>
  <c r="T282" i="52"/>
  <c r="R276" i="45"/>
  <c r="CQ199" i="1"/>
  <c r="V256"/>
  <c r="W256" s="1"/>
  <c r="CU255"/>
  <c r="AT256"/>
  <c r="X283" i="52" s="1"/>
  <c r="W199" i="1"/>
  <c r="AT255"/>
  <c r="X282" i="52" s="1"/>
  <c r="V255" i="1"/>
  <c r="BD256"/>
  <c r="BF256"/>
  <c r="CA256"/>
  <c r="L252" i="42" s="1"/>
  <c r="CH256" i="1"/>
  <c r="CP256"/>
  <c r="DJ256"/>
  <c r="DK256"/>
  <c r="DL256"/>
  <c r="DM256"/>
  <c r="P223" i="43" l="1"/>
  <c r="O220" i="45"/>
  <c r="P280" i="43"/>
  <c r="O277" i="45"/>
  <c r="CQ255" i="1"/>
  <c r="CQ256"/>
  <c r="CU256"/>
  <c r="W255"/>
  <c r="DM83"/>
  <c r="DL83"/>
  <c r="DK83"/>
  <c r="DJ83"/>
  <c r="CH83"/>
  <c r="CA83"/>
  <c r="L79" i="42" s="1"/>
  <c r="BD83" i="1"/>
  <c r="AQ83"/>
  <c r="AO83"/>
  <c r="T107" i="43" s="1"/>
  <c r="AC83" i="1"/>
  <c r="T83"/>
  <c r="P108" i="52" s="1"/>
  <c r="Q83" i="1"/>
  <c r="H519" i="20"/>
  <c r="O276" i="45" l="1"/>
  <c r="P279" i="43"/>
  <c r="V108" i="52"/>
  <c r="U107" i="43"/>
  <c r="T108" i="52"/>
  <c r="R104" i="45"/>
  <c r="CU83" i="1"/>
  <c r="AT83"/>
  <c r="X108" i="52" s="1"/>
  <c r="V83" i="1"/>
  <c r="CQ83" l="1"/>
  <c r="W83"/>
  <c r="P107" i="43" l="1"/>
  <c r="O104" i="45"/>
  <c r="J34" i="1"/>
  <c r="J41" l="1"/>
  <c r="J30" i="42"/>
  <c r="J47" i="45"/>
  <c r="K47" s="1"/>
  <c r="J50" i="43"/>
  <c r="K50" s="1"/>
  <c r="J51" i="52"/>
  <c r="DK17" i="1"/>
  <c r="DM403" l="1"/>
  <c r="DL403"/>
  <c r="DK403"/>
  <c r="DJ403"/>
  <c r="DM402"/>
  <c r="DL402"/>
  <c r="DK402"/>
  <c r="DJ402"/>
  <c r="DM401"/>
  <c r="DL401"/>
  <c r="DK401"/>
  <c r="DJ401"/>
  <c r="DM400"/>
  <c r="DL400"/>
  <c r="DK400"/>
  <c r="DJ400"/>
  <c r="DM399"/>
  <c r="DL399"/>
  <c r="DK399"/>
  <c r="DJ399"/>
  <c r="DM398"/>
  <c r="DL398"/>
  <c r="DK398"/>
  <c r="DJ398"/>
  <c r="DM396"/>
  <c r="DL396"/>
  <c r="DK396"/>
  <c r="DJ396"/>
  <c r="DM395"/>
  <c r="DL395"/>
  <c r="DK395"/>
  <c r="DJ395"/>
  <c r="DM394"/>
  <c r="DL394"/>
  <c r="DK394"/>
  <c r="DJ394"/>
  <c r="DM392"/>
  <c r="DL392"/>
  <c r="DK392"/>
  <c r="DJ392"/>
  <c r="DM391"/>
  <c r="DL391"/>
  <c r="DK391"/>
  <c r="DJ391"/>
  <c r="DM390"/>
  <c r="DL390"/>
  <c r="DK390"/>
  <c r="DJ390"/>
  <c r="DM388"/>
  <c r="DL388"/>
  <c r="DK388"/>
  <c r="DJ388"/>
  <c r="DM387"/>
  <c r="DL387"/>
  <c r="DK387"/>
  <c r="DJ387"/>
  <c r="DM386"/>
  <c r="DL386"/>
  <c r="DK386"/>
  <c r="DJ386"/>
  <c r="DM384"/>
  <c r="DL384"/>
  <c r="DK384"/>
  <c r="DJ384"/>
  <c r="DM383"/>
  <c r="DL383"/>
  <c r="DK383"/>
  <c r="DJ383"/>
  <c r="DM382"/>
  <c r="DL382"/>
  <c r="DK382"/>
  <c r="DJ382"/>
  <c r="DM381"/>
  <c r="DL381"/>
  <c r="DK381"/>
  <c r="DJ381"/>
  <c r="DM380"/>
  <c r="DL380"/>
  <c r="DK380"/>
  <c r="DJ380"/>
  <c r="DM379"/>
  <c r="DL379"/>
  <c r="DK379"/>
  <c r="DJ379"/>
  <c r="DM378"/>
  <c r="DL378"/>
  <c r="DK378"/>
  <c r="DJ378"/>
  <c r="DM377"/>
  <c r="DL377"/>
  <c r="DK377"/>
  <c r="DJ377"/>
  <c r="DM376"/>
  <c r="DL376"/>
  <c r="DK376"/>
  <c r="DJ376"/>
  <c r="DM375"/>
  <c r="DL375"/>
  <c r="DK375"/>
  <c r="DJ375"/>
  <c r="DM374"/>
  <c r="DL374"/>
  <c r="DK374"/>
  <c r="DJ374"/>
  <c r="DM373"/>
  <c r="DL373"/>
  <c r="DK373"/>
  <c r="DJ373"/>
  <c r="DM371"/>
  <c r="DL371"/>
  <c r="DK371"/>
  <c r="DJ371"/>
  <c r="DM370"/>
  <c r="DL370"/>
  <c r="DK370"/>
  <c r="DJ370"/>
  <c r="DM369"/>
  <c r="DL369"/>
  <c r="DK369"/>
  <c r="DJ369"/>
  <c r="DM368"/>
  <c r="DL368"/>
  <c r="DK368"/>
  <c r="DJ368"/>
  <c r="DM367"/>
  <c r="DL367"/>
  <c r="DK367"/>
  <c r="DJ367"/>
  <c r="DM366"/>
  <c r="DL366"/>
  <c r="DK366"/>
  <c r="DJ366"/>
  <c r="DM365"/>
  <c r="DL365"/>
  <c r="DK365"/>
  <c r="DJ365"/>
  <c r="DM364"/>
  <c r="DL364"/>
  <c r="DK364"/>
  <c r="DJ364"/>
  <c r="DM363"/>
  <c r="DL363"/>
  <c r="DK363"/>
  <c r="DJ363"/>
  <c r="DM362"/>
  <c r="DL362"/>
  <c r="DK362"/>
  <c r="DJ362"/>
  <c r="DM361"/>
  <c r="DL361"/>
  <c r="DK361"/>
  <c r="DJ361"/>
  <c r="DM360"/>
  <c r="DL360"/>
  <c r="DK360"/>
  <c r="DJ360"/>
  <c r="DM359"/>
  <c r="DL359"/>
  <c r="DK359"/>
  <c r="DJ359"/>
  <c r="DM357"/>
  <c r="DL357"/>
  <c r="DK357"/>
  <c r="DJ357"/>
  <c r="DM356"/>
  <c r="DL356"/>
  <c r="DK356"/>
  <c r="DJ356"/>
  <c r="DM355"/>
  <c r="DL355"/>
  <c r="DK355"/>
  <c r="DJ355"/>
  <c r="DM354"/>
  <c r="DL354"/>
  <c r="DK354"/>
  <c r="DJ354"/>
  <c r="DM353"/>
  <c r="DL353"/>
  <c r="DK353"/>
  <c r="DJ353"/>
  <c r="DM352"/>
  <c r="DL352"/>
  <c r="DK352"/>
  <c r="DJ352"/>
  <c r="DM351"/>
  <c r="DL351"/>
  <c r="DK351"/>
  <c r="DJ351"/>
  <c r="DM350"/>
  <c r="DL350"/>
  <c r="DK350"/>
  <c r="DJ350"/>
  <c r="DM349"/>
  <c r="DL349"/>
  <c r="DK349"/>
  <c r="DJ349"/>
  <c r="DM348"/>
  <c r="DL348"/>
  <c r="DK348"/>
  <c r="DJ348"/>
  <c r="DM347"/>
  <c r="DL347"/>
  <c r="DK347"/>
  <c r="DJ347"/>
  <c r="DM346"/>
  <c r="DL346"/>
  <c r="DK346"/>
  <c r="DJ346"/>
  <c r="DM345"/>
  <c r="DL345"/>
  <c r="DK345"/>
  <c r="DJ345"/>
  <c r="DM344"/>
  <c r="DL344"/>
  <c r="DK344"/>
  <c r="DJ344"/>
  <c r="DM343"/>
  <c r="DL343"/>
  <c r="DK343"/>
  <c r="DJ343"/>
  <c r="DM342"/>
  <c r="DL342"/>
  <c r="DK342"/>
  <c r="DJ342"/>
  <c r="DM341"/>
  <c r="DL341"/>
  <c r="DK341"/>
  <c r="DJ341"/>
  <c r="DM340"/>
  <c r="DL340"/>
  <c r="DK340"/>
  <c r="DJ340"/>
  <c r="DM339"/>
  <c r="DL339"/>
  <c r="DK339"/>
  <c r="DJ339"/>
  <c r="DM338"/>
  <c r="DL338"/>
  <c r="DK338"/>
  <c r="DJ338"/>
  <c r="DM337"/>
  <c r="DL337"/>
  <c r="DK337"/>
  <c r="DJ337"/>
  <c r="DM336"/>
  <c r="DL336"/>
  <c r="DK336"/>
  <c r="DJ336"/>
  <c r="DM335"/>
  <c r="DL335"/>
  <c r="DK335"/>
  <c r="DJ335"/>
  <c r="DM334"/>
  <c r="DL334"/>
  <c r="DK334"/>
  <c r="DJ334"/>
  <c r="DM333"/>
  <c r="DL333"/>
  <c r="DK333"/>
  <c r="DJ333"/>
  <c r="DM332"/>
  <c r="DL332"/>
  <c r="DK332"/>
  <c r="DJ332"/>
  <c r="DM330"/>
  <c r="DL330"/>
  <c r="DK330"/>
  <c r="DJ330"/>
  <c r="DM329"/>
  <c r="DL329"/>
  <c r="DK329"/>
  <c r="DJ329"/>
  <c r="DM328"/>
  <c r="DL328"/>
  <c r="DK328"/>
  <c r="DJ328"/>
  <c r="DM327"/>
  <c r="DL327"/>
  <c r="DK327"/>
  <c r="DJ327"/>
  <c r="DM326"/>
  <c r="DL326"/>
  <c r="DK326"/>
  <c r="DJ326"/>
  <c r="DM325"/>
  <c r="DL325"/>
  <c r="DK325"/>
  <c r="DJ325"/>
  <c r="DM324"/>
  <c r="DL324"/>
  <c r="DK324"/>
  <c r="DJ324"/>
  <c r="DM323"/>
  <c r="DL323"/>
  <c r="DK323"/>
  <c r="DJ323"/>
  <c r="DM322"/>
  <c r="DL322"/>
  <c r="DK322"/>
  <c r="DJ322"/>
  <c r="DM321"/>
  <c r="DL321"/>
  <c r="DK321"/>
  <c r="DJ321"/>
  <c r="DM320"/>
  <c r="DL320"/>
  <c r="DK320"/>
  <c r="DJ320"/>
  <c r="DM319"/>
  <c r="DL319"/>
  <c r="DK319"/>
  <c r="DJ319"/>
  <c r="DM318"/>
  <c r="DL318"/>
  <c r="DK318"/>
  <c r="DJ318"/>
  <c r="DM317"/>
  <c r="DL317"/>
  <c r="DK317"/>
  <c r="DJ317"/>
  <c r="DM316"/>
  <c r="DL316"/>
  <c r="DK316"/>
  <c r="DJ316"/>
  <c r="DM315"/>
  <c r="DL315"/>
  <c r="DK315"/>
  <c r="DJ315"/>
  <c r="DM314"/>
  <c r="DL314"/>
  <c r="DK314"/>
  <c r="DJ314"/>
  <c r="DM313"/>
  <c r="DL313"/>
  <c r="DK313"/>
  <c r="DJ313"/>
  <c r="DM312"/>
  <c r="DL312"/>
  <c r="DK312"/>
  <c r="DJ312"/>
  <c r="DM308"/>
  <c r="DL308"/>
  <c r="DK308"/>
  <c r="DJ308"/>
  <c r="DM307"/>
  <c r="DL307"/>
  <c r="DK307"/>
  <c r="DJ307"/>
  <c r="DM306"/>
  <c r="DL306"/>
  <c r="DK306"/>
  <c r="DJ306"/>
  <c r="DM305"/>
  <c r="DL305"/>
  <c r="DK305"/>
  <c r="DJ305"/>
  <c r="DM304"/>
  <c r="DL304"/>
  <c r="DK304"/>
  <c r="DJ304"/>
  <c r="DM302"/>
  <c r="DL302"/>
  <c r="DK302"/>
  <c r="DJ302"/>
  <c r="DM301"/>
  <c r="DL301"/>
  <c r="DK301"/>
  <c r="DJ301"/>
  <c r="DM300"/>
  <c r="DL300"/>
  <c r="DK300"/>
  <c r="DJ300"/>
  <c r="DM299"/>
  <c r="DL299"/>
  <c r="DK299"/>
  <c r="DJ299"/>
  <c r="DM298"/>
  <c r="DL298"/>
  <c r="DK298"/>
  <c r="DJ298"/>
  <c r="DM297"/>
  <c r="DL297"/>
  <c r="DK297"/>
  <c r="DJ297"/>
  <c r="DM296"/>
  <c r="DL296"/>
  <c r="DK296"/>
  <c r="DJ296"/>
  <c r="DM291"/>
  <c r="DL291"/>
  <c r="DK291"/>
  <c r="DJ291"/>
  <c r="DM290"/>
  <c r="DL290"/>
  <c r="DK290"/>
  <c r="DJ290"/>
  <c r="DM289"/>
  <c r="DL289"/>
  <c r="DK289"/>
  <c r="DJ289"/>
  <c r="DM288"/>
  <c r="DL288"/>
  <c r="DK288"/>
  <c r="DJ288"/>
  <c r="DM286"/>
  <c r="DL286"/>
  <c r="DK286"/>
  <c r="DJ286"/>
  <c r="DM285"/>
  <c r="DL285"/>
  <c r="DK285"/>
  <c r="DJ285"/>
  <c r="DM284"/>
  <c r="DL284"/>
  <c r="DK284"/>
  <c r="DJ284"/>
  <c r="DM283"/>
  <c r="DL283"/>
  <c r="DK283"/>
  <c r="DJ283"/>
  <c r="DM282"/>
  <c r="DL282"/>
  <c r="DK282"/>
  <c r="DJ282"/>
  <c r="DM281"/>
  <c r="DL281"/>
  <c r="DK281"/>
  <c r="DJ281"/>
  <c r="DM279"/>
  <c r="DL279"/>
  <c r="DK279"/>
  <c r="DJ279"/>
  <c r="DM278"/>
  <c r="DL278"/>
  <c r="DK278"/>
  <c r="DJ278"/>
  <c r="DM276"/>
  <c r="DL276"/>
  <c r="DK276"/>
  <c r="DJ276"/>
  <c r="DM275"/>
  <c r="DL275"/>
  <c r="DK275"/>
  <c r="DJ275"/>
  <c r="DM274"/>
  <c r="DL274"/>
  <c r="DK274"/>
  <c r="DJ274"/>
  <c r="DM273"/>
  <c r="DL273"/>
  <c r="DK273"/>
  <c r="DJ273"/>
  <c r="DM270"/>
  <c r="DL270"/>
  <c r="DK270"/>
  <c r="DJ270"/>
  <c r="DM268"/>
  <c r="DL268"/>
  <c r="DK268"/>
  <c r="DJ268"/>
  <c r="DM267"/>
  <c r="DL267"/>
  <c r="DK267"/>
  <c r="DJ267"/>
  <c r="DM266"/>
  <c r="DL266"/>
  <c r="DK266"/>
  <c r="DJ266"/>
  <c r="DM265"/>
  <c r="DL265"/>
  <c r="DK265"/>
  <c r="DJ265"/>
  <c r="DM264"/>
  <c r="DL264"/>
  <c r="DK264"/>
  <c r="DJ264"/>
  <c r="DM263"/>
  <c r="DL263"/>
  <c r="DK263"/>
  <c r="DJ263"/>
  <c r="DM262"/>
  <c r="DL262"/>
  <c r="DK262"/>
  <c r="DJ262"/>
  <c r="DM261"/>
  <c r="DL261"/>
  <c r="DK261"/>
  <c r="DJ261"/>
  <c r="DM260"/>
  <c r="DL260"/>
  <c r="DK260"/>
  <c r="DJ260"/>
  <c r="DM259"/>
  <c r="DL259"/>
  <c r="DK259"/>
  <c r="DJ259"/>
  <c r="DM258"/>
  <c r="DL258"/>
  <c r="DK258"/>
  <c r="DJ258"/>
  <c r="DM257"/>
  <c r="DL257"/>
  <c r="DK257"/>
  <c r="DJ257"/>
  <c r="DM253"/>
  <c r="DL253"/>
  <c r="DK253"/>
  <c r="DJ253"/>
  <c r="DM250"/>
  <c r="DL250"/>
  <c r="DK250"/>
  <c r="DJ250"/>
  <c r="DM249"/>
  <c r="DL249"/>
  <c r="DK249"/>
  <c r="DJ249"/>
  <c r="DM248"/>
  <c r="DL248"/>
  <c r="DK248"/>
  <c r="DJ248"/>
  <c r="DM246"/>
  <c r="DL246"/>
  <c r="DK246"/>
  <c r="DJ246"/>
  <c r="DM245"/>
  <c r="DL245"/>
  <c r="DK245"/>
  <c r="DJ245"/>
  <c r="DM244"/>
  <c r="DL244"/>
  <c r="DK244"/>
  <c r="DJ244"/>
  <c r="DM242"/>
  <c r="DL242"/>
  <c r="DK242"/>
  <c r="DJ242"/>
  <c r="DM241"/>
  <c r="DL241"/>
  <c r="DK241"/>
  <c r="DJ241"/>
  <c r="DM240"/>
  <c r="DL240"/>
  <c r="DK240"/>
  <c r="DJ240"/>
  <c r="DM239"/>
  <c r="DL239"/>
  <c r="DK239"/>
  <c r="DJ239"/>
  <c r="DM238"/>
  <c r="DL238"/>
  <c r="DK238"/>
  <c r="DJ238"/>
  <c r="DM237"/>
  <c r="DL237"/>
  <c r="DK237"/>
  <c r="DJ237"/>
  <c r="DM236"/>
  <c r="DL236"/>
  <c r="DK236"/>
  <c r="DJ236"/>
  <c r="DM235"/>
  <c r="DL235"/>
  <c r="DK235"/>
  <c r="DJ235"/>
  <c r="DM234"/>
  <c r="DL234"/>
  <c r="DK234"/>
  <c r="DJ234"/>
  <c r="DM233"/>
  <c r="DL233"/>
  <c r="DK233"/>
  <c r="DJ233"/>
  <c r="DM231"/>
  <c r="DL231"/>
  <c r="DK231"/>
  <c r="DJ231"/>
  <c r="DM230"/>
  <c r="DL230"/>
  <c r="DK230"/>
  <c r="DJ230"/>
  <c r="DM229"/>
  <c r="DL229"/>
  <c r="DK229"/>
  <c r="DJ229"/>
  <c r="DM228"/>
  <c r="DL228"/>
  <c r="DK228"/>
  <c r="DJ228"/>
  <c r="DM227"/>
  <c r="DL227"/>
  <c r="DK227"/>
  <c r="DJ227"/>
  <c r="DM223"/>
  <c r="DL223"/>
  <c r="DK223"/>
  <c r="DJ223"/>
  <c r="DM222"/>
  <c r="DL222"/>
  <c r="DK222"/>
  <c r="DJ222"/>
  <c r="DM221"/>
  <c r="DL221"/>
  <c r="DK221"/>
  <c r="DJ221"/>
  <c r="DM220"/>
  <c r="DL220"/>
  <c r="DK220"/>
  <c r="DJ220"/>
  <c r="DM217"/>
  <c r="DL217"/>
  <c r="DK217"/>
  <c r="DJ217"/>
  <c r="DM214"/>
  <c r="DL214"/>
  <c r="DK214"/>
  <c r="DJ214"/>
  <c r="DM213"/>
  <c r="DL213"/>
  <c r="DK213"/>
  <c r="DJ213"/>
  <c r="DM212"/>
  <c r="DL212"/>
  <c r="DK212"/>
  <c r="DJ212"/>
  <c r="DM211"/>
  <c r="DL211"/>
  <c r="DK211"/>
  <c r="DJ211"/>
  <c r="DM209"/>
  <c r="DL209"/>
  <c r="DK209"/>
  <c r="DJ209"/>
  <c r="DM208"/>
  <c r="DL208"/>
  <c r="DK208"/>
  <c r="DJ208"/>
  <c r="DM207"/>
  <c r="DL207"/>
  <c r="DK207"/>
  <c r="DJ207"/>
  <c r="DM206"/>
  <c r="DL206"/>
  <c r="DK206"/>
  <c r="DJ206"/>
  <c r="DM205"/>
  <c r="DL205"/>
  <c r="DK205"/>
  <c r="DJ205"/>
  <c r="DM204"/>
  <c r="DL204"/>
  <c r="DK204"/>
  <c r="DJ204"/>
  <c r="DM201"/>
  <c r="DL201"/>
  <c r="DK201"/>
  <c r="DJ201"/>
  <c r="DM200"/>
  <c r="DL200"/>
  <c r="DK200"/>
  <c r="DJ200"/>
  <c r="DM198"/>
  <c r="DL198"/>
  <c r="DK198"/>
  <c r="DJ198"/>
  <c r="DM197"/>
  <c r="DL197"/>
  <c r="DK197"/>
  <c r="DJ197"/>
  <c r="DM196"/>
  <c r="DL196"/>
  <c r="DK196"/>
  <c r="DJ196"/>
  <c r="DM195"/>
  <c r="DL195"/>
  <c r="DK195"/>
  <c r="DJ195"/>
  <c r="DM193"/>
  <c r="DL193"/>
  <c r="DK193"/>
  <c r="DJ193"/>
  <c r="DM192"/>
  <c r="DL192"/>
  <c r="DK192"/>
  <c r="DJ192"/>
  <c r="DM191"/>
  <c r="DL191"/>
  <c r="DK191"/>
  <c r="DJ191"/>
  <c r="DM190"/>
  <c r="DL190"/>
  <c r="DK190"/>
  <c r="DJ190"/>
  <c r="DM189"/>
  <c r="DL189"/>
  <c r="DK189"/>
  <c r="DJ189"/>
  <c r="DM188"/>
  <c r="DL188"/>
  <c r="DK188"/>
  <c r="DJ188"/>
  <c r="DM187"/>
  <c r="DL187"/>
  <c r="DK187"/>
  <c r="DJ187"/>
  <c r="DM185"/>
  <c r="DL185"/>
  <c r="DK185"/>
  <c r="DJ185"/>
  <c r="DM184"/>
  <c r="DL184"/>
  <c r="DK184"/>
  <c r="DJ184"/>
  <c r="DM182"/>
  <c r="DL182"/>
  <c r="DK182"/>
  <c r="DJ182"/>
  <c r="DM181"/>
  <c r="DL181"/>
  <c r="DK181"/>
  <c r="DJ181"/>
  <c r="DM180"/>
  <c r="DL180"/>
  <c r="DK180"/>
  <c r="DJ180"/>
  <c r="DM179"/>
  <c r="DL179"/>
  <c r="DK179"/>
  <c r="DJ179"/>
  <c r="DM177"/>
  <c r="DL177"/>
  <c r="DK177"/>
  <c r="DJ177"/>
  <c r="DM176"/>
  <c r="DL176"/>
  <c r="DK176"/>
  <c r="DJ176"/>
  <c r="DM175"/>
  <c r="DL175"/>
  <c r="DK175"/>
  <c r="DJ175"/>
  <c r="DM174"/>
  <c r="DL174"/>
  <c r="DK174"/>
  <c r="DJ174"/>
  <c r="DM173"/>
  <c r="DL173"/>
  <c r="DK173"/>
  <c r="DJ173"/>
  <c r="DM172"/>
  <c r="DL172"/>
  <c r="DK172"/>
  <c r="DJ172"/>
  <c r="DM171"/>
  <c r="DL171"/>
  <c r="DK171"/>
  <c r="DJ171"/>
  <c r="DM170"/>
  <c r="DL170"/>
  <c r="DK170"/>
  <c r="DJ170"/>
  <c r="DM169"/>
  <c r="DL169"/>
  <c r="DK169"/>
  <c r="DJ169"/>
  <c r="DM168"/>
  <c r="DL168"/>
  <c r="DK168"/>
  <c r="DJ168"/>
  <c r="DM167"/>
  <c r="DL167"/>
  <c r="DK167"/>
  <c r="DJ167"/>
  <c r="DM166"/>
  <c r="DL166"/>
  <c r="DK166"/>
  <c r="DJ166"/>
  <c r="DM165"/>
  <c r="DL165"/>
  <c r="DK165"/>
  <c r="DJ165"/>
  <c r="DM164"/>
  <c r="DL164"/>
  <c r="DK164"/>
  <c r="DJ164"/>
  <c r="DM163"/>
  <c r="DL163"/>
  <c r="DK163"/>
  <c r="DJ163"/>
  <c r="DM162"/>
  <c r="DL162"/>
  <c r="DK162"/>
  <c r="DJ162"/>
  <c r="DM161"/>
  <c r="DL161"/>
  <c r="DK161"/>
  <c r="DJ161"/>
  <c r="DM160"/>
  <c r="DL160"/>
  <c r="DK160"/>
  <c r="DJ160"/>
  <c r="DM159"/>
  <c r="DL159"/>
  <c r="DK159"/>
  <c r="DJ159"/>
  <c r="DM157"/>
  <c r="DL157"/>
  <c r="DK157"/>
  <c r="DJ157"/>
  <c r="DM156"/>
  <c r="DL156"/>
  <c r="DK156"/>
  <c r="DJ156"/>
  <c r="DM155"/>
  <c r="DL155"/>
  <c r="DK155"/>
  <c r="DJ155"/>
  <c r="DM154"/>
  <c r="DL154"/>
  <c r="DK154"/>
  <c r="DJ154"/>
  <c r="DM153"/>
  <c r="DL153"/>
  <c r="DK153"/>
  <c r="DJ153"/>
  <c r="DM152"/>
  <c r="DL152"/>
  <c r="DK152"/>
  <c r="DJ152"/>
  <c r="DM151"/>
  <c r="DL151"/>
  <c r="DK151"/>
  <c r="DJ151"/>
  <c r="DM150"/>
  <c r="DL150"/>
  <c r="DK150"/>
  <c r="DJ150"/>
  <c r="DM149"/>
  <c r="DL149"/>
  <c r="DK149"/>
  <c r="DJ149"/>
  <c r="DM148"/>
  <c r="DL148"/>
  <c r="DK148"/>
  <c r="DJ148"/>
  <c r="DM147"/>
  <c r="DL147"/>
  <c r="DK147"/>
  <c r="DJ147"/>
  <c r="DM146"/>
  <c r="DL146"/>
  <c r="DK146"/>
  <c r="DJ146"/>
  <c r="DM145"/>
  <c r="DL145"/>
  <c r="DK145"/>
  <c r="DJ145"/>
  <c r="DM144"/>
  <c r="DL144"/>
  <c r="DK144"/>
  <c r="DJ144"/>
  <c r="DM143"/>
  <c r="DL143"/>
  <c r="DK143"/>
  <c r="DJ143"/>
  <c r="DM142"/>
  <c r="DL142"/>
  <c r="DK142"/>
  <c r="DJ142"/>
  <c r="DM141"/>
  <c r="DL141"/>
  <c r="DK141"/>
  <c r="DJ141"/>
  <c r="DM140"/>
  <c r="DL140"/>
  <c r="DK140"/>
  <c r="DJ140"/>
  <c r="DM139"/>
  <c r="DL139"/>
  <c r="DK139"/>
  <c r="DJ139"/>
  <c r="DM138"/>
  <c r="DL138"/>
  <c r="DK138"/>
  <c r="DJ138"/>
  <c r="DM137"/>
  <c r="DL137"/>
  <c r="DK137"/>
  <c r="DJ137"/>
  <c r="DM136"/>
  <c r="DL136"/>
  <c r="DK136"/>
  <c r="DJ136"/>
  <c r="DM135"/>
  <c r="DL135"/>
  <c r="DK135"/>
  <c r="DJ135"/>
  <c r="DM134"/>
  <c r="DL134"/>
  <c r="DK134"/>
  <c r="DJ134"/>
  <c r="DM133"/>
  <c r="DL133"/>
  <c r="DK133"/>
  <c r="DJ133"/>
  <c r="DM132"/>
  <c r="DL132"/>
  <c r="DK132"/>
  <c r="DJ132"/>
  <c r="DM131"/>
  <c r="DL131"/>
  <c r="DK131"/>
  <c r="DJ131"/>
  <c r="DM130"/>
  <c r="DL130"/>
  <c r="DK130"/>
  <c r="DJ130"/>
  <c r="DM127"/>
  <c r="DL127"/>
  <c r="DK127"/>
  <c r="DJ127"/>
  <c r="DM126"/>
  <c r="DL126"/>
  <c r="DK126"/>
  <c r="DJ126"/>
  <c r="DM125"/>
  <c r="DL125"/>
  <c r="DK125"/>
  <c r="DJ125"/>
  <c r="DM124"/>
  <c r="DL124"/>
  <c r="DK124"/>
  <c r="DJ124"/>
  <c r="DM123"/>
  <c r="DL123"/>
  <c r="DK123"/>
  <c r="DJ123"/>
  <c r="DM122"/>
  <c r="DL122"/>
  <c r="DK122"/>
  <c r="DJ122"/>
  <c r="DM121"/>
  <c r="DL121"/>
  <c r="DK121"/>
  <c r="DJ121"/>
  <c r="DM120"/>
  <c r="DL120"/>
  <c r="DK120"/>
  <c r="DJ120"/>
  <c r="DM118"/>
  <c r="DL118"/>
  <c r="DK118"/>
  <c r="DJ118"/>
  <c r="DM117"/>
  <c r="DL117"/>
  <c r="DK117"/>
  <c r="DJ117"/>
  <c r="DM116"/>
  <c r="DL116"/>
  <c r="DK116"/>
  <c r="DJ116"/>
  <c r="DM115"/>
  <c r="DL115"/>
  <c r="DK115"/>
  <c r="DJ115"/>
  <c r="DM114"/>
  <c r="DL114"/>
  <c r="DK114"/>
  <c r="DJ114"/>
  <c r="DM113"/>
  <c r="DL113"/>
  <c r="DK113"/>
  <c r="DJ113"/>
  <c r="DM111"/>
  <c r="DL111"/>
  <c r="DK111"/>
  <c r="DJ111"/>
  <c r="DM110"/>
  <c r="DL110"/>
  <c r="DK110"/>
  <c r="DJ110"/>
  <c r="DM109"/>
  <c r="DL109"/>
  <c r="DK109"/>
  <c r="DJ109"/>
  <c r="DM107"/>
  <c r="DL107"/>
  <c r="DK107"/>
  <c r="DJ107"/>
  <c r="DM106"/>
  <c r="DL106"/>
  <c r="DK106"/>
  <c r="DJ106"/>
  <c r="DM105"/>
  <c r="DL105"/>
  <c r="DK105"/>
  <c r="DJ105"/>
  <c r="DM104"/>
  <c r="DL104"/>
  <c r="DK104"/>
  <c r="DJ104"/>
  <c r="DM103"/>
  <c r="DL103"/>
  <c r="DK103"/>
  <c r="DJ103"/>
  <c r="DM102"/>
  <c r="DL102"/>
  <c r="DK102"/>
  <c r="DJ102"/>
  <c r="DM101"/>
  <c r="DL101"/>
  <c r="DK101"/>
  <c r="DJ101"/>
  <c r="DM99"/>
  <c r="DL99"/>
  <c r="DK99"/>
  <c r="DJ99"/>
  <c r="DM98"/>
  <c r="DL98"/>
  <c r="DK98"/>
  <c r="DJ98"/>
  <c r="DM97"/>
  <c r="DL97"/>
  <c r="DK97"/>
  <c r="DJ97"/>
  <c r="DM96"/>
  <c r="DL96"/>
  <c r="DK96"/>
  <c r="DJ96"/>
  <c r="DM95"/>
  <c r="DL95"/>
  <c r="DK95"/>
  <c r="DJ95"/>
  <c r="DM93"/>
  <c r="DL93"/>
  <c r="DK93"/>
  <c r="DJ93"/>
  <c r="DM92"/>
  <c r="DL92"/>
  <c r="DK92"/>
  <c r="DJ92"/>
  <c r="DM91"/>
  <c r="DL91"/>
  <c r="DK91"/>
  <c r="DJ91"/>
  <c r="DM89"/>
  <c r="DL89"/>
  <c r="DK89"/>
  <c r="DJ89"/>
  <c r="DM88"/>
  <c r="DL88"/>
  <c r="DK88"/>
  <c r="DJ88"/>
  <c r="DM87"/>
  <c r="DL87"/>
  <c r="DK87"/>
  <c r="DJ87"/>
  <c r="DM86"/>
  <c r="DL86"/>
  <c r="DK86"/>
  <c r="DJ86"/>
  <c r="DM85"/>
  <c r="DL85"/>
  <c r="DK85"/>
  <c r="DJ85"/>
  <c r="DM84"/>
  <c r="DL84"/>
  <c r="DK84"/>
  <c r="DJ84"/>
  <c r="DM82"/>
  <c r="DL82"/>
  <c r="DK82"/>
  <c r="DJ82"/>
  <c r="DM81"/>
  <c r="DL81"/>
  <c r="DK81"/>
  <c r="DJ81"/>
  <c r="DM80"/>
  <c r="DL80"/>
  <c r="DK80"/>
  <c r="DJ80"/>
  <c r="DM79"/>
  <c r="DL79"/>
  <c r="DK79"/>
  <c r="DJ79"/>
  <c r="DM78"/>
  <c r="DL78"/>
  <c r="DK78"/>
  <c r="DJ78"/>
  <c r="DM77"/>
  <c r="DL77"/>
  <c r="DK77"/>
  <c r="DJ77"/>
  <c r="DM76"/>
  <c r="DL76"/>
  <c r="DK76"/>
  <c r="DJ76"/>
  <c r="DM75"/>
  <c r="DL75"/>
  <c r="DK75"/>
  <c r="DJ75"/>
  <c r="DM74"/>
  <c r="DL74"/>
  <c r="DK74"/>
  <c r="DJ74"/>
  <c r="DM73"/>
  <c r="DL73"/>
  <c r="DK73"/>
  <c r="DJ73"/>
  <c r="DM72"/>
  <c r="DL72"/>
  <c r="DK72"/>
  <c r="DJ72"/>
  <c r="DM71"/>
  <c r="DL71"/>
  <c r="DK71"/>
  <c r="DJ71"/>
  <c r="DM70"/>
  <c r="DL70"/>
  <c r="DK70"/>
  <c r="DJ70"/>
  <c r="DM69"/>
  <c r="DL69"/>
  <c r="DK69"/>
  <c r="DJ69"/>
  <c r="DM68"/>
  <c r="DL68"/>
  <c r="DK68"/>
  <c r="DJ68"/>
  <c r="DM67"/>
  <c r="DL67"/>
  <c r="DK67"/>
  <c r="DJ67"/>
  <c r="DM66"/>
  <c r="DL66"/>
  <c r="DK66"/>
  <c r="DJ66"/>
  <c r="DM65"/>
  <c r="DL65"/>
  <c r="DK65"/>
  <c r="DJ65"/>
  <c r="DM64"/>
  <c r="DL64"/>
  <c r="DK64"/>
  <c r="DJ64"/>
  <c r="DM63"/>
  <c r="DL63"/>
  <c r="DK63"/>
  <c r="DJ63"/>
  <c r="DM62"/>
  <c r="DL62"/>
  <c r="DK62"/>
  <c r="DJ62"/>
  <c r="DM61"/>
  <c r="DL61"/>
  <c r="DK61"/>
  <c r="DJ61"/>
  <c r="DM60"/>
  <c r="DL60"/>
  <c r="DK60"/>
  <c r="DJ60"/>
  <c r="DM59"/>
  <c r="DL59"/>
  <c r="DK59"/>
  <c r="DJ59"/>
  <c r="DM58"/>
  <c r="DL58"/>
  <c r="DK58"/>
  <c r="DJ58"/>
  <c r="DM56"/>
  <c r="DL56"/>
  <c r="DK56"/>
  <c r="DJ56"/>
  <c r="DM55"/>
  <c r="DL55"/>
  <c r="DK55"/>
  <c r="DJ55"/>
  <c r="DM54"/>
  <c r="DL54"/>
  <c r="DK54"/>
  <c r="DJ54"/>
  <c r="DM53"/>
  <c r="DL53"/>
  <c r="DK53"/>
  <c r="DJ53"/>
  <c r="DM52"/>
  <c r="DL52"/>
  <c r="DK52"/>
  <c r="DJ52"/>
  <c r="DM50"/>
  <c r="DL50"/>
  <c r="DK50"/>
  <c r="DJ50"/>
  <c r="DM49"/>
  <c r="DL49"/>
  <c r="DK49"/>
  <c r="DJ49"/>
  <c r="DM48"/>
  <c r="DL48"/>
  <c r="DK48"/>
  <c r="DJ48"/>
  <c r="DM47"/>
  <c r="DL47"/>
  <c r="DK47"/>
  <c r="DJ47"/>
  <c r="DM46"/>
  <c r="DL46"/>
  <c r="DK46"/>
  <c r="DJ46"/>
  <c r="DM45"/>
  <c r="DL45"/>
  <c r="DK45"/>
  <c r="DJ45"/>
  <c r="DM44"/>
  <c r="DL44"/>
  <c r="DK44"/>
  <c r="DJ44"/>
  <c r="DM43"/>
  <c r="DL43"/>
  <c r="DK43"/>
  <c r="DJ43"/>
  <c r="DM40"/>
  <c r="DL40"/>
  <c r="DK40"/>
  <c r="DJ40"/>
  <c r="DM39"/>
  <c r="DL39"/>
  <c r="DK39"/>
  <c r="DJ39"/>
  <c r="DM37"/>
  <c r="DL37"/>
  <c r="DK37"/>
  <c r="DJ37"/>
  <c r="DM36"/>
  <c r="DL36"/>
  <c r="DK36"/>
  <c r="DJ36"/>
  <c r="DM35"/>
  <c r="DL35"/>
  <c r="DK35"/>
  <c r="DJ35"/>
  <c r="DM34"/>
  <c r="DL34"/>
  <c r="DK34"/>
  <c r="DJ34"/>
  <c r="DM33"/>
  <c r="DL33"/>
  <c r="DK33"/>
  <c r="DJ33"/>
  <c r="DM32"/>
  <c r="DL32"/>
  <c r="DK32"/>
  <c r="DJ32"/>
  <c r="DM31"/>
  <c r="DL31"/>
  <c r="DK31"/>
  <c r="DJ31"/>
  <c r="DM30"/>
  <c r="DL30"/>
  <c r="DK30"/>
  <c r="DJ30"/>
  <c r="DM29"/>
  <c r="DL29"/>
  <c r="DK29"/>
  <c r="DJ29"/>
  <c r="DM28"/>
  <c r="DL28"/>
  <c r="DK28"/>
  <c r="DJ28"/>
  <c r="DM27"/>
  <c r="DL27"/>
  <c r="DK27"/>
  <c r="DJ27"/>
  <c r="DM26"/>
  <c r="DL26"/>
  <c r="DK26"/>
  <c r="DJ26"/>
  <c r="DM24"/>
  <c r="DL24"/>
  <c r="DK24"/>
  <c r="DJ24"/>
  <c r="DM23"/>
  <c r="DL23"/>
  <c r="DK23"/>
  <c r="DJ23"/>
  <c r="DM22"/>
  <c r="DL22"/>
  <c r="DK22"/>
  <c r="DJ22"/>
  <c r="DM21"/>
  <c r="DL21"/>
  <c r="DK21"/>
  <c r="DJ21"/>
  <c r="DM20"/>
  <c r="DL20"/>
  <c r="DK20"/>
  <c r="DJ20"/>
  <c r="DM19"/>
  <c r="DL19"/>
  <c r="DK19"/>
  <c r="DJ19"/>
  <c r="DM18"/>
  <c r="DL18"/>
  <c r="DK18"/>
  <c r="DJ18"/>
  <c r="DK13"/>
  <c r="T270" l="1"/>
  <c r="P297" i="52" s="1"/>
  <c r="CH263" i="1" l="1"/>
  <c r="BD263"/>
  <c r="AQ263"/>
  <c r="AH263"/>
  <c r="Q284" i="45" s="1"/>
  <c r="V263" i="1"/>
  <c r="W263" s="1"/>
  <c r="Q263"/>
  <c r="CH82"/>
  <c r="BF82"/>
  <c r="BD82"/>
  <c r="AQ82"/>
  <c r="AH82"/>
  <c r="Q103" i="45" s="1"/>
  <c r="V82" i="1"/>
  <c r="W82" s="1"/>
  <c r="Q82"/>
  <c r="CH118"/>
  <c r="BF118"/>
  <c r="BD118"/>
  <c r="AQ118"/>
  <c r="AH118"/>
  <c r="Q139" i="45" s="1"/>
  <c r="V118" i="1"/>
  <c r="Q118"/>
  <c r="CH141"/>
  <c r="BD141"/>
  <c r="AQ141"/>
  <c r="AH141"/>
  <c r="Q162" i="45" s="1"/>
  <c r="V141" i="1"/>
  <c r="Q141"/>
  <c r="CH162"/>
  <c r="BD162"/>
  <c r="AQ162"/>
  <c r="AH162"/>
  <c r="Q183" i="45" s="1"/>
  <c r="V162" i="1"/>
  <c r="Q162"/>
  <c r="CH259"/>
  <c r="BD259"/>
  <c r="AQ259"/>
  <c r="AH259"/>
  <c r="Q280" i="45" s="1"/>
  <c r="V259" i="1"/>
  <c r="Q259"/>
  <c r="CH88"/>
  <c r="BF88"/>
  <c r="BD88"/>
  <c r="AQ88"/>
  <c r="Q88"/>
  <c r="CH102"/>
  <c r="BF102"/>
  <c r="BD102"/>
  <c r="AQ102"/>
  <c r="Q102"/>
  <c r="CH156"/>
  <c r="BD156"/>
  <c r="AQ156"/>
  <c r="V156"/>
  <c r="Q156"/>
  <c r="CH107"/>
  <c r="BF107"/>
  <c r="BD107"/>
  <c r="AQ107"/>
  <c r="V107"/>
  <c r="Q107"/>
  <c r="CH229"/>
  <c r="BD229"/>
  <c r="AQ229"/>
  <c r="Q229"/>
  <c r="CH120"/>
  <c r="BF120"/>
  <c r="BD120"/>
  <c r="AQ120"/>
  <c r="Q120"/>
  <c r="CH135"/>
  <c r="BD135"/>
  <c r="AQ135"/>
  <c r="Q135"/>
  <c r="CH134"/>
  <c r="BD134"/>
  <c r="AQ134"/>
  <c r="Q134"/>
  <c r="CH126"/>
  <c r="BD126"/>
  <c r="AQ126"/>
  <c r="AH126"/>
  <c r="Q147" i="45" s="1"/>
  <c r="V126" i="1"/>
  <c r="Q126"/>
  <c r="CH50"/>
  <c r="BF50"/>
  <c r="BD50"/>
  <c r="AQ50"/>
  <c r="AH50"/>
  <c r="Q71" i="45" s="1"/>
  <c r="V50" i="1"/>
  <c r="Q50"/>
  <c r="CH106"/>
  <c r="BF106"/>
  <c r="BD106"/>
  <c r="AQ106"/>
  <c r="AH106"/>
  <c r="Q127" i="45" s="1"/>
  <c r="V106" i="1"/>
  <c r="Q106"/>
  <c r="CH58"/>
  <c r="BF58"/>
  <c r="BD58"/>
  <c r="AQ58"/>
  <c r="AH58"/>
  <c r="Q79" i="45" s="1"/>
  <c r="V58" i="1"/>
  <c r="Q58"/>
  <c r="CH66"/>
  <c r="BF66"/>
  <c r="BD66"/>
  <c r="AQ66"/>
  <c r="AO66"/>
  <c r="T90" i="43" s="1"/>
  <c r="AC66" i="1"/>
  <c r="AH66"/>
  <c r="Q87" i="45" s="1"/>
  <c r="V66" i="1"/>
  <c r="Q66"/>
  <c r="T91" i="52" l="1"/>
  <c r="R87" i="45"/>
  <c r="V131" i="52"/>
  <c r="U130" i="43"/>
  <c r="V132" i="52"/>
  <c r="U131" i="43"/>
  <c r="V188" i="52"/>
  <c r="U186" i="43"/>
  <c r="V143" i="52"/>
  <c r="U142" i="43"/>
  <c r="P287"/>
  <c r="O284" i="45"/>
  <c r="V182" i="52"/>
  <c r="U180" i="43"/>
  <c r="V127" i="52"/>
  <c r="U126" i="43"/>
  <c r="V286" i="52"/>
  <c r="U283" i="43"/>
  <c r="V166" i="52"/>
  <c r="U165" i="43"/>
  <c r="V290" i="52"/>
  <c r="U287" i="43"/>
  <c r="V83" i="52"/>
  <c r="U82" i="43"/>
  <c r="P106"/>
  <c r="O103" i="45"/>
  <c r="V91" i="52"/>
  <c r="U90" i="43"/>
  <c r="V151" i="52"/>
  <c r="U150" i="43"/>
  <c r="V159" i="52"/>
  <c r="U158" i="43"/>
  <c r="V160" i="52"/>
  <c r="U159" i="43"/>
  <c r="V145" i="52"/>
  <c r="U144" i="43"/>
  <c r="V75" i="52"/>
  <c r="U74" i="43"/>
  <c r="V256" i="52"/>
  <c r="U253" i="43"/>
  <c r="V113" i="52"/>
  <c r="U112" i="43"/>
  <c r="V107" i="52"/>
  <c r="U106" i="43"/>
  <c r="AI66" i="1"/>
  <c r="R90" i="43" s="1"/>
  <c r="CP66" i="1"/>
  <c r="CP126"/>
  <c r="CP134"/>
  <c r="CP135"/>
  <c r="CP229"/>
  <c r="CP107"/>
  <c r="CP88"/>
  <c r="AI259"/>
  <c r="R283" i="43" s="1"/>
  <c r="CP259" i="1"/>
  <c r="AI162"/>
  <c r="R186" i="43" s="1"/>
  <c r="CP162" i="1"/>
  <c r="AI141"/>
  <c r="R165" i="43" s="1"/>
  <c r="CP141" i="1"/>
  <c r="AI118"/>
  <c r="R142" i="43" s="1"/>
  <c r="CP118" i="1"/>
  <c r="AI82"/>
  <c r="R106" i="43" s="1"/>
  <c r="CP82" i="1"/>
  <c r="AT118"/>
  <c r="X143" i="52" s="1"/>
  <c r="AT82" i="1"/>
  <c r="X107" i="52" s="1"/>
  <c r="AT263" i="1"/>
  <c r="X290" i="52" s="1"/>
  <c r="AI58" i="1"/>
  <c r="R82" i="43" s="1"/>
  <c r="CP58" i="1"/>
  <c r="AI106"/>
  <c r="R130" i="43" s="1"/>
  <c r="CP106" i="1"/>
  <c r="AI50"/>
  <c r="R74" i="43" s="1"/>
  <c r="CP50" i="1"/>
  <c r="AI126"/>
  <c r="R150" i="43" s="1"/>
  <c r="CP120" i="1"/>
  <c r="CP156"/>
  <c r="CP102"/>
  <c r="AI263"/>
  <c r="R287" i="43" s="1"/>
  <c r="CP263" i="1"/>
  <c r="W118"/>
  <c r="AT126"/>
  <c r="X151" i="52" s="1"/>
  <c r="AT102" i="1"/>
  <c r="X127" i="52" s="1"/>
  <c r="AT88" i="1"/>
  <c r="X113" i="52" s="1"/>
  <c r="AT58" i="1"/>
  <c r="X83" i="52" s="1"/>
  <c r="AT106" i="1"/>
  <c r="X131" i="52" s="1"/>
  <c r="AT50" i="1"/>
  <c r="X75" i="52" s="1"/>
  <c r="AT134" i="1"/>
  <c r="X159" i="52" s="1"/>
  <c r="AT135" i="1"/>
  <c r="X160" i="52" s="1"/>
  <c r="AT120" i="1"/>
  <c r="X145" i="52" s="1"/>
  <c r="AT229" i="1"/>
  <c r="X256" i="52" s="1"/>
  <c r="V134" i="1"/>
  <c r="AH134"/>
  <c r="Q155" i="45" s="1"/>
  <c r="V135" i="1"/>
  <c r="V120"/>
  <c r="AH120"/>
  <c r="Q141" i="45" s="1"/>
  <c r="V229" i="1"/>
  <c r="AH229"/>
  <c r="Q250" i="45" s="1"/>
  <c r="W106" i="1"/>
  <c r="W50"/>
  <c r="W126"/>
  <c r="AT107"/>
  <c r="X132" i="52" s="1"/>
  <c r="AT156" i="1"/>
  <c r="X182" i="52" s="1"/>
  <c r="W107" i="1"/>
  <c r="W156"/>
  <c r="V102"/>
  <c r="AH102"/>
  <c r="Q123" i="45" s="1"/>
  <c r="V88" i="1"/>
  <c r="AH88"/>
  <c r="Q109" i="45" s="1"/>
  <c r="AT259" i="1"/>
  <c r="X286" i="52" s="1"/>
  <c r="AT162" i="1"/>
  <c r="X188" i="52" s="1"/>
  <c r="AT141" i="1"/>
  <c r="X166" i="52" s="1"/>
  <c r="W259" i="1"/>
  <c r="W162"/>
  <c r="W141"/>
  <c r="W58"/>
  <c r="AT66"/>
  <c r="X91" i="52" s="1"/>
  <c r="W66" i="1"/>
  <c r="H16" i="20"/>
  <c r="BI41" i="1"/>
  <c r="P165" i="43" l="1"/>
  <c r="O162" i="45"/>
  <c r="O127"/>
  <c r="P130" i="43"/>
  <c r="P90"/>
  <c r="O87" i="45"/>
  <c r="O183"/>
  <c r="P186" i="43"/>
  <c r="P283"/>
  <c r="O280" i="45"/>
  <c r="P180" i="43"/>
  <c r="O177" i="45"/>
  <c r="O147"/>
  <c r="P150" i="43"/>
  <c r="O139" i="45"/>
  <c r="P142" i="43"/>
  <c r="P82"/>
  <c r="O79" i="45"/>
  <c r="P131" i="43"/>
  <c r="O128" i="45"/>
  <c r="P74" i="43"/>
  <c r="O71" i="45"/>
  <c r="CQ66" i="1"/>
  <c r="CQ162"/>
  <c r="CQ156"/>
  <c r="CQ229"/>
  <c r="CQ135"/>
  <c r="CQ50"/>
  <c r="CQ58"/>
  <c r="CQ102"/>
  <c r="CQ82"/>
  <c r="CQ141"/>
  <c r="CQ259"/>
  <c r="CQ107"/>
  <c r="CQ120"/>
  <c r="CQ134"/>
  <c r="CQ106"/>
  <c r="CQ88"/>
  <c r="CQ126"/>
  <c r="CQ263"/>
  <c r="CQ118"/>
  <c r="BK15"/>
  <c r="AI229"/>
  <c r="R253" i="43" s="1"/>
  <c r="AI120" i="1"/>
  <c r="R144" i="43" s="1"/>
  <c r="AI134" i="1"/>
  <c r="R158" i="43" s="1"/>
  <c r="AI88" i="1"/>
  <c r="R112" i="43" s="1"/>
  <c r="AI102" i="1"/>
  <c r="R126" i="43" s="1"/>
  <c r="W88" i="1"/>
  <c r="W102"/>
  <c r="W229"/>
  <c r="W120"/>
  <c r="W135"/>
  <c r="W134"/>
  <c r="D1"/>
  <c r="O155" i="45" l="1"/>
  <c r="P158" i="43"/>
  <c r="P159"/>
  <c r="O156" i="45"/>
  <c r="O123"/>
  <c r="P126" i="43"/>
  <c r="P112"/>
  <c r="O109" i="45"/>
  <c r="P144" i="43"/>
  <c r="O141" i="45"/>
  <c r="P253" i="43"/>
  <c r="O250" i="45"/>
  <c r="H207" i="20"/>
  <c r="BI404" i="1" l="1"/>
  <c r="BI310"/>
  <c r="BI407" l="1"/>
  <c r="AA347" i="43"/>
  <c r="AA439" l="1"/>
  <c r="AA334"/>
  <c r="AA57"/>
  <c r="BK407" i="1"/>
  <c r="DM17"/>
  <c r="DM14"/>
  <c r="DM13"/>
  <c r="AA442" i="43" l="1"/>
  <c r="CL15" i="1"/>
  <c r="DL17"/>
  <c r="DL14"/>
  <c r="DL13"/>
  <c r="DK14" l="1"/>
  <c r="DJ13"/>
  <c r="DJ14"/>
  <c r="DJ17"/>
  <c r="BF32" l="1"/>
  <c r="AZ17" l="1"/>
  <c r="CA18"/>
  <c r="L14" i="42" s="1"/>
  <c r="AD14" l="1"/>
  <c r="CU18" i="1"/>
  <c r="CA370"/>
  <c r="L366" i="42" s="1"/>
  <c r="CA371" i="1"/>
  <c r="L367" i="42" s="1"/>
  <c r="CA373" i="1"/>
  <c r="L369" i="42" s="1"/>
  <c r="CA374" i="1"/>
  <c r="L370" i="42" s="1"/>
  <c r="CA375" i="1"/>
  <c r="L371" i="42" s="1"/>
  <c r="CA376" i="1"/>
  <c r="L372" i="42" s="1"/>
  <c r="CA377" i="1"/>
  <c r="L373" i="42" s="1"/>
  <c r="CA378" i="1"/>
  <c r="L374" i="42" s="1"/>
  <c r="CA379" i="1"/>
  <c r="L375" i="42" s="1"/>
  <c r="CA380" i="1"/>
  <c r="L376" i="42" s="1"/>
  <c r="CA381" i="1"/>
  <c r="L377" i="42" s="1"/>
  <c r="CA382" i="1"/>
  <c r="L378" i="42" s="1"/>
  <c r="CA383" i="1"/>
  <c r="L379" i="42" s="1"/>
  <c r="CA384" i="1"/>
  <c r="L380" i="42" s="1"/>
  <c r="CA386" i="1"/>
  <c r="L382" i="42" s="1"/>
  <c r="CA387" i="1"/>
  <c r="L383" i="42" s="1"/>
  <c r="CA388" i="1"/>
  <c r="L384" i="42" s="1"/>
  <c r="CA390" i="1"/>
  <c r="L386" i="42" s="1"/>
  <c r="CA391" i="1"/>
  <c r="L387" i="42" s="1"/>
  <c r="CA392" i="1"/>
  <c r="L388" i="42" s="1"/>
  <c r="CA270" i="1"/>
  <c r="L266" i="42" s="1"/>
  <c r="CA394" i="1"/>
  <c r="L390" i="42" s="1"/>
  <c r="CA395" i="1"/>
  <c r="L391" i="42" s="1"/>
  <c r="CA396" i="1"/>
  <c r="L392" i="42" s="1"/>
  <c r="CA398" i="1"/>
  <c r="L394" i="42" s="1"/>
  <c r="CA399" i="1"/>
  <c r="L395" i="42" s="1"/>
  <c r="CA400" i="1"/>
  <c r="L396" i="42" s="1"/>
  <c r="CA401" i="1"/>
  <c r="L397" i="42" s="1"/>
  <c r="CA402" i="1"/>
  <c r="L398" i="42" s="1"/>
  <c r="CA403" i="1"/>
  <c r="L399" i="42" s="1"/>
  <c r="CA369" i="1"/>
  <c r="L365" i="42" s="1"/>
  <c r="CA313" i="1"/>
  <c r="L309" i="42" s="1"/>
  <c r="CA314" i="1"/>
  <c r="L310" i="42" s="1"/>
  <c r="CA315" i="1"/>
  <c r="L311" i="42" s="1"/>
  <c r="CA316" i="1"/>
  <c r="L312" i="42" s="1"/>
  <c r="CA317" i="1"/>
  <c r="L313" i="42" s="1"/>
  <c r="CA318" i="1"/>
  <c r="L314" i="42" s="1"/>
  <c r="CA319" i="1"/>
  <c r="L315" i="42" s="1"/>
  <c r="CA320" i="1"/>
  <c r="L316" i="42" s="1"/>
  <c r="CA321" i="1"/>
  <c r="L317" i="42" s="1"/>
  <c r="CA322" i="1"/>
  <c r="L318" i="42" s="1"/>
  <c r="CA323" i="1"/>
  <c r="L319" i="42" s="1"/>
  <c r="CA324" i="1"/>
  <c r="L320" i="42" s="1"/>
  <c r="CA325" i="1"/>
  <c r="L321" i="42" s="1"/>
  <c r="CA326" i="1"/>
  <c r="L322" i="42" s="1"/>
  <c r="CA327" i="1"/>
  <c r="L323" i="42" s="1"/>
  <c r="CA328" i="1"/>
  <c r="L324" i="42" s="1"/>
  <c r="CA329" i="1"/>
  <c r="L325" i="42" s="1"/>
  <c r="CA330" i="1"/>
  <c r="L326" i="42" s="1"/>
  <c r="CA332" i="1"/>
  <c r="L328" i="42" s="1"/>
  <c r="CA333" i="1"/>
  <c r="L329" i="42" s="1"/>
  <c r="CA334" i="1"/>
  <c r="L330" i="42" s="1"/>
  <c r="CA335" i="1"/>
  <c r="L331" i="42" s="1"/>
  <c r="CA336" i="1"/>
  <c r="L332" i="42" s="1"/>
  <c r="CA337" i="1"/>
  <c r="L333" i="42" s="1"/>
  <c r="CA338" i="1"/>
  <c r="L334" i="42" s="1"/>
  <c r="CA339" i="1"/>
  <c r="L335" i="42" s="1"/>
  <c r="CA340" i="1"/>
  <c r="L336" i="42" s="1"/>
  <c r="CA341" i="1"/>
  <c r="L337" i="42" s="1"/>
  <c r="CA342" i="1"/>
  <c r="L338" i="42" s="1"/>
  <c r="CA343" i="1"/>
  <c r="L339" i="42" s="1"/>
  <c r="CA344" i="1"/>
  <c r="L340" i="42" s="1"/>
  <c r="CA345" i="1"/>
  <c r="L341" i="42" s="1"/>
  <c r="CA346" i="1"/>
  <c r="L342" i="42" s="1"/>
  <c r="CA347" i="1"/>
  <c r="L343" i="42" s="1"/>
  <c r="CA348" i="1"/>
  <c r="L344" i="42" s="1"/>
  <c r="CA349" i="1"/>
  <c r="L345" i="42" s="1"/>
  <c r="CA350" i="1"/>
  <c r="L346" i="42" s="1"/>
  <c r="CA351" i="1"/>
  <c r="L347" i="42" s="1"/>
  <c r="CA352" i="1"/>
  <c r="L348" i="42" s="1"/>
  <c r="CA353" i="1"/>
  <c r="L349" i="42" s="1"/>
  <c r="CA354" i="1"/>
  <c r="L350" i="42" s="1"/>
  <c r="CA355" i="1"/>
  <c r="L351" i="42" s="1"/>
  <c r="CA356" i="1"/>
  <c r="L352" i="42" s="1"/>
  <c r="CA357" i="1"/>
  <c r="L353" i="42" s="1"/>
  <c r="CA359" i="1"/>
  <c r="L355" i="42" s="1"/>
  <c r="CA360" i="1"/>
  <c r="L356" i="42" s="1"/>
  <c r="CA361" i="1"/>
  <c r="L357" i="42" s="1"/>
  <c r="CA362" i="1"/>
  <c r="L358" i="42" s="1"/>
  <c r="CA363" i="1"/>
  <c r="L359" i="42" s="1"/>
  <c r="CA364" i="1"/>
  <c r="L360" i="42" s="1"/>
  <c r="CA365" i="1"/>
  <c r="L361" i="42" s="1"/>
  <c r="CA366" i="1"/>
  <c r="L362" i="42" s="1"/>
  <c r="CA367" i="1"/>
  <c r="L363" i="42" s="1"/>
  <c r="CA312" i="1"/>
  <c r="L308" i="42" s="1"/>
  <c r="CA274" i="1"/>
  <c r="L270" i="42" s="1"/>
  <c r="CA275" i="1"/>
  <c r="L271" i="42" s="1"/>
  <c r="CA276" i="1"/>
  <c r="L272" i="42" s="1"/>
  <c r="CA278" i="1"/>
  <c r="L274" i="42" s="1"/>
  <c r="CA279" i="1"/>
  <c r="L275" i="42" s="1"/>
  <c r="CA281" i="1"/>
  <c r="L277" i="42" s="1"/>
  <c r="CA282" i="1"/>
  <c r="L278" i="42" s="1"/>
  <c r="CA283" i="1"/>
  <c r="L279" i="42" s="1"/>
  <c r="CA284" i="1"/>
  <c r="L280" i="42" s="1"/>
  <c r="CA285" i="1"/>
  <c r="L281" i="42" s="1"/>
  <c r="CA286" i="1"/>
  <c r="L282" i="42" s="1"/>
  <c r="CA288" i="1"/>
  <c r="L284" i="42" s="1"/>
  <c r="CA289" i="1"/>
  <c r="L285" i="42" s="1"/>
  <c r="CA290" i="1"/>
  <c r="L286" i="42" s="1"/>
  <c r="CA291" i="1"/>
  <c r="L287" i="42" s="1"/>
  <c r="CA296" i="1"/>
  <c r="L292" i="42" s="1"/>
  <c r="CA297" i="1"/>
  <c r="L293" i="42" s="1"/>
  <c r="CA298" i="1"/>
  <c r="L294" i="42" s="1"/>
  <c r="CA299" i="1"/>
  <c r="L295" i="42" s="1"/>
  <c r="CA300" i="1"/>
  <c r="L296" i="42" s="1"/>
  <c r="CA301" i="1"/>
  <c r="L297" i="42" s="1"/>
  <c r="CA302" i="1"/>
  <c r="L298" i="42" s="1"/>
  <c r="CA304" i="1"/>
  <c r="L300" i="42" s="1"/>
  <c r="CA305" i="1"/>
  <c r="L301" i="42" s="1"/>
  <c r="CA306" i="1"/>
  <c r="L302" i="42" s="1"/>
  <c r="CA307" i="1"/>
  <c r="L303" i="42" s="1"/>
  <c r="CA308" i="1"/>
  <c r="L304" i="42" s="1"/>
  <c r="CA267" i="1"/>
  <c r="L263" i="42" s="1"/>
  <c r="CA268" i="1"/>
  <c r="L264" i="42" s="1"/>
  <c r="CA266" i="1"/>
  <c r="L262" i="42" s="1"/>
  <c r="CA191" i="1"/>
  <c r="L187" i="42" s="1"/>
  <c r="CA192" i="1"/>
  <c r="L188" i="42" s="1"/>
  <c r="CA193" i="1"/>
  <c r="L189" i="42" s="1"/>
  <c r="CA195" i="1"/>
  <c r="L191" i="42" s="1"/>
  <c r="CA196" i="1"/>
  <c r="L192" i="42" s="1"/>
  <c r="CA197" i="1"/>
  <c r="L193" i="42" s="1"/>
  <c r="CA198" i="1"/>
  <c r="L194" i="42" s="1"/>
  <c r="CA200" i="1"/>
  <c r="L196" i="42" s="1"/>
  <c r="CA201" i="1"/>
  <c r="L197" i="42" s="1"/>
  <c r="CA204" i="1"/>
  <c r="L200" i="42" s="1"/>
  <c r="CA205" i="1"/>
  <c r="L201" i="42" s="1"/>
  <c r="CA206" i="1"/>
  <c r="L202" i="42" s="1"/>
  <c r="CA207" i="1"/>
  <c r="L203" i="42" s="1"/>
  <c r="CA208" i="1"/>
  <c r="L204" i="42" s="1"/>
  <c r="CA209" i="1"/>
  <c r="L205" i="42" s="1"/>
  <c r="CA211" i="1"/>
  <c r="L207" i="42" s="1"/>
  <c r="CA212" i="1"/>
  <c r="L208" i="42" s="1"/>
  <c r="CA213" i="1"/>
  <c r="L209" i="42" s="1"/>
  <c r="CA214" i="1"/>
  <c r="L210" i="42" s="1"/>
  <c r="CA217" i="1"/>
  <c r="L213" i="42" s="1"/>
  <c r="CA220" i="1"/>
  <c r="L216" i="42" s="1"/>
  <c r="CA221" i="1"/>
  <c r="L217" i="42" s="1"/>
  <c r="CA222" i="1"/>
  <c r="L218" i="42" s="1"/>
  <c r="CA223" i="1"/>
  <c r="L219" i="42" s="1"/>
  <c r="CA227" i="1"/>
  <c r="L223" i="42" s="1"/>
  <c r="CA228" i="1"/>
  <c r="L224" i="42" s="1"/>
  <c r="CA230" i="1"/>
  <c r="L226" i="42" s="1"/>
  <c r="CA231" i="1"/>
  <c r="L227" i="42" s="1"/>
  <c r="CA233" i="1"/>
  <c r="L229" i="42" s="1"/>
  <c r="CA234" i="1"/>
  <c r="L230" i="42" s="1"/>
  <c r="CA235" i="1"/>
  <c r="L231" i="42" s="1"/>
  <c r="CA236" i="1"/>
  <c r="L232" i="42" s="1"/>
  <c r="CA237" i="1"/>
  <c r="L233" i="42" s="1"/>
  <c r="CA238" i="1"/>
  <c r="L234" i="42" s="1"/>
  <c r="CA239" i="1"/>
  <c r="L235" i="42" s="1"/>
  <c r="CA240" i="1"/>
  <c r="L236" i="42" s="1"/>
  <c r="CA241" i="1"/>
  <c r="L237" i="42" s="1"/>
  <c r="CA242" i="1"/>
  <c r="L238" i="42" s="1"/>
  <c r="CA244" i="1"/>
  <c r="L240" i="42" s="1"/>
  <c r="CA245" i="1"/>
  <c r="L241" i="42" s="1"/>
  <c r="CA246" i="1"/>
  <c r="L242" i="42" s="1"/>
  <c r="CA248" i="1"/>
  <c r="L244" i="42" s="1"/>
  <c r="CA249" i="1"/>
  <c r="L245" i="42" s="1"/>
  <c r="CA250" i="1"/>
  <c r="L246" i="42" s="1"/>
  <c r="CA253" i="1"/>
  <c r="L249" i="42" s="1"/>
  <c r="CA257" i="1"/>
  <c r="L253" i="42" s="1"/>
  <c r="CA258" i="1"/>
  <c r="L254" i="42" s="1"/>
  <c r="CA260" i="1"/>
  <c r="L256" i="42" s="1"/>
  <c r="CA261" i="1"/>
  <c r="L257" i="42" s="1"/>
  <c r="CA262" i="1"/>
  <c r="L258" i="42" s="1"/>
  <c r="CA264" i="1"/>
  <c r="L260" i="42" s="1"/>
  <c r="CA190" i="1"/>
  <c r="L186" i="42" s="1"/>
  <c r="CA152" i="1"/>
  <c r="L148" i="42" s="1"/>
  <c r="CA153" i="1"/>
  <c r="L149" i="42" s="1"/>
  <c r="CA154" i="1"/>
  <c r="L150" i="42" s="1"/>
  <c r="CA155" i="1"/>
  <c r="L151" i="42" s="1"/>
  <c r="CA157" i="1"/>
  <c r="L153" i="42" s="1"/>
  <c r="CA159" i="1"/>
  <c r="L155" i="42" s="1"/>
  <c r="CA160" i="1"/>
  <c r="L156" i="42" s="1"/>
  <c r="CA161" i="1"/>
  <c r="L157" i="42" s="1"/>
  <c r="CA163" i="1"/>
  <c r="L159" i="42" s="1"/>
  <c r="CA164" i="1"/>
  <c r="L160" i="42" s="1"/>
  <c r="CA165" i="1"/>
  <c r="L161" i="42" s="1"/>
  <c r="CA166" i="1"/>
  <c r="L162" i="42" s="1"/>
  <c r="CA167" i="1"/>
  <c r="L163" i="42" s="1"/>
  <c r="CA168" i="1"/>
  <c r="L164" i="42" s="1"/>
  <c r="CA169" i="1"/>
  <c r="L165" i="42" s="1"/>
  <c r="CA170" i="1"/>
  <c r="L166" i="42" s="1"/>
  <c r="CA171" i="1"/>
  <c r="L167" i="42" s="1"/>
  <c r="CA172" i="1"/>
  <c r="L168" i="42" s="1"/>
  <c r="CA173" i="1"/>
  <c r="L169" i="42" s="1"/>
  <c r="CA174" i="1"/>
  <c r="L170" i="42" s="1"/>
  <c r="CA175" i="1"/>
  <c r="L171" i="42" s="1"/>
  <c r="CA176" i="1"/>
  <c r="L172" i="42" s="1"/>
  <c r="CA177" i="1"/>
  <c r="L173" i="42" s="1"/>
  <c r="CA179" i="1"/>
  <c r="L175" i="42" s="1"/>
  <c r="CA180" i="1"/>
  <c r="L176" i="42" s="1"/>
  <c r="CA181" i="1"/>
  <c r="L177" i="42" s="1"/>
  <c r="CA182" i="1"/>
  <c r="L178" i="42" s="1"/>
  <c r="CA184" i="1"/>
  <c r="L180" i="42" s="1"/>
  <c r="CA187" i="1"/>
  <c r="L183" i="42" s="1"/>
  <c r="CA188" i="1"/>
  <c r="L184" i="42" s="1"/>
  <c r="CA151" i="1"/>
  <c r="L147" i="42" s="1"/>
  <c r="CA103" i="1"/>
  <c r="L99" i="42" s="1"/>
  <c r="CA104" i="1"/>
  <c r="L100" i="42" s="1"/>
  <c r="CA105" i="1"/>
  <c r="L101" i="42" s="1"/>
  <c r="CA109" i="1"/>
  <c r="L105" i="42" s="1"/>
  <c r="CA110" i="1"/>
  <c r="L106" i="42" s="1"/>
  <c r="CA111" i="1"/>
  <c r="L107" i="42" s="1"/>
  <c r="CA113" i="1"/>
  <c r="L109" i="42" s="1"/>
  <c r="CA114" i="1"/>
  <c r="L110" i="42" s="1"/>
  <c r="CA115" i="1"/>
  <c r="L111" i="42" s="1"/>
  <c r="CA116" i="1"/>
  <c r="L112" i="42" s="1"/>
  <c r="CA117" i="1"/>
  <c r="L113" i="42" s="1"/>
  <c r="CA121" i="1"/>
  <c r="L117" i="42" s="1"/>
  <c r="CA122" i="1"/>
  <c r="L118" i="42" s="1"/>
  <c r="CA123" i="1"/>
  <c r="L119" i="42" s="1"/>
  <c r="CA124" i="1"/>
  <c r="L120" i="42" s="1"/>
  <c r="CA125" i="1"/>
  <c r="L121" i="42" s="1"/>
  <c r="CA127" i="1"/>
  <c r="L123" i="42" s="1"/>
  <c r="CA130" i="1"/>
  <c r="L126" i="42" s="1"/>
  <c r="CA131" i="1"/>
  <c r="L127" i="42" s="1"/>
  <c r="CA132" i="1"/>
  <c r="L128" i="42" s="1"/>
  <c r="CA133" i="1"/>
  <c r="L129" i="42" s="1"/>
  <c r="CA136" i="1"/>
  <c r="L132" i="42" s="1"/>
  <c r="CA137" i="1"/>
  <c r="L133" i="42" s="1"/>
  <c r="CA138" i="1"/>
  <c r="L134" i="42" s="1"/>
  <c r="CA139" i="1"/>
  <c r="L135" i="42" s="1"/>
  <c r="CA140" i="1"/>
  <c r="L136" i="42" s="1"/>
  <c r="CA142" i="1"/>
  <c r="L138" i="42" s="1"/>
  <c r="CA143" i="1"/>
  <c r="L139" i="42" s="1"/>
  <c r="CA144" i="1"/>
  <c r="L140" i="42" s="1"/>
  <c r="CA145" i="1"/>
  <c r="L141" i="42" s="1"/>
  <c r="CA146" i="1"/>
  <c r="L142" i="42" s="1"/>
  <c r="CA147" i="1"/>
  <c r="L143" i="42" s="1"/>
  <c r="CA148" i="1"/>
  <c r="L144" i="42" s="1"/>
  <c r="CA149" i="1"/>
  <c r="L145" i="42" s="1"/>
  <c r="CA150" i="1"/>
  <c r="L146" i="42" s="1"/>
  <c r="CA101" i="1"/>
  <c r="L97" i="42" s="1"/>
  <c r="CA70" i="1"/>
  <c r="L66" i="42" s="1"/>
  <c r="CA71" i="1"/>
  <c r="L67" i="42" s="1"/>
  <c r="CA72" i="1"/>
  <c r="L68" i="42" s="1"/>
  <c r="CA73" i="1"/>
  <c r="L69" i="42" s="1"/>
  <c r="CA74" i="1"/>
  <c r="L70" i="42" s="1"/>
  <c r="CA75" i="1"/>
  <c r="L71" i="42" s="1"/>
  <c r="CA76" i="1"/>
  <c r="L72" i="42" s="1"/>
  <c r="CA77" i="1"/>
  <c r="L73" i="42" s="1"/>
  <c r="CA78" i="1"/>
  <c r="L74" i="42" s="1"/>
  <c r="CA79" i="1"/>
  <c r="L75" i="42" s="1"/>
  <c r="CA80" i="1"/>
  <c r="L76" i="42" s="1"/>
  <c r="CA81" i="1"/>
  <c r="L77" i="42" s="1"/>
  <c r="CA84" i="1"/>
  <c r="L80" i="42" s="1"/>
  <c r="CA85" i="1"/>
  <c r="L81" i="42" s="1"/>
  <c r="CA86" i="1"/>
  <c r="L82" i="42" s="1"/>
  <c r="CA87" i="1"/>
  <c r="L83" i="42" s="1"/>
  <c r="AD78"/>
  <c r="CA89" i="1"/>
  <c r="L85" i="42" s="1"/>
  <c r="CA91" i="1"/>
  <c r="L87" i="42" s="1"/>
  <c r="CA92" i="1"/>
  <c r="L88" i="42" s="1"/>
  <c r="CA93" i="1"/>
  <c r="L89" i="42" s="1"/>
  <c r="CA95" i="1"/>
  <c r="L91" i="42" s="1"/>
  <c r="CA96" i="1"/>
  <c r="L92" i="42" s="1"/>
  <c r="CA97" i="1"/>
  <c r="L93" i="42" s="1"/>
  <c r="CA98" i="1"/>
  <c r="L94" i="42" s="1"/>
  <c r="CA99" i="1"/>
  <c r="L95" i="42" s="1"/>
  <c r="CA55" i="1"/>
  <c r="L51" i="42" s="1"/>
  <c r="CA56" i="1"/>
  <c r="L52" i="42" s="1"/>
  <c r="CA59" i="1"/>
  <c r="L55" i="42" s="1"/>
  <c r="CA60" i="1"/>
  <c r="L56" i="42" s="1"/>
  <c r="CA61" i="1"/>
  <c r="L57" i="42" s="1"/>
  <c r="CA62" i="1"/>
  <c r="L58" i="42" s="1"/>
  <c r="CA63" i="1"/>
  <c r="L59" i="42" s="1"/>
  <c r="CA64" i="1"/>
  <c r="L60" i="42" s="1"/>
  <c r="CA65" i="1"/>
  <c r="L61" i="42" s="1"/>
  <c r="CA67" i="1"/>
  <c r="L63" i="42" s="1"/>
  <c r="CA68" i="1"/>
  <c r="L64" i="42" s="1"/>
  <c r="CA69" i="1"/>
  <c r="L65" i="42" s="1"/>
  <c r="CA54" i="1"/>
  <c r="L50" i="42" s="1"/>
  <c r="CA44" i="1"/>
  <c r="L40" i="42" s="1"/>
  <c r="CA45" i="1"/>
  <c r="L41" i="42" s="1"/>
  <c r="CA46" i="1"/>
  <c r="L42" i="42" s="1"/>
  <c r="CA47" i="1"/>
  <c r="L43" i="42" s="1"/>
  <c r="CA48" i="1"/>
  <c r="L44" i="42" s="1"/>
  <c r="CA49" i="1"/>
  <c r="L45" i="42" s="1"/>
  <c r="CA52" i="1"/>
  <c r="L48" i="42" s="1"/>
  <c r="CA43" i="1"/>
  <c r="L39" i="42" s="1"/>
  <c r="CA31" i="1"/>
  <c r="L27" i="42" s="1"/>
  <c r="CA32" i="1"/>
  <c r="L28" i="42" s="1"/>
  <c r="CA33" i="1"/>
  <c r="L29" i="42" s="1"/>
  <c r="CA34" i="1"/>
  <c r="L30" i="42" s="1"/>
  <c r="CA35" i="1"/>
  <c r="L31" i="42" s="1"/>
  <c r="CA36" i="1"/>
  <c r="L32" i="42" s="1"/>
  <c r="CA37" i="1"/>
  <c r="L33" i="42" s="1"/>
  <c r="CA39" i="1"/>
  <c r="L35" i="42" s="1"/>
  <c r="CA40" i="1"/>
  <c r="L36" i="42" s="1"/>
  <c r="CA20" i="1"/>
  <c r="L16" i="42" s="1"/>
  <c r="CA21" i="1"/>
  <c r="L17" i="42" s="1"/>
  <c r="CA22" i="1"/>
  <c r="L18" i="42" s="1"/>
  <c r="CA23" i="1"/>
  <c r="L19" i="42" s="1"/>
  <c r="CA24" i="1"/>
  <c r="L20" i="42" s="1"/>
  <c r="CA26" i="1"/>
  <c r="L22" i="42" s="1"/>
  <c r="CA27" i="1"/>
  <c r="L23" i="42" s="1"/>
  <c r="CA28" i="1"/>
  <c r="L24" i="42" s="1"/>
  <c r="CA29" i="1"/>
  <c r="L25" i="42" s="1"/>
  <c r="CA30" i="1"/>
  <c r="L26" i="42" s="1"/>
  <c r="CA19" i="1"/>
  <c r="L15" i="42" s="1"/>
  <c r="CA17" i="1"/>
  <c r="L13" i="42" s="1"/>
  <c r="L400" l="1"/>
  <c r="L306"/>
  <c r="CU366" i="1"/>
  <c r="CU364"/>
  <c r="AD361" i="42"/>
  <c r="CU362" i="1"/>
  <c r="CU360"/>
  <c r="AD357" i="42"/>
  <c r="CU357" i="1"/>
  <c r="AD354" i="42"/>
  <c r="CU355" i="1"/>
  <c r="CU353"/>
  <c r="AD350" i="42"/>
  <c r="CU352" i="1"/>
  <c r="AD348" i="42"/>
  <c r="CU350" i="1"/>
  <c r="AD346" i="42"/>
  <c r="CU348" i="1"/>
  <c r="AD344" i="42"/>
  <c r="CU346" i="1"/>
  <c r="AD342" i="42"/>
  <c r="CU344" i="1"/>
  <c r="AD340" i="42"/>
  <c r="CU342" i="1"/>
  <c r="AD338" i="42"/>
  <c r="CU340" i="1"/>
  <c r="AD336" i="42"/>
  <c r="CU338" i="1"/>
  <c r="CU336"/>
  <c r="AD332" i="42"/>
  <c r="CU334" i="1"/>
  <c r="AD328" i="42"/>
  <c r="CU330" i="1"/>
  <c r="CU328"/>
  <c r="AD324" i="42"/>
  <c r="CU326" i="1"/>
  <c r="CU324"/>
  <c r="AD320" i="42"/>
  <c r="CU322" i="1"/>
  <c r="CU320"/>
  <c r="CU318"/>
  <c r="CU316"/>
  <c r="AD312" i="42"/>
  <c r="CU314" i="1"/>
  <c r="CU369"/>
  <c r="AD366" i="42"/>
  <c r="CU399" i="1"/>
  <c r="CU394"/>
  <c r="AD389" i="42"/>
  <c r="CU383" i="1"/>
  <c r="CU381"/>
  <c r="AD378" i="42"/>
  <c r="CU379" i="1"/>
  <c r="CU377"/>
  <c r="AD374" i="42"/>
  <c r="CU375" i="1"/>
  <c r="CU373"/>
  <c r="AD369" i="42"/>
  <c r="CU370" i="1"/>
  <c r="CU367"/>
  <c r="AD364" i="42"/>
  <c r="CU363" i="1"/>
  <c r="AD360" i="42"/>
  <c r="CU361" i="1"/>
  <c r="AD358" i="42"/>
  <c r="CU356" i="1"/>
  <c r="CU354"/>
  <c r="AD351" i="42"/>
  <c r="CU351" i="1"/>
  <c r="CU349"/>
  <c r="CU347"/>
  <c r="AD343" i="42"/>
  <c r="CU345" i="1"/>
  <c r="CU343"/>
  <c r="AD339" i="42"/>
  <c r="CU341" i="1"/>
  <c r="CU339"/>
  <c r="CU337"/>
  <c r="AD333" i="42"/>
  <c r="CU335" i="1"/>
  <c r="AD331" i="42"/>
  <c r="CU333" i="1"/>
  <c r="CU332"/>
  <c r="AD327" i="42"/>
  <c r="CU329" i="1"/>
  <c r="CU327"/>
  <c r="AD323" i="42"/>
  <c r="CU325" i="1"/>
  <c r="CU323"/>
  <c r="AD319" i="42"/>
  <c r="CU321" i="1"/>
  <c r="CU319"/>
  <c r="CU317"/>
  <c r="AD313" i="42"/>
  <c r="CU315" i="1"/>
  <c r="AD311" i="42"/>
  <c r="CU313" i="1"/>
  <c r="AD309" i="42"/>
  <c r="CU395" i="1"/>
  <c r="CU384"/>
  <c r="AD381" i="42"/>
  <c r="CU382" i="1"/>
  <c r="CU380"/>
  <c r="AD377" i="42"/>
  <c r="CU378" i="1"/>
  <c r="AD375" i="42"/>
  <c r="CU376" i="1"/>
  <c r="AD373" i="42"/>
  <c r="CU374" i="1"/>
  <c r="AD370" i="42"/>
  <c r="CU371" i="1"/>
  <c r="AD368" i="42"/>
  <c r="AD26"/>
  <c r="CU29" i="1"/>
  <c r="AD24" i="42"/>
  <c r="CU28" i="1"/>
  <c r="AD20" i="42"/>
  <c r="CU24" i="1"/>
  <c r="AD16" i="42"/>
  <c r="CU20" i="1"/>
  <c r="AD34" i="42"/>
  <c r="CU36" i="1"/>
  <c r="AD30" i="42"/>
  <c r="CU32" i="1"/>
  <c r="AD48" i="42"/>
  <c r="CU52" i="1"/>
  <c r="CU46"/>
  <c r="AD63" i="42"/>
  <c r="CU69" i="1"/>
  <c r="CU64"/>
  <c r="AD54" i="42"/>
  <c r="CU60" i="1"/>
  <c r="CU55"/>
  <c r="CU96"/>
  <c r="CU84"/>
  <c r="AD76" i="42"/>
  <c r="CU81" i="1"/>
  <c r="CU77"/>
  <c r="CU74"/>
  <c r="CU70"/>
  <c r="AD152" i="42"/>
  <c r="CU149" i="1"/>
  <c r="AD146" i="42"/>
  <c r="CU147" i="1"/>
  <c r="CU144"/>
  <c r="CU142"/>
  <c r="CU138"/>
  <c r="AD129" i="42"/>
  <c r="CU132" i="1"/>
  <c r="CU125"/>
  <c r="CU123"/>
  <c r="CU117"/>
  <c r="AD112" i="42"/>
  <c r="CU113" i="1"/>
  <c r="CU109"/>
  <c r="AD102" i="42"/>
  <c r="CU104" i="1"/>
  <c r="CU103"/>
  <c r="AD190" i="42"/>
  <c r="CU185" i="1"/>
  <c r="CU180"/>
  <c r="AD182" i="42"/>
  <c r="CU175" i="1"/>
  <c r="CU171"/>
  <c r="AD173" i="42"/>
  <c r="CU166" i="1"/>
  <c r="AD166" i="42"/>
  <c r="CU161" i="1"/>
  <c r="CU159"/>
  <c r="AD160" i="42"/>
  <c r="CU157" i="1"/>
  <c r="CU153"/>
  <c r="AD194" i="42"/>
  <c r="CU190" i="1"/>
  <c r="CU262"/>
  <c r="CU260"/>
  <c r="CU249"/>
  <c r="CU244"/>
  <c r="AD236" i="42"/>
  <c r="CU239" i="1"/>
  <c r="CU236"/>
  <c r="AD230" i="42"/>
  <c r="CU234" i="1"/>
  <c r="AD221" i="42"/>
  <c r="CU222" i="1"/>
  <c r="AD214" i="42"/>
  <c r="CU212" i="1"/>
  <c r="AD27" i="42"/>
  <c r="CU30" i="1"/>
  <c r="AD25" i="42"/>
  <c r="AD23"/>
  <c r="CU27" i="1"/>
  <c r="AD21" i="42"/>
  <c r="AD19"/>
  <c r="CU23" i="1"/>
  <c r="AD17" i="42"/>
  <c r="CU21" i="1"/>
  <c r="AD36" i="42"/>
  <c r="CU40" i="1"/>
  <c r="CU37"/>
  <c r="AD33" i="42"/>
  <c r="CU35" i="1"/>
  <c r="AD31" i="42"/>
  <c r="CU33" i="1"/>
  <c r="AD29" i="42"/>
  <c r="CU49" i="1"/>
  <c r="AD43" i="42"/>
  <c r="CU47" i="1"/>
  <c r="CU45"/>
  <c r="CU54"/>
  <c r="CU68"/>
  <c r="AD59" i="42"/>
  <c r="CU65" i="1"/>
  <c r="CU63"/>
  <c r="AD55" i="42"/>
  <c r="CU61" i="1"/>
  <c r="CU59"/>
  <c r="AD50" i="42"/>
  <c r="CU56" i="1"/>
  <c r="CU99"/>
  <c r="CU97"/>
  <c r="CU95"/>
  <c r="AD89" i="42"/>
  <c r="CU93" i="1"/>
  <c r="CU91"/>
  <c r="AD85" i="42"/>
  <c r="CU87" i="1"/>
  <c r="AD81" i="42"/>
  <c r="CU85" i="1"/>
  <c r="AD75" i="42"/>
  <c r="CU80" i="1"/>
  <c r="CU78"/>
  <c r="AD71" i="42"/>
  <c r="CU75" i="1"/>
  <c r="AD67" i="42"/>
  <c r="CU73" i="1"/>
  <c r="CU71"/>
  <c r="AD98" i="42"/>
  <c r="CU101" i="1"/>
  <c r="AD149" i="42"/>
  <c r="CU150" i="1"/>
  <c r="CU148"/>
  <c r="AD145" i="42"/>
  <c r="CU146" i="1"/>
  <c r="CU143"/>
  <c r="AD139" i="42"/>
  <c r="CU139" i="1"/>
  <c r="AD134" i="42"/>
  <c r="CU137" i="1"/>
  <c r="CU133"/>
  <c r="AD128" i="42"/>
  <c r="CU131" i="1"/>
  <c r="CU127"/>
  <c r="CU124"/>
  <c r="CU122"/>
  <c r="AD119" i="42"/>
  <c r="CU116" i="1"/>
  <c r="AD113" i="42"/>
  <c r="CU114" i="1"/>
  <c r="CU111"/>
  <c r="AD109" i="42"/>
  <c r="CU110" i="1"/>
  <c r="CU105"/>
  <c r="AD153" i="42"/>
  <c r="CU151" i="1"/>
  <c r="CU187"/>
  <c r="AD189" i="42"/>
  <c r="CU184" i="1"/>
  <c r="CU181"/>
  <c r="CU179"/>
  <c r="CU176"/>
  <c r="CU174"/>
  <c r="CU172"/>
  <c r="AD177" i="42"/>
  <c r="CU170" i="1"/>
  <c r="CU168"/>
  <c r="AD172" i="42"/>
  <c r="CU167" i="1"/>
  <c r="CU165"/>
  <c r="CU163"/>
  <c r="CU160"/>
  <c r="AD163" i="42"/>
  <c r="AD158"/>
  <c r="CU154" i="1"/>
  <c r="CU152"/>
  <c r="CU258"/>
  <c r="CU253"/>
  <c r="CU250"/>
  <c r="CU248"/>
  <c r="CU245"/>
  <c r="AD239" i="42"/>
  <c r="CU242" i="1"/>
  <c r="CU240"/>
  <c r="CU238"/>
  <c r="CU237"/>
  <c r="AD231" i="42"/>
  <c r="CU235" i="1"/>
  <c r="CU233"/>
  <c r="AD227" i="42"/>
  <c r="CU230" i="1"/>
  <c r="CU228"/>
  <c r="AD222" i="42"/>
  <c r="CU223" i="1"/>
  <c r="CU221"/>
  <c r="CU217"/>
  <c r="CU213"/>
  <c r="AD213" i="42"/>
  <c r="CU211" i="1"/>
  <c r="CU208"/>
  <c r="AD209" i="42"/>
  <c r="CU206" i="1"/>
  <c r="CU204"/>
  <c r="CU200"/>
  <c r="CU197"/>
  <c r="CU195"/>
  <c r="CU192"/>
  <c r="CU266"/>
  <c r="CU267"/>
  <c r="CU308"/>
  <c r="CU306"/>
  <c r="CU304"/>
  <c r="CU301"/>
  <c r="CU299"/>
  <c r="CU297"/>
  <c r="CU291"/>
  <c r="CU289"/>
  <c r="CU286"/>
  <c r="CU285"/>
  <c r="CU283"/>
  <c r="CU282"/>
  <c r="CU279"/>
  <c r="CU276"/>
  <c r="CU274"/>
  <c r="CU365"/>
  <c r="AD356" i="42"/>
  <c r="CU359" i="1"/>
  <c r="AD399" i="42"/>
  <c r="CU403" i="1"/>
  <c r="CU401"/>
  <c r="CU400"/>
  <c r="CU398"/>
  <c r="CU270"/>
  <c r="AD387" i="42"/>
  <c r="CU391" i="1"/>
  <c r="AD385" i="42"/>
  <c r="CU388" i="1"/>
  <c r="AD383" i="42"/>
  <c r="CU386" i="1"/>
  <c r="AD15" i="42"/>
  <c r="CU19" i="1"/>
  <c r="AD22" i="42"/>
  <c r="CU26" i="1"/>
  <c r="AD18" i="42"/>
  <c r="CU22" i="1"/>
  <c r="CU39"/>
  <c r="AD32" i="42"/>
  <c r="CU34" i="1"/>
  <c r="AD28" i="42"/>
  <c r="CU31" i="1"/>
  <c r="AD44" i="42"/>
  <c r="CU48" i="1"/>
  <c r="AD40" i="42"/>
  <c r="CU44" i="1"/>
  <c r="AD61" i="42"/>
  <c r="CU67" i="1"/>
  <c r="CU62"/>
  <c r="AD51" i="42"/>
  <c r="AD95"/>
  <c r="CU98" i="1"/>
  <c r="AD88" i="42"/>
  <c r="CU92" i="1"/>
  <c r="CU89"/>
  <c r="AD82" i="42"/>
  <c r="CU86" i="1"/>
  <c r="CU79"/>
  <c r="AD70" i="42"/>
  <c r="CU76" i="1"/>
  <c r="CU72"/>
  <c r="AD150" i="42"/>
  <c r="CU145" i="1"/>
  <c r="AD137" i="42"/>
  <c r="CU140" i="1"/>
  <c r="CU136"/>
  <c r="AD127" i="42"/>
  <c r="CU130" i="1"/>
  <c r="CU121"/>
  <c r="CU115"/>
  <c r="AD106" i="42"/>
  <c r="CU188" i="1"/>
  <c r="AD188" i="42"/>
  <c r="CU182" i="1"/>
  <c r="CU177"/>
  <c r="AD180" i="42"/>
  <c r="CU173" i="1"/>
  <c r="CU169"/>
  <c r="CU164"/>
  <c r="CU155"/>
  <c r="CU264"/>
  <c r="CU261"/>
  <c r="CU257"/>
  <c r="CU246"/>
  <c r="CU241"/>
  <c r="AD228" i="42"/>
  <c r="CU231" i="1"/>
  <c r="AD223" i="42"/>
  <c r="CU227" i="1"/>
  <c r="CU220"/>
  <c r="AD216" i="42"/>
  <c r="CU214" i="1"/>
  <c r="CU209"/>
  <c r="AD210" i="42"/>
  <c r="CU207" i="1"/>
  <c r="AD208" i="42"/>
  <c r="CU205" i="1"/>
  <c r="AD206" i="42"/>
  <c r="CU201" i="1"/>
  <c r="AD203" i="42"/>
  <c r="CU198" i="1"/>
  <c r="AD200" i="42"/>
  <c r="CU196" i="1"/>
  <c r="AD197" i="42"/>
  <c r="CU193" i="1"/>
  <c r="AD195" i="42"/>
  <c r="CU191" i="1"/>
  <c r="CU268"/>
  <c r="CU307"/>
  <c r="CU305"/>
  <c r="CU302"/>
  <c r="CU300"/>
  <c r="CU298"/>
  <c r="CU296"/>
  <c r="CU290"/>
  <c r="CU288"/>
  <c r="CU284"/>
  <c r="CU281"/>
  <c r="CU278"/>
  <c r="CU275"/>
  <c r="CU402"/>
  <c r="CU396"/>
  <c r="AD388" i="42"/>
  <c r="CU392" i="1"/>
  <c r="AD386" i="42"/>
  <c r="CU390" i="1"/>
  <c r="AD384" i="42"/>
  <c r="CU387" i="1"/>
  <c r="AD382" i="42"/>
  <c r="AD46"/>
  <c r="AD42"/>
  <c r="AD58"/>
  <c r="AD52"/>
  <c r="AD56"/>
  <c r="AD49"/>
  <c r="AD94"/>
  <c r="AD92"/>
  <c r="AD84"/>
  <c r="AD86"/>
  <c r="AD80"/>
  <c r="AD74"/>
  <c r="AD148"/>
  <c r="AD131"/>
  <c r="AD143"/>
  <c r="AD125"/>
  <c r="AD141"/>
  <c r="AD117"/>
  <c r="AD130"/>
  <c r="AD123"/>
  <c r="AD121"/>
  <c r="AD115"/>
  <c r="AD103"/>
  <c r="AD111"/>
  <c r="AD107"/>
  <c r="AD105"/>
  <c r="AD101"/>
  <c r="AD99"/>
  <c r="AD193"/>
  <c r="AD167"/>
  <c r="AD183"/>
  <c r="AD179"/>
  <c r="AD159"/>
  <c r="AD168"/>
  <c r="AD165"/>
  <c r="AD161"/>
  <c r="AD156"/>
  <c r="AD154"/>
  <c r="AD237"/>
  <c r="AD235"/>
  <c r="AD233"/>
  <c r="AD229"/>
  <c r="AD205"/>
  <c r="AD226"/>
  <c r="AD224"/>
  <c r="AD199"/>
  <c r="AD220"/>
  <c r="AD218"/>
  <c r="AD191"/>
  <c r="AD187"/>
  <c r="AD185"/>
  <c r="AD305"/>
  <c r="AD371"/>
  <c r="AD352"/>
  <c r="AD329"/>
  <c r="AD325"/>
  <c r="AD321"/>
  <c r="AD317"/>
  <c r="AD379"/>
  <c r="AD45"/>
  <c r="AD41"/>
  <c r="AD47"/>
  <c r="AD57"/>
  <c r="AD53"/>
  <c r="AD93"/>
  <c r="AD91"/>
  <c r="AD87"/>
  <c r="AD79"/>
  <c r="AD83"/>
  <c r="AD72"/>
  <c r="AD77"/>
  <c r="AD68"/>
  <c r="AD73"/>
  <c r="AD66"/>
  <c r="AD64"/>
  <c r="AD69"/>
  <c r="AD62"/>
  <c r="AD60"/>
  <c r="AD65"/>
  <c r="AD90"/>
  <c r="AD97"/>
  <c r="AD136"/>
  <c r="AD151"/>
  <c r="AD132"/>
  <c r="AD147"/>
  <c r="AD126"/>
  <c r="AD140"/>
  <c r="AD135"/>
  <c r="AD133"/>
  <c r="AD116"/>
  <c r="AD124"/>
  <c r="AD122"/>
  <c r="AD120"/>
  <c r="AD118"/>
  <c r="AD104"/>
  <c r="AD114"/>
  <c r="AD110"/>
  <c r="AD108"/>
  <c r="AD96"/>
  <c r="AD100"/>
  <c r="AD138"/>
  <c r="AD174"/>
  <c r="AD192"/>
  <c r="AD170"/>
  <c r="AD186"/>
  <c r="AD184"/>
  <c r="AD178"/>
  <c r="AD175"/>
  <c r="AD171"/>
  <c r="AD169"/>
  <c r="AD164"/>
  <c r="AD162"/>
  <c r="AD144"/>
  <c r="AD142"/>
  <c r="AD157"/>
  <c r="AD155"/>
  <c r="AD176"/>
  <c r="AD238"/>
  <c r="AD212"/>
  <c r="AD234"/>
  <c r="AD232"/>
  <c r="AD225"/>
  <c r="AD202"/>
  <c r="AD219"/>
  <c r="AD217"/>
  <c r="AD215"/>
  <c r="AD211"/>
  <c r="AD207"/>
  <c r="AD204"/>
  <c r="AD181"/>
  <c r="AD201"/>
  <c r="AD198"/>
  <c r="AD196"/>
  <c r="AD308"/>
  <c r="AD363"/>
  <c r="AD359"/>
  <c r="AD365"/>
  <c r="AD355"/>
  <c r="AD362"/>
  <c r="AD353"/>
  <c r="AD349"/>
  <c r="AD347"/>
  <c r="AD345"/>
  <c r="AD341"/>
  <c r="AD337"/>
  <c r="AD334"/>
  <c r="AD330"/>
  <c r="AD326"/>
  <c r="AD322"/>
  <c r="AD318"/>
  <c r="AD316"/>
  <c r="AD314"/>
  <c r="AD310"/>
  <c r="AD380"/>
  <c r="AD376"/>
  <c r="AD372"/>
  <c r="AD367"/>
  <c r="AD13"/>
  <c r="AD39"/>
  <c r="AZ41" i="1"/>
  <c r="AZ310"/>
  <c r="AZ404"/>
  <c r="AD37" i="42" l="1"/>
  <c r="L37"/>
  <c r="CH18" i="1"/>
  <c r="BF18"/>
  <c r="BD18"/>
  <c r="AW18"/>
  <c r="X34" i="43" s="1"/>
  <c r="AQ18" i="1"/>
  <c r="AO18"/>
  <c r="T34" i="43" s="1"/>
  <c r="AC18" i="1"/>
  <c r="T18"/>
  <c r="Q18"/>
  <c r="V34" i="52" l="1"/>
  <c r="U34" i="43"/>
  <c r="T34" i="52"/>
  <c r="R31" i="45"/>
  <c r="P34" i="52"/>
  <c r="CP18" i="1"/>
  <c r="AT18"/>
  <c r="V18"/>
  <c r="W18" s="1"/>
  <c r="P34" i="43" l="1"/>
  <c r="O31" i="45"/>
  <c r="X34" i="52"/>
  <c r="CQ18" i="1"/>
  <c r="CH32"/>
  <c r="BD32"/>
  <c r="AW32"/>
  <c r="X48" i="43" s="1"/>
  <c r="AQ32" i="1"/>
  <c r="AO32"/>
  <c r="T48" i="43" s="1"/>
  <c r="AC32" i="1"/>
  <c r="T32"/>
  <c r="Q32"/>
  <c r="H463" i="20"/>
  <c r="CH237" i="1"/>
  <c r="BD237"/>
  <c r="AQ237"/>
  <c r="AO237"/>
  <c r="T261" i="43" s="1"/>
  <c r="AC237" i="1"/>
  <c r="T237"/>
  <c r="P264" i="52" s="1"/>
  <c r="V264" l="1"/>
  <c r="U261" i="43"/>
  <c r="V49" i="52"/>
  <c r="U48" i="43"/>
  <c r="T264" i="52"/>
  <c r="R258" i="45"/>
  <c r="T49" i="52"/>
  <c r="R45" i="45"/>
  <c r="P49" i="52"/>
  <c r="CP32" i="1"/>
  <c r="AT32"/>
  <c r="V32"/>
  <c r="W32" s="1"/>
  <c r="AT237"/>
  <c r="X264" i="52" s="1"/>
  <c r="V237" i="1"/>
  <c r="BE41"/>
  <c r="O45" i="45" l="1"/>
  <c r="P48" i="43"/>
  <c r="CQ237" i="1"/>
  <c r="X49" i="52"/>
  <c r="CQ32" i="1"/>
  <c r="BE407"/>
  <c r="W237"/>
  <c r="CH308"/>
  <c r="CH307"/>
  <c r="BF308"/>
  <c r="BD308"/>
  <c r="BD307"/>
  <c r="AQ308"/>
  <c r="AQ307"/>
  <c r="AO308"/>
  <c r="T332" i="43" s="1"/>
  <c r="AO307" i="1"/>
  <c r="T331" i="43" s="1"/>
  <c r="AC308" i="1"/>
  <c r="AC307"/>
  <c r="T308"/>
  <c r="P334" i="52" s="1"/>
  <c r="T307" i="1"/>
  <c r="P333" i="52" s="1"/>
  <c r="CH235" i="1"/>
  <c r="BD235"/>
  <c r="AQ235"/>
  <c r="AO235"/>
  <c r="T259" i="43" s="1"/>
  <c r="AC235" i="1"/>
  <c r="T235"/>
  <c r="P262" i="52" s="1"/>
  <c r="V262" l="1"/>
  <c r="U259" i="43"/>
  <c r="P261"/>
  <c r="O258" i="45"/>
  <c r="T333" i="52"/>
  <c r="R328" i="45"/>
  <c r="V333" i="52"/>
  <c r="U331" i="43"/>
  <c r="T262" i="52"/>
  <c r="R256" i="45"/>
  <c r="T334" i="52"/>
  <c r="R329" i="45"/>
  <c r="V334" i="52"/>
  <c r="U332" i="43"/>
  <c r="V308" i="1"/>
  <c r="W308" s="1"/>
  <c r="V307"/>
  <c r="CP308"/>
  <c r="V235"/>
  <c r="AT307"/>
  <c r="X333" i="52" s="1"/>
  <c r="AT308" i="1"/>
  <c r="X334" i="52" s="1"/>
  <c r="AT235" i="1"/>
  <c r="X262" i="52" s="1"/>
  <c r="H322" i="20"/>
  <c r="P332" i="43" l="1"/>
  <c r="O329" i="45"/>
  <c r="CQ308" i="1"/>
  <c r="CQ235"/>
  <c r="CQ307"/>
  <c r="W235"/>
  <c r="W307"/>
  <c r="BH404"/>
  <c r="P259" i="43" l="1"/>
  <c r="O256" i="45"/>
  <c r="P331" i="43"/>
  <c r="O328" i="45"/>
  <c r="H73" i="20"/>
  <c r="BH41" i="1" l="1"/>
  <c r="H292" i="20" l="1"/>
  <c r="BF164" i="1" l="1"/>
  <c r="H41" i="20" l="1"/>
  <c r="H35"/>
  <c r="H34"/>
  <c r="J77" i="1" l="1"/>
  <c r="J73" i="42" l="1"/>
  <c r="J101" i="43"/>
  <c r="K101" s="1"/>
  <c r="J98" i="45"/>
  <c r="K98" s="1"/>
  <c r="J101" i="52"/>
  <c r="J310" i="1"/>
  <c r="H390" i="20"/>
  <c r="H32"/>
  <c r="J335" i="52" l="1"/>
  <c r="K335" s="1"/>
  <c r="J352"/>
  <c r="K352" s="1"/>
  <c r="H18" i="20"/>
  <c r="D57" l="1"/>
  <c r="D12"/>
  <c r="CH299" i="1" l="1"/>
  <c r="BF299"/>
  <c r="BD299"/>
  <c r="AQ299"/>
  <c r="AO299"/>
  <c r="T323" i="43" s="1"/>
  <c r="AC299" i="1"/>
  <c r="T299"/>
  <c r="P326" i="52" s="1"/>
  <c r="Q299" i="1"/>
  <c r="V326" i="52" l="1"/>
  <c r="U323" i="43"/>
  <c r="T326" i="52"/>
  <c r="R320" i="45"/>
  <c r="V299" i="1"/>
  <c r="W299" s="1"/>
  <c r="CP299"/>
  <c r="AT299"/>
  <c r="X326" i="52" s="1"/>
  <c r="Q304" i="1"/>
  <c r="T304"/>
  <c r="P330" i="52" s="1"/>
  <c r="AC304" i="1"/>
  <c r="AO304"/>
  <c r="T328" i="43" s="1"/>
  <c r="AQ304" i="1"/>
  <c r="BD304"/>
  <c r="BF304"/>
  <c r="CH304"/>
  <c r="V330" i="52" l="1"/>
  <c r="U328" i="43"/>
  <c r="T330" i="52"/>
  <c r="R325" i="45"/>
  <c r="P323" i="43"/>
  <c r="O320" i="45"/>
  <c r="CQ299" i="1"/>
  <c r="CP304"/>
  <c r="V304"/>
  <c r="W304" s="1"/>
  <c r="AT304"/>
  <c r="X330" i="52" s="1"/>
  <c r="P328" i="43" l="1"/>
  <c r="O325" i="45"/>
  <c r="CQ304" i="1"/>
  <c r="Q298"/>
  <c r="CH298"/>
  <c r="BF298"/>
  <c r="BD298"/>
  <c r="AQ298"/>
  <c r="AO298"/>
  <c r="T322" i="43" s="1"/>
  <c r="AC298" i="1"/>
  <c r="T298"/>
  <c r="P325" i="52" s="1"/>
  <c r="V325" l="1"/>
  <c r="U322" i="43"/>
  <c r="T325" i="52"/>
  <c r="R319" i="45"/>
  <c r="CP298" i="1"/>
  <c r="AT298"/>
  <c r="X325" i="52" s="1"/>
  <c r="V298" i="1"/>
  <c r="W298" s="1"/>
  <c r="P322" i="43" l="1"/>
  <c r="O319" i="45"/>
  <c r="CQ298" i="1"/>
  <c r="CH403"/>
  <c r="CH402"/>
  <c r="CH401"/>
  <c r="CH400"/>
  <c r="CH399"/>
  <c r="CH398"/>
  <c r="CH396"/>
  <c r="CH395"/>
  <c r="CH394"/>
  <c r="CH270"/>
  <c r="CH392"/>
  <c r="CH391"/>
  <c r="CH390"/>
  <c r="CH388"/>
  <c r="CH387"/>
  <c r="CH386"/>
  <c r="CH384"/>
  <c r="CH383"/>
  <c r="CH382"/>
  <c r="CH381"/>
  <c r="CH380"/>
  <c r="CH379"/>
  <c r="CH378"/>
  <c r="CH377"/>
  <c r="CH376"/>
  <c r="CH375"/>
  <c r="CH374"/>
  <c r="CH373"/>
  <c r="CH371"/>
  <c r="CH370"/>
  <c r="CH369"/>
  <c r="CH368"/>
  <c r="CH367"/>
  <c r="CH366"/>
  <c r="CH365"/>
  <c r="CH364"/>
  <c r="CH363"/>
  <c r="CH362"/>
  <c r="CH361"/>
  <c r="CH360"/>
  <c r="CH359"/>
  <c r="CH357"/>
  <c r="CH356"/>
  <c r="CH355"/>
  <c r="CH354"/>
  <c r="CH353"/>
  <c r="CH352"/>
  <c r="CH351"/>
  <c r="CH350"/>
  <c r="CH349"/>
  <c r="CH348"/>
  <c r="CH347"/>
  <c r="CH346"/>
  <c r="CH345"/>
  <c r="CH344"/>
  <c r="CH343"/>
  <c r="CH342"/>
  <c r="CH341"/>
  <c r="CH340"/>
  <c r="CH339"/>
  <c r="CH338"/>
  <c r="CH337"/>
  <c r="CH336"/>
  <c r="CH335"/>
  <c r="CH334"/>
  <c r="CH333"/>
  <c r="CH332"/>
  <c r="CH330"/>
  <c r="CH329"/>
  <c r="CH328"/>
  <c r="CH327"/>
  <c r="CH326"/>
  <c r="CH325"/>
  <c r="CH324"/>
  <c r="CH323"/>
  <c r="CH322"/>
  <c r="CH321"/>
  <c r="CH320"/>
  <c r="CH319"/>
  <c r="CH318"/>
  <c r="CH317"/>
  <c r="CH316"/>
  <c r="CH315"/>
  <c r="CH314"/>
  <c r="CH313"/>
  <c r="CH312"/>
  <c r="CH306"/>
  <c r="CH305"/>
  <c r="CH302"/>
  <c r="CH301"/>
  <c r="CH300"/>
  <c r="CH297"/>
  <c r="CH296"/>
  <c r="CH291"/>
  <c r="CH290"/>
  <c r="CH289"/>
  <c r="CH288"/>
  <c r="CH286"/>
  <c r="CH285"/>
  <c r="CH284"/>
  <c r="CH283"/>
  <c r="CH282"/>
  <c r="CH281"/>
  <c r="CH279"/>
  <c r="CH278"/>
  <c r="CH276"/>
  <c r="CH275"/>
  <c r="CH274"/>
  <c r="CH273"/>
  <c r="CH268"/>
  <c r="CH267"/>
  <c r="CH266"/>
  <c r="CH265"/>
  <c r="CH264"/>
  <c r="CH262"/>
  <c r="CH261"/>
  <c r="CH260"/>
  <c r="CH258"/>
  <c r="CH257"/>
  <c r="CH253"/>
  <c r="CH250"/>
  <c r="CH249"/>
  <c r="CH248"/>
  <c r="CH246"/>
  <c r="CH245"/>
  <c r="CH244"/>
  <c r="CH242"/>
  <c r="CH241"/>
  <c r="CH240"/>
  <c r="CH239"/>
  <c r="CH238"/>
  <c r="CH236"/>
  <c r="CH234"/>
  <c r="CH233"/>
  <c r="CH231"/>
  <c r="CH230"/>
  <c r="CH228"/>
  <c r="CH227"/>
  <c r="CH223"/>
  <c r="CH222"/>
  <c r="CH221"/>
  <c r="CH220"/>
  <c r="CH217"/>
  <c r="CH214"/>
  <c r="CH213"/>
  <c r="CH212"/>
  <c r="CH211"/>
  <c r="CH209"/>
  <c r="CH208"/>
  <c r="CH207"/>
  <c r="CH206"/>
  <c r="CH205"/>
  <c r="CH204"/>
  <c r="CH201"/>
  <c r="CH200"/>
  <c r="CH198"/>
  <c r="CH197"/>
  <c r="CH196"/>
  <c r="CH195"/>
  <c r="CH193"/>
  <c r="CH192"/>
  <c r="CH191"/>
  <c r="CH190"/>
  <c r="CH189"/>
  <c r="CH188"/>
  <c r="CH187"/>
  <c r="CH185"/>
  <c r="CH184"/>
  <c r="CH182"/>
  <c r="CH181"/>
  <c r="CH180"/>
  <c r="CH179"/>
  <c r="CH177"/>
  <c r="CH176"/>
  <c r="CH175"/>
  <c r="CH174"/>
  <c r="CH173"/>
  <c r="CH172"/>
  <c r="CH171"/>
  <c r="CH170"/>
  <c r="CH169"/>
  <c r="CH168"/>
  <c r="CH167"/>
  <c r="CH166"/>
  <c r="CH165"/>
  <c r="CH161"/>
  <c r="CH163"/>
  <c r="CH160"/>
  <c r="CH159"/>
  <c r="CH157"/>
  <c r="CH155"/>
  <c r="CH154"/>
  <c r="CH153"/>
  <c r="CH152"/>
  <c r="CH151"/>
  <c r="CH150"/>
  <c r="CH149"/>
  <c r="CH148"/>
  <c r="CH147"/>
  <c r="CH146"/>
  <c r="CH145"/>
  <c r="CH144"/>
  <c r="CH143"/>
  <c r="CH142"/>
  <c r="CH140"/>
  <c r="CH139"/>
  <c r="CH138"/>
  <c r="CH137"/>
  <c r="CH136"/>
  <c r="CH133"/>
  <c r="CH132"/>
  <c r="CH131"/>
  <c r="CH130"/>
  <c r="CH127"/>
  <c r="CH125"/>
  <c r="CH124"/>
  <c r="CH123"/>
  <c r="CH122"/>
  <c r="CH121"/>
  <c r="CH117"/>
  <c r="CH116"/>
  <c r="CH115"/>
  <c r="CH114"/>
  <c r="CH113"/>
  <c r="CH111"/>
  <c r="CH110"/>
  <c r="CH109"/>
  <c r="CH105"/>
  <c r="CH104"/>
  <c r="CH103"/>
  <c r="CH101"/>
  <c r="CH99"/>
  <c r="CH98"/>
  <c r="CH97"/>
  <c r="CH96"/>
  <c r="CH95"/>
  <c r="CH93"/>
  <c r="CH92"/>
  <c r="CH91"/>
  <c r="CH89"/>
  <c r="CH87"/>
  <c r="CH86"/>
  <c r="CH85"/>
  <c r="CH84"/>
  <c r="CH81"/>
  <c r="CH80"/>
  <c r="CH79"/>
  <c r="CH78"/>
  <c r="CH77"/>
  <c r="CH76"/>
  <c r="CH75"/>
  <c r="CH74"/>
  <c r="CH73"/>
  <c r="CH72"/>
  <c r="CH71"/>
  <c r="CH70"/>
  <c r="CH69"/>
  <c r="CH68"/>
  <c r="CH67"/>
  <c r="CH65"/>
  <c r="CH64"/>
  <c r="CH63"/>
  <c r="CH62"/>
  <c r="CH61"/>
  <c r="CH60"/>
  <c r="CH59"/>
  <c r="CH56"/>
  <c r="CH55"/>
  <c r="CH54"/>
  <c r="CH53"/>
  <c r="CH52"/>
  <c r="CH49"/>
  <c r="CH48"/>
  <c r="CH47"/>
  <c r="CH46"/>
  <c r="CH45"/>
  <c r="CH44"/>
  <c r="CH43"/>
  <c r="CH40"/>
  <c r="CH39"/>
  <c r="CH37"/>
  <c r="CH36"/>
  <c r="CH35"/>
  <c r="CH34"/>
  <c r="CH33"/>
  <c r="CH31"/>
  <c r="CH30"/>
  <c r="CH29"/>
  <c r="CH28"/>
  <c r="CH164"/>
  <c r="CH27"/>
  <c r="CH26"/>
  <c r="CH24"/>
  <c r="CH23"/>
  <c r="CH22"/>
  <c r="CH21"/>
  <c r="CH20"/>
  <c r="CH19"/>
  <c r="CH17"/>
  <c r="J14"/>
  <c r="J15" s="1"/>
  <c r="J407" s="1"/>
  <c r="J14" i="52" l="1"/>
  <c r="J14" i="43"/>
  <c r="J14" i="45"/>
  <c r="CH404" i="1"/>
  <c r="CH310"/>
  <c r="BD208" l="1"/>
  <c r="AQ208"/>
  <c r="AO208"/>
  <c r="T232" i="43" s="1"/>
  <c r="AC208" i="1"/>
  <c r="T208"/>
  <c r="P234" i="52" s="1"/>
  <c r="Q208" i="1"/>
  <c r="V234" i="52" l="1"/>
  <c r="U232" i="43"/>
  <c r="T234" i="52"/>
  <c r="R229" i="45"/>
  <c r="V208" i="1"/>
  <c r="W208" s="1"/>
  <c r="AT208"/>
  <c r="X234" i="52" s="1"/>
  <c r="P232" i="43" l="1"/>
  <c r="O229" i="45"/>
  <c r="CQ208" i="1"/>
  <c r="H537" i="20"/>
  <c r="D592" l="1"/>
  <c r="D595" s="1"/>
  <c r="CP208" i="1" l="1"/>
  <c r="BF208"/>
  <c r="BF40"/>
  <c r="BD40"/>
  <c r="AW40"/>
  <c r="X56" i="43" s="1"/>
  <c r="AQ40" i="1"/>
  <c r="AO40"/>
  <c r="T56" i="43" s="1"/>
  <c r="AC40" i="1"/>
  <c r="T40"/>
  <c r="Q40"/>
  <c r="T57" i="52" l="1"/>
  <c r="R53" i="45"/>
  <c r="V57" i="52"/>
  <c r="U56" i="43"/>
  <c r="P57" i="52"/>
  <c r="CP40" i="1"/>
  <c r="AT40"/>
  <c r="V40"/>
  <c r="W40" s="1"/>
  <c r="O53" i="45" l="1"/>
  <c r="P56" i="43"/>
  <c r="X57" i="52"/>
  <c r="CQ40" i="1"/>
  <c r="BD163"/>
  <c r="BD398" l="1"/>
  <c r="AQ398"/>
  <c r="AO398"/>
  <c r="T433" i="43" s="1"/>
  <c r="AC398" i="1"/>
  <c r="T398"/>
  <c r="V437" i="52" l="1"/>
  <c r="U433" i="43"/>
  <c r="T437" i="52"/>
  <c r="R428" i="45"/>
  <c r="P437" i="52"/>
  <c r="CP398" i="1"/>
  <c r="V398"/>
  <c r="W398" s="1"/>
  <c r="AT398"/>
  <c r="P433" i="43" l="1"/>
  <c r="O428" i="45"/>
  <c r="X437" i="52"/>
  <c r="CQ398" i="1"/>
  <c r="BF398"/>
  <c r="BD54" l="1"/>
  <c r="BF195" l="1"/>
  <c r="BD195"/>
  <c r="AQ195"/>
  <c r="AO195"/>
  <c r="T219" i="43" s="1"/>
  <c r="AC195" i="1"/>
  <c r="T195"/>
  <c r="P221" i="52" s="1"/>
  <c r="V221" l="1"/>
  <c r="U219" i="43"/>
  <c r="T221" i="52"/>
  <c r="R216" i="45"/>
  <c r="AT195" i="1"/>
  <c r="X221" i="52" s="1"/>
  <c r="V195" i="1"/>
  <c r="W195" s="1"/>
  <c r="CP195"/>
  <c r="P219" i="43" l="1"/>
  <c r="O216" i="45"/>
  <c r="CQ195" i="1"/>
  <c r="H230" i="20"/>
  <c r="H589"/>
  <c r="H532"/>
  <c r="H549"/>
  <c r="H584"/>
  <c r="H501"/>
  <c r="H504"/>
  <c r="H494"/>
  <c r="H581"/>
  <c r="H561"/>
  <c r="H536"/>
  <c r="H517"/>
  <c r="H515"/>
  <c r="H545"/>
  <c r="H543"/>
  <c r="H499"/>
  <c r="H508"/>
  <c r="H521"/>
  <c r="H485"/>
  <c r="H511"/>
  <c r="H492"/>
  <c r="H558"/>
  <c r="H489"/>
  <c r="H528"/>
  <c r="H525"/>
  <c r="H540"/>
  <c r="H480"/>
  <c r="H574"/>
  <c r="H572"/>
  <c r="H570"/>
  <c r="H567"/>
  <c r="H556"/>
  <c r="H576"/>
  <c r="H533"/>
  <c r="H531"/>
  <c r="H548"/>
  <c r="H585"/>
  <c r="H583"/>
  <c r="H487"/>
  <c r="H503"/>
  <c r="H478"/>
  <c r="H580"/>
  <c r="H560"/>
  <c r="H535"/>
  <c r="H516"/>
  <c r="H546"/>
  <c r="H544"/>
  <c r="H542"/>
  <c r="H498"/>
  <c r="H522"/>
  <c r="H482"/>
  <c r="H484"/>
  <c r="H510"/>
  <c r="H491"/>
  <c r="H496"/>
  <c r="H529"/>
  <c r="H526"/>
  <c r="H524"/>
  <c r="H539"/>
  <c r="H513"/>
  <c r="H573"/>
  <c r="H571"/>
  <c r="H568"/>
  <c r="H506"/>
  <c r="H555"/>
  <c r="H554"/>
  <c r="H70"/>
  <c r="H39"/>
  <c r="H84"/>
  <c r="H91"/>
  <c r="H118"/>
  <c r="H127"/>
  <c r="H133"/>
  <c r="H140"/>
  <c r="H150"/>
  <c r="H162"/>
  <c r="H174"/>
  <c r="H180"/>
  <c r="H185"/>
  <c r="H188"/>
  <c r="H194"/>
  <c r="H201"/>
  <c r="H224"/>
  <c r="H15"/>
  <c r="H23"/>
  <c r="H449"/>
  <c r="H436"/>
  <c r="H419"/>
  <c r="H406"/>
  <c r="H396"/>
  <c r="H381"/>
  <c r="H363"/>
  <c r="H353"/>
  <c r="H340"/>
  <c r="H315"/>
  <c r="H299"/>
  <c r="H280"/>
  <c r="H265"/>
  <c r="H250"/>
  <c r="H235"/>
  <c r="H66"/>
  <c r="H77"/>
  <c r="H80"/>
  <c r="H87"/>
  <c r="H97"/>
  <c r="H102"/>
  <c r="H113"/>
  <c r="H121"/>
  <c r="H130"/>
  <c r="H137"/>
  <c r="H143"/>
  <c r="H147"/>
  <c r="H154"/>
  <c r="H168"/>
  <c r="H177"/>
  <c r="H183"/>
  <c r="H192"/>
  <c r="H197"/>
  <c r="H206"/>
  <c r="H213"/>
  <c r="H171"/>
  <c r="H44"/>
  <c r="H442"/>
  <c r="H429"/>
  <c r="H371"/>
  <c r="H347"/>
  <c r="H321"/>
  <c r="H308"/>
  <c r="H289"/>
  <c r="H271"/>
  <c r="H260"/>
  <c r="H243"/>
  <c r="H226"/>
  <c r="H229"/>
  <c r="H232"/>
  <c r="H234"/>
  <c r="H239"/>
  <c r="H245"/>
  <c r="H248"/>
  <c r="H254"/>
  <c r="H256"/>
  <c r="H261"/>
  <c r="H264"/>
  <c r="H267"/>
  <c r="H269"/>
  <c r="H272"/>
  <c r="H278"/>
  <c r="H281"/>
  <c r="H287"/>
  <c r="H290"/>
  <c r="H297"/>
  <c r="H301"/>
  <c r="H303"/>
  <c r="H316"/>
  <c r="H319"/>
  <c r="H324"/>
  <c r="H335"/>
  <c r="H338"/>
  <c r="H341"/>
  <c r="H346"/>
  <c r="H351"/>
  <c r="H354"/>
  <c r="H357"/>
  <c r="H359"/>
  <c r="H361"/>
  <c r="H364"/>
  <c r="H370"/>
  <c r="H373"/>
  <c r="H379"/>
  <c r="H382"/>
  <c r="H395"/>
  <c r="H401"/>
  <c r="H407"/>
  <c r="H411"/>
  <c r="H414"/>
  <c r="H423"/>
  <c r="H427"/>
  <c r="H430"/>
  <c r="H435"/>
  <c r="H437"/>
  <c r="H440"/>
  <c r="H443"/>
  <c r="H447"/>
  <c r="H459"/>
  <c r="H45"/>
  <c r="H22"/>
  <c r="H170"/>
  <c r="H26"/>
  <c r="H28"/>
  <c r="H20"/>
  <c r="H116"/>
  <c r="H223"/>
  <c r="H216"/>
  <c r="H215"/>
  <c r="H212"/>
  <c r="H210"/>
  <c r="H75"/>
  <c r="H205"/>
  <c r="H202"/>
  <c r="H200"/>
  <c r="H65"/>
  <c r="H68"/>
  <c r="H38"/>
  <c r="H82"/>
  <c r="H85"/>
  <c r="H89"/>
  <c r="H95"/>
  <c r="H98"/>
  <c r="H101"/>
  <c r="H104"/>
  <c r="H107"/>
  <c r="H114"/>
  <c r="H119"/>
  <c r="H122"/>
  <c r="H126"/>
  <c r="H129"/>
  <c r="H132"/>
  <c r="H135"/>
  <c r="H139"/>
  <c r="H142"/>
  <c r="H145"/>
  <c r="H148"/>
  <c r="H152"/>
  <c r="H155"/>
  <c r="H163"/>
  <c r="H167"/>
  <c r="H173"/>
  <c r="H175"/>
  <c r="H178"/>
  <c r="H181"/>
  <c r="H184"/>
  <c r="H187"/>
  <c r="H190"/>
  <c r="H193"/>
  <c r="H195"/>
  <c r="H198"/>
  <c r="H204"/>
  <c r="H209"/>
  <c r="H217"/>
  <c r="H222"/>
  <c r="H50"/>
  <c r="H27"/>
  <c r="H30"/>
  <c r="H461"/>
  <c r="H445"/>
  <c r="H439"/>
  <c r="H434"/>
  <c r="H421"/>
  <c r="H412"/>
  <c r="H404"/>
  <c r="H389"/>
  <c r="H384"/>
  <c r="H378"/>
  <c r="H368"/>
  <c r="H360"/>
  <c r="H356"/>
  <c r="H350"/>
  <c r="H343"/>
  <c r="H337"/>
  <c r="H334"/>
  <c r="H331"/>
  <c r="H317"/>
  <c r="H302"/>
  <c r="H296"/>
  <c r="H286"/>
  <c r="H277"/>
  <c r="H268"/>
  <c r="H262"/>
  <c r="H255"/>
  <c r="H247"/>
  <c r="H233"/>
  <c r="H227"/>
  <c r="B313" i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44"/>
  <c r="B331" l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45"/>
  <c r="B46" s="1"/>
  <c r="B47" s="1"/>
  <c r="B48" s="1"/>
  <c r="B49" s="1"/>
  <c r="B372" l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D164"/>
  <c r="AQ164"/>
  <c r="AO164"/>
  <c r="T188" i="43" s="1"/>
  <c r="AC164" i="1"/>
  <c r="T164"/>
  <c r="P190" i="52" s="1"/>
  <c r="Q164" i="1"/>
  <c r="V190" i="52" l="1"/>
  <c r="U188" i="43"/>
  <c r="T190" i="52"/>
  <c r="R185" i="45"/>
  <c r="B390" i="1"/>
  <c r="B391" s="1"/>
  <c r="B392" s="1"/>
  <c r="B393" s="1"/>
  <c r="CP164"/>
  <c r="V164"/>
  <c r="W164" s="1"/>
  <c r="AT164"/>
  <c r="X190" i="52" s="1"/>
  <c r="P188" i="43" l="1"/>
  <c r="O185" i="45"/>
  <c r="CQ164" i="1"/>
  <c r="BF22"/>
  <c r="BD22"/>
  <c r="AW22"/>
  <c r="X38" i="43" s="1"/>
  <c r="AQ22" i="1"/>
  <c r="AO22"/>
  <c r="T38" i="43" s="1"/>
  <c r="AC22" i="1"/>
  <c r="T22"/>
  <c r="Q22"/>
  <c r="BD260"/>
  <c r="AQ260"/>
  <c r="AO260"/>
  <c r="T284" i="43" s="1"/>
  <c r="AC260" i="1"/>
  <c r="T260"/>
  <c r="P287" i="52" s="1"/>
  <c r="Q260" i="1"/>
  <c r="V38" i="52" l="1"/>
  <c r="U38" i="43"/>
  <c r="T287" i="52"/>
  <c r="R281" i="45"/>
  <c r="V287" i="52"/>
  <c r="U284" i="43"/>
  <c r="T38" i="52"/>
  <c r="R35" i="45"/>
  <c r="P38" i="52"/>
  <c r="CP22" i="1"/>
  <c r="AT22"/>
  <c r="V22"/>
  <c r="W22" s="1"/>
  <c r="AT260"/>
  <c r="X287" i="52" s="1"/>
  <c r="V260" i="1"/>
  <c r="P38" i="43" l="1"/>
  <c r="O35" i="45"/>
  <c r="CQ260" i="1"/>
  <c r="X38" i="52"/>
  <c r="CQ22" i="1"/>
  <c r="W260"/>
  <c r="CO41"/>
  <c r="CH41"/>
  <c r="BG41"/>
  <c r="CH14"/>
  <c r="P284" i="43" l="1"/>
  <c r="O281" i="45"/>
  <c r="T273" i="1"/>
  <c r="P300" i="52" s="1"/>
  <c r="Q284" i="1" l="1"/>
  <c r="BD284"/>
  <c r="AQ284"/>
  <c r="AO284"/>
  <c r="T308" i="43" s="1"/>
  <c r="AC284" i="1"/>
  <c r="T284"/>
  <c r="P311" i="52" s="1"/>
  <c r="V311" l="1"/>
  <c r="U308" i="43"/>
  <c r="T311" i="52"/>
  <c r="R305" i="45"/>
  <c r="AT284" i="1"/>
  <c r="X311" i="52" s="1"/>
  <c r="V284" i="1"/>
  <c r="CQ284" l="1"/>
  <c r="W284"/>
  <c r="BF37"/>
  <c r="BD37"/>
  <c r="AW37"/>
  <c r="X53" i="43" s="1"/>
  <c r="AQ37" i="1"/>
  <c r="AO37"/>
  <c r="T53" i="43" s="1"/>
  <c r="AC37" i="1"/>
  <c r="T37"/>
  <c r="Q37"/>
  <c r="T54" i="52" l="1"/>
  <c r="R50" i="45"/>
  <c r="V54" i="52"/>
  <c r="U53" i="43"/>
  <c r="P308"/>
  <c r="O305" i="45"/>
  <c r="P54" i="52"/>
  <c r="CP37" i="1"/>
  <c r="AT37"/>
  <c r="V37"/>
  <c r="W37" s="1"/>
  <c r="P53" i="43" l="1"/>
  <c r="O50" i="45"/>
  <c r="X54" i="52"/>
  <c r="CQ37" i="1"/>
  <c r="BD373"/>
  <c r="AQ373"/>
  <c r="AO373"/>
  <c r="T408" i="43" s="1"/>
  <c r="AC373" i="1"/>
  <c r="T373"/>
  <c r="CA41"/>
  <c r="BU41"/>
  <c r="BP41"/>
  <c r="G15" i="39" s="1"/>
  <c r="H15" s="1"/>
  <c r="BO41" i="1"/>
  <c r="BC41"/>
  <c r="AS41"/>
  <c r="AR41"/>
  <c r="AP41"/>
  <c r="AN41"/>
  <c r="Z41"/>
  <c r="E57" i="20" s="1"/>
  <c r="U41" i="1"/>
  <c r="V440" i="52"/>
  <c r="T440"/>
  <c r="V413" l="1"/>
  <c r="U408" i="43"/>
  <c r="T413" i="52"/>
  <c r="R403" i="45"/>
  <c r="P440" i="52"/>
  <c r="P413"/>
  <c r="CP373" i="1"/>
  <c r="V373"/>
  <c r="W373" s="1"/>
  <c r="AT373"/>
  <c r="BD381"/>
  <c r="AQ381"/>
  <c r="AO381"/>
  <c r="T416" i="43" s="1"/>
  <c r="AC381" i="1"/>
  <c r="T381"/>
  <c r="V421" i="52" l="1"/>
  <c r="U416" i="43"/>
  <c r="T421" i="52"/>
  <c r="R411" i="45"/>
  <c r="P408" i="43"/>
  <c r="O403" i="45"/>
  <c r="X440" i="52"/>
  <c r="X413"/>
  <c r="CQ373" i="1"/>
  <c r="P421" i="52"/>
  <c r="CP381" i="1"/>
  <c r="V381"/>
  <c r="W381" s="1"/>
  <c r="AT381"/>
  <c r="P416" i="43" l="1"/>
  <c r="O411" i="45"/>
  <c r="X421" i="52"/>
  <c r="CQ381" i="1"/>
  <c r="BF314"/>
  <c r="BF318"/>
  <c r="BF319"/>
  <c r="BF320"/>
  <c r="BF321"/>
  <c r="BF322"/>
  <c r="BF323"/>
  <c r="BF326"/>
  <c r="BF327"/>
  <c r="BF328"/>
  <c r="BF329"/>
  <c r="BF335"/>
  <c r="BF336"/>
  <c r="BF339"/>
  <c r="BF341"/>
  <c r="BF343"/>
  <c r="BF344"/>
  <c r="BF345"/>
  <c r="BF346"/>
  <c r="BF349"/>
  <c r="BF355"/>
  <c r="BF356"/>
  <c r="BF357"/>
  <c r="BF359"/>
  <c r="BF360"/>
  <c r="BF363"/>
  <c r="BF364"/>
  <c r="BF367"/>
  <c r="BF368"/>
  <c r="BF370"/>
  <c r="BF376"/>
  <c r="BF380"/>
  <c r="BF387"/>
  <c r="BF390"/>
  <c r="BF270"/>
  <c r="BF394"/>
  <c r="BF401"/>
  <c r="BF87"/>
  <c r="BF89"/>
  <c r="BF91"/>
  <c r="BF96"/>
  <c r="BF98"/>
  <c r="BF101"/>
  <c r="BF103"/>
  <c r="BF104"/>
  <c r="BF105"/>
  <c r="BF109"/>
  <c r="BF111"/>
  <c r="BF113"/>
  <c r="BF114"/>
  <c r="BF115"/>
  <c r="BF116"/>
  <c r="BF117"/>
  <c r="BF121"/>
  <c r="BF122"/>
  <c r="BF123"/>
  <c r="BF124"/>
  <c r="BF127"/>
  <c r="BF130"/>
  <c r="BF131"/>
  <c r="BF132"/>
  <c r="BF137"/>
  <c r="BF138"/>
  <c r="BF140"/>
  <c r="BF142"/>
  <c r="BF143"/>
  <c r="BF144"/>
  <c r="BF145"/>
  <c r="BF146"/>
  <c r="BF147"/>
  <c r="BF148"/>
  <c r="BF149"/>
  <c r="BF150"/>
  <c r="BF152"/>
  <c r="BF153"/>
  <c r="BF154"/>
  <c r="BF159"/>
  <c r="BF160"/>
  <c r="BF161"/>
  <c r="BF166"/>
  <c r="BF169"/>
  <c r="BF170"/>
  <c r="BF171"/>
  <c r="BF172"/>
  <c r="BF175"/>
  <c r="BF180"/>
  <c r="BF184"/>
  <c r="BF185"/>
  <c r="BF188"/>
  <c r="BF189"/>
  <c r="BF193"/>
  <c r="BF200"/>
  <c r="BF201"/>
  <c r="BF204"/>
  <c r="BF207"/>
  <c r="BF209"/>
  <c r="BF211"/>
  <c r="BF213"/>
  <c r="BF217"/>
  <c r="BF221"/>
  <c r="BF222"/>
  <c r="BF227"/>
  <c r="BF228"/>
  <c r="BF230"/>
  <c r="BF231"/>
  <c r="BF233"/>
  <c r="BF234"/>
  <c r="BF238"/>
  <c r="BF239"/>
  <c r="BF240"/>
  <c r="BF241"/>
  <c r="BF242"/>
  <c r="BF248"/>
  <c r="BF258"/>
  <c r="BF261"/>
  <c r="BF262"/>
  <c r="BF265"/>
  <c r="BF266"/>
  <c r="BF267"/>
  <c r="BF268"/>
  <c r="BF273"/>
  <c r="BF278"/>
  <c r="BF281"/>
  <c r="BF283"/>
  <c r="BF285"/>
  <c r="BF286"/>
  <c r="BF289"/>
  <c r="BF291"/>
  <c r="BF296"/>
  <c r="BF297"/>
  <c r="BF300"/>
  <c r="BF301"/>
  <c r="BF305"/>
  <c r="BF80"/>
  <c r="BF81"/>
  <c r="BF84"/>
  <c r="BF85"/>
  <c r="BF72"/>
  <c r="BF73"/>
  <c r="BF75"/>
  <c r="BF76"/>
  <c r="BF59"/>
  <c r="BF60"/>
  <c r="BF61"/>
  <c r="BF62"/>
  <c r="BF63"/>
  <c r="BF64"/>
  <c r="BF65"/>
  <c r="BF67"/>
  <c r="BF68"/>
  <c r="BF69"/>
  <c r="BF70"/>
  <c r="BF44"/>
  <c r="BF45"/>
  <c r="BF46"/>
  <c r="BF47"/>
  <c r="BF48"/>
  <c r="BF53"/>
  <c r="BF55"/>
  <c r="BF56"/>
  <c r="BF43"/>
  <c r="BF14" l="1"/>
  <c r="BF17"/>
  <c r="BF19"/>
  <c r="BF20"/>
  <c r="BF21"/>
  <c r="BF23"/>
  <c r="BF24"/>
  <c r="BF26"/>
  <c r="BF27"/>
  <c r="BF28"/>
  <c r="BF29"/>
  <c r="BF30"/>
  <c r="BF31"/>
  <c r="BF33"/>
  <c r="BF34"/>
  <c r="BF35"/>
  <c r="BF36"/>
  <c r="BF39"/>
  <c r="BF13"/>
  <c r="CH13"/>
  <c r="CH15" s="1"/>
  <c r="CO404"/>
  <c r="CU312"/>
  <c r="CO310"/>
  <c r="CU43"/>
  <c r="CU14"/>
  <c r="CU17"/>
  <c r="CU41" s="1"/>
  <c r="CU13"/>
  <c r="CU15" l="1"/>
  <c r="BF15"/>
  <c r="CO407"/>
  <c r="CU404"/>
  <c r="CU310"/>
  <c r="CH407" l="1"/>
  <c r="CU407"/>
  <c r="AC14"/>
  <c r="T14" i="52" s="1"/>
  <c r="AC13" i="1"/>
  <c r="AB14"/>
  <c r="S14" i="52" s="1"/>
  <c r="AB13" i="1"/>
  <c r="R16" i="19"/>
  <c r="O16"/>
  <c r="M16"/>
  <c r="K16"/>
  <c r="I16"/>
  <c r="G16"/>
  <c r="E16"/>
  <c r="R15"/>
  <c r="O15"/>
  <c r="M15"/>
  <c r="K15"/>
  <c r="I15"/>
  <c r="G15"/>
  <c r="E14"/>
  <c r="R12"/>
  <c r="O12"/>
  <c r="M12"/>
  <c r="K12"/>
  <c r="I12"/>
  <c r="G12"/>
  <c r="E11"/>
  <c r="R9"/>
  <c r="O9"/>
  <c r="M9"/>
  <c r="K9"/>
  <c r="I9"/>
  <c r="G8"/>
  <c r="E7"/>
  <c r="S13" i="52" l="1"/>
  <c r="S15" s="1"/>
  <c r="T13"/>
  <c r="T15" s="1"/>
  <c r="AH14" i="1"/>
  <c r="Q14" i="45" s="1"/>
  <c r="R14"/>
  <c r="R13"/>
  <c r="AC15" i="1"/>
  <c r="AI14"/>
  <c r="R14" i="43" s="1"/>
  <c r="AH13" i="1"/>
  <c r="I400" i="18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R15" i="45" l="1"/>
  <c r="Q13"/>
  <c r="AI13" i="1"/>
  <c r="A473"/>
  <c r="BD275"/>
  <c r="AQ275"/>
  <c r="AO275"/>
  <c r="T299" i="43" s="1"/>
  <c r="AC275" i="1"/>
  <c r="T275"/>
  <c r="P302" i="52" s="1"/>
  <c r="Q275" i="1"/>
  <c r="B430"/>
  <c r="B431" s="1"/>
  <c r="T302" i="52" l="1"/>
  <c r="R296" i="45"/>
  <c r="V302" i="52"/>
  <c r="U299" i="43"/>
  <c r="R13"/>
  <c r="B432" i="1"/>
  <c r="B433" s="1"/>
  <c r="B434" s="1"/>
  <c r="B435" s="1"/>
  <c r="B436" s="1"/>
  <c r="B437" s="1"/>
  <c r="B438" s="1"/>
  <c r="AT275"/>
  <c r="X302" i="52" s="1"/>
  <c r="V275" i="1"/>
  <c r="CQ275" l="1"/>
  <c r="B439"/>
  <c r="B440" s="1"/>
  <c r="B441" s="1"/>
  <c r="B442" s="1"/>
  <c r="B443" s="1"/>
  <c r="B444" s="1"/>
  <c r="B445" s="1"/>
  <c r="B446" s="1"/>
  <c r="W275"/>
  <c r="P299" i="43" l="1"/>
  <c r="O296" i="45"/>
  <c r="AQ296" i="1"/>
  <c r="V323" i="52" l="1"/>
  <c r="U320" i="43"/>
  <c r="Q45" i="1"/>
  <c r="Q75"/>
  <c r="Q80"/>
  <c r="Q85"/>
  <c r="Q98"/>
  <c r="BO404" l="1"/>
  <c r="BO310" l="1"/>
  <c r="BO407" l="1"/>
  <c r="M406" i="44"/>
  <c r="M409" s="1"/>
  <c r="X434" i="45"/>
  <c r="X437" s="1"/>
  <c r="BD403" i="1"/>
  <c r="AQ403"/>
  <c r="AO403"/>
  <c r="T438" i="43" s="1"/>
  <c r="AC403" i="1"/>
  <c r="T403"/>
  <c r="BD402"/>
  <c r="AQ402"/>
  <c r="AO402"/>
  <c r="T437" i="43" s="1"/>
  <c r="AC402" i="1"/>
  <c r="T402"/>
  <c r="T443" i="52" l="1"/>
  <c r="R433" i="45"/>
  <c r="T442" i="52"/>
  <c r="R432" i="45"/>
  <c r="V442" i="52"/>
  <c r="U437" i="43"/>
  <c r="V443" i="52"/>
  <c r="U438" i="43"/>
  <c r="P442" i="52"/>
  <c r="P443"/>
  <c r="CP402" i="1"/>
  <c r="CP403"/>
  <c r="V402"/>
  <c r="W402" s="1"/>
  <c r="AT403"/>
  <c r="AT402"/>
  <c r="V403"/>
  <c r="W403" s="1"/>
  <c r="AC316"/>
  <c r="P438" i="43" l="1"/>
  <c r="O433" i="45"/>
  <c r="T356" i="52"/>
  <c r="R346" i="45"/>
  <c r="P437" i="43"/>
  <c r="O432" i="45"/>
  <c r="X443" i="52"/>
  <c r="CQ403" i="1"/>
  <c r="X442" i="52"/>
  <c r="CQ402" i="1"/>
  <c r="U310"/>
  <c r="X310"/>
  <c r="Y310"/>
  <c r="AN310"/>
  <c r="AP310"/>
  <c r="AR310"/>
  <c r="V439" i="43" s="1"/>
  <c r="V442" s="1"/>
  <c r="AS310" i="1"/>
  <c r="W439" i="43" s="1"/>
  <c r="W442" s="1"/>
  <c r="BC310" i="1"/>
  <c r="BG310"/>
  <c r="BP310"/>
  <c r="BU310"/>
  <c r="CA310"/>
  <c r="H9"/>
  <c r="CP337"/>
  <c r="AB439" i="43" l="1"/>
  <c r="AB442" s="1"/>
  <c r="B38" i="42"/>
  <c r="C9"/>
  <c r="B29" i="45"/>
  <c r="B307" i="42"/>
  <c r="B12"/>
  <c r="A16" i="44"/>
  <c r="B12" i="45"/>
  <c r="AD315" i="42"/>
  <c r="AD400" s="1"/>
  <c r="AD403" s="1"/>
  <c r="N406" i="44"/>
  <c r="N409" s="1"/>
  <c r="Y434" i="45"/>
  <c r="Y437" s="1"/>
  <c r="A9" i="36"/>
  <c r="A9" i="40"/>
  <c r="A9" i="37"/>
  <c r="A9" i="38"/>
  <c r="A9" i="39"/>
  <c r="A9" i="41"/>
  <c r="B346" i="43"/>
  <c r="B32"/>
  <c r="C9"/>
  <c r="B66"/>
  <c r="B12"/>
  <c r="A313" i="44"/>
  <c r="A43"/>
  <c r="B9"/>
  <c r="A12"/>
  <c r="B341" i="45"/>
  <c r="B63"/>
  <c r="C9"/>
  <c r="CP401" i="1"/>
  <c r="CP399"/>
  <c r="CP392"/>
  <c r="CP380"/>
  <c r="CP376"/>
  <c r="CP370"/>
  <c r="CP366"/>
  <c r="CP354"/>
  <c r="CP351"/>
  <c r="CP345"/>
  <c r="CP341"/>
  <c r="CP312"/>
  <c r="CP400"/>
  <c r="CP396"/>
  <c r="CP270"/>
  <c r="CP390"/>
  <c r="CP386"/>
  <c r="CP384"/>
  <c r="CP382"/>
  <c r="CP379"/>
  <c r="CP377"/>
  <c r="CP375"/>
  <c r="CP371"/>
  <c r="CP369"/>
  <c r="CP367"/>
  <c r="CP365"/>
  <c r="CP363"/>
  <c r="CP353"/>
  <c r="CP352"/>
  <c r="CP350"/>
  <c r="CP346"/>
  <c r="CP344"/>
  <c r="CP342"/>
  <c r="CP340"/>
  <c r="CP335"/>
  <c r="CP333"/>
  <c r="CP330"/>
  <c r="CP328"/>
  <c r="CP326"/>
  <c r="CP324"/>
  <c r="CP322"/>
  <c r="CP320"/>
  <c r="CP318"/>
  <c r="CP315"/>
  <c r="CP313"/>
  <c r="CP395"/>
  <c r="CP383"/>
  <c r="CP378"/>
  <c r="CP374"/>
  <c r="CP368"/>
  <c r="CP364"/>
  <c r="CP347"/>
  <c r="CP343"/>
  <c r="CP338"/>
  <c r="CP336"/>
  <c r="CP334"/>
  <c r="CP329"/>
  <c r="CP327"/>
  <c r="CP325"/>
  <c r="CP323"/>
  <c r="CP321"/>
  <c r="CP319"/>
  <c r="CP316"/>
  <c r="CP314"/>
  <c r="CP117"/>
  <c r="AW43"/>
  <c r="X67" i="43" s="1"/>
  <c r="L403" i="42" l="1"/>
  <c r="CP305" i="1"/>
  <c r="CP296"/>
  <c r="CP301"/>
  <c r="CP297"/>
  <c r="CP291"/>
  <c r="CP286"/>
  <c r="CP283"/>
  <c r="CP268"/>
  <c r="CP266"/>
  <c r="CP262"/>
  <c r="CP261"/>
  <c r="CP257"/>
  <c r="CP249"/>
  <c r="CP242"/>
  <c r="CP240"/>
  <c r="CP238"/>
  <c r="CP233"/>
  <c r="CP230"/>
  <c r="CP228"/>
  <c r="CP222"/>
  <c r="CP217"/>
  <c r="CP211"/>
  <c r="CP207"/>
  <c r="CP204"/>
  <c r="CP200"/>
  <c r="CP189"/>
  <c r="CP185"/>
  <c r="CP180"/>
  <c r="CP172"/>
  <c r="CP170"/>
  <c r="CP166"/>
  <c r="CP154"/>
  <c r="CP152"/>
  <c r="CP150"/>
  <c r="CP148"/>
  <c r="CP146"/>
  <c r="CP144"/>
  <c r="CP142"/>
  <c r="CP138"/>
  <c r="CP136"/>
  <c r="CP132"/>
  <c r="CP130"/>
  <c r="CP124"/>
  <c r="CP122"/>
  <c r="CP115"/>
  <c r="CP113"/>
  <c r="CP110"/>
  <c r="CP104"/>
  <c r="CP101"/>
  <c r="CP99"/>
  <c r="CP96"/>
  <c r="CP89"/>
  <c r="CP85"/>
  <c r="CP81"/>
  <c r="CP75"/>
  <c r="CP73"/>
  <c r="CP70"/>
  <c r="CP68"/>
  <c r="CP65"/>
  <c r="CP63"/>
  <c r="CP61"/>
  <c r="CP59"/>
  <c r="CP55"/>
  <c r="CP49"/>
  <c r="CP47"/>
  <c r="CP45"/>
  <c r="CP43"/>
  <c r="CP300"/>
  <c r="CP289"/>
  <c r="CP285"/>
  <c r="CP281"/>
  <c r="CP273"/>
  <c r="CP267"/>
  <c r="CP265"/>
  <c r="CP258"/>
  <c r="CP248"/>
  <c r="CP241"/>
  <c r="CP239"/>
  <c r="CP234"/>
  <c r="CP231"/>
  <c r="CP227"/>
  <c r="CP221"/>
  <c r="CP213"/>
  <c r="CP209"/>
  <c r="CP205"/>
  <c r="CP201"/>
  <c r="CP193"/>
  <c r="CP188"/>
  <c r="CP184"/>
  <c r="CP177"/>
  <c r="CP175"/>
  <c r="CP171"/>
  <c r="CP169"/>
  <c r="CP160"/>
  <c r="CP159"/>
  <c r="CP153"/>
  <c r="CP149"/>
  <c r="CP147"/>
  <c r="CP145"/>
  <c r="CP143"/>
  <c r="CP140"/>
  <c r="CP137"/>
  <c r="CP131"/>
  <c r="CP127"/>
  <c r="CP123"/>
  <c r="CP121"/>
  <c r="CP116"/>
  <c r="CP114"/>
  <c r="CP111"/>
  <c r="CP109"/>
  <c r="CP105"/>
  <c r="CP103"/>
  <c r="CP98"/>
  <c r="CP91"/>
  <c r="CP87"/>
  <c r="CP84"/>
  <c r="CP80"/>
  <c r="CP76"/>
  <c r="CP72"/>
  <c r="CP69"/>
  <c r="CP67"/>
  <c r="CP64"/>
  <c r="CP62"/>
  <c r="CP60"/>
  <c r="CP56"/>
  <c r="CP53"/>
  <c r="CP48"/>
  <c r="CP46"/>
  <c r="CP44"/>
  <c r="BS13"/>
  <c r="Q13" i="44" s="1"/>
  <c r="BR13" i="1"/>
  <c r="BM13"/>
  <c r="BL13"/>
  <c r="P13" i="44" l="1"/>
  <c r="K13"/>
  <c r="V13" i="45"/>
  <c r="J13" i="44"/>
  <c r="U13" i="45"/>
  <c r="C310" i="18"/>
  <c r="C37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5"/>
  <c r="C6" l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1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l="1"/>
  <c r="C34"/>
  <c r="C405" l="1"/>
  <c r="BD306" i="1" l="1"/>
  <c r="AQ306" l="1"/>
  <c r="AO306"/>
  <c r="T330" i="43" s="1"/>
  <c r="AC306" i="1"/>
  <c r="T306"/>
  <c r="P332" i="52" s="1"/>
  <c r="Q306" i="1"/>
  <c r="BD305"/>
  <c r="T332" i="52" l="1"/>
  <c r="R327" i="45"/>
  <c r="V332" i="52"/>
  <c r="U330" i="43"/>
  <c r="AT306" i="1"/>
  <c r="X332" i="52" s="1"/>
  <c r="V306" i="1"/>
  <c r="AQ305"/>
  <c r="AO305"/>
  <c r="T329" i="43" s="1"/>
  <c r="AC305" i="1"/>
  <c r="T305"/>
  <c r="P331" i="52" s="1"/>
  <c r="Q305" i="1"/>
  <c r="V331" i="52" l="1"/>
  <c r="U329" i="43"/>
  <c r="T331" i="52"/>
  <c r="R326" i="45"/>
  <c r="CQ306" i="1"/>
  <c r="W306"/>
  <c r="AT305"/>
  <c r="X331" i="52" s="1"/>
  <c r="V305" i="1"/>
  <c r="W305" s="1"/>
  <c r="BD302"/>
  <c r="P329" i="43" l="1"/>
  <c r="O326" i="45"/>
  <c r="P330" i="43"/>
  <c r="O327" i="45"/>
  <c r="CQ305" i="1"/>
  <c r="AQ302"/>
  <c r="AO302"/>
  <c r="T326" i="43" s="1"/>
  <c r="AC302" i="1"/>
  <c r="T302"/>
  <c r="P329" i="52" s="1"/>
  <c r="Q302" i="1"/>
  <c r="BD301"/>
  <c r="T329" i="52" l="1"/>
  <c r="R323" i="45"/>
  <c r="V329" i="52"/>
  <c r="U326" i="43"/>
  <c r="AT302" i="1"/>
  <c r="X329" i="52" s="1"/>
  <c r="V302" i="1"/>
  <c r="AQ301"/>
  <c r="AO301"/>
  <c r="T325" i="43" s="1"/>
  <c r="AC301" i="1"/>
  <c r="T301"/>
  <c r="P328" i="52" s="1"/>
  <c r="Q301" i="1"/>
  <c r="T328" i="52" l="1"/>
  <c r="R322" i="45"/>
  <c r="V328" i="52"/>
  <c r="U325" i="43"/>
  <c r="CQ302" i="1"/>
  <c r="W302"/>
  <c r="AT301"/>
  <c r="X328" i="52" s="1"/>
  <c r="V301" i="1"/>
  <c r="W301" s="1"/>
  <c r="BD300"/>
  <c r="O322" i="45" l="1"/>
  <c r="P325" i="43"/>
  <c r="O323" i="45"/>
  <c r="P326" i="43"/>
  <c r="CQ301" i="1"/>
  <c r="AQ300"/>
  <c r="AO300"/>
  <c r="T324" i="43" s="1"/>
  <c r="AC300" i="1"/>
  <c r="T300"/>
  <c r="P327" i="52" s="1"/>
  <c r="Q300" i="1"/>
  <c r="BD297"/>
  <c r="T327" i="52" l="1"/>
  <c r="R321" i="45"/>
  <c r="V327" i="52"/>
  <c r="U324" i="43"/>
  <c r="AT300" i="1"/>
  <c r="X327" i="52" s="1"/>
  <c r="V300" i="1"/>
  <c r="W300" s="1"/>
  <c r="AQ297"/>
  <c r="AO297"/>
  <c r="T321" i="43" s="1"/>
  <c r="AC297" i="1"/>
  <c r="T297"/>
  <c r="P324" i="52" s="1"/>
  <c r="Q297" i="1"/>
  <c r="BD296"/>
  <c r="T324" i="52" l="1"/>
  <c r="R318" i="45"/>
  <c r="V324" i="52"/>
  <c r="U321" i="43"/>
  <c r="P324"/>
  <c r="O321" i="45"/>
  <c r="CQ300" i="1"/>
  <c r="AT297"/>
  <c r="X324" i="52" s="1"/>
  <c r="V297" i="1"/>
  <c r="W297" s="1"/>
  <c r="AO296"/>
  <c r="T320" i="43" s="1"/>
  <c r="AC296" i="1"/>
  <c r="T296"/>
  <c r="P323" i="52" s="1"/>
  <c r="Q296" i="1"/>
  <c r="T323" i="52" l="1"/>
  <c r="R317" i="45"/>
  <c r="P321" i="43"/>
  <c r="O318" i="45"/>
  <c r="CQ297" i="1"/>
  <c r="AT296"/>
  <c r="X323" i="52" s="1"/>
  <c r="V296" i="1"/>
  <c r="W296" s="1"/>
  <c r="BD291"/>
  <c r="P320" i="43" l="1"/>
  <c r="O317" i="45"/>
  <c r="CQ296" i="1"/>
  <c r="AQ291"/>
  <c r="AO291"/>
  <c r="T315" i="43" s="1"/>
  <c r="AC291" i="1"/>
  <c r="T291"/>
  <c r="P318" i="52" s="1"/>
  <c r="Q291" i="1"/>
  <c r="BD290"/>
  <c r="T318" i="52" l="1"/>
  <c r="R312" i="45"/>
  <c r="V318" i="52"/>
  <c r="U315" i="43"/>
  <c r="AT291" i="1"/>
  <c r="X318" i="52" s="1"/>
  <c r="V291" i="1"/>
  <c r="W291" s="1"/>
  <c r="AQ290"/>
  <c r="AO290"/>
  <c r="T314" i="43" s="1"/>
  <c r="AC290" i="1"/>
  <c r="T290"/>
  <c r="P317" i="52" s="1"/>
  <c r="Q290" i="1"/>
  <c r="BD289"/>
  <c r="P315" i="43" l="1"/>
  <c r="O312" i="45"/>
  <c r="T317" i="52"/>
  <c r="R311" i="45"/>
  <c r="V317" i="52"/>
  <c r="U314" i="43"/>
  <c r="CQ291" i="1"/>
  <c r="AT290"/>
  <c r="X317" i="52" s="1"/>
  <c r="V290" i="1"/>
  <c r="AQ289"/>
  <c r="AO289"/>
  <c r="T313" i="43" s="1"/>
  <c r="AC289" i="1"/>
  <c r="T289"/>
  <c r="P316" i="52" s="1"/>
  <c r="Q289" i="1"/>
  <c r="BD288"/>
  <c r="T316" i="52" l="1"/>
  <c r="R310" i="45"/>
  <c r="V316" i="52"/>
  <c r="U313" i="43"/>
  <c r="CQ290" i="1"/>
  <c r="W290"/>
  <c r="AT289"/>
  <c r="X316" i="52" s="1"/>
  <c r="V289" i="1"/>
  <c r="W289" s="1"/>
  <c r="AQ288"/>
  <c r="AO288"/>
  <c r="T312" i="43" s="1"/>
  <c r="AC288" i="1"/>
  <c r="T288"/>
  <c r="P315" i="52" s="1"/>
  <c r="Q288" i="1"/>
  <c r="BD286"/>
  <c r="V315" i="52" l="1"/>
  <c r="U312" i="43"/>
  <c r="P313"/>
  <c r="O310" i="45"/>
  <c r="P314" i="43"/>
  <c r="O311" i="45"/>
  <c r="T315" i="52"/>
  <c r="R309" i="45"/>
  <c r="CQ289" i="1"/>
  <c r="AT288"/>
  <c r="X315" i="52" s="1"/>
  <c r="V288" i="1"/>
  <c r="AQ286"/>
  <c r="AO286"/>
  <c r="T310" i="43" s="1"/>
  <c r="AC286" i="1"/>
  <c r="T286"/>
  <c r="P313" i="52" s="1"/>
  <c r="Q286" i="1"/>
  <c r="BD285"/>
  <c r="V313" i="52" l="1"/>
  <c r="U310" i="43"/>
  <c r="T313" i="52"/>
  <c r="R307" i="45"/>
  <c r="CQ288" i="1"/>
  <c r="W288"/>
  <c r="AT286"/>
  <c r="X313" i="52" s="1"/>
  <c r="V286" i="1"/>
  <c r="W286" s="1"/>
  <c r="AQ285"/>
  <c r="AO285"/>
  <c r="T309" i="43" s="1"/>
  <c r="AC285" i="1"/>
  <c r="T285"/>
  <c r="P312" i="52" s="1"/>
  <c r="Q285" i="1"/>
  <c r="BD283"/>
  <c r="O307" i="45" l="1"/>
  <c r="P310" i="43"/>
  <c r="T312" i="52"/>
  <c r="R306" i="45"/>
  <c r="P312" i="43"/>
  <c r="O309" i="45"/>
  <c r="V312" i="52"/>
  <c r="U309" i="43"/>
  <c r="CQ286" i="1"/>
  <c r="AT285"/>
  <c r="X312" i="52" s="1"/>
  <c r="V285" i="1"/>
  <c r="W285" s="1"/>
  <c r="AQ283"/>
  <c r="AO283"/>
  <c r="T307" i="43" s="1"/>
  <c r="AC283" i="1"/>
  <c r="T283"/>
  <c r="P310" i="52" s="1"/>
  <c r="Q283" i="1"/>
  <c r="BD282"/>
  <c r="O306" i="45" l="1"/>
  <c r="P309" i="43"/>
  <c r="T310" i="52"/>
  <c r="R304" i="45"/>
  <c r="V310" i="52"/>
  <c r="U307" i="43"/>
  <c r="CQ285" i="1"/>
  <c r="AT283"/>
  <c r="X310" i="52" s="1"/>
  <c r="V283" i="1"/>
  <c r="W283" s="1"/>
  <c r="AQ282"/>
  <c r="AO282"/>
  <c r="T306" i="43" s="1"/>
  <c r="AC282" i="1"/>
  <c r="T282"/>
  <c r="P309" i="52" s="1"/>
  <c r="Q282" i="1"/>
  <c r="BD281"/>
  <c r="T309" i="52" l="1"/>
  <c r="R303" i="45"/>
  <c r="V309" i="52"/>
  <c r="U306" i="43"/>
  <c r="P307"/>
  <c r="O304" i="45"/>
  <c r="CQ283" i="1"/>
  <c r="AT282"/>
  <c r="X309" i="52" s="1"/>
  <c r="V282" i="1"/>
  <c r="AQ281"/>
  <c r="AO281"/>
  <c r="T305" i="43" s="1"/>
  <c r="AC281" i="1"/>
  <c r="T281"/>
  <c r="P308" i="52" s="1"/>
  <c r="Q281" i="1"/>
  <c r="BD279"/>
  <c r="V308" i="52" l="1"/>
  <c r="U305" i="43"/>
  <c r="T308" i="52"/>
  <c r="R302" i="45"/>
  <c r="CQ282" i="1"/>
  <c r="W282"/>
  <c r="AT281"/>
  <c r="X308" i="52" s="1"/>
  <c r="V281" i="1"/>
  <c r="W281" s="1"/>
  <c r="AQ279"/>
  <c r="AO279"/>
  <c r="T303" i="43" s="1"/>
  <c r="AC279" i="1"/>
  <c r="T279"/>
  <c r="P306" i="52" s="1"/>
  <c r="Q279" i="1"/>
  <c r="BD278"/>
  <c r="V306" i="52" l="1"/>
  <c r="U303" i="43"/>
  <c r="P305"/>
  <c r="O302" i="45"/>
  <c r="P306" i="43"/>
  <c r="O303" i="45"/>
  <c r="T306" i="52"/>
  <c r="R300" i="45"/>
  <c r="CQ281" i="1"/>
  <c r="AT279"/>
  <c r="X306" i="52" s="1"/>
  <c r="V279" i="1"/>
  <c r="AQ278"/>
  <c r="AO278"/>
  <c r="T302" i="43" s="1"/>
  <c r="AC278" i="1"/>
  <c r="T278"/>
  <c r="P305" i="52" s="1"/>
  <c r="Q278" i="1"/>
  <c r="BD276"/>
  <c r="V305" i="52" l="1"/>
  <c r="U302" i="43"/>
  <c r="T305" i="52"/>
  <c r="R299" i="45"/>
  <c r="CQ279" i="1"/>
  <c r="W279"/>
  <c r="AT278"/>
  <c r="X305" i="52" s="1"/>
  <c r="V278" i="1"/>
  <c r="AQ276"/>
  <c r="AO276"/>
  <c r="T300" i="43" s="1"/>
  <c r="AC276" i="1"/>
  <c r="T276"/>
  <c r="P303" i="52" s="1"/>
  <c r="Q276" i="1"/>
  <c r="BD274"/>
  <c r="T303" i="52" l="1"/>
  <c r="R297" i="45"/>
  <c r="P303" i="43"/>
  <c r="O300" i="45"/>
  <c r="V303" i="52"/>
  <c r="U300" i="43"/>
  <c r="CQ278" i="1"/>
  <c r="W278"/>
  <c r="AT276"/>
  <c r="X303" i="52" s="1"/>
  <c r="V276" i="1"/>
  <c r="AQ274"/>
  <c r="AO274"/>
  <c r="T298" i="43" s="1"/>
  <c r="AC274" i="1"/>
  <c r="T274"/>
  <c r="P301" i="52" s="1"/>
  <c r="Q274" i="1"/>
  <c r="V301" i="52" l="1"/>
  <c r="U298" i="43"/>
  <c r="P302"/>
  <c r="O299" i="45"/>
  <c r="T301" i="52"/>
  <c r="R295" i="45"/>
  <c r="CQ276" i="1"/>
  <c r="W276"/>
  <c r="AT274"/>
  <c r="X301" i="52" s="1"/>
  <c r="V274" i="1"/>
  <c r="BD273"/>
  <c r="P300" i="43" l="1"/>
  <c r="O297" i="45"/>
  <c r="CQ274" i="1"/>
  <c r="W274"/>
  <c r="AQ273"/>
  <c r="AO273"/>
  <c r="T297" i="43" s="1"/>
  <c r="AC273" i="1"/>
  <c r="Q273"/>
  <c r="BD268"/>
  <c r="V300" i="52" l="1"/>
  <c r="U297" i="43"/>
  <c r="P298"/>
  <c r="O295" i="45"/>
  <c r="T300" i="52"/>
  <c r="R294" i="45"/>
  <c r="AT273" i="1"/>
  <c r="X300" i="52" s="1"/>
  <c r="V273" i="1"/>
  <c r="W273" s="1"/>
  <c r="AQ268"/>
  <c r="AO268"/>
  <c r="T292" i="43" s="1"/>
  <c r="AC268" i="1"/>
  <c r="T268"/>
  <c r="P295" i="52" s="1"/>
  <c r="Q268" i="1"/>
  <c r="V295" i="52" l="1"/>
  <c r="U292" i="43"/>
  <c r="P297"/>
  <c r="O294" i="45"/>
  <c r="T295" i="52"/>
  <c r="R289" i="45"/>
  <c r="CQ273" i="1"/>
  <c r="AT268"/>
  <c r="X295" i="52" s="1"/>
  <c r="V268" i="1"/>
  <c r="W268" s="1"/>
  <c r="BD267"/>
  <c r="P292" i="43" l="1"/>
  <c r="O289" i="45"/>
  <c r="CQ268" i="1"/>
  <c r="AQ267"/>
  <c r="AO267"/>
  <c r="T291" i="43" s="1"/>
  <c r="AC267" i="1"/>
  <c r="T267"/>
  <c r="P294" i="52" s="1"/>
  <c r="Q267" i="1"/>
  <c r="BD266"/>
  <c r="T294" i="52" l="1"/>
  <c r="R288" i="45"/>
  <c r="V294" i="52"/>
  <c r="U291" i="43"/>
  <c r="AT267" i="1"/>
  <c r="X294" i="52" s="1"/>
  <c r="V267" i="1"/>
  <c r="W267" s="1"/>
  <c r="AQ266"/>
  <c r="AO266"/>
  <c r="T290" i="43" s="1"/>
  <c r="AC266" i="1"/>
  <c r="T266"/>
  <c r="P293" i="52" s="1"/>
  <c r="Q266" i="1"/>
  <c r="BD265"/>
  <c r="P291" i="43" l="1"/>
  <c r="O288" i="45"/>
  <c r="T293" i="52"/>
  <c r="R287" i="45"/>
  <c r="V293" i="52"/>
  <c r="U290" i="43"/>
  <c r="CQ267" i="1"/>
  <c r="AT266"/>
  <c r="X293" i="52" s="1"/>
  <c r="V266" i="1"/>
  <c r="W266" s="1"/>
  <c r="AQ265"/>
  <c r="AO265"/>
  <c r="T289" i="43" s="1"/>
  <c r="AC265" i="1"/>
  <c r="T265"/>
  <c r="P292" i="52" s="1"/>
  <c r="Q265" i="1"/>
  <c r="T292" i="52" l="1"/>
  <c r="R286" i="45"/>
  <c r="V292" i="52"/>
  <c r="U289" i="43"/>
  <c r="P290"/>
  <c r="O287" i="45"/>
  <c r="CQ266" i="1"/>
  <c r="AT265"/>
  <c r="X292" i="52" s="1"/>
  <c r="V265" i="1"/>
  <c r="W265" s="1"/>
  <c r="P289" i="43" l="1"/>
  <c r="O286" i="45"/>
  <c r="CQ265" i="1"/>
  <c r="BD264"/>
  <c r="AQ264" l="1"/>
  <c r="AO264"/>
  <c r="T288" i="43" s="1"/>
  <c r="AC264" i="1"/>
  <c r="T264"/>
  <c r="P291" i="52" s="1"/>
  <c r="Q264" i="1"/>
  <c r="V291" i="52" l="1"/>
  <c r="U288" i="43"/>
  <c r="T291" i="52"/>
  <c r="R285" i="45"/>
  <c r="AT264" i="1"/>
  <c r="X291" i="52" s="1"/>
  <c r="V264" i="1"/>
  <c r="CQ264" l="1"/>
  <c r="W264"/>
  <c r="BD262"/>
  <c r="P288" i="43" l="1"/>
  <c r="O285" i="45"/>
  <c r="AQ262" i="1"/>
  <c r="AO262"/>
  <c r="T286" i="43" s="1"/>
  <c r="AC262" i="1"/>
  <c r="T262"/>
  <c r="P289" i="52" s="1"/>
  <c r="Q262" i="1"/>
  <c r="V289" i="52" l="1"/>
  <c r="U286" i="43"/>
  <c r="T289" i="52"/>
  <c r="R283" i="45"/>
  <c r="AT262" i="1"/>
  <c r="X289" i="52" s="1"/>
  <c r="V262" i="1"/>
  <c r="W262" s="1"/>
  <c r="BD261"/>
  <c r="P286" i="43" l="1"/>
  <c r="O283" i="45"/>
  <c r="CQ262" i="1"/>
  <c r="AQ261"/>
  <c r="AO261"/>
  <c r="T285" i="43" s="1"/>
  <c r="AC261" i="1"/>
  <c r="T261"/>
  <c r="P288" i="52" s="1"/>
  <c r="Q261" i="1"/>
  <c r="V288" i="52" l="1"/>
  <c r="U285" i="43"/>
  <c r="T288" i="52"/>
  <c r="R282" i="45"/>
  <c r="AT261" i="1"/>
  <c r="X288" i="52" s="1"/>
  <c r="V261" i="1"/>
  <c r="W261" s="1"/>
  <c r="BD258"/>
  <c r="P285" i="43" l="1"/>
  <c r="O282" i="45"/>
  <c r="CQ261" i="1"/>
  <c r="AQ258"/>
  <c r="AO258"/>
  <c r="T282" i="43" s="1"/>
  <c r="AC258" i="1"/>
  <c r="T258"/>
  <c r="P285" i="52" s="1"/>
  <c r="Q258" i="1"/>
  <c r="BD257"/>
  <c r="T285" i="52" l="1"/>
  <c r="R279" i="45"/>
  <c r="V285" i="52"/>
  <c r="U282" i="43"/>
  <c r="AT258" i="1"/>
  <c r="X285" i="52" s="1"/>
  <c r="V258" i="1"/>
  <c r="W258" s="1"/>
  <c r="AQ257"/>
  <c r="AO257"/>
  <c r="T281" i="43" s="1"/>
  <c r="AC257" i="1"/>
  <c r="T257"/>
  <c r="P284" i="52" s="1"/>
  <c r="Q257" i="1"/>
  <c r="P282" i="43" l="1"/>
  <c r="O279" i="45"/>
  <c r="T284" i="52"/>
  <c r="R278" i="45"/>
  <c r="V284" i="52"/>
  <c r="U281" i="43"/>
  <c r="CQ258" i="1"/>
  <c r="AT257"/>
  <c r="X284" i="52" s="1"/>
  <c r="V257" i="1"/>
  <c r="CQ257" l="1"/>
  <c r="W257"/>
  <c r="BD253"/>
  <c r="P281" i="43" l="1"/>
  <c r="O278" i="45"/>
  <c r="AQ253" i="1"/>
  <c r="AO253"/>
  <c r="T277" i="43" s="1"/>
  <c r="AC253" i="1"/>
  <c r="T253"/>
  <c r="P280" i="52" s="1"/>
  <c r="Q253" i="1"/>
  <c r="V280" i="52" l="1"/>
  <c r="U277" i="43"/>
  <c r="T280" i="52"/>
  <c r="R274" i="45"/>
  <c r="AT253" i="1"/>
  <c r="X280" i="52" s="1"/>
  <c r="V253" i="1"/>
  <c r="CQ253" l="1"/>
  <c r="W253"/>
  <c r="BD250"/>
  <c r="O274" i="45" l="1"/>
  <c r="P277" i="43"/>
  <c r="AQ250" i="1"/>
  <c r="AO250"/>
  <c r="T274" i="43" s="1"/>
  <c r="AC250" i="1"/>
  <c r="T250"/>
  <c r="P277" i="52" s="1"/>
  <c r="Q250" i="1"/>
  <c r="BD249"/>
  <c r="V277" i="52" l="1"/>
  <c r="U274" i="43"/>
  <c r="T277" i="52"/>
  <c r="R271" i="45"/>
  <c r="AT250" i="1"/>
  <c r="X277" i="52" s="1"/>
  <c r="V250" i="1"/>
  <c r="AQ249"/>
  <c r="AO249"/>
  <c r="T273" i="43" s="1"/>
  <c r="AC249" i="1"/>
  <c r="T249"/>
  <c r="P276" i="52" s="1"/>
  <c r="Q249" i="1"/>
  <c r="BD248"/>
  <c r="T276" i="52" l="1"/>
  <c r="R270" i="45"/>
  <c r="V276" i="52"/>
  <c r="U273" i="43"/>
  <c r="CQ250" i="1"/>
  <c r="W250"/>
  <c r="AT249"/>
  <c r="X276" i="52" s="1"/>
  <c r="V249" i="1"/>
  <c r="W249" s="1"/>
  <c r="AQ248"/>
  <c r="AO248"/>
  <c r="T272" i="43" s="1"/>
  <c r="AC248" i="1"/>
  <c r="T248"/>
  <c r="P275" i="52" s="1"/>
  <c r="Q248" i="1"/>
  <c r="P273" i="43" l="1"/>
  <c r="O270" i="45"/>
  <c r="T275" i="52"/>
  <c r="R269" i="45"/>
  <c r="P274" i="43"/>
  <c r="O271" i="45"/>
  <c r="V275" i="52"/>
  <c r="U272" i="43"/>
  <c r="CQ249" i="1"/>
  <c r="AT248"/>
  <c r="X275" i="52" s="1"/>
  <c r="V248" i="1"/>
  <c r="W248" s="1"/>
  <c r="AQ246"/>
  <c r="AO246"/>
  <c r="T270" i="43" s="1"/>
  <c r="AC246" i="1"/>
  <c r="T246"/>
  <c r="P273" i="52" s="1"/>
  <c r="Q246" i="1"/>
  <c r="P272" i="43" l="1"/>
  <c r="O269" i="45"/>
  <c r="V273" i="52"/>
  <c r="U270" i="43"/>
  <c r="T273" i="52"/>
  <c r="R267" i="45"/>
  <c r="CQ248" i="1"/>
  <c r="AT246"/>
  <c r="X273" i="52" s="1"/>
  <c r="V246" i="1"/>
  <c r="BD245"/>
  <c r="CQ246" l="1"/>
  <c r="W246"/>
  <c r="AQ245"/>
  <c r="AO245"/>
  <c r="T269" i="43" s="1"/>
  <c r="AC245" i="1"/>
  <c r="T245"/>
  <c r="P272" i="52" s="1"/>
  <c r="Q245" i="1"/>
  <c r="BD244"/>
  <c r="P270" i="43" l="1"/>
  <c r="O267" i="45"/>
  <c r="T272" i="52"/>
  <c r="R266" i="45"/>
  <c r="V272" i="52"/>
  <c r="U269" i="43"/>
  <c r="AT245" i="1"/>
  <c r="X272" i="52" s="1"/>
  <c r="V245" i="1"/>
  <c r="AQ244"/>
  <c r="AO244"/>
  <c r="T268" i="43" s="1"/>
  <c r="AC244" i="1"/>
  <c r="T244"/>
  <c r="P271" i="52" s="1"/>
  <c r="Q244" i="1"/>
  <c r="BD242"/>
  <c r="T271" i="52" l="1"/>
  <c r="R265" i="45"/>
  <c r="V271" i="52"/>
  <c r="U268" i="43"/>
  <c r="CQ245" i="1"/>
  <c r="W245"/>
  <c r="AT244"/>
  <c r="X271" i="52" s="1"/>
  <c r="V244" i="1"/>
  <c r="AQ242"/>
  <c r="AO242"/>
  <c r="T266" i="43" s="1"/>
  <c r="AC242" i="1"/>
  <c r="T242"/>
  <c r="P269" i="52" s="1"/>
  <c r="Q242" i="1"/>
  <c r="BD241"/>
  <c r="V269" i="52" l="1"/>
  <c r="U266" i="43"/>
  <c r="P269"/>
  <c r="O266" i="45"/>
  <c r="T269" i="52"/>
  <c r="R263" i="45"/>
  <c r="CQ244" i="1"/>
  <c r="W244"/>
  <c r="AT242"/>
  <c r="X269" i="52" s="1"/>
  <c r="V242" i="1"/>
  <c r="W242" s="1"/>
  <c r="AQ241"/>
  <c r="AO241"/>
  <c r="T265" i="43" s="1"/>
  <c r="AC241" i="1"/>
  <c r="T241"/>
  <c r="P268" i="52" s="1"/>
  <c r="Q241" i="1"/>
  <c r="V268" i="52" l="1"/>
  <c r="U265" i="43"/>
  <c r="P266"/>
  <c r="O263" i="45"/>
  <c r="P268" i="43"/>
  <c r="O265" i="45"/>
  <c r="T268" i="52"/>
  <c r="R262" i="45"/>
  <c r="CQ242" i="1"/>
  <c r="AT241"/>
  <c r="X268" i="52" s="1"/>
  <c r="V241" i="1"/>
  <c r="W241" s="1"/>
  <c r="P265" i="43" l="1"/>
  <c r="O262" i="45"/>
  <c r="CQ241" i="1"/>
  <c r="BD240"/>
  <c r="AQ240" l="1"/>
  <c r="AO240"/>
  <c r="T264" i="43" s="1"/>
  <c r="AC240" i="1"/>
  <c r="T240"/>
  <c r="P267" i="52" s="1"/>
  <c r="Q240" i="1"/>
  <c r="BD239"/>
  <c r="V267" i="52" l="1"/>
  <c r="U264" i="43"/>
  <c r="T267" i="52"/>
  <c r="R261" i="45"/>
  <c r="AT240" i="1"/>
  <c r="X267" i="52" s="1"/>
  <c r="V240" i="1"/>
  <c r="W240" s="1"/>
  <c r="AQ239"/>
  <c r="AO239"/>
  <c r="T263" i="43" s="1"/>
  <c r="AC239" i="1"/>
  <c r="T239"/>
  <c r="P266" i="52" s="1"/>
  <c r="Q239" i="1"/>
  <c r="BD238"/>
  <c r="V266" i="52" l="1"/>
  <c r="U263" i="43"/>
  <c r="P264"/>
  <c r="O261" i="45"/>
  <c r="T266" i="52"/>
  <c r="R260" i="45"/>
  <c r="CQ240" i="1"/>
  <c r="AT239"/>
  <c r="X266" i="52" s="1"/>
  <c r="V239" i="1"/>
  <c r="W239" s="1"/>
  <c r="AQ238"/>
  <c r="AO238"/>
  <c r="T262" i="43" s="1"/>
  <c r="AC238" i="1"/>
  <c r="T238"/>
  <c r="P265" i="52" s="1"/>
  <c r="Q238" i="1"/>
  <c r="T265" i="52" l="1"/>
  <c r="R259" i="45"/>
  <c r="V265" i="52"/>
  <c r="U262" i="43"/>
  <c r="P263"/>
  <c r="O260" i="45"/>
  <c r="CQ239" i="1"/>
  <c r="AT238"/>
  <c r="X265" i="52" s="1"/>
  <c r="V238" i="1"/>
  <c r="W238" s="1"/>
  <c r="BD236"/>
  <c r="O259" i="45" l="1"/>
  <c r="P262" i="43"/>
  <c r="CQ238" i="1"/>
  <c r="AQ236"/>
  <c r="AO236"/>
  <c r="T260" i="43" s="1"/>
  <c r="AC236" i="1"/>
  <c r="T236"/>
  <c r="P263" i="52" s="1"/>
  <c r="Q236" i="1"/>
  <c r="BD234"/>
  <c r="T263" i="52" l="1"/>
  <c r="R257" i="45"/>
  <c r="V263" i="52"/>
  <c r="U260" i="43"/>
  <c r="AT236" i="1"/>
  <c r="X263" i="52" s="1"/>
  <c r="V236" i="1"/>
  <c r="AQ234"/>
  <c r="AO234"/>
  <c r="T258" i="43" s="1"/>
  <c r="AC234" i="1"/>
  <c r="T234"/>
  <c r="P261" i="52" s="1"/>
  <c r="Q234" i="1"/>
  <c r="BD233"/>
  <c r="T261" i="52" l="1"/>
  <c r="R255" i="45"/>
  <c r="V261" i="52"/>
  <c r="U258" i="43"/>
  <c r="CQ236" i="1"/>
  <c r="W236"/>
  <c r="AT234"/>
  <c r="X261" i="52" s="1"/>
  <c r="V234" i="1"/>
  <c r="W234" s="1"/>
  <c r="AQ233"/>
  <c r="AO233"/>
  <c r="T257" i="43" s="1"/>
  <c r="AC233" i="1"/>
  <c r="T233"/>
  <c r="P260" i="52" s="1"/>
  <c r="Q233" i="1"/>
  <c r="BD231"/>
  <c r="P258" i="43" l="1"/>
  <c r="O255" i="45"/>
  <c r="T260" i="52"/>
  <c r="R254" i="45"/>
  <c r="P260" i="43"/>
  <c r="O257" i="45"/>
  <c r="V260" i="52"/>
  <c r="U257" i="43"/>
  <c r="CQ234" i="1"/>
  <c r="AT233"/>
  <c r="X260" i="52" s="1"/>
  <c r="V233" i="1"/>
  <c r="W233" s="1"/>
  <c r="AQ231"/>
  <c r="AO231"/>
  <c r="T255" i="43" s="1"/>
  <c r="AC231" i="1"/>
  <c r="T231"/>
  <c r="P258" i="52" s="1"/>
  <c r="Q231" i="1"/>
  <c r="BD230"/>
  <c r="V258" i="52" l="1"/>
  <c r="U255" i="43"/>
  <c r="P257"/>
  <c r="O254" i="45"/>
  <c r="T258" i="52"/>
  <c r="R252" i="45"/>
  <c r="CQ233" i="1"/>
  <c r="AT231"/>
  <c r="X258" i="52" s="1"/>
  <c r="V231" i="1"/>
  <c r="W231" s="1"/>
  <c r="AQ230"/>
  <c r="AO230"/>
  <c r="T254" i="43" s="1"/>
  <c r="AC230" i="1"/>
  <c r="T230"/>
  <c r="P257" i="52" s="1"/>
  <c r="Q230" i="1"/>
  <c r="T257" i="52" l="1"/>
  <c r="R251" i="45"/>
  <c r="V257" i="52"/>
  <c r="U254" i="43"/>
  <c r="P255"/>
  <c r="O252" i="45"/>
  <c r="CQ231" i="1"/>
  <c r="AT230"/>
  <c r="X257" i="52" s="1"/>
  <c r="V230" i="1"/>
  <c r="W230" s="1"/>
  <c r="P254" i="43" l="1"/>
  <c r="O251" i="45"/>
  <c r="CQ230" i="1"/>
  <c r="V255" i="52"/>
  <c r="T255"/>
  <c r="P255"/>
  <c r="BD228" i="1"/>
  <c r="X255" i="52" l="1"/>
  <c r="AQ228" i="1"/>
  <c r="AO228"/>
  <c r="T252" i="43" s="1"/>
  <c r="AC228" i="1"/>
  <c r="T228"/>
  <c r="P254" i="52" s="1"/>
  <c r="Q228" i="1"/>
  <c r="BD227"/>
  <c r="V254" i="52" l="1"/>
  <c r="U252" i="43"/>
  <c r="T254" i="52"/>
  <c r="R249" i="45"/>
  <c r="AT228" i="1"/>
  <c r="X254" i="52" s="1"/>
  <c r="V228" i="1"/>
  <c r="W228" s="1"/>
  <c r="AQ227"/>
  <c r="AO227"/>
  <c r="T251" i="43" s="1"/>
  <c r="AC227" i="1"/>
  <c r="T227"/>
  <c r="P253" i="52" s="1"/>
  <c r="Q227" i="1"/>
  <c r="BD223"/>
  <c r="V253" i="52" l="1"/>
  <c r="U251" i="43"/>
  <c r="P252"/>
  <c r="O249" i="45"/>
  <c r="T253" i="52"/>
  <c r="R248" i="45"/>
  <c r="CQ228" i="1"/>
  <c r="AT227"/>
  <c r="X253" i="52" s="1"/>
  <c r="V227" i="1"/>
  <c r="W227" s="1"/>
  <c r="AQ223"/>
  <c r="AO223"/>
  <c r="T247" i="43" s="1"/>
  <c r="AC223" i="1"/>
  <c r="T223"/>
  <c r="P249" i="52" s="1"/>
  <c r="BD222" i="1"/>
  <c r="T249" i="52" l="1"/>
  <c r="R244" i="45"/>
  <c r="V249" i="52"/>
  <c r="U247" i="43"/>
  <c r="P251"/>
  <c r="O248" i="45"/>
  <c r="CQ227" i="1"/>
  <c r="AT223"/>
  <c r="X249" i="52" s="1"/>
  <c r="V223" i="1"/>
  <c r="AQ222"/>
  <c r="AO222"/>
  <c r="T246" i="43" s="1"/>
  <c r="AC222" i="1"/>
  <c r="T222"/>
  <c r="P248" i="52" s="1"/>
  <c r="Q222" i="1"/>
  <c r="BD221"/>
  <c r="T248" i="52" l="1"/>
  <c r="R243" i="45"/>
  <c r="V248" i="52"/>
  <c r="U246" i="43"/>
  <c r="CQ223" i="1"/>
  <c r="W223"/>
  <c r="AT222"/>
  <c r="X248" i="52" s="1"/>
  <c r="V222" i="1"/>
  <c r="W222" s="1"/>
  <c r="AQ221"/>
  <c r="AO221"/>
  <c r="T245" i="43" s="1"/>
  <c r="AC221" i="1"/>
  <c r="T221"/>
  <c r="P247" i="52" s="1"/>
  <c r="Q221" i="1"/>
  <c r="BD220"/>
  <c r="V247" i="52" l="1"/>
  <c r="U245" i="43"/>
  <c r="P246"/>
  <c r="O243" i="45"/>
  <c r="P247" i="43"/>
  <c r="O244" i="45"/>
  <c r="T247" i="52"/>
  <c r="R242" i="45"/>
  <c r="CQ222" i="1"/>
  <c r="AT221"/>
  <c r="X247" i="52" s="1"/>
  <c r="V221" i="1"/>
  <c r="W221" s="1"/>
  <c r="AQ220"/>
  <c r="AO220"/>
  <c r="T244" i="43" s="1"/>
  <c r="AC220" i="1"/>
  <c r="T220"/>
  <c r="P246" i="52" s="1"/>
  <c r="Q220" i="1"/>
  <c r="P245" i="43" l="1"/>
  <c r="O242" i="45"/>
  <c r="T246" i="52"/>
  <c r="R241" i="45"/>
  <c r="V246" i="52"/>
  <c r="U244" i="43"/>
  <c r="CQ221" i="1"/>
  <c r="AT220"/>
  <c r="X246" i="52" s="1"/>
  <c r="V220" i="1"/>
  <c r="BD217"/>
  <c r="CQ220" l="1"/>
  <c r="W220"/>
  <c r="AQ217"/>
  <c r="AO217"/>
  <c r="T241" i="43" s="1"/>
  <c r="AC217" i="1"/>
  <c r="T217"/>
  <c r="P243" i="52" s="1"/>
  <c r="Q217" i="1"/>
  <c r="P244" i="43" l="1"/>
  <c r="O241" i="45"/>
  <c r="T243" i="52"/>
  <c r="R238" i="45"/>
  <c r="V243" i="52"/>
  <c r="U241" i="43"/>
  <c r="AT217" i="1"/>
  <c r="X243" i="52" s="1"/>
  <c r="V217" i="1"/>
  <c r="W217" s="1"/>
  <c r="BD214"/>
  <c r="P241" i="43" l="1"/>
  <c r="O238" i="45"/>
  <c r="CQ217" i="1"/>
  <c r="AQ214"/>
  <c r="AO214"/>
  <c r="T238" i="43" s="1"/>
  <c r="AC214" i="1"/>
  <c r="T214"/>
  <c r="P240" i="52" s="1"/>
  <c r="Q214" i="1"/>
  <c r="BD213"/>
  <c r="T240" i="52" l="1"/>
  <c r="R235" i="45"/>
  <c r="V240" i="52"/>
  <c r="U238" i="43"/>
  <c r="AT214" i="1"/>
  <c r="X240" i="52" s="1"/>
  <c r="V214" i="1"/>
  <c r="AQ213"/>
  <c r="AO213"/>
  <c r="T237" i="43" s="1"/>
  <c r="AC213" i="1"/>
  <c r="T213"/>
  <c r="P239" i="52" s="1"/>
  <c r="Q213" i="1"/>
  <c r="T239" i="52" l="1"/>
  <c r="R234" i="45"/>
  <c r="V239" i="52"/>
  <c r="U237" i="43"/>
  <c r="CQ214" i="1"/>
  <c r="W214"/>
  <c r="AT213"/>
  <c r="X239" i="52" s="1"/>
  <c r="V213" i="1"/>
  <c r="W213" s="1"/>
  <c r="BD212"/>
  <c r="P237" i="43" l="1"/>
  <c r="O234" i="45"/>
  <c r="P238" i="43"/>
  <c r="O235" i="45"/>
  <c r="CQ213" i="1"/>
  <c r="AQ212"/>
  <c r="AO212"/>
  <c r="T236" i="43" s="1"/>
  <c r="AC212" i="1"/>
  <c r="T212"/>
  <c r="P238" i="52" s="1"/>
  <c r="Q212" i="1"/>
  <c r="BD211"/>
  <c r="T238" i="52" l="1"/>
  <c r="R233" i="45"/>
  <c r="V238" i="52"/>
  <c r="U236" i="43"/>
  <c r="AT212" i="1"/>
  <c r="X238" i="52" s="1"/>
  <c r="V212" i="1"/>
  <c r="AQ211"/>
  <c r="AO211"/>
  <c r="T235" i="43" s="1"/>
  <c r="AC211" i="1"/>
  <c r="T211"/>
  <c r="P237" i="52" s="1"/>
  <c r="Q211" i="1"/>
  <c r="BD209"/>
  <c r="V237" i="52" l="1"/>
  <c r="U235" i="43"/>
  <c r="T237" i="52"/>
  <c r="R232" i="45"/>
  <c r="CQ212" i="1"/>
  <c r="W212"/>
  <c r="AT211"/>
  <c r="X237" i="52" s="1"/>
  <c r="V211" i="1"/>
  <c r="W211" s="1"/>
  <c r="AQ209"/>
  <c r="AO209"/>
  <c r="T233" i="43" s="1"/>
  <c r="AC209" i="1"/>
  <c r="T209"/>
  <c r="P235" i="52" s="1"/>
  <c r="Q209" i="1"/>
  <c r="P235" i="43" l="1"/>
  <c r="O232" i="45"/>
  <c r="T235" i="52"/>
  <c r="R230" i="45"/>
  <c r="P236" i="43"/>
  <c r="O233" i="45"/>
  <c r="V235" i="52"/>
  <c r="U233" i="43"/>
  <c r="CQ211" i="1"/>
  <c r="AT209"/>
  <c r="X235" i="52" s="1"/>
  <c r="V209" i="1"/>
  <c r="W209" s="1"/>
  <c r="BD207"/>
  <c r="P233" i="43" l="1"/>
  <c r="O230" i="45"/>
  <c r="CQ209" i="1"/>
  <c r="AQ207"/>
  <c r="AO207"/>
  <c r="T231" i="43" s="1"/>
  <c r="AC207" i="1"/>
  <c r="T207"/>
  <c r="P233" i="52" s="1"/>
  <c r="Q207" i="1"/>
  <c r="BD206"/>
  <c r="T233" i="52" l="1"/>
  <c r="R228" i="45"/>
  <c r="V233" i="52"/>
  <c r="U231" i="43"/>
  <c r="AT207" i="1"/>
  <c r="X233" i="52" s="1"/>
  <c r="V207" i="1"/>
  <c r="W207" s="1"/>
  <c r="AQ206"/>
  <c r="AO206"/>
  <c r="T230" i="43" s="1"/>
  <c r="AC206" i="1"/>
  <c r="T206"/>
  <c r="P232" i="52" s="1"/>
  <c r="Q206" i="1"/>
  <c r="BD205"/>
  <c r="P231" i="43" l="1"/>
  <c r="O228" i="45"/>
  <c r="T232" i="52"/>
  <c r="R227" i="45"/>
  <c r="V232" i="52"/>
  <c r="U230" i="43"/>
  <c r="CQ207" i="1"/>
  <c r="AT206"/>
  <c r="X232" i="52" s="1"/>
  <c r="V206" i="1"/>
  <c r="AQ205"/>
  <c r="AO205"/>
  <c r="T229" i="43" s="1"/>
  <c r="AC205" i="1"/>
  <c r="T205"/>
  <c r="P231" i="52" s="1"/>
  <c r="Q205" i="1"/>
  <c r="BD204"/>
  <c r="T231" i="52" l="1"/>
  <c r="R226" i="45"/>
  <c r="V231" i="52"/>
  <c r="U229" i="43"/>
  <c r="CQ206" i="1"/>
  <c r="W206"/>
  <c r="AT205"/>
  <c r="X231" i="52" s="1"/>
  <c r="V205" i="1"/>
  <c r="W205" s="1"/>
  <c r="AQ204"/>
  <c r="AO204"/>
  <c r="T228" i="43" s="1"/>
  <c r="AC204" i="1"/>
  <c r="T204"/>
  <c r="P230" i="52" s="1"/>
  <c r="Q204" i="1"/>
  <c r="BD201"/>
  <c r="V230" i="52" l="1"/>
  <c r="U228" i="43"/>
  <c r="P229"/>
  <c r="O226" i="45"/>
  <c r="O227"/>
  <c r="P230" i="43"/>
  <c r="T230" i="52"/>
  <c r="R225" i="45"/>
  <c r="CQ205" i="1"/>
  <c r="AT204"/>
  <c r="X230" i="52" s="1"/>
  <c r="V204" i="1"/>
  <c r="W204" s="1"/>
  <c r="AQ201"/>
  <c r="AO201"/>
  <c r="T225" i="43" s="1"/>
  <c r="AC201" i="1"/>
  <c r="T201"/>
  <c r="P227" i="52" s="1"/>
  <c r="Q201" i="1"/>
  <c r="BD200"/>
  <c r="P228" i="43" l="1"/>
  <c r="O225" i="45"/>
  <c r="T227" i="52"/>
  <c r="R222" i="45"/>
  <c r="V227" i="52"/>
  <c r="U225" i="43"/>
  <c r="CQ204" i="1"/>
  <c r="AT201"/>
  <c r="X227" i="52" s="1"/>
  <c r="V201" i="1"/>
  <c r="W201" s="1"/>
  <c r="AQ200"/>
  <c r="AO200"/>
  <c r="T224" i="43" s="1"/>
  <c r="AC200" i="1"/>
  <c r="T200"/>
  <c r="P226" i="52" s="1"/>
  <c r="Q200" i="1"/>
  <c r="BD198"/>
  <c r="T226" i="52" l="1"/>
  <c r="R221" i="45"/>
  <c r="V226" i="52"/>
  <c r="U224" i="43"/>
  <c r="P225"/>
  <c r="O222" i="45"/>
  <c r="CQ201" i="1"/>
  <c r="AT200"/>
  <c r="X226" i="52" s="1"/>
  <c r="V200" i="1"/>
  <c r="W200" s="1"/>
  <c r="AQ198"/>
  <c r="AO198"/>
  <c r="T222" i="43" s="1"/>
  <c r="AC198" i="1"/>
  <c r="T198"/>
  <c r="P224" i="52" s="1"/>
  <c r="Q198" i="1"/>
  <c r="BD197"/>
  <c r="V224" i="52" l="1"/>
  <c r="U222" i="43"/>
  <c r="P224"/>
  <c r="O221" i="45"/>
  <c r="T224" i="52"/>
  <c r="R219" i="45"/>
  <c r="CQ200" i="1"/>
  <c r="AT198"/>
  <c r="X224" i="52" s="1"/>
  <c r="V198" i="1"/>
  <c r="AQ197"/>
  <c r="AO197"/>
  <c r="T221" i="43" s="1"/>
  <c r="AC197" i="1"/>
  <c r="T197"/>
  <c r="P223" i="52" s="1"/>
  <c r="Q197" i="1"/>
  <c r="BD196"/>
  <c r="V223" i="52" l="1"/>
  <c r="U221" i="43"/>
  <c r="T223" i="52"/>
  <c r="R218" i="45"/>
  <c r="CQ198" i="1"/>
  <c r="W198"/>
  <c r="AT197"/>
  <c r="X223" i="52" s="1"/>
  <c r="V197" i="1"/>
  <c r="AQ196"/>
  <c r="AO196"/>
  <c r="T220" i="43" s="1"/>
  <c r="AC196" i="1"/>
  <c r="T196"/>
  <c r="P222" i="52" s="1"/>
  <c r="Q196" i="1"/>
  <c r="BD193"/>
  <c r="V222" i="52" l="1"/>
  <c r="U220" i="43"/>
  <c r="O219" i="45"/>
  <c r="P222" i="43"/>
  <c r="T222" i="52"/>
  <c r="R217" i="45"/>
  <c r="CQ197" i="1"/>
  <c r="W197"/>
  <c r="AT196"/>
  <c r="X222" i="52" s="1"/>
  <c r="V196" i="1"/>
  <c r="AQ193"/>
  <c r="AO193"/>
  <c r="T217" i="43" s="1"/>
  <c r="AC193" i="1"/>
  <c r="T193"/>
  <c r="P219" i="52" s="1"/>
  <c r="Q193" i="1"/>
  <c r="BD192"/>
  <c r="T219" i="52" l="1"/>
  <c r="R214" i="45"/>
  <c r="P221" i="43"/>
  <c r="O218" i="45"/>
  <c r="V219" i="52"/>
  <c r="U217" i="43"/>
  <c r="CQ196" i="1"/>
  <c r="W196"/>
  <c r="AT193"/>
  <c r="X219" i="52" s="1"/>
  <c r="V193" i="1"/>
  <c r="W193" s="1"/>
  <c r="AQ192"/>
  <c r="AO192"/>
  <c r="T216" i="43" s="1"/>
  <c r="AC192" i="1"/>
  <c r="T192"/>
  <c r="P218" i="52" s="1"/>
  <c r="Q192" i="1"/>
  <c r="BD191"/>
  <c r="P217" i="43" l="1"/>
  <c r="O214" i="45"/>
  <c r="T218" i="52"/>
  <c r="R213" i="45"/>
  <c r="V218" i="52"/>
  <c r="U216" i="43"/>
  <c r="P220"/>
  <c r="O217" i="45"/>
  <c r="CQ193" i="1"/>
  <c r="AT192"/>
  <c r="X218" i="52" s="1"/>
  <c r="V192" i="1"/>
  <c r="AQ191"/>
  <c r="AO191"/>
  <c r="T215" i="43" s="1"/>
  <c r="AC191" i="1"/>
  <c r="T191"/>
  <c r="P217" i="52" s="1"/>
  <c r="Q191" i="1"/>
  <c r="BD190"/>
  <c r="T217" i="52" l="1"/>
  <c r="R212" i="45"/>
  <c r="V217" i="52"/>
  <c r="U215" i="43"/>
  <c r="CQ192" i="1"/>
  <c r="W192"/>
  <c r="AT191"/>
  <c r="X217" i="52" s="1"/>
  <c r="V191" i="1"/>
  <c r="AQ190"/>
  <c r="AO190"/>
  <c r="T214" i="43" s="1"/>
  <c r="AC190" i="1"/>
  <c r="T190"/>
  <c r="P216" i="52" s="1"/>
  <c r="Q190" i="1"/>
  <c r="BD189"/>
  <c r="T216" i="52" l="1"/>
  <c r="R211" i="45"/>
  <c r="P216" i="43"/>
  <c r="O213" i="45"/>
  <c r="V216" i="52"/>
  <c r="U214" i="43"/>
  <c r="CQ191" i="1"/>
  <c r="W191"/>
  <c r="AT190"/>
  <c r="X216" i="52" s="1"/>
  <c r="V190" i="1"/>
  <c r="AQ189"/>
  <c r="AO189"/>
  <c r="T213" i="43" s="1"/>
  <c r="AC189" i="1"/>
  <c r="T189"/>
  <c r="P215" i="52" s="1"/>
  <c r="Q189" i="1"/>
  <c r="BD188"/>
  <c r="V215" i="52" l="1"/>
  <c r="U213" i="43"/>
  <c r="P215"/>
  <c r="O212" i="45"/>
  <c r="T215" i="52"/>
  <c r="R210" i="45"/>
  <c r="CQ190" i="1"/>
  <c r="W190"/>
  <c r="AT189"/>
  <c r="X215" i="52" s="1"/>
  <c r="V189" i="1"/>
  <c r="W189" s="1"/>
  <c r="AQ188"/>
  <c r="AO188"/>
  <c r="T212" i="43" s="1"/>
  <c r="AC188" i="1"/>
  <c r="T188"/>
  <c r="P214" i="52" s="1"/>
  <c r="Q188" i="1"/>
  <c r="BD187"/>
  <c r="P213" i="43" l="1"/>
  <c r="O210" i="45"/>
  <c r="V214" i="52"/>
  <c r="U212" i="43"/>
  <c r="T214" i="52"/>
  <c r="R209" i="45"/>
  <c r="P214" i="43"/>
  <c r="O211" i="45"/>
  <c r="CQ189" i="1"/>
  <c r="AT188"/>
  <c r="X214" i="52" s="1"/>
  <c r="V188" i="1"/>
  <c r="W188" s="1"/>
  <c r="AQ187"/>
  <c r="AO187"/>
  <c r="T211" i="43" s="1"/>
  <c r="AC187" i="1"/>
  <c r="T187"/>
  <c r="P213" i="52" s="1"/>
  <c r="Q187" i="1"/>
  <c r="BD185"/>
  <c r="T213" i="52" l="1"/>
  <c r="R208" i="45"/>
  <c r="V213" i="52"/>
  <c r="U211" i="43"/>
  <c r="P212"/>
  <c r="O209" i="45"/>
  <c r="CQ188" i="1"/>
  <c r="AT187"/>
  <c r="X213" i="52" s="1"/>
  <c r="V187" i="1"/>
  <c r="AQ185"/>
  <c r="AO185"/>
  <c r="T209" i="43" s="1"/>
  <c r="AC185" i="1"/>
  <c r="Q185"/>
  <c r="BD184"/>
  <c r="T211" i="52" l="1"/>
  <c r="R206" i="45"/>
  <c r="V211" i="52"/>
  <c r="U209" i="43"/>
  <c r="CQ187" i="1"/>
  <c r="W187"/>
  <c r="AT185"/>
  <c r="X211" i="52" s="1"/>
  <c r="V185" i="1"/>
  <c r="W185" s="1"/>
  <c r="AQ184"/>
  <c r="AO184"/>
  <c r="T208" i="43" s="1"/>
  <c r="AC184" i="1"/>
  <c r="T184"/>
  <c r="P210" i="52" s="1"/>
  <c r="Q184" i="1"/>
  <c r="BD182"/>
  <c r="V210" i="52" l="1"/>
  <c r="U208" i="43"/>
  <c r="P209"/>
  <c r="O206" i="45"/>
  <c r="P211" i="43"/>
  <c r="O208" i="45"/>
  <c r="T210" i="52"/>
  <c r="R205" i="45"/>
  <c r="CQ185" i="1"/>
  <c r="AT184"/>
  <c r="X210" i="52" s="1"/>
  <c r="V184" i="1"/>
  <c r="W184" s="1"/>
  <c r="AQ182"/>
  <c r="AO182"/>
  <c r="T206" i="43" s="1"/>
  <c r="AC182" i="1"/>
  <c r="T182"/>
  <c r="P208" i="52" s="1"/>
  <c r="Q182" i="1"/>
  <c r="BD181"/>
  <c r="P208" i="43" l="1"/>
  <c r="O205" i="45"/>
  <c r="V208" i="52"/>
  <c r="U206" i="43"/>
  <c r="T208" i="52"/>
  <c r="R203" i="45"/>
  <c r="CQ184" i="1"/>
  <c r="AT182"/>
  <c r="X208" i="52" s="1"/>
  <c r="V182" i="1"/>
  <c r="AQ181"/>
  <c r="AO181"/>
  <c r="T205" i="43" s="1"/>
  <c r="AC181" i="1"/>
  <c r="T181"/>
  <c r="P207" i="52" s="1"/>
  <c r="Q181" i="1"/>
  <c r="BD180"/>
  <c r="T207" i="52" l="1"/>
  <c r="R202" i="45"/>
  <c r="V207" i="52"/>
  <c r="U205" i="43"/>
  <c r="CQ182" i="1"/>
  <c r="W182"/>
  <c r="AT181"/>
  <c r="X207" i="52" s="1"/>
  <c r="V181" i="1"/>
  <c r="AQ180"/>
  <c r="AO180"/>
  <c r="T204" i="43" s="1"/>
  <c r="AC180" i="1"/>
  <c r="T180"/>
  <c r="P206" i="52" s="1"/>
  <c r="Q180" i="1"/>
  <c r="BD179"/>
  <c r="V206" i="52" l="1"/>
  <c r="U204" i="43"/>
  <c r="P206"/>
  <c r="O203" i="45"/>
  <c r="T206" i="52"/>
  <c r="R201" i="45"/>
  <c r="CQ181" i="1"/>
  <c r="W181"/>
  <c r="AT180"/>
  <c r="X206" i="52" s="1"/>
  <c r="V180" i="1"/>
  <c r="W180" s="1"/>
  <c r="AQ179"/>
  <c r="AO179"/>
  <c r="T203" i="43" s="1"/>
  <c r="AC179" i="1"/>
  <c r="T179"/>
  <c r="P205" i="52" s="1"/>
  <c r="Q179" i="1"/>
  <c r="BD177"/>
  <c r="V205" i="52" l="1"/>
  <c r="U203" i="43"/>
  <c r="P204"/>
  <c r="O201" i="45"/>
  <c r="P205" i="43"/>
  <c r="O202" i="45"/>
  <c r="T205" i="52"/>
  <c r="R200" i="45"/>
  <c r="CQ180" i="1"/>
  <c r="AT179"/>
  <c r="X205" i="52" s="1"/>
  <c r="V179" i="1"/>
  <c r="AQ177"/>
  <c r="AO177"/>
  <c r="T201" i="43" s="1"/>
  <c r="AC177" i="1"/>
  <c r="T177"/>
  <c r="P203" i="52" s="1"/>
  <c r="Q177" i="1"/>
  <c r="BD176"/>
  <c r="T203" i="52" l="1"/>
  <c r="R198" i="45"/>
  <c r="V203" i="52"/>
  <c r="U201" i="43"/>
  <c r="CQ179" i="1"/>
  <c r="W179"/>
  <c r="AT177"/>
  <c r="X203" i="52" s="1"/>
  <c r="V177" i="1"/>
  <c r="W177" s="1"/>
  <c r="AQ176"/>
  <c r="AO176"/>
  <c r="T200" i="43" s="1"/>
  <c r="AC176" i="1"/>
  <c r="T176"/>
  <c r="P202" i="52" s="1"/>
  <c r="Q176" i="1"/>
  <c r="P201" i="43" l="1"/>
  <c r="O198" i="45"/>
  <c r="T202" i="52"/>
  <c r="R197" i="45"/>
  <c r="P203" i="43"/>
  <c r="O200" i="45"/>
  <c r="V202" i="52"/>
  <c r="U200" i="43"/>
  <c r="CQ177" i="1"/>
  <c r="AT176"/>
  <c r="X202" i="52" s="1"/>
  <c r="V176" i="1"/>
  <c r="BD175"/>
  <c r="CQ176" l="1"/>
  <c r="W176"/>
  <c r="AQ175"/>
  <c r="AO175"/>
  <c r="T199" i="43" s="1"/>
  <c r="AC175" i="1"/>
  <c r="T175"/>
  <c r="P201" i="52" s="1"/>
  <c r="Q175" i="1"/>
  <c r="BD174"/>
  <c r="V201" i="52" l="1"/>
  <c r="U199" i="43"/>
  <c r="P200"/>
  <c r="O197" i="45"/>
  <c r="T201" i="52"/>
  <c r="R196" i="45"/>
  <c r="AT175" i="1"/>
  <c r="X201" i="52" s="1"/>
  <c r="V175" i="1"/>
  <c r="W175" s="1"/>
  <c r="AQ174"/>
  <c r="AO174"/>
  <c r="T198" i="43" s="1"/>
  <c r="AC174" i="1"/>
  <c r="T174"/>
  <c r="P200" i="52" s="1"/>
  <c r="Q174" i="1"/>
  <c r="BD173"/>
  <c r="T200" i="52" l="1"/>
  <c r="R195" i="45"/>
  <c r="P199" i="43"/>
  <c r="O196" i="45"/>
  <c r="V200" i="52"/>
  <c r="U198" i="43"/>
  <c r="CQ175" i="1"/>
  <c r="AT174"/>
  <c r="X200" i="52" s="1"/>
  <c r="V174" i="1"/>
  <c r="AQ173"/>
  <c r="AO173"/>
  <c r="T197" i="43" s="1"/>
  <c r="AC173" i="1"/>
  <c r="T173"/>
  <c r="P199" i="52" s="1"/>
  <c r="Q173" i="1"/>
  <c r="BD172"/>
  <c r="T199" i="52" l="1"/>
  <c r="R194" i="45"/>
  <c r="V199" i="52"/>
  <c r="U197" i="43"/>
  <c r="CQ174" i="1"/>
  <c r="W174"/>
  <c r="AT173"/>
  <c r="X199" i="52" s="1"/>
  <c r="V173" i="1"/>
  <c r="AQ172"/>
  <c r="AO172"/>
  <c r="T196" i="43" s="1"/>
  <c r="AC172" i="1"/>
  <c r="T172"/>
  <c r="P198" i="52" s="1"/>
  <c r="Q172" i="1"/>
  <c r="BD171"/>
  <c r="V198" i="52" l="1"/>
  <c r="U196" i="43"/>
  <c r="P198"/>
  <c r="O195" i="45"/>
  <c r="T198" i="52"/>
  <c r="R193" i="45"/>
  <c r="CQ173" i="1"/>
  <c r="W173"/>
  <c r="AT172"/>
  <c r="X198" i="52" s="1"/>
  <c r="V172" i="1"/>
  <c r="W172" s="1"/>
  <c r="AQ171"/>
  <c r="AO171"/>
  <c r="T195" i="43" s="1"/>
  <c r="AC171" i="1"/>
  <c r="T171"/>
  <c r="P197" i="52" s="1"/>
  <c r="Q171" i="1"/>
  <c r="BD170"/>
  <c r="V197" i="52" l="1"/>
  <c r="U195" i="43"/>
  <c r="P196"/>
  <c r="O193" i="45"/>
  <c r="P197" i="43"/>
  <c r="O194" i="45"/>
  <c r="T197" i="52"/>
  <c r="R192" i="45"/>
  <c r="CQ172" i="1"/>
  <c r="AT171"/>
  <c r="X197" i="52" s="1"/>
  <c r="V171" i="1"/>
  <c r="W171" s="1"/>
  <c r="AQ170"/>
  <c r="AO170"/>
  <c r="T194" i="43" s="1"/>
  <c r="AC170" i="1"/>
  <c r="T170"/>
  <c r="P196" i="52" s="1"/>
  <c r="Q170" i="1"/>
  <c r="BD169"/>
  <c r="T196" i="52" l="1"/>
  <c r="R191" i="45"/>
  <c r="V196" i="52"/>
  <c r="U194" i="43"/>
  <c r="P195"/>
  <c r="O192" i="45"/>
  <c r="CQ171" i="1"/>
  <c r="AT170"/>
  <c r="X196" i="52" s="1"/>
  <c r="V170" i="1"/>
  <c r="W170" s="1"/>
  <c r="AQ169"/>
  <c r="AO169"/>
  <c r="T193" i="43" s="1"/>
  <c r="AC169" i="1"/>
  <c r="T169"/>
  <c r="P195" i="52" s="1"/>
  <c r="Q169" i="1"/>
  <c r="BD168"/>
  <c r="T195" i="52" l="1"/>
  <c r="R190" i="45"/>
  <c r="V195" i="52"/>
  <c r="U193" i="43"/>
  <c r="P194"/>
  <c r="O191" i="45"/>
  <c r="CQ170" i="1"/>
  <c r="AT169"/>
  <c r="X195" i="52" s="1"/>
  <c r="V169" i="1"/>
  <c r="W169" s="1"/>
  <c r="AQ168"/>
  <c r="AO168"/>
  <c r="T192" i="43" s="1"/>
  <c r="AC168" i="1"/>
  <c r="T168"/>
  <c r="P194" i="52" s="1"/>
  <c r="Q168" i="1"/>
  <c r="P193" i="43" l="1"/>
  <c r="O190" i="45"/>
  <c r="V194" i="52"/>
  <c r="U192" i="43"/>
  <c r="T194" i="52"/>
  <c r="R189" i="45"/>
  <c r="CQ169" i="1"/>
  <c r="AT168"/>
  <c r="X194" i="52" s="1"/>
  <c r="V168" i="1"/>
  <c r="BD167"/>
  <c r="CQ168" l="1"/>
  <c r="W168"/>
  <c r="AQ167"/>
  <c r="AO167"/>
  <c r="T191" i="43" s="1"/>
  <c r="AC167" i="1"/>
  <c r="T167"/>
  <c r="P193" i="52" s="1"/>
  <c r="Q167" i="1"/>
  <c r="BD166"/>
  <c r="P192" i="43" l="1"/>
  <c r="O189" i="45"/>
  <c r="T193" i="52"/>
  <c r="R188" i="45"/>
  <c r="V193" i="52"/>
  <c r="U191" i="43"/>
  <c r="AT167" i="1"/>
  <c r="X193" i="52" s="1"/>
  <c r="V167" i="1"/>
  <c r="AQ166"/>
  <c r="AO166"/>
  <c r="T190" i="43" s="1"/>
  <c r="AC166" i="1"/>
  <c r="T166"/>
  <c r="P192" i="52" s="1"/>
  <c r="Q166" i="1"/>
  <c r="T192" i="52" l="1"/>
  <c r="R187" i="45"/>
  <c r="V192" i="52"/>
  <c r="U190" i="43"/>
  <c r="CQ167" i="1"/>
  <c r="W167"/>
  <c r="AT166"/>
  <c r="X192" i="52" s="1"/>
  <c r="V166" i="1"/>
  <c r="W166" s="1"/>
  <c r="BD165"/>
  <c r="P191" i="43" l="1"/>
  <c r="O188" i="45"/>
  <c r="P190" i="43"/>
  <c r="O187" i="45"/>
  <c r="CQ166" i="1"/>
  <c r="AQ165"/>
  <c r="AO165"/>
  <c r="T189" i="43" s="1"/>
  <c r="AC165" i="1"/>
  <c r="T165"/>
  <c r="P191" i="52" s="1"/>
  <c r="Q165" i="1"/>
  <c r="BD161"/>
  <c r="T191" i="52" l="1"/>
  <c r="R186" i="45"/>
  <c r="V191" i="52"/>
  <c r="U189" i="43"/>
  <c r="AT165" i="1"/>
  <c r="X191" i="52" s="1"/>
  <c r="V165" i="1"/>
  <c r="AQ161"/>
  <c r="AO161"/>
  <c r="T185" i="43" s="1"/>
  <c r="AC161" i="1"/>
  <c r="T161"/>
  <c r="P187" i="52" s="1"/>
  <c r="Q161" i="1"/>
  <c r="V187" i="52" l="1"/>
  <c r="U185" i="43"/>
  <c r="T187" i="52"/>
  <c r="R182" i="45"/>
  <c r="CQ165" i="1"/>
  <c r="W165"/>
  <c r="AT161"/>
  <c r="X187" i="52" s="1"/>
  <c r="V161" i="1"/>
  <c r="W161" s="1"/>
  <c r="P189" i="43" l="1"/>
  <c r="O186" i="45"/>
  <c r="P185" i="43"/>
  <c r="O182" i="45"/>
  <c r="CQ161" i="1"/>
  <c r="AQ163"/>
  <c r="AO163"/>
  <c r="T187" i="43" s="1"/>
  <c r="AC163" i="1"/>
  <c r="T163"/>
  <c r="P189" i="52" s="1"/>
  <c r="Q163" i="1"/>
  <c r="BD160"/>
  <c r="T189" i="52" l="1"/>
  <c r="R184" i="45"/>
  <c r="V189" i="52"/>
  <c r="U187" i="43"/>
  <c r="AT163" i="1"/>
  <c r="X189" i="52" s="1"/>
  <c r="V163" i="1"/>
  <c r="AQ160"/>
  <c r="AO160"/>
  <c r="T184" i="43" s="1"/>
  <c r="AC160" i="1"/>
  <c r="T160"/>
  <c r="P186" i="52" s="1"/>
  <c r="Q160" i="1"/>
  <c r="V186" i="52" l="1"/>
  <c r="U184" i="43"/>
  <c r="T186" i="52"/>
  <c r="R181" i="45"/>
  <c r="CQ163" i="1"/>
  <c r="W163"/>
  <c r="AT160"/>
  <c r="X186" i="52" s="1"/>
  <c r="V160" i="1"/>
  <c r="W160" s="1"/>
  <c r="P184" i="43" l="1"/>
  <c r="O181" i="45"/>
  <c r="P187" i="43"/>
  <c r="O184" i="45"/>
  <c r="CQ160" i="1"/>
  <c r="BD159"/>
  <c r="AQ159" l="1"/>
  <c r="AO159"/>
  <c r="T183" i="43" s="1"/>
  <c r="AC159" i="1"/>
  <c r="T159"/>
  <c r="P185" i="52" s="1"/>
  <c r="Q159" i="1"/>
  <c r="T185" i="52" l="1"/>
  <c r="R180" i="45"/>
  <c r="V185" i="52"/>
  <c r="U183" i="43"/>
  <c r="AT159" i="1"/>
  <c r="X185" i="52" s="1"/>
  <c r="V159" i="1"/>
  <c r="W159" s="1"/>
  <c r="P183" i="43" l="1"/>
  <c r="O180" i="45"/>
  <c r="CQ159" i="1"/>
  <c r="BD157"/>
  <c r="AQ157" l="1"/>
  <c r="AO157"/>
  <c r="T181" i="43" s="1"/>
  <c r="AC157" i="1"/>
  <c r="T157"/>
  <c r="P183" i="52" s="1"/>
  <c r="Q157" i="1"/>
  <c r="V183" i="52" l="1"/>
  <c r="U181" i="43"/>
  <c r="T183" i="52"/>
  <c r="R178" i="45"/>
  <c r="AT157" i="1"/>
  <c r="X183" i="52" s="1"/>
  <c r="V157" i="1"/>
  <c r="BD155"/>
  <c r="CQ157" l="1"/>
  <c r="W157"/>
  <c r="AQ155"/>
  <c r="AO155"/>
  <c r="T179" i="43" s="1"/>
  <c r="AC155" i="1"/>
  <c r="T155"/>
  <c r="P181" i="52" s="1"/>
  <c r="Q155" i="1"/>
  <c r="BD154"/>
  <c r="V181" i="52" l="1"/>
  <c r="U179" i="43"/>
  <c r="P181"/>
  <c r="O178" i="45"/>
  <c r="T181" i="52"/>
  <c r="R176" i="45"/>
  <c r="AT155" i="1"/>
  <c r="X181" i="52" s="1"/>
  <c r="V155" i="1"/>
  <c r="AQ154"/>
  <c r="AO154"/>
  <c r="T178" i="43" s="1"/>
  <c r="AC154" i="1"/>
  <c r="T154"/>
  <c r="P180" i="52" s="1"/>
  <c r="Q154" i="1"/>
  <c r="BD153"/>
  <c r="T180" i="52" l="1"/>
  <c r="R175" i="45"/>
  <c r="V180" i="52"/>
  <c r="U178" i="43"/>
  <c r="CQ155" i="1"/>
  <c r="W155"/>
  <c r="AT154"/>
  <c r="X180" i="52" s="1"/>
  <c r="V154" i="1"/>
  <c r="W154" s="1"/>
  <c r="AQ153"/>
  <c r="AO153"/>
  <c r="T177" i="43" s="1"/>
  <c r="AC153" i="1"/>
  <c r="T153"/>
  <c r="P179" i="52" s="1"/>
  <c r="Q153" i="1"/>
  <c r="BD152"/>
  <c r="V179" i="52" l="1"/>
  <c r="U177" i="43"/>
  <c r="O175" i="45"/>
  <c r="P178" i="43"/>
  <c r="P179"/>
  <c r="O176" i="45"/>
  <c r="T179" i="52"/>
  <c r="R174" i="45"/>
  <c r="CQ154" i="1"/>
  <c r="AT153"/>
  <c r="X179" i="52" s="1"/>
  <c r="V153" i="1"/>
  <c r="W153" s="1"/>
  <c r="AQ152"/>
  <c r="AO152"/>
  <c r="T176" i="43" s="1"/>
  <c r="AC152" i="1"/>
  <c r="T152"/>
  <c r="P178" i="52" s="1"/>
  <c r="Q152" i="1"/>
  <c r="BD151"/>
  <c r="P177" i="43" l="1"/>
  <c r="O174" i="45"/>
  <c r="T178" i="52"/>
  <c r="R173" i="45"/>
  <c r="V178" i="52"/>
  <c r="U176" i="43"/>
  <c r="CQ153" i="1"/>
  <c r="AT152"/>
  <c r="X178" i="52" s="1"/>
  <c r="V152" i="1"/>
  <c r="W152" s="1"/>
  <c r="AQ151"/>
  <c r="AO151"/>
  <c r="T175" i="43" s="1"/>
  <c r="AC151" i="1"/>
  <c r="T151"/>
  <c r="P177" i="52" s="1"/>
  <c r="Q151" i="1"/>
  <c r="T177" i="52" l="1"/>
  <c r="R172" i="45"/>
  <c r="V177" i="52"/>
  <c r="U175" i="43"/>
  <c r="P176"/>
  <c r="O173" i="45"/>
  <c r="CQ152" i="1"/>
  <c r="AT151"/>
  <c r="X177" i="52" s="1"/>
  <c r="V151" i="1"/>
  <c r="CQ151" l="1"/>
  <c r="W151"/>
  <c r="P175" i="43" l="1"/>
  <c r="O172" i="45"/>
  <c r="V176" i="52"/>
  <c r="T176"/>
  <c r="P176"/>
  <c r="BD150" i="1"/>
  <c r="X176" i="52" l="1"/>
  <c r="AQ150" i="1"/>
  <c r="AO150"/>
  <c r="T174" i="43" s="1"/>
  <c r="AC150" i="1"/>
  <c r="T150"/>
  <c r="P175" i="52" s="1"/>
  <c r="Q150" i="1"/>
  <c r="BD149"/>
  <c r="V175" i="52" l="1"/>
  <c r="U174" i="43"/>
  <c r="T175" i="52"/>
  <c r="R171" i="45"/>
  <c r="AT150" i="1"/>
  <c r="X175" i="52" s="1"/>
  <c r="V150" i="1"/>
  <c r="W150" s="1"/>
  <c r="AQ149"/>
  <c r="AO149"/>
  <c r="T173" i="43" s="1"/>
  <c r="AC149" i="1"/>
  <c r="T149"/>
  <c r="P174" i="52" s="1"/>
  <c r="Q149" i="1"/>
  <c r="BD148"/>
  <c r="V174" i="52" l="1"/>
  <c r="U173" i="43"/>
  <c r="O171" i="45"/>
  <c r="P174" i="43"/>
  <c r="T174" i="52"/>
  <c r="R170" i="45"/>
  <c r="CQ150" i="1"/>
  <c r="AT149"/>
  <c r="X174" i="52" s="1"/>
  <c r="V149" i="1"/>
  <c r="W149" s="1"/>
  <c r="AQ148"/>
  <c r="AO148"/>
  <c r="T172" i="43" s="1"/>
  <c r="AC148" i="1"/>
  <c r="T148"/>
  <c r="P173" i="52" s="1"/>
  <c r="Q148" i="1"/>
  <c r="BD147"/>
  <c r="T173" i="52" l="1"/>
  <c r="R169" i="45"/>
  <c r="V173" i="52"/>
  <c r="U172" i="43"/>
  <c r="P173"/>
  <c r="O170" i="45"/>
  <c r="CQ149" i="1"/>
  <c r="AT148"/>
  <c r="X173" i="52" s="1"/>
  <c r="V148" i="1"/>
  <c r="W148" s="1"/>
  <c r="AQ147"/>
  <c r="AO147"/>
  <c r="T171" i="43" s="1"/>
  <c r="AC147" i="1"/>
  <c r="T147"/>
  <c r="P172" i="52" s="1"/>
  <c r="Q147" i="1"/>
  <c r="P172" i="43" l="1"/>
  <c r="O169" i="45"/>
  <c r="V172" i="52"/>
  <c r="U171" i="43"/>
  <c r="T172" i="52"/>
  <c r="R168" i="45"/>
  <c r="CQ148" i="1"/>
  <c r="AT147"/>
  <c r="X172" i="52" s="1"/>
  <c r="V147" i="1"/>
  <c r="W147" s="1"/>
  <c r="BD146"/>
  <c r="P171" i="43" l="1"/>
  <c r="O168" i="45"/>
  <c r="CQ147" i="1"/>
  <c r="AQ146"/>
  <c r="AO146"/>
  <c r="T170" i="43" s="1"/>
  <c r="AC146" i="1"/>
  <c r="T146"/>
  <c r="P171" i="52" s="1"/>
  <c r="Q146" i="1"/>
  <c r="BD145"/>
  <c r="T171" i="52" l="1"/>
  <c r="R167" i="45"/>
  <c r="V171" i="52"/>
  <c r="U170" i="43"/>
  <c r="AT146" i="1"/>
  <c r="X171" i="52" s="1"/>
  <c r="V146" i="1"/>
  <c r="W146" s="1"/>
  <c r="AQ145"/>
  <c r="AO145"/>
  <c r="T169" i="43" s="1"/>
  <c r="AC145" i="1"/>
  <c r="T145"/>
  <c r="P170" i="52" s="1"/>
  <c r="Q145" i="1"/>
  <c r="BD144"/>
  <c r="O167" i="45" l="1"/>
  <c r="P170" i="43"/>
  <c r="T170" i="52"/>
  <c r="R166" i="45"/>
  <c r="V170" i="52"/>
  <c r="U169" i="43"/>
  <c r="CQ146" i="1"/>
  <c r="AT145"/>
  <c r="X170" i="52" s="1"/>
  <c r="V145" i="1"/>
  <c r="W145" s="1"/>
  <c r="AQ144"/>
  <c r="AO144"/>
  <c r="T168" i="43" s="1"/>
  <c r="AC144" i="1"/>
  <c r="T144"/>
  <c r="P169" i="52" s="1"/>
  <c r="Q144" i="1"/>
  <c r="BD143"/>
  <c r="T169" i="52" l="1"/>
  <c r="R165" i="45"/>
  <c r="V169" i="52"/>
  <c r="U168" i="43"/>
  <c r="P169"/>
  <c r="O166" i="45"/>
  <c r="CQ145" i="1"/>
  <c r="AT144"/>
  <c r="X169" i="52" s="1"/>
  <c r="V144" i="1"/>
  <c r="W144" s="1"/>
  <c r="AQ143"/>
  <c r="AO143"/>
  <c r="T167" i="43" s="1"/>
  <c r="AC143" i="1"/>
  <c r="T143"/>
  <c r="P168" i="52" s="1"/>
  <c r="Q143" i="1"/>
  <c r="BD142"/>
  <c r="P168" i="43" l="1"/>
  <c r="O165" i="45"/>
  <c r="V168" i="52"/>
  <c r="U167" i="43"/>
  <c r="T168" i="52"/>
  <c r="R164" i="45"/>
  <c r="CQ144" i="1"/>
  <c r="AT143"/>
  <c r="X168" i="52" s="1"/>
  <c r="V143" i="1"/>
  <c r="W143" s="1"/>
  <c r="AQ142"/>
  <c r="AO142"/>
  <c r="T166" i="43" s="1"/>
  <c r="AC142" i="1"/>
  <c r="T142"/>
  <c r="P167" i="52" s="1"/>
  <c r="Q142" i="1"/>
  <c r="P167" i="43" l="1"/>
  <c r="O164" i="45"/>
  <c r="V167" i="52"/>
  <c r="U166" i="43"/>
  <c r="T167" i="52"/>
  <c r="R163" i="45"/>
  <c r="CQ143" i="1"/>
  <c r="AT142"/>
  <c r="X167" i="52" s="1"/>
  <c r="V142" i="1"/>
  <c r="W142" s="1"/>
  <c r="BD140"/>
  <c r="O163" i="45" l="1"/>
  <c r="P166" i="43"/>
  <c r="CQ142" i="1"/>
  <c r="AQ140"/>
  <c r="AO140"/>
  <c r="T164" i="43" s="1"/>
  <c r="AC140" i="1"/>
  <c r="T140"/>
  <c r="P165" i="52" s="1"/>
  <c r="Q140" i="1"/>
  <c r="BD139"/>
  <c r="T165" i="52" l="1"/>
  <c r="R161" i="45"/>
  <c r="V165" i="52"/>
  <c r="U164" i="43"/>
  <c r="AT140" i="1"/>
  <c r="X165" i="52" s="1"/>
  <c r="V140" i="1"/>
  <c r="W140" s="1"/>
  <c r="AQ139"/>
  <c r="AO139"/>
  <c r="T163" i="43" s="1"/>
  <c r="AC139" i="1"/>
  <c r="T139"/>
  <c r="P164" i="52" s="1"/>
  <c r="Q139" i="1"/>
  <c r="BD138"/>
  <c r="P164" i="43" l="1"/>
  <c r="O161" i="45"/>
  <c r="T164" i="52"/>
  <c r="R160" i="45"/>
  <c r="V164" i="52"/>
  <c r="U163" i="43"/>
  <c r="CQ140" i="1"/>
  <c r="AT139"/>
  <c r="X164" i="52" s="1"/>
  <c r="V139" i="1"/>
  <c r="AQ138"/>
  <c r="AO138"/>
  <c r="T162" i="43" s="1"/>
  <c r="AC138" i="1"/>
  <c r="T138"/>
  <c r="P163" i="52" s="1"/>
  <c r="Q138" i="1"/>
  <c r="T163" i="52" l="1"/>
  <c r="R159" i="45"/>
  <c r="V163" i="52"/>
  <c r="U162" i="43"/>
  <c r="CQ139" i="1"/>
  <c r="W139"/>
  <c r="AT138"/>
  <c r="X163" i="52" s="1"/>
  <c r="V138" i="1"/>
  <c r="W138" s="1"/>
  <c r="BD137"/>
  <c r="P163" i="43" l="1"/>
  <c r="O160" i="45"/>
  <c r="O159"/>
  <c r="P162" i="43"/>
  <c r="CQ138" i="1"/>
  <c r="AQ137"/>
  <c r="AO137"/>
  <c r="T161" i="43" s="1"/>
  <c r="AC137" i="1"/>
  <c r="T137"/>
  <c r="P162" i="52" s="1"/>
  <c r="Q137" i="1"/>
  <c r="BD136"/>
  <c r="T162" i="52" l="1"/>
  <c r="R158" i="45"/>
  <c r="V162" i="52"/>
  <c r="U161" i="43"/>
  <c r="AT137" i="1"/>
  <c r="X162" i="52" s="1"/>
  <c r="V137" i="1"/>
  <c r="W137" s="1"/>
  <c r="AQ136"/>
  <c r="AO136"/>
  <c r="T160" i="43" s="1"/>
  <c r="AC136" i="1"/>
  <c r="T136"/>
  <c r="P161" i="52" s="1"/>
  <c r="Q136" i="1"/>
  <c r="BD133"/>
  <c r="V161" i="52" l="1"/>
  <c r="U160" i="43"/>
  <c r="P161"/>
  <c r="O158" i="45"/>
  <c r="T161" i="52"/>
  <c r="R157" i="45"/>
  <c r="CQ137" i="1"/>
  <c r="AT136"/>
  <c r="X161" i="52" s="1"/>
  <c r="V136" i="1"/>
  <c r="W136" s="1"/>
  <c r="AQ133"/>
  <c r="AO133"/>
  <c r="T157" i="43" s="1"/>
  <c r="AC133" i="1"/>
  <c r="T133"/>
  <c r="P158" i="52" s="1"/>
  <c r="Q133" i="1"/>
  <c r="BD132"/>
  <c r="T158" i="52" l="1"/>
  <c r="R154" i="45"/>
  <c r="V158" i="52"/>
  <c r="U157" i="43"/>
  <c r="P160"/>
  <c r="O157" i="45"/>
  <c r="CQ136" i="1"/>
  <c r="AT133"/>
  <c r="X158" i="52" s="1"/>
  <c r="V133" i="1"/>
  <c r="AQ132"/>
  <c r="AO132"/>
  <c r="T156" i="43" s="1"/>
  <c r="AC132" i="1"/>
  <c r="T132"/>
  <c r="P157" i="52" s="1"/>
  <c r="Q132" i="1"/>
  <c r="BD131"/>
  <c r="V157" i="52" l="1"/>
  <c r="U156" i="43"/>
  <c r="T157" i="52"/>
  <c r="R153" i="45"/>
  <c r="CQ133" i="1"/>
  <c r="W133"/>
  <c r="AT132"/>
  <c r="X157" i="52" s="1"/>
  <c r="V132" i="1"/>
  <c r="W132" s="1"/>
  <c r="AQ131"/>
  <c r="AO131"/>
  <c r="T155" i="43" s="1"/>
  <c r="AC131" i="1"/>
  <c r="T131"/>
  <c r="P156" i="52" s="1"/>
  <c r="Q131" i="1"/>
  <c r="BD130"/>
  <c r="T156" i="52" l="1"/>
  <c r="R152" i="45"/>
  <c r="P157" i="43"/>
  <c r="O154" i="45"/>
  <c r="V156" i="52"/>
  <c r="U155" i="43"/>
  <c r="P156"/>
  <c r="O153" i="45"/>
  <c r="CQ132" i="1"/>
  <c r="AT131"/>
  <c r="X156" i="52" s="1"/>
  <c r="V131" i="1"/>
  <c r="W131" s="1"/>
  <c r="AQ130"/>
  <c r="AO130"/>
  <c r="T154" i="43" s="1"/>
  <c r="AC130" i="1"/>
  <c r="T130"/>
  <c r="P155" i="52" s="1"/>
  <c r="Q130" i="1"/>
  <c r="BD127"/>
  <c r="V155" i="52" l="1"/>
  <c r="U154" i="43"/>
  <c r="P155"/>
  <c r="O152" i="45"/>
  <c r="T155" i="52"/>
  <c r="R151" i="45"/>
  <c r="CQ131" i="1"/>
  <c r="AT130"/>
  <c r="X155" i="52" s="1"/>
  <c r="V130" i="1"/>
  <c r="W130" s="1"/>
  <c r="AQ127"/>
  <c r="AO127"/>
  <c r="T151" i="43" s="1"/>
  <c r="AC127" i="1"/>
  <c r="T127"/>
  <c r="P152" i="52" s="1"/>
  <c r="Q127" i="1"/>
  <c r="BD125"/>
  <c r="T152" i="52" l="1"/>
  <c r="R148" i="45"/>
  <c r="V152" i="52"/>
  <c r="U151" i="43"/>
  <c r="O151" i="45"/>
  <c r="P154" i="43"/>
  <c r="CQ130" i="1"/>
  <c r="AT127"/>
  <c r="X152" i="52" s="1"/>
  <c r="V127" i="1"/>
  <c r="W127" s="1"/>
  <c r="AQ125"/>
  <c r="AO125"/>
  <c r="T149" i="43" s="1"/>
  <c r="AC125" i="1"/>
  <c r="T125"/>
  <c r="P150" i="52" s="1"/>
  <c r="Q125" i="1"/>
  <c r="BD124"/>
  <c r="P151" i="43" l="1"/>
  <c r="O148" i="45"/>
  <c r="V150" i="52"/>
  <c r="U149" i="43"/>
  <c r="T150" i="52"/>
  <c r="R146" i="45"/>
  <c r="CQ127" i="1"/>
  <c r="AT125"/>
  <c r="X150" i="52" s="1"/>
  <c r="V125" i="1"/>
  <c r="AQ124"/>
  <c r="AO124"/>
  <c r="T148" i="43" s="1"/>
  <c r="AC124" i="1"/>
  <c r="T124"/>
  <c r="P149" i="52" s="1"/>
  <c r="Q124" i="1"/>
  <c r="BD123"/>
  <c r="T149" i="52" l="1"/>
  <c r="R145" i="45"/>
  <c r="V149" i="52"/>
  <c r="U148" i="43"/>
  <c r="CQ125" i="1"/>
  <c r="W125"/>
  <c r="AT124"/>
  <c r="X149" i="52" s="1"/>
  <c r="V124" i="1"/>
  <c r="W124" s="1"/>
  <c r="AQ123"/>
  <c r="AO123"/>
  <c r="T147" i="43" s="1"/>
  <c r="AC123" i="1"/>
  <c r="T123"/>
  <c r="P148" i="52" s="1"/>
  <c r="Q123" i="1"/>
  <c r="T148" i="52" l="1"/>
  <c r="R144" i="45"/>
  <c r="P149" i="43"/>
  <c r="O146" i="45"/>
  <c r="V148" i="52"/>
  <c r="U147" i="43"/>
  <c r="P148"/>
  <c r="O145" i="45"/>
  <c r="CQ124" i="1"/>
  <c r="AT123"/>
  <c r="X148" i="52" s="1"/>
  <c r="V123" i="1"/>
  <c r="W123" s="1"/>
  <c r="BD122"/>
  <c r="P147" i="43" l="1"/>
  <c r="O144" i="45"/>
  <c r="CQ123" i="1"/>
  <c r="AQ122"/>
  <c r="AO122"/>
  <c r="T146" i="43" s="1"/>
  <c r="AC122" i="1"/>
  <c r="T122"/>
  <c r="P147" i="52" s="1"/>
  <c r="Q122" i="1"/>
  <c r="BD121"/>
  <c r="V147" i="52" l="1"/>
  <c r="U146" i="43"/>
  <c r="T147" i="52"/>
  <c r="R143" i="45"/>
  <c r="AT122" i="1"/>
  <c r="X147" i="52" s="1"/>
  <c r="V122" i="1"/>
  <c r="W122" s="1"/>
  <c r="AQ121"/>
  <c r="AO121"/>
  <c r="T145" i="43" s="1"/>
  <c r="AC121" i="1"/>
  <c r="T121"/>
  <c r="P146" i="52" s="1"/>
  <c r="Q121" i="1"/>
  <c r="O143" i="45" l="1"/>
  <c r="P146" i="43"/>
  <c r="T146" i="52"/>
  <c r="R142" i="45"/>
  <c r="V146" i="52"/>
  <c r="U145" i="43"/>
  <c r="CQ122" i="1"/>
  <c r="AT121"/>
  <c r="X146" i="52" s="1"/>
  <c r="V121" i="1"/>
  <c r="W121" s="1"/>
  <c r="P145" i="43" l="1"/>
  <c r="O142" i="45"/>
  <c r="CQ121" i="1"/>
  <c r="BD117"/>
  <c r="AQ117" l="1"/>
  <c r="AO117"/>
  <c r="T141" i="43" s="1"/>
  <c r="AC117" i="1"/>
  <c r="T117"/>
  <c r="P142" i="52" s="1"/>
  <c r="Q117" i="1"/>
  <c r="BD116"/>
  <c r="V142" i="52" l="1"/>
  <c r="U141" i="43"/>
  <c r="T142" i="52"/>
  <c r="R138" i="45"/>
  <c r="AT117" i="1"/>
  <c r="X142" i="52" s="1"/>
  <c r="V117" i="1"/>
  <c r="W117" s="1"/>
  <c r="AQ116"/>
  <c r="AO116"/>
  <c r="T140" i="43" s="1"/>
  <c r="AC116" i="1"/>
  <c r="T116"/>
  <c r="P141" i="52" s="1"/>
  <c r="Q116" i="1"/>
  <c r="BD115"/>
  <c r="V141" i="52" l="1"/>
  <c r="U140" i="43"/>
  <c r="P141"/>
  <c r="O138" i="45"/>
  <c r="T141" i="52"/>
  <c r="R137" i="45"/>
  <c r="CQ117" i="1"/>
  <c r="AT116"/>
  <c r="X141" i="52" s="1"/>
  <c r="V116" i="1"/>
  <c r="W116" s="1"/>
  <c r="AQ115"/>
  <c r="AO115"/>
  <c r="T139" i="43" s="1"/>
  <c r="AC115" i="1"/>
  <c r="T115"/>
  <c r="P140" i="52" s="1"/>
  <c r="Q115" i="1"/>
  <c r="BD114"/>
  <c r="T140" i="52" l="1"/>
  <c r="R136" i="45"/>
  <c r="V140" i="52"/>
  <c r="U139" i="43"/>
  <c r="P140"/>
  <c r="O137" i="45"/>
  <c r="CQ116" i="1"/>
  <c r="AT115"/>
  <c r="X140" i="52" s="1"/>
  <c r="V115" i="1"/>
  <c r="W115" s="1"/>
  <c r="AQ114"/>
  <c r="AO114"/>
  <c r="T138" i="43" s="1"/>
  <c r="AC114" i="1"/>
  <c r="T114"/>
  <c r="P139" i="52" s="1"/>
  <c r="Q114" i="1"/>
  <c r="BD113"/>
  <c r="P139" i="43" l="1"/>
  <c r="O136" i="45"/>
  <c r="T139" i="52"/>
  <c r="R135" i="45"/>
  <c r="V139" i="52"/>
  <c r="U138" i="43"/>
  <c r="CQ115" i="1"/>
  <c r="AT114"/>
  <c r="X139" i="52" s="1"/>
  <c r="V114" i="1"/>
  <c r="W114" s="1"/>
  <c r="AQ113"/>
  <c r="AO113"/>
  <c r="T137" i="43" s="1"/>
  <c r="AC113" i="1"/>
  <c r="T113"/>
  <c r="P138" i="52" s="1"/>
  <c r="Q113" i="1"/>
  <c r="BD111"/>
  <c r="O135" i="45" l="1"/>
  <c r="P138" i="43"/>
  <c r="T138" i="52"/>
  <c r="R134" i="45"/>
  <c r="V138" i="52"/>
  <c r="U137" i="43"/>
  <c r="CQ114" i="1"/>
  <c r="AT113"/>
  <c r="X138" i="52" s="1"/>
  <c r="V113" i="1"/>
  <c r="W113" s="1"/>
  <c r="AQ111"/>
  <c r="AO111"/>
  <c r="T135" i="43" s="1"/>
  <c r="AC111" i="1"/>
  <c r="T111"/>
  <c r="P136" i="52" s="1"/>
  <c r="Q111" i="1"/>
  <c r="V136" i="52" l="1"/>
  <c r="U135" i="43"/>
  <c r="P137"/>
  <c r="O134" i="45"/>
  <c r="T136" i="52"/>
  <c r="R132" i="45"/>
  <c r="CQ113" i="1"/>
  <c r="AT111"/>
  <c r="X136" i="52" s="1"/>
  <c r="V111" i="1"/>
  <c r="W111" s="1"/>
  <c r="BD110"/>
  <c r="P135" i="43" l="1"/>
  <c r="O132" i="45"/>
  <c r="CQ111" i="1"/>
  <c r="AQ110"/>
  <c r="AO110"/>
  <c r="T134" i="43" s="1"/>
  <c r="AC110" i="1"/>
  <c r="T110"/>
  <c r="P135" i="52" s="1"/>
  <c r="Q110" i="1"/>
  <c r="BD109"/>
  <c r="T135" i="52" l="1"/>
  <c r="R131" i="45"/>
  <c r="V135" i="52"/>
  <c r="U134" i="43"/>
  <c r="AT110" i="1"/>
  <c r="X135" i="52" s="1"/>
  <c r="V110" i="1"/>
  <c r="W110" s="1"/>
  <c r="AQ109"/>
  <c r="AO109"/>
  <c r="T133" i="43" s="1"/>
  <c r="AC109" i="1"/>
  <c r="T109"/>
  <c r="P134" i="52" s="1"/>
  <c r="Q109" i="1"/>
  <c r="O131" i="45" l="1"/>
  <c r="P134" i="43"/>
  <c r="T134" i="52"/>
  <c r="R130" i="45"/>
  <c r="V134" i="52"/>
  <c r="U133" i="43"/>
  <c r="CQ110" i="1"/>
  <c r="AT109"/>
  <c r="X134" i="52" s="1"/>
  <c r="V109" i="1"/>
  <c r="W109" s="1"/>
  <c r="BD105"/>
  <c r="P133" i="43" l="1"/>
  <c r="O130" i="45"/>
  <c r="CQ109" i="1"/>
  <c r="AQ105"/>
  <c r="AO105"/>
  <c r="T129" i="43" s="1"/>
  <c r="AC105" i="1"/>
  <c r="T105"/>
  <c r="P130" i="52" s="1"/>
  <c r="Q105" i="1"/>
  <c r="BD104"/>
  <c r="T130" i="52" l="1"/>
  <c r="R126" i="45"/>
  <c r="V130" i="52"/>
  <c r="U129" i="43"/>
  <c r="AT105" i="1"/>
  <c r="X130" i="52" s="1"/>
  <c r="V105" i="1"/>
  <c r="W105" s="1"/>
  <c r="AQ104"/>
  <c r="AO104"/>
  <c r="T128" i="43" s="1"/>
  <c r="AC104" i="1"/>
  <c r="T104"/>
  <c r="P129" i="52" s="1"/>
  <c r="Q104" i="1"/>
  <c r="P129" i="43" l="1"/>
  <c r="O126" i="45"/>
  <c r="T129" i="52"/>
  <c r="R125" i="45"/>
  <c r="V129" i="52"/>
  <c r="U128" i="43"/>
  <c r="CQ105" i="1"/>
  <c r="AT104"/>
  <c r="X129" i="52" s="1"/>
  <c r="V104" i="1"/>
  <c r="W104" s="1"/>
  <c r="BD103"/>
  <c r="P128" i="43" l="1"/>
  <c r="O125" i="45"/>
  <c r="CQ104" i="1"/>
  <c r="AQ103"/>
  <c r="AO103"/>
  <c r="T127" i="43" s="1"/>
  <c r="AC103" i="1"/>
  <c r="T103"/>
  <c r="P128" i="52" s="1"/>
  <c r="Q103" i="1"/>
  <c r="V128" i="52" l="1"/>
  <c r="U127" i="43"/>
  <c r="T128" i="52"/>
  <c r="R124" i="45"/>
  <c r="AT103" i="1"/>
  <c r="X128" i="52" s="1"/>
  <c r="V103" i="1"/>
  <c r="W103" s="1"/>
  <c r="BD101"/>
  <c r="P127" i="43" l="1"/>
  <c r="O124" i="45"/>
  <c r="CQ103" i="1"/>
  <c r="AQ101"/>
  <c r="AO101"/>
  <c r="T125" i="43" s="1"/>
  <c r="AC101" i="1"/>
  <c r="T101"/>
  <c r="P126" i="52" s="1"/>
  <c r="Q101" i="1"/>
  <c r="T126" i="52" l="1"/>
  <c r="R122" i="45"/>
  <c r="V126" i="52"/>
  <c r="U125" i="43"/>
  <c r="AT101" i="1"/>
  <c r="X126" i="52" s="1"/>
  <c r="V101" i="1"/>
  <c r="W101" s="1"/>
  <c r="BD99"/>
  <c r="P125" i="43" l="1"/>
  <c r="O122" i="45"/>
  <c r="CQ101" i="1"/>
  <c r="AQ99"/>
  <c r="AO99"/>
  <c r="T123" i="43" s="1"/>
  <c r="AC99" i="1"/>
  <c r="T99"/>
  <c r="P124" i="52" s="1"/>
  <c r="Q99" i="1"/>
  <c r="BD98"/>
  <c r="T124" i="52" l="1"/>
  <c r="R120" i="45"/>
  <c r="V124" i="52"/>
  <c r="U123" i="43"/>
  <c r="AT99" i="1"/>
  <c r="X124" i="52" s="1"/>
  <c r="V99" i="1"/>
  <c r="W99" s="1"/>
  <c r="AQ98"/>
  <c r="AO98"/>
  <c r="T122" i="43" s="1"/>
  <c r="AC98" i="1"/>
  <c r="T98"/>
  <c r="P123" i="52" s="1"/>
  <c r="BD97" i="1"/>
  <c r="P123" i="43" l="1"/>
  <c r="O120" i="45"/>
  <c r="T123" i="52"/>
  <c r="R119" i="45"/>
  <c r="V123" i="52"/>
  <c r="U122" i="43"/>
  <c r="CQ99" i="1"/>
  <c r="AT98"/>
  <c r="X123" i="52" s="1"/>
  <c r="V98" i="1"/>
  <c r="W98" s="1"/>
  <c r="AQ97"/>
  <c r="AO97"/>
  <c r="T121" i="43" s="1"/>
  <c r="AC97" i="1"/>
  <c r="T97"/>
  <c r="P122" i="52" s="1"/>
  <c r="Q97" i="1"/>
  <c r="BD96"/>
  <c r="T122" i="52" l="1"/>
  <c r="R118" i="45"/>
  <c r="V122" i="52"/>
  <c r="U121" i="43"/>
  <c r="O119" i="45"/>
  <c r="P122" i="43"/>
  <c r="CQ98" i="1"/>
  <c r="AT97"/>
  <c r="X122" i="52" s="1"/>
  <c r="V97" i="1"/>
  <c r="AQ96"/>
  <c r="AO96"/>
  <c r="T120" i="43" s="1"/>
  <c r="AC96" i="1"/>
  <c r="T96"/>
  <c r="P121" i="52" s="1"/>
  <c r="Q96" i="1"/>
  <c r="BD95"/>
  <c r="T121" i="52" l="1"/>
  <c r="R117" i="45"/>
  <c r="V121" i="52"/>
  <c r="U120" i="43"/>
  <c r="CQ97" i="1"/>
  <c r="W97"/>
  <c r="AT96"/>
  <c r="X121" i="52" s="1"/>
  <c r="V96" i="1"/>
  <c r="W96" s="1"/>
  <c r="AQ95"/>
  <c r="AO95"/>
  <c r="T119" i="43" s="1"/>
  <c r="AC95" i="1"/>
  <c r="T95"/>
  <c r="P120" i="52" s="1"/>
  <c r="Q95" i="1"/>
  <c r="V120" i="52" l="1"/>
  <c r="U119" i="43"/>
  <c r="P120"/>
  <c r="O117" i="45"/>
  <c r="P121" i="43"/>
  <c r="O118" i="45"/>
  <c r="T120" i="52"/>
  <c r="R116" i="45"/>
  <c r="CQ96" i="1"/>
  <c r="AT95"/>
  <c r="X120" i="52" s="1"/>
  <c r="V95" i="1"/>
  <c r="CQ95" l="1"/>
  <c r="W95"/>
  <c r="P119" i="43" l="1"/>
  <c r="O116" i="45"/>
  <c r="BD93" i="1"/>
  <c r="AQ93" l="1"/>
  <c r="AO93"/>
  <c r="T117" i="43" s="1"/>
  <c r="AC93" i="1"/>
  <c r="T93"/>
  <c r="P118" i="52" s="1"/>
  <c r="Q93" i="1"/>
  <c r="BD92"/>
  <c r="V118" i="52" l="1"/>
  <c r="U117" i="43"/>
  <c r="T118" i="52"/>
  <c r="R114" i="45"/>
  <c r="AT93" i="1"/>
  <c r="X118" i="52" s="1"/>
  <c r="V93" i="1"/>
  <c r="AQ92"/>
  <c r="AO92"/>
  <c r="T116" i="43" s="1"/>
  <c r="AC92" i="1"/>
  <c r="T92"/>
  <c r="P117" i="52" s="1"/>
  <c r="Q92" i="1"/>
  <c r="BD91"/>
  <c r="V117" i="52" l="1"/>
  <c r="U116" i="43"/>
  <c r="T117" i="52"/>
  <c r="R113" i="45"/>
  <c r="CQ93" i="1"/>
  <c r="W93"/>
  <c r="AT92"/>
  <c r="X117" i="52" s="1"/>
  <c r="V92" i="1"/>
  <c r="AQ91"/>
  <c r="AO91"/>
  <c r="T115" i="43" s="1"/>
  <c r="AC91" i="1"/>
  <c r="T91"/>
  <c r="P116" i="52" s="1"/>
  <c r="Q91" i="1"/>
  <c r="BD89"/>
  <c r="T116" i="52" l="1"/>
  <c r="R112" i="45"/>
  <c r="P117" i="43"/>
  <c r="O114" i="45"/>
  <c r="V116" i="52"/>
  <c r="U115" i="43"/>
  <c r="CQ92" i="1"/>
  <c r="W92"/>
  <c r="AT91"/>
  <c r="X116" i="52" s="1"/>
  <c r="V91" i="1"/>
  <c r="W91" s="1"/>
  <c r="AQ89"/>
  <c r="AO89"/>
  <c r="T113" i="43" s="1"/>
  <c r="AC89" i="1"/>
  <c r="T89"/>
  <c r="P114" i="52" s="1"/>
  <c r="Q89" i="1"/>
  <c r="V114" i="52" l="1"/>
  <c r="U113" i="43"/>
  <c r="P115"/>
  <c r="O112" i="45"/>
  <c r="P116" i="43"/>
  <c r="O113" i="45"/>
  <c r="T114" i="52"/>
  <c r="R110" i="45"/>
  <c r="CQ91" i="1"/>
  <c r="AT89"/>
  <c r="X114" i="52" s="1"/>
  <c r="V89" i="1"/>
  <c r="W89" s="1"/>
  <c r="BD87"/>
  <c r="P113" i="43" l="1"/>
  <c r="O110" i="45"/>
  <c r="CQ89" i="1"/>
  <c r="AQ87"/>
  <c r="AO87"/>
  <c r="T111" i="43" s="1"/>
  <c r="AC87" i="1"/>
  <c r="T87"/>
  <c r="P112" i="52" s="1"/>
  <c r="Q87" i="1"/>
  <c r="BD86"/>
  <c r="V112" i="52" l="1"/>
  <c r="U111" i="43"/>
  <c r="T112" i="52"/>
  <c r="R108" i="45"/>
  <c r="AT87" i="1"/>
  <c r="X112" i="52" s="1"/>
  <c r="V87" i="1"/>
  <c r="W87" s="1"/>
  <c r="AQ86"/>
  <c r="AO86"/>
  <c r="T110" i="43" s="1"/>
  <c r="AC86" i="1"/>
  <c r="T86"/>
  <c r="P111" i="52" s="1"/>
  <c r="Q86" i="1"/>
  <c r="BD85"/>
  <c r="P111" i="43" l="1"/>
  <c r="O108" i="45"/>
  <c r="T111" i="52"/>
  <c r="R107" i="45"/>
  <c r="V111" i="52"/>
  <c r="U110" i="43"/>
  <c r="CQ87" i="1"/>
  <c r="AT86"/>
  <c r="X111" i="52" s="1"/>
  <c r="V86" i="1"/>
  <c r="AQ85"/>
  <c r="AO85"/>
  <c r="T109" i="43" s="1"/>
  <c r="AC85" i="1"/>
  <c r="T85"/>
  <c r="P110" i="52" s="1"/>
  <c r="BD84" i="1"/>
  <c r="T110" i="52" l="1"/>
  <c r="R106" i="45"/>
  <c r="V110" i="52"/>
  <c r="U109" i="43"/>
  <c r="CQ86" i="1"/>
  <c r="W86"/>
  <c r="AT85"/>
  <c r="X110" i="52" s="1"/>
  <c r="V85" i="1"/>
  <c r="W85" s="1"/>
  <c r="AQ84"/>
  <c r="AO84"/>
  <c r="T108" i="43" s="1"/>
  <c r="AC84" i="1"/>
  <c r="T84"/>
  <c r="P109" i="52" s="1"/>
  <c r="Q84" i="1"/>
  <c r="V109" i="52" l="1"/>
  <c r="U108" i="43"/>
  <c r="P109"/>
  <c r="O106" i="45"/>
  <c r="O107"/>
  <c r="P110" i="43"/>
  <c r="T109" i="52"/>
  <c r="R105" i="45"/>
  <c r="CQ85" i="1"/>
  <c r="AT84"/>
  <c r="X109" i="52" s="1"/>
  <c r="V84" i="1"/>
  <c r="W84" s="1"/>
  <c r="BD81"/>
  <c r="P108" i="43" l="1"/>
  <c r="O105" i="45"/>
  <c r="CQ84" i="1"/>
  <c r="AQ81"/>
  <c r="AO81"/>
  <c r="T105" i="43" s="1"/>
  <c r="AC81" i="1"/>
  <c r="T81"/>
  <c r="P106" i="52" s="1"/>
  <c r="Q81" i="1"/>
  <c r="V106" i="52" l="1"/>
  <c r="U105" i="43"/>
  <c r="T106" i="52"/>
  <c r="R102" i="45"/>
  <c r="AT81" i="1"/>
  <c r="X106" i="52" s="1"/>
  <c r="V81" i="1"/>
  <c r="W81" s="1"/>
  <c r="BD80"/>
  <c r="P105" i="43" l="1"/>
  <c r="O102" i="45"/>
  <c r="CQ81" i="1"/>
  <c r="AQ80"/>
  <c r="AO80"/>
  <c r="T104" i="43" s="1"/>
  <c r="AC80" i="1"/>
  <c r="T80"/>
  <c r="P105" i="52" s="1"/>
  <c r="BD79" i="1"/>
  <c r="V105" i="52" l="1"/>
  <c r="U104" i="43"/>
  <c r="T105" i="52"/>
  <c r="R101" i="45"/>
  <c r="AT80" i="1"/>
  <c r="X105" i="52" s="1"/>
  <c r="V80" i="1"/>
  <c r="W80" s="1"/>
  <c r="AQ79"/>
  <c r="AO79"/>
  <c r="T103" i="43" s="1"/>
  <c r="AC79" i="1"/>
  <c r="T79"/>
  <c r="P104" i="52" s="1"/>
  <c r="Q79" i="1"/>
  <c r="BD78"/>
  <c r="P104" i="43" l="1"/>
  <c r="O101" i="45"/>
  <c r="T104" i="52"/>
  <c r="R100" i="45"/>
  <c r="V104" i="52"/>
  <c r="U103" i="43"/>
  <c r="CQ80" i="1"/>
  <c r="AT79"/>
  <c r="X104" i="52" s="1"/>
  <c r="V79" i="1"/>
  <c r="AQ78"/>
  <c r="AO78"/>
  <c r="T102" i="43" s="1"/>
  <c r="AC78" i="1"/>
  <c r="T78"/>
  <c r="P103" i="52" s="1"/>
  <c r="Q78" i="1"/>
  <c r="BD77"/>
  <c r="T103" i="52" l="1"/>
  <c r="R99" i="45"/>
  <c r="V103" i="52"/>
  <c r="U102" i="43"/>
  <c r="CQ79" i="1"/>
  <c r="W79"/>
  <c r="AT78"/>
  <c r="X103" i="52" s="1"/>
  <c r="V78" i="1"/>
  <c r="AQ77"/>
  <c r="AO77"/>
  <c r="T101" i="43" s="1"/>
  <c r="AC77" i="1"/>
  <c r="T77"/>
  <c r="P102" i="52" s="1"/>
  <c r="Q77" i="1"/>
  <c r="V102" i="52" l="1"/>
  <c r="U101" i="43"/>
  <c r="P103"/>
  <c r="O100" i="45"/>
  <c r="T102" i="52"/>
  <c r="R98" i="45"/>
  <c r="CQ78" i="1"/>
  <c r="W78"/>
  <c r="AT77"/>
  <c r="X102" i="52" s="1"/>
  <c r="V77" i="1"/>
  <c r="BD76"/>
  <c r="P102" i="43" l="1"/>
  <c r="O99" i="45"/>
  <c r="CQ77" i="1"/>
  <c r="W77"/>
  <c r="AQ76"/>
  <c r="AO76"/>
  <c r="T100" i="43" s="1"/>
  <c r="AC76" i="1"/>
  <c r="T76"/>
  <c r="P101" i="52" s="1"/>
  <c r="Q76" i="1"/>
  <c r="BD75"/>
  <c r="V101" i="52" l="1"/>
  <c r="U100" i="43"/>
  <c r="P101"/>
  <c r="O98" i="45"/>
  <c r="T101" i="52"/>
  <c r="R97" i="45"/>
  <c r="AT76" i="1"/>
  <c r="X101" i="52" s="1"/>
  <c r="V76" i="1"/>
  <c r="W76" s="1"/>
  <c r="AQ75"/>
  <c r="AO75"/>
  <c r="T99" i="43" s="1"/>
  <c r="AC75" i="1"/>
  <c r="T75"/>
  <c r="P100" i="52" s="1"/>
  <c r="BD74" i="1"/>
  <c r="T100" i="52" l="1"/>
  <c r="R96" i="45"/>
  <c r="V100" i="52"/>
  <c r="U99" i="43"/>
  <c r="P100"/>
  <c r="O97" i="45"/>
  <c r="CQ76" i="1"/>
  <c r="AT75"/>
  <c r="X100" i="52" s="1"/>
  <c r="V75" i="1"/>
  <c r="W75" s="1"/>
  <c r="AQ74"/>
  <c r="AO74"/>
  <c r="T98" i="43" s="1"/>
  <c r="AC74" i="1"/>
  <c r="T74"/>
  <c r="P99" i="52" s="1"/>
  <c r="Q74" i="1"/>
  <c r="BD73"/>
  <c r="P99" i="43" l="1"/>
  <c r="O96" i="45"/>
  <c r="V99" i="52"/>
  <c r="U98" i="43"/>
  <c r="T99" i="52"/>
  <c r="R95" i="45"/>
  <c r="CQ75" i="1"/>
  <c r="AT74"/>
  <c r="X99" i="52" s="1"/>
  <c r="V74" i="1"/>
  <c r="AQ73"/>
  <c r="AO73"/>
  <c r="T97" i="43" s="1"/>
  <c r="AC73" i="1"/>
  <c r="T73"/>
  <c r="P98" i="52" s="1"/>
  <c r="Q73" i="1"/>
  <c r="BD72"/>
  <c r="V98" i="52" l="1"/>
  <c r="U97" i="43"/>
  <c r="T98" i="52"/>
  <c r="R94" i="45"/>
  <c r="CQ74" i="1"/>
  <c r="W74"/>
  <c r="AT73"/>
  <c r="X98" i="52" s="1"/>
  <c r="V73" i="1"/>
  <c r="W73" s="1"/>
  <c r="AQ72"/>
  <c r="AO72"/>
  <c r="T96" i="43" s="1"/>
  <c r="AC72" i="1"/>
  <c r="T72"/>
  <c r="P97" i="52" s="1"/>
  <c r="Q72" i="1"/>
  <c r="BD71"/>
  <c r="V97" i="52" l="1"/>
  <c r="U96" i="43"/>
  <c r="P97"/>
  <c r="O94" i="45"/>
  <c r="P98" i="43"/>
  <c r="O95" i="45"/>
  <c r="T97" i="52"/>
  <c r="R93" i="45"/>
  <c r="CQ73" i="1"/>
  <c r="AT72"/>
  <c r="X97" i="52" s="1"/>
  <c r="V72" i="1"/>
  <c r="W72" s="1"/>
  <c r="AQ71"/>
  <c r="AO71"/>
  <c r="T95" i="43" s="1"/>
  <c r="AC71" i="1"/>
  <c r="T71"/>
  <c r="P96" i="52" s="1"/>
  <c r="Q71" i="1"/>
  <c r="BD70"/>
  <c r="V96" i="52" l="1"/>
  <c r="U95" i="43"/>
  <c r="P96"/>
  <c r="O93" i="45"/>
  <c r="T96" i="52"/>
  <c r="R92" i="45"/>
  <c r="CQ72" i="1"/>
  <c r="AT71"/>
  <c r="X96" i="52" s="1"/>
  <c r="V71" i="1"/>
  <c r="AQ70"/>
  <c r="AO70"/>
  <c r="T94" i="43" s="1"/>
  <c r="AC70" i="1"/>
  <c r="T70"/>
  <c r="P95" i="52" s="1"/>
  <c r="Q70" i="1"/>
  <c r="BD69"/>
  <c r="T95" i="52" l="1"/>
  <c r="R91" i="45"/>
  <c r="V95" i="52"/>
  <c r="U94" i="43"/>
  <c r="CQ71" i="1"/>
  <c r="W71"/>
  <c r="AT70"/>
  <c r="X95" i="52" s="1"/>
  <c r="V70" i="1"/>
  <c r="W70" s="1"/>
  <c r="AQ69"/>
  <c r="AO69"/>
  <c r="T93" i="43" s="1"/>
  <c r="AC69" i="1"/>
  <c r="T69"/>
  <c r="P94" i="52" s="1"/>
  <c r="Q69" i="1"/>
  <c r="BD68"/>
  <c r="V94" i="52" l="1"/>
  <c r="U93" i="43"/>
  <c r="P94"/>
  <c r="O91" i="45"/>
  <c r="P95" i="43"/>
  <c r="O92" i="45"/>
  <c r="T94" i="52"/>
  <c r="R90" i="45"/>
  <c r="CQ70" i="1"/>
  <c r="AT69"/>
  <c r="X94" i="52" s="1"/>
  <c r="V69" i="1"/>
  <c r="W69" s="1"/>
  <c r="AQ68"/>
  <c r="AO68"/>
  <c r="T92" i="43" s="1"/>
  <c r="AC68" i="1"/>
  <c r="T68"/>
  <c r="P93" i="52" s="1"/>
  <c r="Q68" i="1"/>
  <c r="BD67"/>
  <c r="P93" i="43" l="1"/>
  <c r="O90" i="45"/>
  <c r="T93" i="52"/>
  <c r="R89" i="45"/>
  <c r="V93" i="52"/>
  <c r="U92" i="43"/>
  <c r="CQ69" i="1"/>
  <c r="AT68"/>
  <c r="X93" i="52" s="1"/>
  <c r="V68" i="1"/>
  <c r="W68" s="1"/>
  <c r="AQ67"/>
  <c r="AO67"/>
  <c r="T91" i="43" s="1"/>
  <c r="AC67" i="1"/>
  <c r="T67"/>
  <c r="P92" i="52" s="1"/>
  <c r="Q67" i="1"/>
  <c r="BD65"/>
  <c r="T92" i="52" l="1"/>
  <c r="R88" i="45"/>
  <c r="V92" i="52"/>
  <c r="U91" i="43"/>
  <c r="P92"/>
  <c r="O89" i="45"/>
  <c r="CQ68" i="1"/>
  <c r="AT67"/>
  <c r="X92" i="52" s="1"/>
  <c r="V67" i="1"/>
  <c r="W67" s="1"/>
  <c r="AQ65"/>
  <c r="AO65"/>
  <c r="T89" i="43" s="1"/>
  <c r="AC65" i="1"/>
  <c r="T65"/>
  <c r="P90" i="52" s="1"/>
  <c r="Q65" i="1"/>
  <c r="BD64"/>
  <c r="P91" i="43" l="1"/>
  <c r="O88" i="45"/>
  <c r="T90" i="52"/>
  <c r="R86" i="45"/>
  <c r="V90" i="52"/>
  <c r="U89" i="43"/>
  <c r="CQ67" i="1"/>
  <c r="AT65"/>
  <c r="X90" i="52" s="1"/>
  <c r="V65" i="1"/>
  <c r="W65" s="1"/>
  <c r="AQ64"/>
  <c r="AO64"/>
  <c r="T88" i="43" s="1"/>
  <c r="AC64" i="1"/>
  <c r="T64"/>
  <c r="P89" i="52" s="1"/>
  <c r="Q64" i="1"/>
  <c r="BD63"/>
  <c r="P89" i="43" l="1"/>
  <c r="O86" i="45"/>
  <c r="T89" i="52"/>
  <c r="R85" i="45"/>
  <c r="V89" i="52"/>
  <c r="U88" i="43"/>
  <c r="CQ65" i="1"/>
  <c r="AT64"/>
  <c r="X89" i="52" s="1"/>
  <c r="V64" i="1"/>
  <c r="W64" s="1"/>
  <c r="AQ63"/>
  <c r="AO63"/>
  <c r="T87" i="43" s="1"/>
  <c r="AC63" i="1"/>
  <c r="T63"/>
  <c r="P88" i="52" s="1"/>
  <c r="Q63" i="1"/>
  <c r="BD62"/>
  <c r="V88" i="52" l="1"/>
  <c r="U87" i="43"/>
  <c r="P88"/>
  <c r="O85" i="45"/>
  <c r="T88" i="52"/>
  <c r="R84" i="45"/>
  <c r="CQ64" i="1"/>
  <c r="AT63"/>
  <c r="X88" i="52" s="1"/>
  <c r="V63" i="1"/>
  <c r="W63" s="1"/>
  <c r="AQ62"/>
  <c r="AO62"/>
  <c r="T86" i="43" s="1"/>
  <c r="AC62" i="1"/>
  <c r="T62"/>
  <c r="P87" i="52" s="1"/>
  <c r="Q62" i="1"/>
  <c r="BD61"/>
  <c r="P87" i="43" l="1"/>
  <c r="O84" i="45"/>
  <c r="T87" i="52"/>
  <c r="R83" i="45"/>
  <c r="V87" i="52"/>
  <c r="U86" i="43"/>
  <c r="CQ63" i="1"/>
  <c r="AT62"/>
  <c r="X87" i="52" s="1"/>
  <c r="V62" i="1"/>
  <c r="W62" s="1"/>
  <c r="AQ61"/>
  <c r="AO61"/>
  <c r="T85" i="43" s="1"/>
  <c r="AC61" i="1"/>
  <c r="T61"/>
  <c r="P86" i="52" s="1"/>
  <c r="Q61" i="1"/>
  <c r="BD60"/>
  <c r="P86" i="43" l="1"/>
  <c r="O83" i="45"/>
  <c r="V86" i="52"/>
  <c r="U85" i="43"/>
  <c r="T86" i="52"/>
  <c r="R82" i="45"/>
  <c r="CQ62" i="1"/>
  <c r="AT61"/>
  <c r="X86" i="52" s="1"/>
  <c r="V61" i="1"/>
  <c r="W61" s="1"/>
  <c r="AQ60"/>
  <c r="AO60"/>
  <c r="T84" i="43" s="1"/>
  <c r="AC60" i="1"/>
  <c r="T60"/>
  <c r="P85" i="52" s="1"/>
  <c r="Q60" i="1"/>
  <c r="BD59"/>
  <c r="V85" i="52" l="1"/>
  <c r="U84" i="43"/>
  <c r="P85"/>
  <c r="O82" i="45"/>
  <c r="T85" i="52"/>
  <c r="R81" i="45"/>
  <c r="CQ61" i="1"/>
  <c r="AT60"/>
  <c r="X85" i="52" s="1"/>
  <c r="V60" i="1"/>
  <c r="W60" s="1"/>
  <c r="AQ59"/>
  <c r="AO59"/>
  <c r="T83" i="43" s="1"/>
  <c r="AC59" i="1"/>
  <c r="T59"/>
  <c r="P84" i="52" s="1"/>
  <c r="Q59" i="1"/>
  <c r="P84" i="43" l="1"/>
  <c r="O81" i="45"/>
  <c r="V84" i="52"/>
  <c r="U83" i="43"/>
  <c r="T84" i="52"/>
  <c r="R80" i="45"/>
  <c r="CQ60" i="1"/>
  <c r="AT59"/>
  <c r="X84" i="52" s="1"/>
  <c r="V59" i="1"/>
  <c r="W59" s="1"/>
  <c r="BD56"/>
  <c r="P83" i="43" l="1"/>
  <c r="O80" i="45"/>
  <c r="CQ59" i="1"/>
  <c r="AQ56"/>
  <c r="AO56"/>
  <c r="T80" i="43" s="1"/>
  <c r="AC56" i="1"/>
  <c r="T56"/>
  <c r="P81" i="52" s="1"/>
  <c r="Q56" i="1"/>
  <c r="BD55"/>
  <c r="T81" i="52" l="1"/>
  <c r="R77" i="45"/>
  <c r="V81" i="52"/>
  <c r="U80" i="43"/>
  <c r="AT56" i="1"/>
  <c r="X81" i="52" s="1"/>
  <c r="V56" i="1"/>
  <c r="W56" s="1"/>
  <c r="AQ55"/>
  <c r="AO55"/>
  <c r="T79" i="43" s="1"/>
  <c r="AC55" i="1"/>
  <c r="T55"/>
  <c r="P80" i="52" s="1"/>
  <c r="Q55" i="1"/>
  <c r="P80" i="43" l="1"/>
  <c r="O77" i="45"/>
  <c r="T80" i="52"/>
  <c r="R76" i="45"/>
  <c r="V80" i="52"/>
  <c r="U79" i="43"/>
  <c r="CQ56" i="1"/>
  <c r="AT55"/>
  <c r="X80" i="52" s="1"/>
  <c r="V55" i="1"/>
  <c r="W55" s="1"/>
  <c r="AQ54"/>
  <c r="AO54"/>
  <c r="T78" i="43" s="1"/>
  <c r="AC54" i="1"/>
  <c r="T54"/>
  <c r="P79" i="52" s="1"/>
  <c r="Q54" i="1"/>
  <c r="BD53"/>
  <c r="T79" i="52" l="1"/>
  <c r="R75" i="45"/>
  <c r="V79" i="52"/>
  <c r="U78" i="43"/>
  <c r="P79"/>
  <c r="O76" i="45"/>
  <c r="CQ55" i="1"/>
  <c r="AT54"/>
  <c r="X79" i="52" s="1"/>
  <c r="V54" i="1"/>
  <c r="AQ53"/>
  <c r="AO53"/>
  <c r="T77" i="43" s="1"/>
  <c r="AC53" i="1"/>
  <c r="T53"/>
  <c r="P78" i="52" s="1"/>
  <c r="Q53" i="1"/>
  <c r="BD52"/>
  <c r="T78" i="52" l="1"/>
  <c r="R74" i="45"/>
  <c r="V78" i="52"/>
  <c r="U77" i="43"/>
  <c r="CQ54" i="1"/>
  <c r="W54"/>
  <c r="AT53"/>
  <c r="X78" i="52" s="1"/>
  <c r="V53" i="1"/>
  <c r="W53" s="1"/>
  <c r="AQ52"/>
  <c r="AO52"/>
  <c r="T76" i="43" s="1"/>
  <c r="AC52" i="1"/>
  <c r="T52"/>
  <c r="P77" i="52" s="1"/>
  <c r="Q52" i="1"/>
  <c r="BD49"/>
  <c r="V77" i="52" l="1"/>
  <c r="U76" i="43"/>
  <c r="P77"/>
  <c r="O74" i="45"/>
  <c r="P78" i="43"/>
  <c r="O75" i="45"/>
  <c r="T77" i="52"/>
  <c r="R73" i="45"/>
  <c r="CQ53" i="1"/>
  <c r="AT52"/>
  <c r="X77" i="52" s="1"/>
  <c r="V52" i="1"/>
  <c r="AQ49"/>
  <c r="AO49"/>
  <c r="T73" i="43" s="1"/>
  <c r="AC49" i="1"/>
  <c r="T49"/>
  <c r="P74" i="52" s="1"/>
  <c r="Q49" i="1"/>
  <c r="BD48"/>
  <c r="T74" i="52" l="1"/>
  <c r="R70" i="45"/>
  <c r="V74" i="52"/>
  <c r="U73" i="43"/>
  <c r="CQ52" i="1"/>
  <c r="W52"/>
  <c r="AT49"/>
  <c r="X74" i="52" s="1"/>
  <c r="V49" i="1"/>
  <c r="W49" s="1"/>
  <c r="AQ48"/>
  <c r="AO48"/>
  <c r="T72" i="43" s="1"/>
  <c r="AC48" i="1"/>
  <c r="T48"/>
  <c r="P73" i="52" s="1"/>
  <c r="Q48" i="1"/>
  <c r="BD47"/>
  <c r="P73" i="43" l="1"/>
  <c r="O70" i="45"/>
  <c r="T73" i="52"/>
  <c r="R69" i="45"/>
  <c r="P76" i="43"/>
  <c r="O73" i="45"/>
  <c r="V73" i="52"/>
  <c r="U72" i="43"/>
  <c r="CQ49" i="1"/>
  <c r="AT48"/>
  <c r="X73" i="52" s="1"/>
  <c r="V48" i="1"/>
  <c r="W48" s="1"/>
  <c r="AQ47"/>
  <c r="AO47"/>
  <c r="T71" i="43" s="1"/>
  <c r="AC47" i="1"/>
  <c r="T47"/>
  <c r="P72" i="52" s="1"/>
  <c r="Q47" i="1"/>
  <c r="V72" i="52" l="1"/>
  <c r="U71" i="43"/>
  <c r="P72"/>
  <c r="O69" i="45"/>
  <c r="T72" i="52"/>
  <c r="R68" i="45"/>
  <c r="CQ48" i="1"/>
  <c r="AT47"/>
  <c r="X72" i="52" s="1"/>
  <c r="V47" i="1"/>
  <c r="W47" s="1"/>
  <c r="BD46"/>
  <c r="P71" i="43" l="1"/>
  <c r="O68" i="45"/>
  <c r="CQ47" i="1"/>
  <c r="AQ46"/>
  <c r="AO46"/>
  <c r="T70" i="43" s="1"/>
  <c r="AC46" i="1"/>
  <c r="T46"/>
  <c r="P71" i="52" s="1"/>
  <c r="Q46" i="1"/>
  <c r="T71" i="52" l="1"/>
  <c r="R67" i="45"/>
  <c r="V71" i="52"/>
  <c r="U70" i="43"/>
  <c r="AT46" i="1"/>
  <c r="X71" i="52" s="1"/>
  <c r="V46" i="1"/>
  <c r="W46" s="1"/>
  <c r="P70" i="43" l="1"/>
  <c r="O67" i="45"/>
  <c r="CQ46" i="1"/>
  <c r="BD39"/>
  <c r="AW39" l="1"/>
  <c r="X55" i="43" s="1"/>
  <c r="AQ39" i="1"/>
  <c r="AO39"/>
  <c r="T55" i="43" s="1"/>
  <c r="AC39" i="1"/>
  <c r="T39"/>
  <c r="Q39"/>
  <c r="BD36"/>
  <c r="V56" i="52" l="1"/>
  <c r="U55" i="43"/>
  <c r="T56" i="52"/>
  <c r="R52" i="45"/>
  <c r="P56" i="52"/>
  <c r="CP39" i="1"/>
  <c r="AT39"/>
  <c r="V39"/>
  <c r="W39" s="1"/>
  <c r="AW36"/>
  <c r="X52" i="43" s="1"/>
  <c r="AQ36" i="1"/>
  <c r="AO36"/>
  <c r="T52" i="43" s="1"/>
  <c r="AC36" i="1"/>
  <c r="T36"/>
  <c r="Q36"/>
  <c r="BD35"/>
  <c r="T53" i="52" l="1"/>
  <c r="R49" i="45"/>
  <c r="P55" i="43"/>
  <c r="O52" i="45"/>
  <c r="V53" i="52"/>
  <c r="U52" i="43"/>
  <c r="X56" i="52"/>
  <c r="CQ39" i="1"/>
  <c r="P53" i="52"/>
  <c r="CP36" i="1"/>
  <c r="AT36"/>
  <c r="V36"/>
  <c r="W36" s="1"/>
  <c r="AW35"/>
  <c r="X51" i="43" s="1"/>
  <c r="AQ35" i="1"/>
  <c r="AO35"/>
  <c r="T51" i="43" s="1"/>
  <c r="AC35" i="1"/>
  <c r="T35"/>
  <c r="Q35"/>
  <c r="BD34"/>
  <c r="T52" i="52" l="1"/>
  <c r="R48" i="45"/>
  <c r="O49"/>
  <c r="P52" i="43"/>
  <c r="V52" i="52"/>
  <c r="U51" i="43"/>
  <c r="X53" i="52"/>
  <c r="CQ36" i="1"/>
  <c r="P52" i="52"/>
  <c r="CP35" i="1"/>
  <c r="AT35"/>
  <c r="V35"/>
  <c r="W35" s="1"/>
  <c r="AW34"/>
  <c r="X50" i="43" s="1"/>
  <c r="AQ34" i="1"/>
  <c r="AO34"/>
  <c r="T50" i="43" s="1"/>
  <c r="AC34" i="1"/>
  <c r="T34"/>
  <c r="Q34"/>
  <c r="BD33"/>
  <c r="V51" i="52" l="1"/>
  <c r="U50" i="43"/>
  <c r="T51" i="52"/>
  <c r="R47" i="45"/>
  <c r="P51" i="43"/>
  <c r="O48" i="45"/>
  <c r="X52" i="52"/>
  <c r="CQ35" i="1"/>
  <c r="P51" i="52"/>
  <c r="CP34" i="1"/>
  <c r="AT34"/>
  <c r="V34"/>
  <c r="W34" s="1"/>
  <c r="AW33"/>
  <c r="X49" i="43" s="1"/>
  <c r="AQ33" i="1"/>
  <c r="AO33"/>
  <c r="T49" i="43" s="1"/>
  <c r="AC33" i="1"/>
  <c r="T33"/>
  <c r="Q33"/>
  <c r="V50" i="52" l="1"/>
  <c r="U49" i="43"/>
  <c r="T50" i="52"/>
  <c r="R46" i="45"/>
  <c r="P50" i="43"/>
  <c r="O47" i="45"/>
  <c r="X51" i="52"/>
  <c r="CQ34" i="1"/>
  <c r="P50" i="52"/>
  <c r="CP33" i="1"/>
  <c r="AT33"/>
  <c r="V33"/>
  <c r="W33" s="1"/>
  <c r="BD31"/>
  <c r="P49" i="43" l="1"/>
  <c r="O46" i="45"/>
  <c r="X50" i="52"/>
  <c r="CQ33" i="1"/>
  <c r="AW31"/>
  <c r="X47" i="43" s="1"/>
  <c r="AQ31" i="1"/>
  <c r="AO31"/>
  <c r="T47" i="43" s="1"/>
  <c r="AC31" i="1"/>
  <c r="T31"/>
  <c r="Q31"/>
  <c r="BD30"/>
  <c r="T48" i="52" l="1"/>
  <c r="R44" i="45"/>
  <c r="V48" i="52"/>
  <c r="U47" i="43"/>
  <c r="P48" i="52"/>
  <c r="CP31" i="1"/>
  <c r="AT31"/>
  <c r="V31"/>
  <c r="W31" s="1"/>
  <c r="AW30"/>
  <c r="X46" i="43" s="1"/>
  <c r="AQ30" i="1"/>
  <c r="AO30"/>
  <c r="T46" i="43" s="1"/>
  <c r="AC30" i="1"/>
  <c r="T30"/>
  <c r="Q30"/>
  <c r="BD29"/>
  <c r="T47" i="52" l="1"/>
  <c r="R43" i="45"/>
  <c r="P47" i="43"/>
  <c r="O44" i="45"/>
  <c r="V47" i="52"/>
  <c r="U46" i="43"/>
  <c r="X48" i="52"/>
  <c r="CQ31" i="1"/>
  <c r="P47" i="52"/>
  <c r="CP30" i="1"/>
  <c r="AT30"/>
  <c r="V30"/>
  <c r="W30" s="1"/>
  <c r="AW29"/>
  <c r="X45" i="43" s="1"/>
  <c r="AQ29" i="1"/>
  <c r="AO29"/>
  <c r="T45" i="43" s="1"/>
  <c r="AC29" i="1"/>
  <c r="T29"/>
  <c r="Q29"/>
  <c r="T46" i="52" l="1"/>
  <c r="R42" i="45"/>
  <c r="P46" i="43"/>
  <c r="O43" i="45"/>
  <c r="V46" i="52"/>
  <c r="U45" i="43"/>
  <c r="X47" i="52"/>
  <c r="CQ30" i="1"/>
  <c r="P46" i="52"/>
  <c r="CP29" i="1"/>
  <c r="AT29"/>
  <c r="V29"/>
  <c r="W29" s="1"/>
  <c r="BD28"/>
  <c r="P45" i="43" l="1"/>
  <c r="O42" i="45"/>
  <c r="X46" i="52"/>
  <c r="CQ29" i="1"/>
  <c r="AW28"/>
  <c r="X44" i="43" s="1"/>
  <c r="AQ28" i="1"/>
  <c r="AO28"/>
  <c r="T44" i="43" s="1"/>
  <c r="AC28" i="1"/>
  <c r="T28"/>
  <c r="Q28"/>
  <c r="T45" i="52" l="1"/>
  <c r="R41" i="45"/>
  <c r="V45" i="52"/>
  <c r="U44" i="43"/>
  <c r="P45" i="52"/>
  <c r="CP28" i="1"/>
  <c r="AT28"/>
  <c r="V28"/>
  <c r="W28" s="1"/>
  <c r="BD27"/>
  <c r="O41" i="45" l="1"/>
  <c r="P44" i="43"/>
  <c r="X45" i="52"/>
  <c r="CQ28" i="1"/>
  <c r="AW27"/>
  <c r="X43" i="43" s="1"/>
  <c r="AQ27" i="1"/>
  <c r="AO27"/>
  <c r="T43" i="43" s="1"/>
  <c r="AC27" i="1"/>
  <c r="T27"/>
  <c r="Q27"/>
  <c r="BD26"/>
  <c r="T44" i="52" l="1"/>
  <c r="R40" i="45"/>
  <c r="V44" i="52"/>
  <c r="U43" i="43"/>
  <c r="P44" i="52"/>
  <c r="CP27" i="1"/>
  <c r="AT27"/>
  <c r="V27"/>
  <c r="W27" s="1"/>
  <c r="AW26"/>
  <c r="X42" i="43" s="1"/>
  <c r="AQ26" i="1"/>
  <c r="AO26"/>
  <c r="T42" i="43" s="1"/>
  <c r="AC26" i="1"/>
  <c r="T26"/>
  <c r="Q26"/>
  <c r="V43" i="52" l="1"/>
  <c r="U42" i="43"/>
  <c r="T43" i="52"/>
  <c r="R39" i="45"/>
  <c r="P43" i="43"/>
  <c r="O40" i="45"/>
  <c r="X44" i="52"/>
  <c r="CQ27" i="1"/>
  <c r="P43" i="52"/>
  <c r="CP26" i="1"/>
  <c r="AT26"/>
  <c r="V26"/>
  <c r="W26" s="1"/>
  <c r="BD24"/>
  <c r="P42" i="43" l="1"/>
  <c r="O39" i="45"/>
  <c r="X43" i="52"/>
  <c r="CQ26" i="1"/>
  <c r="AW24"/>
  <c r="X40" i="43" s="1"/>
  <c r="AQ24" i="1"/>
  <c r="AO24"/>
  <c r="T40" i="43" s="1"/>
  <c r="AC24" i="1"/>
  <c r="T24"/>
  <c r="Q24"/>
  <c r="BD23"/>
  <c r="T40" i="52" l="1"/>
  <c r="R37" i="45"/>
  <c r="V40" i="52"/>
  <c r="U40" i="43"/>
  <c r="P40" i="52"/>
  <c r="CP24" i="1"/>
  <c r="AT24"/>
  <c r="V24"/>
  <c r="W24" s="1"/>
  <c r="AW23"/>
  <c r="X39" i="43" s="1"/>
  <c r="AQ23" i="1"/>
  <c r="AO23"/>
  <c r="T39" i="43" s="1"/>
  <c r="AC23" i="1"/>
  <c r="T23"/>
  <c r="Q23"/>
  <c r="BD21"/>
  <c r="V39" i="52" l="1"/>
  <c r="U39" i="43"/>
  <c r="T39" i="52"/>
  <c r="R36" i="45"/>
  <c r="O37"/>
  <c r="P40" i="43"/>
  <c r="X40" i="52"/>
  <c r="CQ24" i="1"/>
  <c r="P39" i="52"/>
  <c r="CP23" i="1"/>
  <c r="AT23"/>
  <c r="V23"/>
  <c r="W23" s="1"/>
  <c r="AW21"/>
  <c r="X37" i="43" s="1"/>
  <c r="AQ21" i="1"/>
  <c r="AO21"/>
  <c r="T37" i="43" s="1"/>
  <c r="AC21" i="1"/>
  <c r="T21"/>
  <c r="Q21"/>
  <c r="BD20"/>
  <c r="T37" i="52" l="1"/>
  <c r="R34" i="45"/>
  <c r="P39" i="43"/>
  <c r="O36" i="45"/>
  <c r="V37" i="52"/>
  <c r="U37" i="43"/>
  <c r="X39" i="52"/>
  <c r="CQ23" i="1"/>
  <c r="P37" i="52"/>
  <c r="CP21" i="1"/>
  <c r="AT21"/>
  <c r="V21"/>
  <c r="W21" s="1"/>
  <c r="AW20"/>
  <c r="X36" i="43" s="1"/>
  <c r="AQ20" i="1"/>
  <c r="AO20"/>
  <c r="T36" i="43" s="1"/>
  <c r="AC20" i="1"/>
  <c r="T20"/>
  <c r="Q20"/>
  <c r="BD19"/>
  <c r="V36" i="52" l="1"/>
  <c r="U36" i="43"/>
  <c r="T36" i="52"/>
  <c r="R33" i="45"/>
  <c r="P37" i="43"/>
  <c r="O34" i="45"/>
  <c r="X37" i="52"/>
  <c r="CQ21" i="1"/>
  <c r="P36" i="52"/>
  <c r="CP20" i="1"/>
  <c r="AT20"/>
  <c r="V20"/>
  <c r="W20" s="1"/>
  <c r="AW19"/>
  <c r="X35" i="43" s="1"/>
  <c r="AQ19" i="1"/>
  <c r="AO19"/>
  <c r="T35" i="43" s="1"/>
  <c r="AC19" i="1"/>
  <c r="T19"/>
  <c r="Q19"/>
  <c r="BD17"/>
  <c r="V35" i="52" l="1"/>
  <c r="U35" i="43"/>
  <c r="T35" i="52"/>
  <c r="R32" i="45"/>
  <c r="O33"/>
  <c r="P36" i="43"/>
  <c r="X36" i="52"/>
  <c r="CQ20" i="1"/>
  <c r="P35" i="52"/>
  <c r="CP19" i="1"/>
  <c r="AT19"/>
  <c r="V19"/>
  <c r="W19" s="1"/>
  <c r="AW17"/>
  <c r="X33" i="43" s="1"/>
  <c r="X57" s="1"/>
  <c r="AQ17" i="1"/>
  <c r="V33" i="52" s="1"/>
  <c r="V58" s="1"/>
  <c r="AO17" i="1"/>
  <c r="T33" i="43" s="1"/>
  <c r="T57" s="1"/>
  <c r="AC17" i="1"/>
  <c r="T33" i="52" s="1"/>
  <c r="T17" i="1"/>
  <c r="Q17"/>
  <c r="BD41"/>
  <c r="T58" i="52" l="1"/>
  <c r="P35" i="43"/>
  <c r="O32" i="45"/>
  <c r="X35" i="52"/>
  <c r="CQ19" i="1"/>
  <c r="P33" i="52"/>
  <c r="P58" s="1"/>
  <c r="R30" i="45"/>
  <c r="R54" s="1"/>
  <c r="U33" i="43"/>
  <c r="U57" s="1"/>
  <c r="CP17" i="1"/>
  <c r="AT17"/>
  <c r="V17"/>
  <c r="W17" s="1"/>
  <c r="AC41"/>
  <c r="T41"/>
  <c r="X33" i="52" l="1"/>
  <c r="X58" s="1"/>
  <c r="CQ17" i="1"/>
  <c r="CQ41" s="1"/>
  <c r="P33" i="43"/>
  <c r="P57" s="1"/>
  <c r="O30" i="45"/>
  <c r="AQ41" i="1"/>
  <c r="AO41"/>
  <c r="CP41"/>
  <c r="AW41"/>
  <c r="AT41"/>
  <c r="V41"/>
  <c r="O54" i="45" l="1"/>
  <c r="W41" i="1"/>
  <c r="CA404" l="1"/>
  <c r="BG404"/>
  <c r="BG407" s="1"/>
  <c r="BD313"/>
  <c r="BD314"/>
  <c r="BD315"/>
  <c r="BD316"/>
  <c r="BD317"/>
  <c r="BD318"/>
  <c r="BD319"/>
  <c r="BD320"/>
  <c r="BD321"/>
  <c r="BD322"/>
  <c r="BD323"/>
  <c r="BD324"/>
  <c r="BD325"/>
  <c r="BD326"/>
  <c r="BD327"/>
  <c r="BD328"/>
  <c r="BD329"/>
  <c r="BD330"/>
  <c r="BD332"/>
  <c r="BD333"/>
  <c r="BD334"/>
  <c r="BD335"/>
  <c r="BD336"/>
  <c r="BD337"/>
  <c r="BD338"/>
  <c r="BD339"/>
  <c r="BD340"/>
  <c r="BD341"/>
  <c r="BD342"/>
  <c r="BD343"/>
  <c r="BD344"/>
  <c r="BD345"/>
  <c r="BD346"/>
  <c r="BD347"/>
  <c r="BD348"/>
  <c r="BD349"/>
  <c r="BD350"/>
  <c r="BD351"/>
  <c r="BD352"/>
  <c r="BD353"/>
  <c r="BD354"/>
  <c r="BD355"/>
  <c r="BD356"/>
  <c r="BD357"/>
  <c r="BD359"/>
  <c r="BD360"/>
  <c r="BD361"/>
  <c r="BD362"/>
  <c r="BD363"/>
  <c r="BD364"/>
  <c r="BD365"/>
  <c r="BD366"/>
  <c r="BD367"/>
  <c r="BD368"/>
  <c r="BD369"/>
  <c r="BD370"/>
  <c r="BD371"/>
  <c r="BD374"/>
  <c r="BD375"/>
  <c r="BD376"/>
  <c r="BD377"/>
  <c r="BD378"/>
  <c r="BD379"/>
  <c r="BD380"/>
  <c r="BD382"/>
  <c r="BD383"/>
  <c r="BD384"/>
  <c r="BD386"/>
  <c r="BD387"/>
  <c r="BD388"/>
  <c r="BD390"/>
  <c r="BD391"/>
  <c r="BD392"/>
  <c r="BD270"/>
  <c r="BD394"/>
  <c r="BD395"/>
  <c r="BD396"/>
  <c r="BD399"/>
  <c r="BD400"/>
  <c r="BD401"/>
  <c r="BD44"/>
  <c r="BD45"/>
  <c r="BD43"/>
  <c r="BD312"/>
  <c r="BD14"/>
  <c r="BC404"/>
  <c r="BC407" s="1"/>
  <c r="CA407" l="1"/>
  <c r="BD404"/>
  <c r="AW14" l="1"/>
  <c r="X14" i="43" s="1"/>
  <c r="CP14" i="1" l="1"/>
  <c r="AR404"/>
  <c r="AR407" s="1"/>
  <c r="AS404"/>
  <c r="AS407" s="1"/>
  <c r="BP404"/>
  <c r="AP404"/>
  <c r="AP407" s="1"/>
  <c r="U404"/>
  <c r="U407" s="1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330"/>
  <c r="AQ332"/>
  <c r="AQ333"/>
  <c r="AQ334"/>
  <c r="AQ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9"/>
  <c r="AQ360"/>
  <c r="AQ361"/>
  <c r="AQ362"/>
  <c r="AQ363"/>
  <c r="AQ364"/>
  <c r="AQ365"/>
  <c r="AQ366"/>
  <c r="AQ367"/>
  <c r="AQ368"/>
  <c r="AQ369"/>
  <c r="AQ370"/>
  <c r="AQ371"/>
  <c r="AQ374"/>
  <c r="AQ375"/>
  <c r="AQ376"/>
  <c r="AQ377"/>
  <c r="AQ378"/>
  <c r="AQ379"/>
  <c r="AQ380"/>
  <c r="AQ382"/>
  <c r="AQ383"/>
  <c r="AQ384"/>
  <c r="AQ386"/>
  <c r="AQ387"/>
  <c r="AQ388"/>
  <c r="AQ390"/>
  <c r="AQ391"/>
  <c r="AQ392"/>
  <c r="AQ270"/>
  <c r="AQ394"/>
  <c r="AQ395"/>
  <c r="AQ396"/>
  <c r="AQ399"/>
  <c r="AQ400"/>
  <c r="AQ401"/>
  <c r="AO313"/>
  <c r="T348" i="43" s="1"/>
  <c r="AO314" i="1"/>
  <c r="T349" i="43" s="1"/>
  <c r="AO315" i="1"/>
  <c r="T350" i="43" s="1"/>
  <c r="AO316" i="1"/>
  <c r="T351" i="43" s="1"/>
  <c r="AO317" i="1"/>
  <c r="T352" i="43" s="1"/>
  <c r="AO318" i="1"/>
  <c r="T353" i="43" s="1"/>
  <c r="AO319" i="1"/>
  <c r="T354" i="43" s="1"/>
  <c r="AO320" i="1"/>
  <c r="T355" i="43" s="1"/>
  <c r="AO321" i="1"/>
  <c r="T356" i="43" s="1"/>
  <c r="AO322" i="1"/>
  <c r="T357" i="43" s="1"/>
  <c r="AO323" i="1"/>
  <c r="T358" i="43" s="1"/>
  <c r="AO324" i="1"/>
  <c r="T359" i="43" s="1"/>
  <c r="AO325" i="1"/>
  <c r="T360" i="43" s="1"/>
  <c r="AO326" i="1"/>
  <c r="T361" i="43" s="1"/>
  <c r="AO327" i="1"/>
  <c r="T362" i="43" s="1"/>
  <c r="AO328" i="1"/>
  <c r="T363" i="43" s="1"/>
  <c r="AO329" i="1"/>
  <c r="T364" i="43" s="1"/>
  <c r="AO330" i="1"/>
  <c r="T365" i="43" s="1"/>
  <c r="AO332" i="1"/>
  <c r="T367" i="43" s="1"/>
  <c r="AO333" i="1"/>
  <c r="T368" i="43" s="1"/>
  <c r="AO334" i="1"/>
  <c r="T369" i="43" s="1"/>
  <c r="AO335" i="1"/>
  <c r="T370" i="43" s="1"/>
  <c r="AO336" i="1"/>
  <c r="T371" i="43" s="1"/>
  <c r="AO337" i="1"/>
  <c r="T372" i="43" s="1"/>
  <c r="AO338" i="1"/>
  <c r="T373" i="43" s="1"/>
  <c r="AO339" i="1"/>
  <c r="T374" i="43" s="1"/>
  <c r="AO340" i="1"/>
  <c r="T375" i="43" s="1"/>
  <c r="AO341" i="1"/>
  <c r="T376" i="43" s="1"/>
  <c r="AO342" i="1"/>
  <c r="T377" i="43" s="1"/>
  <c r="AO343" i="1"/>
  <c r="T378" i="43" s="1"/>
  <c r="AO344" i="1"/>
  <c r="T379" i="43" s="1"/>
  <c r="AO345" i="1"/>
  <c r="T380" i="43" s="1"/>
  <c r="AO346" i="1"/>
  <c r="T381" i="43" s="1"/>
  <c r="AO347" i="1"/>
  <c r="T382" i="43" s="1"/>
  <c r="AO348" i="1"/>
  <c r="T383" i="43" s="1"/>
  <c r="AO349" i="1"/>
  <c r="T384" i="43" s="1"/>
  <c r="AO350" i="1"/>
  <c r="T385" i="43" s="1"/>
  <c r="AO351" i="1"/>
  <c r="T386" i="43" s="1"/>
  <c r="AO352" i="1"/>
  <c r="T387" i="43" s="1"/>
  <c r="AO353" i="1"/>
  <c r="T388" i="43" s="1"/>
  <c r="AO354" i="1"/>
  <c r="T389" i="43" s="1"/>
  <c r="AO355" i="1"/>
  <c r="T390" i="43" s="1"/>
  <c r="AO356" i="1"/>
  <c r="T391" i="43" s="1"/>
  <c r="AO357" i="1"/>
  <c r="T392" i="43" s="1"/>
  <c r="AO359" i="1"/>
  <c r="T394" i="43" s="1"/>
  <c r="AO360" i="1"/>
  <c r="T395" i="43" s="1"/>
  <c r="AO361" i="1"/>
  <c r="T396" i="43" s="1"/>
  <c r="AO362" i="1"/>
  <c r="T397" i="43" s="1"/>
  <c r="AO363" i="1"/>
  <c r="T398" i="43" s="1"/>
  <c r="AO364" i="1"/>
  <c r="T399" i="43" s="1"/>
  <c r="AO365" i="1"/>
  <c r="T400" i="43" s="1"/>
  <c r="AO366" i="1"/>
  <c r="T401" i="43" s="1"/>
  <c r="AO367" i="1"/>
  <c r="T402" i="43" s="1"/>
  <c r="AO368" i="1"/>
  <c r="T403" i="43" s="1"/>
  <c r="AO369" i="1"/>
  <c r="T404" i="43" s="1"/>
  <c r="AO370" i="1"/>
  <c r="T405" i="43" s="1"/>
  <c r="AO371" i="1"/>
  <c r="T406" i="43" s="1"/>
  <c r="AO374" i="1"/>
  <c r="T409" i="43" s="1"/>
  <c r="AO375" i="1"/>
  <c r="T410" i="43" s="1"/>
  <c r="AO376" i="1"/>
  <c r="T411" i="43" s="1"/>
  <c r="AO377" i="1"/>
  <c r="T412" i="43" s="1"/>
  <c r="AO378" i="1"/>
  <c r="T413" i="43" s="1"/>
  <c r="AO379" i="1"/>
  <c r="T414" i="43" s="1"/>
  <c r="AO380" i="1"/>
  <c r="T415" i="43" s="1"/>
  <c r="AO382" i="1"/>
  <c r="T417" i="43" s="1"/>
  <c r="AO383" i="1"/>
  <c r="T418" i="43" s="1"/>
  <c r="AO384" i="1"/>
  <c r="T419" i="43" s="1"/>
  <c r="AO386" i="1"/>
  <c r="T421" i="43" s="1"/>
  <c r="AO387" i="1"/>
  <c r="T422" i="43" s="1"/>
  <c r="AO388" i="1"/>
  <c r="T423" i="43" s="1"/>
  <c r="AO390" i="1"/>
  <c r="T425" i="43" s="1"/>
  <c r="AO391" i="1"/>
  <c r="T426" i="43" s="1"/>
  <c r="AO392" i="1"/>
  <c r="T427" i="43" s="1"/>
  <c r="AO270" i="1"/>
  <c r="T294" i="43" s="1"/>
  <c r="AO394" i="1"/>
  <c r="T429" i="43" s="1"/>
  <c r="AO395" i="1"/>
  <c r="T430" i="43" s="1"/>
  <c r="AO396" i="1"/>
  <c r="T431" i="43" s="1"/>
  <c r="AO399" i="1"/>
  <c r="T434" i="43" s="1"/>
  <c r="AO400" i="1"/>
  <c r="T435" i="43" s="1"/>
  <c r="AO401" i="1"/>
  <c r="T436" i="43" s="1"/>
  <c r="AC313" i="1"/>
  <c r="AC314"/>
  <c r="AC315"/>
  <c r="AC317"/>
  <c r="AC318"/>
  <c r="AC319"/>
  <c r="AC320"/>
  <c r="AC321"/>
  <c r="AC322"/>
  <c r="AC323"/>
  <c r="AC324"/>
  <c r="AC325"/>
  <c r="AC326"/>
  <c r="AC327"/>
  <c r="AC328"/>
  <c r="AC329"/>
  <c r="AC330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9"/>
  <c r="AC360"/>
  <c r="AC361"/>
  <c r="AC362"/>
  <c r="AC363"/>
  <c r="AC364"/>
  <c r="AC365"/>
  <c r="AC366"/>
  <c r="AC367"/>
  <c r="AC368"/>
  <c r="AC369"/>
  <c r="AC370"/>
  <c r="AC371"/>
  <c r="AC374"/>
  <c r="AC375"/>
  <c r="AC376"/>
  <c r="AC377"/>
  <c r="AC378"/>
  <c r="AC379"/>
  <c r="AC380"/>
  <c r="AC382"/>
  <c r="AC383"/>
  <c r="AC384"/>
  <c r="AC386"/>
  <c r="AC387"/>
  <c r="AC388"/>
  <c r="AC390"/>
  <c r="AC391"/>
  <c r="AC392"/>
  <c r="AC270"/>
  <c r="AC394"/>
  <c r="AC395"/>
  <c r="AC396"/>
  <c r="AC399"/>
  <c r="AC400"/>
  <c r="AC401"/>
  <c r="T316"/>
  <c r="T317"/>
  <c r="T318"/>
  <c r="T319"/>
  <c r="T320"/>
  <c r="T321"/>
  <c r="T322"/>
  <c r="T323"/>
  <c r="T324"/>
  <c r="T325"/>
  <c r="T326"/>
  <c r="T327"/>
  <c r="T328"/>
  <c r="T329"/>
  <c r="T330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9"/>
  <c r="T360"/>
  <c r="T361"/>
  <c r="T362"/>
  <c r="T363"/>
  <c r="T364"/>
  <c r="T365"/>
  <c r="T366"/>
  <c r="T367"/>
  <c r="T368"/>
  <c r="T369"/>
  <c r="T370"/>
  <c r="T371"/>
  <c r="T374"/>
  <c r="T375"/>
  <c r="T376"/>
  <c r="T377"/>
  <c r="T378"/>
  <c r="T379"/>
  <c r="T380"/>
  <c r="T382"/>
  <c r="T383"/>
  <c r="T384"/>
  <c r="T386"/>
  <c r="T387"/>
  <c r="T388"/>
  <c r="T390"/>
  <c r="T391"/>
  <c r="T392"/>
  <c r="T394"/>
  <c r="T395"/>
  <c r="T396"/>
  <c r="T399"/>
  <c r="T400"/>
  <c r="T401"/>
  <c r="T313"/>
  <c r="T314"/>
  <c r="T315"/>
  <c r="Q44"/>
  <c r="AN404"/>
  <c r="AN407" s="1"/>
  <c r="Z404"/>
  <c r="T433" i="52" l="1"/>
  <c r="R424" i="45"/>
  <c r="T429" i="52"/>
  <c r="R420" i="45"/>
  <c r="T419" i="52"/>
  <c r="R409" i="45"/>
  <c r="T409" i="52"/>
  <c r="R399" i="45"/>
  <c r="T401" i="52"/>
  <c r="R391" i="45"/>
  <c r="T396" i="52"/>
  <c r="R386" i="45"/>
  <c r="T388" i="52"/>
  <c r="R378" i="45"/>
  <c r="T380" i="52"/>
  <c r="R370" i="45"/>
  <c r="T376" i="52"/>
  <c r="R366" i="45"/>
  <c r="T367" i="52"/>
  <c r="R357" i="45"/>
  <c r="T363" i="52"/>
  <c r="R353" i="45"/>
  <c r="T354" i="52"/>
  <c r="R344" i="45"/>
  <c r="V297" i="52"/>
  <c r="U294" i="43"/>
  <c r="V423" i="52"/>
  <c r="U418" i="43"/>
  <c r="V418" i="52"/>
  <c r="U413" i="43"/>
  <c r="V408" i="52"/>
  <c r="U403" i="43"/>
  <c r="V395" i="52"/>
  <c r="U390" i="43"/>
  <c r="V391" i="52"/>
  <c r="U386" i="43"/>
  <c r="V383" i="52"/>
  <c r="U378" i="43"/>
  <c r="V379" i="52"/>
  <c r="U374" i="43"/>
  <c r="V370" i="52"/>
  <c r="U365" i="43"/>
  <c r="V362" i="52"/>
  <c r="U357" i="43"/>
  <c r="T438" i="52"/>
  <c r="R429" i="45"/>
  <c r="T297" i="52"/>
  <c r="R291" i="45"/>
  <c r="T428" i="52"/>
  <c r="R418" i="45"/>
  <c r="T423" i="52"/>
  <c r="R413" i="45"/>
  <c r="T418" i="52"/>
  <c r="R408" i="45"/>
  <c r="T414" i="52"/>
  <c r="R404" i="45"/>
  <c r="T408" i="52"/>
  <c r="R398" i="45"/>
  <c r="T404" i="52"/>
  <c r="R394" i="45"/>
  <c r="T400" i="52"/>
  <c r="R390" i="45"/>
  <c r="T395" i="52"/>
  <c r="R385" i="45"/>
  <c r="T391" i="52"/>
  <c r="R381" i="45"/>
  <c r="T387" i="52"/>
  <c r="R377" i="45"/>
  <c r="T383" i="52"/>
  <c r="R373" i="45"/>
  <c r="T379" i="52"/>
  <c r="R369" i="45"/>
  <c r="T375" i="52"/>
  <c r="R365" i="45"/>
  <c r="T370" i="52"/>
  <c r="R360" i="45"/>
  <c r="T366" i="52"/>
  <c r="R356" i="45"/>
  <c r="T362" i="52"/>
  <c r="R352" i="45"/>
  <c r="T358" i="52"/>
  <c r="R348" i="45"/>
  <c r="T353" i="52"/>
  <c r="R343" i="45"/>
  <c r="V435" i="52"/>
  <c r="U431" i="43"/>
  <c r="V431" i="52"/>
  <c r="U427" i="43"/>
  <c r="V427" i="52"/>
  <c r="U422" i="43"/>
  <c r="V422" i="52"/>
  <c r="U417" i="43"/>
  <c r="V417" i="52"/>
  <c r="U412" i="43"/>
  <c r="V411" i="52"/>
  <c r="U406" i="43"/>
  <c r="V407" i="52"/>
  <c r="U402" i="43"/>
  <c r="V403" i="52"/>
  <c r="U398" i="43"/>
  <c r="V399" i="52"/>
  <c r="U394" i="43"/>
  <c r="V394" i="52"/>
  <c r="U389" i="43"/>
  <c r="V390" i="52"/>
  <c r="U385" i="43"/>
  <c r="V386" i="52"/>
  <c r="U381" i="43"/>
  <c r="V382" i="52"/>
  <c r="U377" i="43"/>
  <c r="V378" i="52"/>
  <c r="U373" i="43"/>
  <c r="V374" i="52"/>
  <c r="U369" i="43"/>
  <c r="V369" i="52"/>
  <c r="U364" i="43"/>
  <c r="V365" i="52"/>
  <c r="U360" i="43"/>
  <c r="V361" i="52"/>
  <c r="U356" i="43"/>
  <c r="V357" i="52"/>
  <c r="U352" i="43"/>
  <c r="V353" i="52"/>
  <c r="U348" i="43"/>
  <c r="T439" i="52"/>
  <c r="R430" i="45"/>
  <c r="T424" i="52"/>
  <c r="R414" i="45"/>
  <c r="T415" i="52"/>
  <c r="R405" i="45"/>
  <c r="T405" i="52"/>
  <c r="R395" i="45"/>
  <c r="T392" i="52"/>
  <c r="R382" i="45"/>
  <c r="T384" i="52"/>
  <c r="R374" i="45"/>
  <c r="T372" i="52"/>
  <c r="R362" i="45"/>
  <c r="T359" i="52"/>
  <c r="R349" i="45"/>
  <c r="V438" i="52"/>
  <c r="U434" i="43"/>
  <c r="V428" i="52"/>
  <c r="U423" i="43"/>
  <c r="V414" i="52"/>
  <c r="U409" i="43"/>
  <c r="V404" i="52"/>
  <c r="U399" i="43"/>
  <c r="V400" i="52"/>
  <c r="U395" i="43"/>
  <c r="V387" i="52"/>
  <c r="U382" i="43"/>
  <c r="V375" i="52"/>
  <c r="U370" i="43"/>
  <c r="V366" i="52"/>
  <c r="U361" i="43"/>
  <c r="V358" i="52"/>
  <c r="U353" i="43"/>
  <c r="V354" i="52"/>
  <c r="U349" i="43"/>
  <c r="T435" i="52"/>
  <c r="R426" i="45"/>
  <c r="T431" i="52"/>
  <c r="R422" i="45"/>
  <c r="T427" i="52"/>
  <c r="R417" i="45"/>
  <c r="T422" i="52"/>
  <c r="R412" i="45"/>
  <c r="T417" i="52"/>
  <c r="R407" i="45"/>
  <c r="T411" i="52"/>
  <c r="R401" i="45"/>
  <c r="T407" i="52"/>
  <c r="R397" i="45"/>
  <c r="T403" i="52"/>
  <c r="R393" i="45"/>
  <c r="T399" i="52"/>
  <c r="R389" i="45"/>
  <c r="T394" i="52"/>
  <c r="R384" i="45"/>
  <c r="T390" i="52"/>
  <c r="R380" i="45"/>
  <c r="T386" i="52"/>
  <c r="R376" i="45"/>
  <c r="T382" i="52"/>
  <c r="R372" i="45"/>
  <c r="T378" i="52"/>
  <c r="R368" i="45"/>
  <c r="T374" i="52"/>
  <c r="R364" i="45"/>
  <c r="T369" i="52"/>
  <c r="R359" i="45"/>
  <c r="T365" i="52"/>
  <c r="R355" i="45"/>
  <c r="T361" i="52"/>
  <c r="R351" i="45"/>
  <c r="T357" i="52"/>
  <c r="R347" i="45"/>
  <c r="V441" i="52"/>
  <c r="U436" i="43"/>
  <c r="V434" i="52"/>
  <c r="U430" i="43"/>
  <c r="V430" i="52"/>
  <c r="U426" i="43"/>
  <c r="V426" i="52"/>
  <c r="U421" i="43"/>
  <c r="V420" i="52"/>
  <c r="U415" i="43"/>
  <c r="V416" i="52"/>
  <c r="U411" i="43"/>
  <c r="V410" i="52"/>
  <c r="U405" i="43"/>
  <c r="V406" i="52"/>
  <c r="U401" i="43"/>
  <c r="V402" i="52"/>
  <c r="U397" i="43"/>
  <c r="V397" i="52"/>
  <c r="U392" i="43"/>
  <c r="V393" i="52"/>
  <c r="U388" i="43"/>
  <c r="V389" i="52"/>
  <c r="U384" i="43"/>
  <c r="V385" i="52"/>
  <c r="U380" i="43"/>
  <c r="V381" i="52"/>
  <c r="U376" i="43"/>
  <c r="V377" i="52"/>
  <c r="U372" i="43"/>
  <c r="V373" i="52"/>
  <c r="U368" i="43"/>
  <c r="V368" i="52"/>
  <c r="U363" i="43"/>
  <c r="V364" i="52"/>
  <c r="U359" i="43"/>
  <c r="V360" i="52"/>
  <c r="U355" i="43"/>
  <c r="V356" i="52"/>
  <c r="U351" i="43"/>
  <c r="T441" i="52"/>
  <c r="R431" i="45"/>
  <c r="T434" i="52"/>
  <c r="R425" i="45"/>
  <c r="T430" i="52"/>
  <c r="R421" i="45"/>
  <c r="T426" i="52"/>
  <c r="R416" i="45"/>
  <c r="T420" i="52"/>
  <c r="R410" i="45"/>
  <c r="T416" i="52"/>
  <c r="R406" i="45"/>
  <c r="T410" i="52"/>
  <c r="R400" i="45"/>
  <c r="T406" i="52"/>
  <c r="R396" i="45"/>
  <c r="T402" i="52"/>
  <c r="R392" i="45"/>
  <c r="T397" i="52"/>
  <c r="R387" i="45"/>
  <c r="T393" i="52"/>
  <c r="R383" i="45"/>
  <c r="T389" i="52"/>
  <c r="R379" i="45"/>
  <c r="T385" i="52"/>
  <c r="R375" i="45"/>
  <c r="T381" i="52"/>
  <c r="R371" i="45"/>
  <c r="T377" i="52"/>
  <c r="R367" i="45"/>
  <c r="T373" i="52"/>
  <c r="R363" i="45"/>
  <c r="T368" i="52"/>
  <c r="R358" i="45"/>
  <c r="T364" i="52"/>
  <c r="R354" i="45"/>
  <c r="T360" i="52"/>
  <c r="R350" i="45"/>
  <c r="T355" i="52"/>
  <c r="R345" i="45"/>
  <c r="V439" i="52"/>
  <c r="U435" i="43"/>
  <c r="V433" i="52"/>
  <c r="U429" i="43"/>
  <c r="V429" i="52"/>
  <c r="U425" i="43"/>
  <c r="V424" i="52"/>
  <c r="U419" i="43"/>
  <c r="V419" i="52"/>
  <c r="U414" i="43"/>
  <c r="V415" i="52"/>
  <c r="U410" i="43"/>
  <c r="V409" i="52"/>
  <c r="U404" i="43"/>
  <c r="V405" i="52"/>
  <c r="U400" i="43"/>
  <c r="V401" i="52"/>
  <c r="U396" i="43"/>
  <c r="V396" i="52"/>
  <c r="U391" i="43"/>
  <c r="V392" i="52"/>
  <c r="U387" i="43"/>
  <c r="V388" i="52"/>
  <c r="U383" i="43"/>
  <c r="V384" i="52"/>
  <c r="U379" i="43"/>
  <c r="V380" i="52"/>
  <c r="U375" i="43"/>
  <c r="V376" i="52"/>
  <c r="U371" i="43"/>
  <c r="V372" i="52"/>
  <c r="U367" i="43"/>
  <c r="V367" i="52"/>
  <c r="U362" i="43"/>
  <c r="V363" i="52"/>
  <c r="U358" i="43"/>
  <c r="V359" i="52"/>
  <c r="U354" i="43"/>
  <c r="V355" i="52"/>
  <c r="U350" i="43"/>
  <c r="Z407" i="1"/>
  <c r="E592" i="20"/>
  <c r="P354" i="52"/>
  <c r="P441"/>
  <c r="P438"/>
  <c r="P434"/>
  <c r="P431"/>
  <c r="P429"/>
  <c r="P427"/>
  <c r="P424"/>
  <c r="P422"/>
  <c r="P419"/>
  <c r="P417"/>
  <c r="P415"/>
  <c r="P411"/>
  <c r="P409"/>
  <c r="P407"/>
  <c r="P405"/>
  <c r="P403"/>
  <c r="P401"/>
  <c r="P399"/>
  <c r="P396"/>
  <c r="P394"/>
  <c r="P392"/>
  <c r="P390"/>
  <c r="P388"/>
  <c r="P386"/>
  <c r="P384"/>
  <c r="P382"/>
  <c r="P380"/>
  <c r="P378"/>
  <c r="P376"/>
  <c r="P374"/>
  <c r="P372"/>
  <c r="P369"/>
  <c r="P367"/>
  <c r="P365"/>
  <c r="P363"/>
  <c r="P361"/>
  <c r="P359"/>
  <c r="P357"/>
  <c r="P355"/>
  <c r="P353"/>
  <c r="P439"/>
  <c r="P435"/>
  <c r="P433"/>
  <c r="P430"/>
  <c r="P428"/>
  <c r="P426"/>
  <c r="P423"/>
  <c r="P420"/>
  <c r="P418"/>
  <c r="P416"/>
  <c r="P414"/>
  <c r="P410"/>
  <c r="P408"/>
  <c r="P406"/>
  <c r="P404"/>
  <c r="P402"/>
  <c r="P400"/>
  <c r="P397"/>
  <c r="P395"/>
  <c r="P393"/>
  <c r="P391"/>
  <c r="P389"/>
  <c r="P387"/>
  <c r="P385"/>
  <c r="P383"/>
  <c r="P381"/>
  <c r="P379"/>
  <c r="P377"/>
  <c r="P375"/>
  <c r="P373"/>
  <c r="P370"/>
  <c r="P368"/>
  <c r="P366"/>
  <c r="P364"/>
  <c r="P362"/>
  <c r="P360"/>
  <c r="P358"/>
  <c r="P356"/>
  <c r="BP407" i="1"/>
  <c r="AT401"/>
  <c r="AT399"/>
  <c r="AT395"/>
  <c r="AT270"/>
  <c r="X297" i="52" s="1"/>
  <c r="AT390" i="1"/>
  <c r="AT388"/>
  <c r="AT386"/>
  <c r="AT384"/>
  <c r="AT382"/>
  <c r="AT379"/>
  <c r="AT377"/>
  <c r="AT375"/>
  <c r="AT371"/>
  <c r="AT369"/>
  <c r="AT367"/>
  <c r="AT365"/>
  <c r="AT363"/>
  <c r="AT361"/>
  <c r="AT359"/>
  <c r="AT356"/>
  <c r="AT354"/>
  <c r="AT351"/>
  <c r="AT349"/>
  <c r="AT347"/>
  <c r="AT345"/>
  <c r="AT343"/>
  <c r="AT341"/>
  <c r="AT339"/>
  <c r="AT337"/>
  <c r="AT335"/>
  <c r="AT333"/>
  <c r="AT332"/>
  <c r="AT329"/>
  <c r="AT327"/>
  <c r="AT325"/>
  <c r="AT323"/>
  <c r="AT321"/>
  <c r="AT319"/>
  <c r="AT316"/>
  <c r="AT314"/>
  <c r="AT400"/>
  <c r="AT396"/>
  <c r="AT394"/>
  <c r="AT392"/>
  <c r="AT391"/>
  <c r="AT387"/>
  <c r="AT383"/>
  <c r="AT380"/>
  <c r="AT378"/>
  <c r="AT376"/>
  <c r="AT374"/>
  <c r="AT370"/>
  <c r="AT368"/>
  <c r="AT366"/>
  <c r="AT364"/>
  <c r="AT362"/>
  <c r="AT360"/>
  <c r="AT357"/>
  <c r="AT355"/>
  <c r="AT353"/>
  <c r="AT352"/>
  <c r="AT350"/>
  <c r="AT348"/>
  <c r="AT346"/>
  <c r="AT344"/>
  <c r="AT342"/>
  <c r="AT340"/>
  <c r="AT338"/>
  <c r="AT336"/>
  <c r="AT334"/>
  <c r="AT330"/>
  <c r="AT328"/>
  <c r="AT326"/>
  <c r="AT324"/>
  <c r="AT322"/>
  <c r="AT320"/>
  <c r="AT318"/>
  <c r="AT317"/>
  <c r="AT315"/>
  <c r="AT313"/>
  <c r="V315"/>
  <c r="W315" s="1"/>
  <c r="V314"/>
  <c r="W314" s="1"/>
  <c r="V313"/>
  <c r="W313" s="1"/>
  <c r="V401"/>
  <c r="W401" s="1"/>
  <c r="V400"/>
  <c r="W400" s="1"/>
  <c r="V399"/>
  <c r="W399" s="1"/>
  <c r="V396"/>
  <c r="W396" s="1"/>
  <c r="V395"/>
  <c r="W395" s="1"/>
  <c r="V394"/>
  <c r="V270"/>
  <c r="W270" s="1"/>
  <c r="V392"/>
  <c r="W392" s="1"/>
  <c r="V391"/>
  <c r="V390"/>
  <c r="W390" s="1"/>
  <c r="V388"/>
  <c r="W388" s="1"/>
  <c r="V387"/>
  <c r="V386"/>
  <c r="W386" s="1"/>
  <c r="V384"/>
  <c r="W384" s="1"/>
  <c r="V383"/>
  <c r="W383" s="1"/>
  <c r="V382"/>
  <c r="W382" s="1"/>
  <c r="V380"/>
  <c r="W380" s="1"/>
  <c r="V379"/>
  <c r="W379" s="1"/>
  <c r="V378"/>
  <c r="W378" s="1"/>
  <c r="V377"/>
  <c r="W377" s="1"/>
  <c r="V376"/>
  <c r="W376" s="1"/>
  <c r="V375"/>
  <c r="W375" s="1"/>
  <c r="V374"/>
  <c r="W374" s="1"/>
  <c r="V371"/>
  <c r="W371" s="1"/>
  <c r="V370"/>
  <c r="W370" s="1"/>
  <c r="V369"/>
  <c r="W369" s="1"/>
  <c r="V368"/>
  <c r="W368" s="1"/>
  <c r="V367"/>
  <c r="W367" s="1"/>
  <c r="V366"/>
  <c r="W366" s="1"/>
  <c r="V365"/>
  <c r="W365" s="1"/>
  <c r="V364"/>
  <c r="W364" s="1"/>
  <c r="V363"/>
  <c r="W363" s="1"/>
  <c r="V362"/>
  <c r="V361"/>
  <c r="V360"/>
  <c r="V359"/>
  <c r="W359" s="1"/>
  <c r="V357"/>
  <c r="V356"/>
  <c r="V355"/>
  <c r="W355" s="1"/>
  <c r="V354"/>
  <c r="W354" s="1"/>
  <c r="V353"/>
  <c r="W353" s="1"/>
  <c r="V352"/>
  <c r="W352" s="1"/>
  <c r="V351"/>
  <c r="W351" s="1"/>
  <c r="V350"/>
  <c r="W350" s="1"/>
  <c r="V349"/>
  <c r="V348"/>
  <c r="W348" s="1"/>
  <c r="V347"/>
  <c r="W347" s="1"/>
  <c r="V346"/>
  <c r="W346" s="1"/>
  <c r="V345"/>
  <c r="W345" s="1"/>
  <c r="V344"/>
  <c r="W344" s="1"/>
  <c r="V343"/>
  <c r="W343" s="1"/>
  <c r="V342"/>
  <c r="W342" s="1"/>
  <c r="V341"/>
  <c r="W341" s="1"/>
  <c r="V340"/>
  <c r="W340" s="1"/>
  <c r="V339"/>
  <c r="V338"/>
  <c r="W338" s="1"/>
  <c r="V337"/>
  <c r="W337" s="1"/>
  <c r="V336"/>
  <c r="W336" s="1"/>
  <c r="V335"/>
  <c r="W335" s="1"/>
  <c r="V334"/>
  <c r="W334" s="1"/>
  <c r="V333"/>
  <c r="W333" s="1"/>
  <c r="V332"/>
  <c r="V330"/>
  <c r="W330" s="1"/>
  <c r="V329"/>
  <c r="W329" s="1"/>
  <c r="V328"/>
  <c r="W328" s="1"/>
  <c r="V327"/>
  <c r="W327" s="1"/>
  <c r="V326"/>
  <c r="W326" s="1"/>
  <c r="V325"/>
  <c r="W325" s="1"/>
  <c r="V324"/>
  <c r="W324" s="1"/>
  <c r="V323"/>
  <c r="W323" s="1"/>
  <c r="V322"/>
  <c r="W322" s="1"/>
  <c r="V321"/>
  <c r="W321" s="1"/>
  <c r="V320"/>
  <c r="W320" s="1"/>
  <c r="V319"/>
  <c r="W319" s="1"/>
  <c r="V318"/>
  <c r="W318" s="1"/>
  <c r="V317"/>
  <c r="V316"/>
  <c r="W316" s="1"/>
  <c r="O350" i="45" l="1"/>
  <c r="P355" i="43"/>
  <c r="P359"/>
  <c r="O354" i="45"/>
  <c r="P372" i="43"/>
  <c r="O367" i="45"/>
  <c r="P388" i="43"/>
  <c r="O383" i="45"/>
  <c r="P405" i="43"/>
  <c r="O400" i="45"/>
  <c r="P421" i="43"/>
  <c r="O416" i="45"/>
  <c r="P356" i="43"/>
  <c r="O351" i="45"/>
  <c r="P360" i="43"/>
  <c r="O355" i="45"/>
  <c r="P364" i="43"/>
  <c r="O359" i="45"/>
  <c r="P369" i="43"/>
  <c r="O364" i="45"/>
  <c r="P373" i="43"/>
  <c r="O368" i="45"/>
  <c r="P377" i="43"/>
  <c r="O372" i="45"/>
  <c r="P381" i="43"/>
  <c r="O376" i="45"/>
  <c r="P385" i="43"/>
  <c r="O380" i="45"/>
  <c r="P389" i="43"/>
  <c r="O384" i="45"/>
  <c r="P394" i="43"/>
  <c r="O389" i="45"/>
  <c r="P398" i="43"/>
  <c r="O393" i="45"/>
  <c r="P402" i="43"/>
  <c r="O397" i="45"/>
  <c r="P406" i="43"/>
  <c r="O401" i="45"/>
  <c r="P412" i="43"/>
  <c r="O407" i="45"/>
  <c r="P417" i="43"/>
  <c r="O412" i="45"/>
  <c r="P427" i="43"/>
  <c r="O422" i="45"/>
  <c r="P431" i="43"/>
  <c r="O426" i="45"/>
  <c r="P348" i="43"/>
  <c r="O343" i="45"/>
  <c r="P351" i="43"/>
  <c r="O346" i="45"/>
  <c r="P363" i="43"/>
  <c r="O358" i="45"/>
  <c r="P376" i="43"/>
  <c r="O371" i="45"/>
  <c r="P411" i="43"/>
  <c r="O406" i="45"/>
  <c r="P430" i="43"/>
  <c r="O425" i="45"/>
  <c r="O352"/>
  <c r="P357" i="43"/>
  <c r="P361"/>
  <c r="O356" i="45"/>
  <c r="P365" i="43"/>
  <c r="O360" i="45"/>
  <c r="P370" i="43"/>
  <c r="O365" i="45"/>
  <c r="P378" i="43"/>
  <c r="O373" i="45"/>
  <c r="P382" i="43"/>
  <c r="O377" i="45"/>
  <c r="P386" i="43"/>
  <c r="O381" i="45"/>
  <c r="P390" i="43"/>
  <c r="O385" i="45"/>
  <c r="P399" i="43"/>
  <c r="O394" i="45"/>
  <c r="P403" i="43"/>
  <c r="O398" i="45"/>
  <c r="P409" i="43"/>
  <c r="O404" i="45"/>
  <c r="P413" i="43"/>
  <c r="O408" i="45"/>
  <c r="P418" i="43"/>
  <c r="O413" i="45"/>
  <c r="P423" i="43"/>
  <c r="O418" i="45"/>
  <c r="O291"/>
  <c r="P294" i="43"/>
  <c r="P434"/>
  <c r="O429" i="45"/>
  <c r="O344"/>
  <c r="P349" i="43"/>
  <c r="P368"/>
  <c r="O363" i="45"/>
  <c r="P380" i="43"/>
  <c r="O375" i="45"/>
  <c r="P401" i="43"/>
  <c r="O396" i="45"/>
  <c r="P415" i="43"/>
  <c r="O410" i="45"/>
  <c r="P436" i="43"/>
  <c r="O431" i="45"/>
  <c r="P353" i="43"/>
  <c r="O348" i="45"/>
  <c r="P354" i="43"/>
  <c r="O349" i="45"/>
  <c r="P358" i="43"/>
  <c r="O353" i="45"/>
  <c r="P362" i="43"/>
  <c r="O357" i="45"/>
  <c r="P371" i="43"/>
  <c r="O366" i="45"/>
  <c r="P375" i="43"/>
  <c r="O370" i="45"/>
  <c r="P379" i="43"/>
  <c r="O374" i="45"/>
  <c r="P383" i="43"/>
  <c r="O378" i="45"/>
  <c r="P387" i="43"/>
  <c r="O382" i="45"/>
  <c r="P400" i="43"/>
  <c r="O395" i="45"/>
  <c r="P404" i="43"/>
  <c r="O399" i="45"/>
  <c r="P410" i="43"/>
  <c r="O405" i="45"/>
  <c r="P414" i="43"/>
  <c r="O409" i="45"/>
  <c r="P419" i="43"/>
  <c r="O414" i="45"/>
  <c r="P425" i="43"/>
  <c r="O420" i="45"/>
  <c r="P435" i="43"/>
  <c r="O430" i="45"/>
  <c r="P350" i="43"/>
  <c r="O345" i="45"/>
  <c r="E595" i="20"/>
  <c r="X353" i="52"/>
  <c r="CQ313" i="1"/>
  <c r="X360" i="52"/>
  <c r="CQ320" i="1"/>
  <c r="X364" i="52"/>
  <c r="CQ324" i="1"/>
  <c r="X374" i="52"/>
  <c r="CQ334" i="1"/>
  <c r="X382" i="52"/>
  <c r="CQ342" i="1"/>
  <c r="X390" i="52"/>
  <c r="CQ350" i="1"/>
  <c r="X397" i="52"/>
  <c r="CQ357" i="1"/>
  <c r="X406" i="52"/>
  <c r="CQ366" i="1"/>
  <c r="X410" i="52"/>
  <c r="CQ370" i="1"/>
  <c r="X420" i="52"/>
  <c r="CQ380" i="1"/>
  <c r="X431" i="52"/>
  <c r="CQ392" i="1"/>
  <c r="X359" i="52"/>
  <c r="CQ319" i="1"/>
  <c r="X355" i="52"/>
  <c r="CQ315" i="1"/>
  <c r="X358" i="52"/>
  <c r="CQ318" i="1"/>
  <c r="X362" i="52"/>
  <c r="CQ322" i="1"/>
  <c r="X366" i="52"/>
  <c r="CQ326" i="1"/>
  <c r="X370" i="52"/>
  <c r="CQ330" i="1"/>
  <c r="X376" i="52"/>
  <c r="CQ336" i="1"/>
  <c r="X380" i="52"/>
  <c r="CQ340" i="1"/>
  <c r="X384" i="52"/>
  <c r="CQ344" i="1"/>
  <c r="X388" i="52"/>
  <c r="CQ348" i="1"/>
  <c r="X392" i="52"/>
  <c r="CQ352" i="1"/>
  <c r="X395" i="52"/>
  <c r="CQ355" i="1"/>
  <c r="X400" i="52"/>
  <c r="CQ360" i="1"/>
  <c r="X404" i="52"/>
  <c r="CQ364" i="1"/>
  <c r="X408" i="52"/>
  <c r="CQ368" i="1"/>
  <c r="X414" i="52"/>
  <c r="CQ374" i="1"/>
  <c r="X418" i="52"/>
  <c r="CQ378" i="1"/>
  <c r="X423" i="52"/>
  <c r="CQ383" i="1"/>
  <c r="X430" i="52"/>
  <c r="CQ391" i="1"/>
  <c r="X433" i="52"/>
  <c r="CQ394" i="1"/>
  <c r="X439" i="52"/>
  <c r="CQ400" i="1"/>
  <c r="X356" i="52"/>
  <c r="CQ316" i="1"/>
  <c r="X361" i="52"/>
  <c r="CQ321" i="1"/>
  <c r="X365" i="52"/>
  <c r="CQ325" i="1"/>
  <c r="X369" i="52"/>
  <c r="CQ329" i="1"/>
  <c r="X373" i="52"/>
  <c r="CQ333" i="1"/>
  <c r="X377" i="52"/>
  <c r="CQ337" i="1"/>
  <c r="X381" i="52"/>
  <c r="CQ341" i="1"/>
  <c r="X385" i="52"/>
  <c r="CQ345" i="1"/>
  <c r="X389" i="52"/>
  <c r="CQ349" i="1"/>
  <c r="X394" i="52"/>
  <c r="CQ354" i="1"/>
  <c r="X399" i="52"/>
  <c r="CQ359" i="1"/>
  <c r="X403" i="52"/>
  <c r="CQ363" i="1"/>
  <c r="X407" i="52"/>
  <c r="CQ367" i="1"/>
  <c r="X411" i="52"/>
  <c r="CQ371" i="1"/>
  <c r="X417" i="52"/>
  <c r="CQ377" i="1"/>
  <c r="X422" i="52"/>
  <c r="CQ382" i="1"/>
  <c r="X426" i="52"/>
  <c r="CQ386" i="1"/>
  <c r="X429" i="52"/>
  <c r="CQ390" i="1"/>
  <c r="X434" i="52"/>
  <c r="CQ395" i="1"/>
  <c r="X441" i="52"/>
  <c r="CQ401" i="1"/>
  <c r="X357" i="52"/>
  <c r="CQ317" i="1"/>
  <c r="X368" i="52"/>
  <c r="CQ328" i="1"/>
  <c r="X378" i="52"/>
  <c r="CQ338" i="1"/>
  <c r="X386" i="52"/>
  <c r="CQ346" i="1"/>
  <c r="X393" i="52"/>
  <c r="CQ353" i="1"/>
  <c r="X402" i="52"/>
  <c r="CQ362" i="1"/>
  <c r="X416" i="52"/>
  <c r="CQ376" i="1"/>
  <c r="X427" i="52"/>
  <c r="CQ387" i="1"/>
  <c r="X435" i="52"/>
  <c r="CQ396" i="1"/>
  <c r="X354" i="52"/>
  <c r="CQ314" i="1"/>
  <c r="X363" i="52"/>
  <c r="CQ323" i="1"/>
  <c r="X367" i="52"/>
  <c r="CQ327" i="1"/>
  <c r="X372" i="52"/>
  <c r="CQ332" i="1"/>
  <c r="X375" i="52"/>
  <c r="CQ335" i="1"/>
  <c r="X379" i="52"/>
  <c r="CQ339" i="1"/>
  <c r="X383" i="52"/>
  <c r="CQ343" i="1"/>
  <c r="X387" i="52"/>
  <c r="CQ347" i="1"/>
  <c r="X391" i="52"/>
  <c r="CQ351" i="1"/>
  <c r="X396" i="52"/>
  <c r="CQ356" i="1"/>
  <c r="X401" i="52"/>
  <c r="CQ361" i="1"/>
  <c r="X405" i="52"/>
  <c r="CQ365" i="1"/>
  <c r="X409" i="52"/>
  <c r="CQ369" i="1"/>
  <c r="X415" i="52"/>
  <c r="CQ375" i="1"/>
  <c r="X419" i="52"/>
  <c r="CQ379" i="1"/>
  <c r="X424" i="52"/>
  <c r="CQ384" i="1"/>
  <c r="X428" i="52"/>
  <c r="CQ388" i="1"/>
  <c r="CQ270"/>
  <c r="X438" i="52"/>
  <c r="CQ399" i="1"/>
  <c r="W317"/>
  <c r="W332"/>
  <c r="W339"/>
  <c r="W349"/>
  <c r="W356"/>
  <c r="W361"/>
  <c r="W391"/>
  <c r="W357"/>
  <c r="W360"/>
  <c r="W362"/>
  <c r="W387"/>
  <c r="W394"/>
  <c r="AC312"/>
  <c r="T352" i="52" s="1"/>
  <c r="T444" s="1"/>
  <c r="AC44" i="1"/>
  <c r="AC45"/>
  <c r="AC43"/>
  <c r="T68" i="52" s="1"/>
  <c r="AQ312" i="1"/>
  <c r="V352" i="52" s="1"/>
  <c r="V444" s="1"/>
  <c r="AQ44" i="1"/>
  <c r="AQ45"/>
  <c r="AQ43"/>
  <c r="V68" i="52" s="1"/>
  <c r="AQ14" i="1"/>
  <c r="V14" i="52" s="1"/>
  <c r="AQ13" i="1"/>
  <c r="AO312"/>
  <c r="T347" i="43" s="1"/>
  <c r="AO44" i="1"/>
  <c r="T68" i="43" s="1"/>
  <c r="AO45" i="1"/>
  <c r="T69" i="43" s="1"/>
  <c r="AO43" i="1"/>
  <c r="T67" i="43" s="1"/>
  <c r="AO14" i="1"/>
  <c r="T14" i="43" s="1"/>
  <c r="AO13" i="1"/>
  <c r="C31" i="15"/>
  <c r="C30"/>
  <c r="Q13" i="1"/>
  <c r="V70" i="52" l="1"/>
  <c r="U69" i="43"/>
  <c r="T70" i="52"/>
  <c r="R66" i="45"/>
  <c r="P422" i="43"/>
  <c r="O417" i="45"/>
  <c r="P426" i="43"/>
  <c r="O421" i="45"/>
  <c r="P374" i="43"/>
  <c r="O369" i="45"/>
  <c r="P429" i="43"/>
  <c r="O424" i="45"/>
  <c r="P384" i="43"/>
  <c r="O379" i="45"/>
  <c r="V69" i="52"/>
  <c r="U68" i="43"/>
  <c r="T69" i="52"/>
  <c r="T336" s="1"/>
  <c r="T447" s="1"/>
  <c r="R65" i="45"/>
  <c r="P397" i="43"/>
  <c r="O392" i="45"/>
  <c r="P396" i="43"/>
  <c r="O391" i="45"/>
  <c r="P367" i="43"/>
  <c r="O362" i="45"/>
  <c r="P392" i="43"/>
  <c r="O387" i="45"/>
  <c r="P395" i="43"/>
  <c r="O390" i="45"/>
  <c r="P391" i="43"/>
  <c r="O386" i="45"/>
  <c r="P352" i="43"/>
  <c r="O347" i="45"/>
  <c r="V13" i="52"/>
  <c r="V15" s="1"/>
  <c r="V336"/>
  <c r="U67" i="43"/>
  <c r="R64" i="45"/>
  <c r="U14" i="43"/>
  <c r="U347"/>
  <c r="R342" i="45"/>
  <c r="T13" i="43"/>
  <c r="T15" s="1"/>
  <c r="AO15" i="1"/>
  <c r="U13" i="43"/>
  <c r="AQ15" i="1"/>
  <c r="T334" i="43"/>
  <c r="BH310" i="1"/>
  <c r="AC404"/>
  <c r="AQ404"/>
  <c r="AT14"/>
  <c r="AT43"/>
  <c r="AT44"/>
  <c r="X69" i="52" s="1"/>
  <c r="AT13" i="1"/>
  <c r="CQ13" s="1"/>
  <c r="AT45"/>
  <c r="X70" i="52" s="1"/>
  <c r="AO404" i="1"/>
  <c r="AT312"/>
  <c r="CQ312" s="1"/>
  <c r="AO310"/>
  <c r="T439" i="43" s="1"/>
  <c r="AC310" i="1"/>
  <c r="R434" i="45" s="1"/>
  <c r="AQ310" i="1"/>
  <c r="U439" i="43" s="1"/>
  <c r="I258" i="52"/>
  <c r="K258" s="1"/>
  <c r="U334" i="43" l="1"/>
  <c r="V447" i="52"/>
  <c r="R331" i="45"/>
  <c r="R437" s="1"/>
  <c r="CQ45" i="1"/>
  <c r="CQ44"/>
  <c r="X14" i="52"/>
  <c r="CQ14" i="1"/>
  <c r="CQ15" s="1"/>
  <c r="X68" i="52"/>
  <c r="X336" s="1"/>
  <c r="CQ43" i="1"/>
  <c r="X13" i="52"/>
  <c r="X15" s="1"/>
  <c r="X352"/>
  <c r="X444" s="1"/>
  <c r="U15" i="43"/>
  <c r="U442" s="1"/>
  <c r="CQ404" i="1"/>
  <c r="AA232"/>
  <c r="R259" i="52" s="1"/>
  <c r="K232" i="1"/>
  <c r="K228" i="42" s="1"/>
  <c r="I227" i="52"/>
  <c r="K227" s="1"/>
  <c r="I153"/>
  <c r="K153" s="1"/>
  <c r="I251"/>
  <c r="K251" s="1"/>
  <c r="I183"/>
  <c r="K183" s="1"/>
  <c r="I235"/>
  <c r="K235" s="1"/>
  <c r="I208"/>
  <c r="K208" s="1"/>
  <c r="I320"/>
  <c r="K320" s="1"/>
  <c r="I319"/>
  <c r="K319" s="1"/>
  <c r="I152"/>
  <c r="K152" s="1"/>
  <c r="I203"/>
  <c r="K203" s="1"/>
  <c r="I313"/>
  <c r="K313" s="1"/>
  <c r="I297"/>
  <c r="K297" s="1"/>
  <c r="AA331" i="45"/>
  <c r="AT15" i="1"/>
  <c r="I118" i="52"/>
  <c r="K118" s="1"/>
  <c r="T442" i="43"/>
  <c r="I75" i="52"/>
  <c r="K75" s="1"/>
  <c r="I278"/>
  <c r="K278" s="1"/>
  <c r="I219"/>
  <c r="K219" s="1"/>
  <c r="I224"/>
  <c r="K224" s="1"/>
  <c r="I334"/>
  <c r="K334" s="1"/>
  <c r="I107"/>
  <c r="K107" s="1"/>
  <c r="I282"/>
  <c r="K282" s="1"/>
  <c r="I281"/>
  <c r="K281" s="1"/>
  <c r="I289"/>
  <c r="K289" s="1"/>
  <c r="I142"/>
  <c r="K142" s="1"/>
  <c r="I106"/>
  <c r="K106" s="1"/>
  <c r="I165"/>
  <c r="K165" s="1"/>
  <c r="I187"/>
  <c r="K187" s="1"/>
  <c r="I285"/>
  <c r="K285" s="1"/>
  <c r="I112"/>
  <c r="K112" s="1"/>
  <c r="I126"/>
  <c r="K126" s="1"/>
  <c r="I181"/>
  <c r="K181" s="1"/>
  <c r="I131"/>
  <c r="K131" s="1"/>
  <c r="I255"/>
  <c r="K255" s="1"/>
  <c r="I144"/>
  <c r="K144" s="1"/>
  <c r="I159"/>
  <c r="K159" s="1"/>
  <c r="I158"/>
  <c r="K158" s="1"/>
  <c r="I74"/>
  <c r="K74" s="1"/>
  <c r="I130"/>
  <c r="K130" s="1"/>
  <c r="I150"/>
  <c r="K150" s="1"/>
  <c r="I90"/>
  <c r="K90" s="1"/>
  <c r="I82"/>
  <c r="K82" s="1"/>
  <c r="I296"/>
  <c r="K296" s="1"/>
  <c r="I354"/>
  <c r="K354" s="1"/>
  <c r="I333"/>
  <c r="K333" s="1"/>
  <c r="I331"/>
  <c r="K331" s="1"/>
  <c r="I329"/>
  <c r="K329" s="1"/>
  <c r="I327"/>
  <c r="K327" s="1"/>
  <c r="I325"/>
  <c r="K325" s="1"/>
  <c r="I323"/>
  <c r="K323" s="1"/>
  <c r="I316"/>
  <c r="K316" s="1"/>
  <c r="I314"/>
  <c r="K314" s="1"/>
  <c r="I310"/>
  <c r="K310" s="1"/>
  <c r="I307"/>
  <c r="K307" s="1"/>
  <c r="I304"/>
  <c r="K304" s="1"/>
  <c r="I301"/>
  <c r="K301" s="1"/>
  <c r="I294"/>
  <c r="K294" s="1"/>
  <c r="I292"/>
  <c r="K292" s="1"/>
  <c r="I284"/>
  <c r="K284" s="1"/>
  <c r="I275"/>
  <c r="K275" s="1"/>
  <c r="I272"/>
  <c r="K272" s="1"/>
  <c r="I270"/>
  <c r="K270" s="1"/>
  <c r="I267"/>
  <c r="K267" s="1"/>
  <c r="I265"/>
  <c r="K265" s="1"/>
  <c r="I262"/>
  <c r="K262" s="1"/>
  <c r="I260"/>
  <c r="K260" s="1"/>
  <c r="I257"/>
  <c r="K257" s="1"/>
  <c r="I254"/>
  <c r="K254" s="1"/>
  <c r="I252"/>
  <c r="K252" s="1"/>
  <c r="I247"/>
  <c r="K247" s="1"/>
  <c r="I330"/>
  <c r="K330" s="1"/>
  <c r="I326"/>
  <c r="K326" s="1"/>
  <c r="I322"/>
  <c r="K322" s="1"/>
  <c r="I315"/>
  <c r="K315" s="1"/>
  <c r="I311"/>
  <c r="K311" s="1"/>
  <c r="I308"/>
  <c r="K308" s="1"/>
  <c r="I302"/>
  <c r="K302" s="1"/>
  <c r="I299"/>
  <c r="K299" s="1"/>
  <c r="I291"/>
  <c r="K291" s="1"/>
  <c r="I288"/>
  <c r="K288" s="1"/>
  <c r="I286"/>
  <c r="K286" s="1"/>
  <c r="I279"/>
  <c r="K279" s="1"/>
  <c r="I276"/>
  <c r="K276" s="1"/>
  <c r="I271"/>
  <c r="K271" s="1"/>
  <c r="I266"/>
  <c r="K266" s="1"/>
  <c r="I263"/>
  <c r="K263" s="1"/>
  <c r="I259"/>
  <c r="K259" s="1"/>
  <c r="I253"/>
  <c r="K253" s="1"/>
  <c r="I246"/>
  <c r="K246" s="1"/>
  <c r="I242"/>
  <c r="K242" s="1"/>
  <c r="I238"/>
  <c r="K238" s="1"/>
  <c r="I236"/>
  <c r="K236" s="1"/>
  <c r="I233"/>
  <c r="K233" s="1"/>
  <c r="I231"/>
  <c r="K231" s="1"/>
  <c r="I229"/>
  <c r="K229" s="1"/>
  <c r="I225"/>
  <c r="K225" s="1"/>
  <c r="I222"/>
  <c r="K222" s="1"/>
  <c r="I220"/>
  <c r="K220" s="1"/>
  <c r="I217"/>
  <c r="K217" s="1"/>
  <c r="I215"/>
  <c r="K215" s="1"/>
  <c r="I213"/>
  <c r="K213" s="1"/>
  <c r="I210"/>
  <c r="K210" s="1"/>
  <c r="I207"/>
  <c r="K207" s="1"/>
  <c r="I205"/>
  <c r="K205" s="1"/>
  <c r="I202"/>
  <c r="K202" s="1"/>
  <c r="I199"/>
  <c r="K199" s="1"/>
  <c r="I197"/>
  <c r="K197" s="1"/>
  <c r="I195"/>
  <c r="K195" s="1"/>
  <c r="I193"/>
  <c r="K193" s="1"/>
  <c r="I192"/>
  <c r="K192" s="1"/>
  <c r="I190"/>
  <c r="K190" s="1"/>
  <c r="I188"/>
  <c r="K188" s="1"/>
  <c r="I185"/>
  <c r="K185" s="1"/>
  <c r="I179"/>
  <c r="K179" s="1"/>
  <c r="I177"/>
  <c r="K177" s="1"/>
  <c r="I174"/>
  <c r="K174" s="1"/>
  <c r="I172"/>
  <c r="K172" s="1"/>
  <c r="I169"/>
  <c r="K169" s="1"/>
  <c r="I168"/>
  <c r="K168" s="1"/>
  <c r="I166"/>
  <c r="K166" s="1"/>
  <c r="I164"/>
  <c r="K164" s="1"/>
  <c r="I162"/>
  <c r="K162" s="1"/>
  <c r="I160"/>
  <c r="K160" s="1"/>
  <c r="I156"/>
  <c r="K156" s="1"/>
  <c r="I154"/>
  <c r="K154" s="1"/>
  <c r="I149"/>
  <c r="K149" s="1"/>
  <c r="I147"/>
  <c r="K147" s="1"/>
  <c r="I146"/>
  <c r="K146" s="1"/>
  <c r="I140"/>
  <c r="K140" s="1"/>
  <c r="I138"/>
  <c r="K138" s="1"/>
  <c r="I135"/>
  <c r="K135" s="1"/>
  <c r="I134"/>
  <c r="K134" s="1"/>
  <c r="I129"/>
  <c r="K129" s="1"/>
  <c r="I125"/>
  <c r="K125" s="1"/>
  <c r="I123"/>
  <c r="K123" s="1"/>
  <c r="I121"/>
  <c r="K121" s="1"/>
  <c r="I119"/>
  <c r="K119" s="1"/>
  <c r="I117"/>
  <c r="K117" s="1"/>
  <c r="I115"/>
  <c r="K115" s="1"/>
  <c r="I111"/>
  <c r="K111" s="1"/>
  <c r="I109"/>
  <c r="K109" s="1"/>
  <c r="I104"/>
  <c r="K104" s="1"/>
  <c r="I102"/>
  <c r="K102" s="1"/>
  <c r="I99"/>
  <c r="K99" s="1"/>
  <c r="I97"/>
  <c r="K97" s="1"/>
  <c r="I95"/>
  <c r="K95" s="1"/>
  <c r="I93"/>
  <c r="K93" s="1"/>
  <c r="I91"/>
  <c r="K91" s="1"/>
  <c r="I88"/>
  <c r="K88" s="1"/>
  <c r="I86"/>
  <c r="K86" s="1"/>
  <c r="I84"/>
  <c r="K84" s="1"/>
  <c r="I79"/>
  <c r="K79" s="1"/>
  <c r="I77"/>
  <c r="K77" s="1"/>
  <c r="I73"/>
  <c r="K73" s="1"/>
  <c r="I71"/>
  <c r="K71" s="1"/>
  <c r="I69"/>
  <c r="K69" s="1"/>
  <c r="I209"/>
  <c r="K209" s="1"/>
  <c r="I206"/>
  <c r="K206" s="1"/>
  <c r="I204"/>
  <c r="K204" s="1"/>
  <c r="I201"/>
  <c r="K201" s="1"/>
  <c r="I200"/>
  <c r="K200" s="1"/>
  <c r="I198"/>
  <c r="K198" s="1"/>
  <c r="I196"/>
  <c r="K196" s="1"/>
  <c r="I194"/>
  <c r="K194" s="1"/>
  <c r="I191"/>
  <c r="K191" s="1"/>
  <c r="I189"/>
  <c r="K189" s="1"/>
  <c r="I186"/>
  <c r="K186" s="1"/>
  <c r="I184"/>
  <c r="K184" s="1"/>
  <c r="I182"/>
  <c r="K182" s="1"/>
  <c r="I180"/>
  <c r="K180" s="1"/>
  <c r="I178"/>
  <c r="K178" s="1"/>
  <c r="I176"/>
  <c r="K176" s="1"/>
  <c r="I175"/>
  <c r="K175" s="1"/>
  <c r="I173"/>
  <c r="K173" s="1"/>
  <c r="I171"/>
  <c r="K171" s="1"/>
  <c r="I170"/>
  <c r="K170" s="1"/>
  <c r="I167"/>
  <c r="K167" s="1"/>
  <c r="I163"/>
  <c r="K163" s="1"/>
  <c r="I161"/>
  <c r="K161" s="1"/>
  <c r="I157"/>
  <c r="K157" s="1"/>
  <c r="I155"/>
  <c r="K155" s="1"/>
  <c r="I151"/>
  <c r="K151" s="1"/>
  <c r="I148"/>
  <c r="K148" s="1"/>
  <c r="I332"/>
  <c r="K332" s="1"/>
  <c r="I328"/>
  <c r="K328" s="1"/>
  <c r="I324"/>
  <c r="K324" s="1"/>
  <c r="I317"/>
  <c r="K317" s="1"/>
  <c r="I312"/>
  <c r="K312" s="1"/>
  <c r="I309"/>
  <c r="K309" s="1"/>
  <c r="I305"/>
  <c r="K305" s="1"/>
  <c r="I300"/>
  <c r="K300" s="1"/>
  <c r="I293"/>
  <c r="K293" s="1"/>
  <c r="I290"/>
  <c r="K290" s="1"/>
  <c r="I287"/>
  <c r="K287" s="1"/>
  <c r="I283"/>
  <c r="K283" s="1"/>
  <c r="I274"/>
  <c r="K274" s="1"/>
  <c r="I268"/>
  <c r="K268" s="1"/>
  <c r="I264"/>
  <c r="K264" s="1"/>
  <c r="I261"/>
  <c r="K261" s="1"/>
  <c r="I256"/>
  <c r="K256" s="1"/>
  <c r="I248"/>
  <c r="K248" s="1"/>
  <c r="I245"/>
  <c r="K245" s="1"/>
  <c r="I239"/>
  <c r="K239" s="1"/>
  <c r="I237"/>
  <c r="K237" s="1"/>
  <c r="I234"/>
  <c r="K234" s="1"/>
  <c r="I232"/>
  <c r="K232" s="1"/>
  <c r="I230"/>
  <c r="K230" s="1"/>
  <c r="I226"/>
  <c r="K226" s="1"/>
  <c r="I223"/>
  <c r="K223" s="1"/>
  <c r="I221"/>
  <c r="K221" s="1"/>
  <c r="I218"/>
  <c r="K218" s="1"/>
  <c r="I216"/>
  <c r="K216" s="1"/>
  <c r="I214"/>
  <c r="K214" s="1"/>
  <c r="I212"/>
  <c r="K212" s="1"/>
  <c r="I145"/>
  <c r="K145" s="1"/>
  <c r="I139"/>
  <c r="K139" s="1"/>
  <c r="I127"/>
  <c r="K127" s="1"/>
  <c r="I122"/>
  <c r="K122" s="1"/>
  <c r="I113"/>
  <c r="K113" s="1"/>
  <c r="I110"/>
  <c r="K110" s="1"/>
  <c r="I105"/>
  <c r="K105" s="1"/>
  <c r="I101"/>
  <c r="K101" s="1"/>
  <c r="I98"/>
  <c r="K98" s="1"/>
  <c r="I94"/>
  <c r="K94" s="1"/>
  <c r="I89"/>
  <c r="K89" s="1"/>
  <c r="I85"/>
  <c r="K85" s="1"/>
  <c r="I80"/>
  <c r="K80" s="1"/>
  <c r="I76"/>
  <c r="K76" s="1"/>
  <c r="I70"/>
  <c r="K70" s="1"/>
  <c r="I141"/>
  <c r="K141" s="1"/>
  <c r="I137"/>
  <c r="K137" s="1"/>
  <c r="I133"/>
  <c r="K133" s="1"/>
  <c r="I128"/>
  <c r="K128" s="1"/>
  <c r="I120"/>
  <c r="K120" s="1"/>
  <c r="I116"/>
  <c r="K116" s="1"/>
  <c r="I108"/>
  <c r="K108" s="1"/>
  <c r="I103"/>
  <c r="K103" s="1"/>
  <c r="I100"/>
  <c r="K100" s="1"/>
  <c r="I96"/>
  <c r="K96" s="1"/>
  <c r="I92"/>
  <c r="K92" s="1"/>
  <c r="I87"/>
  <c r="K87" s="1"/>
  <c r="I83"/>
  <c r="K83" s="1"/>
  <c r="I78"/>
  <c r="K78" s="1"/>
  <c r="I72"/>
  <c r="K72" s="1"/>
  <c r="I68"/>
  <c r="K68" s="1"/>
  <c r="CQ310" i="1"/>
  <c r="AC407"/>
  <c r="BH407"/>
  <c r="AQ407"/>
  <c r="AO407"/>
  <c r="AW13"/>
  <c r="I38" i="52" l="1"/>
  <c r="K38" s="1"/>
  <c r="I14"/>
  <c r="K14" s="1"/>
  <c r="I40"/>
  <c r="K40" s="1"/>
  <c r="I48"/>
  <c r="K48" s="1"/>
  <c r="I54"/>
  <c r="K54" s="1"/>
  <c r="I43"/>
  <c r="K43" s="1"/>
  <c r="I57"/>
  <c r="K57" s="1"/>
  <c r="I359"/>
  <c r="K359" s="1"/>
  <c r="I367"/>
  <c r="K367" s="1"/>
  <c r="I375"/>
  <c r="K375" s="1"/>
  <c r="I383"/>
  <c r="K383" s="1"/>
  <c r="I391"/>
  <c r="K391" s="1"/>
  <c r="I403"/>
  <c r="K403" s="1"/>
  <c r="I411"/>
  <c r="K411" s="1"/>
  <c r="I420"/>
  <c r="K420" s="1"/>
  <c r="I428"/>
  <c r="K428" s="1"/>
  <c r="I435"/>
  <c r="K435" s="1"/>
  <c r="I33"/>
  <c r="K33" s="1"/>
  <c r="I37"/>
  <c r="K37" s="1"/>
  <c r="I44"/>
  <c r="K44" s="1"/>
  <c r="I49"/>
  <c r="K49" s="1"/>
  <c r="I53"/>
  <c r="K53" s="1"/>
  <c r="I357"/>
  <c r="K357" s="1"/>
  <c r="I365"/>
  <c r="K365" s="1"/>
  <c r="I374"/>
  <c r="K374" s="1"/>
  <c r="I381"/>
  <c r="K381" s="1"/>
  <c r="I389"/>
  <c r="K389" s="1"/>
  <c r="I396"/>
  <c r="K396" s="1"/>
  <c r="I405"/>
  <c r="K405" s="1"/>
  <c r="I413"/>
  <c r="K413" s="1"/>
  <c r="I422"/>
  <c r="K422" s="1"/>
  <c r="I430"/>
  <c r="K430" s="1"/>
  <c r="I437"/>
  <c r="K437" s="1"/>
  <c r="I356"/>
  <c r="K356" s="1"/>
  <c r="I360"/>
  <c r="K360" s="1"/>
  <c r="I364"/>
  <c r="K364" s="1"/>
  <c r="I368"/>
  <c r="K368" s="1"/>
  <c r="I372"/>
  <c r="K372" s="1"/>
  <c r="I378"/>
  <c r="K378" s="1"/>
  <c r="I382"/>
  <c r="K382" s="1"/>
  <c r="I386"/>
  <c r="K386" s="1"/>
  <c r="I390"/>
  <c r="K390" s="1"/>
  <c r="I394"/>
  <c r="K394" s="1"/>
  <c r="I397"/>
  <c r="K397" s="1"/>
  <c r="I402"/>
  <c r="K402" s="1"/>
  <c r="I406"/>
  <c r="K406" s="1"/>
  <c r="I410"/>
  <c r="K410" s="1"/>
  <c r="I415"/>
  <c r="K415" s="1"/>
  <c r="I419"/>
  <c r="K419" s="1"/>
  <c r="I423"/>
  <c r="K423" s="1"/>
  <c r="I429"/>
  <c r="K429" s="1"/>
  <c r="I439"/>
  <c r="K439" s="1"/>
  <c r="I443"/>
  <c r="K443" s="1"/>
  <c r="I42"/>
  <c r="K42" s="1"/>
  <c r="I400"/>
  <c r="K400" s="1"/>
  <c r="X447"/>
  <c r="I46"/>
  <c r="K46" s="1"/>
  <c r="I36"/>
  <c r="K36" s="1"/>
  <c r="I45"/>
  <c r="K45" s="1"/>
  <c r="I50"/>
  <c r="K50" s="1"/>
  <c r="I34"/>
  <c r="K34" s="1"/>
  <c r="I52"/>
  <c r="K52" s="1"/>
  <c r="I355"/>
  <c r="K355" s="1"/>
  <c r="I363"/>
  <c r="K363" s="1"/>
  <c r="I371"/>
  <c r="K371" s="1"/>
  <c r="I379"/>
  <c r="K379" s="1"/>
  <c r="I387"/>
  <c r="K387" s="1"/>
  <c r="I398"/>
  <c r="K398" s="1"/>
  <c r="I407"/>
  <c r="K407" s="1"/>
  <c r="I416"/>
  <c r="K416" s="1"/>
  <c r="I424"/>
  <c r="K424" s="1"/>
  <c r="I431"/>
  <c r="K431" s="1"/>
  <c r="I440"/>
  <c r="K440" s="1"/>
  <c r="I13"/>
  <c r="K13" s="1"/>
  <c r="I35"/>
  <c r="K35" s="1"/>
  <c r="I39"/>
  <c r="K39" s="1"/>
  <c r="I47"/>
  <c r="K47" s="1"/>
  <c r="I51"/>
  <c r="K51" s="1"/>
  <c r="I56"/>
  <c r="K56" s="1"/>
  <c r="I361"/>
  <c r="K361" s="1"/>
  <c r="I369"/>
  <c r="K369" s="1"/>
  <c r="I377"/>
  <c r="K377" s="1"/>
  <c r="I385"/>
  <c r="K385" s="1"/>
  <c r="I393"/>
  <c r="K393" s="1"/>
  <c r="I401"/>
  <c r="K401" s="1"/>
  <c r="I409"/>
  <c r="K409" s="1"/>
  <c r="I418"/>
  <c r="K418" s="1"/>
  <c r="I426"/>
  <c r="K426" s="1"/>
  <c r="I433"/>
  <c r="K433" s="1"/>
  <c r="I442"/>
  <c r="K442" s="1"/>
  <c r="I358"/>
  <c r="K358" s="1"/>
  <c r="I362"/>
  <c r="K362" s="1"/>
  <c r="I366"/>
  <c r="K366" s="1"/>
  <c r="I370"/>
  <c r="K370" s="1"/>
  <c r="I376"/>
  <c r="K376" s="1"/>
  <c r="I380"/>
  <c r="K380" s="1"/>
  <c r="I384"/>
  <c r="K384" s="1"/>
  <c r="I388"/>
  <c r="K388" s="1"/>
  <c r="I392"/>
  <c r="K392" s="1"/>
  <c r="I395"/>
  <c r="K395" s="1"/>
  <c r="I399"/>
  <c r="K399" s="1"/>
  <c r="I404"/>
  <c r="K404" s="1"/>
  <c r="I408"/>
  <c r="K408" s="1"/>
  <c r="I412"/>
  <c r="K412" s="1"/>
  <c r="I417"/>
  <c r="K417" s="1"/>
  <c r="I421"/>
  <c r="K421" s="1"/>
  <c r="I425"/>
  <c r="K425" s="1"/>
  <c r="I432"/>
  <c r="K432" s="1"/>
  <c r="I436"/>
  <c r="K436" s="1"/>
  <c r="I441"/>
  <c r="K441" s="1"/>
  <c r="I308" i="42"/>
  <c r="K294" i="1"/>
  <c r="K290" i="42" s="1"/>
  <c r="AA210" i="1"/>
  <c r="R236" i="52" s="1"/>
  <c r="AA202" i="1"/>
  <c r="R228" i="52" s="1"/>
  <c r="AA294" i="1"/>
  <c r="R321" i="52" s="1"/>
  <c r="AA158" i="1"/>
  <c r="R184" i="52" s="1"/>
  <c r="K210" i="1"/>
  <c r="K206" i="42" s="1"/>
  <c r="K202" i="1"/>
  <c r="K198" i="42" s="1"/>
  <c r="AF232" i="1"/>
  <c r="P253" i="45" s="1"/>
  <c r="AA358" i="1"/>
  <c r="K358"/>
  <c r="K354" i="42" s="1"/>
  <c r="AF202" i="1"/>
  <c r="P223" i="45" s="1"/>
  <c r="AA129" i="1"/>
  <c r="R154" i="52" s="1"/>
  <c r="K129" i="1"/>
  <c r="K125" i="42" s="1"/>
  <c r="AA226" i="1"/>
  <c r="R252" i="52" s="1"/>
  <c r="K226" i="1"/>
  <c r="K222" i="42" s="1"/>
  <c r="K158" i="1"/>
  <c r="K154" i="42" s="1"/>
  <c r="AA183" i="1"/>
  <c r="R209" i="52" s="1"/>
  <c r="K183" i="1"/>
  <c r="K179" i="42" s="1"/>
  <c r="R42" i="52"/>
  <c r="K293" i="1"/>
  <c r="K289" i="42" s="1"/>
  <c r="AA293" i="1"/>
  <c r="R320" i="52" s="1"/>
  <c r="K199" i="1"/>
  <c r="K195" i="42" s="1"/>
  <c r="K178" i="1"/>
  <c r="K174" i="42" s="1"/>
  <c r="AA118" i="1"/>
  <c r="R143" i="52" s="1"/>
  <c r="AA263" i="1"/>
  <c r="R290" i="52" s="1"/>
  <c r="AA128" i="1"/>
  <c r="R153" i="52" s="1"/>
  <c r="AA287" i="1"/>
  <c r="R314" i="52" s="1"/>
  <c r="K128" i="1"/>
  <c r="K124" i="42" s="1"/>
  <c r="K287" i="1"/>
  <c r="K283" i="42" s="1"/>
  <c r="AA178" i="1"/>
  <c r="R204" i="52" s="1"/>
  <c r="K271" i="1"/>
  <c r="K267" i="42" s="1"/>
  <c r="AA271" i="1"/>
  <c r="R298" i="52" s="1"/>
  <c r="I14" i="43"/>
  <c r="K14" s="1"/>
  <c r="I14" i="45"/>
  <c r="K14" s="1"/>
  <c r="K66" i="1"/>
  <c r="K62" i="42" s="1"/>
  <c r="AA94" i="1"/>
  <c r="R119" i="52" s="1"/>
  <c r="X13" i="43"/>
  <c r="X15" s="1"/>
  <c r="AW15" i="1"/>
  <c r="K94"/>
  <c r="K90" i="42" s="1"/>
  <c r="I342" i="45"/>
  <c r="K342" s="1"/>
  <c r="I347" i="43"/>
  <c r="K347" s="1"/>
  <c r="AA434" i="45"/>
  <c r="AA437" s="1"/>
  <c r="AA199" i="1"/>
  <c r="R225" i="52" s="1"/>
  <c r="I13" i="42"/>
  <c r="I33" i="43"/>
  <c r="K33" s="1"/>
  <c r="I30" i="45"/>
  <c r="K30" s="1"/>
  <c r="AA384" i="1"/>
  <c r="AA58"/>
  <c r="R83" i="52" s="1"/>
  <c r="AA126" i="1"/>
  <c r="R151" i="52" s="1"/>
  <c r="AA50" i="1"/>
  <c r="R75" i="52" s="1"/>
  <c r="AA135" i="1"/>
  <c r="R160" i="52" s="1"/>
  <c r="AA229" i="1"/>
  <c r="R256" i="52" s="1"/>
  <c r="AA156" i="1"/>
  <c r="R182" i="52" s="1"/>
  <c r="AA88" i="1"/>
  <c r="R113" i="52" s="1"/>
  <c r="AA162" i="1"/>
  <c r="R188" i="52" s="1"/>
  <c r="K118" i="1"/>
  <c r="K114" i="42" s="1"/>
  <c r="K83" i="1"/>
  <c r="K79" i="42" s="1"/>
  <c r="I13" i="43"/>
  <c r="K13" s="1"/>
  <c r="I13" i="45"/>
  <c r="K13" s="1"/>
  <c r="I39" i="42"/>
  <c r="I67" i="43"/>
  <c r="K67" s="1"/>
  <c r="I64" i="45"/>
  <c r="K64" s="1"/>
  <c r="AA66" i="1"/>
  <c r="R91" i="52" s="1"/>
  <c r="AA106" i="1"/>
  <c r="R131" i="52" s="1"/>
  <c r="AA134" i="1"/>
  <c r="R159" i="52" s="1"/>
  <c r="AA120" i="1"/>
  <c r="R145" i="52" s="1"/>
  <c r="AA107" i="1"/>
  <c r="R132" i="52" s="1"/>
  <c r="AA102" i="1"/>
  <c r="R127" i="52" s="1"/>
  <c r="AA259" i="1"/>
  <c r="R286" i="52" s="1"/>
  <c r="AA141" i="1"/>
  <c r="R166" i="52" s="1"/>
  <c r="K263" i="1"/>
  <c r="K259" i="42" s="1"/>
  <c r="AA51" i="1"/>
  <c r="R76" i="52" s="1"/>
  <c r="K51" i="1"/>
  <c r="K47" i="42" s="1"/>
  <c r="K252" i="1"/>
  <c r="K248" i="42" s="1"/>
  <c r="AA252" i="1"/>
  <c r="R279" i="52" s="1"/>
  <c r="K194" i="1"/>
  <c r="K190" i="42" s="1"/>
  <c r="AA194" i="1"/>
  <c r="R220" i="52" s="1"/>
  <c r="AA309" i="1"/>
  <c r="R335" i="52" s="1"/>
  <c r="K309" i="1"/>
  <c r="K305" i="42" s="1"/>
  <c r="AA83" i="1"/>
  <c r="R108" i="52" s="1"/>
  <c r="K255" i="1"/>
  <c r="K251" i="42" s="1"/>
  <c r="AA255" i="1"/>
  <c r="R282" i="52" s="1"/>
  <c r="AA256" i="1"/>
  <c r="R283" i="52" s="1"/>
  <c r="K256" i="1"/>
  <c r="K252" i="42" s="1"/>
  <c r="AA82" i="1"/>
  <c r="R107" i="52" s="1"/>
  <c r="K82" i="1"/>
  <c r="K78" i="42" s="1"/>
  <c r="K106" i="1"/>
  <c r="K102" i="42" s="1"/>
  <c r="K50" i="1"/>
  <c r="K46" i="42" s="1"/>
  <c r="K135" i="1"/>
  <c r="K131" i="42" s="1"/>
  <c r="K229" i="1"/>
  <c r="K225" i="42" s="1"/>
  <c r="K156" i="1"/>
  <c r="K152" i="42" s="1"/>
  <c r="K102" i="1"/>
  <c r="K98" i="42" s="1"/>
  <c r="K259" i="1"/>
  <c r="K255" i="42" s="1"/>
  <c r="K126" i="1"/>
  <c r="K122" i="42" s="1"/>
  <c r="K134" i="1"/>
  <c r="K130" i="42" s="1"/>
  <c r="K120" i="1"/>
  <c r="K116" i="42" s="1"/>
  <c r="K107" i="1"/>
  <c r="K103" i="42" s="1"/>
  <c r="K88" i="1"/>
  <c r="K84" i="42" s="1"/>
  <c r="K162" i="1"/>
  <c r="K158" i="42" s="1"/>
  <c r="K141" i="1"/>
  <c r="K137" i="42" s="1"/>
  <c r="K58" i="1"/>
  <c r="K54" i="42" s="1"/>
  <c r="CQ407" i="1"/>
  <c r="AA400"/>
  <c r="AA396"/>
  <c r="AA394"/>
  <c r="AA392"/>
  <c r="AA390"/>
  <c r="AA388"/>
  <c r="AA386"/>
  <c r="AA382"/>
  <c r="AA379"/>
  <c r="AA377"/>
  <c r="AA375"/>
  <c r="AA371"/>
  <c r="AA369"/>
  <c r="AA367"/>
  <c r="AA365"/>
  <c r="AA363"/>
  <c r="AA361"/>
  <c r="AA359"/>
  <c r="AA356"/>
  <c r="AA354"/>
  <c r="AA351"/>
  <c r="AA349"/>
  <c r="AA347"/>
  <c r="AA345"/>
  <c r="AA343"/>
  <c r="AA341"/>
  <c r="AA339"/>
  <c r="AA337"/>
  <c r="AA335"/>
  <c r="AA333"/>
  <c r="AA332"/>
  <c r="AA329"/>
  <c r="AA327"/>
  <c r="AA325"/>
  <c r="AA323"/>
  <c r="AA321"/>
  <c r="AA319"/>
  <c r="AA317"/>
  <c r="AA315"/>
  <c r="AA313"/>
  <c r="AA19"/>
  <c r="AA21"/>
  <c r="AA24"/>
  <c r="AA26"/>
  <c r="AA28"/>
  <c r="AA29"/>
  <c r="AA31"/>
  <c r="AA33"/>
  <c r="AA35"/>
  <c r="AA39"/>
  <c r="AA47"/>
  <c r="R72" i="52" s="1"/>
  <c r="AA49" i="1"/>
  <c r="R74" i="52" s="1"/>
  <c r="AA53" i="1"/>
  <c r="R78" i="52" s="1"/>
  <c r="AA55" i="1"/>
  <c r="R80" i="52" s="1"/>
  <c r="AA60" i="1"/>
  <c r="R85" i="52" s="1"/>
  <c r="AA62" i="1"/>
  <c r="R87" i="52" s="1"/>
  <c r="AA64" i="1"/>
  <c r="R89" i="52" s="1"/>
  <c r="AA67" i="1"/>
  <c r="R92" i="52" s="1"/>
  <c r="AA69" i="1"/>
  <c r="R94" i="52" s="1"/>
  <c r="AA71" i="1"/>
  <c r="R96" i="52" s="1"/>
  <c r="AA73" i="1"/>
  <c r="R98" i="52" s="1"/>
  <c r="AA75" i="1"/>
  <c r="R100" i="52" s="1"/>
  <c r="AA78" i="1"/>
  <c r="R103" i="52" s="1"/>
  <c r="AA80" i="1"/>
  <c r="R105" i="52" s="1"/>
  <c r="AA84" i="1"/>
  <c r="R109" i="52" s="1"/>
  <c r="AA86" i="1"/>
  <c r="R111" i="52" s="1"/>
  <c r="AA91" i="1"/>
  <c r="R116" i="52" s="1"/>
  <c r="AA93" i="1"/>
  <c r="R118" i="52" s="1"/>
  <c r="AA95" i="1"/>
  <c r="R120" i="52" s="1"/>
  <c r="AA97" i="1"/>
  <c r="R122" i="52" s="1"/>
  <c r="AA99" i="1"/>
  <c r="R124" i="52" s="1"/>
  <c r="AA101" i="1"/>
  <c r="R126" i="52" s="1"/>
  <c r="AA105" i="1"/>
  <c r="R130" i="52" s="1"/>
  <c r="AA109" i="1"/>
  <c r="R134" i="52" s="1"/>
  <c r="AA113" i="1"/>
  <c r="R138" i="52" s="1"/>
  <c r="AA115" i="1"/>
  <c r="R140" i="52" s="1"/>
  <c r="AA117" i="1"/>
  <c r="R142" i="52" s="1"/>
  <c r="AA121" i="1"/>
  <c r="R146" i="52" s="1"/>
  <c r="AA124" i="1"/>
  <c r="R149" i="52" s="1"/>
  <c r="AA127" i="1"/>
  <c r="R152" i="52" s="1"/>
  <c r="AA131" i="1"/>
  <c r="R156" i="52" s="1"/>
  <c r="AA133" i="1"/>
  <c r="R158" i="52" s="1"/>
  <c r="AA137" i="1"/>
  <c r="R162" i="52" s="1"/>
  <c r="AA139" i="1"/>
  <c r="R164" i="52" s="1"/>
  <c r="AA143" i="1"/>
  <c r="R168" i="52" s="1"/>
  <c r="AA145" i="1"/>
  <c r="R170" i="52" s="1"/>
  <c r="AA148" i="1"/>
  <c r="R173" i="52" s="1"/>
  <c r="AA150" i="1"/>
  <c r="R175" i="52" s="1"/>
  <c r="AA152" i="1"/>
  <c r="R178" i="52" s="1"/>
  <c r="AA154" i="1"/>
  <c r="R180" i="52" s="1"/>
  <c r="AA157" i="1"/>
  <c r="R183" i="52" s="1"/>
  <c r="AA159" i="1"/>
  <c r="R185" i="52" s="1"/>
  <c r="AA163" i="1"/>
  <c r="R189" i="52" s="1"/>
  <c r="AA165" i="1"/>
  <c r="R191" i="52" s="1"/>
  <c r="AA167" i="1"/>
  <c r="R193" i="52" s="1"/>
  <c r="AA169" i="1"/>
  <c r="R195" i="52" s="1"/>
  <c r="AA171" i="1"/>
  <c r="R197" i="52" s="1"/>
  <c r="AA173" i="1"/>
  <c r="R199" i="52" s="1"/>
  <c r="AA175" i="1"/>
  <c r="R201" i="52" s="1"/>
  <c r="AA176" i="1"/>
  <c r="R202" i="52" s="1"/>
  <c r="AA179" i="1"/>
  <c r="R205" i="52" s="1"/>
  <c r="AA181" i="1"/>
  <c r="R207" i="52" s="1"/>
  <c r="AA184" i="1"/>
  <c r="R210" i="52" s="1"/>
  <c r="AA187" i="1"/>
  <c r="R213" i="52" s="1"/>
  <c r="AA189" i="1"/>
  <c r="R215" i="52" s="1"/>
  <c r="AA191" i="1"/>
  <c r="R217" i="52" s="1"/>
  <c r="AA193" i="1"/>
  <c r="R219" i="52" s="1"/>
  <c r="AA197" i="1"/>
  <c r="R223" i="52" s="1"/>
  <c r="AA200" i="1"/>
  <c r="R226" i="52" s="1"/>
  <c r="AA204" i="1"/>
  <c r="R230" i="52" s="1"/>
  <c r="AA206" i="1"/>
  <c r="R232" i="52" s="1"/>
  <c r="AA209" i="1"/>
  <c r="R235" i="52" s="1"/>
  <c r="AA212" i="1"/>
  <c r="R238" i="52" s="1"/>
  <c r="AA214" i="1"/>
  <c r="R240" i="52" s="1"/>
  <c r="AA221" i="1"/>
  <c r="R247" i="52" s="1"/>
  <c r="AA223" i="1"/>
  <c r="R249" i="52" s="1"/>
  <c r="AA228" i="1"/>
  <c r="R254" i="52" s="1"/>
  <c r="AA230" i="1"/>
  <c r="R257" i="52" s="1"/>
  <c r="AA233" i="1"/>
  <c r="R260" i="52" s="1"/>
  <c r="AA236" i="1"/>
  <c r="R263" i="52" s="1"/>
  <c r="AA238" i="1"/>
  <c r="R265" i="52" s="1"/>
  <c r="AA240" i="1"/>
  <c r="R267" i="52" s="1"/>
  <c r="AA242" i="1"/>
  <c r="R269" i="52" s="1"/>
  <c r="AA245" i="1"/>
  <c r="R272" i="52" s="1"/>
  <c r="AA248" i="1"/>
  <c r="R275" i="52" s="1"/>
  <c r="AA250" i="1"/>
  <c r="R277" i="52" s="1"/>
  <c r="AA258" i="1"/>
  <c r="R285" i="52" s="1"/>
  <c r="AA261" i="1"/>
  <c r="R288" i="52" s="1"/>
  <c r="AA262" i="1"/>
  <c r="R289" i="52" s="1"/>
  <c r="AA264" i="1"/>
  <c r="R291" i="52" s="1"/>
  <c r="AA265" i="1"/>
  <c r="R292" i="52" s="1"/>
  <c r="AA267" i="1"/>
  <c r="R294" i="52" s="1"/>
  <c r="AA273" i="1"/>
  <c r="R300" i="52" s="1"/>
  <c r="AA278" i="1"/>
  <c r="R305" i="52" s="1"/>
  <c r="AA281" i="1"/>
  <c r="R308" i="52" s="1"/>
  <c r="AA283" i="1"/>
  <c r="R310" i="52" s="1"/>
  <c r="AA286" i="1"/>
  <c r="R313" i="52" s="1"/>
  <c r="AA289" i="1"/>
  <c r="R316" i="52" s="1"/>
  <c r="AA291" i="1"/>
  <c r="R318" i="52" s="1"/>
  <c r="AA297" i="1"/>
  <c r="R324" i="52" s="1"/>
  <c r="AA301" i="1"/>
  <c r="R328" i="52" s="1"/>
  <c r="AA305" i="1"/>
  <c r="R331" i="52" s="1"/>
  <c r="K381" i="1"/>
  <c r="K377" i="42" s="1"/>
  <c r="AA373" i="1"/>
  <c r="AA37"/>
  <c r="AA284"/>
  <c r="R311" i="52" s="1"/>
  <c r="AA40" i="1"/>
  <c r="K304"/>
  <c r="K300" i="42" s="1"/>
  <c r="AA237" i="1"/>
  <c r="R264" i="52" s="1"/>
  <c r="AA401" i="1"/>
  <c r="AA399"/>
  <c r="AA395"/>
  <c r="AA270"/>
  <c r="R297" i="52" s="1"/>
  <c r="AA391" i="1"/>
  <c r="AA387"/>
  <c r="AA383"/>
  <c r="AA380"/>
  <c r="AA378"/>
  <c r="AA376"/>
  <c r="AA374"/>
  <c r="AA370"/>
  <c r="AA368"/>
  <c r="AA366"/>
  <c r="AA364"/>
  <c r="AA362"/>
  <c r="AA360"/>
  <c r="AA357"/>
  <c r="AA355"/>
  <c r="AA353"/>
  <c r="AA352"/>
  <c r="AA350"/>
  <c r="AA348"/>
  <c r="AA346"/>
  <c r="AA344"/>
  <c r="AA342"/>
  <c r="AA340"/>
  <c r="AA338"/>
  <c r="AA336"/>
  <c r="AA334"/>
  <c r="AA330"/>
  <c r="AA328"/>
  <c r="AA326"/>
  <c r="AA324"/>
  <c r="AA322"/>
  <c r="AA320"/>
  <c r="AA318"/>
  <c r="AA316"/>
  <c r="AA314"/>
  <c r="AA17"/>
  <c r="R33" i="52" s="1"/>
  <c r="AA20" i="1"/>
  <c r="AA23"/>
  <c r="AA27"/>
  <c r="AA30"/>
  <c r="AA34"/>
  <c r="AA36"/>
  <c r="AA46"/>
  <c r="R71" i="52" s="1"/>
  <c r="AA48" i="1"/>
  <c r="R73" i="52" s="1"/>
  <c r="AA52" i="1"/>
  <c r="R77" i="52" s="1"/>
  <c r="AA54" i="1"/>
  <c r="R79" i="52" s="1"/>
  <c r="AA56" i="1"/>
  <c r="R81" i="52" s="1"/>
  <c r="AA59" i="1"/>
  <c r="R84" i="52" s="1"/>
  <c r="AA61" i="1"/>
  <c r="R86" i="52" s="1"/>
  <c r="AA63" i="1"/>
  <c r="R88" i="52" s="1"/>
  <c r="AA65" i="1"/>
  <c r="R90" i="52" s="1"/>
  <c r="AA68" i="1"/>
  <c r="R93" i="52" s="1"/>
  <c r="AA70" i="1"/>
  <c r="R95" i="52" s="1"/>
  <c r="AA72" i="1"/>
  <c r="R97" i="52" s="1"/>
  <c r="AA74" i="1"/>
  <c r="R99" i="52" s="1"/>
  <c r="AA76" i="1"/>
  <c r="R101" i="52" s="1"/>
  <c r="AA77" i="1"/>
  <c r="R102" i="52" s="1"/>
  <c r="AA79" i="1"/>
  <c r="R104" i="52" s="1"/>
  <c r="AA81" i="1"/>
  <c r="R106" i="52" s="1"/>
  <c r="AA85" i="1"/>
  <c r="R110" i="52" s="1"/>
  <c r="AA87" i="1"/>
  <c r="R112" i="52" s="1"/>
  <c r="AA89" i="1"/>
  <c r="R114" i="52" s="1"/>
  <c r="AA92" i="1"/>
  <c r="R117" i="52" s="1"/>
  <c r="AA96" i="1"/>
  <c r="R121" i="52" s="1"/>
  <c r="AA98" i="1"/>
  <c r="R123" i="52" s="1"/>
  <c r="AA103" i="1"/>
  <c r="R128" i="52" s="1"/>
  <c r="AA104" i="1"/>
  <c r="R129" i="52" s="1"/>
  <c r="AA110" i="1"/>
  <c r="R135" i="52" s="1"/>
  <c r="AA111" i="1"/>
  <c r="R136" i="52" s="1"/>
  <c r="AA114" i="1"/>
  <c r="R139" i="52" s="1"/>
  <c r="AA116" i="1"/>
  <c r="R141" i="52" s="1"/>
  <c r="AA122" i="1"/>
  <c r="R147" i="52" s="1"/>
  <c r="AA123" i="1"/>
  <c r="R148" i="52" s="1"/>
  <c r="AA125" i="1"/>
  <c r="R150" i="52" s="1"/>
  <c r="AA130" i="1"/>
  <c r="R155" i="52" s="1"/>
  <c r="AA132" i="1"/>
  <c r="R157" i="52" s="1"/>
  <c r="AA136" i="1"/>
  <c r="R161" i="52" s="1"/>
  <c r="AA138" i="1"/>
  <c r="R163" i="52" s="1"/>
  <c r="AA140" i="1"/>
  <c r="R165" i="52" s="1"/>
  <c r="AA142" i="1"/>
  <c r="R167" i="52" s="1"/>
  <c r="AA144" i="1"/>
  <c r="R169" i="52" s="1"/>
  <c r="AA146" i="1"/>
  <c r="R171" i="52" s="1"/>
  <c r="AA147" i="1"/>
  <c r="R172" i="52" s="1"/>
  <c r="AA149" i="1"/>
  <c r="R174" i="52" s="1"/>
  <c r="R176"/>
  <c r="AA151" i="1"/>
  <c r="R177" i="52" s="1"/>
  <c r="AA153" i="1"/>
  <c r="R179" i="52" s="1"/>
  <c r="AA155" i="1"/>
  <c r="R181" i="52" s="1"/>
  <c r="AA160" i="1"/>
  <c r="R186" i="52" s="1"/>
  <c r="AA166" i="1"/>
  <c r="R192" i="52" s="1"/>
  <c r="AA168" i="1"/>
  <c r="R194" i="52" s="1"/>
  <c r="AA170" i="1"/>
  <c r="R196" i="52" s="1"/>
  <c r="AA172" i="1"/>
  <c r="R198" i="52" s="1"/>
  <c r="AA174" i="1"/>
  <c r="R200" i="52" s="1"/>
  <c r="AA177" i="1"/>
  <c r="R203" i="52" s="1"/>
  <c r="AA180" i="1"/>
  <c r="R206" i="52" s="1"/>
  <c r="AA182" i="1"/>
  <c r="R208" i="52" s="1"/>
  <c r="AA185" i="1"/>
  <c r="R211" i="52" s="1"/>
  <c r="AA188" i="1"/>
  <c r="R214" i="52" s="1"/>
  <c r="AA190" i="1"/>
  <c r="R216" i="52" s="1"/>
  <c r="AA192" i="1"/>
  <c r="R218" i="52" s="1"/>
  <c r="AA196" i="1"/>
  <c r="R222" i="52" s="1"/>
  <c r="AA198" i="1"/>
  <c r="R224" i="52" s="1"/>
  <c r="AA201" i="1"/>
  <c r="R227" i="52" s="1"/>
  <c r="AA205" i="1"/>
  <c r="R231" i="52" s="1"/>
  <c r="AA207" i="1"/>
  <c r="R233" i="52" s="1"/>
  <c r="AA211" i="1"/>
  <c r="R237" i="52" s="1"/>
  <c r="AA213" i="1"/>
  <c r="R239" i="52" s="1"/>
  <c r="AA217" i="1"/>
  <c r="R243" i="52" s="1"/>
  <c r="AA220" i="1"/>
  <c r="R246" i="52" s="1"/>
  <c r="AA222" i="1"/>
  <c r="R248" i="52" s="1"/>
  <c r="AA227" i="1"/>
  <c r="R253" i="52" s="1"/>
  <c r="R255"/>
  <c r="AA231" i="1"/>
  <c r="R258" i="52" s="1"/>
  <c r="AA234" i="1"/>
  <c r="R261" i="52" s="1"/>
  <c r="AA239" i="1"/>
  <c r="R266" i="52" s="1"/>
  <c r="AA241" i="1"/>
  <c r="R268" i="52" s="1"/>
  <c r="AA244" i="1"/>
  <c r="R271" i="52" s="1"/>
  <c r="AA246" i="1"/>
  <c r="R273" i="52" s="1"/>
  <c r="AA249" i="1"/>
  <c r="R276" i="52" s="1"/>
  <c r="AA253" i="1"/>
  <c r="R280" i="52" s="1"/>
  <c r="AA257" i="1"/>
  <c r="R284" i="52" s="1"/>
  <c r="AA266" i="1"/>
  <c r="R293" i="52" s="1"/>
  <c r="AA268" i="1"/>
  <c r="R295" i="52" s="1"/>
  <c r="AA276" i="1"/>
  <c r="R303" i="52" s="1"/>
  <c r="AA279" i="1"/>
  <c r="R306" i="52" s="1"/>
  <c r="AA282" i="1"/>
  <c r="R309" i="52" s="1"/>
  <c r="AA285" i="1"/>
  <c r="R312" i="52" s="1"/>
  <c r="AA288" i="1"/>
  <c r="R315" i="52" s="1"/>
  <c r="AA290" i="1"/>
  <c r="R317" i="52" s="1"/>
  <c r="AA296" i="1"/>
  <c r="R323" i="52" s="1"/>
  <c r="AA300" i="1"/>
  <c r="R327" i="52" s="1"/>
  <c r="AA302" i="1"/>
  <c r="R329" i="52" s="1"/>
  <c r="AA306" i="1"/>
  <c r="R332" i="52" s="1"/>
  <c r="AA22" i="1"/>
  <c r="K298"/>
  <c r="K294" i="42" s="1"/>
  <c r="AA299" i="1"/>
  <c r="R326" i="52" s="1"/>
  <c r="AA161" i="1"/>
  <c r="R187" i="52" s="1"/>
  <c r="K18" i="1"/>
  <c r="K14" i="42" s="1"/>
  <c r="AA18" i="1"/>
  <c r="K237"/>
  <c r="K233" i="42" s="1"/>
  <c r="K32" i="1"/>
  <c r="K28" i="42" s="1"/>
  <c r="AA32" i="1"/>
  <c r="K307"/>
  <c r="K303" i="42" s="1"/>
  <c r="AA307" i="1"/>
  <c r="R333" i="52" s="1"/>
  <c r="AA308" i="1"/>
  <c r="R334" i="52" s="1"/>
  <c r="K308" i="1"/>
  <c r="K304" i="42" s="1"/>
  <c r="AA235" i="1"/>
  <c r="R262" i="52" s="1"/>
  <c r="K235" i="1"/>
  <c r="K231" i="42" s="1"/>
  <c r="K299" i="1"/>
  <c r="K295" i="42" s="1"/>
  <c r="K284" i="1"/>
  <c r="K280" i="42" s="1"/>
  <c r="AA298" i="1"/>
  <c r="R325" i="52" s="1"/>
  <c r="AA304" i="1"/>
  <c r="R330" i="52" s="1"/>
  <c r="K40" i="1"/>
  <c r="K36" i="42" s="1"/>
  <c r="K208" i="1"/>
  <c r="K204" i="42" s="1"/>
  <c r="AA208" i="1"/>
  <c r="R234" i="52" s="1"/>
  <c r="AA274" i="1"/>
  <c r="R301" i="52" s="1"/>
  <c r="K373" i="1"/>
  <c r="K369" i="42" s="1"/>
  <c r="AA164" i="1"/>
  <c r="R190" i="52" s="1"/>
  <c r="K398" i="1"/>
  <c r="K394" i="42" s="1"/>
  <c r="AA398" i="1"/>
  <c r="R437" i="52" s="1"/>
  <c r="K37" i="1"/>
  <c r="K33" i="42" s="1"/>
  <c r="K164" i="1"/>
  <c r="K160" i="42" s="1"/>
  <c r="K195" i="1"/>
  <c r="K191" i="42" s="1"/>
  <c r="AA195" i="1"/>
  <c r="R221" i="52" s="1"/>
  <c r="K22" i="1"/>
  <c r="K18" i="42" s="1"/>
  <c r="K260" i="1"/>
  <c r="K256" i="42" s="1"/>
  <c r="AA260" i="1"/>
  <c r="R287" i="52" s="1"/>
  <c r="AA381" i="1"/>
  <c r="CP13"/>
  <c r="CP15" s="1"/>
  <c r="K275"/>
  <c r="K271" i="42" s="1"/>
  <c r="AA275" i="1"/>
  <c r="R302" i="52" s="1"/>
  <c r="K402" i="1"/>
  <c r="K398" i="42" s="1"/>
  <c r="AA402" i="1"/>
  <c r="K403"/>
  <c r="K399" i="42" s="1"/>
  <c r="AA403" i="1"/>
  <c r="K13"/>
  <c r="K95"/>
  <c r="K91" i="42" s="1"/>
  <c r="K96" i="1"/>
  <c r="K92" i="42" s="1"/>
  <c r="K97" i="1"/>
  <c r="K93" i="42" s="1"/>
  <c r="K98" i="1"/>
  <c r="K94" i="42" s="1"/>
  <c r="K99" i="1"/>
  <c r="K95" i="42" s="1"/>
  <c r="K101" i="1"/>
  <c r="K97" i="42" s="1"/>
  <c r="K103" i="1"/>
  <c r="K99" i="42" s="1"/>
  <c r="K104" i="1"/>
  <c r="K100" i="42" s="1"/>
  <c r="K105" i="1"/>
  <c r="K101" i="42" s="1"/>
  <c r="K109" i="1"/>
  <c r="K105" i="42" s="1"/>
  <c r="K110" i="1"/>
  <c r="K106" i="42" s="1"/>
  <c r="K111" i="1"/>
  <c r="K107" i="42" s="1"/>
  <c r="K113" i="1"/>
  <c r="K109" i="42" s="1"/>
  <c r="K114" i="1"/>
  <c r="K110" i="42" s="1"/>
  <c r="K115" i="1"/>
  <c r="K111" i="42" s="1"/>
  <c r="K116" i="1"/>
  <c r="K112" i="42" s="1"/>
  <c r="K117" i="1"/>
  <c r="K113" i="42" s="1"/>
  <c r="K121" i="1"/>
  <c r="K117" i="42" s="1"/>
  <c r="K122" i="1"/>
  <c r="K118" i="42" s="1"/>
  <c r="K123" i="1"/>
  <c r="K119" i="42" s="1"/>
  <c r="K124" i="1"/>
  <c r="K120" i="42" s="1"/>
  <c r="K125" i="1"/>
  <c r="K121" i="42" s="1"/>
  <c r="K127" i="1"/>
  <c r="K123" i="42" s="1"/>
  <c r="K130" i="1"/>
  <c r="K126" i="42" s="1"/>
  <c r="K131" i="1"/>
  <c r="K127" i="42" s="1"/>
  <c r="K132" i="1"/>
  <c r="K128" i="42" s="1"/>
  <c r="K133" i="1"/>
  <c r="K129" i="42" s="1"/>
  <c r="K136" i="1"/>
  <c r="K132" i="42" s="1"/>
  <c r="K137" i="1"/>
  <c r="K133" i="42" s="1"/>
  <c r="K138" i="1"/>
  <c r="K134" i="42" s="1"/>
  <c r="K139" i="1"/>
  <c r="K135" i="42" s="1"/>
  <c r="K140" i="1"/>
  <c r="K136" i="42" s="1"/>
  <c r="K142" i="1"/>
  <c r="K138" i="42" s="1"/>
  <c r="K143" i="1"/>
  <c r="K139" i="42" s="1"/>
  <c r="K144" i="1"/>
  <c r="K140" i="42" s="1"/>
  <c r="K145" i="1"/>
  <c r="K141" i="42" s="1"/>
  <c r="K146" i="1"/>
  <c r="K142" i="42" s="1"/>
  <c r="K147" i="1"/>
  <c r="K143" i="42" s="1"/>
  <c r="K148" i="1"/>
  <c r="K144" i="42" s="1"/>
  <c r="K149" i="1"/>
  <c r="K145" i="42" s="1"/>
  <c r="K150" i="1"/>
  <c r="K146" i="42" s="1"/>
  <c r="K151" i="1"/>
  <c r="K147" i="42" s="1"/>
  <c r="K152" i="1"/>
  <c r="K148" i="42" s="1"/>
  <c r="K153" i="1"/>
  <c r="K149" i="42" s="1"/>
  <c r="K154" i="1"/>
  <c r="K150" i="42" s="1"/>
  <c r="K155" i="1"/>
  <c r="K151" i="42" s="1"/>
  <c r="K157" i="1"/>
  <c r="K153" i="42" s="1"/>
  <c r="K159" i="1"/>
  <c r="K155" i="42" s="1"/>
  <c r="K160" i="1"/>
  <c r="K156" i="42" s="1"/>
  <c r="K163" i="1"/>
  <c r="K159" i="42" s="1"/>
  <c r="K161" i="1"/>
  <c r="K157" i="42" s="1"/>
  <c r="K165" i="1"/>
  <c r="K161" i="42" s="1"/>
  <c r="K166" i="1"/>
  <c r="K162" i="42" s="1"/>
  <c r="K167" i="1"/>
  <c r="K163" i="42" s="1"/>
  <c r="K168" i="1"/>
  <c r="K164" i="42" s="1"/>
  <c r="K169" i="1"/>
  <c r="K165" i="42" s="1"/>
  <c r="K170" i="1"/>
  <c r="K166" i="42" s="1"/>
  <c r="K171" i="1"/>
  <c r="K167" i="42" s="1"/>
  <c r="K172" i="1"/>
  <c r="K168" i="42" s="1"/>
  <c r="K173" i="1"/>
  <c r="K169" i="42" s="1"/>
  <c r="K174" i="1"/>
  <c r="K170" i="42" s="1"/>
  <c r="K175" i="1"/>
  <c r="K171" i="42" s="1"/>
  <c r="K176" i="1"/>
  <c r="K172" i="42" s="1"/>
  <c r="K177" i="1"/>
  <c r="K173" i="42" s="1"/>
  <c r="K179" i="1"/>
  <c r="K175" i="42" s="1"/>
  <c r="K180" i="1"/>
  <c r="K176" i="42" s="1"/>
  <c r="K181" i="1"/>
  <c r="K177" i="42" s="1"/>
  <c r="K182" i="1"/>
  <c r="K178" i="42" s="1"/>
  <c r="K184" i="1"/>
  <c r="K180" i="42" s="1"/>
  <c r="K185" i="1"/>
  <c r="K181" i="42" s="1"/>
  <c r="K187" i="1"/>
  <c r="K183" i="42" s="1"/>
  <c r="K188" i="1"/>
  <c r="K184" i="42" s="1"/>
  <c r="K189" i="1"/>
  <c r="K185" i="42" s="1"/>
  <c r="K190" i="1"/>
  <c r="K186" i="42" s="1"/>
  <c r="K191" i="1"/>
  <c r="K187" i="42" s="1"/>
  <c r="K192" i="1"/>
  <c r="K188" i="42" s="1"/>
  <c r="K193" i="1"/>
  <c r="K189" i="42" s="1"/>
  <c r="K196" i="1"/>
  <c r="K192" i="42" s="1"/>
  <c r="K197" i="1"/>
  <c r="K193" i="42" s="1"/>
  <c r="K198" i="1"/>
  <c r="K194" i="42" s="1"/>
  <c r="K200" i="1"/>
  <c r="K196" i="42" s="1"/>
  <c r="K201" i="1"/>
  <c r="K197" i="42" s="1"/>
  <c r="K204" i="1"/>
  <c r="K200" i="42" s="1"/>
  <c r="K205" i="1"/>
  <c r="K201" i="42" s="1"/>
  <c r="K206" i="1"/>
  <c r="K202" i="42" s="1"/>
  <c r="K207" i="1"/>
  <c r="K203" i="42" s="1"/>
  <c r="K209" i="1"/>
  <c r="K205" i="42" s="1"/>
  <c r="K211" i="1"/>
  <c r="K207" i="42" s="1"/>
  <c r="K212" i="1"/>
  <c r="K208" i="42" s="1"/>
  <c r="K213" i="1"/>
  <c r="K209" i="42" s="1"/>
  <c r="K214" i="1"/>
  <c r="K210" i="42" s="1"/>
  <c r="K217" i="1"/>
  <c r="K213" i="42" s="1"/>
  <c r="K220" i="1"/>
  <c r="K216" i="42" s="1"/>
  <c r="K221" i="1"/>
  <c r="K217" i="42" s="1"/>
  <c r="K222" i="1"/>
  <c r="K218" i="42" s="1"/>
  <c r="K223" i="1"/>
  <c r="K219" i="42" s="1"/>
  <c r="K227" i="1"/>
  <c r="K223" i="42" s="1"/>
  <c r="K228" i="1"/>
  <c r="K224" i="42" s="1"/>
  <c r="K230" i="1"/>
  <c r="K226" i="42" s="1"/>
  <c r="K231" i="1"/>
  <c r="K227" i="42" s="1"/>
  <c r="K233" i="1"/>
  <c r="K229" i="42" s="1"/>
  <c r="K234" i="1"/>
  <c r="K230" i="42" s="1"/>
  <c r="K236" i="1"/>
  <c r="K232" i="42" s="1"/>
  <c r="K238" i="1"/>
  <c r="K234" i="42" s="1"/>
  <c r="K239" i="1"/>
  <c r="K235" i="42" s="1"/>
  <c r="K240" i="1"/>
  <c r="K236" i="42" s="1"/>
  <c r="K241" i="1"/>
  <c r="K237" i="42" s="1"/>
  <c r="K242" i="1"/>
  <c r="K238" i="42" s="1"/>
  <c r="K244" i="1"/>
  <c r="K240" i="42" s="1"/>
  <c r="K245" i="1"/>
  <c r="K241" i="42" s="1"/>
  <c r="K246" i="1"/>
  <c r="K242" i="42" s="1"/>
  <c r="K248" i="1"/>
  <c r="K244" i="42" s="1"/>
  <c r="K249" i="1"/>
  <c r="K245" i="42" s="1"/>
  <c r="K250" i="1"/>
  <c r="K246" i="42" s="1"/>
  <c r="K253" i="1"/>
  <c r="K249" i="42" s="1"/>
  <c r="K257" i="1"/>
  <c r="K253" i="42" s="1"/>
  <c r="K258" i="1"/>
  <c r="K254" i="42" s="1"/>
  <c r="K261" i="1"/>
  <c r="K257" i="42" s="1"/>
  <c r="K262" i="1"/>
  <c r="K258" i="42" s="1"/>
  <c r="K264" i="1"/>
  <c r="K260" i="42" s="1"/>
  <c r="K265" i="1"/>
  <c r="K261" i="42" s="1"/>
  <c r="K266" i="1"/>
  <c r="K262" i="42" s="1"/>
  <c r="K267" i="1"/>
  <c r="K263" i="42" s="1"/>
  <c r="K268" i="1"/>
  <c r="K264" i="42" s="1"/>
  <c r="K273" i="1"/>
  <c r="K269" i="42" s="1"/>
  <c r="K274" i="1"/>
  <c r="K270" i="42" s="1"/>
  <c r="K276" i="1"/>
  <c r="K272" i="42" s="1"/>
  <c r="K278" i="1"/>
  <c r="K274" i="42" s="1"/>
  <c r="K279" i="1"/>
  <c r="K275" i="42" s="1"/>
  <c r="K281" i="1"/>
  <c r="K277" i="42" s="1"/>
  <c r="K282" i="1"/>
  <c r="K278" i="42" s="1"/>
  <c r="K283" i="1"/>
  <c r="K279" i="42" s="1"/>
  <c r="K285" i="1"/>
  <c r="K281" i="42" s="1"/>
  <c r="K286" i="1"/>
  <c r="K282" i="42" s="1"/>
  <c r="K288" i="1"/>
  <c r="K284" i="42" s="1"/>
  <c r="K289" i="1"/>
  <c r="K285" i="42" s="1"/>
  <c r="K290" i="1"/>
  <c r="K286" i="42" s="1"/>
  <c r="K291" i="1"/>
  <c r="K287" i="42" s="1"/>
  <c r="K296" i="1"/>
  <c r="K292" i="42" s="1"/>
  <c r="K297" i="1"/>
  <c r="K293" i="42" s="1"/>
  <c r="K300" i="1"/>
  <c r="K296" i="42" s="1"/>
  <c r="K301" i="1"/>
  <c r="K297" i="42" s="1"/>
  <c r="K302" i="1"/>
  <c r="K298" i="42" s="1"/>
  <c r="K305" i="1"/>
  <c r="K301" i="42" s="1"/>
  <c r="K306" i="1"/>
  <c r="K302" i="42" s="1"/>
  <c r="K46" i="1"/>
  <c r="K42" i="42" s="1"/>
  <c r="K47" i="1"/>
  <c r="K43" i="42" s="1"/>
  <c r="K48" i="1"/>
  <c r="K44" i="42" s="1"/>
  <c r="K49" i="1"/>
  <c r="K45" i="42" s="1"/>
  <c r="K52" i="1"/>
  <c r="K48" i="42" s="1"/>
  <c r="K53" i="1"/>
  <c r="K49" i="42" s="1"/>
  <c r="K54" i="1"/>
  <c r="K50" i="42" s="1"/>
  <c r="K55" i="1"/>
  <c r="K51" i="42" s="1"/>
  <c r="K56" i="1"/>
  <c r="K52" i="42" s="1"/>
  <c r="K59" i="1"/>
  <c r="K55" i="42" s="1"/>
  <c r="K60" i="1"/>
  <c r="K56" i="42" s="1"/>
  <c r="K61" i="1"/>
  <c r="K57" i="42" s="1"/>
  <c r="K62" i="1"/>
  <c r="K58" i="42" s="1"/>
  <c r="K63" i="1"/>
  <c r="K59" i="42" s="1"/>
  <c r="K64" i="1"/>
  <c r="K60" i="42" s="1"/>
  <c r="K65" i="1"/>
  <c r="K61" i="42" s="1"/>
  <c r="K67" i="1"/>
  <c r="K63" i="42" s="1"/>
  <c r="K68" i="1"/>
  <c r="K64" i="42" s="1"/>
  <c r="K69" i="1"/>
  <c r="K65" i="42" s="1"/>
  <c r="K70" i="1"/>
  <c r="K66" i="42" s="1"/>
  <c r="K71" i="1"/>
  <c r="K67" i="42" s="1"/>
  <c r="K72" i="1"/>
  <c r="K68" i="42" s="1"/>
  <c r="K73" i="1"/>
  <c r="K69" i="42" s="1"/>
  <c r="K74" i="1"/>
  <c r="K70" i="42" s="1"/>
  <c r="K75" i="1"/>
  <c r="K71" i="42" s="1"/>
  <c r="K76" i="1"/>
  <c r="K72" i="42" s="1"/>
  <c r="K77" i="1"/>
  <c r="K73" i="42" s="1"/>
  <c r="K78" i="1"/>
  <c r="K74" i="42" s="1"/>
  <c r="K79" i="1"/>
  <c r="K75" i="42" s="1"/>
  <c r="K80" i="1"/>
  <c r="K76" i="42" s="1"/>
  <c r="K81" i="1"/>
  <c r="K77" i="42" s="1"/>
  <c r="K84" i="1"/>
  <c r="K80" i="42" s="1"/>
  <c r="K85" i="1"/>
  <c r="K81" i="42" s="1"/>
  <c r="K86" i="1"/>
  <c r="K82" i="42" s="1"/>
  <c r="K87" i="1"/>
  <c r="K83" i="42" s="1"/>
  <c r="K89" i="1"/>
  <c r="K85" i="42" s="1"/>
  <c r="K91" i="1"/>
  <c r="K87" i="42" s="1"/>
  <c r="K92" i="1"/>
  <c r="K88" i="42" s="1"/>
  <c r="K93" i="1"/>
  <c r="K89" i="42" s="1"/>
  <c r="K17" i="1"/>
  <c r="K19"/>
  <c r="K15" i="42" s="1"/>
  <c r="K20" i="1"/>
  <c r="K16" i="42" s="1"/>
  <c r="K21" i="1"/>
  <c r="K17" i="42" s="1"/>
  <c r="K23" i="1"/>
  <c r="K19" i="42" s="1"/>
  <c r="K24" i="1"/>
  <c r="K20" i="42" s="1"/>
  <c r="K26" i="1"/>
  <c r="K22" i="42" s="1"/>
  <c r="K27" i="1"/>
  <c r="K23" i="42" s="1"/>
  <c r="K28" i="1"/>
  <c r="K24" i="42" s="1"/>
  <c r="K29" i="1"/>
  <c r="K25" i="42" s="1"/>
  <c r="K30" i="1"/>
  <c r="K26" i="42" s="1"/>
  <c r="K31" i="1"/>
  <c r="K27" i="42" s="1"/>
  <c r="K33" i="1"/>
  <c r="K29" i="42" s="1"/>
  <c r="K34" i="1"/>
  <c r="K30" i="42" s="1"/>
  <c r="K35" i="1"/>
  <c r="K31" i="42" s="1"/>
  <c r="K36" i="1"/>
  <c r="K32" i="42" s="1"/>
  <c r="K39" i="1"/>
  <c r="K35" i="42" s="1"/>
  <c r="K390" i="1"/>
  <c r="K386" i="42" s="1"/>
  <c r="K371" i="1"/>
  <c r="K367" i="42" s="1"/>
  <c r="K354" i="1"/>
  <c r="K350" i="42" s="1"/>
  <c r="K339" i="1"/>
  <c r="K335" i="42" s="1"/>
  <c r="K323" i="1"/>
  <c r="K319" i="42" s="1"/>
  <c r="K386" i="1"/>
  <c r="K382" i="42" s="1"/>
  <c r="K367" i="1"/>
  <c r="K363" i="42" s="1"/>
  <c r="K351" i="1"/>
  <c r="K347" i="42" s="1"/>
  <c r="K335" i="1"/>
  <c r="K331" i="42" s="1"/>
  <c r="K319" i="1"/>
  <c r="K315" i="42" s="1"/>
  <c r="K395" i="1"/>
  <c r="K391" i="42" s="1"/>
  <c r="K388" i="1"/>
  <c r="K384" i="42" s="1"/>
  <c r="K379" i="1"/>
  <c r="K375" i="42" s="1"/>
  <c r="K369" i="1"/>
  <c r="K365" i="42" s="1"/>
  <c r="K361" i="1"/>
  <c r="K357" i="42" s="1"/>
  <c r="K345" i="1"/>
  <c r="K341" i="42" s="1"/>
  <c r="K337" i="1"/>
  <c r="K333" i="42" s="1"/>
  <c r="K329" i="1"/>
  <c r="K325" i="42" s="1"/>
  <c r="K321" i="1"/>
  <c r="K317" i="42" s="1"/>
  <c r="K314" i="1"/>
  <c r="K310" i="42" s="1"/>
  <c r="K400" i="1"/>
  <c r="K396" i="42" s="1"/>
  <c r="K394" i="1"/>
  <c r="K390" i="42" s="1"/>
  <c r="K391" i="1"/>
  <c r="K387" i="42" s="1"/>
  <c r="K387" i="1"/>
  <c r="K383" i="42" s="1"/>
  <c r="K383" i="1"/>
  <c r="K379" i="42" s="1"/>
  <c r="K378" i="1"/>
  <c r="K374" i="42" s="1"/>
  <c r="K374" i="1"/>
  <c r="K370" i="42" s="1"/>
  <c r="K368" i="1"/>
  <c r="K364" i="42" s="1"/>
  <c r="K364" i="1"/>
  <c r="K360" i="42" s="1"/>
  <c r="K360" i="1"/>
  <c r="K356" i="42" s="1"/>
  <c r="K355" i="1"/>
  <c r="K351" i="42" s="1"/>
  <c r="K352" i="1"/>
  <c r="K348" i="42" s="1"/>
  <c r="K348" i="1"/>
  <c r="K344" i="42" s="1"/>
  <c r="K344" i="1"/>
  <c r="K340" i="42" s="1"/>
  <c r="K340" i="1"/>
  <c r="K336" i="42" s="1"/>
  <c r="K336" i="1"/>
  <c r="K332" i="42" s="1"/>
  <c r="K328" i="1"/>
  <c r="K324" i="42" s="1"/>
  <c r="K324" i="1"/>
  <c r="K320" i="42" s="1"/>
  <c r="K320" i="1"/>
  <c r="K316" i="42" s="1"/>
  <c r="K317" i="1"/>
  <c r="K313" i="42" s="1"/>
  <c r="K313" i="1"/>
  <c r="K309" i="42" s="1"/>
  <c r="K399" i="1"/>
  <c r="K395" i="42" s="1"/>
  <c r="K382" i="1"/>
  <c r="K378" i="42" s="1"/>
  <c r="K363" i="1"/>
  <c r="K359" i="42" s="1"/>
  <c r="K347" i="1"/>
  <c r="K343" i="42" s="1"/>
  <c r="K332" i="1"/>
  <c r="K328" i="42" s="1"/>
  <c r="K316" i="1"/>
  <c r="K312" i="42" s="1"/>
  <c r="K270" i="1"/>
  <c r="K266" i="42" s="1"/>
  <c r="K377" i="1"/>
  <c r="K373" i="42" s="1"/>
  <c r="K359" i="1"/>
  <c r="K355" i="42" s="1"/>
  <c r="K343" i="1"/>
  <c r="K339" i="42" s="1"/>
  <c r="K327" i="1"/>
  <c r="K323" i="42" s="1"/>
  <c r="K401" i="1"/>
  <c r="K397" i="42" s="1"/>
  <c r="K384" i="1"/>
  <c r="K380" i="42" s="1"/>
  <c r="K375" i="1"/>
  <c r="K371" i="42" s="1"/>
  <c r="K365" i="1"/>
  <c r="K361" i="42" s="1"/>
  <c r="K356" i="1"/>
  <c r="K352" i="42" s="1"/>
  <c r="K349" i="1"/>
  <c r="K345" i="42" s="1"/>
  <c r="K341" i="1"/>
  <c r="K337" i="42" s="1"/>
  <c r="K333" i="1"/>
  <c r="K329" i="42" s="1"/>
  <c r="K325" i="1"/>
  <c r="K321" i="42" s="1"/>
  <c r="K396" i="1"/>
  <c r="K392" i="42" s="1"/>
  <c r="K392" i="1"/>
  <c r="K388" i="42" s="1"/>
  <c r="K380" i="1"/>
  <c r="K376" i="42" s="1"/>
  <c r="K376" i="1"/>
  <c r="K372" i="42" s="1"/>
  <c r="K370" i="1"/>
  <c r="K366" i="42" s="1"/>
  <c r="K366" i="1"/>
  <c r="K362" i="42" s="1"/>
  <c r="K362" i="1"/>
  <c r="K358" i="42" s="1"/>
  <c r="K357" i="1"/>
  <c r="K353" i="42" s="1"/>
  <c r="K353" i="1"/>
  <c r="K349" i="42" s="1"/>
  <c r="K350" i="1"/>
  <c r="K346" i="42" s="1"/>
  <c r="K346" i="1"/>
  <c r="K342" i="42" s="1"/>
  <c r="K342" i="1"/>
  <c r="K338" i="42" s="1"/>
  <c r="K338" i="1"/>
  <c r="K334" i="42" s="1"/>
  <c r="K334" i="1"/>
  <c r="K330" i="42" s="1"/>
  <c r="K330" i="1"/>
  <c r="K326" i="42" s="1"/>
  <c r="K326" i="1"/>
  <c r="K322" i="42" s="1"/>
  <c r="K322" i="1"/>
  <c r="K318" i="42" s="1"/>
  <c r="K318" i="1"/>
  <c r="K314" i="42" s="1"/>
  <c r="K315" i="1"/>
  <c r="K311" i="42" s="1"/>
  <c r="T312" i="1"/>
  <c r="BS8"/>
  <c r="AT404"/>
  <c r="K13" i="42" l="1"/>
  <c r="K41" i="1"/>
  <c r="R443" i="52"/>
  <c r="R442"/>
  <c r="R34"/>
  <c r="R51"/>
  <c r="R44"/>
  <c r="R36"/>
  <c r="R354"/>
  <c r="R358"/>
  <c r="R362"/>
  <c r="R366"/>
  <c r="R370"/>
  <c r="R376"/>
  <c r="R380"/>
  <c r="R384"/>
  <c r="R388"/>
  <c r="R392"/>
  <c r="R395"/>
  <c r="R400"/>
  <c r="R404"/>
  <c r="R408"/>
  <c r="R414"/>
  <c r="R418"/>
  <c r="R423"/>
  <c r="R430"/>
  <c r="R434"/>
  <c r="R441"/>
  <c r="R413"/>
  <c r="R56"/>
  <c r="R50"/>
  <c r="R46"/>
  <c r="R43"/>
  <c r="R37"/>
  <c r="R353"/>
  <c r="R357"/>
  <c r="R361"/>
  <c r="R365"/>
  <c r="R369"/>
  <c r="R373"/>
  <c r="R377"/>
  <c r="R381"/>
  <c r="R385"/>
  <c r="R389"/>
  <c r="R394"/>
  <c r="R399"/>
  <c r="R403"/>
  <c r="R407"/>
  <c r="R411"/>
  <c r="R417"/>
  <c r="R422"/>
  <c r="R428"/>
  <c r="R431"/>
  <c r="R435"/>
  <c r="R398"/>
  <c r="P352"/>
  <c r="P444" s="1"/>
  <c r="R440"/>
  <c r="R421"/>
  <c r="R49"/>
  <c r="R38"/>
  <c r="R53"/>
  <c r="R47"/>
  <c r="R39"/>
  <c r="R356"/>
  <c r="R360"/>
  <c r="R364"/>
  <c r="R368"/>
  <c r="R374"/>
  <c r="R378"/>
  <c r="R382"/>
  <c r="R386"/>
  <c r="R390"/>
  <c r="R393"/>
  <c r="R397"/>
  <c r="R402"/>
  <c r="R406"/>
  <c r="R410"/>
  <c r="R416"/>
  <c r="R420"/>
  <c r="R427"/>
  <c r="R438"/>
  <c r="R57"/>
  <c r="R54"/>
  <c r="R52"/>
  <c r="R48"/>
  <c r="R45"/>
  <c r="R40"/>
  <c r="R35"/>
  <c r="R355"/>
  <c r="R359"/>
  <c r="R363"/>
  <c r="R367"/>
  <c r="R372"/>
  <c r="R375"/>
  <c r="R379"/>
  <c r="R383"/>
  <c r="R387"/>
  <c r="R391"/>
  <c r="R396"/>
  <c r="R401"/>
  <c r="R405"/>
  <c r="R409"/>
  <c r="R415"/>
  <c r="R419"/>
  <c r="R426"/>
  <c r="R429"/>
  <c r="R433"/>
  <c r="R439"/>
  <c r="R424"/>
  <c r="AD141" i="1"/>
  <c r="U166" i="52" s="1"/>
  <c r="AD102" i="1"/>
  <c r="U127" i="52" s="1"/>
  <c r="AD120" i="1"/>
  <c r="U145" i="52" s="1"/>
  <c r="AD106" i="1"/>
  <c r="U131" i="52" s="1"/>
  <c r="AD88" i="1"/>
  <c r="U113" i="52" s="1"/>
  <c r="AD229" i="1"/>
  <c r="U256" i="52" s="1"/>
  <c r="AD50" i="1"/>
  <c r="U75" i="52" s="1"/>
  <c r="AD58" i="1"/>
  <c r="U83" i="52" s="1"/>
  <c r="AF128" i="1"/>
  <c r="P149" i="45" s="1"/>
  <c r="AF118" i="1"/>
  <c r="P139" i="45" s="1"/>
  <c r="AF398" i="1"/>
  <c r="P428" i="45" s="1"/>
  <c r="AF17" i="1"/>
  <c r="P30" i="45" s="1"/>
  <c r="AD259" i="1"/>
  <c r="U286" i="52" s="1"/>
  <c r="AD134" i="1"/>
  <c r="U159" i="52" s="1"/>
  <c r="AF66" i="1"/>
  <c r="P87" i="45" s="1"/>
  <c r="AD162" i="1"/>
  <c r="U188" i="52" s="1"/>
  <c r="AD126" i="1"/>
  <c r="U151" i="52" s="1"/>
  <c r="AF199" i="1"/>
  <c r="P220" i="45" s="1"/>
  <c r="AF287" i="1"/>
  <c r="P308" i="45" s="1"/>
  <c r="AF263" i="1"/>
  <c r="P284" i="45" s="1"/>
  <c r="AF158" i="1"/>
  <c r="P179" i="45" s="1"/>
  <c r="AF294" i="1"/>
  <c r="P315" i="45" s="1"/>
  <c r="AF94" i="1"/>
  <c r="P115" i="45" s="1"/>
  <c r="AF210" i="1"/>
  <c r="P231" i="45" s="1"/>
  <c r="AG232" i="1"/>
  <c r="Q256" i="43" s="1"/>
  <c r="AF358" i="1"/>
  <c r="P388" i="45" s="1"/>
  <c r="AG202" i="1"/>
  <c r="Q226" i="43" s="1"/>
  <c r="AF129" i="1"/>
  <c r="P150" i="45" s="1"/>
  <c r="AF226" i="1"/>
  <c r="P247" i="45" s="1"/>
  <c r="AF183" i="1"/>
  <c r="P204" i="45" s="1"/>
  <c r="AD263" i="1"/>
  <c r="U290" i="52" s="1"/>
  <c r="AD118" i="1"/>
  <c r="U143" i="52" s="1"/>
  <c r="AF293" i="1"/>
  <c r="P314" i="45" s="1"/>
  <c r="AF178" i="1"/>
  <c r="P199" i="45" s="1"/>
  <c r="AF271" i="1"/>
  <c r="P292" i="45" s="1"/>
  <c r="AD66" i="1"/>
  <c r="U91" i="52" s="1"/>
  <c r="AF83" i="1"/>
  <c r="P104" i="45" s="1"/>
  <c r="AF252" i="1"/>
  <c r="P273" i="45" s="1"/>
  <c r="AF51" i="1"/>
  <c r="P72" i="45" s="1"/>
  <c r="AF194" i="1"/>
  <c r="P215" i="45" s="1"/>
  <c r="AF309" i="1"/>
  <c r="P330" i="45" s="1"/>
  <c r="AF256" i="1"/>
  <c r="P277" i="45" s="1"/>
  <c r="AF255" i="1"/>
  <c r="P276" i="45" s="1"/>
  <c r="AF82" i="1"/>
  <c r="P103" i="45" s="1"/>
  <c r="AD82" i="1"/>
  <c r="U107" i="52" s="1"/>
  <c r="AF141" i="1"/>
  <c r="P162" i="45" s="1"/>
  <c r="AF120" i="1"/>
  <c r="P141" i="45" s="1"/>
  <c r="AF126" i="1"/>
  <c r="P147" i="45" s="1"/>
  <c r="AF259" i="1"/>
  <c r="P280" i="45" s="1"/>
  <c r="AF102" i="1"/>
  <c r="P123" i="45" s="1"/>
  <c r="AF229" i="1"/>
  <c r="P250" i="45" s="1"/>
  <c r="AF106" i="1"/>
  <c r="P127" i="45" s="1"/>
  <c r="AE106" i="1"/>
  <c r="AU106" s="1"/>
  <c r="Y131" i="52" s="1"/>
  <c r="AF162" i="1"/>
  <c r="P183" i="45" s="1"/>
  <c r="AF88" i="1"/>
  <c r="P109" i="45" s="1"/>
  <c r="AF107" i="1"/>
  <c r="P128" i="45" s="1"/>
  <c r="AF134" i="1"/>
  <c r="P155" i="45" s="1"/>
  <c r="AF156" i="1"/>
  <c r="P177" i="45" s="1"/>
  <c r="AF135" i="1"/>
  <c r="P156" i="45" s="1"/>
  <c r="AF50" i="1"/>
  <c r="P71" i="45" s="1"/>
  <c r="AF58" i="1"/>
  <c r="P79" i="45" s="1"/>
  <c r="AF403" i="1"/>
  <c r="P433" i="45" s="1"/>
  <c r="AF402" i="1"/>
  <c r="P432" i="45" s="1"/>
  <c r="AF275" i="1"/>
  <c r="P296" i="45" s="1"/>
  <c r="AF164" i="1"/>
  <c r="P185" i="45" s="1"/>
  <c r="AF274" i="1"/>
  <c r="P295" i="45" s="1"/>
  <c r="AF304" i="1"/>
  <c r="P325" i="45" s="1"/>
  <c r="AF18" i="1"/>
  <c r="P31" i="45" s="1"/>
  <c r="AF161" i="1"/>
  <c r="P182" i="45" s="1"/>
  <c r="AF299" i="1"/>
  <c r="P320" i="45" s="1"/>
  <c r="AF306" i="1"/>
  <c r="P327" i="45" s="1"/>
  <c r="AF302" i="1"/>
  <c r="P323" i="45" s="1"/>
  <c r="AF300" i="1"/>
  <c r="P321" i="45" s="1"/>
  <c r="AF296" i="1"/>
  <c r="P317" i="45" s="1"/>
  <c r="AF290" i="1"/>
  <c r="P311" i="45" s="1"/>
  <c r="AF288" i="1"/>
  <c r="P309" i="45" s="1"/>
  <c r="AF285" i="1"/>
  <c r="P306" i="45" s="1"/>
  <c r="AF282" i="1"/>
  <c r="P303" i="45" s="1"/>
  <c r="AF279" i="1"/>
  <c r="P300" i="45" s="1"/>
  <c r="AF276" i="1"/>
  <c r="P297" i="45" s="1"/>
  <c r="AF268" i="1"/>
  <c r="P289" i="45" s="1"/>
  <c r="AF266" i="1"/>
  <c r="P287" i="45" s="1"/>
  <c r="AF257" i="1"/>
  <c r="P278" i="45" s="1"/>
  <c r="AF253" i="1"/>
  <c r="P274" i="45" s="1"/>
  <c r="AF249" i="1"/>
  <c r="P270" i="45" s="1"/>
  <c r="AF246" i="1"/>
  <c r="P267" i="45" s="1"/>
  <c r="AF244" i="1"/>
  <c r="P265" i="45" s="1"/>
  <c r="AF241" i="1"/>
  <c r="P262" i="45" s="1"/>
  <c r="AF239" i="1"/>
  <c r="P260" i="45" s="1"/>
  <c r="AF234" i="1"/>
  <c r="P255" i="45" s="1"/>
  <c r="AF231" i="1"/>
  <c r="P252" i="45" s="1"/>
  <c r="AF227" i="1"/>
  <c r="P248" i="45" s="1"/>
  <c r="AF222" i="1"/>
  <c r="P243" i="45" s="1"/>
  <c r="AF220" i="1"/>
  <c r="P241" i="45" s="1"/>
  <c r="AF217" i="1"/>
  <c r="P238" i="45" s="1"/>
  <c r="AF213" i="1"/>
  <c r="P234" i="45" s="1"/>
  <c r="AF211" i="1"/>
  <c r="P232" i="45" s="1"/>
  <c r="AF207" i="1"/>
  <c r="P228" i="45" s="1"/>
  <c r="AF205" i="1"/>
  <c r="P226" i="45" s="1"/>
  <c r="AF201" i="1"/>
  <c r="P222" i="45" s="1"/>
  <c r="AF198" i="1"/>
  <c r="P219" i="45" s="1"/>
  <c r="AF196" i="1"/>
  <c r="P217" i="45" s="1"/>
  <c r="AF192" i="1"/>
  <c r="P213" i="45" s="1"/>
  <c r="AF190" i="1"/>
  <c r="P211" i="45" s="1"/>
  <c r="AF188" i="1"/>
  <c r="P209" i="45" s="1"/>
  <c r="AF185" i="1"/>
  <c r="P206" i="45" s="1"/>
  <c r="AF182" i="1"/>
  <c r="P203" i="45" s="1"/>
  <c r="AF180" i="1"/>
  <c r="P201" i="45" s="1"/>
  <c r="AF177" i="1"/>
  <c r="P198" i="45" s="1"/>
  <c r="AF174" i="1"/>
  <c r="P195" i="45" s="1"/>
  <c r="AF172" i="1"/>
  <c r="P193" i="45" s="1"/>
  <c r="AF170" i="1"/>
  <c r="P191" i="45" s="1"/>
  <c r="AF168" i="1"/>
  <c r="P189" i="45" s="1"/>
  <c r="AF166" i="1"/>
  <c r="P187" i="45" s="1"/>
  <c r="AF314" i="1"/>
  <c r="P344" i="45" s="1"/>
  <c r="AF318" i="1"/>
  <c r="P348" i="45" s="1"/>
  <c r="AF322" i="1"/>
  <c r="P352" i="45" s="1"/>
  <c r="AF326" i="1"/>
  <c r="P356" i="45" s="1"/>
  <c r="AF330" i="1"/>
  <c r="P360" i="45" s="1"/>
  <c r="AF334" i="1"/>
  <c r="P364" i="45" s="1"/>
  <c r="AF338" i="1"/>
  <c r="P368" i="45" s="1"/>
  <c r="AF342" i="1"/>
  <c r="P372" i="45" s="1"/>
  <c r="AF346" i="1"/>
  <c r="P376" i="45" s="1"/>
  <c r="AF350" i="1"/>
  <c r="P380" i="45" s="1"/>
  <c r="AF353" i="1"/>
  <c r="P383" i="45" s="1"/>
  <c r="AF357" i="1"/>
  <c r="P387" i="45" s="1"/>
  <c r="AF362" i="1"/>
  <c r="P392" i="45" s="1"/>
  <c r="AF366" i="1"/>
  <c r="P396" i="45" s="1"/>
  <c r="AF370" i="1"/>
  <c r="P400" i="45" s="1"/>
  <c r="AF376" i="1"/>
  <c r="P406" i="45" s="1"/>
  <c r="AF380" i="1"/>
  <c r="P410" i="45" s="1"/>
  <c r="AF270" i="1"/>
  <c r="P291" i="45" s="1"/>
  <c r="AF399" i="1"/>
  <c r="P429" i="45" s="1"/>
  <c r="AF284" i="1"/>
  <c r="P305" i="45" s="1"/>
  <c r="AF37" i="1"/>
  <c r="P50" i="45" s="1"/>
  <c r="AF305" i="1"/>
  <c r="P326" i="45" s="1"/>
  <c r="AF301" i="1"/>
  <c r="P322" i="45" s="1"/>
  <c r="AF297" i="1"/>
  <c r="P318" i="45" s="1"/>
  <c r="AF291" i="1"/>
  <c r="P312" i="45" s="1"/>
  <c r="AF289" i="1"/>
  <c r="P310" i="45" s="1"/>
  <c r="AF286" i="1"/>
  <c r="P307" i="45" s="1"/>
  <c r="AF283" i="1"/>
  <c r="P304" i="45" s="1"/>
  <c r="AF281" i="1"/>
  <c r="P302" i="45" s="1"/>
  <c r="AF278" i="1"/>
  <c r="P299" i="45" s="1"/>
  <c r="AF313" i="1"/>
  <c r="P343" i="45" s="1"/>
  <c r="AF317" i="1"/>
  <c r="P347" i="45" s="1"/>
  <c r="AF321" i="1"/>
  <c r="P351" i="45" s="1"/>
  <c r="AF325" i="1"/>
  <c r="P355" i="45" s="1"/>
  <c r="AF329" i="1"/>
  <c r="P359" i="45" s="1"/>
  <c r="AF333" i="1"/>
  <c r="P363" i="45" s="1"/>
  <c r="AF337" i="1"/>
  <c r="P367" i="45" s="1"/>
  <c r="AF341" i="1"/>
  <c r="P371" i="45" s="1"/>
  <c r="AF345" i="1"/>
  <c r="P375" i="45" s="1"/>
  <c r="AF349" i="1"/>
  <c r="P379" i="45" s="1"/>
  <c r="AF356" i="1"/>
  <c r="P386" i="45" s="1"/>
  <c r="AF361" i="1"/>
  <c r="P391" i="45" s="1"/>
  <c r="AF365" i="1"/>
  <c r="P395" i="45" s="1"/>
  <c r="AF369" i="1"/>
  <c r="P399" i="45" s="1"/>
  <c r="AF375" i="1"/>
  <c r="P405" i="45" s="1"/>
  <c r="AF379" i="1"/>
  <c r="P409" i="45" s="1"/>
  <c r="AF384" i="1"/>
  <c r="P414" i="45" s="1"/>
  <c r="AF388" i="1"/>
  <c r="P418" i="45" s="1"/>
  <c r="AF392" i="1"/>
  <c r="P422" i="45" s="1"/>
  <c r="AF396" i="1"/>
  <c r="P426" i="45" s="1"/>
  <c r="AF381" i="1"/>
  <c r="P411" i="45" s="1"/>
  <c r="AF260" i="1"/>
  <c r="P281" i="45" s="1"/>
  <c r="AF195" i="1"/>
  <c r="P216" i="45" s="1"/>
  <c r="AF208" i="1"/>
  <c r="P229" i="45" s="1"/>
  <c r="AF298" i="1"/>
  <c r="P319" i="45" s="1"/>
  <c r="AF235" i="1"/>
  <c r="P256" i="45" s="1"/>
  <c r="AF308" i="1"/>
  <c r="P329" i="45" s="1"/>
  <c r="AF307" i="1"/>
  <c r="P328" i="45" s="1"/>
  <c r="AF32" i="1"/>
  <c r="P45" i="45" s="1"/>
  <c r="AF22" i="1"/>
  <c r="P35" i="45" s="1"/>
  <c r="AF160" i="1"/>
  <c r="P181" i="45" s="1"/>
  <c r="AF155" i="1"/>
  <c r="P176" i="45" s="1"/>
  <c r="AF153" i="1"/>
  <c r="P174" i="45" s="1"/>
  <c r="AF151" i="1"/>
  <c r="P172" i="45" s="1"/>
  <c r="AF149" i="1"/>
  <c r="P170" i="45" s="1"/>
  <c r="AF147" i="1"/>
  <c r="P168" i="45" s="1"/>
  <c r="AF146" i="1"/>
  <c r="P167" i="45" s="1"/>
  <c r="AF144" i="1"/>
  <c r="P165" i="45" s="1"/>
  <c r="AF142" i="1"/>
  <c r="P163" i="45" s="1"/>
  <c r="AF140" i="1"/>
  <c r="P161" i="45" s="1"/>
  <c r="AF138" i="1"/>
  <c r="P159" i="45" s="1"/>
  <c r="AF136" i="1"/>
  <c r="P157" i="45" s="1"/>
  <c r="AF132" i="1"/>
  <c r="P153" i="45" s="1"/>
  <c r="AF130" i="1"/>
  <c r="P151" i="45" s="1"/>
  <c r="AF125" i="1"/>
  <c r="P146" i="45" s="1"/>
  <c r="AF123" i="1"/>
  <c r="P144" i="45" s="1"/>
  <c r="AF122" i="1"/>
  <c r="P143" i="45" s="1"/>
  <c r="AF116" i="1"/>
  <c r="P137" i="45" s="1"/>
  <c r="AF114" i="1"/>
  <c r="P135" i="45" s="1"/>
  <c r="AF111" i="1"/>
  <c r="P132" i="45" s="1"/>
  <c r="AF110" i="1"/>
  <c r="P131" i="45" s="1"/>
  <c r="AF104" i="1"/>
  <c r="P125" i="45" s="1"/>
  <c r="AF103" i="1"/>
  <c r="P124" i="45" s="1"/>
  <c r="AF98" i="1"/>
  <c r="P119" i="45" s="1"/>
  <c r="AF96" i="1"/>
  <c r="P117" i="45" s="1"/>
  <c r="AF92" i="1"/>
  <c r="P113" i="45" s="1"/>
  <c r="AF89" i="1"/>
  <c r="P110" i="45" s="1"/>
  <c r="AF87" i="1"/>
  <c r="P108" i="45" s="1"/>
  <c r="AF85" i="1"/>
  <c r="P106" i="45" s="1"/>
  <c r="AF81" i="1"/>
  <c r="P102" i="45" s="1"/>
  <c r="AF79" i="1"/>
  <c r="P100" i="45" s="1"/>
  <c r="AF77" i="1"/>
  <c r="P98" i="45" s="1"/>
  <c r="AF76" i="1"/>
  <c r="P97" i="45" s="1"/>
  <c r="AF74" i="1"/>
  <c r="P95" i="45" s="1"/>
  <c r="AF72" i="1"/>
  <c r="P93" i="45" s="1"/>
  <c r="AF70" i="1"/>
  <c r="P91" i="45" s="1"/>
  <c r="AF68" i="1"/>
  <c r="P89" i="45" s="1"/>
  <c r="AF65" i="1"/>
  <c r="P86" i="45" s="1"/>
  <c r="AF63" i="1"/>
  <c r="P84" i="45" s="1"/>
  <c r="AF61" i="1"/>
  <c r="P82" i="45" s="1"/>
  <c r="AF59" i="1"/>
  <c r="P80" i="45" s="1"/>
  <c r="AF56" i="1"/>
  <c r="P77" i="45" s="1"/>
  <c r="AF54" i="1"/>
  <c r="P75" i="45" s="1"/>
  <c r="AF52" i="1"/>
  <c r="P73" i="45" s="1"/>
  <c r="AF48" i="1"/>
  <c r="P69" i="45" s="1"/>
  <c r="AF46" i="1"/>
  <c r="P67" i="45" s="1"/>
  <c r="AF36" i="1"/>
  <c r="P49" i="45" s="1"/>
  <c r="AF34" i="1"/>
  <c r="P47" i="45" s="1"/>
  <c r="AF30" i="1"/>
  <c r="P43" i="45" s="1"/>
  <c r="AF27" i="1"/>
  <c r="P40" i="45" s="1"/>
  <c r="AF23" i="1"/>
  <c r="P36" i="45" s="1"/>
  <c r="AF20" i="1"/>
  <c r="P33" i="45" s="1"/>
  <c r="AF316" i="1"/>
  <c r="P346" i="45" s="1"/>
  <c r="AF320" i="1"/>
  <c r="P350" i="45" s="1"/>
  <c r="AF324" i="1"/>
  <c r="P354" i="45" s="1"/>
  <c r="AF328" i="1"/>
  <c r="P358" i="45" s="1"/>
  <c r="AF336" i="1"/>
  <c r="P366" i="45" s="1"/>
  <c r="AF340" i="1"/>
  <c r="P370" i="45" s="1"/>
  <c r="AF344" i="1"/>
  <c r="P374" i="45" s="1"/>
  <c r="AF348" i="1"/>
  <c r="P378" i="45" s="1"/>
  <c r="AF352" i="1"/>
  <c r="P382" i="45" s="1"/>
  <c r="AF355" i="1"/>
  <c r="P385" i="45" s="1"/>
  <c r="AF360" i="1"/>
  <c r="P390" i="45" s="1"/>
  <c r="AF364" i="1"/>
  <c r="P394" i="45" s="1"/>
  <c r="AF368" i="1"/>
  <c r="P398" i="45" s="1"/>
  <c r="AF374" i="1"/>
  <c r="P404" i="45" s="1"/>
  <c r="AF378" i="1"/>
  <c r="P408" i="45" s="1"/>
  <c r="AF383" i="1"/>
  <c r="P413" i="45" s="1"/>
  <c r="AF387" i="1"/>
  <c r="P417" i="45" s="1"/>
  <c r="AF391" i="1"/>
  <c r="P421" i="45" s="1"/>
  <c r="AF395" i="1"/>
  <c r="P425" i="45" s="1"/>
  <c r="AF401" i="1"/>
  <c r="P431" i="45" s="1"/>
  <c r="AF237" i="1"/>
  <c r="P258" i="45" s="1"/>
  <c r="AF40" i="1"/>
  <c r="P53" i="45" s="1"/>
  <c r="AF373" i="1"/>
  <c r="P403" i="45" s="1"/>
  <c r="AF273" i="1"/>
  <c r="P294" i="45" s="1"/>
  <c r="AF267" i="1"/>
  <c r="P288" i="45" s="1"/>
  <c r="AF265" i="1"/>
  <c r="P286" i="45" s="1"/>
  <c r="AF264" i="1"/>
  <c r="P285" i="45" s="1"/>
  <c r="AF262" i="1"/>
  <c r="P283" i="45" s="1"/>
  <c r="AF261" i="1"/>
  <c r="P282" i="45" s="1"/>
  <c r="AF258" i="1"/>
  <c r="P279" i="45" s="1"/>
  <c r="AF250" i="1"/>
  <c r="P271" i="45" s="1"/>
  <c r="AF248" i="1"/>
  <c r="P269" i="45" s="1"/>
  <c r="AF245" i="1"/>
  <c r="P266" i="45" s="1"/>
  <c r="AF242" i="1"/>
  <c r="P263" i="45" s="1"/>
  <c r="AF240" i="1"/>
  <c r="P261" i="45" s="1"/>
  <c r="AF238" i="1"/>
  <c r="P259" i="45" s="1"/>
  <c r="AF236" i="1"/>
  <c r="P257" i="45" s="1"/>
  <c r="AF233" i="1"/>
  <c r="P254" i="45" s="1"/>
  <c r="AF230" i="1"/>
  <c r="P251" i="45" s="1"/>
  <c r="AF228" i="1"/>
  <c r="P249" i="45" s="1"/>
  <c r="AF223" i="1"/>
  <c r="P244" i="45" s="1"/>
  <c r="AF221" i="1"/>
  <c r="P242" i="45" s="1"/>
  <c r="AF214" i="1"/>
  <c r="P235" i="45" s="1"/>
  <c r="AF212" i="1"/>
  <c r="P233" i="45" s="1"/>
  <c r="AF209" i="1"/>
  <c r="P230" i="45" s="1"/>
  <c r="AF206" i="1"/>
  <c r="P227" i="45" s="1"/>
  <c r="AF204" i="1"/>
  <c r="P225" i="45" s="1"/>
  <c r="AF200" i="1"/>
  <c r="P221" i="45" s="1"/>
  <c r="AF197" i="1"/>
  <c r="P218" i="45" s="1"/>
  <c r="AF193" i="1"/>
  <c r="P214" i="45" s="1"/>
  <c r="AF191" i="1"/>
  <c r="P212" i="45" s="1"/>
  <c r="AF189" i="1"/>
  <c r="P210" i="45" s="1"/>
  <c r="AF187" i="1"/>
  <c r="P208" i="45" s="1"/>
  <c r="AF184" i="1"/>
  <c r="P205" i="45" s="1"/>
  <c r="AF181" i="1"/>
  <c r="P202" i="45" s="1"/>
  <c r="AF179" i="1"/>
  <c r="P200" i="45" s="1"/>
  <c r="AF176" i="1"/>
  <c r="P197" i="45" s="1"/>
  <c r="AF175" i="1"/>
  <c r="P196" i="45" s="1"/>
  <c r="AF173" i="1"/>
  <c r="P194" i="45" s="1"/>
  <c r="AF171" i="1"/>
  <c r="P192" i="45" s="1"/>
  <c r="AF169" i="1"/>
  <c r="P190" i="45" s="1"/>
  <c r="AF167" i="1"/>
  <c r="P188" i="45" s="1"/>
  <c r="AF165" i="1"/>
  <c r="P186" i="45" s="1"/>
  <c r="AF163" i="1"/>
  <c r="P184" i="45" s="1"/>
  <c r="AF159" i="1"/>
  <c r="P180" i="45" s="1"/>
  <c r="AF157" i="1"/>
  <c r="P178" i="45" s="1"/>
  <c r="AF154" i="1"/>
  <c r="P175" i="45" s="1"/>
  <c r="AF152" i="1"/>
  <c r="P173" i="45" s="1"/>
  <c r="AF150" i="1"/>
  <c r="P171" i="45" s="1"/>
  <c r="AF148" i="1"/>
  <c r="P169" i="45" s="1"/>
  <c r="AF145" i="1"/>
  <c r="P166" i="45" s="1"/>
  <c r="AF143" i="1"/>
  <c r="P164" i="45" s="1"/>
  <c r="AF139" i="1"/>
  <c r="P160" i="45" s="1"/>
  <c r="AF137" i="1"/>
  <c r="P158" i="45" s="1"/>
  <c r="AF133" i="1"/>
  <c r="P154" i="45" s="1"/>
  <c r="AF131" i="1"/>
  <c r="P152" i="45" s="1"/>
  <c r="AF127" i="1"/>
  <c r="P148" i="45" s="1"/>
  <c r="AF124" i="1"/>
  <c r="P145" i="45" s="1"/>
  <c r="AF121" i="1"/>
  <c r="P142" i="45" s="1"/>
  <c r="AF117" i="1"/>
  <c r="P138" i="45" s="1"/>
  <c r="AF115" i="1"/>
  <c r="P136" i="45" s="1"/>
  <c r="AF113" i="1"/>
  <c r="P134" i="45" s="1"/>
  <c r="AF109" i="1"/>
  <c r="P130" i="45" s="1"/>
  <c r="AF105" i="1"/>
  <c r="P126" i="45" s="1"/>
  <c r="AF101" i="1"/>
  <c r="P122" i="45" s="1"/>
  <c r="AF99" i="1"/>
  <c r="P120" i="45" s="1"/>
  <c r="AF97" i="1"/>
  <c r="P118" i="45" s="1"/>
  <c r="AF95" i="1"/>
  <c r="P116" i="45" s="1"/>
  <c r="AF93" i="1"/>
  <c r="P114" i="45" s="1"/>
  <c r="AF91" i="1"/>
  <c r="P112" i="45" s="1"/>
  <c r="AF86" i="1"/>
  <c r="P107" i="45" s="1"/>
  <c r="AF84" i="1"/>
  <c r="P105" i="45" s="1"/>
  <c r="AF80" i="1"/>
  <c r="P101" i="45" s="1"/>
  <c r="AF78" i="1"/>
  <c r="P99" i="45" s="1"/>
  <c r="AF75" i="1"/>
  <c r="P96" i="45" s="1"/>
  <c r="AF73" i="1"/>
  <c r="P94" i="45" s="1"/>
  <c r="AF71" i="1"/>
  <c r="P92" i="45" s="1"/>
  <c r="AF69" i="1"/>
  <c r="P90" i="45" s="1"/>
  <c r="AF67" i="1"/>
  <c r="P88" i="45" s="1"/>
  <c r="AF64" i="1"/>
  <c r="P85" i="45" s="1"/>
  <c r="AF62" i="1"/>
  <c r="P83" i="45" s="1"/>
  <c r="AF60" i="1"/>
  <c r="P81" i="45" s="1"/>
  <c r="AF55" i="1"/>
  <c r="P76" i="45" s="1"/>
  <c r="AF53" i="1"/>
  <c r="P74" i="45" s="1"/>
  <c r="AF49" i="1"/>
  <c r="P70" i="45" s="1"/>
  <c r="AF47" i="1"/>
  <c r="P68" i="45" s="1"/>
  <c r="AF39" i="1"/>
  <c r="P52" i="45" s="1"/>
  <c r="AF35" i="1"/>
  <c r="P48" i="45" s="1"/>
  <c r="AF33" i="1"/>
  <c r="P46" i="45" s="1"/>
  <c r="AF31" i="1"/>
  <c r="P44" i="45" s="1"/>
  <c r="AF29" i="1"/>
  <c r="P42" i="45" s="1"/>
  <c r="AF28" i="1"/>
  <c r="P41" i="45" s="1"/>
  <c r="AF26" i="1"/>
  <c r="P39" i="45" s="1"/>
  <c r="AF24" i="1"/>
  <c r="P37" i="45" s="1"/>
  <c r="AF21" i="1"/>
  <c r="P34" i="45" s="1"/>
  <c r="AF19" i="1"/>
  <c r="P32" i="45" s="1"/>
  <c r="AF315" i="1"/>
  <c r="P345" i="45" s="1"/>
  <c r="AF319" i="1"/>
  <c r="P349" i="45" s="1"/>
  <c r="AF323" i="1"/>
  <c r="P353" i="45" s="1"/>
  <c r="AF327" i="1"/>
  <c r="P357" i="45" s="1"/>
  <c r="AF332" i="1"/>
  <c r="P362" i="45" s="1"/>
  <c r="AF335" i="1"/>
  <c r="P365" i="45" s="1"/>
  <c r="AF339" i="1"/>
  <c r="P369" i="45" s="1"/>
  <c r="AF343" i="1"/>
  <c r="P373" i="45" s="1"/>
  <c r="AF347" i="1"/>
  <c r="P377" i="45" s="1"/>
  <c r="AF351" i="1"/>
  <c r="P381" i="45" s="1"/>
  <c r="AF354" i="1"/>
  <c r="P384" i="45" s="1"/>
  <c r="AF359" i="1"/>
  <c r="P389" i="45" s="1"/>
  <c r="AF363" i="1"/>
  <c r="P393" i="45" s="1"/>
  <c r="AF367" i="1"/>
  <c r="P397" i="45" s="1"/>
  <c r="AF371" i="1"/>
  <c r="P401" i="45" s="1"/>
  <c r="AF377" i="1"/>
  <c r="P407" i="45" s="1"/>
  <c r="AF382" i="1"/>
  <c r="P412" i="45" s="1"/>
  <c r="AF386" i="1"/>
  <c r="P416" i="45" s="1"/>
  <c r="AF390" i="1"/>
  <c r="P420" i="45" s="1"/>
  <c r="AF394" i="1"/>
  <c r="P424" i="45" s="1"/>
  <c r="AF400" i="1"/>
  <c r="P430" i="45" s="1"/>
  <c r="AA41" i="1"/>
  <c r="T404"/>
  <c r="AT310"/>
  <c r="AT407" s="1"/>
  <c r="AX106"/>
  <c r="Y130" i="43" l="1"/>
  <c r="AG17" i="1"/>
  <c r="Q33" i="43" s="1"/>
  <c r="AG398" i="1"/>
  <c r="Q433" i="43" s="1"/>
  <c r="R58" i="52"/>
  <c r="AG66" i="1"/>
  <c r="Q90" i="43" s="1"/>
  <c r="AE50" i="1"/>
  <c r="AU50" s="1"/>
  <c r="BB50" s="1"/>
  <c r="Z74" i="43" s="1"/>
  <c r="AG128" i="1"/>
  <c r="Q152" i="43" s="1"/>
  <c r="AG294" i="1"/>
  <c r="Q318" i="43" s="1"/>
  <c r="AG263" i="1"/>
  <c r="Q287" i="43" s="1"/>
  <c r="AE58" i="1"/>
  <c r="AU58" s="1"/>
  <c r="Y83" i="52" s="1"/>
  <c r="AJ58" i="1"/>
  <c r="S79" i="45" s="1"/>
  <c r="T101" s="1"/>
  <c r="AE126" i="1"/>
  <c r="AU126" s="1"/>
  <c r="Y151" i="52" s="1"/>
  <c r="AG118" i="1"/>
  <c r="Q142" i="43" s="1"/>
  <c r="AG199" i="1"/>
  <c r="Q223" i="43" s="1"/>
  <c r="AG210" i="1"/>
  <c r="Q234" i="43" s="1"/>
  <c r="AE118" i="1"/>
  <c r="AU118" s="1"/>
  <c r="Y143" i="52" s="1"/>
  <c r="BB106" i="1"/>
  <c r="Z130" i="43" s="1"/>
  <c r="AJ66" i="1"/>
  <c r="S87" i="45" s="1"/>
  <c r="T109" s="1"/>
  <c r="AJ263" i="1"/>
  <c r="S284" i="45" s="1"/>
  <c r="T306" s="1"/>
  <c r="AG287" i="1"/>
  <c r="Q311" i="43" s="1"/>
  <c r="AG158" i="1"/>
  <c r="Q182" i="43" s="1"/>
  <c r="AG94" i="1"/>
  <c r="Q118" i="43" s="1"/>
  <c r="AE263" i="1"/>
  <c r="AU263" s="1"/>
  <c r="Y290" i="52" s="1"/>
  <c r="AJ118" i="1"/>
  <c r="S139" i="45" s="1"/>
  <c r="T161" s="1"/>
  <c r="AG293" i="1"/>
  <c r="Q317" i="43" s="1"/>
  <c r="AG358" i="1"/>
  <c r="Q393" i="43" s="1"/>
  <c r="AG129" i="1"/>
  <c r="Q153" i="43" s="1"/>
  <c r="AG226" i="1"/>
  <c r="Q250" i="43" s="1"/>
  <c r="AG183" i="1"/>
  <c r="Q207" i="43" s="1"/>
  <c r="AG271" i="1"/>
  <c r="Q295" i="43" s="1"/>
  <c r="AG178" i="1"/>
  <c r="Q202" i="43" s="1"/>
  <c r="AG58" i="1"/>
  <c r="Q82" i="43" s="1"/>
  <c r="CR106" i="1"/>
  <c r="AE66"/>
  <c r="AU66" s="1"/>
  <c r="Y91" i="52" s="1"/>
  <c r="AG83" i="1"/>
  <c r="Q107" i="43" s="1"/>
  <c r="AG343" i="1"/>
  <c r="Q378" i="43" s="1"/>
  <c r="AG327" i="1"/>
  <c r="Q362" i="43" s="1"/>
  <c r="AG319" i="1"/>
  <c r="Q354" i="43" s="1"/>
  <c r="AG67" i="1"/>
  <c r="Q91" i="43" s="1"/>
  <c r="AG75" i="1"/>
  <c r="Q99" i="43" s="1"/>
  <c r="AG84" i="1"/>
  <c r="Q108" i="43" s="1"/>
  <c r="AG93" i="1"/>
  <c r="Q117" i="43" s="1"/>
  <c r="AG101" i="1"/>
  <c r="Q125" i="43" s="1"/>
  <c r="AG121" i="1"/>
  <c r="Q145" i="43" s="1"/>
  <c r="AG131" i="1"/>
  <c r="Q155" i="43" s="1"/>
  <c r="AG148" i="1"/>
  <c r="Q172" i="43" s="1"/>
  <c r="AG152" i="1"/>
  <c r="Q176" i="43" s="1"/>
  <c r="AG165" i="1"/>
  <c r="Q189" i="43" s="1"/>
  <c r="AG173" i="1"/>
  <c r="Q197" i="43" s="1"/>
  <c r="AG181" i="1"/>
  <c r="Q205" i="43" s="1"/>
  <c r="AG191" i="1"/>
  <c r="Q215" i="43" s="1"/>
  <c r="AG204" i="1"/>
  <c r="Q228" i="43" s="1"/>
  <c r="AG214" i="1"/>
  <c r="Q238" i="43" s="1"/>
  <c r="AG228" i="1"/>
  <c r="Q252" i="43" s="1"/>
  <c r="AG242" i="1"/>
  <c r="Q266" i="43" s="1"/>
  <c r="AG258" i="1"/>
  <c r="Q282" i="43" s="1"/>
  <c r="AG265" i="1"/>
  <c r="Q289" i="43" s="1"/>
  <c r="AG273" i="1"/>
  <c r="Q297" i="43" s="1"/>
  <c r="AG348" i="1"/>
  <c r="Q383" i="43" s="1"/>
  <c r="AG54" i="1"/>
  <c r="Q78" i="43" s="1"/>
  <c r="AG68" i="1"/>
  <c r="Q92" i="43" s="1"/>
  <c r="AG76" i="1"/>
  <c r="Q100" i="43" s="1"/>
  <c r="AG85" i="1"/>
  <c r="Q109" i="43" s="1"/>
  <c r="AG103" i="1"/>
  <c r="Q127" i="43" s="1"/>
  <c r="AG111" i="1"/>
  <c r="Q135" i="43" s="1"/>
  <c r="AG125" i="1"/>
  <c r="Q149" i="43" s="1"/>
  <c r="AG138" i="1"/>
  <c r="Q162" i="43" s="1"/>
  <c r="AG146" i="1"/>
  <c r="Q170" i="43" s="1"/>
  <c r="AG260" i="1"/>
  <c r="Q284" i="43" s="1"/>
  <c r="AG345" i="1"/>
  <c r="Q380" i="43" s="1"/>
  <c r="AG337" i="1"/>
  <c r="Q372" i="43" s="1"/>
  <c r="AG329" i="1"/>
  <c r="Q364" i="43" s="1"/>
  <c r="AG321" i="1"/>
  <c r="Q356" i="43" s="1"/>
  <c r="AG313" i="1"/>
  <c r="Q348" i="43" s="1"/>
  <c r="AG342" i="1"/>
  <c r="Q377" i="43" s="1"/>
  <c r="AG334" i="1"/>
  <c r="Q369" i="43" s="1"/>
  <c r="AG326" i="1"/>
  <c r="Q361" i="43" s="1"/>
  <c r="AG318" i="1"/>
  <c r="Q353" i="43" s="1"/>
  <c r="AG166" i="1"/>
  <c r="Q190" i="43" s="1"/>
  <c r="AG170" i="1"/>
  <c r="Q194" i="43" s="1"/>
  <c r="AG174" i="1"/>
  <c r="Q198" i="43" s="1"/>
  <c r="AG177" i="1"/>
  <c r="Q201" i="43" s="1"/>
  <c r="AG182" i="1"/>
  <c r="Q206" i="43" s="1"/>
  <c r="AG188" i="1"/>
  <c r="Q212" i="43" s="1"/>
  <c r="AG192" i="1"/>
  <c r="Q216" i="43" s="1"/>
  <c r="AG198" i="1"/>
  <c r="Q222" i="43" s="1"/>
  <c r="AG205" i="1"/>
  <c r="Q229" i="43" s="1"/>
  <c r="AG211" i="1"/>
  <c r="Q235" i="43" s="1"/>
  <c r="AG217" i="1"/>
  <c r="Q241" i="43" s="1"/>
  <c r="AG222" i="1"/>
  <c r="Q246" i="43" s="1"/>
  <c r="AG234" i="1"/>
  <c r="Q258" i="43" s="1"/>
  <c r="AG239" i="1"/>
  <c r="Q263" i="43" s="1"/>
  <c r="AG244" i="1"/>
  <c r="Q268" i="43" s="1"/>
  <c r="AG249" i="1"/>
  <c r="Q273" i="43" s="1"/>
  <c r="AG253" i="1"/>
  <c r="Q277" i="43" s="1"/>
  <c r="AG266" i="1"/>
  <c r="Q290" i="43" s="1"/>
  <c r="AG161" i="1"/>
  <c r="Q185" i="43" s="1"/>
  <c r="AG274" i="1"/>
  <c r="Q298" i="43" s="1"/>
  <c r="AG156" i="1"/>
  <c r="Q180" i="43" s="1"/>
  <c r="AG107" i="1"/>
  <c r="Q131" i="43" s="1"/>
  <c r="AG162" i="1"/>
  <c r="Q186" i="43" s="1"/>
  <c r="AG256" i="1"/>
  <c r="Q280" i="43" s="1"/>
  <c r="AG194" i="1"/>
  <c r="Q218" i="43" s="1"/>
  <c r="P54" i="45"/>
  <c r="AG335" i="1"/>
  <c r="Q370" i="43" s="1"/>
  <c r="AG47" i="1"/>
  <c r="Q71" i="43" s="1"/>
  <c r="AG53" i="1"/>
  <c r="Q77" i="43" s="1"/>
  <c r="AG62" i="1"/>
  <c r="Q86" i="43" s="1"/>
  <c r="AG71" i="1"/>
  <c r="Q95" i="43" s="1"/>
  <c r="AG78" i="1"/>
  <c r="Q102" i="43" s="1"/>
  <c r="AG97" i="1"/>
  <c r="Q121" i="43" s="1"/>
  <c r="AG105" i="1"/>
  <c r="Q129" i="43" s="1"/>
  <c r="AG115" i="1"/>
  <c r="Q139" i="43" s="1"/>
  <c r="AG124" i="1"/>
  <c r="Q148" i="43" s="1"/>
  <c r="AG137" i="1"/>
  <c r="Q161" i="43" s="1"/>
  <c r="AG145" i="1"/>
  <c r="Q169" i="43" s="1"/>
  <c r="AG157" i="1"/>
  <c r="Q181" i="43" s="1"/>
  <c r="AG169" i="1"/>
  <c r="Q193" i="43" s="1"/>
  <c r="AG176" i="1"/>
  <c r="Q200" i="43" s="1"/>
  <c r="AG187" i="1"/>
  <c r="Q211" i="43" s="1"/>
  <c r="AG197" i="1"/>
  <c r="Q221" i="43" s="1"/>
  <c r="AG209" i="1"/>
  <c r="Q233" i="43" s="1"/>
  <c r="AG221" i="1"/>
  <c r="Q245" i="43" s="1"/>
  <c r="AG233" i="1"/>
  <c r="Q257" i="43" s="1"/>
  <c r="AG238" i="1"/>
  <c r="Q262" i="43" s="1"/>
  <c r="AG248" i="1"/>
  <c r="Q272" i="43" s="1"/>
  <c r="AG262" i="1"/>
  <c r="Q286" i="43" s="1"/>
  <c r="AG340" i="1"/>
  <c r="Q375" i="43" s="1"/>
  <c r="AG324" i="1"/>
  <c r="Q359" i="43" s="1"/>
  <c r="AG316" i="1"/>
  <c r="Q351" i="43" s="1"/>
  <c r="AG48" i="1"/>
  <c r="Q72" i="43" s="1"/>
  <c r="AG59" i="1"/>
  <c r="Q83" i="43" s="1"/>
  <c r="AG63" i="1"/>
  <c r="Q87" i="43" s="1"/>
  <c r="AG72" i="1"/>
  <c r="Q96" i="43" s="1"/>
  <c r="AG79" i="1"/>
  <c r="Q103" i="43" s="1"/>
  <c r="AG89" i="1"/>
  <c r="Q113" i="43" s="1"/>
  <c r="AG98" i="1"/>
  <c r="Q122" i="43" s="1"/>
  <c r="AG116" i="1"/>
  <c r="Q140" i="43" s="1"/>
  <c r="AG122" i="1"/>
  <c r="Q146" i="43" s="1"/>
  <c r="AG132" i="1"/>
  <c r="Q156" i="43" s="1"/>
  <c r="AG142" i="1"/>
  <c r="Q166" i="43" s="1"/>
  <c r="AG149" i="1"/>
  <c r="Q173" i="43" s="1"/>
  <c r="AG153" i="1"/>
  <c r="Q177" i="43" s="1"/>
  <c r="AG160" i="1"/>
  <c r="Q184" i="43" s="1"/>
  <c r="AG208" i="1"/>
  <c r="Q232" i="43" s="1"/>
  <c r="AG347" i="1"/>
  <c r="Q382" i="43" s="1"/>
  <c r="AG339" i="1"/>
  <c r="Q374" i="43" s="1"/>
  <c r="AG332" i="1"/>
  <c r="Q367" i="43" s="1"/>
  <c r="AG323" i="1"/>
  <c r="Q358" i="43" s="1"/>
  <c r="AG315" i="1"/>
  <c r="Q350" i="43" s="1"/>
  <c r="AG49" i="1"/>
  <c r="Q73" i="43" s="1"/>
  <c r="AG55" i="1"/>
  <c r="Q79" i="43" s="1"/>
  <c r="AG60" i="1"/>
  <c r="Q84" i="43" s="1"/>
  <c r="AG64" i="1"/>
  <c r="Q88" i="43" s="1"/>
  <c r="AG69" i="1"/>
  <c r="Q93" i="43" s="1"/>
  <c r="AG73" i="1"/>
  <c r="Q97" i="43" s="1"/>
  <c r="AG80" i="1"/>
  <c r="Q104" i="43" s="1"/>
  <c r="AG86" i="1"/>
  <c r="Q110" i="43" s="1"/>
  <c r="AG91" i="1"/>
  <c r="Q115" i="43" s="1"/>
  <c r="AG95" i="1"/>
  <c r="Q119" i="43" s="1"/>
  <c r="AG99" i="1"/>
  <c r="Q123" i="43" s="1"/>
  <c r="AG109" i="1"/>
  <c r="Q133" i="43" s="1"/>
  <c r="AG113" i="1"/>
  <c r="Q137" i="43" s="1"/>
  <c r="AG117" i="1"/>
  <c r="Q141" i="43" s="1"/>
  <c r="AG127" i="1"/>
  <c r="Q151" i="43" s="1"/>
  <c r="AG133" i="1"/>
  <c r="Q157" i="43" s="1"/>
  <c r="AG139" i="1"/>
  <c r="Q163" i="43" s="1"/>
  <c r="AG143" i="1"/>
  <c r="Q167" i="43" s="1"/>
  <c r="AG150" i="1"/>
  <c r="Q174" i="43" s="1"/>
  <c r="AG154" i="1"/>
  <c r="Q178" i="43" s="1"/>
  <c r="AG159" i="1"/>
  <c r="Q183" i="43" s="1"/>
  <c r="AG163" i="1"/>
  <c r="Q187" i="43" s="1"/>
  <c r="AG167" i="1"/>
  <c r="Q191" i="43" s="1"/>
  <c r="AG171" i="1"/>
  <c r="Q195" i="43" s="1"/>
  <c r="AG175" i="1"/>
  <c r="Q199" i="43" s="1"/>
  <c r="AG179" i="1"/>
  <c r="Q203" i="43" s="1"/>
  <c r="AG184" i="1"/>
  <c r="Q208" i="43" s="1"/>
  <c r="AG189" i="1"/>
  <c r="Q213" i="43" s="1"/>
  <c r="AG193" i="1"/>
  <c r="Q217" i="43" s="1"/>
  <c r="AG200" i="1"/>
  <c r="Q224" i="43" s="1"/>
  <c r="AG206" i="1"/>
  <c r="Q230" i="43" s="1"/>
  <c r="AG212" i="1"/>
  <c r="Q236" i="43" s="1"/>
  <c r="AG223" i="1"/>
  <c r="Q247" i="43" s="1"/>
  <c r="AG230" i="1"/>
  <c r="Q254" i="43" s="1"/>
  <c r="AG236" i="1"/>
  <c r="Q260" i="43" s="1"/>
  <c r="AG240" i="1"/>
  <c r="Q264" i="43" s="1"/>
  <c r="AG245" i="1"/>
  <c r="Q269" i="43" s="1"/>
  <c r="AG250" i="1"/>
  <c r="Q274" i="43" s="1"/>
  <c r="AG261" i="1"/>
  <c r="Q285" i="43" s="1"/>
  <c r="AG264" i="1"/>
  <c r="Q288" i="43" s="1"/>
  <c r="AG267" i="1"/>
  <c r="Q291" i="43" s="1"/>
  <c r="AG237" i="1"/>
  <c r="Q261" i="43" s="1"/>
  <c r="AG344" i="1"/>
  <c r="Q379" i="43" s="1"/>
  <c r="AG336" i="1"/>
  <c r="Q371" i="43" s="1"/>
  <c r="AG328" i="1"/>
  <c r="Q363" i="43" s="1"/>
  <c r="AG320" i="1"/>
  <c r="Q355" i="43" s="1"/>
  <c r="AG46" i="1"/>
  <c r="Q70" i="43" s="1"/>
  <c r="AG52" i="1"/>
  <c r="Q76" i="43" s="1"/>
  <c r="AG56" i="1"/>
  <c r="Q80" i="43" s="1"/>
  <c r="AG61" i="1"/>
  <c r="Q85" i="43" s="1"/>
  <c r="AG65" i="1"/>
  <c r="Q89" i="43" s="1"/>
  <c r="AG70" i="1"/>
  <c r="Q94" i="43" s="1"/>
  <c r="AG74" i="1"/>
  <c r="Q98" i="43" s="1"/>
  <c r="AG77" i="1"/>
  <c r="Q101" i="43" s="1"/>
  <c r="AG81" i="1"/>
  <c r="Q105" i="43" s="1"/>
  <c r="AG87" i="1"/>
  <c r="Q111" i="43" s="1"/>
  <c r="AG92" i="1"/>
  <c r="Q116" i="43" s="1"/>
  <c r="AG96" i="1"/>
  <c r="Q120" i="43" s="1"/>
  <c r="AG104" i="1"/>
  <c r="Q128" i="43" s="1"/>
  <c r="AG110" i="1"/>
  <c r="Q134" i="43" s="1"/>
  <c r="AG114" i="1"/>
  <c r="Q138" i="43" s="1"/>
  <c r="AG123" i="1"/>
  <c r="Q147" i="43" s="1"/>
  <c r="AG130" i="1"/>
  <c r="Q154" i="43" s="1"/>
  <c r="AG136" i="1"/>
  <c r="Q160" i="43" s="1"/>
  <c r="AG140" i="1"/>
  <c r="Q164" i="43" s="1"/>
  <c r="AG144" i="1"/>
  <c r="Q168" i="43" s="1"/>
  <c r="AG147" i="1"/>
  <c r="Q171" i="43" s="1"/>
  <c r="AG151" i="1"/>
  <c r="Q175" i="43" s="1"/>
  <c r="AG155" i="1"/>
  <c r="Q179" i="43" s="1"/>
  <c r="AG235" i="1"/>
  <c r="Q259" i="43" s="1"/>
  <c r="AG195" i="1"/>
  <c r="Q219" i="43" s="1"/>
  <c r="AG341" i="1"/>
  <c r="Q376" i="43" s="1"/>
  <c r="AG333" i="1"/>
  <c r="Q368" i="43" s="1"/>
  <c r="AG325" i="1"/>
  <c r="Q360" i="43" s="1"/>
  <c r="AG317" i="1"/>
  <c r="Q352" i="43" s="1"/>
  <c r="AG346" i="1"/>
  <c r="Q381" i="43" s="1"/>
  <c r="AG338" i="1"/>
  <c r="Q373" i="43" s="1"/>
  <c r="AG330" i="1"/>
  <c r="Q365" i="43" s="1"/>
  <c r="AG322" i="1"/>
  <c r="Q357" i="43" s="1"/>
  <c r="AG314" i="1"/>
  <c r="Q349" i="43" s="1"/>
  <c r="AG168" i="1"/>
  <c r="Q192" i="43" s="1"/>
  <c r="AG172" i="1"/>
  <c r="Q196" i="43" s="1"/>
  <c r="AG180" i="1"/>
  <c r="Q204" i="43" s="1"/>
  <c r="AG185" i="1"/>
  <c r="Q209" i="43" s="1"/>
  <c r="AG190" i="1"/>
  <c r="Q214" i="43" s="1"/>
  <c r="AG196" i="1"/>
  <c r="Q220" i="43" s="1"/>
  <c r="AG201" i="1"/>
  <c r="Q225" i="43" s="1"/>
  <c r="AG207" i="1"/>
  <c r="Q231" i="43" s="1"/>
  <c r="AG213" i="1"/>
  <c r="Q237" i="43" s="1"/>
  <c r="AG220" i="1"/>
  <c r="Q244" i="43" s="1"/>
  <c r="AG227" i="1"/>
  <c r="Q251" i="43" s="1"/>
  <c r="AG231" i="1"/>
  <c r="Q255" i="43" s="1"/>
  <c r="AG241" i="1"/>
  <c r="Q265" i="43" s="1"/>
  <c r="AG246" i="1"/>
  <c r="Q270" i="43" s="1"/>
  <c r="AG257" i="1"/>
  <c r="Q281" i="43" s="1"/>
  <c r="AG268" i="1"/>
  <c r="Q292" i="43" s="1"/>
  <c r="AG276" i="1"/>
  <c r="Q300" i="43" s="1"/>
  <c r="AG164" i="1"/>
  <c r="Q188" i="43" s="1"/>
  <c r="AG275" i="1"/>
  <c r="Q299" i="43" s="1"/>
  <c r="AG259" i="1"/>
  <c r="Q283" i="43" s="1"/>
  <c r="AG141" i="1"/>
  <c r="Q165" i="43" s="1"/>
  <c r="AG255" i="1"/>
  <c r="Q279" i="43" s="1"/>
  <c r="AG51" i="1"/>
  <c r="Q75" i="43" s="1"/>
  <c r="AG252" i="1"/>
  <c r="Q276" i="43" s="1"/>
  <c r="AG309" i="1"/>
  <c r="Q333" i="43" s="1"/>
  <c r="AG82" i="1"/>
  <c r="Q106" i="43" s="1"/>
  <c r="AJ82" i="1"/>
  <c r="S103" i="45" s="1"/>
  <c r="T125" s="1"/>
  <c r="AE82" i="1"/>
  <c r="AU82" s="1"/>
  <c r="Y107" i="52" s="1"/>
  <c r="AG135" i="1"/>
  <c r="Q159" i="43" s="1"/>
  <c r="AG134" i="1"/>
  <c r="Q158" i="43" s="1"/>
  <c r="AG88" i="1"/>
  <c r="Q112" i="43" s="1"/>
  <c r="BR106" i="1"/>
  <c r="BN106"/>
  <c r="BL106"/>
  <c r="BS106"/>
  <c r="BM106"/>
  <c r="BA106"/>
  <c r="BX106" s="1"/>
  <c r="Z131" i="52" s="1"/>
  <c r="AB131" s="1"/>
  <c r="AG229" i="1"/>
  <c r="Q253" i="43" s="1"/>
  <c r="AG102" i="1"/>
  <c r="Q126" i="43" s="1"/>
  <c r="AG120" i="1"/>
  <c r="Q144" i="43" s="1"/>
  <c r="AJ50" i="1"/>
  <c r="S71" i="45" s="1"/>
  <c r="T93" s="1"/>
  <c r="AG50" i="1"/>
  <c r="Q74" i="43" s="1"/>
  <c r="AJ134" i="1"/>
  <c r="S155" i="45" s="1"/>
  <c r="T177" s="1"/>
  <c r="AE134" i="1"/>
  <c r="AU134" s="1"/>
  <c r="Y159" i="52" s="1"/>
  <c r="AJ88" i="1"/>
  <c r="S109" i="45" s="1"/>
  <c r="T131" s="1"/>
  <c r="AE88" i="1"/>
  <c r="AU88" s="1"/>
  <c r="Y113" i="52" s="1"/>
  <c r="AJ162" i="1"/>
  <c r="S183" i="45" s="1"/>
  <c r="T205" s="1"/>
  <c r="AE162" i="1"/>
  <c r="AU162" s="1"/>
  <c r="Y188" i="52" s="1"/>
  <c r="AJ106" i="1"/>
  <c r="S127" i="45" s="1"/>
  <c r="T149" s="1"/>
  <c r="AG106" i="1"/>
  <c r="Q130" i="43" s="1"/>
  <c r="AJ229" i="1"/>
  <c r="S250" i="45" s="1"/>
  <c r="T272" s="1"/>
  <c r="AE229" i="1"/>
  <c r="AU229" s="1"/>
  <c r="Y256" i="52" s="1"/>
  <c r="AJ102" i="1"/>
  <c r="S123" i="45" s="1"/>
  <c r="T145" s="1"/>
  <c r="AE102" i="1"/>
  <c r="AU102" s="1"/>
  <c r="Y127" i="52" s="1"/>
  <c r="AJ259" i="1"/>
  <c r="S280" i="45" s="1"/>
  <c r="T302" s="1"/>
  <c r="AE259" i="1"/>
  <c r="AU259" s="1"/>
  <c r="Y286" i="52" s="1"/>
  <c r="AJ126" i="1"/>
  <c r="S147" i="45" s="1"/>
  <c r="T169" s="1"/>
  <c r="AG126" i="1"/>
  <c r="Q150" i="43" s="1"/>
  <c r="AJ120" i="1"/>
  <c r="S141" i="45" s="1"/>
  <c r="T163" s="1"/>
  <c r="AE120" i="1"/>
  <c r="AU120" s="1"/>
  <c r="Y145" i="52" s="1"/>
  <c r="AJ141" i="1"/>
  <c r="S162" i="45" s="1"/>
  <c r="T184" s="1"/>
  <c r="AE141" i="1"/>
  <c r="AU141" s="1"/>
  <c r="Y166" i="52" s="1"/>
  <c r="AG19" i="1"/>
  <c r="Q35" i="43" s="1"/>
  <c r="AG21" i="1"/>
  <c r="Q37" i="43" s="1"/>
  <c r="AG24" i="1"/>
  <c r="Q40" i="43" s="1"/>
  <c r="AG26" i="1"/>
  <c r="Q42" i="43" s="1"/>
  <c r="AG28" i="1"/>
  <c r="Q44" i="43" s="1"/>
  <c r="AG29" i="1"/>
  <c r="Q45" i="43" s="1"/>
  <c r="AG31" i="1"/>
  <c r="Q47" i="43" s="1"/>
  <c r="AG33" i="1"/>
  <c r="Q49" i="43" s="1"/>
  <c r="AG35" i="1"/>
  <c r="Q51" i="43" s="1"/>
  <c r="AG39" i="1"/>
  <c r="Q55" i="43" s="1"/>
  <c r="AG401" i="1"/>
  <c r="Q436" i="43" s="1"/>
  <c r="AG395" i="1"/>
  <c r="Q430" i="43" s="1"/>
  <c r="AG391" i="1"/>
  <c r="Q426" i="43" s="1"/>
  <c r="AG387" i="1"/>
  <c r="Q422" i="43" s="1"/>
  <c r="AG383" i="1"/>
  <c r="Q418" i="43" s="1"/>
  <c r="AG378" i="1"/>
  <c r="Q413" i="43" s="1"/>
  <c r="AG374" i="1"/>
  <c r="Q409" i="43" s="1"/>
  <c r="AG368" i="1"/>
  <c r="Q403" i="43" s="1"/>
  <c r="AG364" i="1"/>
  <c r="Q399" i="43" s="1"/>
  <c r="AG360" i="1"/>
  <c r="Q395" i="43" s="1"/>
  <c r="AG355" i="1"/>
  <c r="Q390" i="43" s="1"/>
  <c r="AG352" i="1"/>
  <c r="Q387" i="43" s="1"/>
  <c r="AG20" i="1"/>
  <c r="Q36" i="43" s="1"/>
  <c r="AG23" i="1"/>
  <c r="Q39" i="43" s="1"/>
  <c r="AG27" i="1"/>
  <c r="Q43" i="43" s="1"/>
  <c r="AG30" i="1"/>
  <c r="Q46" i="43" s="1"/>
  <c r="AG34" i="1"/>
  <c r="Q50" i="43" s="1"/>
  <c r="AG36" i="1"/>
  <c r="Q52" i="43" s="1"/>
  <c r="AG22" i="1"/>
  <c r="Q38" i="43" s="1"/>
  <c r="AG32" i="1"/>
  <c r="Q48" i="43" s="1"/>
  <c r="AG307" i="1"/>
  <c r="Q331" i="43" s="1"/>
  <c r="AG308" i="1"/>
  <c r="Q332" i="43" s="1"/>
  <c r="AG278" i="1"/>
  <c r="Q302" i="43" s="1"/>
  <c r="AG281" i="1"/>
  <c r="Q305" i="43" s="1"/>
  <c r="AG283" i="1"/>
  <c r="Q307" i="43" s="1"/>
  <c r="AG286" i="1"/>
  <c r="Q310" i="43" s="1"/>
  <c r="AG289" i="1"/>
  <c r="Q313" i="43" s="1"/>
  <c r="AG291" i="1"/>
  <c r="Q315" i="43" s="1"/>
  <c r="AG297" i="1"/>
  <c r="Q321" i="43" s="1"/>
  <c r="AG301" i="1"/>
  <c r="Q325" i="43" s="1"/>
  <c r="AG305" i="1"/>
  <c r="Q329" i="43" s="1"/>
  <c r="AG37" i="1"/>
  <c r="Q53" i="43" s="1"/>
  <c r="AG284" i="1"/>
  <c r="Q308" i="43" s="1"/>
  <c r="AG399" i="1"/>
  <c r="Q434" i="43" s="1"/>
  <c r="AG270" i="1"/>
  <c r="Q294" i="43" s="1"/>
  <c r="AG380" i="1"/>
  <c r="Q415" i="43" s="1"/>
  <c r="AG376" i="1"/>
  <c r="Q411" i="43" s="1"/>
  <c r="AG370" i="1"/>
  <c r="Q405" i="43" s="1"/>
  <c r="AG366" i="1"/>
  <c r="Q401" i="43" s="1"/>
  <c r="AG362" i="1"/>
  <c r="Q397" i="43" s="1"/>
  <c r="AG357" i="1"/>
  <c r="Q392" i="43" s="1"/>
  <c r="AG353" i="1"/>
  <c r="Q388" i="43" s="1"/>
  <c r="AG350" i="1"/>
  <c r="Q385" i="43" s="1"/>
  <c r="AG402" i="1"/>
  <c r="Q437" i="43" s="1"/>
  <c r="AG403" i="1"/>
  <c r="Q438" i="43" s="1"/>
  <c r="AG400" i="1"/>
  <c r="Q435" i="43" s="1"/>
  <c r="AG394" i="1"/>
  <c r="Q429" i="43" s="1"/>
  <c r="AG390" i="1"/>
  <c r="Q425" i="43" s="1"/>
  <c r="AG386" i="1"/>
  <c r="Q421" i="43" s="1"/>
  <c r="AG382" i="1"/>
  <c r="Q417" i="43" s="1"/>
  <c r="AG377" i="1"/>
  <c r="Q412" i="43" s="1"/>
  <c r="AG371" i="1"/>
  <c r="Q406" i="43" s="1"/>
  <c r="AG367" i="1"/>
  <c r="Q402" i="43" s="1"/>
  <c r="AG363" i="1"/>
  <c r="Q398" i="43" s="1"/>
  <c r="AG359" i="1"/>
  <c r="Q394" i="43" s="1"/>
  <c r="AG354" i="1"/>
  <c r="Q389" i="43" s="1"/>
  <c r="AG351" i="1"/>
  <c r="Q386" i="43" s="1"/>
  <c r="AG373" i="1"/>
  <c r="Q408" i="43" s="1"/>
  <c r="AG40" i="1"/>
  <c r="Q56" i="43" s="1"/>
  <c r="AF41" i="1"/>
  <c r="AG298"/>
  <c r="Q322" i="43" s="1"/>
  <c r="AG381" i="1"/>
  <c r="Q416" i="43" s="1"/>
  <c r="AG396" i="1"/>
  <c r="Q431" i="43" s="1"/>
  <c r="AG392" i="1"/>
  <c r="Q427" i="43" s="1"/>
  <c r="AG388" i="1"/>
  <c r="Q423" i="43" s="1"/>
  <c r="AG384" i="1"/>
  <c r="Q419" i="43" s="1"/>
  <c r="AG379" i="1"/>
  <c r="Q414" i="43" s="1"/>
  <c r="AG375" i="1"/>
  <c r="Q410" i="43" s="1"/>
  <c r="AG369" i="1"/>
  <c r="Q404" i="43" s="1"/>
  <c r="AG365" i="1"/>
  <c r="Q400" i="43" s="1"/>
  <c r="AG361" i="1"/>
  <c r="Q396" i="43" s="1"/>
  <c r="AG356" i="1"/>
  <c r="Q391" i="43" s="1"/>
  <c r="AG349" i="1"/>
  <c r="Q384" i="43" s="1"/>
  <c r="AG279" i="1"/>
  <c r="Q303" i="43" s="1"/>
  <c r="AG282" i="1"/>
  <c r="Q306" i="43" s="1"/>
  <c r="AG285" i="1"/>
  <c r="Q309" i="43" s="1"/>
  <c r="AG288" i="1"/>
  <c r="Q312" i="43" s="1"/>
  <c r="AG290" i="1"/>
  <c r="Q314" i="43" s="1"/>
  <c r="AG296" i="1"/>
  <c r="Q320" i="43" s="1"/>
  <c r="AG300" i="1"/>
  <c r="Q324" i="43" s="1"/>
  <c r="AG302" i="1"/>
  <c r="Q326" i="43" s="1"/>
  <c r="AG306" i="1"/>
  <c r="Q330" i="43" s="1"/>
  <c r="AG299" i="1"/>
  <c r="Q323" i="43" s="1"/>
  <c r="AG18" i="1"/>
  <c r="Q34" i="43" s="1"/>
  <c r="AG304" i="1"/>
  <c r="Q328" i="43" s="1"/>
  <c r="C16" i="15"/>
  <c r="C10"/>
  <c r="C4"/>
  <c r="AX66" i="1"/>
  <c r="AX126"/>
  <c r="AX102"/>
  <c r="AX82"/>
  <c r="AX134"/>
  <c r="AX259"/>
  <c r="AX229"/>
  <c r="AX120"/>
  <c r="AX141"/>
  <c r="AX118"/>
  <c r="AX162"/>
  <c r="AX58"/>
  <c r="AX263"/>
  <c r="AX50"/>
  <c r="AX88"/>
  <c r="Y165" i="43" l="1"/>
  <c r="Y186"/>
  <c r="Y90"/>
  <c r="Y74"/>
  <c r="Y106"/>
  <c r="Y112"/>
  <c r="Y287"/>
  <c r="Y150"/>
  <c r="Y126"/>
  <c r="Y253"/>
  <c r="Y82"/>
  <c r="Y283"/>
  <c r="Y142"/>
  <c r="Y144"/>
  <c r="Y158"/>
  <c r="G110" i="41"/>
  <c r="V127" i="45"/>
  <c r="K107" i="44"/>
  <c r="F113" i="37"/>
  <c r="P107" i="44"/>
  <c r="F110" i="40"/>
  <c r="L107" i="44"/>
  <c r="W127" i="45"/>
  <c r="G113" i="37"/>
  <c r="Q107" i="44"/>
  <c r="F110" i="41"/>
  <c r="J107" i="44"/>
  <c r="U127" i="45"/>
  <c r="AB127" s="1"/>
  <c r="AB389" i="1"/>
  <c r="AB292"/>
  <c r="AB224"/>
  <c r="AB303"/>
  <c r="BL118"/>
  <c r="BS50"/>
  <c r="BR58"/>
  <c r="BM126"/>
  <c r="BA50"/>
  <c r="BX50" s="1"/>
  <c r="Z75" i="52" s="1"/>
  <c r="AB75" s="1"/>
  <c r="BN50" i="1"/>
  <c r="BB58"/>
  <c r="Z82" i="43" s="1"/>
  <c r="CR50" i="1"/>
  <c r="Y75" i="52"/>
  <c r="BM50" i="1"/>
  <c r="BL50"/>
  <c r="BR50"/>
  <c r="S319" i="52"/>
  <c r="AB243" i="1"/>
  <c r="AB272"/>
  <c r="S299" i="52" s="1"/>
  <c r="AB225" i="1"/>
  <c r="S251" i="52" s="1"/>
  <c r="BB118" i="1"/>
  <c r="Z142" i="43" s="1"/>
  <c r="AB251" i="1"/>
  <c r="S278" i="52" s="1"/>
  <c r="AB295" i="1"/>
  <c r="BN58"/>
  <c r="BS58"/>
  <c r="BS126"/>
  <c r="BS118"/>
  <c r="BB126"/>
  <c r="Z150" i="43" s="1"/>
  <c r="BM58" i="1"/>
  <c r="BA58"/>
  <c r="BX58" s="1"/>
  <c r="Z83" i="52" s="1"/>
  <c r="AB83" s="1"/>
  <c r="BL58" i="1"/>
  <c r="BL126"/>
  <c r="BA126"/>
  <c r="BX126" s="1"/>
  <c r="Z151" i="52" s="1"/>
  <c r="AB151" s="1"/>
  <c r="BR126" i="1"/>
  <c r="BN126"/>
  <c r="BN118"/>
  <c r="BR118"/>
  <c r="CN106"/>
  <c r="AK58"/>
  <c r="S82" i="43" s="1"/>
  <c r="AC82" s="1"/>
  <c r="CR126" i="1"/>
  <c r="CR58"/>
  <c r="AL58"/>
  <c r="AK263"/>
  <c r="S287" i="43" s="1"/>
  <c r="AL263" i="1"/>
  <c r="AK66"/>
  <c r="S90" i="43" s="1"/>
  <c r="AL66" i="1"/>
  <c r="BM118"/>
  <c r="BA118"/>
  <c r="BX118" s="1"/>
  <c r="Z143" i="52" s="1"/>
  <c r="AB143" s="1"/>
  <c r="CN50" i="1"/>
  <c r="CR118"/>
  <c r="BZ106"/>
  <c r="BB141"/>
  <c r="Z165" i="43" s="1"/>
  <c r="BB120" i="1"/>
  <c r="Z144" i="43" s="1"/>
  <c r="BB259" i="1"/>
  <c r="Z283" i="43" s="1"/>
  <c r="BB102" i="1"/>
  <c r="Z126" i="43" s="1"/>
  <c r="BB229" i="1"/>
  <c r="Z253" i="43" s="1"/>
  <c r="BB162" i="1"/>
  <c r="Z186" i="43" s="1"/>
  <c r="BB88" i="1"/>
  <c r="Z112" i="43" s="1"/>
  <c r="BB134" i="1"/>
  <c r="Z158" i="43" s="1"/>
  <c r="BB82" i="1"/>
  <c r="Z106" i="43" s="1"/>
  <c r="BB66" i="1"/>
  <c r="Z90" i="43" s="1"/>
  <c r="S250" i="52"/>
  <c r="AB57" i="1"/>
  <c r="S82" i="52" s="1"/>
  <c r="AB331" i="1"/>
  <c r="S371" i="52" s="1"/>
  <c r="AB393" i="1"/>
  <c r="AB397"/>
  <c r="AB119"/>
  <c r="S144" i="52" s="1"/>
  <c r="AB269" i="1"/>
  <c r="S296" i="52" s="1"/>
  <c r="AB216" i="1"/>
  <c r="S242" i="52" s="1"/>
  <c r="AB90" i="1"/>
  <c r="S115" i="52" s="1"/>
  <c r="AB372" i="1"/>
  <c r="BR263"/>
  <c r="BB263"/>
  <c r="Z287" i="43" s="1"/>
  <c r="AB185" i="1"/>
  <c r="S211" i="52" s="1"/>
  <c r="AB218" i="1"/>
  <c r="S244" i="52" s="1"/>
  <c r="AB38" i="1"/>
  <c r="AB254"/>
  <c r="S281" i="52" s="1"/>
  <c r="AB385" i="1"/>
  <c r="AB156"/>
  <c r="S182" i="52" s="1"/>
  <c r="AB108" i="1"/>
  <c r="S133" i="52" s="1"/>
  <c r="AB203" i="1"/>
  <c r="S229" i="52" s="1"/>
  <c r="AB277" i="1"/>
  <c r="S304" i="52" s="1"/>
  <c r="AB135" i="1"/>
  <c r="S160" i="52" s="1"/>
  <c r="AB280" i="1"/>
  <c r="S307" i="52" s="1"/>
  <c r="AB219" i="1"/>
  <c r="S245" i="52" s="1"/>
  <c r="BM263" i="1"/>
  <c r="BN263"/>
  <c r="BA263"/>
  <c r="BX263" s="1"/>
  <c r="Z290" i="52" s="1"/>
  <c r="AB290" s="1"/>
  <c r="BS263" i="1"/>
  <c r="BL263"/>
  <c r="CR263"/>
  <c r="AK118"/>
  <c r="S142" i="43" s="1"/>
  <c r="AC142" s="1"/>
  <c r="AL118" i="1"/>
  <c r="AB309"/>
  <c r="S335" i="52" s="1"/>
  <c r="BT106" i="1"/>
  <c r="AB112"/>
  <c r="S137" i="52" s="1"/>
  <c r="AB215" i="1"/>
  <c r="S241" i="52" s="1"/>
  <c r="AB186" i="1"/>
  <c r="S212" i="52" s="1"/>
  <c r="AB247" i="1"/>
  <c r="S274" i="52" s="1"/>
  <c r="AB100" i="1"/>
  <c r="S125" i="52" s="1"/>
  <c r="AB25" i="1"/>
  <c r="AB358"/>
  <c r="AB226"/>
  <c r="S252" i="52" s="1"/>
  <c r="AB129" i="1"/>
  <c r="S154" i="52" s="1"/>
  <c r="AB232" i="1"/>
  <c r="S259" i="52" s="1"/>
  <c r="AB202" i="1"/>
  <c r="S228" i="52" s="1"/>
  <c r="AW358" i="1"/>
  <c r="X393" i="43" s="1"/>
  <c r="AB158" i="1"/>
  <c r="S184" i="52" s="1"/>
  <c r="AB183" i="1"/>
  <c r="S209" i="52" s="1"/>
  <c r="AB210" i="1"/>
  <c r="S236" i="52" s="1"/>
  <c r="AB293" i="1"/>
  <c r="S320" i="52" s="1"/>
  <c r="AB294" i="1"/>
  <c r="S321" i="52" s="1"/>
  <c r="AB178" i="1"/>
  <c r="S204" i="52" s="1"/>
  <c r="AB128" i="1"/>
  <c r="S153" i="52" s="1"/>
  <c r="CR259" i="1"/>
  <c r="CR141"/>
  <c r="CR88"/>
  <c r="CR134"/>
  <c r="CR82"/>
  <c r="CR102"/>
  <c r="CR120"/>
  <c r="CR229"/>
  <c r="CR66"/>
  <c r="CR162"/>
  <c r="AB287"/>
  <c r="S314" i="52" s="1"/>
  <c r="AB271" i="1"/>
  <c r="S298" i="52" s="1"/>
  <c r="AB94" i="1"/>
  <c r="S119" i="52" s="1"/>
  <c r="BA66" i="1"/>
  <c r="BX66" s="1"/>
  <c r="Z91" i="52" s="1"/>
  <c r="AB91" s="1"/>
  <c r="BM66" i="1"/>
  <c r="BL66"/>
  <c r="BN66"/>
  <c r="BS66"/>
  <c r="BR66"/>
  <c r="Q57" i="43"/>
  <c r="AK120" i="1"/>
  <c r="S144" i="43" s="1"/>
  <c r="AL126" i="1"/>
  <c r="AK229"/>
  <c r="S253" i="43" s="1"/>
  <c r="AL162" i="1"/>
  <c r="AL50"/>
  <c r="AL82"/>
  <c r="AL141"/>
  <c r="AL259"/>
  <c r="AK102"/>
  <c r="S126" i="43" s="1"/>
  <c r="AC126" s="1"/>
  <c r="AL106" i="1"/>
  <c r="AL88"/>
  <c r="AL134"/>
  <c r="AB252"/>
  <c r="S279" i="52" s="1"/>
  <c r="AB194" i="1"/>
  <c r="S220" i="52" s="1"/>
  <c r="AB51" i="1"/>
  <c r="S76" i="52" s="1"/>
  <c r="AB199" i="1"/>
  <c r="S225" i="52" s="1"/>
  <c r="AB255" i="1"/>
  <c r="S282" i="52" s="1"/>
  <c r="AB256" i="1"/>
  <c r="S283" i="52" s="1"/>
  <c r="AB83" i="1"/>
  <c r="S108" i="52" s="1"/>
  <c r="AK82" i="1"/>
  <c r="S106" i="43" s="1"/>
  <c r="BR82" i="1"/>
  <c r="BN82"/>
  <c r="BL82"/>
  <c r="BS82"/>
  <c r="BM82"/>
  <c r="BA82"/>
  <c r="BX82" s="1"/>
  <c r="Z107" i="52" s="1"/>
  <c r="AB107" s="1"/>
  <c r="AK259" i="1"/>
  <c r="S283" i="43" s="1"/>
  <c r="AK88" i="1"/>
  <c r="S112" i="43" s="1"/>
  <c r="AK141" i="1"/>
  <c r="S165" i="43" s="1"/>
  <c r="AC165" s="1"/>
  <c r="AK106" i="1"/>
  <c r="S130" i="43" s="1"/>
  <c r="AC130" s="1"/>
  <c r="AK134" i="1"/>
  <c r="S158" i="43" s="1"/>
  <c r="AC158" s="1"/>
  <c r="AK50" i="1"/>
  <c r="S74" i="43" s="1"/>
  <c r="BR162" i="1"/>
  <c r="BN162"/>
  <c r="BL162"/>
  <c r="BS162"/>
  <c r="BM162"/>
  <c r="BA162"/>
  <c r="BX162" s="1"/>
  <c r="Z188" i="52" s="1"/>
  <c r="AB188" s="1"/>
  <c r="BR88" i="1"/>
  <c r="BN88"/>
  <c r="BL88"/>
  <c r="BS88"/>
  <c r="BM88"/>
  <c r="BA88"/>
  <c r="BX88" s="1"/>
  <c r="Z113" i="52" s="1"/>
  <c r="AB113" s="1"/>
  <c r="BS134" i="1"/>
  <c r="BM134"/>
  <c r="BA134"/>
  <c r="BX134" s="1"/>
  <c r="Z159" i="52" s="1"/>
  <c r="AB159" s="1"/>
  <c r="BN134" i="1"/>
  <c r="BR134"/>
  <c r="BL134"/>
  <c r="AL120"/>
  <c r="AL102"/>
  <c r="AL229"/>
  <c r="BR141"/>
  <c r="BN141"/>
  <c r="BL141"/>
  <c r="BS141"/>
  <c r="BM141"/>
  <c r="BA141"/>
  <c r="BX141" s="1"/>
  <c r="Z166" i="52" s="1"/>
  <c r="AB166" s="1"/>
  <c r="BS120" i="1"/>
  <c r="BM120"/>
  <c r="BA120"/>
  <c r="BX120" s="1"/>
  <c r="Z145" i="52" s="1"/>
  <c r="AB145" s="1"/>
  <c r="BN120" i="1"/>
  <c r="BR120"/>
  <c r="BL120"/>
  <c r="AK126"/>
  <c r="S150" i="43" s="1"/>
  <c r="BR259" i="1"/>
  <c r="BN259"/>
  <c r="BL259"/>
  <c r="BS259"/>
  <c r="BM259"/>
  <c r="BA259"/>
  <c r="BX259" s="1"/>
  <c r="Z286" i="52" s="1"/>
  <c r="AB286" s="1"/>
  <c r="BS102" i="1"/>
  <c r="BM102"/>
  <c r="BA102"/>
  <c r="BX102" s="1"/>
  <c r="Z127" i="52" s="1"/>
  <c r="AB127" s="1"/>
  <c r="BN102" i="1"/>
  <c r="BR102"/>
  <c r="BL102"/>
  <c r="BR229"/>
  <c r="BN229"/>
  <c r="BL229"/>
  <c r="BS229"/>
  <c r="BM229"/>
  <c r="BA229"/>
  <c r="BX229" s="1"/>
  <c r="Z256" i="52" s="1"/>
  <c r="AB256" s="1"/>
  <c r="AK162" i="1"/>
  <c r="S186" i="43" s="1"/>
  <c r="BQ106" i="1"/>
  <c r="AG41"/>
  <c r="AB18"/>
  <c r="AB237"/>
  <c r="S264" i="52" s="1"/>
  <c r="AB32" i="1"/>
  <c r="AB308"/>
  <c r="S334" i="52" s="1"/>
  <c r="AB307" i="1"/>
  <c r="S333" i="52" s="1"/>
  <c r="AB235" i="1"/>
  <c r="S262" i="52" s="1"/>
  <c r="BF41" i="1"/>
  <c r="AB299"/>
  <c r="S326" i="52" s="1"/>
  <c r="AB304" i="1"/>
  <c r="S330" i="52" s="1"/>
  <c r="AB298" i="1"/>
  <c r="S325" i="52" s="1"/>
  <c r="AB208" i="1"/>
  <c r="S234" i="52" s="1"/>
  <c r="AB40" i="1"/>
  <c r="AB398"/>
  <c r="S437" i="52" s="1"/>
  <c r="AB195" i="1"/>
  <c r="S221" i="52" s="1"/>
  <c r="AB164" i="1"/>
  <c r="S190" i="52" s="1"/>
  <c r="AB22" i="1"/>
  <c r="AB260"/>
  <c r="S287" i="52" s="1"/>
  <c r="AB284" i="1"/>
  <c r="S311" i="52" s="1"/>
  <c r="AB37" i="1"/>
  <c r="AB373"/>
  <c r="AB381"/>
  <c r="AB275"/>
  <c r="S302" i="52" s="1"/>
  <c r="AB273" i="1"/>
  <c r="S300" i="52" s="1"/>
  <c r="AB403" i="1"/>
  <c r="AB402"/>
  <c r="AB306"/>
  <c r="S332" i="52" s="1"/>
  <c r="AB305" i="1"/>
  <c r="S331" i="52" s="1"/>
  <c r="AB302" i="1"/>
  <c r="S329" i="52" s="1"/>
  <c r="AB301" i="1"/>
  <c r="S328" i="52" s="1"/>
  <c r="AB300" i="1"/>
  <c r="S327" i="52" s="1"/>
  <c r="AB297" i="1"/>
  <c r="S324" i="52" s="1"/>
  <c r="AB296" i="1"/>
  <c r="S323" i="52" s="1"/>
  <c r="AB291" i="1"/>
  <c r="S318" i="52" s="1"/>
  <c r="AB290" i="1"/>
  <c r="S317" i="52" s="1"/>
  <c r="AB289" i="1"/>
  <c r="S316" i="52" s="1"/>
  <c r="AB288" i="1"/>
  <c r="S315" i="52" s="1"/>
  <c r="AB286" i="1"/>
  <c r="S313" i="52" s="1"/>
  <c r="AB285" i="1"/>
  <c r="S312" i="52" s="1"/>
  <c r="AB283" i="1"/>
  <c r="S310" i="52" s="1"/>
  <c r="AB282" i="1"/>
  <c r="S309" i="52" s="1"/>
  <c r="AB281" i="1"/>
  <c r="S308" i="52" s="1"/>
  <c r="AB279" i="1"/>
  <c r="S306" i="52" s="1"/>
  <c r="AB278" i="1"/>
  <c r="S305" i="52" s="1"/>
  <c r="AB276" i="1"/>
  <c r="S303" i="52" s="1"/>
  <c r="AB274" i="1"/>
  <c r="S301" i="52" s="1"/>
  <c r="AB268" i="1"/>
  <c r="S295" i="52" s="1"/>
  <c r="AB267" i="1"/>
  <c r="S294" i="52" s="1"/>
  <c r="AB266" i="1"/>
  <c r="S293" i="52" s="1"/>
  <c r="AB265" i="1"/>
  <c r="S292" i="52" s="1"/>
  <c r="AB264" i="1"/>
  <c r="S291" i="52" s="1"/>
  <c r="AB262" i="1"/>
  <c r="S289" i="52" s="1"/>
  <c r="AB261" i="1"/>
  <c r="S288" i="52" s="1"/>
  <c r="AB258" i="1"/>
  <c r="S285" i="52" s="1"/>
  <c r="AB257" i="1"/>
  <c r="S284" i="52" s="1"/>
  <c r="AB253" i="1"/>
  <c r="S280" i="52" s="1"/>
  <c r="AB250" i="1"/>
  <c r="S277" i="52" s="1"/>
  <c r="AB249" i="1"/>
  <c r="S276" i="52" s="1"/>
  <c r="AB248" i="1"/>
  <c r="S275" i="52" s="1"/>
  <c r="AB246" i="1"/>
  <c r="S273" i="52" s="1"/>
  <c r="AB245" i="1"/>
  <c r="S272" i="52" s="1"/>
  <c r="AB244" i="1"/>
  <c r="S271" i="52" s="1"/>
  <c r="AB242" i="1"/>
  <c r="S269" i="52" s="1"/>
  <c r="AB241" i="1"/>
  <c r="S268" i="52" s="1"/>
  <c r="AB240" i="1"/>
  <c r="S267" i="52" s="1"/>
  <c r="AB239" i="1"/>
  <c r="S266" i="52" s="1"/>
  <c r="AB238" i="1"/>
  <c r="S265" i="52" s="1"/>
  <c r="AB236" i="1"/>
  <c r="S263" i="52" s="1"/>
  <c r="AB234" i="1"/>
  <c r="S261" i="52" s="1"/>
  <c r="AB233" i="1"/>
  <c r="S260" i="52" s="1"/>
  <c r="AB231" i="1"/>
  <c r="S258" i="52" s="1"/>
  <c r="AB230" i="1"/>
  <c r="S257" i="52" s="1"/>
  <c r="S255"/>
  <c r="AB228" i="1"/>
  <c r="S254" i="52" s="1"/>
  <c r="AB227" i="1"/>
  <c r="S253" i="52" s="1"/>
  <c r="AB223" i="1"/>
  <c r="S249" i="52" s="1"/>
  <c r="AB222" i="1"/>
  <c r="S248" i="52" s="1"/>
  <c r="AB221" i="1"/>
  <c r="S247" i="52" s="1"/>
  <c r="AB220" i="1"/>
  <c r="S246" i="52" s="1"/>
  <c r="AB217" i="1"/>
  <c r="S243" i="52" s="1"/>
  <c r="AB214" i="1"/>
  <c r="S240" i="52" s="1"/>
  <c r="AB213" i="1"/>
  <c r="S239" i="52" s="1"/>
  <c r="AB212" i="1"/>
  <c r="S238" i="52" s="1"/>
  <c r="AB211" i="1"/>
  <c r="S237" i="52" s="1"/>
  <c r="AB209" i="1"/>
  <c r="S235" i="52" s="1"/>
  <c r="AB207" i="1"/>
  <c r="S233" i="52" s="1"/>
  <c r="AB206" i="1"/>
  <c r="S232" i="52" s="1"/>
  <c r="AB205" i="1"/>
  <c r="S231" i="52" s="1"/>
  <c r="AB204" i="1"/>
  <c r="S230" i="52" s="1"/>
  <c r="AB201" i="1"/>
  <c r="S227" i="52" s="1"/>
  <c r="AB200" i="1"/>
  <c r="S226" i="52" s="1"/>
  <c r="AB198" i="1"/>
  <c r="S224" i="52" s="1"/>
  <c r="AB197" i="1"/>
  <c r="S223" i="52" s="1"/>
  <c r="AB196" i="1"/>
  <c r="S222" i="52" s="1"/>
  <c r="AB193" i="1"/>
  <c r="S219" i="52" s="1"/>
  <c r="AB192" i="1"/>
  <c r="S218" i="52" s="1"/>
  <c r="AB191" i="1"/>
  <c r="S217" i="52" s="1"/>
  <c r="AB190" i="1"/>
  <c r="S216" i="52" s="1"/>
  <c r="AB189" i="1"/>
  <c r="S215" i="52" s="1"/>
  <c r="AB188" i="1"/>
  <c r="S214" i="52" s="1"/>
  <c r="AB187" i="1"/>
  <c r="S213" i="52" s="1"/>
  <c r="AB184" i="1"/>
  <c r="S210" i="52" s="1"/>
  <c r="AB182" i="1"/>
  <c r="S208" i="52" s="1"/>
  <c r="AB181" i="1"/>
  <c r="S207" i="52" s="1"/>
  <c r="AB180" i="1"/>
  <c r="S206" i="52" s="1"/>
  <c r="AB179" i="1"/>
  <c r="S205" i="52" s="1"/>
  <c r="AB177" i="1"/>
  <c r="S203" i="52" s="1"/>
  <c r="AB176" i="1"/>
  <c r="S202" i="52" s="1"/>
  <c r="AB175" i="1"/>
  <c r="S201" i="52" s="1"/>
  <c r="AB174" i="1"/>
  <c r="S200" i="52" s="1"/>
  <c r="AB173" i="1"/>
  <c r="S199" i="52" s="1"/>
  <c r="AB172" i="1"/>
  <c r="S198" i="52" s="1"/>
  <c r="AB171" i="1"/>
  <c r="S197" i="52" s="1"/>
  <c r="AB170" i="1"/>
  <c r="S196" i="52" s="1"/>
  <c r="AB169" i="1"/>
  <c r="S195" i="52" s="1"/>
  <c r="AB168" i="1"/>
  <c r="S194" i="52" s="1"/>
  <c r="AB167" i="1"/>
  <c r="S193" i="52" s="1"/>
  <c r="AB166" i="1"/>
  <c r="S192" i="52" s="1"/>
  <c r="AB165" i="1"/>
  <c r="S191" i="52" s="1"/>
  <c r="AB161" i="1"/>
  <c r="S187" i="52" s="1"/>
  <c r="AB163" i="1"/>
  <c r="S189" i="52" s="1"/>
  <c r="AB160" i="1"/>
  <c r="S186" i="52" s="1"/>
  <c r="AB159" i="1"/>
  <c r="S185" i="52" s="1"/>
  <c r="AB157" i="1"/>
  <c r="S183" i="52" s="1"/>
  <c r="AB155" i="1"/>
  <c r="S181" i="52" s="1"/>
  <c r="AB154" i="1"/>
  <c r="S180" i="52" s="1"/>
  <c r="AB153" i="1"/>
  <c r="S179" i="52" s="1"/>
  <c r="AB152" i="1"/>
  <c r="S178" i="52" s="1"/>
  <c r="AB151" i="1"/>
  <c r="S177" i="52" s="1"/>
  <c r="S176"/>
  <c r="AB150" i="1"/>
  <c r="S175" i="52" s="1"/>
  <c r="AB149" i="1"/>
  <c r="S174" i="52" s="1"/>
  <c r="AB148" i="1"/>
  <c r="S173" i="52" s="1"/>
  <c r="AB147" i="1"/>
  <c r="S172" i="52" s="1"/>
  <c r="AB146" i="1"/>
  <c r="S171" i="52" s="1"/>
  <c r="AB145" i="1"/>
  <c r="S170" i="52" s="1"/>
  <c r="AB144" i="1"/>
  <c r="S169" i="52" s="1"/>
  <c r="AB143" i="1"/>
  <c r="S168" i="52" s="1"/>
  <c r="AB142" i="1"/>
  <c r="S167" i="52" s="1"/>
  <c r="AB140" i="1"/>
  <c r="S165" i="52" s="1"/>
  <c r="AB139" i="1"/>
  <c r="S164" i="52" s="1"/>
  <c r="AB138" i="1"/>
  <c r="S163" i="52" s="1"/>
  <c r="AB137" i="1"/>
  <c r="S162" i="52" s="1"/>
  <c r="AB136" i="1"/>
  <c r="S161" i="52" s="1"/>
  <c r="AB133" i="1"/>
  <c r="S158" i="52" s="1"/>
  <c r="AB132" i="1"/>
  <c r="S157" i="52" s="1"/>
  <c r="AB131" i="1"/>
  <c r="S156" i="52" s="1"/>
  <c r="AB130" i="1"/>
  <c r="S155" i="52" s="1"/>
  <c r="AB127" i="1"/>
  <c r="S152" i="52" s="1"/>
  <c r="AB125" i="1"/>
  <c r="S150" i="52" s="1"/>
  <c r="AB124" i="1"/>
  <c r="S149" i="52" s="1"/>
  <c r="AB123" i="1"/>
  <c r="S148" i="52" s="1"/>
  <c r="AB122" i="1"/>
  <c r="S147" i="52" s="1"/>
  <c r="AB121" i="1"/>
  <c r="S146" i="52" s="1"/>
  <c r="AB117" i="1"/>
  <c r="S142" i="52" s="1"/>
  <c r="AB116" i="1"/>
  <c r="S141" i="52" s="1"/>
  <c r="AB115" i="1"/>
  <c r="S140" i="52" s="1"/>
  <c r="AB114" i="1"/>
  <c r="S139" i="52" s="1"/>
  <c r="AB113" i="1"/>
  <c r="S138" i="52" s="1"/>
  <c r="AB111" i="1"/>
  <c r="S136" i="52" s="1"/>
  <c r="AB110" i="1"/>
  <c r="S135" i="52" s="1"/>
  <c r="AB109" i="1"/>
  <c r="S134" i="52" s="1"/>
  <c r="AB105" i="1"/>
  <c r="S130" i="52" s="1"/>
  <c r="AB104" i="1"/>
  <c r="S129" i="52" s="1"/>
  <c r="AB103" i="1"/>
  <c r="S128" i="52" s="1"/>
  <c r="AB101" i="1"/>
  <c r="S126" i="52" s="1"/>
  <c r="AB99" i="1"/>
  <c r="S124" i="52" s="1"/>
  <c r="AB98" i="1"/>
  <c r="S123" i="52" s="1"/>
  <c r="AB97" i="1"/>
  <c r="S122" i="52" s="1"/>
  <c r="AB96" i="1"/>
  <c r="S121" i="52" s="1"/>
  <c r="AB95" i="1"/>
  <c r="S120" i="52" s="1"/>
  <c r="AB93" i="1"/>
  <c r="S118" i="52" s="1"/>
  <c r="AB92" i="1"/>
  <c r="S117" i="52" s="1"/>
  <c r="AB91" i="1"/>
  <c r="S116" i="52" s="1"/>
  <c r="AB89" i="1"/>
  <c r="S114" i="52" s="1"/>
  <c r="AB87" i="1"/>
  <c r="S112" i="52" s="1"/>
  <c r="AB86" i="1"/>
  <c r="S111" i="52" s="1"/>
  <c r="AB85" i="1"/>
  <c r="S110" i="52" s="1"/>
  <c r="AB84" i="1"/>
  <c r="S109" i="52" s="1"/>
  <c r="AB81" i="1"/>
  <c r="S106" i="52" s="1"/>
  <c r="AB80" i="1"/>
  <c r="S105" i="52" s="1"/>
  <c r="AB79" i="1"/>
  <c r="S104" i="52" s="1"/>
  <c r="AB78" i="1"/>
  <c r="S103" i="52" s="1"/>
  <c r="AB77" i="1"/>
  <c r="S102" i="52" s="1"/>
  <c r="AB76" i="1"/>
  <c r="S101" i="52" s="1"/>
  <c r="AB75" i="1"/>
  <c r="S100" i="52" s="1"/>
  <c r="AB74" i="1"/>
  <c r="S99" i="52" s="1"/>
  <c r="AB73" i="1"/>
  <c r="S98" i="52" s="1"/>
  <c r="AB72" i="1"/>
  <c r="S97" i="52" s="1"/>
  <c r="AB71" i="1"/>
  <c r="S96" i="52" s="1"/>
  <c r="AB70" i="1"/>
  <c r="S95" i="52" s="1"/>
  <c r="AB69" i="1"/>
  <c r="S94" i="52" s="1"/>
  <c r="AB68" i="1"/>
  <c r="S93" i="52" s="1"/>
  <c r="AB67" i="1"/>
  <c r="S92" i="52" s="1"/>
  <c r="AB65" i="1"/>
  <c r="S90" i="52" s="1"/>
  <c r="AB64" i="1"/>
  <c r="S89" i="52" s="1"/>
  <c r="AB63" i="1"/>
  <c r="S88" i="52" s="1"/>
  <c r="AB62" i="1"/>
  <c r="S87" i="52" s="1"/>
  <c r="AB61" i="1"/>
  <c r="S86" i="52" s="1"/>
  <c r="AB60" i="1"/>
  <c r="S85" i="52" s="1"/>
  <c r="AB59" i="1"/>
  <c r="S84" i="52" s="1"/>
  <c r="AB56" i="1"/>
  <c r="S81" i="52" s="1"/>
  <c r="AB55" i="1"/>
  <c r="S80" i="52" s="1"/>
  <c r="AB54" i="1"/>
  <c r="S79" i="52" s="1"/>
  <c r="AB53" i="1"/>
  <c r="S78" i="52" s="1"/>
  <c r="AB52" i="1"/>
  <c r="S77" i="52" s="1"/>
  <c r="AB49" i="1"/>
  <c r="S74" i="52" s="1"/>
  <c r="AB48" i="1"/>
  <c r="S73" i="52" s="1"/>
  <c r="AB47" i="1"/>
  <c r="S72" i="52" s="1"/>
  <c r="AB46" i="1"/>
  <c r="S71" i="52" s="1"/>
  <c r="AB314" i="1"/>
  <c r="AB316"/>
  <c r="AB319"/>
  <c r="AB321"/>
  <c r="AB323"/>
  <c r="AB325"/>
  <c r="AB327"/>
  <c r="AB329"/>
  <c r="AB332"/>
  <c r="AB333"/>
  <c r="AB335"/>
  <c r="AB337"/>
  <c r="AB339"/>
  <c r="AB341"/>
  <c r="AB343"/>
  <c r="AB345"/>
  <c r="AB347"/>
  <c r="AB349"/>
  <c r="AB351"/>
  <c r="AB354"/>
  <c r="AB356"/>
  <c r="AB359"/>
  <c r="AB361"/>
  <c r="AB363"/>
  <c r="AB365"/>
  <c r="AB367"/>
  <c r="AB369"/>
  <c r="AB371"/>
  <c r="AB375"/>
  <c r="AB377"/>
  <c r="AB379"/>
  <c r="AB382"/>
  <c r="AB384"/>
  <c r="AB386"/>
  <c r="AB388"/>
  <c r="AB390"/>
  <c r="AB392"/>
  <c r="AB394"/>
  <c r="AB396"/>
  <c r="AB400"/>
  <c r="AB313"/>
  <c r="AB315"/>
  <c r="AB317"/>
  <c r="AB318"/>
  <c r="AB320"/>
  <c r="AB322"/>
  <c r="AB324"/>
  <c r="AB326"/>
  <c r="AB328"/>
  <c r="AB330"/>
  <c r="AB334"/>
  <c r="AB336"/>
  <c r="AB338"/>
  <c r="AB340"/>
  <c r="AB342"/>
  <c r="AB344"/>
  <c r="AB346"/>
  <c r="AB348"/>
  <c r="AB350"/>
  <c r="AB352"/>
  <c r="AB353"/>
  <c r="AB355"/>
  <c r="AB357"/>
  <c r="AB360"/>
  <c r="AB362"/>
  <c r="AB364"/>
  <c r="AB366"/>
  <c r="AB368"/>
  <c r="AB370"/>
  <c r="AB374"/>
  <c r="AB376"/>
  <c r="AB378"/>
  <c r="AB380"/>
  <c r="AB383"/>
  <c r="AB387"/>
  <c r="AB391"/>
  <c r="AB270"/>
  <c r="S297" i="52" s="1"/>
  <c r="AB395" i="1"/>
  <c r="AB399"/>
  <c r="AB401"/>
  <c r="AB44"/>
  <c r="S69" i="52" s="1"/>
  <c r="AB45" i="1"/>
  <c r="S70" i="52" s="1"/>
  <c r="AB39" i="1"/>
  <c r="AB36"/>
  <c r="AB35"/>
  <c r="AB34"/>
  <c r="AB33"/>
  <c r="AB31"/>
  <c r="AB30"/>
  <c r="AB29"/>
  <c r="AB28"/>
  <c r="AB27"/>
  <c r="AB26"/>
  <c r="AB24"/>
  <c r="AB23"/>
  <c r="AB21"/>
  <c r="AB20"/>
  <c r="AB19"/>
  <c r="AB17"/>
  <c r="S33" i="52" s="1"/>
  <c r="AB43" i="1"/>
  <c r="AB312"/>
  <c r="Q14"/>
  <c r="CG106" l="1"/>
  <c r="CB106"/>
  <c r="AC106" i="43"/>
  <c r="AC150"/>
  <c r="AC74"/>
  <c r="AC112"/>
  <c r="AC90"/>
  <c r="AC287"/>
  <c r="AC186"/>
  <c r="AC144"/>
  <c r="AC283"/>
  <c r="AC253"/>
  <c r="F263" i="40"/>
  <c r="W280" i="45"/>
  <c r="L260" i="44"/>
  <c r="G127" i="37"/>
  <c r="Q121" i="44"/>
  <c r="F145" i="41"/>
  <c r="J142" i="44"/>
  <c r="U162" i="45"/>
  <c r="F138" i="40"/>
  <c r="L135" i="44"/>
  <c r="W155" i="45"/>
  <c r="F92" i="40"/>
  <c r="L89" i="44"/>
  <c r="W109" i="45"/>
  <c r="G169" i="37"/>
  <c r="Q163" i="44"/>
  <c r="G89" i="37"/>
  <c r="Q83" i="44"/>
  <c r="F70" i="41"/>
  <c r="J67" i="44"/>
  <c r="U87" i="45"/>
  <c r="F267" i="41"/>
  <c r="J264" i="44"/>
  <c r="U284" i="45"/>
  <c r="G267" i="41"/>
  <c r="V284" i="45"/>
  <c r="K264" i="44"/>
  <c r="F133" i="37"/>
  <c r="P127" i="44"/>
  <c r="G133" i="37"/>
  <c r="Q127" i="44"/>
  <c r="G54" i="41"/>
  <c r="K51" i="44"/>
  <c r="V71" i="45"/>
  <c r="F54" i="40"/>
  <c r="L51" i="44"/>
  <c r="W71" i="45"/>
  <c r="G57" i="37"/>
  <c r="Q51" i="44"/>
  <c r="G233" i="41"/>
  <c r="K230" i="44"/>
  <c r="V250" i="45"/>
  <c r="F236" i="37"/>
  <c r="P230" i="44"/>
  <c r="G263" i="41"/>
  <c r="K260" i="44"/>
  <c r="V280" i="45"/>
  <c r="F266" i="37"/>
  <c r="P260" i="44"/>
  <c r="F124" i="40"/>
  <c r="L121" i="44"/>
  <c r="W141" i="45"/>
  <c r="F145" i="40"/>
  <c r="L142" i="44"/>
  <c r="W162" i="45"/>
  <c r="G92" i="41"/>
  <c r="K89" i="44"/>
  <c r="V109" i="45"/>
  <c r="F95" i="37"/>
  <c r="P89" i="44"/>
  <c r="F166" i="41"/>
  <c r="J163" i="44"/>
  <c r="U183" i="45"/>
  <c r="F86" i="41"/>
  <c r="J83" i="44"/>
  <c r="U103" i="45"/>
  <c r="F73" i="37"/>
  <c r="P67" i="44"/>
  <c r="G70" i="41"/>
  <c r="K67" i="44"/>
  <c r="V87" i="45"/>
  <c r="G270" i="37"/>
  <c r="Q264" i="44"/>
  <c r="F125" i="37"/>
  <c r="P119" i="44"/>
  <c r="G62" i="41"/>
  <c r="K59" i="44"/>
  <c r="V79" i="45"/>
  <c r="G65" i="37"/>
  <c r="Q59" i="44"/>
  <c r="F122" i="41"/>
  <c r="J119" i="44"/>
  <c r="U139" i="45"/>
  <c r="F233" i="40"/>
  <c r="L230" i="44"/>
  <c r="W250" i="45"/>
  <c r="F106" i="40"/>
  <c r="L103" i="44"/>
  <c r="W123" i="45"/>
  <c r="F127" i="37"/>
  <c r="P121" i="44"/>
  <c r="G236" i="37"/>
  <c r="Q230" i="44"/>
  <c r="F106" i="41"/>
  <c r="U123" i="45"/>
  <c r="J103" i="44"/>
  <c r="G106" i="41"/>
  <c r="K103" i="44"/>
  <c r="V123" i="45"/>
  <c r="G266" i="37"/>
  <c r="Q260" i="44"/>
  <c r="G145" i="41"/>
  <c r="K142" i="44"/>
  <c r="V162" i="45"/>
  <c r="F148" i="37"/>
  <c r="P142" i="44"/>
  <c r="F138" i="41"/>
  <c r="J135" i="44"/>
  <c r="U155" i="45"/>
  <c r="G138" i="41"/>
  <c r="K135" i="44"/>
  <c r="V155" i="45"/>
  <c r="G95" i="37"/>
  <c r="Q89" i="44"/>
  <c r="F166" i="40"/>
  <c r="L163" i="44"/>
  <c r="W183" i="45"/>
  <c r="F86" i="40"/>
  <c r="W103" i="45"/>
  <c r="L83" i="44"/>
  <c r="G73" i="37"/>
  <c r="Q67" i="44"/>
  <c r="AH156" i="1"/>
  <c r="Q177" i="45" s="1"/>
  <c r="F122" i="40"/>
  <c r="L119" i="44"/>
  <c r="W139" i="45"/>
  <c r="F130" i="41"/>
  <c r="J127" i="44"/>
  <c r="U147" i="45"/>
  <c r="F62" i="40"/>
  <c r="W79" i="45"/>
  <c r="L59" i="44"/>
  <c r="F57" i="37"/>
  <c r="P51" i="44"/>
  <c r="G130" i="41"/>
  <c r="K127" i="44"/>
  <c r="V147" i="45"/>
  <c r="F233" i="41"/>
  <c r="U250" i="45"/>
  <c r="J230" i="44"/>
  <c r="F109" i="37"/>
  <c r="P103" i="44"/>
  <c r="G109" i="37"/>
  <c r="Q103" i="44"/>
  <c r="F263" i="41"/>
  <c r="J260" i="44"/>
  <c r="U280" i="45"/>
  <c r="F124" i="41"/>
  <c r="J121" i="44"/>
  <c r="U141" i="45"/>
  <c r="G124" i="41"/>
  <c r="K121" i="44"/>
  <c r="V141" i="45"/>
  <c r="G148" i="37"/>
  <c r="Q142" i="44"/>
  <c r="F141" i="37"/>
  <c r="P135" i="44"/>
  <c r="G141" i="37"/>
  <c r="Q135" i="44"/>
  <c r="F92" i="41"/>
  <c r="J89" i="44"/>
  <c r="U109" i="45"/>
  <c r="G166" i="41"/>
  <c r="K163" i="44"/>
  <c r="O163" s="1"/>
  <c r="V183" i="45"/>
  <c r="F169" i="37"/>
  <c r="P163" i="44"/>
  <c r="G86" i="41"/>
  <c r="K83" i="44"/>
  <c r="V103" i="45"/>
  <c r="F89" i="37"/>
  <c r="P83" i="44"/>
  <c r="F70" i="40"/>
  <c r="L67" i="44"/>
  <c r="W87" i="45"/>
  <c r="F113" i="36"/>
  <c r="R107" i="44"/>
  <c r="S107" s="1"/>
  <c r="F267" i="40"/>
  <c r="L264" i="44"/>
  <c r="W284" i="45"/>
  <c r="F270" i="37"/>
  <c r="P264" i="44"/>
  <c r="G122" i="41"/>
  <c r="K119" i="44"/>
  <c r="V139" i="45"/>
  <c r="F130" i="40"/>
  <c r="L127" i="44"/>
  <c r="W147" i="45"/>
  <c r="F62" i="41"/>
  <c r="J59" i="44"/>
  <c r="U79" i="45"/>
  <c r="G125" i="37"/>
  <c r="Q119" i="44"/>
  <c r="F54" i="41"/>
  <c r="J51" i="44"/>
  <c r="U71" i="45"/>
  <c r="F65" i="37"/>
  <c r="P59" i="44"/>
  <c r="Z142" i="45"/>
  <c r="O107" i="44"/>
  <c r="AH292" i="1"/>
  <c r="AD292"/>
  <c r="AH224"/>
  <c r="AD224"/>
  <c r="AE224" s="1"/>
  <c r="AH389"/>
  <c r="Q419" i="45" s="1"/>
  <c r="AD389" i="1"/>
  <c r="AJ389" s="1"/>
  <c r="S322" i="52"/>
  <c r="S270"/>
  <c r="AH303" i="1"/>
  <c r="Q324" i="45" s="1"/>
  <c r="AD303" i="1"/>
  <c r="AJ303" s="1"/>
  <c r="BZ50"/>
  <c r="CN58"/>
  <c r="BT50"/>
  <c r="BV50" s="1"/>
  <c r="CN118"/>
  <c r="BQ50"/>
  <c r="CB50" s="1"/>
  <c r="AD251"/>
  <c r="U278" i="52" s="1"/>
  <c r="BQ58" i="1"/>
  <c r="CB58" s="1"/>
  <c r="AH225"/>
  <c r="AD225"/>
  <c r="AH243"/>
  <c r="AD243"/>
  <c r="AH272"/>
  <c r="AD272"/>
  <c r="S35" i="52"/>
  <c r="S352"/>
  <c r="S36"/>
  <c r="S39"/>
  <c r="S43"/>
  <c r="S45"/>
  <c r="S47"/>
  <c r="S50"/>
  <c r="S52"/>
  <c r="S56"/>
  <c r="S438"/>
  <c r="S427"/>
  <c r="S420"/>
  <c r="S416"/>
  <c r="S410"/>
  <c r="S406"/>
  <c r="S402"/>
  <c r="S397"/>
  <c r="S393"/>
  <c r="S390"/>
  <c r="S386"/>
  <c r="S382"/>
  <c r="S378"/>
  <c r="S374"/>
  <c r="S368"/>
  <c r="S364"/>
  <c r="S360"/>
  <c r="S357"/>
  <c r="S353"/>
  <c r="S435"/>
  <c r="S431"/>
  <c r="S428"/>
  <c r="S424"/>
  <c r="S419"/>
  <c r="S415"/>
  <c r="S409"/>
  <c r="S405"/>
  <c r="S401"/>
  <c r="S396"/>
  <c r="S391"/>
  <c r="S387"/>
  <c r="S383"/>
  <c r="S379"/>
  <c r="S375"/>
  <c r="S372"/>
  <c r="S367"/>
  <c r="S363"/>
  <c r="S359"/>
  <c r="S354"/>
  <c r="S442"/>
  <c r="S421"/>
  <c r="S413"/>
  <c r="S38"/>
  <c r="S57"/>
  <c r="S49"/>
  <c r="S34"/>
  <c r="S42"/>
  <c r="S398"/>
  <c r="S425"/>
  <c r="S55"/>
  <c r="S412"/>
  <c r="S432"/>
  <c r="S68"/>
  <c r="S37"/>
  <c r="S40"/>
  <c r="S44"/>
  <c r="S46"/>
  <c r="S48"/>
  <c r="S51"/>
  <c r="S53"/>
  <c r="S441"/>
  <c r="S434"/>
  <c r="S430"/>
  <c r="S423"/>
  <c r="S418"/>
  <c r="S414"/>
  <c r="S408"/>
  <c r="S404"/>
  <c r="S400"/>
  <c r="S395"/>
  <c r="S392"/>
  <c r="S388"/>
  <c r="S384"/>
  <c r="S380"/>
  <c r="S376"/>
  <c r="S370"/>
  <c r="S366"/>
  <c r="S362"/>
  <c r="S358"/>
  <c r="S355"/>
  <c r="S439"/>
  <c r="S433"/>
  <c r="S429"/>
  <c r="S426"/>
  <c r="S422"/>
  <c r="S417"/>
  <c r="S411"/>
  <c r="S407"/>
  <c r="S403"/>
  <c r="S399"/>
  <c r="S394"/>
  <c r="S389"/>
  <c r="S385"/>
  <c r="S381"/>
  <c r="S377"/>
  <c r="S373"/>
  <c r="S369"/>
  <c r="S365"/>
  <c r="S361"/>
  <c r="S356"/>
  <c r="S443"/>
  <c r="S440"/>
  <c r="S54"/>
  <c r="S41"/>
  <c r="S436"/>
  <c r="AH251" i="1"/>
  <c r="Q272" i="45" s="1"/>
  <c r="CN141" i="1"/>
  <c r="BT58"/>
  <c r="AM58"/>
  <c r="AM66"/>
  <c r="AM263"/>
  <c r="BZ126"/>
  <c r="BT126"/>
  <c r="CN229"/>
  <c r="AH295"/>
  <c r="AD295"/>
  <c r="U322" i="52" s="1"/>
  <c r="CN88" i="1"/>
  <c r="CN259"/>
  <c r="CN126"/>
  <c r="BZ58"/>
  <c r="BQ126"/>
  <c r="CB126" s="1"/>
  <c r="BQ118"/>
  <c r="CB118" s="1"/>
  <c r="BT118"/>
  <c r="BZ118"/>
  <c r="CN66"/>
  <c r="CN82"/>
  <c r="CN134"/>
  <c r="CN162"/>
  <c r="CN102"/>
  <c r="CN120"/>
  <c r="AH17"/>
  <c r="Q30" i="45" s="1"/>
  <c r="AD287" i="1"/>
  <c r="AH398"/>
  <c r="Q428" i="45" s="1"/>
  <c r="AH178" i="1"/>
  <c r="Q199" i="45" s="1"/>
  <c r="AD156" i="1"/>
  <c r="U182" i="52" s="1"/>
  <c r="AH218" i="1"/>
  <c r="Q239" i="45" s="1"/>
  <c r="BZ229" i="1"/>
  <c r="BZ259"/>
  <c r="BZ120"/>
  <c r="BZ88"/>
  <c r="BZ162"/>
  <c r="BZ82"/>
  <c r="BZ66"/>
  <c r="BZ263"/>
  <c r="BZ102"/>
  <c r="BZ141"/>
  <c r="BZ134"/>
  <c r="CN263"/>
  <c r="BT263"/>
  <c r="AH269"/>
  <c r="Q290" i="45" s="1"/>
  <c r="AD269" i="1"/>
  <c r="U296" i="52" s="1"/>
  <c r="AH397" i="1"/>
  <c r="Q427" i="45" s="1"/>
  <c r="AD397" i="1"/>
  <c r="AH331"/>
  <c r="Q361" i="45" s="1"/>
  <c r="AD331" i="1"/>
  <c r="U250" i="52"/>
  <c r="AH216" i="1"/>
  <c r="Q237" i="45" s="1"/>
  <c r="AD216" i="1"/>
  <c r="U242" i="52" s="1"/>
  <c r="AH119" i="1"/>
  <c r="Q140" i="45" s="1"/>
  <c r="AD119" i="1"/>
  <c r="U144" i="52" s="1"/>
  <c r="AH393" i="1"/>
  <c r="Q423" i="45" s="1"/>
  <c r="AD393" i="1"/>
  <c r="AH57"/>
  <c r="Q78" i="45" s="1"/>
  <c r="AD57" i="1"/>
  <c r="U82" i="52" s="1"/>
  <c r="AH372" i="1"/>
  <c r="Q402" i="45" s="1"/>
  <c r="AD372" i="1"/>
  <c r="U412" i="52" s="1"/>
  <c r="AH90" i="1"/>
  <c r="Q111" i="45" s="1"/>
  <c r="AD90" i="1"/>
  <c r="U115" i="52" s="1"/>
  <c r="AH254" i="1"/>
  <c r="Q275" i="45" s="1"/>
  <c r="AD254" i="1"/>
  <c r="U281" i="52" s="1"/>
  <c r="AH38" i="1"/>
  <c r="Q51" i="45" s="1"/>
  <c r="AD38" i="1"/>
  <c r="U55" i="52" s="1"/>
  <c r="AH385" i="1"/>
  <c r="Q415" i="45" s="1"/>
  <c r="AD385" i="1"/>
  <c r="U425" i="52" s="1"/>
  <c r="AH108" i="1"/>
  <c r="Q129" i="45" s="1"/>
  <c r="AD108" i="1"/>
  <c r="U133" i="52" s="1"/>
  <c r="BV106" i="1"/>
  <c r="CT106" s="1"/>
  <c r="AH280"/>
  <c r="Q301" i="45" s="1"/>
  <c r="AD280" i="1"/>
  <c r="U307" i="52" s="1"/>
  <c r="AH277" i="1"/>
  <c r="Q298" i="45" s="1"/>
  <c r="AD277" i="1"/>
  <c r="U304" i="52" s="1"/>
  <c r="AD218" i="1"/>
  <c r="U244" i="52" s="1"/>
  <c r="AH219" i="1"/>
  <c r="Q240" i="45" s="1"/>
  <c r="AD219" i="1"/>
  <c r="U245" i="52" s="1"/>
  <c r="AH135" i="1"/>
  <c r="Q156" i="45" s="1"/>
  <c r="AD135" i="1"/>
  <c r="U160" i="52" s="1"/>
  <c r="AH203" i="1"/>
  <c r="Q224" i="45" s="1"/>
  <c r="AD203" i="1"/>
  <c r="U229" i="52" s="1"/>
  <c r="BQ263" i="1"/>
  <c r="CB263" s="1"/>
  <c r="AM118"/>
  <c r="BT229"/>
  <c r="BT259"/>
  <c r="BT120"/>
  <c r="BT88"/>
  <c r="BT102"/>
  <c r="BT141"/>
  <c r="BT134"/>
  <c r="BT162"/>
  <c r="BT82"/>
  <c r="BT66"/>
  <c r="AH186"/>
  <c r="Q207" i="45" s="1"/>
  <c r="AD186" i="1"/>
  <c r="U212" i="52" s="1"/>
  <c r="AH100" i="1"/>
  <c r="Q121" i="45" s="1"/>
  <c r="AD100" i="1"/>
  <c r="U125" i="52" s="1"/>
  <c r="AH215" i="1"/>
  <c r="Q236" i="45" s="1"/>
  <c r="AD215" i="1"/>
  <c r="U241" i="52" s="1"/>
  <c r="AH247" i="1"/>
  <c r="Q268" i="45" s="1"/>
  <c r="AD247" i="1"/>
  <c r="U274" i="52" s="1"/>
  <c r="AH112" i="1"/>
  <c r="Q133" i="45" s="1"/>
  <c r="AD112" i="1"/>
  <c r="U137" i="52" s="1"/>
  <c r="AD178" i="1"/>
  <c r="U204" i="52" s="1"/>
  <c r="AH232" i="1"/>
  <c r="Q253" i="45" s="1"/>
  <c r="AD232" i="1"/>
  <c r="U259" i="52" s="1"/>
  <c r="AH129" i="1"/>
  <c r="Q150" i="45" s="1"/>
  <c r="AD129" i="1"/>
  <c r="U154" i="52" s="1"/>
  <c r="AH358" i="1"/>
  <c r="Q388" i="45" s="1"/>
  <c r="AD358" i="1"/>
  <c r="AH202"/>
  <c r="Q223" i="45" s="1"/>
  <c r="AD202" i="1"/>
  <c r="U228" i="52" s="1"/>
  <c r="AH226" i="1"/>
  <c r="Q247" i="45" s="1"/>
  <c r="AD226" i="1"/>
  <c r="U252" i="52" s="1"/>
  <c r="AH25" i="1"/>
  <c r="Q38" i="45" s="1"/>
  <c r="AD25" i="1"/>
  <c r="U41" i="52" s="1"/>
  <c r="CP358" i="1"/>
  <c r="AH183"/>
  <c r="Q204" i="45" s="1"/>
  <c r="AD183" i="1"/>
  <c r="U209" i="52" s="1"/>
  <c r="AH158" i="1"/>
  <c r="Q179" i="45" s="1"/>
  <c r="AD158" i="1"/>
  <c r="U184" i="52" s="1"/>
  <c r="U42"/>
  <c r="AH294" i="1"/>
  <c r="Q315" i="45" s="1"/>
  <c r="AD294" i="1"/>
  <c r="U321" i="52" s="1"/>
  <c r="AH210" i="1"/>
  <c r="Q231" i="45" s="1"/>
  <c r="AD210" i="1"/>
  <c r="U236" i="52" s="1"/>
  <c r="AH293" i="1"/>
  <c r="Q314" i="45" s="1"/>
  <c r="AD293" i="1"/>
  <c r="U320" i="52" s="1"/>
  <c r="AM82" i="1"/>
  <c r="AH287"/>
  <c r="Q308" i="45" s="1"/>
  <c r="AH128" i="1"/>
  <c r="Q149" i="45" s="1"/>
  <c r="AD128" i="1"/>
  <c r="U153" i="52" s="1"/>
  <c r="AH271" i="1"/>
  <c r="Q292" i="45" s="1"/>
  <c r="AD271" i="1"/>
  <c r="U298" i="52" s="1"/>
  <c r="AH94" i="1"/>
  <c r="Q115" i="45" s="1"/>
  <c r="AD94" i="1"/>
  <c r="U119" i="52" s="1"/>
  <c r="AH107" i="1"/>
  <c r="Q128" i="45" s="1"/>
  <c r="AD107" i="1"/>
  <c r="U132" i="52" s="1"/>
  <c r="AB15" i="1"/>
  <c r="BQ66"/>
  <c r="CB66" s="1"/>
  <c r="AM229"/>
  <c r="AM120"/>
  <c r="AM102"/>
  <c r="AM126"/>
  <c r="AM141"/>
  <c r="AM88"/>
  <c r="AM162"/>
  <c r="AM50"/>
  <c r="AM134"/>
  <c r="AM106"/>
  <c r="AM259"/>
  <c r="AH255"/>
  <c r="Q276" i="45" s="1"/>
  <c r="AD255" i="1"/>
  <c r="U282" i="52" s="1"/>
  <c r="AH51" i="1"/>
  <c r="Q72" i="45" s="1"/>
  <c r="AD51" i="1"/>
  <c r="U76" i="52" s="1"/>
  <c r="AH194" i="1"/>
  <c r="Q215" i="45" s="1"/>
  <c r="AD194" i="1"/>
  <c r="U220" i="52" s="1"/>
  <c r="AH252" i="1"/>
  <c r="Q273" i="45" s="1"/>
  <c r="AD252" i="1"/>
  <c r="U279" i="52" s="1"/>
  <c r="AH83" i="1"/>
  <c r="Q104" i="45" s="1"/>
  <c r="AD83" i="1"/>
  <c r="U108" i="52" s="1"/>
  <c r="AH256" i="1"/>
  <c r="Q277" i="45" s="1"/>
  <c r="AD256" i="1"/>
  <c r="U283" i="52" s="1"/>
  <c r="AH199" i="1"/>
  <c r="Q220" i="45" s="1"/>
  <c r="AD199" i="1"/>
  <c r="U225" i="52" s="1"/>
  <c r="AH309" i="1"/>
  <c r="Q330" i="45" s="1"/>
  <c r="AD309" i="1"/>
  <c r="U335" i="52" s="1"/>
  <c r="BQ82" i="1"/>
  <c r="CB82" s="1"/>
  <c r="BQ259"/>
  <c r="CB259" s="1"/>
  <c r="BQ120"/>
  <c r="CB120" s="1"/>
  <c r="BQ141"/>
  <c r="CB141" s="1"/>
  <c r="BQ88"/>
  <c r="CB88" s="1"/>
  <c r="BQ162"/>
  <c r="CB162" s="1"/>
  <c r="BQ229"/>
  <c r="CB229" s="1"/>
  <c r="BQ102"/>
  <c r="CB102" s="1"/>
  <c r="BQ134"/>
  <c r="CB134" s="1"/>
  <c r="AH43"/>
  <c r="AH19"/>
  <c r="Q32" i="45" s="1"/>
  <c r="AH21" i="1"/>
  <c r="Q34" i="45" s="1"/>
  <c r="AH24" i="1"/>
  <c r="Q37" i="45" s="1"/>
  <c r="AH26" i="1"/>
  <c r="Q39" i="45" s="1"/>
  <c r="AH28" i="1"/>
  <c r="Q41" i="45" s="1"/>
  <c r="AH29" i="1"/>
  <c r="Q42" i="45" s="1"/>
  <c r="AH31" i="1"/>
  <c r="Q44" i="45" s="1"/>
  <c r="AH33" i="1"/>
  <c r="Q46" i="45" s="1"/>
  <c r="AH35" i="1"/>
  <c r="Q48" i="45" s="1"/>
  <c r="AH39" i="1"/>
  <c r="Q52" i="45" s="1"/>
  <c r="AH44" i="1"/>
  <c r="Q65" i="45" s="1"/>
  <c r="AH399" i="1"/>
  <c r="Q429" i="45" s="1"/>
  <c r="AH270" i="1"/>
  <c r="Q291" i="45" s="1"/>
  <c r="AH380" i="1"/>
  <c r="Q410" i="45" s="1"/>
  <c r="AH376" i="1"/>
  <c r="Q406" i="45" s="1"/>
  <c r="AH370" i="1"/>
  <c r="Q400" i="45" s="1"/>
  <c r="AH366" i="1"/>
  <c r="Q396" i="45" s="1"/>
  <c r="AH362" i="1"/>
  <c r="Q392" i="45" s="1"/>
  <c r="AH357" i="1"/>
  <c r="Q387" i="45" s="1"/>
  <c r="AH353" i="1"/>
  <c r="Q383" i="45" s="1"/>
  <c r="AH350" i="1"/>
  <c r="Q380" i="45" s="1"/>
  <c r="AH346" i="1"/>
  <c r="Q376" i="45" s="1"/>
  <c r="AH342" i="1"/>
  <c r="Q372" i="45" s="1"/>
  <c r="AH338" i="1"/>
  <c r="Q368" i="45" s="1"/>
  <c r="AH334" i="1"/>
  <c r="Q364" i="45" s="1"/>
  <c r="AH330" i="1"/>
  <c r="Q360" i="45" s="1"/>
  <c r="AH326" i="1"/>
  <c r="Q356" i="45" s="1"/>
  <c r="AH322" i="1"/>
  <c r="Q352" i="45" s="1"/>
  <c r="AH318" i="1"/>
  <c r="Q348" i="45" s="1"/>
  <c r="AH315" i="1"/>
  <c r="Q345" i="45" s="1"/>
  <c r="AH400" i="1"/>
  <c r="Q430" i="45" s="1"/>
  <c r="AH394" i="1"/>
  <c r="Q424" i="45" s="1"/>
  <c r="AH390" i="1"/>
  <c r="Q420" i="45" s="1"/>
  <c r="AH386" i="1"/>
  <c r="Q416" i="45" s="1"/>
  <c r="AH382" i="1"/>
  <c r="Q412" i="45" s="1"/>
  <c r="AH377" i="1"/>
  <c r="Q407" i="45" s="1"/>
  <c r="AH371" i="1"/>
  <c r="Q401" i="45" s="1"/>
  <c r="AH367" i="1"/>
  <c r="Q397" i="45" s="1"/>
  <c r="AH363" i="1"/>
  <c r="Q393" i="45" s="1"/>
  <c r="AH359" i="1"/>
  <c r="Q389" i="45" s="1"/>
  <c r="AH354" i="1"/>
  <c r="Q384" i="45" s="1"/>
  <c r="AH351" i="1"/>
  <c r="Q381" i="45" s="1"/>
  <c r="AH347" i="1"/>
  <c r="Q377" i="45" s="1"/>
  <c r="AH343" i="1"/>
  <c r="Q373" i="45" s="1"/>
  <c r="AH339" i="1"/>
  <c r="Q369" i="45" s="1"/>
  <c r="AH335" i="1"/>
  <c r="Q365" i="45" s="1"/>
  <c r="AH332" i="1"/>
  <c r="Q362" i="45" s="1"/>
  <c r="AH327" i="1"/>
  <c r="Q357" i="45" s="1"/>
  <c r="AH323" i="1"/>
  <c r="Q353" i="45" s="1"/>
  <c r="AH319" i="1"/>
  <c r="Q349" i="45" s="1"/>
  <c r="AH314" i="1"/>
  <c r="Q344" i="45" s="1"/>
  <c r="AH47" i="1"/>
  <c r="Q68" i="45" s="1"/>
  <c r="AH49" i="1"/>
  <c r="Q70" i="45" s="1"/>
  <c r="AH53" i="1"/>
  <c r="Q74" i="45" s="1"/>
  <c r="AH55" i="1"/>
  <c r="Q76" i="45" s="1"/>
  <c r="AH60" i="1"/>
  <c r="Q81" i="45" s="1"/>
  <c r="AH62" i="1"/>
  <c r="Q83" i="45" s="1"/>
  <c r="AH64" i="1"/>
  <c r="Q85" i="45" s="1"/>
  <c r="AH67" i="1"/>
  <c r="Q88" i="45" s="1"/>
  <c r="AH69" i="1"/>
  <c r="Q90" i="45" s="1"/>
  <c r="AH71" i="1"/>
  <c r="Q92" i="45" s="1"/>
  <c r="AH73" i="1"/>
  <c r="Q94" i="45" s="1"/>
  <c r="AH75" i="1"/>
  <c r="Q96" i="45" s="1"/>
  <c r="AH78" i="1"/>
  <c r="Q99" i="45" s="1"/>
  <c r="AH80" i="1"/>
  <c r="Q101" i="45" s="1"/>
  <c r="AH84" i="1"/>
  <c r="Q105" i="45" s="1"/>
  <c r="AH86" i="1"/>
  <c r="Q107" i="45" s="1"/>
  <c r="AH91" i="1"/>
  <c r="Q112" i="45" s="1"/>
  <c r="AH93" i="1"/>
  <c r="Q114" i="45" s="1"/>
  <c r="AH95" i="1"/>
  <c r="Q116" i="45" s="1"/>
  <c r="AH97" i="1"/>
  <c r="Q118" i="45" s="1"/>
  <c r="AH99" i="1"/>
  <c r="Q120" i="45" s="1"/>
  <c r="AH101" i="1"/>
  <c r="Q122" i="45" s="1"/>
  <c r="AH105" i="1"/>
  <c r="Q126" i="45" s="1"/>
  <c r="AH109" i="1"/>
  <c r="Q130" i="45" s="1"/>
  <c r="AH113" i="1"/>
  <c r="Q134" i="45" s="1"/>
  <c r="AH115" i="1"/>
  <c r="Q136" i="45" s="1"/>
  <c r="AH117" i="1"/>
  <c r="Q138" i="45" s="1"/>
  <c r="AH121" i="1"/>
  <c r="Q142" i="45" s="1"/>
  <c r="AH124" i="1"/>
  <c r="Q145" i="45" s="1"/>
  <c r="AH127" i="1"/>
  <c r="Q148" i="45" s="1"/>
  <c r="AH131" i="1"/>
  <c r="Q152" i="45" s="1"/>
  <c r="AH133" i="1"/>
  <c r="Q154" i="45" s="1"/>
  <c r="AH137" i="1"/>
  <c r="Q158" i="45" s="1"/>
  <c r="AH139" i="1"/>
  <c r="Q160" i="45" s="1"/>
  <c r="AH143" i="1"/>
  <c r="Q164" i="45" s="1"/>
  <c r="AH145" i="1"/>
  <c r="Q166" i="45" s="1"/>
  <c r="AH148" i="1"/>
  <c r="Q169" i="45" s="1"/>
  <c r="AH150" i="1"/>
  <c r="Q171" i="45" s="1"/>
  <c r="AH151" i="1"/>
  <c r="Q172" i="45" s="1"/>
  <c r="AH153" i="1"/>
  <c r="Q174" i="45" s="1"/>
  <c r="AH155" i="1"/>
  <c r="Q176" i="45" s="1"/>
  <c r="AH160" i="1"/>
  <c r="Q181" i="45" s="1"/>
  <c r="AH161" i="1"/>
  <c r="Q182" i="45" s="1"/>
  <c r="AH166" i="1"/>
  <c r="Q187" i="45" s="1"/>
  <c r="AH168" i="1"/>
  <c r="Q189" i="45" s="1"/>
  <c r="AH170" i="1"/>
  <c r="Q191" i="45" s="1"/>
  <c r="AH172" i="1"/>
  <c r="Q193" i="45" s="1"/>
  <c r="AH174" i="1"/>
  <c r="Q195" i="45" s="1"/>
  <c r="AH177" i="1"/>
  <c r="Q198" i="45" s="1"/>
  <c r="AH180" i="1"/>
  <c r="Q201" i="45" s="1"/>
  <c r="AH182" i="1"/>
  <c r="Q203" i="45" s="1"/>
  <c r="AH185" i="1"/>
  <c r="Q206" i="45" s="1"/>
  <c r="AH188" i="1"/>
  <c r="Q209" i="45" s="1"/>
  <c r="AH190" i="1"/>
  <c r="Q211" i="45" s="1"/>
  <c r="AH192" i="1"/>
  <c r="Q213" i="45" s="1"/>
  <c r="AH196" i="1"/>
  <c r="Q217" i="45" s="1"/>
  <c r="AH198" i="1"/>
  <c r="Q219" i="45" s="1"/>
  <c r="AH201" i="1"/>
  <c r="Q222" i="45" s="1"/>
  <c r="AH205" i="1"/>
  <c r="Q226" i="45" s="1"/>
  <c r="AH207" i="1"/>
  <c r="Q228" i="45" s="1"/>
  <c r="AH211" i="1"/>
  <c r="Q232" i="45" s="1"/>
  <c r="AH213" i="1"/>
  <c r="Q234" i="45" s="1"/>
  <c r="AH217" i="1"/>
  <c r="Q238" i="45" s="1"/>
  <c r="AH220" i="1"/>
  <c r="Q241" i="45" s="1"/>
  <c r="AH222" i="1"/>
  <c r="Q243" i="45" s="1"/>
  <c r="AH227" i="1"/>
  <c r="Q248" i="45" s="1"/>
  <c r="AH231" i="1"/>
  <c r="Q252" i="45" s="1"/>
  <c r="AH234" i="1"/>
  <c r="Q255" i="45" s="1"/>
  <c r="AH239" i="1"/>
  <c r="Q260" i="45" s="1"/>
  <c r="AH241" i="1"/>
  <c r="Q262" i="45" s="1"/>
  <c r="AH244" i="1"/>
  <c r="Q265" i="45" s="1"/>
  <c r="AH246" i="1"/>
  <c r="Q267" i="45" s="1"/>
  <c r="AH249" i="1"/>
  <c r="Q270" i="45" s="1"/>
  <c r="AH253" i="1"/>
  <c r="Q274" i="45" s="1"/>
  <c r="AH257" i="1"/>
  <c r="Q278" i="45" s="1"/>
  <c r="AH266" i="1"/>
  <c r="Q287" i="45" s="1"/>
  <c r="AH268" i="1"/>
  <c r="Q289" i="45" s="1"/>
  <c r="AH274" i="1"/>
  <c r="Q295" i="45" s="1"/>
  <c r="AH278" i="1"/>
  <c r="Q299" i="45" s="1"/>
  <c r="AH281" i="1"/>
  <c r="Q302" i="45" s="1"/>
  <c r="AH283" i="1"/>
  <c r="Q304" i="45" s="1"/>
  <c r="AH286" i="1"/>
  <c r="Q307" i="45" s="1"/>
  <c r="AH289" i="1"/>
  <c r="Q310" i="45" s="1"/>
  <c r="AH291" i="1"/>
  <c r="Q312" i="45" s="1"/>
  <c r="AH297" i="1"/>
  <c r="Q318" i="45" s="1"/>
  <c r="AH301" i="1"/>
  <c r="Q322" i="45" s="1"/>
  <c r="AH305" i="1"/>
  <c r="Q326" i="45" s="1"/>
  <c r="AH403" i="1"/>
  <c r="Q433" i="45" s="1"/>
  <c r="AH381" i="1"/>
  <c r="Q411" i="45" s="1"/>
  <c r="AH373" i="1"/>
  <c r="Q403" i="45" s="1"/>
  <c r="AH37" i="1"/>
  <c r="Q50" i="45" s="1"/>
  <c r="AH284" i="1"/>
  <c r="Q305" i="45" s="1"/>
  <c r="AH22" i="1"/>
  <c r="Q35" i="45" s="1"/>
  <c r="AH195" i="1"/>
  <c r="Q216" i="45" s="1"/>
  <c r="AH40" i="1"/>
  <c r="Q53" i="45" s="1"/>
  <c r="AH298" i="1"/>
  <c r="Q319" i="45" s="1"/>
  <c r="AH299" i="1"/>
  <c r="Q320" i="45" s="1"/>
  <c r="AH307" i="1"/>
  <c r="Q328" i="45" s="1"/>
  <c r="AH32" i="1"/>
  <c r="Q45" i="45" s="1"/>
  <c r="AH312" i="1"/>
  <c r="Q342" i="45" s="1"/>
  <c r="AH20" i="1"/>
  <c r="Q33" i="45" s="1"/>
  <c r="AH23" i="1"/>
  <c r="Q36" i="45" s="1"/>
  <c r="AH27" i="1"/>
  <c r="Q40" i="45" s="1"/>
  <c r="AH30" i="1"/>
  <c r="Q43" i="45" s="1"/>
  <c r="AH34" i="1"/>
  <c r="Q47" i="45" s="1"/>
  <c r="AH36" i="1"/>
  <c r="Q49" i="45" s="1"/>
  <c r="AH45" i="1"/>
  <c r="Q66" i="45" s="1"/>
  <c r="AH401" i="1"/>
  <c r="Q431" i="45" s="1"/>
  <c r="AH395" i="1"/>
  <c r="Q425" i="45" s="1"/>
  <c r="AH391" i="1"/>
  <c r="Q421" i="45" s="1"/>
  <c r="AH387" i="1"/>
  <c r="Q417" i="45" s="1"/>
  <c r="AH383" i="1"/>
  <c r="Q413" i="45" s="1"/>
  <c r="AH378" i="1"/>
  <c r="Q408" i="45" s="1"/>
  <c r="AH374" i="1"/>
  <c r="Q404" i="45" s="1"/>
  <c r="AH368" i="1"/>
  <c r="Q398" i="45" s="1"/>
  <c r="AH364" i="1"/>
  <c r="Q394" i="45" s="1"/>
  <c r="AH360" i="1"/>
  <c r="Q390" i="45" s="1"/>
  <c r="AH355" i="1"/>
  <c r="Q385" i="45" s="1"/>
  <c r="AH352" i="1"/>
  <c r="Q382" i="45" s="1"/>
  <c r="AH348" i="1"/>
  <c r="Q378" i="45" s="1"/>
  <c r="AH344" i="1"/>
  <c r="Q374" i="45" s="1"/>
  <c r="AH340" i="1"/>
  <c r="Q370" i="45" s="1"/>
  <c r="AH336" i="1"/>
  <c r="Q366" i="45" s="1"/>
  <c r="AH328" i="1"/>
  <c r="Q358" i="45" s="1"/>
  <c r="AH324" i="1"/>
  <c r="Q354" i="45" s="1"/>
  <c r="AH320" i="1"/>
  <c r="Q350" i="45" s="1"/>
  <c r="AH317" i="1"/>
  <c r="Q347" i="45" s="1"/>
  <c r="AH313" i="1"/>
  <c r="Q343" i="45" s="1"/>
  <c r="AH396" i="1"/>
  <c r="Q426" i="45" s="1"/>
  <c r="AH392" i="1"/>
  <c r="Q422" i="45" s="1"/>
  <c r="AH388" i="1"/>
  <c r="Q418" i="45" s="1"/>
  <c r="AH384" i="1"/>
  <c r="Q414" i="45" s="1"/>
  <c r="AH379" i="1"/>
  <c r="Q409" i="45" s="1"/>
  <c r="AH375" i="1"/>
  <c r="Q405" i="45" s="1"/>
  <c r="AH369" i="1"/>
  <c r="Q399" i="45" s="1"/>
  <c r="AH365" i="1"/>
  <c r="Q395" i="45" s="1"/>
  <c r="AH361" i="1"/>
  <c r="Q391" i="45" s="1"/>
  <c r="AH356" i="1"/>
  <c r="Q386" i="45" s="1"/>
  <c r="AH349" i="1"/>
  <c r="Q379" i="45" s="1"/>
  <c r="AH345" i="1"/>
  <c r="Q375" i="45" s="1"/>
  <c r="AH341" i="1"/>
  <c r="Q371" i="45" s="1"/>
  <c r="AH337" i="1"/>
  <c r="Q367" i="45" s="1"/>
  <c r="AH333" i="1"/>
  <c r="Q363" i="45" s="1"/>
  <c r="AH329" i="1"/>
  <c r="Q359" i="45" s="1"/>
  <c r="AH325" i="1"/>
  <c r="Q355" i="45" s="1"/>
  <c r="AH321" i="1"/>
  <c r="Q351" i="45" s="1"/>
  <c r="AH316" i="1"/>
  <c r="Q346" i="45" s="1"/>
  <c r="AH46" i="1"/>
  <c r="Q67" i="45" s="1"/>
  <c r="AH48" i="1"/>
  <c r="Q69" i="45" s="1"/>
  <c r="AH52" i="1"/>
  <c r="Q73" i="45" s="1"/>
  <c r="AH54" i="1"/>
  <c r="Q75" i="45" s="1"/>
  <c r="AH56" i="1"/>
  <c r="Q77" i="45" s="1"/>
  <c r="AH59" i="1"/>
  <c r="Q80" i="45" s="1"/>
  <c r="AH61" i="1"/>
  <c r="Q82" i="45" s="1"/>
  <c r="AH63" i="1"/>
  <c r="Q84" i="45" s="1"/>
  <c r="AH65" i="1"/>
  <c r="Q86" i="45" s="1"/>
  <c r="AH68" i="1"/>
  <c r="Q89" i="45" s="1"/>
  <c r="AH70" i="1"/>
  <c r="Q91" i="45" s="1"/>
  <c r="AH72" i="1"/>
  <c r="Q93" i="45" s="1"/>
  <c r="AH74" i="1"/>
  <c r="Q95" i="45" s="1"/>
  <c r="AH76" i="1"/>
  <c r="Q97" i="45" s="1"/>
  <c r="AH77" i="1"/>
  <c r="Q98" i="45" s="1"/>
  <c r="AH79" i="1"/>
  <c r="Q100" i="45" s="1"/>
  <c r="AH81" i="1"/>
  <c r="Q102" i="45" s="1"/>
  <c r="AH85" i="1"/>
  <c r="Q106" i="45" s="1"/>
  <c r="AH87" i="1"/>
  <c r="Q108" i="45" s="1"/>
  <c r="AH89" i="1"/>
  <c r="Q110" i="45" s="1"/>
  <c r="AH92" i="1"/>
  <c r="Q113" i="45" s="1"/>
  <c r="AH96" i="1"/>
  <c r="Q117" i="45" s="1"/>
  <c r="AH98" i="1"/>
  <c r="Q119" i="45" s="1"/>
  <c r="AH103" i="1"/>
  <c r="Q124" i="45" s="1"/>
  <c r="AH104" i="1"/>
  <c r="Q125" i="45" s="1"/>
  <c r="AH110" i="1"/>
  <c r="Q131" i="45" s="1"/>
  <c r="AH111" i="1"/>
  <c r="Q132" i="45" s="1"/>
  <c r="AH114" i="1"/>
  <c r="Q135" i="45" s="1"/>
  <c r="AH116" i="1"/>
  <c r="Q137" i="45" s="1"/>
  <c r="AH122" i="1"/>
  <c r="Q143" i="45" s="1"/>
  <c r="AH123" i="1"/>
  <c r="Q144" i="45" s="1"/>
  <c r="AH125" i="1"/>
  <c r="Q146" i="45" s="1"/>
  <c r="AH130" i="1"/>
  <c r="Q151" i="45" s="1"/>
  <c r="AH132" i="1"/>
  <c r="Q153" i="45" s="1"/>
  <c r="AH136" i="1"/>
  <c r="Q157" i="45" s="1"/>
  <c r="AH138" i="1"/>
  <c r="Q159" i="45" s="1"/>
  <c r="AH140" i="1"/>
  <c r="Q161" i="45" s="1"/>
  <c r="AH142" i="1"/>
  <c r="Q163" i="45" s="1"/>
  <c r="AH144" i="1"/>
  <c r="Q165" i="45" s="1"/>
  <c r="AH146" i="1"/>
  <c r="Q167" i="45" s="1"/>
  <c r="AH147" i="1"/>
  <c r="Q168" i="45" s="1"/>
  <c r="AH149" i="1"/>
  <c r="Q170" i="45" s="1"/>
  <c r="AH152" i="1"/>
  <c r="Q173" i="45" s="1"/>
  <c r="AH154" i="1"/>
  <c r="Q175" i="45" s="1"/>
  <c r="AH157" i="1"/>
  <c r="Q178" i="45" s="1"/>
  <c r="AH159" i="1"/>
  <c r="Q180" i="45" s="1"/>
  <c r="AH163" i="1"/>
  <c r="Q184" i="45" s="1"/>
  <c r="AH165" i="1"/>
  <c r="Q186" i="45" s="1"/>
  <c r="AH167" i="1"/>
  <c r="Q188" i="45" s="1"/>
  <c r="AH169" i="1"/>
  <c r="Q190" i="45" s="1"/>
  <c r="AH171" i="1"/>
  <c r="Q192" i="45" s="1"/>
  <c r="AH173" i="1"/>
  <c r="Q194" i="45" s="1"/>
  <c r="AH175" i="1"/>
  <c r="Q196" i="45" s="1"/>
  <c r="AH176" i="1"/>
  <c r="Q197" i="45" s="1"/>
  <c r="AH179" i="1"/>
  <c r="Q200" i="45" s="1"/>
  <c r="AH181" i="1"/>
  <c r="Q202" i="45" s="1"/>
  <c r="AH184" i="1"/>
  <c r="Q205" i="45" s="1"/>
  <c r="AH187" i="1"/>
  <c r="Q208" i="45" s="1"/>
  <c r="AH189" i="1"/>
  <c r="Q210" i="45" s="1"/>
  <c r="AH191" i="1"/>
  <c r="Q212" i="45" s="1"/>
  <c r="AH193" i="1"/>
  <c r="Q214" i="45" s="1"/>
  <c r="AH197" i="1"/>
  <c r="Q218" i="45" s="1"/>
  <c r="AH200" i="1"/>
  <c r="Q221" i="45" s="1"/>
  <c r="AH204" i="1"/>
  <c r="Q225" i="45" s="1"/>
  <c r="AH206" i="1"/>
  <c r="Q227" i="45" s="1"/>
  <c r="AH209" i="1"/>
  <c r="Q230" i="45" s="1"/>
  <c r="AH212" i="1"/>
  <c r="Q233" i="45" s="1"/>
  <c r="AH214" i="1"/>
  <c r="Q235" i="45" s="1"/>
  <c r="AH221" i="1"/>
  <c r="Q242" i="45" s="1"/>
  <c r="AH223" i="1"/>
  <c r="Q244" i="45" s="1"/>
  <c r="AH228" i="1"/>
  <c r="Q249" i="45" s="1"/>
  <c r="AH230" i="1"/>
  <c r="Q251" i="45" s="1"/>
  <c r="AH233" i="1"/>
  <c r="Q254" i="45" s="1"/>
  <c r="AH236" i="1"/>
  <c r="Q257" i="45" s="1"/>
  <c r="AH238" i="1"/>
  <c r="Q259" i="45" s="1"/>
  <c r="AH240" i="1"/>
  <c r="Q261" i="45" s="1"/>
  <c r="AH242" i="1"/>
  <c r="Q263" i="45" s="1"/>
  <c r="AH245" i="1"/>
  <c r="Q266" i="45" s="1"/>
  <c r="AH248" i="1"/>
  <c r="Q269" i="45" s="1"/>
  <c r="AH250" i="1"/>
  <c r="Q271" i="45" s="1"/>
  <c r="AH258" i="1"/>
  <c r="Q279" i="45" s="1"/>
  <c r="AH261" i="1"/>
  <c r="Q282" i="45" s="1"/>
  <c r="AH262" i="1"/>
  <c r="Q283" i="45" s="1"/>
  <c r="AH264" i="1"/>
  <c r="Q285" i="45" s="1"/>
  <c r="AH265" i="1"/>
  <c r="Q286" i="45" s="1"/>
  <c r="AH267" i="1"/>
  <c r="Q288" i="45" s="1"/>
  <c r="AH276" i="1"/>
  <c r="Q297" i="45" s="1"/>
  <c r="AH279" i="1"/>
  <c r="Q300" i="45" s="1"/>
  <c r="AH282" i="1"/>
  <c r="Q303" i="45" s="1"/>
  <c r="AH285" i="1"/>
  <c r="Q306" i="45" s="1"/>
  <c r="AH288" i="1"/>
  <c r="Q309" i="45" s="1"/>
  <c r="AH290" i="1"/>
  <c r="Q311" i="45" s="1"/>
  <c r="AH296" i="1"/>
  <c r="Q317" i="45" s="1"/>
  <c r="AH300" i="1"/>
  <c r="Q321" i="45" s="1"/>
  <c r="AH302" i="1"/>
  <c r="Q323" i="45" s="1"/>
  <c r="AH306" i="1"/>
  <c r="Q327" i="45" s="1"/>
  <c r="AH402" i="1"/>
  <c r="Q432" i="45" s="1"/>
  <c r="AH273" i="1"/>
  <c r="Q294" i="45" s="1"/>
  <c r="AH275" i="1"/>
  <c r="Q296" i="45" s="1"/>
  <c r="AH260" i="1"/>
  <c r="Q281" i="45" s="1"/>
  <c r="AH164" i="1"/>
  <c r="Q185" i="45" s="1"/>
  <c r="AH208" i="1"/>
  <c r="Q229" i="45" s="1"/>
  <c r="AH304" i="1"/>
  <c r="Q325" i="45" s="1"/>
  <c r="AH235" i="1"/>
  <c r="Q256" i="45" s="1"/>
  <c r="AH308" i="1"/>
  <c r="Q329" i="45" s="1"/>
  <c r="AH237" i="1"/>
  <c r="Q258" i="45" s="1"/>
  <c r="AH18" i="1"/>
  <c r="Q31" i="45" s="1"/>
  <c r="CP388" i="1"/>
  <c r="CP348"/>
  <c r="AD132"/>
  <c r="U157" i="52" s="1"/>
  <c r="CP355" i="1"/>
  <c r="CP359"/>
  <c r="AD307"/>
  <c r="U333" i="52" s="1"/>
  <c r="AD32" i="1"/>
  <c r="AD235"/>
  <c r="U262" i="52" s="1"/>
  <c r="AD308" i="1"/>
  <c r="U334" i="52" s="1"/>
  <c r="AD237" i="1"/>
  <c r="U264" i="52" s="1"/>
  <c r="AD18" i="1"/>
  <c r="AD40"/>
  <c r="AD304"/>
  <c r="U330" i="52" s="1"/>
  <c r="AD398" i="1"/>
  <c r="U437" i="52" s="1"/>
  <c r="AD208" i="1"/>
  <c r="U234" i="52" s="1"/>
  <c r="AD298" i="1"/>
  <c r="U325" i="52" s="1"/>
  <c r="AD299" i="1"/>
  <c r="U326" i="52" s="1"/>
  <c r="AD195" i="1"/>
  <c r="U221" i="52" s="1"/>
  <c r="AD22" i="1"/>
  <c r="AD260"/>
  <c r="U287" i="52" s="1"/>
  <c r="AD164" i="1"/>
  <c r="U190" i="52" s="1"/>
  <c r="AD381" i="1"/>
  <c r="AD373"/>
  <c r="AD37"/>
  <c r="AD284"/>
  <c r="U311" i="52" s="1"/>
  <c r="AB41" i="1"/>
  <c r="AB310"/>
  <c r="AD401"/>
  <c r="AD395"/>
  <c r="AD391"/>
  <c r="AD387"/>
  <c r="AD383"/>
  <c r="AD378"/>
  <c r="AD374"/>
  <c r="AD368"/>
  <c r="AD364"/>
  <c r="AD360"/>
  <c r="AD355"/>
  <c r="AD352"/>
  <c r="AD348"/>
  <c r="AD344"/>
  <c r="AD340"/>
  <c r="AD336"/>
  <c r="AD328"/>
  <c r="AD324"/>
  <c r="AD320"/>
  <c r="AD317"/>
  <c r="AD313"/>
  <c r="AD396"/>
  <c r="AD392"/>
  <c r="AD388"/>
  <c r="AD384"/>
  <c r="AD379"/>
  <c r="AD375"/>
  <c r="AD369"/>
  <c r="AD365"/>
  <c r="AD361"/>
  <c r="AD356"/>
  <c r="AD349"/>
  <c r="AD345"/>
  <c r="AD341"/>
  <c r="AD337"/>
  <c r="AD333"/>
  <c r="AD329"/>
  <c r="AD325"/>
  <c r="AD321"/>
  <c r="AD314"/>
  <c r="AD48"/>
  <c r="U73" i="52" s="1"/>
  <c r="AD52" i="1"/>
  <c r="U77" i="52" s="1"/>
  <c r="AD54" i="1"/>
  <c r="U79" i="52" s="1"/>
  <c r="AD56" i="1"/>
  <c r="U81" i="52" s="1"/>
  <c r="AD59" i="1"/>
  <c r="U84" i="52" s="1"/>
  <c r="AD61" i="1"/>
  <c r="U86" i="52" s="1"/>
  <c r="AD63" i="1"/>
  <c r="U88" i="52" s="1"/>
  <c r="AD65" i="1"/>
  <c r="U90" i="52" s="1"/>
  <c r="AD68" i="1"/>
  <c r="U93" i="52" s="1"/>
  <c r="AD70" i="1"/>
  <c r="U95" i="52" s="1"/>
  <c r="AD72" i="1"/>
  <c r="U97" i="52" s="1"/>
  <c r="AD74" i="1"/>
  <c r="U99" i="52" s="1"/>
  <c r="AD76" i="1"/>
  <c r="U101" i="52" s="1"/>
  <c r="AD77" i="1"/>
  <c r="U102" i="52" s="1"/>
  <c r="AD79" i="1"/>
  <c r="U104" i="52" s="1"/>
  <c r="AD85" i="1"/>
  <c r="U110" i="52" s="1"/>
  <c r="AD87" i="1"/>
  <c r="U112" i="52" s="1"/>
  <c r="AD89" i="1"/>
  <c r="U114" i="52" s="1"/>
  <c r="AD92" i="1"/>
  <c r="U117" i="52" s="1"/>
  <c r="AD96" i="1"/>
  <c r="U121" i="52" s="1"/>
  <c r="AD98" i="1"/>
  <c r="U123" i="52" s="1"/>
  <c r="AD105" i="1"/>
  <c r="U130" i="52" s="1"/>
  <c r="AD109" i="1"/>
  <c r="U134" i="52" s="1"/>
  <c r="AD113" i="1"/>
  <c r="U138" i="52" s="1"/>
  <c r="AD115" i="1"/>
  <c r="U140" i="52" s="1"/>
  <c r="AD117" i="1"/>
  <c r="U142" i="52" s="1"/>
  <c r="AD122" i="1"/>
  <c r="U147" i="52" s="1"/>
  <c r="AD123" i="1"/>
  <c r="U148" i="52" s="1"/>
  <c r="AD125" i="1"/>
  <c r="U150" i="52" s="1"/>
  <c r="AD130" i="1"/>
  <c r="U155" i="52" s="1"/>
  <c r="AD136" i="1"/>
  <c r="U161" i="52" s="1"/>
  <c r="AD139" i="1"/>
  <c r="U164" i="52" s="1"/>
  <c r="AD143" i="1"/>
  <c r="U168" i="52" s="1"/>
  <c r="AD145" i="1"/>
  <c r="U170" i="52" s="1"/>
  <c r="AD148" i="1"/>
  <c r="U173" i="52" s="1"/>
  <c r="AD150" i="1"/>
  <c r="U175" i="52" s="1"/>
  <c r="AD152" i="1"/>
  <c r="U178" i="52" s="1"/>
  <c r="AD154" i="1"/>
  <c r="U180" i="52" s="1"/>
  <c r="AD157" i="1"/>
  <c r="U183" i="52" s="1"/>
  <c r="AD160" i="1"/>
  <c r="U186" i="52" s="1"/>
  <c r="AD165" i="1"/>
  <c r="U191" i="52" s="1"/>
  <c r="AD166" i="1"/>
  <c r="U192" i="52" s="1"/>
  <c r="AD169" i="1"/>
  <c r="U195" i="52" s="1"/>
  <c r="AD171" i="1"/>
  <c r="U197" i="52" s="1"/>
  <c r="AD173" i="1"/>
  <c r="U199" i="52" s="1"/>
  <c r="AD175" i="1"/>
  <c r="U201" i="52" s="1"/>
  <c r="AD176" i="1"/>
  <c r="U202" i="52" s="1"/>
  <c r="AD179" i="1"/>
  <c r="U205" i="52" s="1"/>
  <c r="AD181" i="1"/>
  <c r="U207" i="52" s="1"/>
  <c r="AD184" i="1"/>
  <c r="U210" i="52" s="1"/>
  <c r="AD187" i="1"/>
  <c r="U213" i="52" s="1"/>
  <c r="AD189" i="1"/>
  <c r="U215" i="52" s="1"/>
  <c r="AD191" i="1"/>
  <c r="U217" i="52" s="1"/>
  <c r="AD193" i="1"/>
  <c r="U219" i="52" s="1"/>
  <c r="AD197" i="1"/>
  <c r="U223" i="52" s="1"/>
  <c r="AD200" i="1"/>
  <c r="U226" i="52" s="1"/>
  <c r="AD204" i="1"/>
  <c r="U230" i="52" s="1"/>
  <c r="AD206" i="1"/>
  <c r="U232" i="52" s="1"/>
  <c r="AD211" i="1"/>
  <c r="U237" i="52" s="1"/>
  <c r="AD214" i="1"/>
  <c r="U240" i="52" s="1"/>
  <c r="AD217" i="1"/>
  <c r="U243" i="52" s="1"/>
  <c r="AD220" i="1"/>
  <c r="U246" i="52" s="1"/>
  <c r="AD222" i="1"/>
  <c r="U248" i="52" s="1"/>
  <c r="AD227" i="1"/>
  <c r="U253" i="52" s="1"/>
  <c r="U255"/>
  <c r="AD230" i="1"/>
  <c r="U257" i="52" s="1"/>
  <c r="AD233" i="1"/>
  <c r="U260" i="52" s="1"/>
  <c r="AD236" i="1"/>
  <c r="U263" i="52" s="1"/>
  <c r="AD238" i="1"/>
  <c r="U265" i="52" s="1"/>
  <c r="AD240" i="1"/>
  <c r="U267" i="52" s="1"/>
  <c r="AD242" i="1"/>
  <c r="U269" i="52" s="1"/>
  <c r="AD245" i="1"/>
  <c r="U272" i="52" s="1"/>
  <c r="AD246" i="1"/>
  <c r="U273" i="52" s="1"/>
  <c r="AD249" i="1"/>
  <c r="U276" i="52" s="1"/>
  <c r="AD253" i="1"/>
  <c r="U280" i="52" s="1"/>
  <c r="AD258" i="1"/>
  <c r="U285" i="52" s="1"/>
  <c r="AD261" i="1"/>
  <c r="U288" i="52" s="1"/>
  <c r="AD262" i="1"/>
  <c r="U289" i="52" s="1"/>
  <c r="AD265" i="1"/>
  <c r="U292" i="52" s="1"/>
  <c r="AD267" i="1"/>
  <c r="U294" i="52" s="1"/>
  <c r="AD268" i="1"/>
  <c r="U295" i="52" s="1"/>
  <c r="AD274" i="1"/>
  <c r="U301" i="52" s="1"/>
  <c r="AD278" i="1"/>
  <c r="U305" i="52" s="1"/>
  <c r="AD281" i="1"/>
  <c r="U308" i="52" s="1"/>
  <c r="AD283" i="1"/>
  <c r="U310" i="52" s="1"/>
  <c r="AD286" i="1"/>
  <c r="U313" i="52" s="1"/>
  <c r="AD289" i="1"/>
  <c r="U316" i="52" s="1"/>
  <c r="AD291" i="1"/>
  <c r="U318" i="52" s="1"/>
  <c r="AD296" i="1"/>
  <c r="U323" i="52" s="1"/>
  <c r="AD300" i="1"/>
  <c r="U327" i="52" s="1"/>
  <c r="AD301" i="1"/>
  <c r="U328" i="52" s="1"/>
  <c r="AD306" i="1"/>
  <c r="U332" i="52" s="1"/>
  <c r="AD402" i="1"/>
  <c r="AD399"/>
  <c r="AD270"/>
  <c r="U297" i="52" s="1"/>
  <c r="AD380" i="1"/>
  <c r="AD376"/>
  <c r="AD370"/>
  <c r="AD366"/>
  <c r="AD362"/>
  <c r="AD357"/>
  <c r="AD353"/>
  <c r="AD350"/>
  <c r="AD346"/>
  <c r="AD342"/>
  <c r="AD338"/>
  <c r="AD334"/>
  <c r="AD330"/>
  <c r="AD326"/>
  <c r="AD322"/>
  <c r="AD318"/>
  <c r="AD315"/>
  <c r="AD400"/>
  <c r="AD394"/>
  <c r="AD390"/>
  <c r="AD386"/>
  <c r="AD382"/>
  <c r="AD377"/>
  <c r="AD371"/>
  <c r="AD367"/>
  <c r="AD363"/>
  <c r="AD359"/>
  <c r="AD354"/>
  <c r="AD351"/>
  <c r="AD347"/>
  <c r="AD343"/>
  <c r="AD339"/>
  <c r="AD335"/>
  <c r="AD332"/>
  <c r="AD327"/>
  <c r="AD323"/>
  <c r="AD319"/>
  <c r="AD316"/>
  <c r="AD46"/>
  <c r="U71" i="52" s="1"/>
  <c r="AD47" i="1"/>
  <c r="U72" i="52" s="1"/>
  <c r="AD49" i="1"/>
  <c r="U74" i="52" s="1"/>
  <c r="AD53" i="1"/>
  <c r="U78" i="52" s="1"/>
  <c r="AD55" i="1"/>
  <c r="U80" i="52" s="1"/>
  <c r="AD60" i="1"/>
  <c r="U85" i="52" s="1"/>
  <c r="AD62" i="1"/>
  <c r="U87" i="52" s="1"/>
  <c r="AD64" i="1"/>
  <c r="U89" i="52" s="1"/>
  <c r="AD67" i="1"/>
  <c r="U92" i="52" s="1"/>
  <c r="AD69" i="1"/>
  <c r="U94" i="52" s="1"/>
  <c r="AD71" i="1"/>
  <c r="U96" i="52" s="1"/>
  <c r="AD73" i="1"/>
  <c r="U98" i="52" s="1"/>
  <c r="AD75" i="1"/>
  <c r="U100" i="52" s="1"/>
  <c r="AD78" i="1"/>
  <c r="U103" i="52" s="1"/>
  <c r="AD80" i="1"/>
  <c r="U105" i="52" s="1"/>
  <c r="AD81" i="1"/>
  <c r="U106" i="52" s="1"/>
  <c r="AD84" i="1"/>
  <c r="U109" i="52" s="1"/>
  <c r="AD86" i="1"/>
  <c r="U111" i="52" s="1"/>
  <c r="AD91" i="1"/>
  <c r="U116" i="52" s="1"/>
  <c r="AD93" i="1"/>
  <c r="U118" i="52" s="1"/>
  <c r="AD95" i="1"/>
  <c r="U120" i="52" s="1"/>
  <c r="AD97" i="1"/>
  <c r="U122" i="52" s="1"/>
  <c r="AD99" i="1"/>
  <c r="U124" i="52" s="1"/>
  <c r="AD101" i="1"/>
  <c r="U126" i="52" s="1"/>
  <c r="AD103" i="1"/>
  <c r="U128" i="52" s="1"/>
  <c r="AD104" i="1"/>
  <c r="U129" i="52" s="1"/>
  <c r="AD110" i="1"/>
  <c r="U135" i="52" s="1"/>
  <c r="AD111" i="1"/>
  <c r="U136" i="52" s="1"/>
  <c r="AD114" i="1"/>
  <c r="U139" i="52" s="1"/>
  <c r="AD116" i="1"/>
  <c r="U141" i="52" s="1"/>
  <c r="AD121" i="1"/>
  <c r="U146" i="52" s="1"/>
  <c r="AD124" i="1"/>
  <c r="U149" i="52" s="1"/>
  <c r="AD127" i="1"/>
  <c r="U152" i="52" s="1"/>
  <c r="AD131" i="1"/>
  <c r="U156" i="52" s="1"/>
  <c r="AD133" i="1"/>
  <c r="U158" i="52" s="1"/>
  <c r="AD137" i="1"/>
  <c r="U162" i="52" s="1"/>
  <c r="AD138" i="1"/>
  <c r="U163" i="52" s="1"/>
  <c r="AD140" i="1"/>
  <c r="U165" i="52" s="1"/>
  <c r="AD142" i="1"/>
  <c r="U167" i="52" s="1"/>
  <c r="AD144" i="1"/>
  <c r="U169" i="52" s="1"/>
  <c r="AD146" i="1"/>
  <c r="U171" i="52" s="1"/>
  <c r="AD147" i="1"/>
  <c r="U172" i="52" s="1"/>
  <c r="AD149" i="1"/>
  <c r="U174" i="52" s="1"/>
  <c r="U176"/>
  <c r="AD151" i="1"/>
  <c r="U177" i="52" s="1"/>
  <c r="AD153" i="1"/>
  <c r="U179" i="52" s="1"/>
  <c r="AD155" i="1"/>
  <c r="U181" i="52" s="1"/>
  <c r="AD159" i="1"/>
  <c r="U185" i="52" s="1"/>
  <c r="AD163" i="1"/>
  <c r="U189" i="52" s="1"/>
  <c r="AD161" i="1"/>
  <c r="U187" i="52" s="1"/>
  <c r="AD167" i="1"/>
  <c r="U193" i="52" s="1"/>
  <c r="AD168" i="1"/>
  <c r="U194" i="52" s="1"/>
  <c r="AD170" i="1"/>
  <c r="U196" i="52" s="1"/>
  <c r="AD172" i="1"/>
  <c r="U198" i="52" s="1"/>
  <c r="AD174" i="1"/>
  <c r="U200" i="52" s="1"/>
  <c r="AD177" i="1"/>
  <c r="U203" i="52" s="1"/>
  <c r="AD180" i="1"/>
  <c r="U206" i="52" s="1"/>
  <c r="AD182" i="1"/>
  <c r="U208" i="52" s="1"/>
  <c r="AD185" i="1"/>
  <c r="U211" i="52" s="1"/>
  <c r="AD188" i="1"/>
  <c r="U214" i="52" s="1"/>
  <c r="AD190" i="1"/>
  <c r="U216" i="52" s="1"/>
  <c r="AD192" i="1"/>
  <c r="U218" i="52" s="1"/>
  <c r="AD196" i="1"/>
  <c r="U222" i="52" s="1"/>
  <c r="AD198" i="1"/>
  <c r="U224" i="52" s="1"/>
  <c r="AD201" i="1"/>
  <c r="U227" i="52" s="1"/>
  <c r="AD205" i="1"/>
  <c r="U231" i="52" s="1"/>
  <c r="AD207" i="1"/>
  <c r="U233" i="52" s="1"/>
  <c r="AD209" i="1"/>
  <c r="U235" i="52" s="1"/>
  <c r="AD212" i="1"/>
  <c r="U238" i="52" s="1"/>
  <c r="AD213" i="1"/>
  <c r="U239" i="52" s="1"/>
  <c r="AD221" i="1"/>
  <c r="U247" i="52" s="1"/>
  <c r="AD223" i="1"/>
  <c r="U249" i="52" s="1"/>
  <c r="AD228" i="1"/>
  <c r="U254" i="52" s="1"/>
  <c r="AD231" i="1"/>
  <c r="U258" i="52" s="1"/>
  <c r="AD234" i="1"/>
  <c r="U261" i="52" s="1"/>
  <c r="AD239" i="1"/>
  <c r="U266" i="52" s="1"/>
  <c r="AD241" i="1"/>
  <c r="U268" i="52" s="1"/>
  <c r="AD244" i="1"/>
  <c r="U271" i="52" s="1"/>
  <c r="AD248" i="1"/>
  <c r="U275" i="52" s="1"/>
  <c r="AD250" i="1"/>
  <c r="U277" i="52" s="1"/>
  <c r="AD257" i="1"/>
  <c r="U284" i="52" s="1"/>
  <c r="AD264" i="1"/>
  <c r="U291" i="52" s="1"/>
  <c r="AD266" i="1"/>
  <c r="U293" i="52" s="1"/>
  <c r="AD276" i="1"/>
  <c r="U303" i="52" s="1"/>
  <c r="AD279" i="1"/>
  <c r="U306" i="52" s="1"/>
  <c r="AD282" i="1"/>
  <c r="U309" i="52" s="1"/>
  <c r="AD285" i="1"/>
  <c r="U312" i="52" s="1"/>
  <c r="AD288" i="1"/>
  <c r="U315" i="52" s="1"/>
  <c r="AD290" i="1"/>
  <c r="U317" i="52" s="1"/>
  <c r="AD297" i="1"/>
  <c r="U324" i="52" s="1"/>
  <c r="AD302" i="1"/>
  <c r="U329" i="52" s="1"/>
  <c r="AD305" i="1"/>
  <c r="U331" i="52" s="1"/>
  <c r="AD403" i="1"/>
  <c r="AD273"/>
  <c r="U300" i="52" s="1"/>
  <c r="AD275" i="1"/>
  <c r="U302" i="52" s="1"/>
  <c r="AD19" i="1"/>
  <c r="AD21"/>
  <c r="AD24"/>
  <c r="AD26"/>
  <c r="AD30"/>
  <c r="AD34"/>
  <c r="AD36"/>
  <c r="AD17"/>
  <c r="U33" i="52" s="1"/>
  <c r="AD20" i="1"/>
  <c r="AD23"/>
  <c r="AD27"/>
  <c r="AD28"/>
  <c r="AD29"/>
  <c r="AD31"/>
  <c r="AD33"/>
  <c r="AD35"/>
  <c r="AD39"/>
  <c r="AB404"/>
  <c r="CC259" l="1"/>
  <c r="CI259"/>
  <c r="CC134"/>
  <c r="CI134"/>
  <c r="CC162"/>
  <c r="CI162"/>
  <c r="CC141"/>
  <c r="CI141"/>
  <c r="CC102"/>
  <c r="CI102"/>
  <c r="CC229"/>
  <c r="CI229"/>
  <c r="CC82"/>
  <c r="CI82"/>
  <c r="CC118"/>
  <c r="CI118"/>
  <c r="CC66"/>
  <c r="CI66"/>
  <c r="CC106"/>
  <c r="CI106"/>
  <c r="CC50"/>
  <c r="CI50"/>
  <c r="CJ50" s="1"/>
  <c r="CC88"/>
  <c r="CI88"/>
  <c r="CC126"/>
  <c r="CI126"/>
  <c r="CC120"/>
  <c r="CI120"/>
  <c r="CC263"/>
  <c r="CI263"/>
  <c r="CC58"/>
  <c r="CI58"/>
  <c r="CG58"/>
  <c r="CG263"/>
  <c r="CG66"/>
  <c r="CG126"/>
  <c r="CG162"/>
  <c r="CG82"/>
  <c r="CG259"/>
  <c r="CG134"/>
  <c r="CG102"/>
  <c r="CG118"/>
  <c r="CG50"/>
  <c r="CG141"/>
  <c r="CG88"/>
  <c r="CG120"/>
  <c r="CG229"/>
  <c r="AJ251"/>
  <c r="CT50"/>
  <c r="AI156"/>
  <c r="R180" i="43" s="1"/>
  <c r="O119" i="44"/>
  <c r="O121"/>
  <c r="O127"/>
  <c r="O67"/>
  <c r="F169" i="36"/>
  <c r="R163" i="44"/>
  <c r="S163" s="1"/>
  <c r="T163" s="1"/>
  <c r="F95" i="36"/>
  <c r="R89" i="44"/>
  <c r="S89" s="1"/>
  <c r="AI243" i="1"/>
  <c r="R267" i="43" s="1"/>
  <c r="Q264" i="45"/>
  <c r="AI224" i="1"/>
  <c r="R248" i="43" s="1"/>
  <c r="Q245" i="45"/>
  <c r="Z86"/>
  <c r="AB71"/>
  <c r="Z299"/>
  <c r="AB284"/>
  <c r="Z177"/>
  <c r="AB162"/>
  <c r="F141" i="36"/>
  <c r="R135" i="44"/>
  <c r="F127" i="36"/>
  <c r="R121" i="44"/>
  <c r="S121" s="1"/>
  <c r="T121" s="1"/>
  <c r="AK251" i="1"/>
  <c r="S275" i="43" s="1"/>
  <c r="S272" i="45"/>
  <c r="T294" s="1"/>
  <c r="F133" i="36"/>
  <c r="R127" i="44"/>
  <c r="F57" i="36"/>
  <c r="R51" i="44"/>
  <c r="AK303" i="1"/>
  <c r="S327" i="43" s="1"/>
  <c r="S324" i="45"/>
  <c r="AK389" i="1"/>
  <c r="S424" i="43" s="1"/>
  <c r="S419" i="45"/>
  <c r="O51" i="44"/>
  <c r="Z94" i="45"/>
  <c r="AB79"/>
  <c r="S135" i="44"/>
  <c r="Z295" i="45"/>
  <c r="AB280"/>
  <c r="Z265"/>
  <c r="AB250"/>
  <c r="O135" i="44"/>
  <c r="Z138" i="45"/>
  <c r="AB123"/>
  <c r="Z154"/>
  <c r="AB139"/>
  <c r="Z198"/>
  <c r="AB183"/>
  <c r="S127" i="44"/>
  <c r="T127" s="1"/>
  <c r="O264"/>
  <c r="O142"/>
  <c r="F73" i="36"/>
  <c r="R67" i="44"/>
  <c r="S67" s="1"/>
  <c r="F148" i="36"/>
  <c r="R142" i="44"/>
  <c r="S142" s="1"/>
  <c r="F266" i="36"/>
  <c r="R260" i="44"/>
  <c r="AI295" i="1"/>
  <c r="R319" i="43" s="1"/>
  <c r="Q316" i="45"/>
  <c r="AI272" i="1"/>
  <c r="R296" i="43" s="1"/>
  <c r="Q293" i="45"/>
  <c r="AI225" i="1"/>
  <c r="R249" i="43" s="1"/>
  <c r="Q246" i="45"/>
  <c r="AI292" i="1"/>
  <c r="R316" i="43" s="1"/>
  <c r="Q313" i="45"/>
  <c r="O59" i="44"/>
  <c r="Z124" i="45"/>
  <c r="AB109"/>
  <c r="Z156"/>
  <c r="AB141"/>
  <c r="S51" i="44"/>
  <c r="O103"/>
  <c r="Z118" i="45"/>
  <c r="AB103"/>
  <c r="O260" i="44"/>
  <c r="F89" i="36"/>
  <c r="R83" i="44"/>
  <c r="S83" s="1"/>
  <c r="F109" i="36"/>
  <c r="R103" i="44"/>
  <c r="S103" s="1"/>
  <c r="F236" i="36"/>
  <c r="R230" i="44"/>
  <c r="BV263" i="1"/>
  <c r="F270" i="36"/>
  <c r="R264" i="44"/>
  <c r="F125" i="36"/>
  <c r="R119" i="44"/>
  <c r="F65" i="36"/>
  <c r="R59" i="44"/>
  <c r="S59" s="1"/>
  <c r="T107"/>
  <c r="S119"/>
  <c r="T119" s="1"/>
  <c r="O83"/>
  <c r="Z162" i="45"/>
  <c r="AB147"/>
  <c r="Z170"/>
  <c r="AB155"/>
  <c r="S260" i="44"/>
  <c r="S230"/>
  <c r="S264"/>
  <c r="O89"/>
  <c r="O230"/>
  <c r="Z102" i="45"/>
  <c r="AB87"/>
  <c r="AW224" i="1"/>
  <c r="AJ292"/>
  <c r="AE389"/>
  <c r="AI389"/>
  <c r="AL389"/>
  <c r="AJ224"/>
  <c r="AE292"/>
  <c r="U299" i="52"/>
  <c r="AI178" i="1"/>
  <c r="R202" i="43" s="1"/>
  <c r="AL303" i="1"/>
  <c r="AE303"/>
  <c r="AU303" s="1"/>
  <c r="AI303"/>
  <c r="BV58"/>
  <c r="BW58" s="1"/>
  <c r="AJ156"/>
  <c r="S177" i="45" s="1"/>
  <c r="T199" s="1"/>
  <c r="AI17" i="1"/>
  <c r="R33" i="43" s="1"/>
  <c r="AE251" i="1"/>
  <c r="AW251" s="1"/>
  <c r="BV126"/>
  <c r="BW126" s="1"/>
  <c r="AJ287"/>
  <c r="S308" i="45" s="1"/>
  <c r="T330" s="1"/>
  <c r="U314" i="52"/>
  <c r="U319"/>
  <c r="AE243" i="1"/>
  <c r="AW243" s="1"/>
  <c r="U270" i="52"/>
  <c r="AE225" i="1"/>
  <c r="AW225" s="1"/>
  <c r="U251" i="52"/>
  <c r="AE272" i="1"/>
  <c r="AW272" s="1"/>
  <c r="AJ272"/>
  <c r="AI398"/>
  <c r="R433" i="43" s="1"/>
  <c r="AI251" i="1"/>
  <c r="AJ243"/>
  <c r="AJ225"/>
  <c r="S58" i="52"/>
  <c r="U52"/>
  <c r="U48"/>
  <c r="U45"/>
  <c r="U39"/>
  <c r="U51"/>
  <c r="U43"/>
  <c r="U37"/>
  <c r="U443"/>
  <c r="U356"/>
  <c r="U363"/>
  <c r="U372"/>
  <c r="U379"/>
  <c r="U387"/>
  <c r="U394"/>
  <c r="U403"/>
  <c r="U411"/>
  <c r="U422"/>
  <c r="U429"/>
  <c r="U439"/>
  <c r="U358"/>
  <c r="U366"/>
  <c r="U374"/>
  <c r="U382"/>
  <c r="U390"/>
  <c r="U397"/>
  <c r="U406"/>
  <c r="U416"/>
  <c r="U442"/>
  <c r="U361"/>
  <c r="U369"/>
  <c r="U377"/>
  <c r="U385"/>
  <c r="U396"/>
  <c r="U405"/>
  <c r="U415"/>
  <c r="U424"/>
  <c r="U431"/>
  <c r="U353"/>
  <c r="U360"/>
  <c r="U368"/>
  <c r="U380"/>
  <c r="U388"/>
  <c r="U395"/>
  <c r="U404"/>
  <c r="U414"/>
  <c r="U423"/>
  <c r="U430"/>
  <c r="U441"/>
  <c r="U413"/>
  <c r="U38"/>
  <c r="U57"/>
  <c r="U398"/>
  <c r="BF393" i="1"/>
  <c r="U432" i="52"/>
  <c r="BF331" i="1"/>
  <c r="U371" i="52"/>
  <c r="U436"/>
  <c r="S336"/>
  <c r="U56"/>
  <c r="U50"/>
  <c r="U46"/>
  <c r="U44"/>
  <c r="U36"/>
  <c r="U53"/>
  <c r="U47"/>
  <c r="U40"/>
  <c r="U35"/>
  <c r="U359"/>
  <c r="U367"/>
  <c r="U375"/>
  <c r="U383"/>
  <c r="U391"/>
  <c r="U399"/>
  <c r="U407"/>
  <c r="U417"/>
  <c r="U426"/>
  <c r="U433"/>
  <c r="U355"/>
  <c r="U362"/>
  <c r="U370"/>
  <c r="U378"/>
  <c r="U386"/>
  <c r="U393"/>
  <c r="U402"/>
  <c r="U410"/>
  <c r="U420"/>
  <c r="U438"/>
  <c r="U354"/>
  <c r="U365"/>
  <c r="U373"/>
  <c r="U381"/>
  <c r="U389"/>
  <c r="U401"/>
  <c r="U409"/>
  <c r="U419"/>
  <c r="U428"/>
  <c r="U435"/>
  <c r="U357"/>
  <c r="U364"/>
  <c r="U376"/>
  <c r="U384"/>
  <c r="U392"/>
  <c r="U400"/>
  <c r="U408"/>
  <c r="U418"/>
  <c r="U427"/>
  <c r="U434"/>
  <c r="U440"/>
  <c r="U54"/>
  <c r="U421"/>
  <c r="U34"/>
  <c r="U49"/>
  <c r="S444"/>
  <c r="BV118" i="1"/>
  <c r="CT118" s="1"/>
  <c r="AL251"/>
  <c r="AJ295"/>
  <c r="AE295"/>
  <c r="AE287"/>
  <c r="AU287" s="1"/>
  <c r="Y314" i="52" s="1"/>
  <c r="AE156" i="1"/>
  <c r="AU156" s="1"/>
  <c r="Y182" i="52" s="1"/>
  <c r="AJ17" i="1"/>
  <c r="S30" i="45" s="1"/>
  <c r="T43" s="1"/>
  <c r="BF257" i="1"/>
  <c r="AJ289"/>
  <c r="BD246"/>
  <c r="BD310" s="1"/>
  <c r="AJ309"/>
  <c r="S330" i="45" s="1"/>
  <c r="T369" s="1"/>
  <c r="AJ199" i="1"/>
  <c r="S220" i="45" s="1"/>
  <c r="T242" s="1"/>
  <c r="AJ83" i="1"/>
  <c r="S104" i="45" s="1"/>
  <c r="T126" s="1"/>
  <c r="AE252" i="1"/>
  <c r="AW252" s="1"/>
  <c r="X276" i="43" s="1"/>
  <c r="AJ51" i="1"/>
  <c r="S72" i="45" s="1"/>
  <c r="T94" s="1"/>
  <c r="AJ255" i="1"/>
  <c r="S276" i="45" s="1"/>
  <c r="T298" s="1"/>
  <c r="AE128" i="1"/>
  <c r="AU128" s="1"/>
  <c r="Y153" i="52" s="1"/>
  <c r="AE293" i="1"/>
  <c r="AW293" s="1"/>
  <c r="X317" i="43" s="1"/>
  <c r="AJ247" i="1"/>
  <c r="S268" i="45" s="1"/>
  <c r="T290" s="1"/>
  <c r="AE100" i="1"/>
  <c r="AU100" s="1"/>
  <c r="Y125" i="52" s="1"/>
  <c r="AE277" i="1"/>
  <c r="AU277" s="1"/>
  <c r="Y304" i="52" s="1"/>
  <c r="AJ280" i="1"/>
  <c r="S301" i="45" s="1"/>
  <c r="T323" s="1"/>
  <c r="AJ398" i="1"/>
  <c r="S428" i="45" s="1"/>
  <c r="AJ271" i="1"/>
  <c r="S292" i="45" s="1"/>
  <c r="T314" s="1"/>
  <c r="AE210" i="1"/>
  <c r="AW210" s="1"/>
  <c r="X234" i="43" s="1"/>
  <c r="AE294" i="1"/>
  <c r="AW294" s="1"/>
  <c r="X318" i="43" s="1"/>
  <c r="AE158" i="1"/>
  <c r="AU158" s="1"/>
  <c r="Y184" i="52" s="1"/>
  <c r="AE25" i="1"/>
  <c r="AU25" s="1"/>
  <c r="AE226"/>
  <c r="AW226" s="1"/>
  <c r="X250" i="43" s="1"/>
  <c r="AE202" i="1"/>
  <c r="AW202" s="1"/>
  <c r="X226" i="43" s="1"/>
  <c r="AE129" i="1"/>
  <c r="AW129" s="1"/>
  <c r="X153" i="43" s="1"/>
  <c r="AE232" i="1"/>
  <c r="AW232" s="1"/>
  <c r="X256" i="43" s="1"/>
  <c r="AJ178" i="1"/>
  <c r="S199" i="45" s="1"/>
  <c r="T221" s="1"/>
  <c r="AJ203" i="1"/>
  <c r="S224" i="45" s="1"/>
  <c r="T246" s="1"/>
  <c r="AJ219" i="1"/>
  <c r="S240" i="45" s="1"/>
  <c r="T262" s="1"/>
  <c r="AJ218" i="1"/>
  <c r="S239" i="45" s="1"/>
  <c r="T261" s="1"/>
  <c r="AJ385" i="1"/>
  <c r="S415" i="45" s="1"/>
  <c r="AJ38" i="1"/>
  <c r="S51" i="45" s="1"/>
  <c r="T73" s="1"/>
  <c r="AJ254" i="1"/>
  <c r="S275" i="45" s="1"/>
  <c r="T297" s="1"/>
  <c r="AJ90" i="1"/>
  <c r="S111" i="45" s="1"/>
  <c r="T133" s="1"/>
  <c r="BF372" i="1"/>
  <c r="AJ57"/>
  <c r="S78" i="45" s="1"/>
  <c r="T100" s="1"/>
  <c r="AJ393" i="1"/>
  <c r="AJ119"/>
  <c r="S140" i="45" s="1"/>
  <c r="T162" s="1"/>
  <c r="AJ331" i="1"/>
  <c r="AI108"/>
  <c r="R132" i="43" s="1"/>
  <c r="AI372" i="1"/>
  <c r="R407" i="43" s="1"/>
  <c r="AI269" i="1"/>
  <c r="R293" i="43" s="1"/>
  <c r="AK156" i="1"/>
  <c r="S180" i="43" s="1"/>
  <c r="AE393" i="1"/>
  <c r="AU393" s="1"/>
  <c r="AI57"/>
  <c r="R81" i="43" s="1"/>
  <c r="AI119" i="1"/>
  <c r="R143" i="43" s="1"/>
  <c r="AI216" i="1"/>
  <c r="R240" i="43" s="1"/>
  <c r="AI331" i="1"/>
  <c r="R366" i="43" s="1"/>
  <c r="AI397" i="1"/>
  <c r="R432" i="43" s="1"/>
  <c r="AE57" i="1"/>
  <c r="AU57" s="1"/>
  <c r="Y82" i="52" s="1"/>
  <c r="AE119" i="1"/>
  <c r="AU119" s="1"/>
  <c r="Y144" i="52" s="1"/>
  <c r="AE331" i="1"/>
  <c r="AU331" s="1"/>
  <c r="AI393"/>
  <c r="R428" i="43" s="1"/>
  <c r="AE216" i="1"/>
  <c r="AJ216"/>
  <c r="S237" i="45" s="1"/>
  <c r="T259" s="1"/>
  <c r="AE397" i="1"/>
  <c r="AU397" s="1"/>
  <c r="AJ397"/>
  <c r="S427" i="45" s="1"/>
  <c r="AE269" i="1"/>
  <c r="AU269" s="1"/>
  <c r="Y296" i="52" s="1"/>
  <c r="AJ269" i="1"/>
  <c r="S290" i="45" s="1"/>
  <c r="T312" s="1"/>
  <c r="AE372" i="1"/>
  <c r="AU372" s="1"/>
  <c r="AJ372"/>
  <c r="S402" i="45" s="1"/>
  <c r="AE90" i="1"/>
  <c r="AI90"/>
  <c r="R114" i="43" s="1"/>
  <c r="BW106" i="1"/>
  <c r="AE385"/>
  <c r="AW385" s="1"/>
  <c r="X420" i="43" s="1"/>
  <c r="AE38" i="1"/>
  <c r="AU38" s="1"/>
  <c r="Y55" i="52" s="1"/>
  <c r="Q54" i="45"/>
  <c r="AI385" i="1"/>
  <c r="R420" i="43" s="1"/>
  <c r="AI38" i="1"/>
  <c r="R54" i="43" s="1"/>
  <c r="AE254" i="1"/>
  <c r="AI254"/>
  <c r="R278" i="43" s="1"/>
  <c r="AL156" i="1"/>
  <c r="AJ108"/>
  <c r="S129" i="45" s="1"/>
  <c r="T151" s="1"/>
  <c r="AE108" i="1"/>
  <c r="AU108" s="1"/>
  <c r="Y133" i="52" s="1"/>
  <c r="BW50" i="1"/>
  <c r="AI277"/>
  <c r="R301" i="43" s="1"/>
  <c r="BV66" i="1"/>
  <c r="BW66" s="1"/>
  <c r="BV162"/>
  <c r="BW162" s="1"/>
  <c r="BV141"/>
  <c r="CT141" s="1"/>
  <c r="BV88"/>
  <c r="BW88" s="1"/>
  <c r="BV259"/>
  <c r="CT259" s="1"/>
  <c r="BV82"/>
  <c r="CT82" s="1"/>
  <c r="BV134"/>
  <c r="BW134" s="1"/>
  <c r="BV102"/>
  <c r="CT102" s="1"/>
  <c r="BV120"/>
  <c r="BW120" s="1"/>
  <c r="BV229"/>
  <c r="CT229" s="1"/>
  <c r="AE203"/>
  <c r="AW203" s="1"/>
  <c r="X227" i="43" s="1"/>
  <c r="AI203" i="1"/>
  <c r="R227" i="43" s="1"/>
  <c r="AJ135" i="1"/>
  <c r="S156" i="45" s="1"/>
  <c r="T178" s="1"/>
  <c r="AE135" i="1"/>
  <c r="AU135" s="1"/>
  <c r="Y160" i="52" s="1"/>
  <c r="AI135" i="1"/>
  <c r="R159" i="43" s="1"/>
  <c r="AE219" i="1"/>
  <c r="AW219" s="1"/>
  <c r="X243" i="43" s="1"/>
  <c r="AI219" i="1"/>
  <c r="R243" i="43" s="1"/>
  <c r="AE218" i="1"/>
  <c r="AU218" s="1"/>
  <c r="Y244" i="52" s="1"/>
  <c r="AI218" i="1"/>
  <c r="R242" i="43" s="1"/>
  <c r="AJ277" i="1"/>
  <c r="S298" i="45" s="1"/>
  <c r="T320" s="1"/>
  <c r="AE280" i="1"/>
  <c r="AI280"/>
  <c r="R304" i="43" s="1"/>
  <c r="BW263" i="1"/>
  <c r="AE358"/>
  <c r="AU358" s="1"/>
  <c r="BF358"/>
  <c r="AI358"/>
  <c r="R393" i="43" s="1"/>
  <c r="CT263" i="1"/>
  <c r="AJ215"/>
  <c r="S236" i="45" s="1"/>
  <c r="T258" s="1"/>
  <c r="AE178" i="1"/>
  <c r="AW178" s="1"/>
  <c r="X202" i="43" s="1"/>
  <c r="AI25" i="1"/>
  <c r="R41" i="43" s="1"/>
  <c r="AI226" i="1"/>
  <c r="R250" i="43" s="1"/>
  <c r="AI202" i="1"/>
  <c r="R226" i="43" s="1"/>
  <c r="AI129" i="1"/>
  <c r="R153" i="43" s="1"/>
  <c r="AI232" i="1"/>
  <c r="R256" i="43" s="1"/>
  <c r="AI112" i="1"/>
  <c r="R136" i="43" s="1"/>
  <c r="AI100" i="1"/>
  <c r="R124" i="43" s="1"/>
  <c r="AE247" i="1"/>
  <c r="AU247" s="1"/>
  <c r="Y274" i="52" s="1"/>
  <c r="AJ112" i="1"/>
  <c r="S133" i="45" s="1"/>
  <c r="T155" s="1"/>
  <c r="AJ100" i="1"/>
  <c r="S121" i="45" s="1"/>
  <c r="T143" s="1"/>
  <c r="AE186" i="1"/>
  <c r="AU186" s="1"/>
  <c r="Y212" i="52" s="1"/>
  <c r="AJ186" i="1"/>
  <c r="S207" i="45" s="1"/>
  <c r="T229" s="1"/>
  <c r="AI247" i="1"/>
  <c r="R271" i="43" s="1"/>
  <c r="AE215" i="1"/>
  <c r="AI186"/>
  <c r="R210" i="43" s="1"/>
  <c r="AE112" i="1"/>
  <c r="AI215"/>
  <c r="R239" i="43" s="1"/>
  <c r="CS66" i="1"/>
  <c r="AJ25"/>
  <c r="S38" i="45" s="1"/>
  <c r="T51" s="1"/>
  <c r="AJ226" i="1"/>
  <c r="S247" i="45" s="1"/>
  <c r="T269" s="1"/>
  <c r="AJ202" i="1"/>
  <c r="S223" i="45" s="1"/>
  <c r="T245" s="1"/>
  <c r="AJ358" i="1"/>
  <c r="S388" i="45" s="1"/>
  <c r="T427" s="1"/>
  <c r="AJ129" i="1"/>
  <c r="S150" i="45" s="1"/>
  <c r="T172" s="1"/>
  <c r="AJ232" i="1"/>
  <c r="S253" i="45" s="1"/>
  <c r="T275" s="1"/>
  <c r="AI293" i="1"/>
  <c r="R317" i="43" s="1"/>
  <c r="AI158" i="1"/>
  <c r="R182" i="43" s="1"/>
  <c r="AI183" i="1"/>
  <c r="R207" i="43" s="1"/>
  <c r="AI210" i="1"/>
  <c r="R234" i="43" s="1"/>
  <c r="AJ183" i="1"/>
  <c r="S204" i="45" s="1"/>
  <c r="T226" s="1"/>
  <c r="AJ158" i="1"/>
  <c r="S179" i="45" s="1"/>
  <c r="AE183" i="1"/>
  <c r="AJ293"/>
  <c r="S314" i="45" s="1"/>
  <c r="T353" s="1"/>
  <c r="AJ210" i="1"/>
  <c r="S231" i="45" s="1"/>
  <c r="T253" s="1"/>
  <c r="AI294" i="1"/>
  <c r="R318" i="43" s="1"/>
  <c r="AJ294" i="1"/>
  <c r="S315" i="45" s="1"/>
  <c r="T354" s="1"/>
  <c r="AI287" i="1"/>
  <c r="R311" i="43" s="1"/>
  <c r="AI128" i="1"/>
  <c r="R152" i="43" s="1"/>
  <c r="CS263" i="1"/>
  <c r="AJ128"/>
  <c r="S149" i="45" s="1"/>
  <c r="T171" s="1"/>
  <c r="AE94" i="1"/>
  <c r="AW94" s="1"/>
  <c r="X118" i="43" s="1"/>
  <c r="AE271" i="1"/>
  <c r="AU271" s="1"/>
  <c r="Y298" i="52" s="1"/>
  <c r="AI271" i="1"/>
  <c r="R295" i="43" s="1"/>
  <c r="AJ94" i="1"/>
  <c r="S115" i="45" s="1"/>
  <c r="T137" s="1"/>
  <c r="AH15" i="1"/>
  <c r="AK287"/>
  <c r="S311" i="43" s="1"/>
  <c r="AI94" i="1"/>
  <c r="R118" i="43" s="1"/>
  <c r="AL287" i="1"/>
  <c r="AJ107"/>
  <c r="S128" i="45" s="1"/>
  <c r="T150" s="1"/>
  <c r="AE107" i="1"/>
  <c r="AU107" s="1"/>
  <c r="Y132" i="52" s="1"/>
  <c r="AI107" i="1"/>
  <c r="R131" i="43" s="1"/>
  <c r="AA51" i="44"/>
  <c r="AI273" i="1"/>
  <c r="R297" i="43" s="1"/>
  <c r="AI262" i="1"/>
  <c r="R286" i="43" s="1"/>
  <c r="AI248" i="1"/>
  <c r="R272" i="43" s="1"/>
  <c r="AI238" i="1"/>
  <c r="R262" i="43" s="1"/>
  <c r="AI228" i="1"/>
  <c r="R252" i="43" s="1"/>
  <c r="AI214" i="1"/>
  <c r="R238" i="43" s="1"/>
  <c r="AI204" i="1"/>
  <c r="R228" i="43" s="1"/>
  <c r="AI191" i="1"/>
  <c r="R215" i="43" s="1"/>
  <c r="AI181" i="1"/>
  <c r="R205" i="43" s="1"/>
  <c r="AI173" i="1"/>
  <c r="R197" i="43" s="1"/>
  <c r="AI165" i="1"/>
  <c r="R189" i="43" s="1"/>
  <c r="AI157" i="1"/>
  <c r="R181" i="43" s="1"/>
  <c r="AI144" i="1"/>
  <c r="R168" i="43" s="1"/>
  <c r="AI136" i="1"/>
  <c r="R160" i="43" s="1"/>
  <c r="AI123" i="1"/>
  <c r="R147" i="43" s="1"/>
  <c r="AI110" i="1"/>
  <c r="R134" i="43" s="1"/>
  <c r="AI92" i="1"/>
  <c r="R116" i="43" s="1"/>
  <c r="AI81" i="1"/>
  <c r="R105" i="43" s="1"/>
  <c r="AI74" i="1"/>
  <c r="R98" i="43" s="1"/>
  <c r="AI65" i="1"/>
  <c r="R89" i="43" s="1"/>
  <c r="AI56" i="1"/>
  <c r="R80" i="43" s="1"/>
  <c r="AI46" i="1"/>
  <c r="R70" i="43" s="1"/>
  <c r="AI329" i="1"/>
  <c r="R364" i="43" s="1"/>
  <c r="AI317" i="1"/>
  <c r="R352" i="43" s="1"/>
  <c r="AI268" i="1"/>
  <c r="R292" i="43" s="1"/>
  <c r="AI241" i="1"/>
  <c r="R265" i="43" s="1"/>
  <c r="AI227" i="1"/>
  <c r="R251" i="43" s="1"/>
  <c r="AI213" i="1"/>
  <c r="R237" i="43" s="1"/>
  <c r="AI196" i="1"/>
  <c r="R220" i="43" s="1"/>
  <c r="AI185" i="1"/>
  <c r="R209" i="43" s="1"/>
  <c r="AI168" i="1"/>
  <c r="R192" i="43" s="1"/>
  <c r="AI151" i="1"/>
  <c r="R175" i="43" s="1"/>
  <c r="AI133" i="1"/>
  <c r="R157" i="43" s="1"/>
  <c r="AI113" i="1"/>
  <c r="R137" i="43" s="1"/>
  <c r="AI95" i="1"/>
  <c r="R119" i="43" s="1"/>
  <c r="AI86" i="1"/>
  <c r="R110" i="43" s="1"/>
  <c r="AI69" i="1"/>
  <c r="R93" i="43" s="1"/>
  <c r="AI60" i="1"/>
  <c r="R84" i="43" s="1"/>
  <c r="AI49" i="1"/>
  <c r="R73" i="43" s="1"/>
  <c r="AI332" i="1"/>
  <c r="R367" i="43" s="1"/>
  <c r="AI318" i="1"/>
  <c r="R353" i="43" s="1"/>
  <c r="AI334" i="1"/>
  <c r="R369" i="43" s="1"/>
  <c r="AI43" i="1"/>
  <c r="R67" i="43" s="1"/>
  <c r="Q64" i="45"/>
  <c r="AI164" i="1"/>
  <c r="R188" i="43" s="1"/>
  <c r="AI265" i="1"/>
  <c r="R289" i="43" s="1"/>
  <c r="AI258" i="1"/>
  <c r="R282" i="43" s="1"/>
  <c r="AI242" i="1"/>
  <c r="R266" i="43" s="1"/>
  <c r="AI233" i="1"/>
  <c r="R257" i="43" s="1"/>
  <c r="AI221" i="1"/>
  <c r="R245" i="43" s="1"/>
  <c r="AI209" i="1"/>
  <c r="R233" i="43" s="1"/>
  <c r="AI197" i="1"/>
  <c r="R221" i="43" s="1"/>
  <c r="AI187" i="1"/>
  <c r="R211" i="43" s="1"/>
  <c r="AI176" i="1"/>
  <c r="R200" i="43" s="1"/>
  <c r="AI169" i="1"/>
  <c r="R193" i="43" s="1"/>
  <c r="AI152" i="1"/>
  <c r="R176" i="43" s="1"/>
  <c r="AI147" i="1"/>
  <c r="R171" i="43" s="1"/>
  <c r="AI140" i="1"/>
  <c r="R164" i="43" s="1"/>
  <c r="AI130" i="1"/>
  <c r="R154" i="43" s="1"/>
  <c r="AI114" i="1"/>
  <c r="R138" i="43" s="1"/>
  <c r="AI104" i="1"/>
  <c r="R128" i="43" s="1"/>
  <c r="AI96" i="1"/>
  <c r="R120" i="43" s="1"/>
  <c r="AI87" i="1"/>
  <c r="R111" i="43" s="1"/>
  <c r="AI77" i="1"/>
  <c r="R101" i="43" s="1"/>
  <c r="AI70" i="1"/>
  <c r="R94" i="43" s="1"/>
  <c r="AI61" i="1"/>
  <c r="R85" i="43" s="1"/>
  <c r="AI52" i="1"/>
  <c r="R76" i="43" s="1"/>
  <c r="AI321" i="1"/>
  <c r="R356" i="43" s="1"/>
  <c r="AI337" i="1"/>
  <c r="R372" i="43" s="1"/>
  <c r="AI345" i="1"/>
  <c r="R380" i="43" s="1"/>
  <c r="AI324" i="1"/>
  <c r="R359" i="43" s="1"/>
  <c r="AI340" i="1"/>
  <c r="R375" i="43" s="1"/>
  <c r="AI312" i="1"/>
  <c r="R347" i="43" s="1"/>
  <c r="AI257" i="1"/>
  <c r="R281" i="43" s="1"/>
  <c r="AI246" i="1"/>
  <c r="R270" i="43" s="1"/>
  <c r="AI231" i="1"/>
  <c r="R255" i="43" s="1"/>
  <c r="AI220" i="1"/>
  <c r="R244" i="43" s="1"/>
  <c r="AI207" i="1"/>
  <c r="R231" i="43" s="1"/>
  <c r="AI201" i="1"/>
  <c r="R225" i="43" s="1"/>
  <c r="AI190" i="1"/>
  <c r="R214" i="43" s="1"/>
  <c r="AI180" i="1"/>
  <c r="R204" i="43" s="1"/>
  <c r="AI172" i="1"/>
  <c r="R196" i="43" s="1"/>
  <c r="AI161" i="1"/>
  <c r="R185" i="43" s="1"/>
  <c r="AI155" i="1"/>
  <c r="R179" i="43" s="1"/>
  <c r="AI150" i="1"/>
  <c r="R174" i="43" s="1"/>
  <c r="AI143" i="1"/>
  <c r="R167" i="43" s="1"/>
  <c r="AI139" i="1"/>
  <c r="R163" i="43" s="1"/>
  <c r="AI127" i="1"/>
  <c r="R151" i="43" s="1"/>
  <c r="AI117" i="1"/>
  <c r="R141" i="43" s="1"/>
  <c r="AI109" i="1"/>
  <c r="R133" i="43" s="1"/>
  <c r="AI99" i="1"/>
  <c r="R123" i="43" s="1"/>
  <c r="AI91" i="1"/>
  <c r="R115" i="43" s="1"/>
  <c r="AI80" i="1"/>
  <c r="R104" i="43" s="1"/>
  <c r="AI73" i="1"/>
  <c r="R97" i="43" s="1"/>
  <c r="AI64" i="1"/>
  <c r="R88" i="43" s="1"/>
  <c r="AI55" i="1"/>
  <c r="R79" i="43" s="1"/>
  <c r="AI314" i="1"/>
  <c r="R349" i="43" s="1"/>
  <c r="AI323" i="1"/>
  <c r="R358" i="43" s="1"/>
  <c r="AI339" i="1"/>
  <c r="R374" i="43" s="1"/>
  <c r="AI347" i="1"/>
  <c r="R382" i="43" s="1"/>
  <c r="AI326" i="1"/>
  <c r="R361" i="43" s="1"/>
  <c r="AI342" i="1"/>
  <c r="R377" i="43" s="1"/>
  <c r="AI237" i="1"/>
  <c r="R261" i="43" s="1"/>
  <c r="AI235" i="1"/>
  <c r="R259" i="43" s="1"/>
  <c r="AI208" i="1"/>
  <c r="R232" i="43" s="1"/>
  <c r="AI260" i="1"/>
  <c r="R284" i="43" s="1"/>
  <c r="AI275" i="1"/>
  <c r="R299" i="43" s="1"/>
  <c r="AI276" i="1"/>
  <c r="R300" i="43" s="1"/>
  <c r="AI267" i="1"/>
  <c r="R291" i="43" s="1"/>
  <c r="AI264" i="1"/>
  <c r="R288" i="43" s="1"/>
  <c r="AI261" i="1"/>
  <c r="R285" i="43" s="1"/>
  <c r="AI250" i="1"/>
  <c r="R274" i="43" s="1"/>
  <c r="AI245" i="1"/>
  <c r="R269" i="43" s="1"/>
  <c r="AI240" i="1"/>
  <c r="R264" i="43" s="1"/>
  <c r="AI236" i="1"/>
  <c r="R260" i="43" s="1"/>
  <c r="AI230" i="1"/>
  <c r="R254" i="43" s="1"/>
  <c r="AI223" i="1"/>
  <c r="R247" i="43" s="1"/>
  <c r="AI212" i="1"/>
  <c r="R236" i="43" s="1"/>
  <c r="AI206" i="1"/>
  <c r="R230" i="43" s="1"/>
  <c r="AI200" i="1"/>
  <c r="R224" i="43" s="1"/>
  <c r="AI193" i="1"/>
  <c r="R217" i="43" s="1"/>
  <c r="AI189" i="1"/>
  <c r="R213" i="43" s="1"/>
  <c r="AI184" i="1"/>
  <c r="R208" i="43" s="1"/>
  <c r="AI179" i="1"/>
  <c r="R203" i="43" s="1"/>
  <c r="AI175" i="1"/>
  <c r="R199" i="43" s="1"/>
  <c r="AI171" i="1"/>
  <c r="R195" i="43" s="1"/>
  <c r="AI167" i="1"/>
  <c r="R191" i="43" s="1"/>
  <c r="AI163" i="1"/>
  <c r="R187" i="43" s="1"/>
  <c r="AI159" i="1"/>
  <c r="R183" i="43" s="1"/>
  <c r="AI154" i="1"/>
  <c r="R178" i="43" s="1"/>
  <c r="AI149" i="1"/>
  <c r="R173" i="43" s="1"/>
  <c r="AI146" i="1"/>
  <c r="R170" i="43" s="1"/>
  <c r="AI142" i="1"/>
  <c r="R166" i="43" s="1"/>
  <c r="AI138" i="1"/>
  <c r="R162" i="43" s="1"/>
  <c r="AI132" i="1"/>
  <c r="R156" i="43" s="1"/>
  <c r="AI125" i="1"/>
  <c r="R149" i="43" s="1"/>
  <c r="AI122" i="1"/>
  <c r="R146" i="43" s="1"/>
  <c r="AI116" i="1"/>
  <c r="R140" i="43" s="1"/>
  <c r="AI111" i="1"/>
  <c r="R135" i="43" s="1"/>
  <c r="AI103" i="1"/>
  <c r="R127" i="43" s="1"/>
  <c r="AI98" i="1"/>
  <c r="R122" i="43" s="1"/>
  <c r="AI89" i="1"/>
  <c r="R113" i="43" s="1"/>
  <c r="AI85" i="1"/>
  <c r="R109" i="43" s="1"/>
  <c r="AI79" i="1"/>
  <c r="R103" i="43" s="1"/>
  <c r="AI76" i="1"/>
  <c r="R100" i="43" s="1"/>
  <c r="AI72" i="1"/>
  <c r="R96" i="43" s="1"/>
  <c r="AI68" i="1"/>
  <c r="R92" i="43" s="1"/>
  <c r="AI63" i="1"/>
  <c r="R87" i="43" s="1"/>
  <c r="AI59" i="1"/>
  <c r="R83" i="43" s="1"/>
  <c r="AI54" i="1"/>
  <c r="R78" i="43" s="1"/>
  <c r="AI48" i="1"/>
  <c r="R72" i="43" s="1"/>
  <c r="AI316" i="1"/>
  <c r="R351" i="43" s="1"/>
  <c r="AI325" i="1"/>
  <c r="R360" i="43" s="1"/>
  <c r="AI333" i="1"/>
  <c r="R368" i="43" s="1"/>
  <c r="AI341" i="1"/>
  <c r="R376" i="43" s="1"/>
  <c r="AI313" i="1"/>
  <c r="R348" i="43" s="1"/>
  <c r="AI320" i="1"/>
  <c r="R355" i="43" s="1"/>
  <c r="AI328" i="1"/>
  <c r="R363" i="43" s="1"/>
  <c r="AI336" i="1"/>
  <c r="R371" i="43" s="1"/>
  <c r="AI344" i="1"/>
  <c r="R379" i="43" s="1"/>
  <c r="AI45" i="1"/>
  <c r="R69" i="43" s="1"/>
  <c r="AI195" i="1"/>
  <c r="R219" i="43" s="1"/>
  <c r="AI274" i="1"/>
  <c r="R298" i="43" s="1"/>
  <c r="AI266" i="1"/>
  <c r="R290" i="43" s="1"/>
  <c r="AI253" i="1"/>
  <c r="R277" i="43" s="1"/>
  <c r="AI249" i="1"/>
  <c r="R273" i="43" s="1"/>
  <c r="AI244" i="1"/>
  <c r="R268" i="43" s="1"/>
  <c r="AI239" i="1"/>
  <c r="R263" i="43" s="1"/>
  <c r="AI234" i="1"/>
  <c r="R258" i="43" s="1"/>
  <c r="AI222" i="1"/>
  <c r="R246" i="43" s="1"/>
  <c r="AI217" i="1"/>
  <c r="R241" i="43" s="1"/>
  <c r="AI211" i="1"/>
  <c r="R235" i="43" s="1"/>
  <c r="AI205" i="1"/>
  <c r="R229" i="43" s="1"/>
  <c r="AI198" i="1"/>
  <c r="R222" i="43" s="1"/>
  <c r="AI192" i="1"/>
  <c r="R216" i="43" s="1"/>
  <c r="AI188" i="1"/>
  <c r="R212" i="43" s="1"/>
  <c r="AI182" i="1"/>
  <c r="R206" i="43" s="1"/>
  <c r="AI177" i="1"/>
  <c r="R201" i="43" s="1"/>
  <c r="AI174" i="1"/>
  <c r="R198" i="43" s="1"/>
  <c r="AI170" i="1"/>
  <c r="R194" i="43" s="1"/>
  <c r="AI166" i="1"/>
  <c r="R190" i="43" s="1"/>
  <c r="AI160" i="1"/>
  <c r="R184" i="43" s="1"/>
  <c r="AI153" i="1"/>
  <c r="R177" i="43" s="1"/>
  <c r="AI148" i="1"/>
  <c r="R172" i="43" s="1"/>
  <c r="AI145" i="1"/>
  <c r="R169" i="43" s="1"/>
  <c r="AI137" i="1"/>
  <c r="R161" i="43" s="1"/>
  <c r="AI131" i="1"/>
  <c r="R155" i="43" s="1"/>
  <c r="AI124" i="1"/>
  <c r="R148" i="43" s="1"/>
  <c r="AI121" i="1"/>
  <c r="R145" i="43" s="1"/>
  <c r="AI115" i="1"/>
  <c r="R139" i="43" s="1"/>
  <c r="AI105" i="1"/>
  <c r="R129" i="43" s="1"/>
  <c r="AI101" i="1"/>
  <c r="R125" i="43" s="1"/>
  <c r="AI97" i="1"/>
  <c r="R121" i="43" s="1"/>
  <c r="AI93" i="1"/>
  <c r="R117" i="43" s="1"/>
  <c r="AI84" i="1"/>
  <c r="R108" i="43" s="1"/>
  <c r="AI78" i="1"/>
  <c r="R102" i="43" s="1"/>
  <c r="AI75" i="1"/>
  <c r="R99" i="43" s="1"/>
  <c r="AI71" i="1"/>
  <c r="R95" i="43" s="1"/>
  <c r="AI67" i="1"/>
  <c r="R91" i="43" s="1"/>
  <c r="AI62" i="1"/>
  <c r="R86" i="43" s="1"/>
  <c r="AI53" i="1"/>
  <c r="R77" i="43" s="1"/>
  <c r="AI47" i="1"/>
  <c r="R71" i="43" s="1"/>
  <c r="AI319" i="1"/>
  <c r="R354" i="43" s="1"/>
  <c r="AI327" i="1"/>
  <c r="R362" i="43" s="1"/>
  <c r="AI335" i="1"/>
  <c r="R370" i="43" s="1"/>
  <c r="AI343" i="1"/>
  <c r="R378" i="43" s="1"/>
  <c r="AI315" i="1"/>
  <c r="R350" i="43" s="1"/>
  <c r="AI322" i="1"/>
  <c r="R357" i="43" s="1"/>
  <c r="AI330" i="1"/>
  <c r="R365" i="43" s="1"/>
  <c r="AI338" i="1"/>
  <c r="R373" i="43" s="1"/>
  <c r="AI346" i="1"/>
  <c r="R381" i="43" s="1"/>
  <c r="AI44" i="1"/>
  <c r="R68" i="43" s="1"/>
  <c r="AE309" i="1"/>
  <c r="AU309" s="1"/>
  <c r="Y335" i="52" s="1"/>
  <c r="AI256" i="1"/>
  <c r="R280" i="43" s="1"/>
  <c r="AI194" i="1"/>
  <c r="R218" i="43" s="1"/>
  <c r="AE51" i="1"/>
  <c r="AE255"/>
  <c r="AW255" s="1"/>
  <c r="X279" i="43" s="1"/>
  <c r="AI309" i="1"/>
  <c r="R333" i="43" s="1"/>
  <c r="AE256" i="1"/>
  <c r="AU256" s="1"/>
  <c r="Y283" i="52" s="1"/>
  <c r="AJ256" i="1"/>
  <c r="S277" i="45" s="1"/>
  <c r="T299" s="1"/>
  <c r="AI252" i="1"/>
  <c r="R276" i="43" s="1"/>
  <c r="AJ194" i="1"/>
  <c r="S215" i="45" s="1"/>
  <c r="T237" s="1"/>
  <c r="AI51" i="1"/>
  <c r="R75" i="43" s="1"/>
  <c r="AI255" i="1"/>
  <c r="R279" i="43" s="1"/>
  <c r="AE199" i="1"/>
  <c r="AU199" s="1"/>
  <c r="Y225" i="52" s="1"/>
  <c r="AI199" i="1"/>
  <c r="R223" i="43" s="1"/>
  <c r="AE83" i="1"/>
  <c r="AI83"/>
  <c r="R107" i="43" s="1"/>
  <c r="AJ252" i="1"/>
  <c r="S273" i="45" s="1"/>
  <c r="T295" s="1"/>
  <c r="AE194" i="1"/>
  <c r="AU194" s="1"/>
  <c r="Y220" i="52" s="1"/>
  <c r="AJ33" i="1"/>
  <c r="S46" i="45" s="1"/>
  <c r="T68" s="1"/>
  <c r="AJ29" i="1"/>
  <c r="S42" i="45" s="1"/>
  <c r="AJ23" i="1"/>
  <c r="S36" i="45" s="1"/>
  <c r="T49" s="1"/>
  <c r="AJ34" i="1"/>
  <c r="S47" i="45" s="1"/>
  <c r="T69" s="1"/>
  <c r="AJ26" i="1"/>
  <c r="S39" i="45" s="1"/>
  <c r="T52" s="1"/>
  <c r="AJ273" i="1"/>
  <c r="S294" i="45" s="1"/>
  <c r="T316" s="1"/>
  <c r="AJ302" i="1"/>
  <c r="S323" i="45" s="1"/>
  <c r="T362" s="1"/>
  <c r="AJ285" i="1"/>
  <c r="S306" i="45" s="1"/>
  <c r="T345" s="1"/>
  <c r="AJ244" i="1"/>
  <c r="S265" i="45" s="1"/>
  <c r="T287" s="1"/>
  <c r="AJ234" i="1"/>
  <c r="S255" i="45" s="1"/>
  <c r="AJ221" i="1"/>
  <c r="S242" i="45" s="1"/>
  <c r="T264" s="1"/>
  <c r="AJ209" i="1"/>
  <c r="S230" i="45" s="1"/>
  <c r="T252" s="1"/>
  <c r="AJ198" i="1"/>
  <c r="S219" i="45" s="1"/>
  <c r="T241" s="1"/>
  <c r="AJ188" i="1"/>
  <c r="S209" i="45" s="1"/>
  <c r="T231" s="1"/>
  <c r="AJ182" i="1"/>
  <c r="S203" i="45" s="1"/>
  <c r="T225" s="1"/>
  <c r="AJ174" i="1"/>
  <c r="S195" i="45" s="1"/>
  <c r="AJ167" i="1"/>
  <c r="S188" i="45" s="1"/>
  <c r="AJ159" i="1"/>
  <c r="S180" i="45" s="1"/>
  <c r="AJ151" i="1"/>
  <c r="S172" i="45" s="1"/>
  <c r="T194" s="1"/>
  <c r="AJ147" i="1"/>
  <c r="S168" i="45" s="1"/>
  <c r="AJ35" i="1"/>
  <c r="S48" i="45" s="1"/>
  <c r="T70" s="1"/>
  <c r="AJ31" i="1"/>
  <c r="S44" i="45" s="1"/>
  <c r="AJ28" i="1"/>
  <c r="S41" i="45" s="1"/>
  <c r="AJ20" i="1"/>
  <c r="S33" i="45" s="1"/>
  <c r="T46" s="1"/>
  <c r="AJ36" i="1"/>
  <c r="S49" i="45" s="1"/>
  <c r="AJ24" i="1"/>
  <c r="S37" i="45" s="1"/>
  <c r="T50" s="1"/>
  <c r="AJ19" i="1"/>
  <c r="S32" i="45" s="1"/>
  <c r="T45" s="1"/>
  <c r="AJ275" i="1"/>
  <c r="S296" i="45" s="1"/>
  <c r="T318" s="1"/>
  <c r="AJ403" i="1"/>
  <c r="S433" i="45" s="1"/>
  <c r="AJ305" i="1"/>
  <c r="S326" i="45" s="1"/>
  <c r="AJ297" i="1"/>
  <c r="S318" i="45" s="1"/>
  <c r="T357" s="1"/>
  <c r="AJ288" i="1"/>
  <c r="S309" i="45" s="1"/>
  <c r="T348" s="1"/>
  <c r="AJ282" i="1"/>
  <c r="S303" i="45" s="1"/>
  <c r="AJ276" i="1"/>
  <c r="S297" i="45" s="1"/>
  <c r="T319" s="1"/>
  <c r="AJ266" i="1"/>
  <c r="S287" i="45" s="1"/>
  <c r="T309" s="1"/>
  <c r="AJ257" i="1"/>
  <c r="S278" i="45" s="1"/>
  <c r="AJ248" i="1"/>
  <c r="S269" i="45" s="1"/>
  <c r="T291" s="1"/>
  <c r="AJ241" i="1"/>
  <c r="S262" i="45" s="1"/>
  <c r="AJ231" i="1"/>
  <c r="S252" i="45" s="1"/>
  <c r="T274" s="1"/>
  <c r="AJ223" i="1"/>
  <c r="S244" i="45" s="1"/>
  <c r="T266" s="1"/>
  <c r="AJ212" i="1"/>
  <c r="S233" i="45" s="1"/>
  <c r="T255" s="1"/>
  <c r="AJ207" i="1"/>
  <c r="S228" i="45" s="1"/>
  <c r="AJ201" i="1"/>
  <c r="S222" i="45" s="1"/>
  <c r="T244" s="1"/>
  <c r="AJ196" i="1"/>
  <c r="S217" i="45" s="1"/>
  <c r="AJ190" i="1"/>
  <c r="S211" i="45" s="1"/>
  <c r="T233" s="1"/>
  <c r="AJ185" i="1"/>
  <c r="S206" i="45" s="1"/>
  <c r="AJ180" i="1"/>
  <c r="S201" i="45" s="1"/>
  <c r="T223" s="1"/>
  <c r="AJ172" i="1"/>
  <c r="S193" i="45" s="1"/>
  <c r="T215" s="1"/>
  <c r="AJ168" i="1"/>
  <c r="S189" i="45" s="1"/>
  <c r="T211" s="1"/>
  <c r="AJ161" i="1"/>
  <c r="S182" i="45" s="1"/>
  <c r="T204" s="1"/>
  <c r="AJ153" i="1"/>
  <c r="S174" i="45" s="1"/>
  <c r="T196" s="1"/>
  <c r="AJ149" i="1"/>
  <c r="S170" i="45" s="1"/>
  <c r="T192" s="1"/>
  <c r="AJ146" i="1"/>
  <c r="S167" i="45" s="1"/>
  <c r="T189" s="1"/>
  <c r="AJ142" i="1"/>
  <c r="S163" i="45" s="1"/>
  <c r="T185" s="1"/>
  <c r="AJ138" i="1"/>
  <c r="S159" i="45" s="1"/>
  <c r="T181" s="1"/>
  <c r="AJ133" i="1"/>
  <c r="S154" i="45" s="1"/>
  <c r="T176" s="1"/>
  <c r="AJ127" i="1"/>
  <c r="S148" i="45" s="1"/>
  <c r="T170" s="1"/>
  <c r="AJ114" i="1"/>
  <c r="S135" i="45" s="1"/>
  <c r="T157" s="1"/>
  <c r="AJ110" i="1"/>
  <c r="S131" i="45" s="1"/>
  <c r="AJ104" i="1"/>
  <c r="S125" i="45" s="1"/>
  <c r="AJ101" i="1"/>
  <c r="S122" i="45" s="1"/>
  <c r="T144" s="1"/>
  <c r="AJ97" i="1"/>
  <c r="S118" i="45" s="1"/>
  <c r="AJ93" i="1"/>
  <c r="S114" i="45" s="1"/>
  <c r="T136" s="1"/>
  <c r="AJ84" i="1"/>
  <c r="S105" i="45" s="1"/>
  <c r="T127" s="1"/>
  <c r="AJ80" i="1"/>
  <c r="S101" i="45" s="1"/>
  <c r="T123" s="1"/>
  <c r="AJ73" i="1"/>
  <c r="S94" i="45" s="1"/>
  <c r="T116" s="1"/>
  <c r="AJ69" i="1"/>
  <c r="S90" i="45" s="1"/>
  <c r="T112" s="1"/>
  <c r="AJ64" i="1"/>
  <c r="S85" i="45" s="1"/>
  <c r="T107" s="1"/>
  <c r="AJ60" i="1"/>
  <c r="S81" i="45" s="1"/>
  <c r="AJ55" i="1"/>
  <c r="S76" i="45" s="1"/>
  <c r="AJ49" i="1"/>
  <c r="S70" i="45" s="1"/>
  <c r="T92" s="1"/>
  <c r="AJ46" i="1"/>
  <c r="S67" i="45" s="1"/>
  <c r="AJ319" i="1"/>
  <c r="S349" i="45" s="1"/>
  <c r="T388" s="1"/>
  <c r="AJ327" i="1"/>
  <c r="S357" i="45" s="1"/>
  <c r="T396" s="1"/>
  <c r="AJ335" i="1"/>
  <c r="S365" i="45" s="1"/>
  <c r="T404" s="1"/>
  <c r="AJ343" i="1"/>
  <c r="S373" i="45" s="1"/>
  <c r="T412" s="1"/>
  <c r="AJ351" i="1"/>
  <c r="S381" i="45" s="1"/>
  <c r="T420" s="1"/>
  <c r="AJ359" i="1"/>
  <c r="S389" i="45" s="1"/>
  <c r="T428" s="1"/>
  <c r="AJ367" i="1"/>
  <c r="S397" i="45" s="1"/>
  <c r="AJ377" i="1"/>
  <c r="S407" i="45" s="1"/>
  <c r="AJ386" i="1"/>
  <c r="S416" i="45" s="1"/>
  <c r="AJ394" i="1"/>
  <c r="S424" i="45" s="1"/>
  <c r="AJ315" i="1"/>
  <c r="S345" i="45" s="1"/>
  <c r="T384" s="1"/>
  <c r="AJ322" i="1"/>
  <c r="S352" i="45" s="1"/>
  <c r="T391" s="1"/>
  <c r="AJ330" i="1"/>
  <c r="S360" i="45" s="1"/>
  <c r="T399" s="1"/>
  <c r="AJ338" i="1"/>
  <c r="S368" i="45" s="1"/>
  <c r="AJ346" i="1"/>
  <c r="S376" i="45" s="1"/>
  <c r="T415" s="1"/>
  <c r="AJ353" i="1"/>
  <c r="S383" i="45" s="1"/>
  <c r="AJ362" i="1"/>
  <c r="S392" i="45" s="1"/>
  <c r="T431" s="1"/>
  <c r="AJ370" i="1"/>
  <c r="S400" i="45" s="1"/>
  <c r="AJ380" i="1"/>
  <c r="S410" i="45" s="1"/>
  <c r="AJ399" i="1"/>
  <c r="S429" i="45" s="1"/>
  <c r="AJ402" i="1"/>
  <c r="S432" i="45" s="1"/>
  <c r="AJ301" i="1"/>
  <c r="S322" i="45" s="1"/>
  <c r="AJ296" i="1"/>
  <c r="S317" i="45" s="1"/>
  <c r="T356" s="1"/>
  <c r="AJ283" i="1"/>
  <c r="S304" i="45" s="1"/>
  <c r="T343" s="1"/>
  <c r="AJ278" i="1"/>
  <c r="S299" i="45" s="1"/>
  <c r="T321" s="1"/>
  <c r="AJ268" i="1"/>
  <c r="S289" i="45" s="1"/>
  <c r="T311" s="1"/>
  <c r="AJ265" i="1"/>
  <c r="S286" i="45" s="1"/>
  <c r="T308" s="1"/>
  <c r="AJ261" i="1"/>
  <c r="S282" i="45" s="1"/>
  <c r="T304" s="1"/>
  <c r="AJ253" i="1"/>
  <c r="S274" i="45" s="1"/>
  <c r="T296" s="1"/>
  <c r="AJ249" i="1"/>
  <c r="S270" i="45" s="1"/>
  <c r="T292" s="1"/>
  <c r="AJ245" i="1"/>
  <c r="S266" i="45" s="1"/>
  <c r="T288" s="1"/>
  <c r="AJ240" i="1"/>
  <c r="S261" i="45" s="1"/>
  <c r="T283" s="1"/>
  <c r="AJ236" i="1"/>
  <c r="S257" i="45" s="1"/>
  <c r="T279" s="1"/>
  <c r="AJ230" i="1"/>
  <c r="S251" i="45" s="1"/>
  <c r="T273" s="1"/>
  <c r="AJ227" i="1"/>
  <c r="S248" i="45" s="1"/>
  <c r="T270" s="1"/>
  <c r="AJ220" i="1"/>
  <c r="S241" i="45" s="1"/>
  <c r="AJ214" i="1"/>
  <c r="S235" i="45" s="1"/>
  <c r="T257" s="1"/>
  <c r="AJ206" i="1"/>
  <c r="S227" i="45" s="1"/>
  <c r="AJ200" i="1"/>
  <c r="S221" i="45" s="1"/>
  <c r="T243" s="1"/>
  <c r="AJ193" i="1"/>
  <c r="S214" i="45" s="1"/>
  <c r="T236" s="1"/>
  <c r="AJ189" i="1"/>
  <c r="S210" i="45" s="1"/>
  <c r="T232" s="1"/>
  <c r="AJ184" i="1"/>
  <c r="S205" i="45" s="1"/>
  <c r="AJ179" i="1"/>
  <c r="S200" i="45" s="1"/>
  <c r="T222" s="1"/>
  <c r="AJ175" i="1"/>
  <c r="S196" i="45" s="1"/>
  <c r="T218" s="1"/>
  <c r="AJ171" i="1"/>
  <c r="S192" i="45" s="1"/>
  <c r="T214" s="1"/>
  <c r="AJ166" i="1"/>
  <c r="S187" i="45" s="1"/>
  <c r="AJ160" i="1"/>
  <c r="S181" i="45" s="1"/>
  <c r="T203" s="1"/>
  <c r="AJ157" i="1"/>
  <c r="S178" i="45" s="1"/>
  <c r="T200" s="1"/>
  <c r="AJ152" i="1"/>
  <c r="S173" i="45" s="1"/>
  <c r="T195" s="1"/>
  <c r="AJ150" i="1"/>
  <c r="S171" i="45" s="1"/>
  <c r="AJ143" i="1"/>
  <c r="S164" i="45" s="1"/>
  <c r="T186" s="1"/>
  <c r="AJ139" i="1"/>
  <c r="S160" i="45" s="1"/>
  <c r="T182" s="1"/>
  <c r="AJ130" i="1"/>
  <c r="S151" i="45" s="1"/>
  <c r="AJ123" i="1"/>
  <c r="S144" i="45" s="1"/>
  <c r="T166" s="1"/>
  <c r="AJ117" i="1"/>
  <c r="S138" i="45" s="1"/>
  <c r="T160" s="1"/>
  <c r="AJ113" i="1"/>
  <c r="S134" i="45" s="1"/>
  <c r="T156" s="1"/>
  <c r="AJ109" i="1"/>
  <c r="S130" i="45" s="1"/>
  <c r="T152" s="1"/>
  <c r="AJ98" i="1"/>
  <c r="S119" i="45" s="1"/>
  <c r="T141" s="1"/>
  <c r="AJ89" i="1"/>
  <c r="S110" i="45" s="1"/>
  <c r="T132" s="1"/>
  <c r="AJ85" i="1"/>
  <c r="S106" i="45" s="1"/>
  <c r="T128" s="1"/>
  <c r="AJ77" i="1"/>
  <c r="S98" i="45" s="1"/>
  <c r="T120" s="1"/>
  <c r="AJ74" i="1"/>
  <c r="S95" i="45" s="1"/>
  <c r="AJ70" i="1"/>
  <c r="S91" i="45" s="1"/>
  <c r="T113" s="1"/>
  <c r="AJ65" i="1"/>
  <c r="S86" i="45" s="1"/>
  <c r="AJ61" i="1"/>
  <c r="S82" i="45" s="1"/>
  <c r="T104" s="1"/>
  <c r="AJ56" i="1"/>
  <c r="S77" i="45" s="1"/>
  <c r="AJ52" i="1"/>
  <c r="S73" i="45" s="1"/>
  <c r="T95" s="1"/>
  <c r="AJ314" i="1"/>
  <c r="S344" i="45" s="1"/>
  <c r="AJ325" i="1"/>
  <c r="S355" i="45" s="1"/>
  <c r="T394" s="1"/>
  <c r="AJ333" i="1"/>
  <c r="S363" i="45" s="1"/>
  <c r="T402" s="1"/>
  <c r="AJ341" i="1"/>
  <c r="S371" i="45" s="1"/>
  <c r="AJ349" i="1"/>
  <c r="S379" i="45" s="1"/>
  <c r="T418" s="1"/>
  <c r="AJ356" i="1"/>
  <c r="S386" i="45" s="1"/>
  <c r="T425" s="1"/>
  <c r="AJ365" i="1"/>
  <c r="S395" i="45" s="1"/>
  <c r="AJ375" i="1"/>
  <c r="S405" i="45" s="1"/>
  <c r="AJ384" i="1"/>
  <c r="S414" i="45" s="1"/>
  <c r="AJ392" i="1"/>
  <c r="S422" i="45" s="1"/>
  <c r="AJ313" i="1"/>
  <c r="S343" i="45" s="1"/>
  <c r="T382" s="1"/>
  <c r="AJ320" i="1"/>
  <c r="S350" i="45" s="1"/>
  <c r="T389" s="1"/>
  <c r="AJ328" i="1"/>
  <c r="S358" i="45" s="1"/>
  <c r="T397" s="1"/>
  <c r="AJ336" i="1"/>
  <c r="S366" i="45" s="1"/>
  <c r="T405" s="1"/>
  <c r="AJ344" i="1"/>
  <c r="S374" i="45" s="1"/>
  <c r="T413" s="1"/>
  <c r="AJ352" i="1"/>
  <c r="S382" i="45" s="1"/>
  <c r="T421" s="1"/>
  <c r="AJ360" i="1"/>
  <c r="S390" i="45" s="1"/>
  <c r="T429" s="1"/>
  <c r="AJ368" i="1"/>
  <c r="S398" i="45" s="1"/>
  <c r="AJ378" i="1"/>
  <c r="S408" i="45" s="1"/>
  <c r="AJ387" i="1"/>
  <c r="S417" i="45" s="1"/>
  <c r="AJ395" i="1"/>
  <c r="S425" i="45" s="1"/>
  <c r="AJ284" i="1"/>
  <c r="S305" i="45" s="1"/>
  <c r="T344" s="1"/>
  <c r="AJ381" i="1"/>
  <c r="S411" i="45" s="1"/>
  <c r="AJ164" i="1"/>
  <c r="S185" i="45" s="1"/>
  <c r="T207" s="1"/>
  <c r="AJ22" i="1"/>
  <c r="S35" i="45" s="1"/>
  <c r="T48" s="1"/>
  <c r="AJ195" i="1"/>
  <c r="S216" i="45" s="1"/>
  <c r="T238" s="1"/>
  <c r="AJ298" i="1"/>
  <c r="S319" i="45" s="1"/>
  <c r="T358" s="1"/>
  <c r="AJ304" i="1"/>
  <c r="S325" i="45" s="1"/>
  <c r="T364" s="1"/>
  <c r="AJ40" i="1"/>
  <c r="S53" i="45" s="1"/>
  <c r="T75" s="1"/>
  <c r="AJ237" i="1"/>
  <c r="S258" i="45" s="1"/>
  <c r="T280" s="1"/>
  <c r="AJ235" i="1"/>
  <c r="S256" i="45" s="1"/>
  <c r="T278" s="1"/>
  <c r="AJ32" i="1"/>
  <c r="S45" i="45" s="1"/>
  <c r="AJ132" i="1"/>
  <c r="S153" i="45" s="1"/>
  <c r="T175" s="1"/>
  <c r="AI18" i="1"/>
  <c r="R34" i="43" s="1"/>
  <c r="AI348" i="1"/>
  <c r="R383" i="43" s="1"/>
  <c r="AI352" i="1"/>
  <c r="R387" i="43" s="1"/>
  <c r="AI355" i="1"/>
  <c r="R390" i="43" s="1"/>
  <c r="AI360" i="1"/>
  <c r="R395" i="43" s="1"/>
  <c r="AI364" i="1"/>
  <c r="R399" i="43" s="1"/>
  <c r="AI368" i="1"/>
  <c r="R403" i="43" s="1"/>
  <c r="AI374" i="1"/>
  <c r="R409" i="43" s="1"/>
  <c r="AI378" i="1"/>
  <c r="R413" i="43" s="1"/>
  <c r="AI383" i="1"/>
  <c r="R418" i="43" s="1"/>
  <c r="AI387" i="1"/>
  <c r="R422" i="43" s="1"/>
  <c r="AI391" i="1"/>
  <c r="R426" i="43" s="1"/>
  <c r="AI395" i="1"/>
  <c r="R430" i="43" s="1"/>
  <c r="AI401" i="1"/>
  <c r="R436" i="43" s="1"/>
  <c r="AH41" i="1"/>
  <c r="AI299"/>
  <c r="R323" i="43" s="1"/>
  <c r="AI298" i="1"/>
  <c r="R322" i="43" s="1"/>
  <c r="AI22" i="1"/>
  <c r="R38" i="43" s="1"/>
  <c r="AI403" i="1"/>
  <c r="R438" i="43" s="1"/>
  <c r="AI305" i="1"/>
  <c r="R329" i="43" s="1"/>
  <c r="AI301" i="1"/>
  <c r="R325" i="43" s="1"/>
  <c r="AI297" i="1"/>
  <c r="R321" i="43" s="1"/>
  <c r="AI291" i="1"/>
  <c r="R315" i="43" s="1"/>
  <c r="AI289" i="1"/>
  <c r="R313" i="43" s="1"/>
  <c r="AI286" i="1"/>
  <c r="R310" i="43" s="1"/>
  <c r="AI283" i="1"/>
  <c r="R307" i="43" s="1"/>
  <c r="AI281" i="1"/>
  <c r="R305" i="43" s="1"/>
  <c r="AI278" i="1"/>
  <c r="R302" i="43" s="1"/>
  <c r="AI351" i="1"/>
  <c r="R386" i="43" s="1"/>
  <c r="AI354" i="1"/>
  <c r="R389" i="43" s="1"/>
  <c r="AI359" i="1"/>
  <c r="R394" i="43" s="1"/>
  <c r="AI363" i="1"/>
  <c r="R398" i="43" s="1"/>
  <c r="AI367" i="1"/>
  <c r="R402" i="43" s="1"/>
  <c r="AI371" i="1"/>
  <c r="R406" i="43" s="1"/>
  <c r="AI377" i="1"/>
  <c r="R412" i="43" s="1"/>
  <c r="AI382" i="1"/>
  <c r="R417" i="43" s="1"/>
  <c r="AI386" i="1"/>
  <c r="R421" i="43" s="1"/>
  <c r="AI390" i="1"/>
  <c r="R425" i="43" s="1"/>
  <c r="AI394" i="1"/>
  <c r="R429" i="43" s="1"/>
  <c r="AI400" i="1"/>
  <c r="R435" i="43" s="1"/>
  <c r="AI39" i="1"/>
  <c r="R55" i="43" s="1"/>
  <c r="AI35" i="1"/>
  <c r="R51" i="43" s="1"/>
  <c r="AI33" i="1"/>
  <c r="R49" i="43" s="1"/>
  <c r="AI31" i="1"/>
  <c r="R47" i="43" s="1"/>
  <c r="AI29" i="1"/>
  <c r="R45" i="43" s="1"/>
  <c r="AI28" i="1"/>
  <c r="R44" i="43" s="1"/>
  <c r="AI26" i="1"/>
  <c r="R42" i="43" s="1"/>
  <c r="AI24" i="1"/>
  <c r="R40" i="43" s="1"/>
  <c r="AI21" i="1"/>
  <c r="R37" i="43" s="1"/>
  <c r="AI19" i="1"/>
  <c r="R35" i="43" s="1"/>
  <c r="AJ39" i="1"/>
  <c r="S52" i="45" s="1"/>
  <c r="T74" s="1"/>
  <c r="AJ27" i="1"/>
  <c r="S40" i="45" s="1"/>
  <c r="T53" s="1"/>
  <c r="AJ30" i="1"/>
  <c r="S43" i="45" s="1"/>
  <c r="T65" s="1"/>
  <c r="AJ21" i="1"/>
  <c r="S34" i="45" s="1"/>
  <c r="AJ290" i="1"/>
  <c r="S311" i="45" s="1"/>
  <c r="T350" s="1"/>
  <c r="AJ279" i="1"/>
  <c r="S300" i="45" s="1"/>
  <c r="T322" s="1"/>
  <c r="AJ264" i="1"/>
  <c r="S285" i="45" s="1"/>
  <c r="T307" s="1"/>
  <c r="AJ250" i="1"/>
  <c r="S271" i="45" s="1"/>
  <c r="T293" s="1"/>
  <c r="AJ239" i="1"/>
  <c r="S260" i="45" s="1"/>
  <c r="T282" s="1"/>
  <c r="AJ228" i="1"/>
  <c r="S249" i="45" s="1"/>
  <c r="T271" s="1"/>
  <c r="AJ213" i="1"/>
  <c r="S234" i="45" s="1"/>
  <c r="T256" s="1"/>
  <c r="AJ205" i="1"/>
  <c r="S226" i="45" s="1"/>
  <c r="T248" s="1"/>
  <c r="AJ192" i="1"/>
  <c r="S213" i="45" s="1"/>
  <c r="T235" s="1"/>
  <c r="AJ177" i="1"/>
  <c r="S198" i="45" s="1"/>
  <c r="T220" s="1"/>
  <c r="AJ170" i="1"/>
  <c r="S191" i="45" s="1"/>
  <c r="T213" s="1"/>
  <c r="AJ163" i="1"/>
  <c r="S184" i="45" s="1"/>
  <c r="T206" s="1"/>
  <c r="AJ155" i="1"/>
  <c r="S176" i="45" s="1"/>
  <c r="T198" s="1"/>
  <c r="AJ144" i="1"/>
  <c r="S165" i="45" s="1"/>
  <c r="T187" s="1"/>
  <c r="AJ140" i="1"/>
  <c r="S161" i="45" s="1"/>
  <c r="T183" s="1"/>
  <c r="AJ137" i="1"/>
  <c r="S158" i="45" s="1"/>
  <c r="AJ131" i="1"/>
  <c r="S152" i="45" s="1"/>
  <c r="T174" s="1"/>
  <c r="AJ124" i="1"/>
  <c r="S145" i="45" s="1"/>
  <c r="AJ121" i="1"/>
  <c r="S142" i="45" s="1"/>
  <c r="T164" s="1"/>
  <c r="AJ116" i="1"/>
  <c r="S137" i="45" s="1"/>
  <c r="AJ111" i="1"/>
  <c r="S132" i="45" s="1"/>
  <c r="T154" s="1"/>
  <c r="AJ103" i="1"/>
  <c r="S124" i="45" s="1"/>
  <c r="T146" s="1"/>
  <c r="AJ99" i="1"/>
  <c r="S120" i="45" s="1"/>
  <c r="AJ95" i="1"/>
  <c r="S116" i="45" s="1"/>
  <c r="T138" s="1"/>
  <c r="AJ91" i="1"/>
  <c r="S112" i="45" s="1"/>
  <c r="T134" s="1"/>
  <c r="AJ86" i="1"/>
  <c r="S107" i="45" s="1"/>
  <c r="T129" s="1"/>
  <c r="AJ81" i="1"/>
  <c r="S102" i="45" s="1"/>
  <c r="AJ78" i="1"/>
  <c r="S99" i="45" s="1"/>
  <c r="AJ75" i="1"/>
  <c r="S96" i="45" s="1"/>
  <c r="T118" s="1"/>
  <c r="AJ71" i="1"/>
  <c r="S92" i="45" s="1"/>
  <c r="T114" s="1"/>
  <c r="AJ67" i="1"/>
  <c r="S88" i="45" s="1"/>
  <c r="T110" s="1"/>
  <c r="AJ62" i="1"/>
  <c r="S83" i="45" s="1"/>
  <c r="AJ53" i="1"/>
  <c r="S74" i="45" s="1"/>
  <c r="T96" s="1"/>
  <c r="AJ47" i="1"/>
  <c r="S68" i="45" s="1"/>
  <c r="T90" s="1"/>
  <c r="AJ316" i="1"/>
  <c r="S346" i="45" s="1"/>
  <c r="T385" s="1"/>
  <c r="AJ323" i="1"/>
  <c r="S353" i="45" s="1"/>
  <c r="AJ332" i="1"/>
  <c r="S362" i="45" s="1"/>
  <c r="T401" s="1"/>
  <c r="AJ339" i="1"/>
  <c r="S369" i="45" s="1"/>
  <c r="AJ347" i="1"/>
  <c r="S377" i="45" s="1"/>
  <c r="T416" s="1"/>
  <c r="AJ354" i="1"/>
  <c r="S384" i="45" s="1"/>
  <c r="AJ363" i="1"/>
  <c r="S393" i="45" s="1"/>
  <c r="T432" s="1"/>
  <c r="AJ371" i="1"/>
  <c r="S401" i="45" s="1"/>
  <c r="AJ382" i="1"/>
  <c r="S412" i="45" s="1"/>
  <c r="AJ390" i="1"/>
  <c r="S420" i="45" s="1"/>
  <c r="AJ400" i="1"/>
  <c r="S430" i="45" s="1"/>
  <c r="AJ318" i="1"/>
  <c r="S348" i="45" s="1"/>
  <c r="T387" s="1"/>
  <c r="AJ326" i="1"/>
  <c r="S356" i="45" s="1"/>
  <c r="T395" s="1"/>
  <c r="AJ334" i="1"/>
  <c r="S364" i="45" s="1"/>
  <c r="T403" s="1"/>
  <c r="AJ342" i="1"/>
  <c r="S372" i="45" s="1"/>
  <c r="T411" s="1"/>
  <c r="AJ350" i="1"/>
  <c r="S380" i="45" s="1"/>
  <c r="T419" s="1"/>
  <c r="AJ357" i="1"/>
  <c r="S387" i="45" s="1"/>
  <c r="T426" s="1"/>
  <c r="AJ366" i="1"/>
  <c r="S396" i="45" s="1"/>
  <c r="AJ376" i="1"/>
  <c r="S406" i="45" s="1"/>
  <c r="AJ270" i="1"/>
  <c r="S291" i="45" s="1"/>
  <c r="T313" s="1"/>
  <c r="AJ306" i="1"/>
  <c r="S327" i="45" s="1"/>
  <c r="T366" s="1"/>
  <c r="AJ300" i="1"/>
  <c r="S321" i="45" s="1"/>
  <c r="T360" s="1"/>
  <c r="AJ291" i="1"/>
  <c r="S312" i="45" s="1"/>
  <c r="T351" s="1"/>
  <c r="AJ286" i="1"/>
  <c r="S307" i="45" s="1"/>
  <c r="T329" s="1"/>
  <c r="AJ281" i="1"/>
  <c r="S302" i="45" s="1"/>
  <c r="T324" s="1"/>
  <c r="AJ274" i="1"/>
  <c r="S295" i="45" s="1"/>
  <c r="AJ267" i="1"/>
  <c r="S288" i="45" s="1"/>
  <c r="T310" s="1"/>
  <c r="AJ262" i="1"/>
  <c r="S283" i="45" s="1"/>
  <c r="T305" s="1"/>
  <c r="AJ258" i="1"/>
  <c r="S279" i="45" s="1"/>
  <c r="AJ246" i="1"/>
  <c r="S267" i="45" s="1"/>
  <c r="AJ242" i="1"/>
  <c r="S263" i="45" s="1"/>
  <c r="T285" s="1"/>
  <c r="AJ238" i="1"/>
  <c r="S259" i="45" s="1"/>
  <c r="T281" s="1"/>
  <c r="AJ233" i="1"/>
  <c r="S254" i="45" s="1"/>
  <c r="AJ222" i="1"/>
  <c r="S243" i="45" s="1"/>
  <c r="T265" s="1"/>
  <c r="AJ217" i="1"/>
  <c r="S238" i="45" s="1"/>
  <c r="T260" s="1"/>
  <c r="AJ211" i="1"/>
  <c r="S232" i="45" s="1"/>
  <c r="T254" s="1"/>
  <c r="AJ204" i="1"/>
  <c r="S225" i="45" s="1"/>
  <c r="T247" s="1"/>
  <c r="AJ197" i="1"/>
  <c r="S218" i="45" s="1"/>
  <c r="AJ191" i="1"/>
  <c r="S212" i="45" s="1"/>
  <c r="T234" s="1"/>
  <c r="AJ187" i="1"/>
  <c r="S208" i="45" s="1"/>
  <c r="T230" s="1"/>
  <c r="AJ181" i="1"/>
  <c r="S202" i="45" s="1"/>
  <c r="T224" s="1"/>
  <c r="AJ176" i="1"/>
  <c r="S197" i="45" s="1"/>
  <c r="AJ173" i="1"/>
  <c r="S194" i="45" s="1"/>
  <c r="T216" s="1"/>
  <c r="AJ169" i="1"/>
  <c r="S190" i="45" s="1"/>
  <c r="T212" s="1"/>
  <c r="AJ165" i="1"/>
  <c r="S186" i="45" s="1"/>
  <c r="T208" s="1"/>
  <c r="AJ154" i="1"/>
  <c r="S175" i="45" s="1"/>
  <c r="T197" s="1"/>
  <c r="AJ148" i="1"/>
  <c r="S169" i="45" s="1"/>
  <c r="AJ145" i="1"/>
  <c r="S166" i="45" s="1"/>
  <c r="T188" s="1"/>
  <c r="AJ136" i="1"/>
  <c r="S157" i="45" s="1"/>
  <c r="T179" s="1"/>
  <c r="AJ125" i="1"/>
  <c r="S146" i="45" s="1"/>
  <c r="AJ122" i="1"/>
  <c r="S143" i="45" s="1"/>
  <c r="T165" s="1"/>
  <c r="AJ115" i="1"/>
  <c r="S136" i="45" s="1"/>
  <c r="T158" s="1"/>
  <c r="AJ105" i="1"/>
  <c r="S126" i="45" s="1"/>
  <c r="T148" s="1"/>
  <c r="AJ96" i="1"/>
  <c r="S117" i="45" s="1"/>
  <c r="T139" s="1"/>
  <c r="AJ92" i="1"/>
  <c r="S113" i="45" s="1"/>
  <c r="T135" s="1"/>
  <c r="AJ87" i="1"/>
  <c r="S108" i="45" s="1"/>
  <c r="T130" s="1"/>
  <c r="AJ79" i="1"/>
  <c r="S100" i="45" s="1"/>
  <c r="T122" s="1"/>
  <c r="AJ76" i="1"/>
  <c r="S97" i="45" s="1"/>
  <c r="AJ72" i="1"/>
  <c r="S93" i="45" s="1"/>
  <c r="T115" s="1"/>
  <c r="AJ68" i="1"/>
  <c r="S89" i="45" s="1"/>
  <c r="T111" s="1"/>
  <c r="AJ63" i="1"/>
  <c r="S84" i="45" s="1"/>
  <c r="T106" s="1"/>
  <c r="AJ59" i="1"/>
  <c r="S80" i="45" s="1"/>
  <c r="AJ54" i="1"/>
  <c r="S75" i="45" s="1"/>
  <c r="T97" s="1"/>
  <c r="AJ48" i="1"/>
  <c r="S69" i="45" s="1"/>
  <c r="AJ321" i="1"/>
  <c r="S351" i="45" s="1"/>
  <c r="T390" s="1"/>
  <c r="AJ329" i="1"/>
  <c r="S359" i="45" s="1"/>
  <c r="AJ337" i="1"/>
  <c r="S367" i="45" s="1"/>
  <c r="T406" s="1"/>
  <c r="AJ345" i="1"/>
  <c r="S375" i="45" s="1"/>
  <c r="T414" s="1"/>
  <c r="AJ361" i="1"/>
  <c r="S391" i="45" s="1"/>
  <c r="T430" s="1"/>
  <c r="AJ369" i="1"/>
  <c r="S399" i="45" s="1"/>
  <c r="AJ379" i="1"/>
  <c r="S409" i="45" s="1"/>
  <c r="AJ388" i="1"/>
  <c r="S418" i="45" s="1"/>
  <c r="AJ396" i="1"/>
  <c r="S426" i="45" s="1"/>
  <c r="AJ317" i="1"/>
  <c r="S347" i="45" s="1"/>
  <c r="T386" s="1"/>
  <c r="AJ324" i="1"/>
  <c r="S354" i="45" s="1"/>
  <c r="T393" s="1"/>
  <c r="AJ340" i="1"/>
  <c r="S370" i="45" s="1"/>
  <c r="T409" s="1"/>
  <c r="AJ348" i="1"/>
  <c r="S378" i="45" s="1"/>
  <c r="T417" s="1"/>
  <c r="AJ355" i="1"/>
  <c r="S385" i="45" s="1"/>
  <c r="AJ364" i="1"/>
  <c r="S394" i="45" s="1"/>
  <c r="T433" s="1"/>
  <c r="AJ374" i="1"/>
  <c r="S404" i="45" s="1"/>
  <c r="AJ383" i="1"/>
  <c r="S413" i="45" s="1"/>
  <c r="AJ391" i="1"/>
  <c r="S421" i="45" s="1"/>
  <c r="AJ401" i="1"/>
  <c r="S431" i="45" s="1"/>
  <c r="AJ37" i="1"/>
  <c r="S50" i="45" s="1"/>
  <c r="T72" s="1"/>
  <c r="AJ373" i="1"/>
  <c r="S403" i="45" s="1"/>
  <c r="AJ260" i="1"/>
  <c r="S281" i="45" s="1"/>
  <c r="T303" s="1"/>
  <c r="AJ299" i="1"/>
  <c r="S320" i="45" s="1"/>
  <c r="T359" s="1"/>
  <c r="AJ208" i="1"/>
  <c r="S229" i="45" s="1"/>
  <c r="T251" s="1"/>
  <c r="AJ18" i="1"/>
  <c r="S31" i="45" s="1"/>
  <c r="T44" s="1"/>
  <c r="AJ308" i="1"/>
  <c r="S329" i="45" s="1"/>
  <c r="T368" s="1"/>
  <c r="AJ307" i="1"/>
  <c r="S328" i="45" s="1"/>
  <c r="AI308" i="1"/>
  <c r="R332" i="43" s="1"/>
  <c r="AI304" i="1"/>
  <c r="R328" i="43" s="1"/>
  <c r="AI402" i="1"/>
  <c r="R437" i="43" s="1"/>
  <c r="AI306" i="1"/>
  <c r="R330" i="43" s="1"/>
  <c r="AI302" i="1"/>
  <c r="R326" i="43" s="1"/>
  <c r="AI300" i="1"/>
  <c r="R324" i="43" s="1"/>
  <c r="AI296" i="1"/>
  <c r="R320" i="43" s="1"/>
  <c r="AI290" i="1"/>
  <c r="R314" i="43" s="1"/>
  <c r="AI288" i="1"/>
  <c r="R312" i="43" s="1"/>
  <c r="AI285" i="1"/>
  <c r="R309" i="43" s="1"/>
  <c r="AI282" i="1"/>
  <c r="R306" i="43" s="1"/>
  <c r="AI279" i="1"/>
  <c r="R303" i="43" s="1"/>
  <c r="AI349" i="1"/>
  <c r="R384" i="43" s="1"/>
  <c r="AI356" i="1"/>
  <c r="R391" i="43" s="1"/>
  <c r="AI361" i="1"/>
  <c r="R396" i="43" s="1"/>
  <c r="AI365" i="1"/>
  <c r="R400" i="43" s="1"/>
  <c r="AI369" i="1"/>
  <c r="R404" i="43" s="1"/>
  <c r="AI375" i="1"/>
  <c r="R410" i="43" s="1"/>
  <c r="AI379" i="1"/>
  <c r="R414" i="43" s="1"/>
  <c r="AI384" i="1"/>
  <c r="R419" i="43" s="1"/>
  <c r="AI388" i="1"/>
  <c r="R423" i="43" s="1"/>
  <c r="AI392" i="1"/>
  <c r="R427" i="43" s="1"/>
  <c r="AI396" i="1"/>
  <c r="R431" i="43" s="1"/>
  <c r="AI36" i="1"/>
  <c r="R52" i="43" s="1"/>
  <c r="AI34" i="1"/>
  <c r="R50" i="43" s="1"/>
  <c r="AI30" i="1"/>
  <c r="R46" i="43" s="1"/>
  <c r="AI27" i="1"/>
  <c r="R43" i="43" s="1"/>
  <c r="AI23" i="1"/>
  <c r="R39" i="43" s="1"/>
  <c r="AI20" i="1"/>
  <c r="R36" i="43" s="1"/>
  <c r="AH404" i="1"/>
  <c r="AI32"/>
  <c r="R48" i="43" s="1"/>
  <c r="AI307" i="1"/>
  <c r="R331" i="43" s="1"/>
  <c r="AI40" i="1"/>
  <c r="R56" i="43" s="1"/>
  <c r="AI284" i="1"/>
  <c r="R308" i="43" s="1"/>
  <c r="AI37" i="1"/>
  <c r="R53" i="43" s="1"/>
  <c r="AI373" i="1"/>
  <c r="R408" i="43" s="1"/>
  <c r="AI381" i="1"/>
  <c r="R416" i="43" s="1"/>
  <c r="AI350" i="1"/>
  <c r="R385" i="43" s="1"/>
  <c r="AI353" i="1"/>
  <c r="R388" i="43" s="1"/>
  <c r="AI357" i="1"/>
  <c r="R392" i="43" s="1"/>
  <c r="AI362" i="1"/>
  <c r="R397" i="43" s="1"/>
  <c r="AI366" i="1"/>
  <c r="R401" i="43" s="1"/>
  <c r="AI370" i="1"/>
  <c r="R405" i="43" s="1"/>
  <c r="AI376" i="1"/>
  <c r="R411" i="43" s="1"/>
  <c r="AI380" i="1"/>
  <c r="R415" i="43" s="1"/>
  <c r="AI270" i="1"/>
  <c r="R294" i="43" s="1"/>
  <c r="AI399" i="1"/>
  <c r="R434" i="43" s="1"/>
  <c r="AH310" i="1"/>
  <c r="BF205"/>
  <c r="BF177"/>
  <c r="BF99"/>
  <c r="BF371"/>
  <c r="BF382"/>
  <c r="BF400"/>
  <c r="BF110"/>
  <c r="BF49"/>
  <c r="BF351"/>
  <c r="BF377"/>
  <c r="BF386"/>
  <c r="BF315"/>
  <c r="BF334"/>
  <c r="BF342"/>
  <c r="BF350"/>
  <c r="BF366"/>
  <c r="AE270"/>
  <c r="AU270" s="1"/>
  <c r="Y297" i="52" s="1"/>
  <c r="BF136" i="1"/>
  <c r="BF396"/>
  <c r="BF324"/>
  <c r="AE260"/>
  <c r="BF330"/>
  <c r="BF338"/>
  <c r="BF353"/>
  <c r="BF402"/>
  <c r="BF249"/>
  <c r="AE235"/>
  <c r="AE18"/>
  <c r="AU18" s="1"/>
  <c r="Y34" i="52" s="1"/>
  <c r="AE308" i="1"/>
  <c r="AU308" s="1"/>
  <c r="Y334" i="52" s="1"/>
  <c r="AE32" i="1"/>
  <c r="AU32" s="1"/>
  <c r="Y49" i="52" s="1"/>
  <c r="AE307" i="1"/>
  <c r="AE237"/>
  <c r="AW237" s="1"/>
  <c r="X261" i="43" s="1"/>
  <c r="BF392" i="1"/>
  <c r="AE34"/>
  <c r="AU34" s="1"/>
  <c r="AE30"/>
  <c r="AU30" s="1"/>
  <c r="AE26"/>
  <c r="AU26" s="1"/>
  <c r="Y43" i="52" s="1"/>
  <c r="AE21" i="1"/>
  <c r="AU21" s="1"/>
  <c r="AE36"/>
  <c r="AU36" s="1"/>
  <c r="AE24"/>
  <c r="AU24" s="1"/>
  <c r="AE19"/>
  <c r="AU19" s="1"/>
  <c r="AE22"/>
  <c r="AU22" s="1"/>
  <c r="BF347"/>
  <c r="AE299"/>
  <c r="AU299" s="1"/>
  <c r="Y326" i="52" s="1"/>
  <c r="AE40" i="1"/>
  <c r="AU40" s="1"/>
  <c r="AE298"/>
  <c r="AU298" s="1"/>
  <c r="Y325" i="52" s="1"/>
  <c r="AE208" i="1"/>
  <c r="AU208" s="1"/>
  <c r="Y234" i="52" s="1"/>
  <c r="AE398" i="1"/>
  <c r="AU398" s="1"/>
  <c r="AE304"/>
  <c r="AU304" s="1"/>
  <c r="Y330" i="52" s="1"/>
  <c r="BF399" i="1"/>
  <c r="BF337"/>
  <c r="AE195"/>
  <c r="AU195" s="1"/>
  <c r="Y221" i="52" s="1"/>
  <c r="AE164" i="1"/>
  <c r="AU164" s="1"/>
  <c r="Y190" i="52" s="1"/>
  <c r="BF381" i="1"/>
  <c r="BF325"/>
  <c r="AE37"/>
  <c r="AU37" s="1"/>
  <c r="BF373"/>
  <c r="AE373"/>
  <c r="AU373" s="1"/>
  <c r="AE381"/>
  <c r="AU381" s="1"/>
  <c r="AE284"/>
  <c r="BF333"/>
  <c r="BF348"/>
  <c r="AB407"/>
  <c r="AD41"/>
  <c r="BF365"/>
  <c r="BF375"/>
  <c r="BF384"/>
  <c r="BF352"/>
  <c r="BF378"/>
  <c r="BF403"/>
  <c r="BF316"/>
  <c r="BF354"/>
  <c r="BF369"/>
  <c r="BF379"/>
  <c r="BF388"/>
  <c r="BF313"/>
  <c r="BF340"/>
  <c r="BF374"/>
  <c r="BF383"/>
  <c r="BF395"/>
  <c r="AE305"/>
  <c r="AU305" s="1"/>
  <c r="Y331" i="52" s="1"/>
  <c r="AE288" i="1"/>
  <c r="AE250"/>
  <c r="AE234"/>
  <c r="AU234" s="1"/>
  <c r="Y261" i="52" s="1"/>
  <c r="AE205" i="1"/>
  <c r="AU205" s="1"/>
  <c r="Y231" i="52" s="1"/>
  <c r="AE161" i="1"/>
  <c r="AE153"/>
  <c r="AU153" s="1"/>
  <c r="Y179" i="52" s="1"/>
  <c r="AE146" i="1"/>
  <c r="AU146" s="1"/>
  <c r="Y171" i="52" s="1"/>
  <c r="AE142" i="1"/>
  <c r="AU142" s="1"/>
  <c r="Y167" i="52" s="1"/>
  <c r="AE138" i="1"/>
  <c r="AU138" s="1"/>
  <c r="Y163" i="52" s="1"/>
  <c r="AE55" i="1"/>
  <c r="AU55" s="1"/>
  <c r="Y80" i="52" s="1"/>
  <c r="AE49" i="1"/>
  <c r="AU49" s="1"/>
  <c r="Y74" i="52" s="1"/>
  <c r="AE46" i="1"/>
  <c r="AU46" s="1"/>
  <c r="Y71" i="52" s="1"/>
  <c r="AE242" i="1"/>
  <c r="AU242" s="1"/>
  <c r="Y269" i="52" s="1"/>
  <c r="AE257" i="1"/>
  <c r="AU257" s="1"/>
  <c r="Y284" i="52" s="1"/>
  <c r="AE248" i="1"/>
  <c r="AU248" s="1"/>
  <c r="Y275" i="52" s="1"/>
  <c r="AE231" i="1"/>
  <c r="AU231" s="1"/>
  <c r="Y258" i="52" s="1"/>
  <c r="AE221" i="1"/>
  <c r="AU221" s="1"/>
  <c r="Y247" i="52" s="1"/>
  <c r="AE207" i="1"/>
  <c r="AU207" s="1"/>
  <c r="Y233" i="52" s="1"/>
  <c r="AE201" i="1"/>
  <c r="AU201" s="1"/>
  <c r="Y227" i="52" s="1"/>
  <c r="AE190" i="1"/>
  <c r="AE168"/>
  <c r="AE159"/>
  <c r="AU159" s="1"/>
  <c r="Y185" i="52" s="1"/>
  <c r="AE144" i="1"/>
  <c r="AU144" s="1"/>
  <c r="Y169" i="52" s="1"/>
  <c r="AE137" i="1"/>
  <c r="AU137" s="1"/>
  <c r="Y162" i="52" s="1"/>
  <c r="AE124" i="1"/>
  <c r="AU124" s="1"/>
  <c r="Y149" i="52" s="1"/>
  <c r="AE99" i="1"/>
  <c r="AU99" s="1"/>
  <c r="Y124" i="52" s="1"/>
  <c r="AE47" i="1"/>
  <c r="AU47" s="1"/>
  <c r="Y72" i="52" s="1"/>
  <c r="AE245" i="1"/>
  <c r="AE236"/>
  <c r="AE227"/>
  <c r="AE189"/>
  <c r="AE184"/>
  <c r="AE171"/>
  <c r="AE165"/>
  <c r="AE160"/>
  <c r="AE115"/>
  <c r="AE85"/>
  <c r="AE70"/>
  <c r="AE65"/>
  <c r="AE61"/>
  <c r="AE187"/>
  <c r="AW187" s="1"/>
  <c r="X211" i="43" s="1"/>
  <c r="AE181" i="1"/>
  <c r="AW181" s="1"/>
  <c r="X205" i="43" s="1"/>
  <c r="AE169" i="1"/>
  <c r="AE166"/>
  <c r="AE122"/>
  <c r="AE117"/>
  <c r="AE113"/>
  <c r="AE92"/>
  <c r="AE68"/>
  <c r="AE63"/>
  <c r="AE59"/>
  <c r="AE79"/>
  <c r="AE246"/>
  <c r="AW246" s="1"/>
  <c r="X270" i="43" s="1"/>
  <c r="AE167" i="1"/>
  <c r="AE163"/>
  <c r="AW163" s="1"/>
  <c r="X187" i="43" s="1"/>
  <c r="AE155" i="1"/>
  <c r="AW155" s="1"/>
  <c r="X179" i="43" s="1"/>
  <c r="AE182" i="1"/>
  <c r="AW182" s="1"/>
  <c r="X206" i="43" s="1"/>
  <c r="AE174" i="1"/>
  <c r="AW174" s="1"/>
  <c r="X198" i="43" s="1"/>
  <c r="AE71" i="1"/>
  <c r="AW71" s="1"/>
  <c r="X95" i="43" s="1"/>
  <c r="AE332" i="1"/>
  <c r="AW332" s="1"/>
  <c r="X367" i="43" s="1"/>
  <c r="AE335" i="1"/>
  <c r="AU335" s="1"/>
  <c r="AE339"/>
  <c r="AW339" s="1"/>
  <c r="X374" i="43" s="1"/>
  <c r="AE347" i="1"/>
  <c r="AU347" s="1"/>
  <c r="AE351"/>
  <c r="AU351" s="1"/>
  <c r="AE89"/>
  <c r="AE87"/>
  <c r="AE403"/>
  <c r="AU403" s="1"/>
  <c r="AE223"/>
  <c r="AW223" s="1"/>
  <c r="X247" i="43" s="1"/>
  <c r="AE198" i="1"/>
  <c r="AW198" s="1"/>
  <c r="X222" i="43" s="1"/>
  <c r="AE192" i="1"/>
  <c r="AW192" s="1"/>
  <c r="X216" i="43" s="1"/>
  <c r="AE363" i="1"/>
  <c r="AU363" s="1"/>
  <c r="AE367"/>
  <c r="AU367" s="1"/>
  <c r="AE371"/>
  <c r="AU371" s="1"/>
  <c r="AE386"/>
  <c r="AU386" s="1"/>
  <c r="AE390"/>
  <c r="AU390" s="1"/>
  <c r="AE315"/>
  <c r="AU315" s="1"/>
  <c r="AE342"/>
  <c r="AU342" s="1"/>
  <c r="AE346"/>
  <c r="AU346" s="1"/>
  <c r="AE350"/>
  <c r="AU350" s="1"/>
  <c r="AE353"/>
  <c r="AU353" s="1"/>
  <c r="AE366"/>
  <c r="AU366" s="1"/>
  <c r="AE370"/>
  <c r="AU370" s="1"/>
  <c r="AE376"/>
  <c r="AU376" s="1"/>
  <c r="AE380"/>
  <c r="AU380" s="1"/>
  <c r="AE273"/>
  <c r="AE69"/>
  <c r="AE67"/>
  <c r="AE64"/>
  <c r="AE62"/>
  <c r="AE60"/>
  <c r="AE53"/>
  <c r="AE316"/>
  <c r="AU316" s="1"/>
  <c r="AE319"/>
  <c r="AU319" s="1"/>
  <c r="AE323"/>
  <c r="AU323" s="1"/>
  <c r="AE327"/>
  <c r="AU327" s="1"/>
  <c r="AE343"/>
  <c r="AU343" s="1"/>
  <c r="AE354"/>
  <c r="AU354" s="1"/>
  <c r="AE359"/>
  <c r="AU359" s="1"/>
  <c r="AE377"/>
  <c r="AU377" s="1"/>
  <c r="AE382"/>
  <c r="AU382" s="1"/>
  <c r="AE394"/>
  <c r="AE400"/>
  <c r="AU400" s="1"/>
  <c r="AE318"/>
  <c r="AU318" s="1"/>
  <c r="AE322"/>
  <c r="AU322" s="1"/>
  <c r="AE326"/>
  <c r="AU326" s="1"/>
  <c r="AE330"/>
  <c r="AU330" s="1"/>
  <c r="AE334"/>
  <c r="AU334" s="1"/>
  <c r="AE338"/>
  <c r="AU338" s="1"/>
  <c r="AE357"/>
  <c r="AE362"/>
  <c r="AW362" s="1"/>
  <c r="X397" i="43" s="1"/>
  <c r="AE173" i="1"/>
  <c r="AW173" s="1"/>
  <c r="X197" i="43" s="1"/>
  <c r="AE233" i="1"/>
  <c r="AE230"/>
  <c r="AE222"/>
  <c r="AE191"/>
  <c r="AE86"/>
  <c r="AW86" s="1"/>
  <c r="X110" i="43" s="1"/>
  <c r="AE78" i="1"/>
  <c r="AW78" s="1"/>
  <c r="X102" i="43" s="1"/>
  <c r="AE75" i="1"/>
  <c r="AE217"/>
  <c r="AE204"/>
  <c r="AE197"/>
  <c r="AW197" s="1"/>
  <c r="X221" i="43" s="1"/>
  <c r="AE150" i="1"/>
  <c r="AE136"/>
  <c r="AE130"/>
  <c r="AE290"/>
  <c r="AW290" s="1"/>
  <c r="X314" i="43" s="1"/>
  <c r="AE285" i="1"/>
  <c r="AE282"/>
  <c r="AW282" s="1"/>
  <c r="X306" i="43" s="1"/>
  <c r="AE276" i="1"/>
  <c r="AW276" s="1"/>
  <c r="X300" i="43" s="1"/>
  <c r="AE264" i="1"/>
  <c r="AW264" s="1"/>
  <c r="X288" i="43" s="1"/>
  <c r="AE121" i="1"/>
  <c r="AE116"/>
  <c r="AE114"/>
  <c r="AE111"/>
  <c r="AE110"/>
  <c r="AE104"/>
  <c r="AE103"/>
  <c r="AE101"/>
  <c r="AE97"/>
  <c r="AW97" s="1"/>
  <c r="X121" i="43" s="1"/>
  <c r="AE95" i="1"/>
  <c r="AW95" s="1"/>
  <c r="X119" i="43" s="1"/>
  <c r="AE93" i="1"/>
  <c r="AW93" s="1"/>
  <c r="X117" i="43" s="1"/>
  <c r="AE91" i="1"/>
  <c r="AE80"/>
  <c r="AE73"/>
  <c r="AE300"/>
  <c r="AE291"/>
  <c r="AE274"/>
  <c r="AW274" s="1"/>
  <c r="X298" i="43" s="1"/>
  <c r="AE267" i="1"/>
  <c r="AE262"/>
  <c r="AE253"/>
  <c r="AW253" s="1"/>
  <c r="X277" i="43" s="1"/>
  <c r="AE249" i="1"/>
  <c r="AE220"/>
  <c r="AW220" s="1"/>
  <c r="X244" i="43" s="1"/>
  <c r="AE206" i="1"/>
  <c r="AE200"/>
  <c r="AE193"/>
  <c r="AE399"/>
  <c r="AU399" s="1"/>
  <c r="AE301"/>
  <c r="AE296"/>
  <c r="AE289"/>
  <c r="AE278"/>
  <c r="AE265"/>
  <c r="AE261"/>
  <c r="AE240"/>
  <c r="AE238"/>
  <c r="AE214"/>
  <c r="AW214" s="1"/>
  <c r="X238" i="43" s="1"/>
  <c r="AE211" i="1"/>
  <c r="AE179"/>
  <c r="AE176"/>
  <c r="AW176" s="1"/>
  <c r="X200" i="43" s="1"/>
  <c r="AE175" i="1"/>
  <c r="AE157"/>
  <c r="AE148"/>
  <c r="AE132"/>
  <c r="AE125"/>
  <c r="AW125" s="1"/>
  <c r="X149" i="43" s="1"/>
  <c r="AE54" i="1"/>
  <c r="AW54" s="1"/>
  <c r="X78" i="43" s="1"/>
  <c r="AE52" i="1"/>
  <c r="AW52" s="1"/>
  <c r="X76" i="43" s="1"/>
  <c r="AE314" i="1"/>
  <c r="AU314" s="1"/>
  <c r="AE345"/>
  <c r="AU345" s="1"/>
  <c r="AE349"/>
  <c r="AE356"/>
  <c r="AE361"/>
  <c r="AW361" s="1"/>
  <c r="X396" i="43" s="1"/>
  <c r="AE365" i="1"/>
  <c r="AU365" s="1"/>
  <c r="AE369"/>
  <c r="AU369" s="1"/>
  <c r="AE375"/>
  <c r="AU375" s="1"/>
  <c r="AE384"/>
  <c r="AU384" s="1"/>
  <c r="AE392"/>
  <c r="AU392" s="1"/>
  <c r="AE396"/>
  <c r="AU396" s="1"/>
  <c r="AE320"/>
  <c r="AU320" s="1"/>
  <c r="AE328"/>
  <c r="AU328" s="1"/>
  <c r="AE340"/>
  <c r="AU340" s="1"/>
  <c r="AE352"/>
  <c r="AU352" s="1"/>
  <c r="AE360"/>
  <c r="AW360" s="1"/>
  <c r="X395" i="43" s="1"/>
  <c r="AE364" i="1"/>
  <c r="AU364" s="1"/>
  <c r="AE374"/>
  <c r="AU374" s="1"/>
  <c r="AE387"/>
  <c r="AE275"/>
  <c r="AW275" s="1"/>
  <c r="X299" i="43" s="1"/>
  <c r="AE302" i="1"/>
  <c r="AW302" s="1"/>
  <c r="X326" i="43" s="1"/>
  <c r="AE297" i="1"/>
  <c r="AE279"/>
  <c r="AW279" s="1"/>
  <c r="X303" i="43" s="1"/>
  <c r="AE266" i="1"/>
  <c r="AE244"/>
  <c r="AW244" s="1"/>
  <c r="X268" i="43" s="1"/>
  <c r="AE241" i="1"/>
  <c r="AE239"/>
  <c r="AE228"/>
  <c r="AE213"/>
  <c r="AE212"/>
  <c r="AW212" s="1"/>
  <c r="X236" i="43" s="1"/>
  <c r="AE209" i="1"/>
  <c r="AE196"/>
  <c r="AW196" s="1"/>
  <c r="X220" i="43" s="1"/>
  <c r="AE188" i="1"/>
  <c r="AE185"/>
  <c r="AE180"/>
  <c r="AE177"/>
  <c r="AE172"/>
  <c r="AE170"/>
  <c r="AE151"/>
  <c r="AE149"/>
  <c r="AE147"/>
  <c r="AE140"/>
  <c r="AE133"/>
  <c r="AW133" s="1"/>
  <c r="X157" i="43" s="1"/>
  <c r="AE131" i="1"/>
  <c r="AE127"/>
  <c r="AE84"/>
  <c r="AE81"/>
  <c r="AE402"/>
  <c r="AU402" s="1"/>
  <c r="AE306"/>
  <c r="AW306" s="1"/>
  <c r="X330" i="43" s="1"/>
  <c r="AE286" i="1"/>
  <c r="AE283"/>
  <c r="AE281"/>
  <c r="AE268"/>
  <c r="AE258"/>
  <c r="AE154"/>
  <c r="AE152"/>
  <c r="AE145"/>
  <c r="AE143"/>
  <c r="AE139"/>
  <c r="AW139" s="1"/>
  <c r="X163" i="43" s="1"/>
  <c r="AE123" i="1"/>
  <c r="AE109"/>
  <c r="AE105"/>
  <c r="AE98"/>
  <c r="AE96"/>
  <c r="AE77"/>
  <c r="AW77" s="1"/>
  <c r="X101" i="43" s="1"/>
  <c r="AE76" i="1"/>
  <c r="AE74"/>
  <c r="AW74" s="1"/>
  <c r="X98" i="43" s="1"/>
  <c r="AE72" i="1"/>
  <c r="AE56"/>
  <c r="AE48"/>
  <c r="AE321"/>
  <c r="AU321" s="1"/>
  <c r="AE325"/>
  <c r="AU325" s="1"/>
  <c r="AE329"/>
  <c r="AU329" s="1"/>
  <c r="AE333"/>
  <c r="AU333" s="1"/>
  <c r="AE337"/>
  <c r="AU337" s="1"/>
  <c r="AE341"/>
  <c r="AU341" s="1"/>
  <c r="AE379"/>
  <c r="AU379" s="1"/>
  <c r="AE388"/>
  <c r="AU388" s="1"/>
  <c r="AE313"/>
  <c r="AU313" s="1"/>
  <c r="AE317"/>
  <c r="AW317" s="1"/>
  <c r="X352" i="43" s="1"/>
  <c r="AE324" i="1"/>
  <c r="AU324" s="1"/>
  <c r="AE336"/>
  <c r="AU336" s="1"/>
  <c r="AE344"/>
  <c r="AU344" s="1"/>
  <c r="AE348"/>
  <c r="AU348" s="1"/>
  <c r="AE355"/>
  <c r="AU355" s="1"/>
  <c r="AE368"/>
  <c r="AU368" s="1"/>
  <c r="AE378"/>
  <c r="AU378" s="1"/>
  <c r="AE383"/>
  <c r="AU383" s="1"/>
  <c r="AE391"/>
  <c r="AW391" s="1"/>
  <c r="X426" i="43" s="1"/>
  <c r="AE395" i="1"/>
  <c r="AU395" s="1"/>
  <c r="AE401"/>
  <c r="AU401" s="1"/>
  <c r="AE39"/>
  <c r="AU39" s="1"/>
  <c r="AE35"/>
  <c r="AU35" s="1"/>
  <c r="AE33"/>
  <c r="AU33" s="1"/>
  <c r="AE31"/>
  <c r="AU31" s="1"/>
  <c r="AE29"/>
  <c r="AU29" s="1"/>
  <c r="AE28"/>
  <c r="AU28" s="1"/>
  <c r="AE27"/>
  <c r="AU27" s="1"/>
  <c r="AE23"/>
  <c r="AU23" s="1"/>
  <c r="AE20"/>
  <c r="AU20" s="1"/>
  <c r="AE17"/>
  <c r="AU17" s="1"/>
  <c r="AX195"/>
  <c r="AX55"/>
  <c r="AX39"/>
  <c r="AX372"/>
  <c r="AX308"/>
  <c r="AX128"/>
  <c r="AX159"/>
  <c r="AX49"/>
  <c r="AX242"/>
  <c r="AX304"/>
  <c r="AX201"/>
  <c r="AX108"/>
  <c r="AX21"/>
  <c r="AX33"/>
  <c r="AX309"/>
  <c r="AX299"/>
  <c r="AX138"/>
  <c r="AX26"/>
  <c r="AX135"/>
  <c r="AX303"/>
  <c r="AX269"/>
  <c r="AX144"/>
  <c r="AX207"/>
  <c r="AX231"/>
  <c r="AX36"/>
  <c r="AX287"/>
  <c r="AX37"/>
  <c r="AX30"/>
  <c r="AX38"/>
  <c r="AX146"/>
  <c r="AX205"/>
  <c r="AX27"/>
  <c r="AX298"/>
  <c r="AX221"/>
  <c r="AX256"/>
  <c r="AX20"/>
  <c r="AX153"/>
  <c r="AX23"/>
  <c r="AX156"/>
  <c r="AX305"/>
  <c r="AX107"/>
  <c r="AX331"/>
  <c r="AX247"/>
  <c r="AX397"/>
  <c r="AX164"/>
  <c r="AX46"/>
  <c r="AX47"/>
  <c r="AX137"/>
  <c r="AX271"/>
  <c r="AX199"/>
  <c r="AX29"/>
  <c r="AX99"/>
  <c r="AX277"/>
  <c r="AX248"/>
  <c r="AX119"/>
  <c r="AX18"/>
  <c r="AX158"/>
  <c r="AX186"/>
  <c r="AX257"/>
  <c r="AX142"/>
  <c r="AX100"/>
  <c r="AX358"/>
  <c r="AX393"/>
  <c r="AX234"/>
  <c r="AX194"/>
  <c r="AX32"/>
  <c r="AX25"/>
  <c r="AX208"/>
  <c r="AX34"/>
  <c r="AX28"/>
  <c r="AX57"/>
  <c r="AX17"/>
  <c r="AX19"/>
  <c r="AX40"/>
  <c r="AX35"/>
  <c r="AX124"/>
  <c r="AX31"/>
  <c r="AX22"/>
  <c r="AX24"/>
  <c r="AX218"/>
  <c r="CJ58" l="1"/>
  <c r="CK58" s="1"/>
  <c r="CJ263"/>
  <c r="CK263" s="1"/>
  <c r="CJ120"/>
  <c r="CK120" s="1"/>
  <c r="CJ126"/>
  <c r="CK126" s="1"/>
  <c r="CJ88"/>
  <c r="CK88" s="1"/>
  <c r="CJ106"/>
  <c r="CK106" s="1"/>
  <c r="CJ66"/>
  <c r="CK66" s="1"/>
  <c r="CJ118"/>
  <c r="CK118" s="1"/>
  <c r="CJ82"/>
  <c r="CK82" s="1"/>
  <c r="CJ229"/>
  <c r="CK229" s="1"/>
  <c r="CJ102"/>
  <c r="CK102" s="1"/>
  <c r="CJ141"/>
  <c r="CK141" s="1"/>
  <c r="CJ162"/>
  <c r="CK162" s="1"/>
  <c r="CJ134"/>
  <c r="CK134" s="1"/>
  <c r="CJ259"/>
  <c r="CK259" s="1"/>
  <c r="CK50"/>
  <c r="T89" i="44"/>
  <c r="AL51"/>
  <c r="T67"/>
  <c r="T230"/>
  <c r="T326" i="45"/>
  <c r="Y35" i="43"/>
  <c r="Y161"/>
  <c r="Y223"/>
  <c r="Y366"/>
  <c r="Y327"/>
  <c r="Y50"/>
  <c r="Y219"/>
  <c r="Y42"/>
  <c r="Y48"/>
  <c r="Y152"/>
  <c r="Y333"/>
  <c r="Y293"/>
  <c r="Y34"/>
  <c r="Y53"/>
  <c r="Y242"/>
  <c r="Y148"/>
  <c r="Y73"/>
  <c r="Y281"/>
  <c r="Y229"/>
  <c r="Y49"/>
  <c r="Y301"/>
  <c r="Y52"/>
  <c r="Y38"/>
  <c r="Y280"/>
  <c r="Y332"/>
  <c r="Y39"/>
  <c r="Y123"/>
  <c r="Y45"/>
  <c r="Y56"/>
  <c r="Y407"/>
  <c r="Y432"/>
  <c r="Y166"/>
  <c r="Y162"/>
  <c r="Y232"/>
  <c r="Y266"/>
  <c r="Y225"/>
  <c r="Y393"/>
  <c r="Y182"/>
  <c r="Y170"/>
  <c r="Y428"/>
  <c r="Y51"/>
  <c r="Y328"/>
  <c r="Y70"/>
  <c r="Y43"/>
  <c r="Y131"/>
  <c r="Y231"/>
  <c r="Y41"/>
  <c r="Y180"/>
  <c r="Y322"/>
  <c r="Y311"/>
  <c r="Y40"/>
  <c r="Y36"/>
  <c r="Y272"/>
  <c r="Y71"/>
  <c r="Y188"/>
  <c r="Y79"/>
  <c r="Y44"/>
  <c r="Y258"/>
  <c r="Y210"/>
  <c r="Y245"/>
  <c r="Y132"/>
  <c r="Y329"/>
  <c r="Y255"/>
  <c r="Y143"/>
  <c r="Y46"/>
  <c r="Y271"/>
  <c r="Y177"/>
  <c r="Y81"/>
  <c r="Y295"/>
  <c r="Y159"/>
  <c r="Y55"/>
  <c r="Y37"/>
  <c r="Y218"/>
  <c r="Y168"/>
  <c r="Y323"/>
  <c r="Y54"/>
  <c r="Y183"/>
  <c r="Y47"/>
  <c r="Y124"/>
  <c r="CP272" i="1"/>
  <c r="X296" i="43"/>
  <c r="CP243" i="1"/>
  <c r="X267" i="43"/>
  <c r="CP224" i="1"/>
  <c r="X248" i="43"/>
  <c r="T423" i="45"/>
  <c r="T392"/>
  <c r="T105"/>
  <c r="T193"/>
  <c r="T284"/>
  <c r="T317"/>
  <c r="T361"/>
  <c r="T47"/>
  <c r="T365"/>
  <c r="T168"/>
  <c r="T66"/>
  <c r="T98"/>
  <c r="T140"/>
  <c r="T209"/>
  <c r="T228"/>
  <c r="T250"/>
  <c r="T277"/>
  <c r="T398"/>
  <c r="T99"/>
  <c r="T117"/>
  <c r="T159"/>
  <c r="T407"/>
  <c r="T180"/>
  <c r="T102"/>
  <c r="T119"/>
  <c r="T202"/>
  <c r="T219"/>
  <c r="T240"/>
  <c r="AK393" i="1"/>
  <c r="S428" i="43" s="1"/>
  <c r="S423" i="45"/>
  <c r="AL295" i="1"/>
  <c r="S316" i="45"/>
  <c r="T355" s="1"/>
  <c r="AL225" i="1"/>
  <c r="S246" i="45"/>
  <c r="T268" s="1"/>
  <c r="BF251" i="1"/>
  <c r="X275" i="43"/>
  <c r="AM303" i="1"/>
  <c r="CI303" s="1"/>
  <c r="R327" i="43"/>
  <c r="AM389" i="1"/>
  <c r="CI389" s="1"/>
  <c r="R424" i="43"/>
  <c r="T83" i="44"/>
  <c r="T201" i="45"/>
  <c r="T408"/>
  <c r="T367"/>
  <c r="T71"/>
  <c r="T424"/>
  <c r="T103" i="44"/>
  <c r="T59"/>
  <c r="T51"/>
  <c r="V51"/>
  <c r="T347" i="45"/>
  <c r="T383"/>
  <c r="T217"/>
  <c r="T239"/>
  <c r="T263"/>
  <c r="T289"/>
  <c r="T89"/>
  <c r="T108"/>
  <c r="T124"/>
  <c r="T147"/>
  <c r="T173"/>
  <c r="T190"/>
  <c r="T210"/>
  <c r="T227"/>
  <c r="T249"/>
  <c r="T276"/>
  <c r="T301"/>
  <c r="T325"/>
  <c r="T422"/>
  <c r="T103"/>
  <c r="T121"/>
  <c r="T142"/>
  <c r="T167"/>
  <c r="T191"/>
  <c r="T410"/>
  <c r="T91"/>
  <c r="T153"/>
  <c r="T328"/>
  <c r="CT58" i="1"/>
  <c r="AL243"/>
  <c r="S264" i="45"/>
  <c r="T286" s="1"/>
  <c r="CP225" i="1"/>
  <c r="X249" i="43"/>
  <c r="T346" i="45"/>
  <c r="T260" i="44"/>
  <c r="T363" i="45"/>
  <c r="T300"/>
  <c r="T67"/>
  <c r="T142" i="44"/>
  <c r="T327" i="45"/>
  <c r="AK331" i="1"/>
  <c r="S366" i="43" s="1"/>
  <c r="S361" i="45"/>
  <c r="AL289" i="1"/>
  <c r="S310" i="45"/>
  <c r="AM251" i="1"/>
  <c r="CI251" s="1"/>
  <c r="R275" i="43"/>
  <c r="AK272" i="1"/>
  <c r="S293" i="45"/>
  <c r="T315" s="1"/>
  <c r="AL224" i="1"/>
  <c r="S245" i="45"/>
  <c r="T267" s="1"/>
  <c r="AL292" i="1"/>
  <c r="S313" i="45"/>
  <c r="T352" s="1"/>
  <c r="T264" i="44"/>
  <c r="T135"/>
  <c r="AK224" i="1"/>
  <c r="AW292"/>
  <c r="AK292"/>
  <c r="AU224"/>
  <c r="AW389"/>
  <c r="X424" i="43" s="1"/>
  <c r="BF243" i="1"/>
  <c r="BF272"/>
  <c r="BF225"/>
  <c r="CS58"/>
  <c r="CR303"/>
  <c r="BB303"/>
  <c r="BA303"/>
  <c r="BX303" s="1"/>
  <c r="BN303"/>
  <c r="BR303"/>
  <c r="BM303"/>
  <c r="BS303"/>
  <c r="BL303"/>
  <c r="BW118"/>
  <c r="BR277"/>
  <c r="BM156"/>
  <c r="CT126"/>
  <c r="AL272"/>
  <c r="AL398"/>
  <c r="AK17"/>
  <c r="AM17" s="1"/>
  <c r="CI17" s="1"/>
  <c r="CJ17" s="1"/>
  <c r="AU251"/>
  <c r="BB251" s="1"/>
  <c r="Z275" i="43" s="1"/>
  <c r="CP251" i="1"/>
  <c r="BN100"/>
  <c r="AL280"/>
  <c r="AK243"/>
  <c r="AU225"/>
  <c r="BN225" s="1"/>
  <c r="AU243"/>
  <c r="BB243" s="1"/>
  <c r="AK225"/>
  <c r="AU272"/>
  <c r="U58" i="52"/>
  <c r="S447"/>
  <c r="Y39"/>
  <c r="Y48"/>
  <c r="Y395"/>
  <c r="Y364"/>
  <c r="Y419"/>
  <c r="Y377"/>
  <c r="Y361"/>
  <c r="Y36"/>
  <c r="Y44"/>
  <c r="Y46"/>
  <c r="Y50"/>
  <c r="Y56"/>
  <c r="Y434"/>
  <c r="Y423"/>
  <c r="Y408"/>
  <c r="Y388"/>
  <c r="Y376"/>
  <c r="Y428"/>
  <c r="Y381"/>
  <c r="Y373"/>
  <c r="Y365"/>
  <c r="Y442"/>
  <c r="Y404"/>
  <c r="Y392"/>
  <c r="Y368"/>
  <c r="Y435"/>
  <c r="Y424"/>
  <c r="Y409"/>
  <c r="Y354"/>
  <c r="Y374"/>
  <c r="Y366"/>
  <c r="Y358"/>
  <c r="Y417"/>
  <c r="Y394"/>
  <c r="Y367"/>
  <c r="Y359"/>
  <c r="Y416"/>
  <c r="Y406"/>
  <c r="Y390"/>
  <c r="Y382"/>
  <c r="Y429"/>
  <c r="Y411"/>
  <c r="Y403"/>
  <c r="Y391"/>
  <c r="Y413"/>
  <c r="Y440"/>
  <c r="Y437"/>
  <c r="Y35"/>
  <c r="Y53"/>
  <c r="Y51"/>
  <c r="Y412"/>
  <c r="Y436"/>
  <c r="BB156" i="1"/>
  <c r="Y33" i="52"/>
  <c r="Y45"/>
  <c r="Y52"/>
  <c r="Y441"/>
  <c r="Y418"/>
  <c r="Y384"/>
  <c r="Y353"/>
  <c r="Y369"/>
  <c r="Y414"/>
  <c r="Y380"/>
  <c r="Y360"/>
  <c r="Y431"/>
  <c r="Y415"/>
  <c r="Y405"/>
  <c r="Y385"/>
  <c r="Y438"/>
  <c r="Y378"/>
  <c r="Y370"/>
  <c r="Y362"/>
  <c r="Y439"/>
  <c r="Y422"/>
  <c r="Y399"/>
  <c r="Y383"/>
  <c r="Y363"/>
  <c r="Y356"/>
  <c r="Y420"/>
  <c r="Y410"/>
  <c r="Y393"/>
  <c r="Y386"/>
  <c r="Y355"/>
  <c r="Y426"/>
  <c r="Y407"/>
  <c r="Y443"/>
  <c r="Y387"/>
  <c r="Y375"/>
  <c r="Y421"/>
  <c r="Y54"/>
  <c r="Y57"/>
  <c r="Y38"/>
  <c r="Y40"/>
  <c r="Y37"/>
  <c r="Y47"/>
  <c r="Y398"/>
  <c r="Y371"/>
  <c r="BN393" i="1"/>
  <c r="Y432" i="52"/>
  <c r="BA25" i="1"/>
  <c r="BX25" s="1"/>
  <c r="Z41" i="52" s="1"/>
  <c r="AB41" s="1"/>
  <c r="Y41"/>
  <c r="BR158" i="1"/>
  <c r="Y42" i="52"/>
  <c r="BN277" i="1"/>
  <c r="BA100"/>
  <c r="BX100" s="1"/>
  <c r="Z125" i="52" s="1"/>
  <c r="AB125" s="1"/>
  <c r="BS128" i="1"/>
  <c r="AK255"/>
  <c r="S279" i="43" s="1"/>
  <c r="AU293" i="1"/>
  <c r="Y320" i="52" s="1"/>
  <c r="BM158" i="1"/>
  <c r="AK295"/>
  <c r="AL83"/>
  <c r="AK398"/>
  <c r="S433" i="43" s="1"/>
  <c r="BL128" i="1"/>
  <c r="BS25"/>
  <c r="BM100"/>
  <c r="BA277"/>
  <c r="BX277" s="1"/>
  <c r="Z304" i="52" s="1"/>
  <c r="AB304" s="1"/>
  <c r="BA156" i="1"/>
  <c r="BX156" s="1"/>
  <c r="Z182" i="52" s="1"/>
  <c r="AB182" s="1"/>
  <c r="AW295" i="1"/>
  <c r="X319" i="43" s="1"/>
  <c r="BL158" i="1"/>
  <c r="BL156"/>
  <c r="CR287"/>
  <c r="CR156"/>
  <c r="BA287"/>
  <c r="BX287" s="1"/>
  <c r="Z314" i="52" s="1"/>
  <c r="AB314" s="1"/>
  <c r="BM287" i="1"/>
  <c r="BR287"/>
  <c r="BB287"/>
  <c r="AL17"/>
  <c r="AL255"/>
  <c r="AL51"/>
  <c r="AL309"/>
  <c r="AK83"/>
  <c r="S107" i="43" s="1"/>
  <c r="BN287" i="1"/>
  <c r="BL287"/>
  <c r="BS287"/>
  <c r="BA128"/>
  <c r="BX128" s="1"/>
  <c r="Z153" i="52" s="1"/>
  <c r="AB153" s="1"/>
  <c r="BN128" i="1"/>
  <c r="AK271"/>
  <c r="S295" i="43" s="1"/>
  <c r="BN158" i="1"/>
  <c r="BR25"/>
  <c r="BN25"/>
  <c r="AL247"/>
  <c r="BR100"/>
  <c r="BS277"/>
  <c r="BS156"/>
  <c r="BR156"/>
  <c r="BN156"/>
  <c r="AK178"/>
  <c r="S202" i="43" s="1"/>
  <c r="AL218" i="1"/>
  <c r="BR393"/>
  <c r="AL38"/>
  <c r="AL385"/>
  <c r="AK38"/>
  <c r="S54" i="43" s="1"/>
  <c r="BA393" i="1"/>
  <c r="BX393" s="1"/>
  <c r="AK218"/>
  <c r="S242" i="43" s="1"/>
  <c r="AM156" i="1"/>
  <c r="AK119"/>
  <c r="S143" i="43" s="1"/>
  <c r="AK57" i="1"/>
  <c r="S81" i="43" s="1"/>
  <c r="AK90" i="1"/>
  <c r="S114" i="43" s="1"/>
  <c r="AK254" i="1"/>
  <c r="S278" i="43" s="1"/>
  <c r="AL199" i="1"/>
  <c r="AK289"/>
  <c r="S313" i="43" s="1"/>
  <c r="AK51" i="1"/>
  <c r="S75" i="43" s="1"/>
  <c r="AK199" i="1"/>
  <c r="S223" i="43" s="1"/>
  <c r="AK309" i="1"/>
  <c r="S333" i="43" s="1"/>
  <c r="AL271" i="1"/>
  <c r="BR128"/>
  <c r="BM128"/>
  <c r="BA158"/>
  <c r="BX158" s="1"/>
  <c r="Z184" i="52" s="1"/>
  <c r="AB184" s="1"/>
  <c r="BS158" i="1"/>
  <c r="CP293"/>
  <c r="BM25"/>
  <c r="BL25"/>
  <c r="BF293"/>
  <c r="AL178"/>
  <c r="BL100"/>
  <c r="BS100"/>
  <c r="AK247"/>
  <c r="S271" i="43" s="1"/>
  <c r="BM277" i="1"/>
  <c r="BL277"/>
  <c r="AK280"/>
  <c r="S304" i="43" s="1"/>
  <c r="AK203" i="1"/>
  <c r="S227" i="43" s="1"/>
  <c r="AL90" i="1"/>
  <c r="AL393"/>
  <c r="BL393"/>
  <c r="AL331"/>
  <c r="AL219"/>
  <c r="AL203"/>
  <c r="AK219"/>
  <c r="S243" i="43" s="1"/>
  <c r="AL254" i="1"/>
  <c r="AK385"/>
  <c r="S420" i="43" s="1"/>
  <c r="AL119" i="1"/>
  <c r="AL57"/>
  <c r="CR25"/>
  <c r="CR158"/>
  <c r="CR277"/>
  <c r="CR100"/>
  <c r="CR128"/>
  <c r="AM331"/>
  <c r="CI331" s="1"/>
  <c r="BB26"/>
  <c r="BB32"/>
  <c r="BB18"/>
  <c r="BB199"/>
  <c r="Z223" i="43" s="1"/>
  <c r="BB256" i="1"/>
  <c r="Z280" i="43" s="1"/>
  <c r="BB186" i="1"/>
  <c r="Z210" i="43" s="1"/>
  <c r="BB218" i="1"/>
  <c r="Z242" i="43" s="1"/>
  <c r="BB135" i="1"/>
  <c r="Z159" i="43" s="1"/>
  <c r="BB108" i="1"/>
  <c r="Z132" i="43" s="1"/>
  <c r="BB25" i="1"/>
  <c r="Z41" i="43" s="1"/>
  <c r="BB158" i="1"/>
  <c r="Z182" i="43" s="1"/>
  <c r="BB277" i="1"/>
  <c r="Z301" i="43" s="1"/>
  <c r="BB100" i="1"/>
  <c r="Z124" i="43" s="1"/>
  <c r="BB128" i="1"/>
  <c r="Z152" i="43" s="1"/>
  <c r="BB194" i="1"/>
  <c r="Z218" i="43" s="1"/>
  <c r="BB107" i="1"/>
  <c r="Z131" i="43" s="1"/>
  <c r="BB271" i="1"/>
  <c r="Z295" i="43" s="1"/>
  <c r="BN38" i="1"/>
  <c r="BB393"/>
  <c r="BS393"/>
  <c r="BM393"/>
  <c r="BL251"/>
  <c r="BF74"/>
  <c r="AL372"/>
  <c r="AK216"/>
  <c r="S240" i="43" s="1"/>
  <c r="BF133" i="1"/>
  <c r="AL108"/>
  <c r="BF385"/>
  <c r="AL269"/>
  <c r="AK397"/>
  <c r="S432" i="43" s="1"/>
  <c r="CR393" i="1"/>
  <c r="CR119"/>
  <c r="CR269"/>
  <c r="CR397"/>
  <c r="CR331"/>
  <c r="CR57"/>
  <c r="BA119"/>
  <c r="BX119" s="1"/>
  <c r="Z144" i="52" s="1"/>
  <c r="AB144" s="1"/>
  <c r="BB119" i="1"/>
  <c r="Z143" i="43" s="1"/>
  <c r="BN119" i="1"/>
  <c r="BM119"/>
  <c r="BR119"/>
  <c r="BS119"/>
  <c r="BL119"/>
  <c r="AL397"/>
  <c r="AL216"/>
  <c r="BN269"/>
  <c r="BA269"/>
  <c r="BX269" s="1"/>
  <c r="Z296" i="52" s="1"/>
  <c r="AB296" s="1"/>
  <c r="BB269" i="1"/>
  <c r="Z293" i="43" s="1"/>
  <c r="BS269" i="1"/>
  <c r="BL269"/>
  <c r="BR269"/>
  <c r="BM269"/>
  <c r="BB397"/>
  <c r="Z432" i="43" s="1"/>
  <c r="BN397" i="1"/>
  <c r="BA397"/>
  <c r="BX397" s="1"/>
  <c r="Z436" i="52" s="1"/>
  <c r="AB436" s="1"/>
  <c r="BS397" i="1"/>
  <c r="BL397"/>
  <c r="BR397"/>
  <c r="BM397"/>
  <c r="AW216"/>
  <c r="X240" i="43" s="1"/>
  <c r="BB331" i="1"/>
  <c r="Z366" i="43" s="1"/>
  <c r="BN331" i="1"/>
  <c r="BA331"/>
  <c r="BX331" s="1"/>
  <c r="Z371" i="52" s="1"/>
  <c r="AB371" s="1"/>
  <c r="BS331" i="1"/>
  <c r="BL331"/>
  <c r="BR331"/>
  <c r="BM331"/>
  <c r="BA57"/>
  <c r="BX57" s="1"/>
  <c r="Z82" i="52" s="1"/>
  <c r="AB82" s="1"/>
  <c r="BB57" i="1"/>
  <c r="Z81" i="43" s="1"/>
  <c r="BN57" i="1"/>
  <c r="BM57"/>
  <c r="BR57"/>
  <c r="BS57"/>
  <c r="BL57"/>
  <c r="AK269"/>
  <c r="S293" i="43" s="1"/>
  <c r="CT134" i="1"/>
  <c r="BF306"/>
  <c r="CR372"/>
  <c r="AW90"/>
  <c r="X114" i="43" s="1"/>
  <c r="AK372" i="1"/>
  <c r="S407" i="43" s="1"/>
  <c r="BB372" i="1"/>
  <c r="Z407" i="43" s="1"/>
  <c r="BN372" i="1"/>
  <c r="BA372"/>
  <c r="BX372" s="1"/>
  <c r="Z412" i="52" s="1"/>
  <c r="AB412" s="1"/>
  <c r="BS372" i="1"/>
  <c r="BM372"/>
  <c r="BL372"/>
  <c r="BR372"/>
  <c r="BF210"/>
  <c r="BF94"/>
  <c r="BF202"/>
  <c r="BF129"/>
  <c r="CP74"/>
  <c r="CP133"/>
  <c r="BA17"/>
  <c r="BX17" s="1"/>
  <c r="Z33" i="52" s="1"/>
  <c r="BB17" i="1"/>
  <c r="CN17" s="1"/>
  <c r="BA28"/>
  <c r="BX28" s="1"/>
  <c r="Z45" i="52" s="1"/>
  <c r="AB45" s="1"/>
  <c r="BB28" i="1"/>
  <c r="Z44" i="43" s="1"/>
  <c r="BA35" i="1"/>
  <c r="BX35" s="1"/>
  <c r="Z52" i="52" s="1"/>
  <c r="AB52" s="1"/>
  <c r="BB35" i="1"/>
  <c r="Z51" i="43" s="1"/>
  <c r="BA401" i="1"/>
  <c r="BX401" s="1"/>
  <c r="Z441" i="52" s="1"/>
  <c r="AB441" s="1"/>
  <c r="BB401" i="1"/>
  <c r="Z436" i="43" s="1"/>
  <c r="BA355" i="1"/>
  <c r="BX355" s="1"/>
  <c r="Z395" i="52" s="1"/>
  <c r="AB395" s="1"/>
  <c r="BB355" i="1"/>
  <c r="Z390" i="43" s="1"/>
  <c r="BA324" i="1"/>
  <c r="BX324" s="1"/>
  <c r="Z364" i="52" s="1"/>
  <c r="AB364" s="1"/>
  <c r="BB324" i="1"/>
  <c r="Z359" i="43" s="1"/>
  <c r="BA379" i="1"/>
  <c r="BX379" s="1"/>
  <c r="Z419" i="52" s="1"/>
  <c r="AB419" s="1"/>
  <c r="BB379" i="1"/>
  <c r="Z414" i="43" s="1"/>
  <c r="BA337" i="1"/>
  <c r="BX337" s="1"/>
  <c r="Z377" i="52" s="1"/>
  <c r="AB377" s="1"/>
  <c r="BB337" i="1"/>
  <c r="Z372" i="43" s="1"/>
  <c r="BA329" i="1"/>
  <c r="BX329" s="1"/>
  <c r="Z369" i="52" s="1"/>
  <c r="AB369" s="1"/>
  <c r="BB329" i="1"/>
  <c r="Z364" i="43" s="1"/>
  <c r="BA321" i="1"/>
  <c r="BX321" s="1"/>
  <c r="Z361" i="52" s="1"/>
  <c r="AB361" s="1"/>
  <c r="BB321" i="1"/>
  <c r="Z356" i="43" s="1"/>
  <c r="BA374" i="1"/>
  <c r="BX374" s="1"/>
  <c r="Z414" i="52" s="1"/>
  <c r="AB414" s="1"/>
  <c r="BB374" i="1"/>
  <c r="Z409" i="43" s="1"/>
  <c r="BA340" i="1"/>
  <c r="BX340" s="1"/>
  <c r="Z380" i="52" s="1"/>
  <c r="AB380" s="1"/>
  <c r="BB340" i="1"/>
  <c r="Z375" i="43" s="1"/>
  <c r="BA320" i="1"/>
  <c r="BX320" s="1"/>
  <c r="Z360" i="52" s="1"/>
  <c r="AB360" s="1"/>
  <c r="BB320" i="1"/>
  <c r="Z355" i="43" s="1"/>
  <c r="BA392" i="1"/>
  <c r="BX392" s="1"/>
  <c r="Z431" i="52" s="1"/>
  <c r="AB431" s="1"/>
  <c r="BB392" i="1"/>
  <c r="Z427" i="43" s="1"/>
  <c r="BA375" i="1"/>
  <c r="BX375" s="1"/>
  <c r="Z415" i="52" s="1"/>
  <c r="AB415" s="1"/>
  <c r="BB375" i="1"/>
  <c r="Z410" i="43" s="1"/>
  <c r="BA365" i="1"/>
  <c r="BX365" s="1"/>
  <c r="Z405" i="52" s="1"/>
  <c r="AB405" s="1"/>
  <c r="BB365" i="1"/>
  <c r="Z400" i="43" s="1"/>
  <c r="BA345" i="1"/>
  <c r="BX345" s="1"/>
  <c r="Z385" i="52" s="1"/>
  <c r="AB385" s="1"/>
  <c r="BB345" i="1"/>
  <c r="Z380" i="43" s="1"/>
  <c r="BA399" i="1"/>
  <c r="BX399" s="1"/>
  <c r="Z438" i="52" s="1"/>
  <c r="AB438" s="1"/>
  <c r="BB399" i="1"/>
  <c r="Z434" i="43" s="1"/>
  <c r="BA334" i="1"/>
  <c r="BX334" s="1"/>
  <c r="Z374" i="52" s="1"/>
  <c r="AB374" s="1"/>
  <c r="BB334" i="1"/>
  <c r="Z369" i="43" s="1"/>
  <c r="BA326" i="1"/>
  <c r="BX326" s="1"/>
  <c r="Z366" i="52" s="1"/>
  <c r="AB366" s="1"/>
  <c r="BB326" i="1"/>
  <c r="Z361" i="43" s="1"/>
  <c r="BA318" i="1"/>
  <c r="BX318" s="1"/>
  <c r="Z358" i="52" s="1"/>
  <c r="AB358" s="1"/>
  <c r="BB318" i="1"/>
  <c r="Z353" i="43" s="1"/>
  <c r="BA377" i="1"/>
  <c r="BX377" s="1"/>
  <c r="Z417" i="52" s="1"/>
  <c r="AB417" s="1"/>
  <c r="BB377" i="1"/>
  <c r="Z412" i="43" s="1"/>
  <c r="BA354" i="1"/>
  <c r="BX354" s="1"/>
  <c r="Z394" i="52" s="1"/>
  <c r="AB394" s="1"/>
  <c r="BB354" i="1"/>
  <c r="Z389" i="43" s="1"/>
  <c r="BA327" i="1"/>
  <c r="BX327" s="1"/>
  <c r="Z367" i="52" s="1"/>
  <c r="AB367" s="1"/>
  <c r="BB327" i="1"/>
  <c r="Z362" i="43" s="1"/>
  <c r="BA319" i="1"/>
  <c r="BX319" s="1"/>
  <c r="Z359" i="52" s="1"/>
  <c r="AB359" s="1"/>
  <c r="BB319" i="1"/>
  <c r="Z354" i="43" s="1"/>
  <c r="BA376" i="1"/>
  <c r="BX376" s="1"/>
  <c r="Z416" i="52" s="1"/>
  <c r="AB416" s="1"/>
  <c r="BB376" i="1"/>
  <c r="Z411" i="43" s="1"/>
  <c r="BA366" i="1"/>
  <c r="BX366" s="1"/>
  <c r="Z406" i="52" s="1"/>
  <c r="AB406" s="1"/>
  <c r="BB366" i="1"/>
  <c r="Z401" i="43" s="1"/>
  <c r="BA350" i="1"/>
  <c r="BX350" s="1"/>
  <c r="Z390" i="52" s="1"/>
  <c r="AB390" s="1"/>
  <c r="BB350" i="1"/>
  <c r="Z385" i="43" s="1"/>
  <c r="BA342" i="1"/>
  <c r="BX342" s="1"/>
  <c r="Z382" i="52" s="1"/>
  <c r="AB382" s="1"/>
  <c r="BB342" i="1"/>
  <c r="Z377" i="43" s="1"/>
  <c r="BA390" i="1"/>
  <c r="BX390" s="1"/>
  <c r="Z429" i="52" s="1"/>
  <c r="AB429" s="1"/>
  <c r="BB390" i="1"/>
  <c r="Z425" i="43" s="1"/>
  <c r="BA371" i="1"/>
  <c r="BX371" s="1"/>
  <c r="Z411" i="52" s="1"/>
  <c r="AB411" s="1"/>
  <c r="BB371" i="1"/>
  <c r="Z406" i="43" s="1"/>
  <c r="BA363" i="1"/>
  <c r="BX363" s="1"/>
  <c r="Z403" i="52" s="1"/>
  <c r="AB403" s="1"/>
  <c r="BB363" i="1"/>
  <c r="Z398" i="43" s="1"/>
  <c r="BA351" i="1"/>
  <c r="BX351" s="1"/>
  <c r="Z391" i="52" s="1"/>
  <c r="AB391" s="1"/>
  <c r="BB351" i="1"/>
  <c r="Z386" i="43" s="1"/>
  <c r="BA47" i="1"/>
  <c r="BX47" s="1"/>
  <c r="Z72" i="52" s="1"/>
  <c r="AB72" s="1"/>
  <c r="BB47" i="1"/>
  <c r="Z71" i="43" s="1"/>
  <c r="BA124" i="1"/>
  <c r="BX124" s="1"/>
  <c r="Z149" i="52" s="1"/>
  <c r="AB149" s="1"/>
  <c r="BB124" i="1"/>
  <c r="Z148" i="43" s="1"/>
  <c r="BA144" i="1"/>
  <c r="BX144" s="1"/>
  <c r="Z169" i="52" s="1"/>
  <c r="AB169" s="1"/>
  <c r="BB144" i="1"/>
  <c r="Z168" i="43" s="1"/>
  <c r="BA201" i="1"/>
  <c r="BX201" s="1"/>
  <c r="Z227" i="52" s="1"/>
  <c r="AB227" s="1"/>
  <c r="BB201" i="1"/>
  <c r="Z225" i="43" s="1"/>
  <c r="BA221" i="1"/>
  <c r="BX221" s="1"/>
  <c r="Z247" i="52" s="1"/>
  <c r="AB247" s="1"/>
  <c r="BB221" i="1"/>
  <c r="Z245" i="43" s="1"/>
  <c r="BA248" i="1"/>
  <c r="BX248" s="1"/>
  <c r="Z275" i="52" s="1"/>
  <c r="AB275" s="1"/>
  <c r="BB248" i="1"/>
  <c r="Z272" i="43" s="1"/>
  <c r="BA242" i="1"/>
  <c r="BX242" s="1"/>
  <c r="Z269" i="52" s="1"/>
  <c r="AB269" s="1"/>
  <c r="BB242" i="1"/>
  <c r="Z266" i="43" s="1"/>
  <c r="BA49" i="1"/>
  <c r="BX49" s="1"/>
  <c r="Z74" i="52" s="1"/>
  <c r="AB74" s="1"/>
  <c r="BB49" i="1"/>
  <c r="Z73" i="43" s="1"/>
  <c r="BA142" i="1"/>
  <c r="BX142" s="1"/>
  <c r="Z167" i="52" s="1"/>
  <c r="AB167" s="1"/>
  <c r="BB142" i="1"/>
  <c r="Z166" i="43" s="1"/>
  <c r="BA153" i="1"/>
  <c r="BX153" s="1"/>
  <c r="Z179" i="52" s="1"/>
  <c r="AB179" s="1"/>
  <c r="BB153" i="1"/>
  <c r="Z177" i="43" s="1"/>
  <c r="BA205" i="1"/>
  <c r="BX205" s="1"/>
  <c r="Z231" i="52" s="1"/>
  <c r="AB231" s="1"/>
  <c r="BB205" i="1"/>
  <c r="Z229" i="43" s="1"/>
  <c r="BA305" i="1"/>
  <c r="BX305" s="1"/>
  <c r="Z331" i="52" s="1"/>
  <c r="AB331" s="1"/>
  <c r="BB305" i="1"/>
  <c r="Z329" i="43" s="1"/>
  <c r="BA381" i="1"/>
  <c r="BX381" s="1"/>
  <c r="Z421" i="52" s="1"/>
  <c r="AB421" s="1"/>
  <c r="BB381" i="1"/>
  <c r="Z416" i="43" s="1"/>
  <c r="BA37" i="1"/>
  <c r="BX37" s="1"/>
  <c r="Z54" i="52" s="1"/>
  <c r="AB54" s="1"/>
  <c r="BB37" i="1"/>
  <c r="Z53" i="43" s="1"/>
  <c r="BA164" i="1"/>
  <c r="BX164" s="1"/>
  <c r="Z190" i="52" s="1"/>
  <c r="AB190" s="1"/>
  <c r="BB164" i="1"/>
  <c r="Z188" i="43" s="1"/>
  <c r="BA304" i="1"/>
  <c r="BX304" s="1"/>
  <c r="Z330" i="52" s="1"/>
  <c r="AB330" s="1"/>
  <c r="BB304" i="1"/>
  <c r="Z328" i="43" s="1"/>
  <c r="BA208" i="1"/>
  <c r="BX208" s="1"/>
  <c r="Z234" i="52" s="1"/>
  <c r="AB234" s="1"/>
  <c r="BB208" i="1"/>
  <c r="Z232" i="43" s="1"/>
  <c r="BA40" i="1"/>
  <c r="BX40" s="1"/>
  <c r="Z57" i="52" s="1"/>
  <c r="AB57" s="1"/>
  <c r="BB40" i="1"/>
  <c r="Z56" i="43" s="1"/>
  <c r="BA22" i="1"/>
  <c r="BX22" s="1"/>
  <c r="Z38" i="52" s="1"/>
  <c r="AB38" s="1"/>
  <c r="BB22" i="1"/>
  <c r="Z38" i="43" s="1"/>
  <c r="BA24" i="1"/>
  <c r="BX24" s="1"/>
  <c r="Z40" i="52" s="1"/>
  <c r="AB40" s="1"/>
  <c r="BB24" i="1"/>
  <c r="Z40" i="43" s="1"/>
  <c r="BA21" i="1"/>
  <c r="BX21" s="1"/>
  <c r="Z37" i="52" s="1"/>
  <c r="AB37" s="1"/>
  <c r="BB21" i="1"/>
  <c r="Z37" i="43" s="1"/>
  <c r="BA30" i="1"/>
  <c r="BX30" s="1"/>
  <c r="Z47" i="52" s="1"/>
  <c r="AB47" s="1"/>
  <c r="BB30" i="1"/>
  <c r="Z46" i="43" s="1"/>
  <c r="BM309" i="1"/>
  <c r="BB309"/>
  <c r="Z333" i="43" s="1"/>
  <c r="BB38" i="1"/>
  <c r="Z54" i="43" s="1"/>
  <c r="BA23" i="1"/>
  <c r="BX23" s="1"/>
  <c r="Z39" i="52" s="1"/>
  <c r="AB39" s="1"/>
  <c r="BB23" i="1"/>
  <c r="Z39" i="43" s="1"/>
  <c r="BA31" i="1"/>
  <c r="BX31" s="1"/>
  <c r="Z48" i="52" s="1"/>
  <c r="AB48" s="1"/>
  <c r="BB31" i="1"/>
  <c r="Z47" i="43" s="1"/>
  <c r="BA378" i="1"/>
  <c r="BX378" s="1"/>
  <c r="Z418" i="52" s="1"/>
  <c r="AB418" s="1"/>
  <c r="BB378" i="1"/>
  <c r="Z413" i="43" s="1"/>
  <c r="BA344" i="1"/>
  <c r="BX344" s="1"/>
  <c r="Z384" i="52" s="1"/>
  <c r="AB384" s="1"/>
  <c r="BB344" i="1"/>
  <c r="Z379" i="43" s="1"/>
  <c r="BA313" i="1"/>
  <c r="BX313" s="1"/>
  <c r="Z353" i="52" s="1"/>
  <c r="AB353" s="1"/>
  <c r="BB313" i="1"/>
  <c r="Z348" i="43" s="1"/>
  <c r="BA20" i="1"/>
  <c r="BX20" s="1"/>
  <c r="Z36" i="52" s="1"/>
  <c r="AB36" s="1"/>
  <c r="BB20" i="1"/>
  <c r="Z36" i="43" s="1"/>
  <c r="BA27" i="1"/>
  <c r="BX27" s="1"/>
  <c r="Z44" i="52" s="1"/>
  <c r="AB44" s="1"/>
  <c r="BB27" i="1"/>
  <c r="Z43" i="43" s="1"/>
  <c r="BA29" i="1"/>
  <c r="BX29" s="1"/>
  <c r="Z46" i="52" s="1"/>
  <c r="AB46" s="1"/>
  <c r="BB29" i="1"/>
  <c r="Z45" i="43" s="1"/>
  <c r="BA33" i="1"/>
  <c r="BX33" s="1"/>
  <c r="Z50" i="52" s="1"/>
  <c r="AB50" s="1"/>
  <c r="BB33" i="1"/>
  <c r="Z49" i="43" s="1"/>
  <c r="BA39" i="1"/>
  <c r="BX39" s="1"/>
  <c r="Z56" i="52" s="1"/>
  <c r="AB56" s="1"/>
  <c r="BB39" i="1"/>
  <c r="Z55" i="43" s="1"/>
  <c r="BA395" i="1"/>
  <c r="BX395" s="1"/>
  <c r="Z434" i="52" s="1"/>
  <c r="AB434" s="1"/>
  <c r="BB395" i="1"/>
  <c r="Z430" i="43" s="1"/>
  <c r="BA383" i="1"/>
  <c r="BX383" s="1"/>
  <c r="Z423" i="52" s="1"/>
  <c r="AB423" s="1"/>
  <c r="BB383" i="1"/>
  <c r="Z418" i="43" s="1"/>
  <c r="BA368" i="1"/>
  <c r="BX368" s="1"/>
  <c r="Z408" i="52" s="1"/>
  <c r="AB408" s="1"/>
  <c r="BB368" i="1"/>
  <c r="Z403" i="43" s="1"/>
  <c r="BA348" i="1"/>
  <c r="BX348" s="1"/>
  <c r="Z388" i="52" s="1"/>
  <c r="AB388" s="1"/>
  <c r="BB348" i="1"/>
  <c r="Z383" i="43" s="1"/>
  <c r="BA336" i="1"/>
  <c r="BX336" s="1"/>
  <c r="Z376" i="52" s="1"/>
  <c r="AB376" s="1"/>
  <c r="BB336" i="1"/>
  <c r="Z371" i="43" s="1"/>
  <c r="BA388" i="1"/>
  <c r="BX388" s="1"/>
  <c r="Z428" i="52" s="1"/>
  <c r="AB428" s="1"/>
  <c r="BB388" i="1"/>
  <c r="Z423" i="43" s="1"/>
  <c r="BA341" i="1"/>
  <c r="BX341" s="1"/>
  <c r="Z381" i="52" s="1"/>
  <c r="AB381" s="1"/>
  <c r="BB341" i="1"/>
  <c r="Z376" i="43" s="1"/>
  <c r="BA333" i="1"/>
  <c r="BX333" s="1"/>
  <c r="Z373" i="52" s="1"/>
  <c r="AB373" s="1"/>
  <c r="BB333" i="1"/>
  <c r="Z368" i="43" s="1"/>
  <c r="BA325" i="1"/>
  <c r="BX325" s="1"/>
  <c r="Z365" i="52" s="1"/>
  <c r="AB365" s="1"/>
  <c r="BB325" i="1"/>
  <c r="Z360" i="43" s="1"/>
  <c r="BA402" i="1"/>
  <c r="BX402" s="1"/>
  <c r="Z442" i="52" s="1"/>
  <c r="AB442" s="1"/>
  <c r="BB402" i="1"/>
  <c r="Z437" i="43" s="1"/>
  <c r="BA364" i="1"/>
  <c r="BX364" s="1"/>
  <c r="Z404" i="52" s="1"/>
  <c r="AB404" s="1"/>
  <c r="BB364" i="1"/>
  <c r="Z399" i="43" s="1"/>
  <c r="BA352" i="1"/>
  <c r="BX352" s="1"/>
  <c r="Z392" i="52" s="1"/>
  <c r="AB392" s="1"/>
  <c r="BB352" i="1"/>
  <c r="Z387" i="43" s="1"/>
  <c r="BA328" i="1"/>
  <c r="BX328" s="1"/>
  <c r="Z368" i="52" s="1"/>
  <c r="AB368" s="1"/>
  <c r="BB328" i="1"/>
  <c r="Z363" i="43" s="1"/>
  <c r="BA396" i="1"/>
  <c r="BX396" s="1"/>
  <c r="Z435" i="52" s="1"/>
  <c r="AB435" s="1"/>
  <c r="BB396" i="1"/>
  <c r="Z431" i="43" s="1"/>
  <c r="BA384" i="1"/>
  <c r="BX384" s="1"/>
  <c r="Z424" i="52" s="1"/>
  <c r="AB424" s="1"/>
  <c r="BB384" i="1"/>
  <c r="Z419" i="43" s="1"/>
  <c r="BA369" i="1"/>
  <c r="BX369" s="1"/>
  <c r="Z409" i="52" s="1"/>
  <c r="AB409" s="1"/>
  <c r="BB369" i="1"/>
  <c r="Z404" i="43" s="1"/>
  <c r="BA314" i="1"/>
  <c r="BX314" s="1"/>
  <c r="Z354" i="52" s="1"/>
  <c r="AB354" s="1"/>
  <c r="BB314" i="1"/>
  <c r="Z349" i="43" s="1"/>
  <c r="BA338" i="1"/>
  <c r="BX338" s="1"/>
  <c r="Z378" i="52" s="1"/>
  <c r="AB378" s="1"/>
  <c r="BB338" i="1"/>
  <c r="Z373" i="43" s="1"/>
  <c r="BA330" i="1"/>
  <c r="BX330" s="1"/>
  <c r="Z370" i="52" s="1"/>
  <c r="AB370" s="1"/>
  <c r="BB330" i="1"/>
  <c r="Z365" i="43" s="1"/>
  <c r="BA322" i="1"/>
  <c r="BX322" s="1"/>
  <c r="Z362" i="52" s="1"/>
  <c r="AB362" s="1"/>
  <c r="BB322" i="1"/>
  <c r="Z357" i="43" s="1"/>
  <c r="BA400" i="1"/>
  <c r="BX400" s="1"/>
  <c r="Z439" i="52" s="1"/>
  <c r="AB439" s="1"/>
  <c r="BB400" i="1"/>
  <c r="Z435" i="43" s="1"/>
  <c r="BA382" i="1"/>
  <c r="BX382" s="1"/>
  <c r="Z422" i="52" s="1"/>
  <c r="AB422" s="1"/>
  <c r="BB382" i="1"/>
  <c r="Z417" i="43" s="1"/>
  <c r="BA359" i="1"/>
  <c r="BX359" s="1"/>
  <c r="Z399" i="52" s="1"/>
  <c r="AB399" s="1"/>
  <c r="BB359" i="1"/>
  <c r="Z394" i="43" s="1"/>
  <c r="BA343" i="1"/>
  <c r="BX343" s="1"/>
  <c r="Z383" i="52" s="1"/>
  <c r="AB383" s="1"/>
  <c r="BB343" i="1"/>
  <c r="Z378" i="43" s="1"/>
  <c r="BA323" i="1"/>
  <c r="BX323" s="1"/>
  <c r="Z363" i="52" s="1"/>
  <c r="AB363" s="1"/>
  <c r="BB323" i="1"/>
  <c r="Z358" i="43" s="1"/>
  <c r="BA316" i="1"/>
  <c r="BX316" s="1"/>
  <c r="Z356" i="52" s="1"/>
  <c r="AB356" s="1"/>
  <c r="BB316" i="1"/>
  <c r="Z351" i="43" s="1"/>
  <c r="BA380" i="1"/>
  <c r="BX380" s="1"/>
  <c r="Z420" i="52" s="1"/>
  <c r="AB420" s="1"/>
  <c r="BB380" i="1"/>
  <c r="Z415" i="43" s="1"/>
  <c r="BA370" i="1"/>
  <c r="BX370" s="1"/>
  <c r="Z410" i="52" s="1"/>
  <c r="AB410" s="1"/>
  <c r="BB370" i="1"/>
  <c r="Z405" i="43" s="1"/>
  <c r="BA353" i="1"/>
  <c r="BX353" s="1"/>
  <c r="Z393" i="52" s="1"/>
  <c r="AB393" s="1"/>
  <c r="BB353" i="1"/>
  <c r="Z388" i="43" s="1"/>
  <c r="BA346" i="1"/>
  <c r="BX346" s="1"/>
  <c r="Z386" i="52" s="1"/>
  <c r="AB386" s="1"/>
  <c r="BB346" i="1"/>
  <c r="Z381" i="43" s="1"/>
  <c r="BA315" i="1"/>
  <c r="BX315" s="1"/>
  <c r="Z355" i="52" s="1"/>
  <c r="AB355" s="1"/>
  <c r="BB315" i="1"/>
  <c r="Z350" i="43" s="1"/>
  <c r="BA386" i="1"/>
  <c r="BX386" s="1"/>
  <c r="Z426" i="52" s="1"/>
  <c r="AB426" s="1"/>
  <c r="BB386" i="1"/>
  <c r="Z421" i="43" s="1"/>
  <c r="BA367" i="1"/>
  <c r="BX367" s="1"/>
  <c r="Z407" i="52" s="1"/>
  <c r="AB407" s="1"/>
  <c r="BB367" i="1"/>
  <c r="Z402" i="43" s="1"/>
  <c r="BA403" i="1"/>
  <c r="BX403" s="1"/>
  <c r="Z443" i="52" s="1"/>
  <c r="AB443" s="1"/>
  <c r="BB403" i="1"/>
  <c r="Z438" i="43" s="1"/>
  <c r="BA347" i="1"/>
  <c r="BX347" s="1"/>
  <c r="Z387" i="52" s="1"/>
  <c r="AB387" s="1"/>
  <c r="BB347" i="1"/>
  <c r="Z382" i="43" s="1"/>
  <c r="BA335" i="1"/>
  <c r="BX335" s="1"/>
  <c r="Z375" i="52" s="1"/>
  <c r="AB375" s="1"/>
  <c r="BB335" i="1"/>
  <c r="Z370" i="43" s="1"/>
  <c r="BA99" i="1"/>
  <c r="BX99" s="1"/>
  <c r="Z124" i="52" s="1"/>
  <c r="AB124" s="1"/>
  <c r="BB99" i="1"/>
  <c r="Z123" i="43" s="1"/>
  <c r="BA137" i="1"/>
  <c r="BX137" s="1"/>
  <c r="Z162" i="52" s="1"/>
  <c r="AB162" s="1"/>
  <c r="BB137" i="1"/>
  <c r="Z161" i="43" s="1"/>
  <c r="BA159" i="1"/>
  <c r="BX159" s="1"/>
  <c r="Z185" i="52" s="1"/>
  <c r="AB185" s="1"/>
  <c r="BB159" i="1"/>
  <c r="Z183" i="43" s="1"/>
  <c r="BA207" i="1"/>
  <c r="BX207" s="1"/>
  <c r="Z233" i="52" s="1"/>
  <c r="AB233" s="1"/>
  <c r="BB207" i="1"/>
  <c r="Z231" i="43" s="1"/>
  <c r="BA231" i="1"/>
  <c r="BX231" s="1"/>
  <c r="Z258" i="52" s="1"/>
  <c r="AB258" s="1"/>
  <c r="BB231" i="1"/>
  <c r="Z255" i="43" s="1"/>
  <c r="BA257" i="1"/>
  <c r="BX257" s="1"/>
  <c r="Z284" i="52" s="1"/>
  <c r="AB284" s="1"/>
  <c r="BB257" i="1"/>
  <c r="Z281" i="43" s="1"/>
  <c r="BA46" i="1"/>
  <c r="BX46" s="1"/>
  <c r="Z71" i="52" s="1"/>
  <c r="AB71" s="1"/>
  <c r="BB46" i="1"/>
  <c r="Z70" i="43" s="1"/>
  <c r="BA55" i="1"/>
  <c r="BX55" s="1"/>
  <c r="Z80" i="52" s="1"/>
  <c r="AB80" s="1"/>
  <c r="BB55" i="1"/>
  <c r="Z79" i="43" s="1"/>
  <c r="BA138" i="1"/>
  <c r="BX138" s="1"/>
  <c r="Z163" i="52" s="1"/>
  <c r="AB163" s="1"/>
  <c r="BB138" i="1"/>
  <c r="Z162" i="43" s="1"/>
  <c r="BA146" i="1"/>
  <c r="BX146" s="1"/>
  <c r="Z171" i="52" s="1"/>
  <c r="AB171" s="1"/>
  <c r="BB146" i="1"/>
  <c r="Z170" i="43" s="1"/>
  <c r="BA234" i="1"/>
  <c r="BX234" s="1"/>
  <c r="Z261" i="52" s="1"/>
  <c r="AB261" s="1"/>
  <c r="BB234" i="1"/>
  <c r="Z258" i="43" s="1"/>
  <c r="BA373" i="1"/>
  <c r="BX373" s="1"/>
  <c r="Z413" i="52" s="1"/>
  <c r="AB413" s="1"/>
  <c r="BB373" i="1"/>
  <c r="Z408" i="43" s="1"/>
  <c r="Z440" i="52"/>
  <c r="AB440" s="1"/>
  <c r="BA195" i="1"/>
  <c r="BX195" s="1"/>
  <c r="Z221" i="52" s="1"/>
  <c r="AB221" s="1"/>
  <c r="BB195" i="1"/>
  <c r="Z219" i="43" s="1"/>
  <c r="BA398" i="1"/>
  <c r="BX398" s="1"/>
  <c r="Z437" i="52" s="1"/>
  <c r="AB437" s="1"/>
  <c r="BB398" i="1"/>
  <c r="Z433" i="43" s="1"/>
  <c r="BA298" i="1"/>
  <c r="BX298" s="1"/>
  <c r="Z325" i="52" s="1"/>
  <c r="AB325" s="1"/>
  <c r="BB298" i="1"/>
  <c r="Z322" i="43" s="1"/>
  <c r="BA299" i="1"/>
  <c r="BX299" s="1"/>
  <c r="Z326" i="52" s="1"/>
  <c r="AB326" s="1"/>
  <c r="BB299" i="1"/>
  <c r="Z323" i="43" s="1"/>
  <c r="BA19" i="1"/>
  <c r="BX19" s="1"/>
  <c r="Z35" i="52" s="1"/>
  <c r="AB35" s="1"/>
  <c r="BB19" i="1"/>
  <c r="Z35" i="43" s="1"/>
  <c r="BA36" i="1"/>
  <c r="BX36" s="1"/>
  <c r="Z53" i="52" s="1"/>
  <c r="AB53" s="1"/>
  <c r="BB36" i="1"/>
  <c r="Z52" i="43" s="1"/>
  <c r="BA34" i="1"/>
  <c r="BX34" s="1"/>
  <c r="Z51" i="52" s="1"/>
  <c r="AB51" s="1"/>
  <c r="BB34" i="1"/>
  <c r="Z50" i="43" s="1"/>
  <c r="BA308" i="1"/>
  <c r="BX308" s="1"/>
  <c r="Z334" i="52" s="1"/>
  <c r="AB334" s="1"/>
  <c r="BB308" i="1"/>
  <c r="Z332" i="43" s="1"/>
  <c r="BM270" i="1"/>
  <c r="BB270"/>
  <c r="Z294" i="43" s="1"/>
  <c r="BA247" i="1"/>
  <c r="BX247" s="1"/>
  <c r="Z274" i="52" s="1"/>
  <c r="AB274" s="1"/>
  <c r="BB247" i="1"/>
  <c r="Z271" i="43" s="1"/>
  <c r="BR358" i="1"/>
  <c r="BB358"/>
  <c r="Z393" i="43" s="1"/>
  <c r="BW229" i="1"/>
  <c r="CT162"/>
  <c r="BL38"/>
  <c r="BS38"/>
  <c r="BA38"/>
  <c r="BX38" s="1"/>
  <c r="Z55" i="52" s="1"/>
  <c r="AB55" s="1"/>
  <c r="BM38" i="1"/>
  <c r="BR38"/>
  <c r="CR38"/>
  <c r="CP385"/>
  <c r="AU385"/>
  <c r="Y425" i="52" s="1"/>
  <c r="AW254" i="1"/>
  <c r="X278" i="43" s="1"/>
  <c r="CR108" i="1"/>
  <c r="BN108"/>
  <c r="BA108"/>
  <c r="BX108" s="1"/>
  <c r="Z133" i="52" s="1"/>
  <c r="AB133" s="1"/>
  <c r="BL108" i="1"/>
  <c r="BM108"/>
  <c r="BS108"/>
  <c r="BR108"/>
  <c r="AK108"/>
  <c r="S132" i="43" s="1"/>
  <c r="AC132" s="1"/>
  <c r="BF219" i="1"/>
  <c r="BW141"/>
  <c r="BW82"/>
  <c r="CT66"/>
  <c r="BW102"/>
  <c r="BW259"/>
  <c r="CT88"/>
  <c r="AU203"/>
  <c r="Y229" i="52" s="1"/>
  <c r="AL277" i="1"/>
  <c r="CT120"/>
  <c r="CR218"/>
  <c r="CR135"/>
  <c r="AK215"/>
  <c r="S239" i="43" s="1"/>
  <c r="AK277" i="1"/>
  <c r="S301" i="43" s="1"/>
  <c r="AC301" s="1"/>
  <c r="AW280" i="1"/>
  <c r="X304" i="43" s="1"/>
  <c r="AL135" i="1"/>
  <c r="AK135"/>
  <c r="S159" i="43" s="1"/>
  <c r="BA218" i="1"/>
  <c r="BX218" s="1"/>
  <c r="Z244" i="52" s="1"/>
  <c r="AB244" s="1"/>
  <c r="BN218" i="1"/>
  <c r="BS218"/>
  <c r="BL218"/>
  <c r="BR218"/>
  <c r="BM218"/>
  <c r="AU219"/>
  <c r="Y245" i="52" s="1"/>
  <c r="CP219" i="1"/>
  <c r="BM135"/>
  <c r="BN135"/>
  <c r="BL135"/>
  <c r="BS135"/>
  <c r="BA135"/>
  <c r="BX135" s="1"/>
  <c r="Z160" i="52" s="1"/>
  <c r="AB160" s="1"/>
  <c r="BR135" i="1"/>
  <c r="CP203"/>
  <c r="BF203"/>
  <c r="AL215"/>
  <c r="BA358"/>
  <c r="BX358" s="1"/>
  <c r="Z398" i="52" s="1"/>
  <c r="AB398" s="1"/>
  <c r="BS358" i="1"/>
  <c r="BN358"/>
  <c r="BF178"/>
  <c r="BM358"/>
  <c r="BL358"/>
  <c r="CR358"/>
  <c r="AU178"/>
  <c r="Y204" i="52" s="1"/>
  <c r="CP178" i="1"/>
  <c r="BS247"/>
  <c r="CS118"/>
  <c r="BR247"/>
  <c r="BN247"/>
  <c r="AL186"/>
  <c r="BM247"/>
  <c r="BL247"/>
  <c r="BF294"/>
  <c r="AU232"/>
  <c r="Y259" i="52" s="1"/>
  <c r="AU202" i="1"/>
  <c r="Y228" i="52" s="1"/>
  <c r="AL25" i="1"/>
  <c r="AU129"/>
  <c r="Y154" i="52" s="1"/>
  <c r="AU226" i="1"/>
  <c r="Y252" i="52" s="1"/>
  <c r="AK186" i="1"/>
  <c r="S210" i="43" s="1"/>
  <c r="AC210" s="1"/>
  <c r="AL100" i="1"/>
  <c r="AL112"/>
  <c r="CR247"/>
  <c r="CR186"/>
  <c r="AK112"/>
  <c r="S136" i="43" s="1"/>
  <c r="AW112" i="1"/>
  <c r="X136" i="43" s="1"/>
  <c r="AK100" i="1"/>
  <c r="S124" i="43" s="1"/>
  <c r="AC124" s="1"/>
  <c r="BN186" i="1"/>
  <c r="BA186"/>
  <c r="BX186" s="1"/>
  <c r="Z212" i="52" s="1"/>
  <c r="AB212" s="1"/>
  <c r="BS186" i="1"/>
  <c r="BL186"/>
  <c r="BM186"/>
  <c r="BR186"/>
  <c r="AW215"/>
  <c r="X239" i="43" s="1"/>
  <c r="BF232" i="1"/>
  <c r="BF226"/>
  <c r="AL232"/>
  <c r="AK232"/>
  <c r="S256" i="43" s="1"/>
  <c r="AL129" i="1"/>
  <c r="AK129"/>
  <c r="S153" i="43" s="1"/>
  <c r="AL358" i="1"/>
  <c r="AK358"/>
  <c r="S393" i="43" s="1"/>
  <c r="AC393" s="1"/>
  <c r="AL202" i="1"/>
  <c r="AK202"/>
  <c r="S226" i="43" s="1"/>
  <c r="AL226" i="1"/>
  <c r="AK226"/>
  <c r="S250" i="43" s="1"/>
  <c r="AK25" i="1"/>
  <c r="S41" i="43" s="1"/>
  <c r="AC41" s="1"/>
  <c r="CP232" i="1"/>
  <c r="CP129"/>
  <c r="CP202"/>
  <c r="CP226"/>
  <c r="CP210"/>
  <c r="AL158"/>
  <c r="AK294"/>
  <c r="S318" i="43" s="1"/>
  <c r="AL210" i="1"/>
  <c r="AL293"/>
  <c r="CP294"/>
  <c r="AL183"/>
  <c r="AK158"/>
  <c r="S182" i="43" s="1"/>
  <c r="AC182" s="1"/>
  <c r="AK183" i="1"/>
  <c r="S207" i="43" s="1"/>
  <c r="CS141" i="1"/>
  <c r="AW183"/>
  <c r="X207" i="43" s="1"/>
  <c r="AU294" i="1"/>
  <c r="Y321" i="52" s="1"/>
  <c r="AK210" i="1"/>
  <c r="S234" i="43" s="1"/>
  <c r="AU210" i="1"/>
  <c r="Y236" i="52" s="1"/>
  <c r="AK293" i="1"/>
  <c r="S317" i="43" s="1"/>
  <c r="AL294" i="1"/>
  <c r="AL308"/>
  <c r="AL94"/>
  <c r="AL128"/>
  <c r="CS120"/>
  <c r="CS134"/>
  <c r="CS50"/>
  <c r="CS126"/>
  <c r="CS82"/>
  <c r="CS162"/>
  <c r="CS259"/>
  <c r="AK128"/>
  <c r="S152" i="43" s="1"/>
  <c r="AC152" s="1"/>
  <c r="CR138" i="1"/>
  <c r="CR137"/>
  <c r="CR205"/>
  <c r="CR55"/>
  <c r="CR20"/>
  <c r="CR99"/>
  <c r="CR32"/>
  <c r="CR234"/>
  <c r="CR256"/>
  <c r="CR231"/>
  <c r="CR221"/>
  <c r="CR29"/>
  <c r="CR248"/>
  <c r="CR23"/>
  <c r="CR37"/>
  <c r="CR201"/>
  <c r="CR305"/>
  <c r="CR271"/>
  <c r="CR164"/>
  <c r="CR18"/>
  <c r="CR207"/>
  <c r="CR34"/>
  <c r="CR47"/>
  <c r="CR107"/>
  <c r="CR33"/>
  <c r="CR309"/>
  <c r="CR24"/>
  <c r="CR194"/>
  <c r="CR242"/>
  <c r="CR298"/>
  <c r="CR46"/>
  <c r="CR144"/>
  <c r="CR304"/>
  <c r="CR22"/>
  <c r="CR195"/>
  <c r="CR40"/>
  <c r="CR39"/>
  <c r="CR28"/>
  <c r="CR299"/>
  <c r="CR199"/>
  <c r="CR257"/>
  <c r="CR124"/>
  <c r="CR208"/>
  <c r="CR30"/>
  <c r="CR21"/>
  <c r="CR19"/>
  <c r="CR36"/>
  <c r="CR49"/>
  <c r="CR153"/>
  <c r="CR159"/>
  <c r="CR142"/>
  <c r="CR35"/>
  <c r="CR308"/>
  <c r="CR26"/>
  <c r="CR146"/>
  <c r="CR31"/>
  <c r="CR27"/>
  <c r="BR271"/>
  <c r="BL271"/>
  <c r="BS271"/>
  <c r="BA271"/>
  <c r="BX271" s="1"/>
  <c r="Z298" i="52" s="1"/>
  <c r="AB298" s="1"/>
  <c r="BN271" i="1"/>
  <c r="BM271"/>
  <c r="AK94"/>
  <c r="S118" i="43" s="1"/>
  <c r="BF317" i="1"/>
  <c r="CP94"/>
  <c r="AM287"/>
  <c r="Q15" i="45"/>
  <c r="R15" i="43"/>
  <c r="AL107" i="1"/>
  <c r="AK107"/>
  <c r="S131" i="43" s="1"/>
  <c r="AC131" s="1"/>
  <c r="BN107" i="1"/>
  <c r="BM107"/>
  <c r="BR107"/>
  <c r="BL107"/>
  <c r="BS107"/>
  <c r="BA107"/>
  <c r="BX107" s="1"/>
  <c r="Z132" i="52" s="1"/>
  <c r="AB132" s="1"/>
  <c r="AI15" i="1"/>
  <c r="AU94"/>
  <c r="Y119" i="52" s="1"/>
  <c r="BF255" i="1"/>
  <c r="AK401"/>
  <c r="S436" i="43" s="1"/>
  <c r="AK403" i="1"/>
  <c r="S438" i="43" s="1"/>
  <c r="AK396" i="1"/>
  <c r="S431" i="43" s="1"/>
  <c r="AK400" i="1"/>
  <c r="S435" i="43" s="1"/>
  <c r="AK402" i="1"/>
  <c r="S437" i="43" s="1"/>
  <c r="AW387" i="1"/>
  <c r="X422" i="43" s="1"/>
  <c r="AW356" i="1"/>
  <c r="X391" i="43" s="1"/>
  <c r="AW349" i="1"/>
  <c r="X384" i="43" s="1"/>
  <c r="AW157" i="1"/>
  <c r="X181" i="43" s="1"/>
  <c r="AW278" i="1"/>
  <c r="X302" i="43" s="1"/>
  <c r="AW191" i="1"/>
  <c r="X215" i="43" s="1"/>
  <c r="AW357" i="1"/>
  <c r="X392" i="43" s="1"/>
  <c r="AW394" i="1"/>
  <c r="X429" i="43" s="1"/>
  <c r="AW92" i="1"/>
  <c r="X116" i="43" s="1"/>
  <c r="AW165" i="1"/>
  <c r="X189" i="43" s="1"/>
  <c r="AW245" i="1"/>
  <c r="X269" i="43" s="1"/>
  <c r="AW168" i="1"/>
  <c r="X192" i="43" s="1"/>
  <c r="AW190" i="1"/>
  <c r="X214" i="43" s="1"/>
  <c r="AW288" i="1"/>
  <c r="X312" i="43" s="1"/>
  <c r="AW284" i="1"/>
  <c r="X308" i="43" s="1"/>
  <c r="AW235" i="1"/>
  <c r="X259" i="43" s="1"/>
  <c r="AW260" i="1"/>
  <c r="X284" i="43" s="1"/>
  <c r="AW151" i="1"/>
  <c r="X175" i="43" s="1"/>
  <c r="AW179" i="1"/>
  <c r="X203" i="43" s="1"/>
  <c r="AW206" i="1"/>
  <c r="X230" i="43" s="1"/>
  <c r="AW167" i="1"/>
  <c r="X191" i="43" s="1"/>
  <c r="AW79" i="1"/>
  <c r="X103" i="43" s="1"/>
  <c r="AW236" i="1"/>
  <c r="X260" i="43" s="1"/>
  <c r="AW250" i="1"/>
  <c r="X274" i="43" s="1"/>
  <c r="AW307" i="1"/>
  <c r="X331" i="43" s="1"/>
  <c r="AW83" i="1"/>
  <c r="X107" i="43" s="1"/>
  <c r="AW51" i="1"/>
  <c r="X75" i="43" s="1"/>
  <c r="BL309" i="1"/>
  <c r="BA309"/>
  <c r="BX309" s="1"/>
  <c r="Z335" i="52" s="1"/>
  <c r="AB335" s="1"/>
  <c r="BR309" i="1"/>
  <c r="BS309"/>
  <c r="BN309"/>
  <c r="R57" i="43"/>
  <c r="AK307" i="1"/>
  <c r="S331" i="43" s="1"/>
  <c r="AK18" i="1"/>
  <c r="S34" i="43" s="1"/>
  <c r="AK208" i="1"/>
  <c r="S232" i="43" s="1"/>
  <c r="AC232" s="1"/>
  <c r="AK373" i="1"/>
  <c r="S408" i="43" s="1"/>
  <c r="AK391" i="1"/>
  <c r="S426" i="43" s="1"/>
  <c r="AK374" i="1"/>
  <c r="S409" i="43" s="1"/>
  <c r="AK355" i="1"/>
  <c r="S390" i="43" s="1"/>
  <c r="AL340" i="1"/>
  <c r="AL324"/>
  <c r="AK379"/>
  <c r="S414" i="43" s="1"/>
  <c r="AK361" i="1"/>
  <c r="S396" i="43" s="1"/>
  <c r="AK345" i="1"/>
  <c r="S380" i="43" s="1"/>
  <c r="AL329" i="1"/>
  <c r="AL59"/>
  <c r="AL68"/>
  <c r="AL76"/>
  <c r="AK87"/>
  <c r="S111" i="43" s="1"/>
  <c r="AK115" i="1"/>
  <c r="S139" i="43" s="1"/>
  <c r="AK125" i="1"/>
  <c r="S149" i="43" s="1"/>
  <c r="AL148" i="1"/>
  <c r="AL165"/>
  <c r="AL173"/>
  <c r="AL181"/>
  <c r="AL191"/>
  <c r="AL204"/>
  <c r="AL217"/>
  <c r="AL238"/>
  <c r="AK246"/>
  <c r="S270" i="43" s="1"/>
  <c r="AL258" i="1"/>
  <c r="AL274"/>
  <c r="AK286"/>
  <c r="S310" i="43" s="1"/>
  <c r="AK300" i="1"/>
  <c r="S324" i="43" s="1"/>
  <c r="AK334" i="1"/>
  <c r="S369" i="43" s="1"/>
  <c r="AK318" i="1"/>
  <c r="S353" i="43" s="1"/>
  <c r="AK390" i="1"/>
  <c r="S425" i="43" s="1"/>
  <c r="AK371" i="1"/>
  <c r="S406" i="43" s="1"/>
  <c r="AK354" i="1"/>
  <c r="S389" i="43" s="1"/>
  <c r="AK323" i="1"/>
  <c r="S358" i="43" s="1"/>
  <c r="AK67" i="1"/>
  <c r="S91" i="43" s="1"/>
  <c r="AL91" i="1"/>
  <c r="AL99"/>
  <c r="AL116"/>
  <c r="AL124"/>
  <c r="AK137"/>
  <c r="S161" i="43" s="1"/>
  <c r="AC161" s="1"/>
  <c r="AL144" i="1"/>
  <c r="AK155"/>
  <c r="S179" i="43" s="1"/>
  <c r="AL170" i="1"/>
  <c r="AK192"/>
  <c r="S216" i="43" s="1"/>
  <c r="AK213" i="1"/>
  <c r="S237" i="43" s="1"/>
  <c r="AL239" i="1"/>
  <c r="AK21"/>
  <c r="S37" i="43" s="1"/>
  <c r="AK39" i="1"/>
  <c r="S55" i="43" s="1"/>
  <c r="AK32" i="1"/>
  <c r="S48" i="43" s="1"/>
  <c r="AK40" i="1"/>
  <c r="S56" i="43" s="1"/>
  <c r="AC56" s="1"/>
  <c r="AK387" i="1"/>
  <c r="S422" i="43" s="1"/>
  <c r="AK368" i="1"/>
  <c r="S403" i="43" s="1"/>
  <c r="AK352" i="1"/>
  <c r="S387" i="43" s="1"/>
  <c r="AK52" i="1"/>
  <c r="S76" i="43" s="1"/>
  <c r="AK61" i="1"/>
  <c r="S85" i="43" s="1"/>
  <c r="AK70" i="1"/>
  <c r="S94" i="43" s="1"/>
  <c r="AK77" i="1"/>
  <c r="S101" i="43" s="1"/>
  <c r="AK89" i="1"/>
  <c r="S113" i="43" s="1"/>
  <c r="AK98" i="1"/>
  <c r="S122" i="43" s="1"/>
  <c r="AK109" i="1"/>
  <c r="S133" i="43" s="1"/>
  <c r="AK117" i="1"/>
  <c r="S141" i="43" s="1"/>
  <c r="AK130" i="1"/>
  <c r="S154" i="43" s="1"/>
  <c r="AK143" i="1"/>
  <c r="S167" i="43" s="1"/>
  <c r="AK150" i="1"/>
  <c r="S174" i="43" s="1"/>
  <c r="AK157" i="1"/>
  <c r="S181" i="43" s="1"/>
  <c r="AK166" i="1"/>
  <c r="S190" i="43" s="1"/>
  <c r="AK175" i="1"/>
  <c r="S199" i="43" s="1"/>
  <c r="AK193" i="1"/>
  <c r="S217" i="43" s="1"/>
  <c r="AK240" i="1"/>
  <c r="S264" i="43" s="1"/>
  <c r="AK249" i="1"/>
  <c r="S273" i="43" s="1"/>
  <c r="AK265" i="1"/>
  <c r="S289" i="43" s="1"/>
  <c r="AK278" i="1"/>
  <c r="S302" i="43" s="1"/>
  <c r="AK296" i="1"/>
  <c r="S320" i="43" s="1"/>
  <c r="AK330" i="1"/>
  <c r="S365" i="43" s="1"/>
  <c r="AK315" i="1"/>
  <c r="S350" i="43" s="1"/>
  <c r="AK386" i="1"/>
  <c r="S421" i="43" s="1"/>
  <c r="AK351" i="1"/>
  <c r="S386" i="43" s="1"/>
  <c r="AK335" i="1"/>
  <c r="S370" i="43" s="1"/>
  <c r="AK49" i="1"/>
  <c r="S73" i="43" s="1"/>
  <c r="AC73" s="1"/>
  <c r="AK69" i="1"/>
  <c r="S93" i="43" s="1"/>
  <c r="AK93" i="1"/>
  <c r="S117" i="43" s="1"/>
  <c r="AK127" i="1"/>
  <c r="S151" i="43" s="1"/>
  <c r="AK146" i="1"/>
  <c r="S170" i="43" s="1"/>
  <c r="AK190" i="1"/>
  <c r="S214" i="43" s="1"/>
  <c r="AK201" i="1"/>
  <c r="S225" i="43" s="1"/>
  <c r="AK212" i="1"/>
  <c r="S236" i="43" s="1"/>
  <c r="AK223" i="1"/>
  <c r="S247" i="43" s="1"/>
  <c r="AK276" i="1"/>
  <c r="S300" i="43" s="1"/>
  <c r="AK288" i="1"/>
  <c r="S312" i="43" s="1"/>
  <c r="AK305" i="1"/>
  <c r="S329" i="43" s="1"/>
  <c r="AC329" s="1"/>
  <c r="AK275" i="1"/>
  <c r="S299" i="43" s="1"/>
  <c r="AK24" i="1"/>
  <c r="S40" i="43" s="1"/>
  <c r="AC40" s="1"/>
  <c r="AK20" i="1"/>
  <c r="S36" i="43" s="1"/>
  <c r="AK28" i="1"/>
  <c r="S44" i="43" s="1"/>
  <c r="AC44" s="1"/>
  <c r="AK35" i="1"/>
  <c r="S51" i="43" s="1"/>
  <c r="AC51" s="1"/>
  <c r="AK151" i="1"/>
  <c r="S175" i="43" s="1"/>
  <c r="AK167" i="1"/>
  <c r="S191" i="43" s="1"/>
  <c r="AK182" i="1"/>
  <c r="S206" i="43" s="1"/>
  <c r="AK198" i="1"/>
  <c r="S222" i="43" s="1"/>
  <c r="AK221" i="1"/>
  <c r="S245" i="43" s="1"/>
  <c r="AK244" i="1"/>
  <c r="S268" i="43" s="1"/>
  <c r="AK285" i="1"/>
  <c r="S309" i="43" s="1"/>
  <c r="AK34" i="1"/>
  <c r="S50" i="43" s="1"/>
  <c r="AC50" s="1"/>
  <c r="AK29" i="1"/>
  <c r="S45" i="43" s="1"/>
  <c r="AC45" s="1"/>
  <c r="AK252" i="1"/>
  <c r="S276" i="43" s="1"/>
  <c r="CP255" i="1"/>
  <c r="AL256"/>
  <c r="AK308"/>
  <c r="S332" i="43" s="1"/>
  <c r="AC332" s="1"/>
  <c r="AK299" i="1"/>
  <c r="S323" i="43" s="1"/>
  <c r="AL260" i="1"/>
  <c r="AK37"/>
  <c r="S53" i="43" s="1"/>
  <c r="AC53" s="1"/>
  <c r="AK383" i="1"/>
  <c r="S418" i="43" s="1"/>
  <c r="AK364" i="1"/>
  <c r="S399" i="43" s="1"/>
  <c r="AK348" i="1"/>
  <c r="S383" i="43" s="1"/>
  <c r="AL317" i="1"/>
  <c r="AK388"/>
  <c r="S423" i="43" s="1"/>
  <c r="AK369" i="1"/>
  <c r="S404" i="43" s="1"/>
  <c r="AL337" i="1"/>
  <c r="AL321"/>
  <c r="AL54"/>
  <c r="AL63"/>
  <c r="AL72"/>
  <c r="AL79"/>
  <c r="AK92"/>
  <c r="S116" i="43" s="1"/>
  <c r="AL122" i="1"/>
  <c r="AL136"/>
  <c r="AL145"/>
  <c r="AL169"/>
  <c r="AL176"/>
  <c r="AL187"/>
  <c r="AL211"/>
  <c r="AL222"/>
  <c r="AL233"/>
  <c r="AL242"/>
  <c r="AL262"/>
  <c r="AK267"/>
  <c r="S291" i="43" s="1"/>
  <c r="AK281" i="1"/>
  <c r="S305" i="43" s="1"/>
  <c r="AK291" i="1"/>
  <c r="S315" i="43" s="1"/>
  <c r="AK306" i="1"/>
  <c r="S330" i="43" s="1"/>
  <c r="AL342" i="1"/>
  <c r="AK382"/>
  <c r="S417" i="43" s="1"/>
  <c r="AK363" i="1"/>
  <c r="S398" i="43" s="1"/>
  <c r="AL347" i="1"/>
  <c r="AK316"/>
  <c r="S351" i="43" s="1"/>
  <c r="AK53" i="1"/>
  <c r="S77" i="43" s="1"/>
  <c r="AK78" i="1"/>
  <c r="S102" i="43" s="1"/>
  <c r="AL86" i="1"/>
  <c r="AL95"/>
  <c r="AL103"/>
  <c r="AL111"/>
  <c r="AK121"/>
  <c r="S145" i="43" s="1"/>
  <c r="AL131" i="1"/>
  <c r="AL140"/>
  <c r="AK163"/>
  <c r="S187" i="43" s="1"/>
  <c r="AL177" i="1"/>
  <c r="AL205"/>
  <c r="AL228"/>
  <c r="AK264"/>
  <c r="S288" i="43" s="1"/>
  <c r="AK30" i="1"/>
  <c r="S46" i="43" s="1"/>
  <c r="AC46" s="1"/>
  <c r="AK27" i="1"/>
  <c r="S43" i="43" s="1"/>
  <c r="AC43" s="1"/>
  <c r="AK132" i="1"/>
  <c r="S156" i="43" s="1"/>
  <c r="AK237" i="1"/>
  <c r="S261" i="43" s="1"/>
  <c r="AK328" i="1"/>
  <c r="S363" i="43" s="1"/>
  <c r="AK313" i="1"/>
  <c r="S348" i="43" s="1"/>
  <c r="AK384" i="1"/>
  <c r="S419" i="43" s="1"/>
  <c r="AK365" i="1"/>
  <c r="S400" i="43" s="1"/>
  <c r="AK349" i="1"/>
  <c r="S384" i="43" s="1"/>
  <c r="AK333" i="1"/>
  <c r="S368" i="43" s="1"/>
  <c r="AK314" i="1"/>
  <c r="S349" i="43" s="1"/>
  <c r="AK65" i="1"/>
  <c r="S89" i="43" s="1"/>
  <c r="AK74" i="1"/>
  <c r="S98" i="43" s="1"/>
  <c r="AK85" i="1"/>
  <c r="S109" i="43" s="1"/>
  <c r="AK113" i="1"/>
  <c r="S137" i="43" s="1"/>
  <c r="AK123" i="1"/>
  <c r="S147" i="43" s="1"/>
  <c r="AK139" i="1"/>
  <c r="S163" i="43" s="1"/>
  <c r="AK152" i="1"/>
  <c r="S176" i="43" s="1"/>
  <c r="AK160" i="1"/>
  <c r="S184" i="43" s="1"/>
  <c r="AK171" i="1"/>
  <c r="S195" i="43" s="1"/>
  <c r="AK214" i="1"/>
  <c r="S238" i="43" s="1"/>
  <c r="AK268" i="1"/>
  <c r="S292" i="43" s="1"/>
  <c r="AK283" i="1"/>
  <c r="S307" i="43" s="1"/>
  <c r="AK301" i="1"/>
  <c r="S325" i="43" s="1"/>
  <c r="AK370" i="1"/>
  <c r="S405" i="43" s="1"/>
  <c r="AK353" i="1"/>
  <c r="S388" i="43" s="1"/>
  <c r="AK322" i="1"/>
  <c r="S357" i="43" s="1"/>
  <c r="AK394" i="1"/>
  <c r="S429" i="43" s="1"/>
  <c r="AK377" i="1"/>
  <c r="S412" i="43" s="1"/>
  <c r="AK359" i="1"/>
  <c r="S394" i="43" s="1"/>
  <c r="AK327" i="1"/>
  <c r="S362" i="43" s="1"/>
  <c r="AK55" i="1"/>
  <c r="S79" i="43" s="1"/>
  <c r="AK64" i="1"/>
  <c r="S88" i="43" s="1"/>
  <c r="AK73" i="1"/>
  <c r="S97" i="43" s="1"/>
  <c r="AK80" i="1"/>
  <c r="S104" i="43" s="1"/>
  <c r="AK153" i="1"/>
  <c r="S177" i="43" s="1"/>
  <c r="AK168" i="1"/>
  <c r="S192" i="43" s="1"/>
  <c r="AK185" i="1"/>
  <c r="S209" i="43" s="1"/>
  <c r="AK231" i="1"/>
  <c r="S255" i="43" s="1"/>
  <c r="AK241" i="1"/>
  <c r="S265" i="43" s="1"/>
  <c r="AK257" i="1"/>
  <c r="S281" i="43" s="1"/>
  <c r="AC281" s="1"/>
  <c r="AK266" i="1"/>
  <c r="S290" i="43" s="1"/>
  <c r="AK297" i="1"/>
  <c r="S321" i="43" s="1"/>
  <c r="AK19" i="1"/>
  <c r="S35" i="43" s="1"/>
  <c r="AC35" s="1"/>
  <c r="AK36" i="1"/>
  <c r="S52" i="43" s="1"/>
  <c r="AC52" s="1"/>
  <c r="AK31" i="1"/>
  <c r="S47" i="43" s="1"/>
  <c r="AC47" s="1"/>
  <c r="AK147" i="1"/>
  <c r="S171" i="43" s="1"/>
  <c r="AK159" i="1"/>
  <c r="S183" i="43" s="1"/>
  <c r="AC183" s="1"/>
  <c r="AK174" i="1"/>
  <c r="S198" i="43" s="1"/>
  <c r="AK188" i="1"/>
  <c r="S212" i="43" s="1"/>
  <c r="AK302" i="1"/>
  <c r="S326" i="43" s="1"/>
  <c r="AK26" i="1"/>
  <c r="S42" i="43" s="1"/>
  <c r="AK23" i="1"/>
  <c r="S39" i="43" s="1"/>
  <c r="AC39" s="1"/>
  <c r="AK33" i="1"/>
  <c r="S49" i="43" s="1"/>
  <c r="AC49" s="1"/>
  <c r="AM255" i="1"/>
  <c r="CI255" s="1"/>
  <c r="AL194"/>
  <c r="CP252"/>
  <c r="Q434" i="45"/>
  <c r="Q331"/>
  <c r="Y33" i="43"/>
  <c r="BA194" i="1"/>
  <c r="BX194" s="1"/>
  <c r="Z220" i="52" s="1"/>
  <c r="AB220" s="1"/>
  <c r="BL194" i="1"/>
  <c r="BS194"/>
  <c r="BR194"/>
  <c r="BM194"/>
  <c r="BN194"/>
  <c r="BA199"/>
  <c r="BX199" s="1"/>
  <c r="Z225" i="52" s="1"/>
  <c r="AB225" s="1"/>
  <c r="BL199" i="1"/>
  <c r="BS199"/>
  <c r="BR199"/>
  <c r="BM199"/>
  <c r="BN199"/>
  <c r="BF252"/>
  <c r="AU255"/>
  <c r="Y282" i="52" s="1"/>
  <c r="AK194" i="1"/>
  <c r="S218" i="43" s="1"/>
  <c r="AC218" s="1"/>
  <c r="AL252" i="1"/>
  <c r="AU252"/>
  <c r="Y279" i="52" s="1"/>
  <c r="AK256" i="1"/>
  <c r="S280" i="43" s="1"/>
  <c r="AC280" s="1"/>
  <c r="BM256" i="1"/>
  <c r="BN256"/>
  <c r="BA256"/>
  <c r="BX256" s="1"/>
  <c r="Z283" i="52" s="1"/>
  <c r="AB283" s="1"/>
  <c r="BS256" i="1"/>
  <c r="BL256"/>
  <c r="BR256"/>
  <c r="AL213"/>
  <c r="AL163"/>
  <c r="AL155"/>
  <c r="AL30"/>
  <c r="AL264"/>
  <c r="AL370"/>
  <c r="AL127"/>
  <c r="AL190"/>
  <c r="AL241"/>
  <c r="AL223"/>
  <c r="AL276"/>
  <c r="AL174"/>
  <c r="AL143"/>
  <c r="AL23"/>
  <c r="AL34"/>
  <c r="AL36"/>
  <c r="AL74"/>
  <c r="AL146"/>
  <c r="AL171"/>
  <c r="AL285"/>
  <c r="AL302"/>
  <c r="AL244"/>
  <c r="AL305"/>
  <c r="AL98"/>
  <c r="AL150"/>
  <c r="AL328"/>
  <c r="AL384"/>
  <c r="AL65"/>
  <c r="AL193"/>
  <c r="AL188"/>
  <c r="AL221"/>
  <c r="AL316"/>
  <c r="AL117"/>
  <c r="AL353"/>
  <c r="AL93"/>
  <c r="AL121"/>
  <c r="AL139"/>
  <c r="AL151"/>
  <c r="AL168"/>
  <c r="AL185"/>
  <c r="AL201"/>
  <c r="AL231"/>
  <c r="AL246"/>
  <c r="AL257"/>
  <c r="AL268"/>
  <c r="AL20"/>
  <c r="AL52"/>
  <c r="AL70"/>
  <c r="AL77"/>
  <c r="AL123"/>
  <c r="AL159"/>
  <c r="AL167"/>
  <c r="AL175"/>
  <c r="AL212"/>
  <c r="AL267"/>
  <c r="AL296"/>
  <c r="AL300"/>
  <c r="AL306"/>
  <c r="AL402"/>
  <c r="AL275"/>
  <c r="AL24"/>
  <c r="AL26"/>
  <c r="AL28"/>
  <c r="AL29"/>
  <c r="AL31"/>
  <c r="AL33"/>
  <c r="AL35"/>
  <c r="AL166"/>
  <c r="AL182"/>
  <c r="AL198"/>
  <c r="AL266"/>
  <c r="AL297"/>
  <c r="AL147"/>
  <c r="AL109"/>
  <c r="AL113"/>
  <c r="AL160"/>
  <c r="AL89"/>
  <c r="AL130"/>
  <c r="AL157"/>
  <c r="AL69"/>
  <c r="AL27"/>
  <c r="AL132"/>
  <c r="AL240"/>
  <c r="AL322"/>
  <c r="AL386"/>
  <c r="AL49"/>
  <c r="AL153"/>
  <c r="AK184"/>
  <c r="S208" i="43" s="1"/>
  <c r="AL184" i="1"/>
  <c r="AK206"/>
  <c r="S230" i="43" s="1"/>
  <c r="AL206" i="1"/>
  <c r="AK220"/>
  <c r="S244" i="43" s="1"/>
  <c r="AL220" i="1"/>
  <c r="AK230"/>
  <c r="S254" i="43" s="1"/>
  <c r="AL230" i="1"/>
  <c r="AK399"/>
  <c r="S434" i="43" s="1"/>
  <c r="AL399" i="1"/>
  <c r="AK380"/>
  <c r="S415" i="43" s="1"/>
  <c r="AL380" i="1"/>
  <c r="AK362"/>
  <c r="S397" i="43" s="1"/>
  <c r="AL362" i="1"/>
  <c r="AK346"/>
  <c r="S381" i="43" s="1"/>
  <c r="AL346" i="1"/>
  <c r="AK338"/>
  <c r="S373" i="43" s="1"/>
  <c r="AL338" i="1"/>
  <c r="AK367"/>
  <c r="S402" i="43" s="1"/>
  <c r="AL367" i="1"/>
  <c r="AK343"/>
  <c r="S378" i="43" s="1"/>
  <c r="AL343" i="1"/>
  <c r="AK319"/>
  <c r="S354" i="43" s="1"/>
  <c r="AL319" i="1"/>
  <c r="AK46"/>
  <c r="S70" i="43" s="1"/>
  <c r="AL46" i="1"/>
  <c r="AK60"/>
  <c r="S84" i="43" s="1"/>
  <c r="AL60" i="1"/>
  <c r="AK84"/>
  <c r="S108" i="43" s="1"/>
  <c r="AL84" i="1"/>
  <c r="AK101"/>
  <c r="S125" i="43" s="1"/>
  <c r="AL101" i="1"/>
  <c r="AK110"/>
  <c r="S134" i="43" s="1"/>
  <c r="AL110" i="1"/>
  <c r="AK138"/>
  <c r="S162" i="43" s="1"/>
  <c r="AC162" s="1"/>
  <c r="AL138" i="1"/>
  <c r="AK161"/>
  <c r="S185" i="43" s="1"/>
  <c r="AL161" i="1"/>
  <c r="AK172"/>
  <c r="S196" i="43" s="1"/>
  <c r="AL172" i="1"/>
  <c r="AK180"/>
  <c r="S204" i="43" s="1"/>
  <c r="AL180" i="1"/>
  <c r="AK196"/>
  <c r="S220" i="43" s="1"/>
  <c r="AL196" i="1"/>
  <c r="AK207"/>
  <c r="S231" i="43" s="1"/>
  <c r="AC231" s="1"/>
  <c r="AL207" i="1"/>
  <c r="AK248"/>
  <c r="S272" i="43" s="1"/>
  <c r="AC272" s="1"/>
  <c r="AL248" i="1"/>
  <c r="CS106"/>
  <c r="CS88"/>
  <c r="CS229"/>
  <c r="AL351"/>
  <c r="AL335"/>
  <c r="AL283"/>
  <c r="AL301"/>
  <c r="AK209"/>
  <c r="S233" i="43" s="1"/>
  <c r="AL209" i="1"/>
  <c r="AK234"/>
  <c r="S258" i="43" s="1"/>
  <c r="AC258" s="1"/>
  <c r="AL234" i="1"/>
  <c r="AK273"/>
  <c r="S297" i="43" s="1"/>
  <c r="AL273" i="1"/>
  <c r="CS102"/>
  <c r="AL345"/>
  <c r="AL87"/>
  <c r="AK103"/>
  <c r="S127" i="43" s="1"/>
  <c r="AL318" i="1"/>
  <c r="AL323"/>
  <c r="AL67"/>
  <c r="AL78"/>
  <c r="AL40"/>
  <c r="AL349"/>
  <c r="AL387"/>
  <c r="BR19"/>
  <c r="AL334"/>
  <c r="AL53"/>
  <c r="AL32"/>
  <c r="AL365"/>
  <c r="AL333"/>
  <c r="AL61"/>
  <c r="AL330"/>
  <c r="AL315"/>
  <c r="AL394"/>
  <c r="AL377"/>
  <c r="AL359"/>
  <c r="AL327"/>
  <c r="AL314"/>
  <c r="AL55"/>
  <c r="AL64"/>
  <c r="AL73"/>
  <c r="AL80"/>
  <c r="AL249"/>
  <c r="AL278"/>
  <c r="AL352"/>
  <c r="AL214"/>
  <c r="AL368"/>
  <c r="AL313"/>
  <c r="AL197"/>
  <c r="AK197"/>
  <c r="S221" i="43" s="1"/>
  <c r="AK282" i="1"/>
  <c r="S306" i="43" s="1"/>
  <c r="AL282" i="1"/>
  <c r="AL48"/>
  <c r="AK48"/>
  <c r="S72" i="43" s="1"/>
  <c r="AK96" i="1"/>
  <c r="S120" i="43" s="1"/>
  <c r="AL96" i="1"/>
  <c r="AK105"/>
  <c r="S129" i="43" s="1"/>
  <c r="AL105" i="1"/>
  <c r="AK154"/>
  <c r="S178" i="43" s="1"/>
  <c r="AL154" i="1"/>
  <c r="AL125"/>
  <c r="AK270"/>
  <c r="S294" i="43" s="1"/>
  <c r="AL270" i="1"/>
  <c r="AK376"/>
  <c r="S411" i="43" s="1"/>
  <c r="AL376" i="1"/>
  <c r="AK366"/>
  <c r="S401" i="43" s="1"/>
  <c r="AL366" i="1"/>
  <c r="AK357"/>
  <c r="S392" i="43" s="1"/>
  <c r="AL357" i="1"/>
  <c r="AK350"/>
  <c r="S385" i="43" s="1"/>
  <c r="AL350" i="1"/>
  <c r="AK326"/>
  <c r="S361" i="43" s="1"/>
  <c r="AL326" i="1"/>
  <c r="AK339"/>
  <c r="S374" i="43" s="1"/>
  <c r="AL339" i="1"/>
  <c r="AK332"/>
  <c r="S367" i="43" s="1"/>
  <c r="AL332" i="1"/>
  <c r="AK47"/>
  <c r="S71" i="43" s="1"/>
  <c r="AC71" s="1"/>
  <c r="AL47" i="1"/>
  <c r="AK62"/>
  <c r="S86" i="43" s="1"/>
  <c r="AL62" i="1"/>
  <c r="AK71"/>
  <c r="S95" i="43" s="1"/>
  <c r="AL71" i="1"/>
  <c r="AK75"/>
  <c r="S99" i="43" s="1"/>
  <c r="AL75" i="1"/>
  <c r="AK81"/>
  <c r="S105" i="43" s="1"/>
  <c r="AL81" i="1"/>
  <c r="AK250"/>
  <c r="S274" i="43" s="1"/>
  <c r="AL250" i="1"/>
  <c r="AK279"/>
  <c r="S303" i="43" s="1"/>
  <c r="AL279" i="1"/>
  <c r="AK290"/>
  <c r="S314" i="43" s="1"/>
  <c r="AL290" i="1"/>
  <c r="AK235"/>
  <c r="S259" i="43" s="1"/>
  <c r="AL235" i="1"/>
  <c r="AK304"/>
  <c r="S328" i="43" s="1"/>
  <c r="AC328" s="1"/>
  <c r="AL304" i="1"/>
  <c r="AK298"/>
  <c r="S322" i="43" s="1"/>
  <c r="AC322" s="1"/>
  <c r="AL298" i="1"/>
  <c r="AK195"/>
  <c r="S219" i="43" s="1"/>
  <c r="AL195" i="1"/>
  <c r="AK22"/>
  <c r="S38" i="43" s="1"/>
  <c r="AC38" s="1"/>
  <c r="AL22" i="1"/>
  <c r="AK164"/>
  <c r="S188" i="43" s="1"/>
  <c r="AL164" i="1"/>
  <c r="AK381"/>
  <c r="S416" i="43" s="1"/>
  <c r="AL381" i="1"/>
  <c r="AK284"/>
  <c r="S308" i="43" s="1"/>
  <c r="AL284" i="1"/>
  <c r="AK395"/>
  <c r="S430" i="43" s="1"/>
  <c r="AL395" i="1"/>
  <c r="AK378"/>
  <c r="S413" i="43" s="1"/>
  <c r="AL378" i="1"/>
  <c r="AK360"/>
  <c r="S395" i="43" s="1"/>
  <c r="AL360" i="1"/>
  <c r="AK344"/>
  <c r="S379" i="43" s="1"/>
  <c r="AL344" i="1"/>
  <c r="AK336"/>
  <c r="S371" i="43" s="1"/>
  <c r="AL336" i="1"/>
  <c r="AK320"/>
  <c r="S355" i="43" s="1"/>
  <c r="AL320" i="1"/>
  <c r="AK392"/>
  <c r="S427" i="43" s="1"/>
  <c r="AL392" i="1"/>
  <c r="AK375"/>
  <c r="S410" i="43" s="1"/>
  <c r="AL375" i="1"/>
  <c r="AK356"/>
  <c r="S391" i="43" s="1"/>
  <c r="AL356" i="1"/>
  <c r="AK341"/>
  <c r="S376" i="43" s="1"/>
  <c r="AL341" i="1"/>
  <c r="AK325"/>
  <c r="S360" i="43" s="1"/>
  <c r="AL325" i="1"/>
  <c r="AK56"/>
  <c r="S80" i="43" s="1"/>
  <c r="AL56" i="1"/>
  <c r="AK179"/>
  <c r="S203" i="43" s="1"/>
  <c r="AL179" i="1"/>
  <c r="AK189"/>
  <c r="S213" i="43" s="1"/>
  <c r="AL189" i="1"/>
  <c r="AK200"/>
  <c r="S224" i="43" s="1"/>
  <c r="AL200" i="1"/>
  <c r="AK227"/>
  <c r="S251" i="43" s="1"/>
  <c r="AL227" i="1"/>
  <c r="AK236"/>
  <c r="S260" i="43" s="1"/>
  <c r="AL236" i="1"/>
  <c r="AK245"/>
  <c r="S269" i="43" s="1"/>
  <c r="AL245" i="1"/>
  <c r="AK253"/>
  <c r="S277" i="43" s="1"/>
  <c r="AL253" i="1"/>
  <c r="AK261"/>
  <c r="S285" i="43" s="1"/>
  <c r="AL261" i="1"/>
  <c r="AK97"/>
  <c r="S121" i="43" s="1"/>
  <c r="AL97" i="1"/>
  <c r="AK104"/>
  <c r="S128" i="43" s="1"/>
  <c r="AL104" i="1"/>
  <c r="AK114"/>
  <c r="S138" i="43" s="1"/>
  <c r="AL114" i="1"/>
  <c r="AK133"/>
  <c r="S157" i="43" s="1"/>
  <c r="AL133" i="1"/>
  <c r="AK142"/>
  <c r="S166" i="43" s="1"/>
  <c r="AL142" i="1"/>
  <c r="AK149"/>
  <c r="S173" i="43" s="1"/>
  <c r="AL149" i="1"/>
  <c r="AL288"/>
  <c r="AL19"/>
  <c r="AL403"/>
  <c r="AK242"/>
  <c r="S266" i="43" s="1"/>
  <c r="AK144" i="1"/>
  <c r="S168" i="43" s="1"/>
  <c r="AC168" s="1"/>
  <c r="AK321" i="1"/>
  <c r="S356" i="43" s="1"/>
  <c r="AK342" i="1"/>
  <c r="S377" i="43" s="1"/>
  <c r="AL115" i="1"/>
  <c r="AK68"/>
  <c r="S92" i="43" s="1"/>
  <c r="AK145" i="1"/>
  <c r="S169" i="43" s="1"/>
  <c r="AK176" i="1"/>
  <c r="S200" i="43" s="1"/>
  <c r="AK222" i="1"/>
  <c r="S246" i="43" s="1"/>
  <c r="AK262" i="1"/>
  <c r="S286" i="43" s="1"/>
  <c r="AK86" i="1"/>
  <c r="S110" i="43" s="1"/>
  <c r="AK124" i="1"/>
  <c r="S148" i="43" s="1"/>
  <c r="AK170" i="1"/>
  <c r="S194" i="43" s="1"/>
  <c r="AL85" i="1"/>
  <c r="AL152"/>
  <c r="AL265"/>
  <c r="AL237"/>
  <c r="AL137"/>
  <c r="AL192"/>
  <c r="AK317"/>
  <c r="S352" i="43" s="1"/>
  <c r="AK337" i="1"/>
  <c r="S372" i="43" s="1"/>
  <c r="AK59" i="1"/>
  <c r="S83" i="43" s="1"/>
  <c r="AK76" i="1"/>
  <c r="S100" i="43" s="1"/>
  <c r="AK136" i="1"/>
  <c r="S160" i="43" s="1"/>
  <c r="AK169" i="1"/>
  <c r="S193" i="43" s="1"/>
  <c r="AK187" i="1"/>
  <c r="S211" i="43" s="1"/>
  <c r="AK211" i="1"/>
  <c r="S235" i="43" s="1"/>
  <c r="AK233" i="1"/>
  <c r="S257" i="43" s="1"/>
  <c r="AK347" i="1"/>
  <c r="S382" i="43" s="1"/>
  <c r="AK95" i="1"/>
  <c r="S119" i="43" s="1"/>
  <c r="AK111" i="1"/>
  <c r="S135" i="43" s="1"/>
  <c r="AK239" i="1"/>
  <c r="S263" i="43" s="1"/>
  <c r="AL373" i="1"/>
  <c r="AL37"/>
  <c r="AL307"/>
  <c r="AL396"/>
  <c r="AL388"/>
  <c r="AL379"/>
  <c r="AL369"/>
  <c r="AL361"/>
  <c r="AL92"/>
  <c r="AL208"/>
  <c r="AK260"/>
  <c r="S284" i="43" s="1"/>
  <c r="AK340" i="1"/>
  <c r="S375" i="43" s="1"/>
  <c r="AK324" i="1"/>
  <c r="S359" i="43" s="1"/>
  <c r="AK329" i="1"/>
  <c r="S364" i="43" s="1"/>
  <c r="AK54" i="1"/>
  <c r="S78" i="43" s="1"/>
  <c r="AK63" i="1"/>
  <c r="S87" i="43" s="1"/>
  <c r="AK72" i="1"/>
  <c r="S96" i="43" s="1"/>
  <c r="AK79" i="1"/>
  <c r="S103" i="43" s="1"/>
  <c r="AK122" i="1"/>
  <c r="S146" i="43" s="1"/>
  <c r="AK148" i="1"/>
  <c r="S172" i="43" s="1"/>
  <c r="AK165" i="1"/>
  <c r="S189" i="43" s="1"/>
  <c r="AK173" i="1"/>
  <c r="S197" i="43" s="1"/>
  <c r="AK181" i="1"/>
  <c r="S205" i="43" s="1"/>
  <c r="AK191" i="1"/>
  <c r="S215" i="43" s="1"/>
  <c r="AK204" i="1"/>
  <c r="S228" i="43" s="1"/>
  <c r="AK217" i="1"/>
  <c r="S241" i="43" s="1"/>
  <c r="AK238" i="1"/>
  <c r="S262" i="43" s="1"/>
  <c r="AK258" i="1"/>
  <c r="S282" i="43" s="1"/>
  <c r="AK274" i="1"/>
  <c r="S298" i="43" s="1"/>
  <c r="AK91" i="1"/>
  <c r="S115" i="43" s="1"/>
  <c r="AK99" i="1"/>
  <c r="S123" i="43" s="1"/>
  <c r="AC123" s="1"/>
  <c r="AK116" i="1"/>
  <c r="S140" i="43" s="1"/>
  <c r="AK131" i="1"/>
  <c r="S155" i="43" s="1"/>
  <c r="AK140" i="1"/>
  <c r="S164" i="43" s="1"/>
  <c r="AK177" i="1"/>
  <c r="S201" i="43" s="1"/>
  <c r="AK205" i="1"/>
  <c r="S229" i="43" s="1"/>
  <c r="AK228" i="1"/>
  <c r="S252" i="43" s="1"/>
  <c r="AJ41" i="1"/>
  <c r="AL21"/>
  <c r="AL39"/>
  <c r="AL299"/>
  <c r="AL18"/>
  <c r="AI404"/>
  <c r="AH407"/>
  <c r="AI41"/>
  <c r="AL400"/>
  <c r="AL390"/>
  <c r="AL382"/>
  <c r="AL371"/>
  <c r="AL363"/>
  <c r="AL354"/>
  <c r="AL281"/>
  <c r="AL286"/>
  <c r="AL291"/>
  <c r="AL401"/>
  <c r="AL391"/>
  <c r="AL383"/>
  <c r="AL374"/>
  <c r="AL364"/>
  <c r="AL355"/>
  <c r="AL348"/>
  <c r="AI310"/>
  <c r="BL270"/>
  <c r="BA270"/>
  <c r="BX270" s="1"/>
  <c r="Z297" i="52" s="1"/>
  <c r="AB297" s="1"/>
  <c r="BS270" i="1"/>
  <c r="BR270"/>
  <c r="BN270"/>
  <c r="CP161"/>
  <c r="BS26"/>
  <c r="BA26"/>
  <c r="BX26" s="1"/>
  <c r="Z43" i="52" s="1"/>
  <c r="AB43" s="1"/>
  <c r="BL32" i="1"/>
  <c r="BA32"/>
  <c r="BX32" s="1"/>
  <c r="Z49" i="52" s="1"/>
  <c r="AB49" s="1"/>
  <c r="BA18" i="1"/>
  <c r="BX18" s="1"/>
  <c r="Z34" i="52" s="1"/>
  <c r="AB34" s="1"/>
  <c r="BN32" i="1"/>
  <c r="BS32"/>
  <c r="BN18"/>
  <c r="BL18"/>
  <c r="BM352"/>
  <c r="BS328"/>
  <c r="BM320"/>
  <c r="BL392"/>
  <c r="BL384"/>
  <c r="BS375"/>
  <c r="BS365"/>
  <c r="BM314"/>
  <c r="BS399"/>
  <c r="BS326"/>
  <c r="BS318"/>
  <c r="BM400"/>
  <c r="BS382"/>
  <c r="BS323"/>
  <c r="BS346"/>
  <c r="BM342"/>
  <c r="BM390"/>
  <c r="BS386"/>
  <c r="BM371"/>
  <c r="BM347"/>
  <c r="BM221"/>
  <c r="BR231"/>
  <c r="BS195"/>
  <c r="BM298"/>
  <c r="BN299"/>
  <c r="BM22"/>
  <c r="BS24"/>
  <c r="BN26"/>
  <c r="BS34"/>
  <c r="BL308"/>
  <c r="AX10"/>
  <c r="BS388"/>
  <c r="BM374"/>
  <c r="BS364"/>
  <c r="BM340"/>
  <c r="BM396"/>
  <c r="BM369"/>
  <c r="BS330"/>
  <c r="BM377"/>
  <c r="BM354"/>
  <c r="BM380"/>
  <c r="BL363"/>
  <c r="BS351"/>
  <c r="BS335"/>
  <c r="BS201"/>
  <c r="BR248"/>
  <c r="BR257"/>
  <c r="BR234"/>
  <c r="BS305"/>
  <c r="BM381"/>
  <c r="BN37"/>
  <c r="BN208"/>
  <c r="BN19"/>
  <c r="BS36"/>
  <c r="BS21"/>
  <c r="BN30"/>
  <c r="BR32"/>
  <c r="BM18"/>
  <c r="BM32"/>
  <c r="BR18"/>
  <c r="BS18"/>
  <c r="BL30"/>
  <c r="BN21"/>
  <c r="BM36"/>
  <c r="BR308"/>
  <c r="BS308"/>
  <c r="BM308"/>
  <c r="BN308"/>
  <c r="BN34"/>
  <c r="BS19"/>
  <c r="BM21"/>
  <c r="BR26"/>
  <c r="BR22"/>
  <c r="BL19"/>
  <c r="BR30"/>
  <c r="BS30"/>
  <c r="BN36"/>
  <c r="BM24"/>
  <c r="BN24"/>
  <c r="BM34"/>
  <c r="BL26"/>
  <c r="BM19"/>
  <c r="BR24"/>
  <c r="BL24"/>
  <c r="BM30"/>
  <c r="BR34"/>
  <c r="BL34"/>
  <c r="BR21"/>
  <c r="BL21"/>
  <c r="BM26"/>
  <c r="BR36"/>
  <c r="BL36"/>
  <c r="BN22"/>
  <c r="BL22"/>
  <c r="BS22"/>
  <c r="BL40"/>
  <c r="BS299"/>
  <c r="BR40"/>
  <c r="BN298"/>
  <c r="BN40"/>
  <c r="BR398"/>
  <c r="BN398"/>
  <c r="BL298"/>
  <c r="BS40"/>
  <c r="BM40"/>
  <c r="BM398"/>
  <c r="BR298"/>
  <c r="BM299"/>
  <c r="BM208"/>
  <c r="BL398"/>
  <c r="BS398"/>
  <c r="BS298"/>
  <c r="BL299"/>
  <c r="BR299"/>
  <c r="BS208"/>
  <c r="BR208"/>
  <c r="BL208"/>
  <c r="BS304"/>
  <c r="BL304"/>
  <c r="BR304"/>
  <c r="BM304"/>
  <c r="BN304"/>
  <c r="BM195"/>
  <c r="BL195"/>
  <c r="BN195"/>
  <c r="BR195"/>
  <c r="BN257"/>
  <c r="BR37"/>
  <c r="BM386"/>
  <c r="BR343"/>
  <c r="BL342"/>
  <c r="BF79"/>
  <c r="BN338"/>
  <c r="BS316"/>
  <c r="BS400"/>
  <c r="BL373"/>
  <c r="BN318"/>
  <c r="BR403"/>
  <c r="BR346"/>
  <c r="BL315"/>
  <c r="BS390"/>
  <c r="BL234"/>
  <c r="BS37"/>
  <c r="BR164"/>
  <c r="BL164"/>
  <c r="BN164"/>
  <c r="BM164"/>
  <c r="BS164"/>
  <c r="BM382"/>
  <c r="BL366"/>
  <c r="BN353"/>
  <c r="BM346"/>
  <c r="BR390"/>
  <c r="BR386"/>
  <c r="BN371"/>
  <c r="BS221"/>
  <c r="BN231"/>
  <c r="BR373"/>
  <c r="BM37"/>
  <c r="BS334"/>
  <c r="BR382"/>
  <c r="BM335"/>
  <c r="BS366"/>
  <c r="BR353"/>
  <c r="BS353"/>
  <c r="BN346"/>
  <c r="BS342"/>
  <c r="BS315"/>
  <c r="BN390"/>
  <c r="BN386"/>
  <c r="BR371"/>
  <c r="BS371"/>
  <c r="BR323"/>
  <c r="BM373"/>
  <c r="BS373"/>
  <c r="BN373"/>
  <c r="BL37"/>
  <c r="BL221"/>
  <c r="BR221"/>
  <c r="BM231"/>
  <c r="BN248"/>
  <c r="BM257"/>
  <c r="BN381"/>
  <c r="BS340"/>
  <c r="BL345"/>
  <c r="BR49"/>
  <c r="BR381"/>
  <c r="BL138"/>
  <c r="BM330"/>
  <c r="BS347"/>
  <c r="BL49"/>
  <c r="BS159"/>
  <c r="BN201"/>
  <c r="BS381"/>
  <c r="BL381"/>
  <c r="BL334"/>
  <c r="BL326"/>
  <c r="BM326"/>
  <c r="BR318"/>
  <c r="BM318"/>
  <c r="BL400"/>
  <c r="BN382"/>
  <c r="BL335"/>
  <c r="BR340"/>
  <c r="BL396"/>
  <c r="BL314"/>
  <c r="BN366"/>
  <c r="BR366"/>
  <c r="BM366"/>
  <c r="BL353"/>
  <c r="BM353"/>
  <c r="BL346"/>
  <c r="BN342"/>
  <c r="BR342"/>
  <c r="BN315"/>
  <c r="BR315"/>
  <c r="BM315"/>
  <c r="BL390"/>
  <c r="BL386"/>
  <c r="BL371"/>
  <c r="BR138"/>
  <c r="BN221"/>
  <c r="BL231"/>
  <c r="BS231"/>
  <c r="BL257"/>
  <c r="BS257"/>
  <c r="BS322"/>
  <c r="BN377"/>
  <c r="BR347"/>
  <c r="BS49"/>
  <c r="BR359"/>
  <c r="BM153"/>
  <c r="BL159"/>
  <c r="BR159"/>
  <c r="BR201"/>
  <c r="BL205"/>
  <c r="BM338"/>
  <c r="BL330"/>
  <c r="BR322"/>
  <c r="BN347"/>
  <c r="BL327"/>
  <c r="BN49"/>
  <c r="BM49"/>
  <c r="BN159"/>
  <c r="BM159"/>
  <c r="BM201"/>
  <c r="BL201"/>
  <c r="BR338"/>
  <c r="BN322"/>
  <c r="BR377"/>
  <c r="BS377"/>
  <c r="BL351"/>
  <c r="BM351"/>
  <c r="BM403"/>
  <c r="BL403"/>
  <c r="BN399"/>
  <c r="BN354"/>
  <c r="BS343"/>
  <c r="BM327"/>
  <c r="BS138"/>
  <c r="BN207"/>
  <c r="BL338"/>
  <c r="BS338"/>
  <c r="BN330"/>
  <c r="BR330"/>
  <c r="BL322"/>
  <c r="BM322"/>
  <c r="BL377"/>
  <c r="BN351"/>
  <c r="BR351"/>
  <c r="BN335"/>
  <c r="BR335"/>
  <c r="BS403"/>
  <c r="BN403"/>
  <c r="BR354"/>
  <c r="BN343"/>
  <c r="BL316"/>
  <c r="BN138"/>
  <c r="BM138"/>
  <c r="BM248"/>
  <c r="BL248"/>
  <c r="BS248"/>
  <c r="BL374"/>
  <c r="AE41"/>
  <c r="BR144"/>
  <c r="BL144"/>
  <c r="BS374"/>
  <c r="BL364"/>
  <c r="BM364"/>
  <c r="BN340"/>
  <c r="BS396"/>
  <c r="BL369"/>
  <c r="BS369"/>
  <c r="BR242"/>
  <c r="BM146"/>
  <c r="BR399"/>
  <c r="BM399"/>
  <c r="BM345"/>
  <c r="BR345"/>
  <c r="BN345"/>
  <c r="BS314"/>
  <c r="BR314"/>
  <c r="BN314"/>
  <c r="BM144"/>
  <c r="BN144"/>
  <c r="BS242"/>
  <c r="BL242"/>
  <c r="BM242"/>
  <c r="BR146"/>
  <c r="BS146"/>
  <c r="BL146"/>
  <c r="BR207"/>
  <c r="BS207"/>
  <c r="BL207"/>
  <c r="BR153"/>
  <c r="BS153"/>
  <c r="BL153"/>
  <c r="BN205"/>
  <c r="BR205"/>
  <c r="BM234"/>
  <c r="BN234"/>
  <c r="BM305"/>
  <c r="BN305"/>
  <c r="BN374"/>
  <c r="BR374"/>
  <c r="BN364"/>
  <c r="BR364"/>
  <c r="BL340"/>
  <c r="BN396"/>
  <c r="BR396"/>
  <c r="BN369"/>
  <c r="BR369"/>
  <c r="BS345"/>
  <c r="BL305"/>
  <c r="BR305"/>
  <c r="BN242"/>
  <c r="BS144"/>
  <c r="BN146"/>
  <c r="BN153"/>
  <c r="BM205"/>
  <c r="BS205"/>
  <c r="BM207"/>
  <c r="BS234"/>
  <c r="BS359"/>
  <c r="BN359"/>
  <c r="BS354"/>
  <c r="BL354"/>
  <c r="BM343"/>
  <c r="BL343"/>
  <c r="BS327"/>
  <c r="BR327"/>
  <c r="BN327"/>
  <c r="BN319"/>
  <c r="BM316"/>
  <c r="BR316"/>
  <c r="BN316"/>
  <c r="BL370"/>
  <c r="BN124"/>
  <c r="BM124"/>
  <c r="BS124"/>
  <c r="BL124"/>
  <c r="BR124"/>
  <c r="BM46"/>
  <c r="BN46"/>
  <c r="BR46"/>
  <c r="BS46"/>
  <c r="BL46"/>
  <c r="BR55"/>
  <c r="BN55"/>
  <c r="BM142"/>
  <c r="BN142"/>
  <c r="BR142"/>
  <c r="BS142"/>
  <c r="BL142"/>
  <c r="BM384"/>
  <c r="CR17"/>
  <c r="AU190"/>
  <c r="Y216" i="52" s="1"/>
  <c r="AU161" i="1"/>
  <c r="Y187" i="52" s="1"/>
  <c r="BM47" i="1"/>
  <c r="BN47"/>
  <c r="BR47"/>
  <c r="BS47"/>
  <c r="BL47"/>
  <c r="BL99"/>
  <c r="BM99"/>
  <c r="BR99"/>
  <c r="BS99"/>
  <c r="BN99"/>
  <c r="BS137"/>
  <c r="BL137"/>
  <c r="BR137"/>
  <c r="BN137"/>
  <c r="BM137"/>
  <c r="BL399"/>
  <c r="BL352"/>
  <c r="BS320"/>
  <c r="BN376"/>
  <c r="BM350"/>
  <c r="BN350"/>
  <c r="BR367"/>
  <c r="BM367"/>
  <c r="BR320"/>
  <c r="BR375"/>
  <c r="BL380"/>
  <c r="AU48"/>
  <c r="Y73" i="52" s="1"/>
  <c r="AU56" i="1"/>
  <c r="Y81" i="52" s="1"/>
  <c r="AU72" i="1"/>
  <c r="Y97" i="52" s="1"/>
  <c r="AU74" i="1"/>
  <c r="Y99" i="52" s="1"/>
  <c r="AU76" i="1"/>
  <c r="Y101" i="52" s="1"/>
  <c r="AU96" i="1"/>
  <c r="Y121" i="52" s="1"/>
  <c r="AU98" i="1"/>
  <c r="Y123" i="52" s="1"/>
  <c r="AU105" i="1"/>
  <c r="Y130" i="52" s="1"/>
  <c r="AU109" i="1"/>
  <c r="Y134" i="52" s="1"/>
  <c r="AU123" i="1"/>
  <c r="Y148" i="52" s="1"/>
  <c r="AU143" i="1"/>
  <c r="Y168" i="52" s="1"/>
  <c r="AU145" i="1"/>
  <c r="Y170" i="52" s="1"/>
  <c r="AU152" i="1"/>
  <c r="Y178" i="52" s="1"/>
  <c r="AU154" i="1"/>
  <c r="Y180" i="52" s="1"/>
  <c r="AU258" i="1"/>
  <c r="Y285" i="52" s="1"/>
  <c r="AU268" i="1"/>
  <c r="Y295" i="52" s="1"/>
  <c r="AU281" i="1"/>
  <c r="Y308" i="52" s="1"/>
  <c r="AU283" i="1"/>
  <c r="Y310" i="52" s="1"/>
  <c r="AU286" i="1"/>
  <c r="Y313" i="52" s="1"/>
  <c r="AU81" i="1"/>
  <c r="Y106" i="52" s="1"/>
  <c r="AU84" i="1"/>
  <c r="Y109" i="52" s="1"/>
  <c r="AU127" i="1"/>
  <c r="Y152" i="52" s="1"/>
  <c r="AU131" i="1"/>
  <c r="Y156" i="52" s="1"/>
  <c r="AU133" i="1"/>
  <c r="Y158" i="52" s="1"/>
  <c r="AU140" i="1"/>
  <c r="Y165" i="52" s="1"/>
  <c r="AU147" i="1"/>
  <c r="Y172" i="52" s="1"/>
  <c r="AU149" i="1"/>
  <c r="Y174" i="52" s="1"/>
  <c r="Y176"/>
  <c r="AU170" i="1"/>
  <c r="Y196" i="52" s="1"/>
  <c r="AU172" i="1"/>
  <c r="Y198" i="52" s="1"/>
  <c r="AU177" i="1"/>
  <c r="Y203" i="52" s="1"/>
  <c r="AU180" i="1"/>
  <c r="Y206" i="52" s="1"/>
  <c r="AU185" i="1"/>
  <c r="Y211" i="52" s="1"/>
  <c r="AU188" i="1"/>
  <c r="Y214" i="52" s="1"/>
  <c r="AU209" i="1"/>
  <c r="Y235" i="52" s="1"/>
  <c r="AU213" i="1"/>
  <c r="Y239" i="52" s="1"/>
  <c r="AU228" i="1"/>
  <c r="Y254" i="52" s="1"/>
  <c r="AU239" i="1"/>
  <c r="Y266" i="52" s="1"/>
  <c r="AU241" i="1"/>
  <c r="Y268" i="52" s="1"/>
  <c r="AU266" i="1"/>
  <c r="Y293" i="52" s="1"/>
  <c r="AU297" i="1"/>
  <c r="Y324" i="52" s="1"/>
  <c r="AU132" i="1"/>
  <c r="Y157" i="52" s="1"/>
  <c r="AU148" i="1"/>
  <c r="Y173" i="52" s="1"/>
  <c r="AU175" i="1"/>
  <c r="Y201" i="52" s="1"/>
  <c r="AU211" i="1"/>
  <c r="Y237" i="52" s="1"/>
  <c r="AU238" i="1"/>
  <c r="Y265" i="52" s="1"/>
  <c r="AU240" i="1"/>
  <c r="Y267" i="52" s="1"/>
  <c r="AU261" i="1"/>
  <c r="Y288" i="52" s="1"/>
  <c r="AU265" i="1"/>
  <c r="Y292" i="52" s="1"/>
  <c r="AU289" i="1"/>
  <c r="Y316" i="52" s="1"/>
  <c r="AU296" i="1"/>
  <c r="Y323" i="52" s="1"/>
  <c r="AU301" i="1"/>
  <c r="Y328" i="52" s="1"/>
  <c r="AU193" i="1"/>
  <c r="Y219" i="52" s="1"/>
  <c r="AU200" i="1"/>
  <c r="Y226" i="52" s="1"/>
  <c r="AU249" i="1"/>
  <c r="Y276" i="52" s="1"/>
  <c r="AU262" i="1"/>
  <c r="Y289" i="52" s="1"/>
  <c r="AU267" i="1"/>
  <c r="Y294" i="52" s="1"/>
  <c r="AU291" i="1"/>
  <c r="Y318" i="52" s="1"/>
  <c r="AU300" i="1"/>
  <c r="Y327" i="52" s="1"/>
  <c r="AU73" i="1"/>
  <c r="Y98" i="52" s="1"/>
  <c r="AU80" i="1"/>
  <c r="Y105" i="52" s="1"/>
  <c r="AU91" i="1"/>
  <c r="Y116" i="52" s="1"/>
  <c r="AU101" i="1"/>
  <c r="Y126" i="52" s="1"/>
  <c r="AU103" i="1"/>
  <c r="Y128" i="52" s="1"/>
  <c r="AU104" i="1"/>
  <c r="Y129" i="52" s="1"/>
  <c r="AU110" i="1"/>
  <c r="Y135" i="52" s="1"/>
  <c r="AU111" i="1"/>
  <c r="Y136" i="52" s="1"/>
  <c r="AU114" i="1"/>
  <c r="Y139" i="52" s="1"/>
  <c r="AU116" i="1"/>
  <c r="Y141" i="52" s="1"/>
  <c r="AU121" i="1"/>
  <c r="Y146" i="52" s="1"/>
  <c r="AU285" i="1"/>
  <c r="Y312" i="52" s="1"/>
  <c r="AU130" i="1"/>
  <c r="Y155" i="52" s="1"/>
  <c r="AU136" i="1"/>
  <c r="Y161" i="52" s="1"/>
  <c r="AU150" i="1"/>
  <c r="Y175" i="52" s="1"/>
  <c r="AU204" i="1"/>
  <c r="Y230" i="52" s="1"/>
  <c r="AU217" i="1"/>
  <c r="Y243" i="52" s="1"/>
  <c r="AU75" i="1"/>
  <c r="Y100" i="52" s="1"/>
  <c r="AU222" i="1"/>
  <c r="Y248" i="52" s="1"/>
  <c r="Y255"/>
  <c r="AU230" i="1"/>
  <c r="Y257" i="52" s="1"/>
  <c r="AU233" i="1"/>
  <c r="Y260" i="52" s="1"/>
  <c r="AU53" i="1"/>
  <c r="Y78" i="52" s="1"/>
  <c r="AU60" i="1"/>
  <c r="Y85" i="52" s="1"/>
  <c r="AU62" i="1"/>
  <c r="Y87" i="52" s="1"/>
  <c r="AU64" i="1"/>
  <c r="Y89" i="52" s="1"/>
  <c r="AU67" i="1"/>
  <c r="Y92" i="52" s="1"/>
  <c r="AU69" i="1"/>
  <c r="Y94" i="52" s="1"/>
  <c r="AU273" i="1"/>
  <c r="Y300" i="52" s="1"/>
  <c r="AU87" i="1"/>
  <c r="Y112" i="52" s="1"/>
  <c r="AU89" i="1"/>
  <c r="Y114" i="52" s="1"/>
  <c r="AU59" i="1"/>
  <c r="Y84" i="52" s="1"/>
  <c r="AU63" i="1"/>
  <c r="Y88" i="52" s="1"/>
  <c r="AU68" i="1"/>
  <c r="Y93" i="52" s="1"/>
  <c r="AU113" i="1"/>
  <c r="Y138" i="52" s="1"/>
  <c r="AU117" i="1"/>
  <c r="Y142" i="52" s="1"/>
  <c r="AU122" i="1"/>
  <c r="Y147" i="52" s="1"/>
  <c r="AU166" i="1"/>
  <c r="Y192" i="52" s="1"/>
  <c r="AU169" i="1"/>
  <c r="Y195" i="52" s="1"/>
  <c r="AU61" i="1"/>
  <c r="Y86" i="52" s="1"/>
  <c r="AU65" i="1"/>
  <c r="Y90" i="52" s="1"/>
  <c r="AU70" i="1"/>
  <c r="Y95" i="52" s="1"/>
  <c r="AU85" i="1"/>
  <c r="Y110" i="52" s="1"/>
  <c r="AU115" i="1"/>
  <c r="Y140" i="52" s="1"/>
  <c r="AU160" i="1"/>
  <c r="Y186" i="52" s="1"/>
  <c r="AU171" i="1"/>
  <c r="Y197" i="52" s="1"/>
  <c r="AU184" i="1"/>
  <c r="Y210" i="52" s="1"/>
  <c r="AU189" i="1"/>
  <c r="Y215" i="52" s="1"/>
  <c r="AU227" i="1"/>
  <c r="Y253" i="52" s="1"/>
  <c r="BS352" i="1"/>
  <c r="BL328"/>
  <c r="BM328"/>
  <c r="BN320"/>
  <c r="BM375"/>
  <c r="BL375"/>
  <c r="BM376"/>
  <c r="BL376"/>
  <c r="BM370"/>
  <c r="BR370"/>
  <c r="BN370"/>
  <c r="BS350"/>
  <c r="BL350"/>
  <c r="BS367"/>
  <c r="BL367"/>
  <c r="BM363"/>
  <c r="BR363"/>
  <c r="BN363"/>
  <c r="BM392"/>
  <c r="BR392"/>
  <c r="BS384"/>
  <c r="BR384"/>
  <c r="BN384"/>
  <c r="BM365"/>
  <c r="BR365"/>
  <c r="BN365"/>
  <c r="BM323"/>
  <c r="BL323"/>
  <c r="BS380"/>
  <c r="BR380"/>
  <c r="BN380"/>
  <c r="BN334"/>
  <c r="BR334"/>
  <c r="BM334"/>
  <c r="BN326"/>
  <c r="BR326"/>
  <c r="BL318"/>
  <c r="BN400"/>
  <c r="BR400"/>
  <c r="BL382"/>
  <c r="BL347"/>
  <c r="BN352"/>
  <c r="BR352"/>
  <c r="BN328"/>
  <c r="BR328"/>
  <c r="BL320"/>
  <c r="BN392"/>
  <c r="BS392"/>
  <c r="BN375"/>
  <c r="BL365"/>
  <c r="BR376"/>
  <c r="BS376"/>
  <c r="BS370"/>
  <c r="BR350"/>
  <c r="BN367"/>
  <c r="BS363"/>
  <c r="BN323"/>
  <c r="BR388"/>
  <c r="BL388"/>
  <c r="BM388"/>
  <c r="BN388"/>
  <c r="BM359"/>
  <c r="BL359"/>
  <c r="BS355"/>
  <c r="BL355"/>
  <c r="BN355"/>
  <c r="BM355"/>
  <c r="BR355"/>
  <c r="BS344"/>
  <c r="BM344"/>
  <c r="BR344"/>
  <c r="BL344"/>
  <c r="BN344"/>
  <c r="BS337"/>
  <c r="BM337"/>
  <c r="BR337"/>
  <c r="BL337"/>
  <c r="BN337"/>
  <c r="BS329"/>
  <c r="BM329"/>
  <c r="BR329"/>
  <c r="BL329"/>
  <c r="BN329"/>
  <c r="BS321"/>
  <c r="BM321"/>
  <c r="BR321"/>
  <c r="BL321"/>
  <c r="BN321"/>
  <c r="BS401"/>
  <c r="BM401"/>
  <c r="BR401"/>
  <c r="BL401"/>
  <c r="BN401"/>
  <c r="BS395"/>
  <c r="BM395"/>
  <c r="BR395"/>
  <c r="BL395"/>
  <c r="BN395"/>
  <c r="BS383"/>
  <c r="BM383"/>
  <c r="BR383"/>
  <c r="BL383"/>
  <c r="BN383"/>
  <c r="BS378"/>
  <c r="BM378"/>
  <c r="BR378"/>
  <c r="BL378"/>
  <c r="BN378"/>
  <c r="BS368"/>
  <c r="BM368"/>
  <c r="BR368"/>
  <c r="BL368"/>
  <c r="BN368"/>
  <c r="BM348"/>
  <c r="BL348"/>
  <c r="BN348"/>
  <c r="BS348"/>
  <c r="BR348"/>
  <c r="BS336"/>
  <c r="BM336"/>
  <c r="BR336"/>
  <c r="BL336"/>
  <c r="BN336"/>
  <c r="BS324"/>
  <c r="BM324"/>
  <c r="BR324"/>
  <c r="BL324"/>
  <c r="BN324"/>
  <c r="BN313"/>
  <c r="BS379"/>
  <c r="BM379"/>
  <c r="BR379"/>
  <c r="BL379"/>
  <c r="BN379"/>
  <c r="BS341"/>
  <c r="BM341"/>
  <c r="BR341"/>
  <c r="BL341"/>
  <c r="BN341"/>
  <c r="BS333"/>
  <c r="BM333"/>
  <c r="BR333"/>
  <c r="BL333"/>
  <c r="BN333"/>
  <c r="BS325"/>
  <c r="BM325"/>
  <c r="BR325"/>
  <c r="BL325"/>
  <c r="BN325"/>
  <c r="BR402"/>
  <c r="BM402"/>
  <c r="BS402"/>
  <c r="BL402"/>
  <c r="BN402"/>
  <c r="BS17"/>
  <c r="BN17"/>
  <c r="BT17" s="1"/>
  <c r="BL17"/>
  <c r="BR17"/>
  <c r="BM17"/>
  <c r="BS20"/>
  <c r="BN20"/>
  <c r="BL20"/>
  <c r="BR20"/>
  <c r="BM20"/>
  <c r="BS27"/>
  <c r="BN27"/>
  <c r="BL27"/>
  <c r="BR27"/>
  <c r="BM27"/>
  <c r="BS28"/>
  <c r="BN28"/>
  <c r="BL28"/>
  <c r="BR28"/>
  <c r="BM28"/>
  <c r="BS23"/>
  <c r="BN23"/>
  <c r="BL23"/>
  <c r="BR23"/>
  <c r="BM23"/>
  <c r="BS29"/>
  <c r="BN29"/>
  <c r="BL29"/>
  <c r="BR29"/>
  <c r="BM29"/>
  <c r="BS31"/>
  <c r="BN31"/>
  <c r="BL31"/>
  <c r="BR31"/>
  <c r="BM31"/>
  <c r="BS33"/>
  <c r="BN33"/>
  <c r="BL33"/>
  <c r="BR33"/>
  <c r="BM33"/>
  <c r="BS35"/>
  <c r="BN35"/>
  <c r="BL35"/>
  <c r="BR35"/>
  <c r="BM35"/>
  <c r="BS39"/>
  <c r="BN39"/>
  <c r="BL39"/>
  <c r="BR39"/>
  <c r="BM39"/>
  <c r="Q43"/>
  <c r="AX294"/>
  <c r="AX251"/>
  <c r="AX255"/>
  <c r="AX161"/>
  <c r="AX204"/>
  <c r="AX243"/>
  <c r="AX178"/>
  <c r="AX210"/>
  <c r="AX224"/>
  <c r="AX129"/>
  <c r="AX252"/>
  <c r="AX272"/>
  <c r="AX226"/>
  <c r="AX219"/>
  <c r="AX94"/>
  <c r="AX385"/>
  <c r="AX225"/>
  <c r="AX203"/>
  <c r="AX202"/>
  <c r="AX232"/>
  <c r="AX293"/>
  <c r="CJ255" l="1"/>
  <c r="CK255" s="1"/>
  <c r="CJ331"/>
  <c r="CK331" s="1"/>
  <c r="CJ251"/>
  <c r="CK251" s="1"/>
  <c r="CJ389"/>
  <c r="CK389" s="1"/>
  <c r="CJ303"/>
  <c r="CK303" s="1"/>
  <c r="CC287"/>
  <c r="CI287"/>
  <c r="CC156"/>
  <c r="CI156"/>
  <c r="CK17"/>
  <c r="CC17"/>
  <c r="CC331"/>
  <c r="CC251"/>
  <c r="CC303"/>
  <c r="AC407" i="43"/>
  <c r="AC242"/>
  <c r="AC159"/>
  <c r="AC166"/>
  <c r="AC245"/>
  <c r="AC271"/>
  <c r="AC223"/>
  <c r="AC295"/>
  <c r="AC366"/>
  <c r="AC55"/>
  <c r="AC170"/>
  <c r="AC266"/>
  <c r="AC70"/>
  <c r="AC177"/>
  <c r="AC79"/>
  <c r="AC293"/>
  <c r="AC81"/>
  <c r="AC37"/>
  <c r="AC229"/>
  <c r="AC148"/>
  <c r="AC188"/>
  <c r="AC219"/>
  <c r="AC255"/>
  <c r="AC323"/>
  <c r="AC36"/>
  <c r="AC225"/>
  <c r="AC432"/>
  <c r="AC333"/>
  <c r="AC143"/>
  <c r="AC54"/>
  <c r="Y202"/>
  <c r="Y248"/>
  <c r="Y420"/>
  <c r="Y318"/>
  <c r="Y185"/>
  <c r="Y279"/>
  <c r="Y249"/>
  <c r="Y118"/>
  <c r="Y226"/>
  <c r="Y317"/>
  <c r="Y228"/>
  <c r="Y275"/>
  <c r="Y243"/>
  <c r="Y256"/>
  <c r="Y296"/>
  <c r="Y153"/>
  <c r="Y267"/>
  <c r="Y250"/>
  <c r="Y276"/>
  <c r="Y234"/>
  <c r="Y227"/>
  <c r="F35" i="37"/>
  <c r="P39" i="44"/>
  <c r="G31" i="37"/>
  <c r="Q35" i="44"/>
  <c r="F27" i="41"/>
  <c r="U44" i="45"/>
  <c r="J31" i="44"/>
  <c r="G19" i="37"/>
  <c r="Q23" i="44"/>
  <c r="F16" i="37"/>
  <c r="P20" i="44"/>
  <c r="F338" i="37"/>
  <c r="P327" i="44"/>
  <c r="Q343"/>
  <c r="G354" i="37"/>
  <c r="F347" i="40"/>
  <c r="L338" i="44"/>
  <c r="W366" i="45"/>
  <c r="G349" i="37"/>
  <c r="Q338" i="44"/>
  <c r="F389" i="41"/>
  <c r="J380" i="44"/>
  <c r="U408" i="45"/>
  <c r="G396" i="37"/>
  <c r="Q385" i="44"/>
  <c r="F414" i="37"/>
  <c r="P403" i="44"/>
  <c r="G342" i="37"/>
  <c r="Q331" i="44"/>
  <c r="G366" i="41"/>
  <c r="V385" i="45"/>
  <c r="K357" i="44"/>
  <c r="F370" i="41"/>
  <c r="J361" i="44"/>
  <c r="U389" i="45"/>
  <c r="F389" i="37"/>
  <c r="P378" i="44"/>
  <c r="F413" i="37"/>
  <c r="P402" i="44"/>
  <c r="G334" i="41"/>
  <c r="K325" i="44"/>
  <c r="V353" i="45"/>
  <c r="F381" i="40"/>
  <c r="L372" i="44"/>
  <c r="W400" i="45"/>
  <c r="F388" i="37"/>
  <c r="P377" i="44"/>
  <c r="F363" i="41"/>
  <c r="U382" i="45"/>
  <c r="J354" i="44"/>
  <c r="G106" i="37"/>
  <c r="Q100" i="44"/>
  <c r="G395" i="41"/>
  <c r="V414" i="45"/>
  <c r="K386" i="44"/>
  <c r="F50" i="41"/>
  <c r="J47" i="44"/>
  <c r="U67" i="45"/>
  <c r="G128" i="41"/>
  <c r="K125" i="44"/>
  <c r="V145" i="45"/>
  <c r="F365" i="41"/>
  <c r="J356" i="44"/>
  <c r="U384" i="45"/>
  <c r="F157" i="40"/>
  <c r="L154" i="44"/>
  <c r="W174" i="45"/>
  <c r="F380" i="40"/>
  <c r="L371" i="44"/>
  <c r="W399" i="45"/>
  <c r="F212" i="37"/>
  <c r="P206" i="44"/>
  <c r="F150" i="41"/>
  <c r="J147" i="44"/>
  <c r="U167" i="45"/>
  <c r="F325" i="40"/>
  <c r="W344" i="45"/>
  <c r="L316" i="44"/>
  <c r="G409" i="37"/>
  <c r="Q398" i="44"/>
  <c r="G387" i="37"/>
  <c r="Q376" i="44"/>
  <c r="F367" i="37"/>
  <c r="P356" i="44"/>
  <c r="G351" i="37"/>
  <c r="Q340" i="44"/>
  <c r="G338" i="41"/>
  <c r="K329" i="44"/>
  <c r="V357" i="45"/>
  <c r="F205" i="41"/>
  <c r="J202" i="44"/>
  <c r="U222" i="45"/>
  <c r="F335" i="37"/>
  <c r="P324" i="44"/>
  <c r="F372" i="37"/>
  <c r="P361" i="44"/>
  <c r="F397" i="41"/>
  <c r="J388" i="44"/>
  <c r="U416" i="45"/>
  <c r="G364" i="41"/>
  <c r="K355" i="44"/>
  <c r="V383" i="45"/>
  <c r="F346" i="41"/>
  <c r="J337" i="44"/>
  <c r="U365" i="45"/>
  <c r="F53" i="41"/>
  <c r="J50" i="44"/>
  <c r="U70" i="45"/>
  <c r="F228" i="37"/>
  <c r="P222" i="44"/>
  <c r="G386" i="37"/>
  <c r="Q375" i="44"/>
  <c r="G379" i="37"/>
  <c r="Q368" i="44"/>
  <c r="F364" i="40"/>
  <c r="L355" i="44"/>
  <c r="W383" i="45"/>
  <c r="G33" i="37"/>
  <c r="Q37" i="44"/>
  <c r="G413" i="37"/>
  <c r="Q402" i="44"/>
  <c r="G199" i="41"/>
  <c r="K196" i="44"/>
  <c r="V216" i="45"/>
  <c r="G411" i="37"/>
  <c r="Q400" i="44"/>
  <c r="F302" i="41"/>
  <c r="J299" i="44"/>
  <c r="U319" i="45"/>
  <c r="G18" i="37"/>
  <c r="Q22" i="44"/>
  <c r="F30" i="41"/>
  <c r="J34" i="44"/>
  <c r="U47" i="45"/>
  <c r="F20" i="40"/>
  <c r="W37" i="45"/>
  <c r="L24" i="44"/>
  <c r="G312" i="41"/>
  <c r="K309" i="44"/>
  <c r="V329" i="45"/>
  <c r="G17" i="37"/>
  <c r="Q21" i="44"/>
  <c r="F264" i="37"/>
  <c r="P258" i="44"/>
  <c r="G388" i="41"/>
  <c r="K379" i="44"/>
  <c r="V407" i="45"/>
  <c r="G20" i="37"/>
  <c r="Q24" i="44"/>
  <c r="G382" i="41"/>
  <c r="V401" i="45"/>
  <c r="K373" i="44"/>
  <c r="G378" i="37"/>
  <c r="Q367" i="44"/>
  <c r="F369" i="40"/>
  <c r="W388" i="45"/>
  <c r="L360" i="44"/>
  <c r="G142" i="37"/>
  <c r="Q136" i="44"/>
  <c r="G34" i="37"/>
  <c r="Q38" i="44"/>
  <c r="G383" i="41"/>
  <c r="V402" i="45"/>
  <c r="K374" i="44"/>
  <c r="G64" i="37"/>
  <c r="Q58" i="44"/>
  <c r="F342" i="41"/>
  <c r="J333" i="44"/>
  <c r="U361" i="45"/>
  <c r="F408" i="41"/>
  <c r="J399" i="44"/>
  <c r="U427" i="45"/>
  <c r="G276" i="37"/>
  <c r="Q270" i="44"/>
  <c r="F126" i="37"/>
  <c r="P120" i="44"/>
  <c r="F255" i="41"/>
  <c r="J252" i="44"/>
  <c r="U272" i="45"/>
  <c r="F34" i="40"/>
  <c r="L38" i="44"/>
  <c r="W51" i="45"/>
  <c r="CN32" i="1"/>
  <c r="Z48" i="43"/>
  <c r="AC48" s="1"/>
  <c r="F404" i="41"/>
  <c r="U423" i="45"/>
  <c r="J395" i="44"/>
  <c r="G107" i="37"/>
  <c r="Q101" i="44"/>
  <c r="F21" i="41"/>
  <c r="J25" i="44"/>
  <c r="U38" i="45"/>
  <c r="G163" i="37"/>
  <c r="Q157" i="44"/>
  <c r="F21" i="40"/>
  <c r="L25" i="44"/>
  <c r="W38" i="45"/>
  <c r="F132" i="40"/>
  <c r="L129" i="44"/>
  <c r="W149" i="45"/>
  <c r="F291" i="40"/>
  <c r="L288" i="44"/>
  <c r="W308" i="45"/>
  <c r="G291" i="41"/>
  <c r="V308" i="45"/>
  <c r="K288" i="44"/>
  <c r="F160" i="41"/>
  <c r="J157" i="44"/>
  <c r="U177" i="45"/>
  <c r="F281" i="40"/>
  <c r="L278" i="44"/>
  <c r="W298" i="45"/>
  <c r="G160" i="41"/>
  <c r="K157" i="44"/>
  <c r="V177" i="45"/>
  <c r="G310" i="37"/>
  <c r="Q304" i="44"/>
  <c r="CP292" i="1"/>
  <c r="X316" i="43"/>
  <c r="T349" i="45"/>
  <c r="F35" i="41"/>
  <c r="J39" i="44"/>
  <c r="U52" i="45"/>
  <c r="F31" i="37"/>
  <c r="P35" i="44"/>
  <c r="G29" i="41"/>
  <c r="V46" i="45"/>
  <c r="K33" i="44"/>
  <c r="G29" i="37"/>
  <c r="Q33" i="44"/>
  <c r="F27" i="40"/>
  <c r="L31" i="44"/>
  <c r="W44" i="45"/>
  <c r="F25" i="41"/>
  <c r="J29" i="44"/>
  <c r="U42" i="45"/>
  <c r="F19" i="37"/>
  <c r="P23" i="44"/>
  <c r="G24" i="41"/>
  <c r="V41" i="45"/>
  <c r="K28" i="44"/>
  <c r="G24" i="37"/>
  <c r="Q28" i="44"/>
  <c r="F23" i="40"/>
  <c r="L27" i="44"/>
  <c r="W40" i="45"/>
  <c r="F16" i="41"/>
  <c r="J20" i="44"/>
  <c r="U33" i="45"/>
  <c r="F413" i="40"/>
  <c r="L404" i="44"/>
  <c r="W432" i="45"/>
  <c r="F415" i="37"/>
  <c r="P404" i="44"/>
  <c r="G336" i="41"/>
  <c r="V355" i="45"/>
  <c r="K327" i="44"/>
  <c r="F346" i="37"/>
  <c r="P335" i="44"/>
  <c r="F352" i="41"/>
  <c r="J343" i="44"/>
  <c r="U371" i="45"/>
  <c r="F390" i="40"/>
  <c r="W409" i="45"/>
  <c r="L381" i="44"/>
  <c r="G392" i="37"/>
  <c r="Q381" i="44"/>
  <c r="F337" i="37"/>
  <c r="P326" i="44"/>
  <c r="F347" i="41"/>
  <c r="U366" i="45"/>
  <c r="J338" i="44"/>
  <c r="F361" i="37"/>
  <c r="P350" i="44"/>
  <c r="G359" i="41"/>
  <c r="K350" i="44"/>
  <c r="V378" i="45"/>
  <c r="G379" i="41"/>
  <c r="V398" i="45"/>
  <c r="K370" i="44"/>
  <c r="F391" i="37"/>
  <c r="P380" i="44"/>
  <c r="F394" i="41"/>
  <c r="J385" i="44"/>
  <c r="U413" i="45"/>
  <c r="F406" i="40"/>
  <c r="W425" i="45"/>
  <c r="L397" i="44"/>
  <c r="G408" i="37"/>
  <c r="Q397" i="44"/>
  <c r="G412" i="41"/>
  <c r="K403" i="44"/>
  <c r="V431" i="45"/>
  <c r="F334" i="37"/>
  <c r="P323" i="44"/>
  <c r="F340" i="41"/>
  <c r="U359" i="45"/>
  <c r="J331" i="44"/>
  <c r="F348" i="40"/>
  <c r="L339" i="44"/>
  <c r="W367" i="45"/>
  <c r="G350" i="37"/>
  <c r="Q339" i="44"/>
  <c r="G355" i="41"/>
  <c r="K346" i="44"/>
  <c r="V374" i="45"/>
  <c r="F366" i="40"/>
  <c r="W385" i="45"/>
  <c r="L357" i="44"/>
  <c r="G370" i="41"/>
  <c r="K361" i="44"/>
  <c r="V389" i="45"/>
  <c r="F401" i="37"/>
  <c r="P390" i="44"/>
  <c r="F363" i="37"/>
  <c r="P352" i="44"/>
  <c r="F376" i="41"/>
  <c r="J367" i="44"/>
  <c r="U395" i="45"/>
  <c r="F331" i="41"/>
  <c r="U350" i="45"/>
  <c r="J322" i="44"/>
  <c r="F363" i="40"/>
  <c r="L354" i="44"/>
  <c r="W382" i="45"/>
  <c r="F411" i="40"/>
  <c r="L402" i="44"/>
  <c r="W430" i="45"/>
  <c r="G345" i="41"/>
  <c r="K336" i="44"/>
  <c r="V364" i="45"/>
  <c r="F393" i="37"/>
  <c r="P382" i="44"/>
  <c r="F376" i="40"/>
  <c r="W395" i="45"/>
  <c r="L367" i="44"/>
  <c r="F397" i="37"/>
  <c r="P386" i="44"/>
  <c r="F374" i="40"/>
  <c r="W393" i="45"/>
  <c r="L365" i="44"/>
  <c r="G380" i="37"/>
  <c r="Q369" i="44"/>
  <c r="F383" i="37"/>
  <c r="P372" i="44"/>
  <c r="F386" i="41"/>
  <c r="J377" i="44"/>
  <c r="U405" i="45"/>
  <c r="F339" i="41"/>
  <c r="U358" i="45"/>
  <c r="J330" i="44"/>
  <c r="F333" i="37"/>
  <c r="P322" i="44"/>
  <c r="G361" i="41"/>
  <c r="K352" i="44"/>
  <c r="V380" i="45"/>
  <c r="F410" i="41"/>
  <c r="J401" i="44"/>
  <c r="U429" i="45"/>
  <c r="F141" i="41"/>
  <c r="J138" i="44"/>
  <c r="U158" i="45"/>
  <c r="F106" i="37"/>
  <c r="P100" i="44"/>
  <c r="G54" i="37"/>
  <c r="Q48" i="44"/>
  <c r="F146" i="41"/>
  <c r="J143" i="44"/>
  <c r="U163" i="45"/>
  <c r="G146" i="41"/>
  <c r="K143" i="44"/>
  <c r="V163" i="45"/>
  <c r="G53" i="37"/>
  <c r="Q47" i="44"/>
  <c r="F131" i="37"/>
  <c r="P125" i="44"/>
  <c r="F128" i="40"/>
  <c r="L125" i="44"/>
  <c r="W145" i="45"/>
  <c r="G327" i="41"/>
  <c r="K318" i="44"/>
  <c r="V346" i="45"/>
  <c r="G340" i="37"/>
  <c r="Q329" i="44"/>
  <c r="G367" i="37"/>
  <c r="Q356" i="44"/>
  <c r="G211" i="41"/>
  <c r="V228" i="45"/>
  <c r="K208" i="44"/>
  <c r="F150" i="40"/>
  <c r="W167" i="45"/>
  <c r="L147" i="44"/>
  <c r="F309" i="41"/>
  <c r="J306" i="44"/>
  <c r="U326" i="45"/>
  <c r="F409" i="37"/>
  <c r="P398" i="44"/>
  <c r="F375" i="40"/>
  <c r="L366" i="44"/>
  <c r="W394" i="45"/>
  <c r="G309" i="41"/>
  <c r="V326" i="45"/>
  <c r="K306" i="44"/>
  <c r="F209" i="40"/>
  <c r="L206" i="44"/>
  <c r="W226" i="45"/>
  <c r="F211" i="41"/>
  <c r="J208" i="44"/>
  <c r="U228" i="45"/>
  <c r="G153" i="37"/>
  <c r="Q147" i="44"/>
  <c r="G249" i="37"/>
  <c r="Q243" i="44"/>
  <c r="F327" i="37"/>
  <c r="P316" i="44"/>
  <c r="G356" i="41"/>
  <c r="K347" i="44"/>
  <c r="V375" i="45"/>
  <c r="F249" i="37"/>
  <c r="P243" i="44"/>
  <c r="F351" i="40"/>
  <c r="L342" i="44"/>
  <c r="W370" i="45"/>
  <c r="F148" i="41"/>
  <c r="J145" i="44"/>
  <c r="U165" i="45"/>
  <c r="G255" i="37"/>
  <c r="Q249" i="44"/>
  <c r="F142" i="40"/>
  <c r="L139" i="44"/>
  <c r="W159" i="45"/>
  <c r="F414" i="40"/>
  <c r="W433" i="45"/>
  <c r="L405" i="44"/>
  <c r="F364" i="37"/>
  <c r="P353" i="44"/>
  <c r="F333" i="41"/>
  <c r="U352" i="45"/>
  <c r="J324" i="44"/>
  <c r="F349" i="41"/>
  <c r="U368" i="45"/>
  <c r="J340" i="44"/>
  <c r="G356" i="37"/>
  <c r="Q345" i="44"/>
  <c r="G414" i="41"/>
  <c r="V433" i="45"/>
  <c r="K405" i="44"/>
  <c r="F390" i="37"/>
  <c r="P379" i="44"/>
  <c r="G205" i="41"/>
  <c r="K202" i="44"/>
  <c r="V222" i="45"/>
  <c r="F53" i="40"/>
  <c r="L50" i="44"/>
  <c r="W70" i="45"/>
  <c r="F341" i="41"/>
  <c r="U360" i="45"/>
  <c r="J332" i="44"/>
  <c r="F166" i="37"/>
  <c r="P160" i="44"/>
  <c r="G56" i="37"/>
  <c r="Q50" i="44"/>
  <c r="G264" i="37"/>
  <c r="Q258" i="44"/>
  <c r="F225" i="40"/>
  <c r="L222" i="44"/>
  <c r="W242" i="45"/>
  <c r="F401" i="41"/>
  <c r="J392" i="44"/>
  <c r="U420" i="45"/>
  <c r="F355" i="37"/>
  <c r="P344" i="44"/>
  <c r="F364" i="41"/>
  <c r="U383" i="45"/>
  <c r="J355" i="44"/>
  <c r="F325" i="41"/>
  <c r="U344" i="45"/>
  <c r="J316" i="44"/>
  <c r="F393" i="40"/>
  <c r="W412" i="45"/>
  <c r="L384" i="44"/>
  <c r="G337" i="41"/>
  <c r="K328" i="44"/>
  <c r="V356" i="45"/>
  <c r="G394" i="37"/>
  <c r="Q383" i="44"/>
  <c r="G360" i="37"/>
  <c r="Q349" i="44"/>
  <c r="F56" i="37"/>
  <c r="P50" i="44"/>
  <c r="G261" i="41"/>
  <c r="K258" i="44"/>
  <c r="V278" i="45"/>
  <c r="F225" i="41"/>
  <c r="U242" i="45"/>
  <c r="J222" i="44"/>
  <c r="G384" i="41"/>
  <c r="V403" i="45"/>
  <c r="K375" i="44"/>
  <c r="F397" i="40"/>
  <c r="L388" i="44"/>
  <c r="W416" i="45"/>
  <c r="F357" i="40"/>
  <c r="L348" i="44"/>
  <c r="W376" i="45"/>
  <c r="G346" i="41"/>
  <c r="K337" i="44"/>
  <c r="V365" i="45"/>
  <c r="F386" i="37"/>
  <c r="P375" i="44"/>
  <c r="F399" i="37"/>
  <c r="P388" i="44"/>
  <c r="F377" i="41"/>
  <c r="J368" i="44"/>
  <c r="U396" i="45"/>
  <c r="F168" i="40"/>
  <c r="L165" i="44"/>
  <c r="W185" i="45"/>
  <c r="F238" i="41"/>
  <c r="J235" i="44"/>
  <c r="U255" i="45"/>
  <c r="F416" i="37"/>
  <c r="P405" i="44"/>
  <c r="G329" i="37"/>
  <c r="Q318" i="44"/>
  <c r="F356" i="37"/>
  <c r="P345" i="44"/>
  <c r="F202" i="37"/>
  <c r="P196" i="44"/>
  <c r="F308" i="40"/>
  <c r="W325" i="45"/>
  <c r="L305" i="44"/>
  <c r="G311" i="37"/>
  <c r="Q305" i="44"/>
  <c r="F306" i="37"/>
  <c r="P300" i="44"/>
  <c r="F409" i="41"/>
  <c r="J400" i="44"/>
  <c r="U428" i="45"/>
  <c r="G409" i="41"/>
  <c r="K400" i="44"/>
  <c r="V428" i="45"/>
  <c r="F409" i="40"/>
  <c r="W428" i="45"/>
  <c r="L400" i="44"/>
  <c r="F36" i="37"/>
  <c r="P40" i="44"/>
  <c r="F18" i="41"/>
  <c r="J22" i="44"/>
  <c r="U35" i="45"/>
  <c r="G22" i="41"/>
  <c r="K26" i="44"/>
  <c r="V39" i="45"/>
  <c r="F30" i="37"/>
  <c r="P34" i="44"/>
  <c r="G15" i="41"/>
  <c r="K19" i="44"/>
  <c r="V32" i="45"/>
  <c r="G20" i="41"/>
  <c r="K24" i="44"/>
  <c r="V37" i="45"/>
  <c r="F15" i="41"/>
  <c r="J19" i="44"/>
  <c r="U32" i="45"/>
  <c r="G15" i="37"/>
  <c r="Q19" i="44"/>
  <c r="G315" i="37"/>
  <c r="Q309" i="44"/>
  <c r="F26" i="41"/>
  <c r="U43" i="45"/>
  <c r="J30" i="44"/>
  <c r="G14" i="41"/>
  <c r="K18" i="44"/>
  <c r="V31" i="45"/>
  <c r="G32" i="37"/>
  <c r="Q36" i="44"/>
  <c r="G392" i="41"/>
  <c r="V411" i="45"/>
  <c r="K383" i="44"/>
  <c r="F255" i="37"/>
  <c r="P249" i="44"/>
  <c r="F374" i="41"/>
  <c r="J365" i="44"/>
  <c r="U393" i="45"/>
  <c r="G343" i="37"/>
  <c r="Q332" i="44"/>
  <c r="G377" i="37"/>
  <c r="Q366" i="44"/>
  <c r="F312" i="41"/>
  <c r="U329" i="45"/>
  <c r="J309" i="44"/>
  <c r="G18" i="41"/>
  <c r="K22" i="44"/>
  <c r="V35" i="45"/>
  <c r="F238" i="37"/>
  <c r="P232" i="44"/>
  <c r="G399" i="37"/>
  <c r="Q388" i="44"/>
  <c r="G336" i="37"/>
  <c r="Q325" i="44"/>
  <c r="G339" i="37"/>
  <c r="Q328" i="44"/>
  <c r="G388" i="37"/>
  <c r="Q377" i="44"/>
  <c r="G341" i="37"/>
  <c r="Q330" i="44"/>
  <c r="G28" i="37"/>
  <c r="Q32" i="44"/>
  <c r="F28" i="41"/>
  <c r="J32" i="44"/>
  <c r="U45" i="45"/>
  <c r="F274" i="40"/>
  <c r="L271" i="44"/>
  <c r="W291" i="45"/>
  <c r="F274" i="41"/>
  <c r="J271" i="44"/>
  <c r="U291" i="45"/>
  <c r="G263" i="37"/>
  <c r="Q257" i="44"/>
  <c r="F206" i="37"/>
  <c r="P200" i="44"/>
  <c r="F198" i="40"/>
  <c r="L195" i="44"/>
  <c r="W215" i="45"/>
  <c r="F198" i="41"/>
  <c r="J195" i="44"/>
  <c r="U215" i="45"/>
  <c r="G316" i="37"/>
  <c r="Q310" i="44"/>
  <c r="G114" i="37"/>
  <c r="Q108" i="44"/>
  <c r="F111" i="40"/>
  <c r="W128" i="45"/>
  <c r="L108" i="44"/>
  <c r="G278" i="37"/>
  <c r="Q272" i="44"/>
  <c r="F190" i="41"/>
  <c r="J187" i="44"/>
  <c r="U207" i="45"/>
  <c r="G254" i="37"/>
  <c r="Q248" i="44"/>
  <c r="F369" i="41"/>
  <c r="J360" i="44"/>
  <c r="U388" i="45"/>
  <c r="G371" i="37"/>
  <c r="Q360" i="44"/>
  <c r="F139" i="41"/>
  <c r="J136" i="44"/>
  <c r="U156" i="45"/>
  <c r="G225" i="37"/>
  <c r="Q219" i="44"/>
  <c r="F112" i="41"/>
  <c r="J109" i="44"/>
  <c r="U129" i="45"/>
  <c r="F34" i="37"/>
  <c r="P38" i="44"/>
  <c r="F34" i="41"/>
  <c r="J38" i="44"/>
  <c r="U51" i="45"/>
  <c r="F371" i="37"/>
  <c r="P360" i="44"/>
  <c r="G274" i="41"/>
  <c r="K271" i="44"/>
  <c r="V291" i="45"/>
  <c r="G313" i="41"/>
  <c r="K310" i="44"/>
  <c r="V330" i="45"/>
  <c r="G385" i="37"/>
  <c r="Q374" i="44"/>
  <c r="F64" i="37"/>
  <c r="P58" i="44"/>
  <c r="G344" i="37"/>
  <c r="Q333" i="44"/>
  <c r="G410" i="37"/>
  <c r="Q399" i="44"/>
  <c r="G273" i="41"/>
  <c r="K270" i="44"/>
  <c r="V290" i="45"/>
  <c r="G123" i="41"/>
  <c r="K120" i="44"/>
  <c r="V140" i="45"/>
  <c r="G404" i="41"/>
  <c r="K395" i="44"/>
  <c r="V423" i="45"/>
  <c r="CN26" i="1"/>
  <c r="Z42" i="43"/>
  <c r="AC42" s="1"/>
  <c r="F281" i="41"/>
  <c r="U298" i="45"/>
  <c r="J278" i="44"/>
  <c r="F104" i="41"/>
  <c r="J101" i="44"/>
  <c r="U121" i="45"/>
  <c r="G21" i="41"/>
  <c r="K25" i="44"/>
  <c r="V38" i="45"/>
  <c r="G132" i="41"/>
  <c r="V149" i="45"/>
  <c r="K129" i="44"/>
  <c r="G284" i="37"/>
  <c r="Q278" i="44"/>
  <c r="F21" i="37"/>
  <c r="P25" i="44"/>
  <c r="F162" i="41"/>
  <c r="J159" i="44"/>
  <c r="U179" i="45"/>
  <c r="G104" i="41"/>
  <c r="K101" i="44"/>
  <c r="V121" i="45"/>
  <c r="Z267" i="43"/>
  <c r="F104" i="40"/>
  <c r="L101" i="44"/>
  <c r="W121" i="45"/>
  <c r="F284" i="37"/>
  <c r="P278" i="44"/>
  <c r="G307" i="41"/>
  <c r="V324" i="45"/>
  <c r="K304" i="44"/>
  <c r="CN303" i="1"/>
  <c r="Z327" i="43"/>
  <c r="AM224" i="1"/>
  <c r="CI224" s="1"/>
  <c r="S248" i="43"/>
  <c r="AM272" i="1"/>
  <c r="CI272" s="1"/>
  <c r="S296" i="43"/>
  <c r="G31" i="41"/>
  <c r="K35" i="44"/>
  <c r="V48" i="45"/>
  <c r="F25" i="37"/>
  <c r="P29" i="44"/>
  <c r="F24" i="40"/>
  <c r="W41" i="45"/>
  <c r="L28" i="44"/>
  <c r="F344" i="41"/>
  <c r="J335" i="44"/>
  <c r="U363" i="45"/>
  <c r="G390" i="41"/>
  <c r="V409" i="45"/>
  <c r="K381" i="44"/>
  <c r="F359" i="41"/>
  <c r="J350" i="44"/>
  <c r="U378" i="45"/>
  <c r="F394" i="40"/>
  <c r="W413" i="45"/>
  <c r="L385" i="44"/>
  <c r="F332" i="41"/>
  <c r="U351" i="45"/>
  <c r="J323" i="44"/>
  <c r="G348" i="41"/>
  <c r="K339" i="44"/>
  <c r="V367" i="45"/>
  <c r="F399" i="41"/>
  <c r="J390" i="44"/>
  <c r="U418" i="45"/>
  <c r="F365" i="37"/>
  <c r="P354" i="44"/>
  <c r="F391" i="40"/>
  <c r="W410" i="45"/>
  <c r="L382" i="44"/>
  <c r="G403" i="41"/>
  <c r="V422" i="45"/>
  <c r="K394" i="44"/>
  <c r="G387" i="41"/>
  <c r="V406" i="45"/>
  <c r="K378" i="44"/>
  <c r="F361" i="40"/>
  <c r="L352" i="44"/>
  <c r="W380" i="45"/>
  <c r="F51" i="41"/>
  <c r="U68" i="45"/>
  <c r="J48" i="44"/>
  <c r="F146" i="40"/>
  <c r="L143" i="44"/>
  <c r="W163" i="45"/>
  <c r="F329" i="37"/>
  <c r="P318" i="44"/>
  <c r="G241" i="37"/>
  <c r="Q235" i="44"/>
  <c r="F377" i="37"/>
  <c r="P366" i="44"/>
  <c r="F160" i="37"/>
  <c r="P154" i="44"/>
  <c r="F358" i="37"/>
  <c r="P347" i="44"/>
  <c r="F385" i="41"/>
  <c r="J376" i="44"/>
  <c r="U404" i="45"/>
  <c r="F346" i="40"/>
  <c r="W365" i="45"/>
  <c r="L337" i="44"/>
  <c r="F414" i="41"/>
  <c r="U433" i="45"/>
  <c r="J405" i="44"/>
  <c r="G53" i="41"/>
  <c r="K50" i="44"/>
  <c r="O50" s="1"/>
  <c r="V70" i="45"/>
  <c r="G335" i="37"/>
  <c r="Q324" i="44"/>
  <c r="F326" i="40"/>
  <c r="L317" i="44"/>
  <c r="W345" i="45"/>
  <c r="F331" i="37"/>
  <c r="P320" i="44"/>
  <c r="F394" i="37"/>
  <c r="P383" i="44"/>
  <c r="F384" i="37"/>
  <c r="P373" i="44"/>
  <c r="G33" i="41"/>
  <c r="V50" i="45"/>
  <c r="K37" i="44"/>
  <c r="G168" i="41"/>
  <c r="K165" i="44"/>
  <c r="V185" i="45"/>
  <c r="F353" i="41"/>
  <c r="U372" i="45"/>
  <c r="J344" i="44"/>
  <c r="F308" i="41"/>
  <c r="J305" i="44"/>
  <c r="U325" i="45"/>
  <c r="F305" i="37"/>
  <c r="P299" i="44"/>
  <c r="F20" i="37"/>
  <c r="P24" i="44"/>
  <c r="G17" i="41"/>
  <c r="K21" i="44"/>
  <c r="V34" i="45"/>
  <c r="F17" i="40"/>
  <c r="L21" i="44"/>
  <c r="W34" i="45"/>
  <c r="F33" i="40"/>
  <c r="L37" i="44"/>
  <c r="W50" i="45"/>
  <c r="G351" i="41"/>
  <c r="K342" i="44"/>
  <c r="V370" i="45"/>
  <c r="G202" i="37"/>
  <c r="Q196" i="44"/>
  <c r="G331" i="37"/>
  <c r="Q320" i="44"/>
  <c r="G331" i="41"/>
  <c r="K322" i="44"/>
  <c r="V350" i="45"/>
  <c r="F14" i="40"/>
  <c r="L18" i="44"/>
  <c r="W31" i="45"/>
  <c r="F260" i="41"/>
  <c r="J257" i="44"/>
  <c r="U277" i="45"/>
  <c r="F190" i="40"/>
  <c r="W207" i="45"/>
  <c r="L187" i="44"/>
  <c r="G251" i="41"/>
  <c r="K248" i="44"/>
  <c r="V268" i="45"/>
  <c r="F222" i="41"/>
  <c r="J219" i="44"/>
  <c r="U239" i="45"/>
  <c r="F35" i="40"/>
  <c r="L39" i="44"/>
  <c r="W52" i="45"/>
  <c r="F31" i="41"/>
  <c r="U48" i="45"/>
  <c r="J35" i="44"/>
  <c r="F29" i="37"/>
  <c r="P33" i="44"/>
  <c r="G27" i="41"/>
  <c r="K31" i="44"/>
  <c r="V44" i="45"/>
  <c r="G27" i="37"/>
  <c r="Q31" i="44"/>
  <c r="F25" i="40"/>
  <c r="W42" i="45"/>
  <c r="L29" i="44"/>
  <c r="F19" i="41"/>
  <c r="J23" i="44"/>
  <c r="U36" i="45"/>
  <c r="F24" i="37"/>
  <c r="P28" i="44"/>
  <c r="G23" i="41"/>
  <c r="K27" i="44"/>
  <c r="V40" i="45"/>
  <c r="G23" i="37"/>
  <c r="Q27" i="44"/>
  <c r="F16" i="40"/>
  <c r="L20" i="44"/>
  <c r="W33" i="45"/>
  <c r="F413" i="41"/>
  <c r="U432" i="45"/>
  <c r="J404" i="44"/>
  <c r="F336" i="40"/>
  <c r="W355" i="45"/>
  <c r="L327" i="44"/>
  <c r="G338" i="37"/>
  <c r="Q327" i="44"/>
  <c r="G344" i="41"/>
  <c r="V363" i="45"/>
  <c r="K335" i="44"/>
  <c r="F354" i="37"/>
  <c r="P343" i="44"/>
  <c r="F390" i="41"/>
  <c r="J381" i="44"/>
  <c r="U409" i="45"/>
  <c r="F324" i="40"/>
  <c r="L315" i="44"/>
  <c r="O315" s="1"/>
  <c r="W343" i="45"/>
  <c r="G335" i="41"/>
  <c r="K326" i="44"/>
  <c r="V354" i="45"/>
  <c r="F349" i="37"/>
  <c r="P338" i="44"/>
  <c r="G361" i="37"/>
  <c r="Q350" i="44"/>
  <c r="F379" i="40"/>
  <c r="L370" i="44"/>
  <c r="W398" i="45"/>
  <c r="G381" i="37"/>
  <c r="Q370" i="44"/>
  <c r="G389" i="41"/>
  <c r="V408" i="45"/>
  <c r="K380" i="44"/>
  <c r="F396" i="37"/>
  <c r="P385" i="44"/>
  <c r="F406" i="41"/>
  <c r="J397" i="44"/>
  <c r="U425" i="45"/>
  <c r="F412" i="40"/>
  <c r="L403" i="44"/>
  <c r="W431" i="45"/>
  <c r="G414" i="37"/>
  <c r="Q403" i="44"/>
  <c r="G332" i="41"/>
  <c r="V351" i="45"/>
  <c r="K323" i="44"/>
  <c r="F342" i="37"/>
  <c r="P331" i="44"/>
  <c r="F348" i="41"/>
  <c r="U367" i="45"/>
  <c r="J339" i="44"/>
  <c r="F355" i="40"/>
  <c r="L346" i="44"/>
  <c r="W374" i="45"/>
  <c r="G357" i="37"/>
  <c r="Q346" i="44"/>
  <c r="F366" i="41"/>
  <c r="J357" i="44"/>
  <c r="U385" i="45"/>
  <c r="F399" i="40"/>
  <c r="W418" i="45"/>
  <c r="L390" i="44"/>
  <c r="F334" i="40"/>
  <c r="L325" i="44"/>
  <c r="W353" i="45"/>
  <c r="G383" i="37"/>
  <c r="Q372" i="44"/>
  <c r="F386" i="40"/>
  <c r="W405" i="45"/>
  <c r="L377" i="44"/>
  <c r="F341" i="37"/>
  <c r="P330" i="44"/>
  <c r="F358" i="41"/>
  <c r="U377" i="45"/>
  <c r="J349" i="44"/>
  <c r="F329" i="41"/>
  <c r="J320" i="44"/>
  <c r="U348" i="45"/>
  <c r="F347" i="37"/>
  <c r="P336" i="44"/>
  <c r="G393" i="37"/>
  <c r="Q382" i="44"/>
  <c r="F378" i="37"/>
  <c r="P367" i="44"/>
  <c r="G397" i="37"/>
  <c r="Q386" i="44"/>
  <c r="F376" i="37"/>
  <c r="P365" i="44"/>
  <c r="F361" i="41"/>
  <c r="U380" i="45"/>
  <c r="J352" i="44"/>
  <c r="G381" i="41"/>
  <c r="V400" i="45"/>
  <c r="K372" i="44"/>
  <c r="G386" i="41"/>
  <c r="K377" i="44"/>
  <c r="O377" s="1"/>
  <c r="V405" i="45"/>
  <c r="G365" i="37"/>
  <c r="Q354" i="44"/>
  <c r="G378" i="41"/>
  <c r="K369" i="44"/>
  <c r="V397" i="45"/>
  <c r="F387" i="40"/>
  <c r="L378" i="44"/>
  <c r="W406" i="45"/>
  <c r="G141" i="41"/>
  <c r="K138" i="44"/>
  <c r="V158" i="45"/>
  <c r="G144" i="37"/>
  <c r="Q138" i="44"/>
  <c r="G103" i="41"/>
  <c r="K100" i="44"/>
  <c r="V120" i="45"/>
  <c r="F54" i="37"/>
  <c r="P48" i="44"/>
  <c r="G149" i="37"/>
  <c r="Q143" i="44"/>
  <c r="F59" i="40"/>
  <c r="L56" i="44"/>
  <c r="O56" s="1"/>
  <c r="W76" i="45"/>
  <c r="F53" i="37"/>
  <c r="P47" i="44"/>
  <c r="F128" i="41"/>
  <c r="J125" i="44"/>
  <c r="U145" i="45"/>
  <c r="F381" i="41"/>
  <c r="U400" i="45"/>
  <c r="J372" i="44"/>
  <c r="O372" s="1"/>
  <c r="F330" i="40"/>
  <c r="W349" i="45"/>
  <c r="L321" i="44"/>
  <c r="O321" s="1"/>
  <c r="F354" i="41"/>
  <c r="J345" i="44"/>
  <c r="U373" i="45"/>
  <c r="F370" i="40"/>
  <c r="W389" i="45"/>
  <c r="L361" i="44"/>
  <c r="G212" i="37"/>
  <c r="Q206" i="44"/>
  <c r="G151" i="37"/>
  <c r="Q145" i="44"/>
  <c r="G358" i="37"/>
  <c r="Q347" i="44"/>
  <c r="F407" i="40"/>
  <c r="L398" i="44"/>
  <c r="W426" i="45"/>
  <c r="F387" i="37"/>
  <c r="P376" i="44"/>
  <c r="F238" i="40"/>
  <c r="L235" i="44"/>
  <c r="W255" i="45"/>
  <c r="F157" i="41"/>
  <c r="J154" i="44"/>
  <c r="U174" i="45"/>
  <c r="G214" i="37"/>
  <c r="Q208" i="44"/>
  <c r="F153" i="37"/>
  <c r="P147" i="44"/>
  <c r="F148" i="40"/>
  <c r="L145" i="44"/>
  <c r="W165" i="45"/>
  <c r="G327" i="37"/>
  <c r="Q316" i="44"/>
  <c r="G410" i="41"/>
  <c r="K401" i="44"/>
  <c r="V429" i="45"/>
  <c r="G382" i="37"/>
  <c r="Q371" i="44"/>
  <c r="G375" i="41"/>
  <c r="V394" i="45"/>
  <c r="K366" i="44"/>
  <c r="F151" i="37"/>
  <c r="P145" i="44"/>
  <c r="F252" i="41"/>
  <c r="J249" i="44"/>
  <c r="U269" i="45"/>
  <c r="F327" i="41"/>
  <c r="J318" i="44"/>
  <c r="U346" i="45"/>
  <c r="G416" i="37"/>
  <c r="Q405" i="44"/>
  <c r="F362" i="40"/>
  <c r="W381" i="45"/>
  <c r="L353" i="44"/>
  <c r="F343" i="37"/>
  <c r="P332" i="44"/>
  <c r="F211" i="40"/>
  <c r="L208" i="44"/>
  <c r="W228" i="45"/>
  <c r="F365" i="40"/>
  <c r="L356" i="44"/>
  <c r="W384" i="45"/>
  <c r="G362" i="41"/>
  <c r="K353" i="44"/>
  <c r="V381" i="45"/>
  <c r="F333" i="40"/>
  <c r="W352" i="45"/>
  <c r="L324" i="44"/>
  <c r="G163" i="41"/>
  <c r="V180" i="45"/>
  <c r="K160" i="44"/>
  <c r="F338" i="41"/>
  <c r="J329" i="44"/>
  <c r="U357" i="45"/>
  <c r="G349" i="41"/>
  <c r="V368" i="45"/>
  <c r="K340" i="44"/>
  <c r="F163" i="41"/>
  <c r="U180" i="45"/>
  <c r="J160" i="44"/>
  <c r="F360" i="37"/>
  <c r="P349" i="44"/>
  <c r="F261" i="41"/>
  <c r="J258" i="44"/>
  <c r="U278" i="45"/>
  <c r="F145" i="37"/>
  <c r="P139" i="44"/>
  <c r="G326" i="41"/>
  <c r="K317" i="44"/>
  <c r="V345" i="45"/>
  <c r="F353" i="40"/>
  <c r="L344" i="44"/>
  <c r="W372" i="45"/>
  <c r="G377" i="41"/>
  <c r="K368" i="44"/>
  <c r="V396" i="45"/>
  <c r="F407" i="41"/>
  <c r="J398" i="44"/>
  <c r="U426" i="45"/>
  <c r="F411" i="41"/>
  <c r="U430" i="45"/>
  <c r="J402" i="44"/>
  <c r="F337" i="41"/>
  <c r="U356" i="45"/>
  <c r="J328" i="44"/>
  <c r="F205" i="40"/>
  <c r="L202" i="44"/>
  <c r="W222" i="45"/>
  <c r="G341" i="41"/>
  <c r="V360" i="45"/>
  <c r="K332" i="44"/>
  <c r="F356" i="41"/>
  <c r="J347" i="44"/>
  <c r="U375" i="45"/>
  <c r="F252" i="40"/>
  <c r="L249" i="44"/>
  <c r="W269" i="45"/>
  <c r="F33" i="41"/>
  <c r="J37" i="44"/>
  <c r="U50" i="45"/>
  <c r="F336" i="37"/>
  <c r="P325" i="44"/>
  <c r="F401" i="40"/>
  <c r="W420" i="45"/>
  <c r="L392" i="44"/>
  <c r="G366" i="37"/>
  <c r="Q355" i="44"/>
  <c r="F395" i="37"/>
  <c r="P384" i="44"/>
  <c r="F235" i="40"/>
  <c r="L232" i="44"/>
  <c r="W252" i="45"/>
  <c r="F403" i="37"/>
  <c r="P392" i="44"/>
  <c r="G393" i="41"/>
  <c r="K384" i="44"/>
  <c r="V412" i="45"/>
  <c r="F168" i="41"/>
  <c r="J165" i="44"/>
  <c r="U185" i="45"/>
  <c r="G403" i="37"/>
  <c r="Q392" i="44"/>
  <c r="F329" i="40"/>
  <c r="W348" i="45"/>
  <c r="L320" i="44"/>
  <c r="F349" i="40"/>
  <c r="L340" i="44"/>
  <c r="W368" i="45"/>
  <c r="G397" i="41"/>
  <c r="K388" i="44"/>
  <c r="V416" i="45"/>
  <c r="F199" i="40"/>
  <c r="W216" i="45"/>
  <c r="L196" i="44"/>
  <c r="G308" i="41"/>
  <c r="K305" i="44"/>
  <c r="V325" i="45"/>
  <c r="F212" i="41"/>
  <c r="J209" i="44"/>
  <c r="U229" i="45"/>
  <c r="F303" i="41"/>
  <c r="J300" i="44"/>
  <c r="U320" i="45"/>
  <c r="G212" i="41"/>
  <c r="K209" i="44"/>
  <c r="V229" i="45"/>
  <c r="G36" i="41"/>
  <c r="K40" i="44"/>
  <c r="V53" i="45"/>
  <c r="F411" i="37"/>
  <c r="P400" i="44"/>
  <c r="G306" i="37"/>
  <c r="Q300" i="44"/>
  <c r="F18" i="40"/>
  <c r="L22" i="44"/>
  <c r="W35" i="45"/>
  <c r="F17" i="41"/>
  <c r="J21" i="44"/>
  <c r="O21" s="1"/>
  <c r="U34" i="45"/>
  <c r="G26" i="41"/>
  <c r="K30" i="44"/>
  <c r="V43" i="45"/>
  <c r="F22" i="41"/>
  <c r="J26" i="44"/>
  <c r="U39" i="45"/>
  <c r="F32" i="40"/>
  <c r="L36" i="44"/>
  <c r="W49" i="45"/>
  <c r="F18" i="37"/>
  <c r="P22" i="44"/>
  <c r="F30" i="40"/>
  <c r="L34" i="44"/>
  <c r="W47" i="45"/>
  <c r="F315" i="37"/>
  <c r="P309" i="44"/>
  <c r="G14" i="37"/>
  <c r="Q18" i="44"/>
  <c r="F28" i="37"/>
  <c r="P32" i="44"/>
  <c r="F15" i="40"/>
  <c r="L19" i="44"/>
  <c r="W32" i="45"/>
  <c r="G312" i="37"/>
  <c r="Q306" i="44"/>
  <c r="G208" i="37"/>
  <c r="Q202" i="44"/>
  <c r="G391" i="41"/>
  <c r="V410" i="45"/>
  <c r="K382" i="44"/>
  <c r="G380" i="41"/>
  <c r="K371" i="44"/>
  <c r="V399" i="45"/>
  <c r="G385" i="41"/>
  <c r="K376" i="44"/>
  <c r="V404" i="45"/>
  <c r="G30" i="37"/>
  <c r="Q34" i="44"/>
  <c r="F303" i="40"/>
  <c r="L300" i="44"/>
  <c r="W320" i="45"/>
  <c r="G225" i="41"/>
  <c r="K222" i="44"/>
  <c r="O222" s="1"/>
  <c r="V242" i="45"/>
  <c r="G401" i="41"/>
  <c r="K392" i="44"/>
  <c r="V420" i="45"/>
  <c r="G395" i="37"/>
  <c r="Q384" i="44"/>
  <c r="G412" i="37"/>
  <c r="Q401" i="44"/>
  <c r="F395" i="41"/>
  <c r="U414" i="45"/>
  <c r="J386" i="44"/>
  <c r="G363" i="41"/>
  <c r="V382" i="45"/>
  <c r="K354" i="44"/>
  <c r="F28" i="40"/>
  <c r="L32" i="44"/>
  <c r="W45" i="45"/>
  <c r="F277" i="37"/>
  <c r="P271" i="44"/>
  <c r="G206" i="37"/>
  <c r="Q200" i="44"/>
  <c r="G198" i="41"/>
  <c r="K195" i="44"/>
  <c r="V215" i="45"/>
  <c r="S33" i="43"/>
  <c r="F316" i="37"/>
  <c r="P310" i="44"/>
  <c r="F111" i="41"/>
  <c r="J108" i="44"/>
  <c r="U128" i="45"/>
  <c r="G275" i="41"/>
  <c r="V292" i="45"/>
  <c r="K272" i="44"/>
  <c r="F275" i="41"/>
  <c r="J272" i="44"/>
  <c r="U292" i="45"/>
  <c r="G193" i="37"/>
  <c r="Q187" i="44"/>
  <c r="F251" i="40"/>
  <c r="L248" i="44"/>
  <c r="W268" i="45"/>
  <c r="G369" i="41"/>
  <c r="K360" i="44"/>
  <c r="V388" i="45"/>
  <c r="F142" i="37"/>
  <c r="P136" i="44"/>
  <c r="F139" i="40"/>
  <c r="L136" i="44"/>
  <c r="W156" i="45"/>
  <c r="G222" i="41"/>
  <c r="K219" i="44"/>
  <c r="V239" i="45"/>
  <c r="F222" i="40"/>
  <c r="W239" i="45"/>
  <c r="L219" i="44"/>
  <c r="F115" i="37"/>
  <c r="P109" i="44"/>
  <c r="G34" i="41"/>
  <c r="V51" i="45"/>
  <c r="K38" i="44"/>
  <c r="F385" i="37"/>
  <c r="P374" i="44"/>
  <c r="G61" i="41"/>
  <c r="V78" i="45"/>
  <c r="K58" i="44"/>
  <c r="G342" i="41"/>
  <c r="V361" i="45"/>
  <c r="K333" i="44"/>
  <c r="G408" i="41"/>
  <c r="K399" i="44"/>
  <c r="V427" i="45"/>
  <c r="F276" i="37"/>
  <c r="P270" i="44"/>
  <c r="F123" i="41"/>
  <c r="J120" i="44"/>
  <c r="U140" i="45"/>
  <c r="F123" i="40"/>
  <c r="L120" i="44"/>
  <c r="W140" i="45"/>
  <c r="G406" i="37"/>
  <c r="Q395" i="44"/>
  <c r="G281" i="41"/>
  <c r="K278" i="44"/>
  <c r="V298" i="45"/>
  <c r="F135" i="37"/>
  <c r="P129" i="44"/>
  <c r="F160" i="40"/>
  <c r="L157" i="44"/>
  <c r="W177" i="45"/>
  <c r="F107" i="37"/>
  <c r="P101" i="44"/>
  <c r="F162" i="40"/>
  <c r="L159" i="44"/>
  <c r="W179" i="45"/>
  <c r="G294" i="37"/>
  <c r="Q288" i="44"/>
  <c r="CN287" i="1"/>
  <c r="Z311" i="43"/>
  <c r="AC311" s="1"/>
  <c r="G21" i="37"/>
  <c r="Q25" i="44"/>
  <c r="AM295" i="1"/>
  <c r="CI295" s="1"/>
  <c r="S319" i="43"/>
  <c r="G135" i="37"/>
  <c r="Q129" i="44"/>
  <c r="F165" i="37"/>
  <c r="P159" i="44"/>
  <c r="BT393" i="1"/>
  <c r="F404" i="40"/>
  <c r="L395" i="44"/>
  <c r="W423" i="45"/>
  <c r="BT225" i="1"/>
  <c r="F229" i="40"/>
  <c r="L226" i="44"/>
  <c r="W246" i="45"/>
  <c r="F310" i="37"/>
  <c r="P304" i="44"/>
  <c r="AM292" i="1"/>
  <c r="CI292" s="1"/>
  <c r="S316" i="43"/>
  <c r="AC275"/>
  <c r="T400" i="45"/>
  <c r="F29" i="40"/>
  <c r="W46" i="45"/>
  <c r="L33" i="44"/>
  <c r="G19" i="41"/>
  <c r="K23" i="44"/>
  <c r="V36" i="45"/>
  <c r="F23" i="41"/>
  <c r="J27" i="44"/>
  <c r="O27" s="1"/>
  <c r="U40" i="45"/>
  <c r="G413" i="41"/>
  <c r="V432" i="45"/>
  <c r="K404" i="44"/>
  <c r="F352" i="40"/>
  <c r="W371" i="45"/>
  <c r="L343" i="44"/>
  <c r="F335" i="41"/>
  <c r="J326" i="44"/>
  <c r="U354" i="45"/>
  <c r="F381" i="37"/>
  <c r="P370" i="44"/>
  <c r="G406" i="41"/>
  <c r="V425" i="45"/>
  <c r="K397" i="44"/>
  <c r="O397" s="1"/>
  <c r="F340" i="40"/>
  <c r="L331" i="44"/>
  <c r="W359" i="45"/>
  <c r="F357" i="37"/>
  <c r="P346" i="44"/>
  <c r="F378" i="40"/>
  <c r="W397" i="45"/>
  <c r="L369" i="44"/>
  <c r="F403" i="40"/>
  <c r="L394" i="44"/>
  <c r="W422" i="45"/>
  <c r="F337" i="40"/>
  <c r="L328" i="44"/>
  <c r="W356" i="45"/>
  <c r="F395" i="40"/>
  <c r="L386" i="44"/>
  <c r="W414" i="45"/>
  <c r="F378" i="41"/>
  <c r="J369" i="44"/>
  <c r="U397" i="45"/>
  <c r="G339" i="41"/>
  <c r="K330" i="44"/>
  <c r="V358" i="45"/>
  <c r="F144" i="37"/>
  <c r="P138" i="44"/>
  <c r="G51" i="41"/>
  <c r="K48" i="44"/>
  <c r="V68" i="45"/>
  <c r="G50" i="41"/>
  <c r="K47" i="44"/>
  <c r="V67" i="45"/>
  <c r="F340" i="37"/>
  <c r="P329" i="44"/>
  <c r="F312" i="37"/>
  <c r="P306" i="44"/>
  <c r="F309" i="40"/>
  <c r="W326" i="45"/>
  <c r="L306" i="44"/>
  <c r="F246" i="41"/>
  <c r="J243" i="44"/>
  <c r="U263" i="45"/>
  <c r="G150" i="41"/>
  <c r="K147" i="44"/>
  <c r="O147" s="1"/>
  <c r="V167" i="45"/>
  <c r="G142" i="41"/>
  <c r="K139" i="44"/>
  <c r="V159" i="45"/>
  <c r="G333" i="41"/>
  <c r="V352" i="45"/>
  <c r="K324" i="44"/>
  <c r="G390" i="37"/>
  <c r="Q379" i="44"/>
  <c r="F208" i="37"/>
  <c r="P202" i="44"/>
  <c r="F235" i="41"/>
  <c r="J232" i="44"/>
  <c r="U252" i="45"/>
  <c r="F377" i="40"/>
  <c r="W396" i="45"/>
  <c r="L368" i="44"/>
  <c r="F392" i="41"/>
  <c r="J383" i="44"/>
  <c r="U411" i="45"/>
  <c r="F392" i="40"/>
  <c r="L383" i="44"/>
  <c r="W411" i="45"/>
  <c r="G355" i="37"/>
  <c r="Q344" i="44"/>
  <c r="F382" i="40"/>
  <c r="W401" i="45"/>
  <c r="L373" i="44"/>
  <c r="F359" i="37"/>
  <c r="P348" i="44"/>
  <c r="F261" i="40"/>
  <c r="L258" i="44"/>
  <c r="W278" i="45"/>
  <c r="G215" i="37"/>
  <c r="Q209" i="44"/>
  <c r="F302" i="40"/>
  <c r="W319" i="45"/>
  <c r="L299" i="44"/>
  <c r="F32" i="37"/>
  <c r="P36" i="44"/>
  <c r="F26" i="37"/>
  <c r="P30" i="44"/>
  <c r="G28" i="41"/>
  <c r="K32" i="44"/>
  <c r="O32" s="1"/>
  <c r="V45" i="45"/>
  <c r="G364" i="37"/>
  <c r="Q353" i="44"/>
  <c r="G359" i="37"/>
  <c r="Q348" i="44"/>
  <c r="G260" i="41"/>
  <c r="V277" i="45"/>
  <c r="K257" i="44"/>
  <c r="G203" i="41"/>
  <c r="V220" i="45"/>
  <c r="K200" i="44"/>
  <c r="G201" i="37"/>
  <c r="Q195" i="44"/>
  <c r="F313" i="40"/>
  <c r="L310" i="44"/>
  <c r="W330" i="45"/>
  <c r="F313" i="41"/>
  <c r="J310" i="44"/>
  <c r="U330" i="45"/>
  <c r="G111" i="41"/>
  <c r="K108" i="44"/>
  <c r="V128" i="45"/>
  <c r="G190" i="41"/>
  <c r="K187" i="44"/>
  <c r="V207" i="45"/>
  <c r="G112" i="41"/>
  <c r="K109" i="44"/>
  <c r="V129" i="45"/>
  <c r="G35" i="41"/>
  <c r="K39" i="44"/>
  <c r="V52" i="45"/>
  <c r="G35" i="37"/>
  <c r="Q39" i="44"/>
  <c r="F31" i="40"/>
  <c r="L35" i="44"/>
  <c r="W48" i="45"/>
  <c r="F29" i="41"/>
  <c r="J33" i="44"/>
  <c r="O33" s="1"/>
  <c r="U46" i="45"/>
  <c r="F27" i="37"/>
  <c r="P31" i="44"/>
  <c r="G25" i="41"/>
  <c r="K29" i="44"/>
  <c r="V42" i="45"/>
  <c r="G25" i="37"/>
  <c r="Q29" i="44"/>
  <c r="F19" i="40"/>
  <c r="L23" i="44"/>
  <c r="W36" i="45"/>
  <c r="F24" i="41"/>
  <c r="J28" i="44"/>
  <c r="U41" i="45"/>
  <c r="AB41" s="1"/>
  <c r="F23" i="37"/>
  <c r="P27" i="44"/>
  <c r="G16" i="41"/>
  <c r="K20" i="44"/>
  <c r="O20" s="1"/>
  <c r="V33" i="45"/>
  <c r="G16" i="37"/>
  <c r="Q20" i="44"/>
  <c r="G415" i="37"/>
  <c r="Q404" i="44"/>
  <c r="F336" i="41"/>
  <c r="J327" i="44"/>
  <c r="U355" i="45"/>
  <c r="F344" i="40"/>
  <c r="W363" i="45"/>
  <c r="L335" i="44"/>
  <c r="G346" i="37"/>
  <c r="Q335" i="44"/>
  <c r="G352" i="41"/>
  <c r="V371" i="45"/>
  <c r="K343" i="44"/>
  <c r="O343" s="1"/>
  <c r="F392" i="37"/>
  <c r="P381" i="44"/>
  <c r="F335" i="40"/>
  <c r="W354" i="45"/>
  <c r="L326" i="44"/>
  <c r="G337" i="37"/>
  <c r="Q326" i="44"/>
  <c r="G347" i="41"/>
  <c r="K338" i="44"/>
  <c r="V366" i="45"/>
  <c r="F359" i="40"/>
  <c r="W378" i="45"/>
  <c r="L350" i="44"/>
  <c r="F379" i="41"/>
  <c r="U398" i="45"/>
  <c r="J370" i="44"/>
  <c r="O370" s="1"/>
  <c r="L380"/>
  <c r="W408" i="45"/>
  <c r="F389" i="40"/>
  <c r="G391" i="37"/>
  <c r="Q380" i="44"/>
  <c r="G394" i="41"/>
  <c r="K385" i="44"/>
  <c r="V413" i="45"/>
  <c r="F408" i="37"/>
  <c r="P397" i="44"/>
  <c r="F412" i="41"/>
  <c r="U431" i="45"/>
  <c r="AB431" s="1"/>
  <c r="J403" i="44"/>
  <c r="F332" i="40"/>
  <c r="L323" i="44"/>
  <c r="W351" i="45"/>
  <c r="G334" i="37"/>
  <c r="Q323" i="44"/>
  <c r="G340" i="41"/>
  <c r="K331" i="44"/>
  <c r="O331" s="1"/>
  <c r="V359" i="45"/>
  <c r="F350" i="37"/>
  <c r="P339" i="44"/>
  <c r="F355" i="41"/>
  <c r="U374" i="45"/>
  <c r="J346" i="44"/>
  <c r="O346" s="1"/>
  <c r="F368" i="37"/>
  <c r="P357" i="44"/>
  <c r="G368" i="37"/>
  <c r="Q357" i="44"/>
  <c r="G399" i="41"/>
  <c r="V418" i="45"/>
  <c r="K390" i="44"/>
  <c r="G376" i="37"/>
  <c r="Q365" i="44"/>
  <c r="G389" i="37"/>
  <c r="Q378" i="44"/>
  <c r="G405" i="37"/>
  <c r="Q394" i="44"/>
  <c r="F339" i="40"/>
  <c r="L330" i="44"/>
  <c r="W358" i="45"/>
  <c r="F393" i="41"/>
  <c r="J384" i="44"/>
  <c r="O384" s="1"/>
  <c r="U412" i="45"/>
  <c r="F339" i="37"/>
  <c r="P328" i="44"/>
  <c r="F345" i="40"/>
  <c r="L336" i="44"/>
  <c r="W364" i="45"/>
  <c r="F334" i="41"/>
  <c r="J325" i="44"/>
  <c r="U353" i="45"/>
  <c r="G376" i="41"/>
  <c r="K367" i="44"/>
  <c r="V395" i="45"/>
  <c r="F405" i="37"/>
  <c r="P394" i="44"/>
  <c r="G374" i="41"/>
  <c r="V393" i="45"/>
  <c r="K365" i="44"/>
  <c r="G363" i="37"/>
  <c r="Q352" i="44"/>
  <c r="F387" i="41"/>
  <c r="U406" i="45"/>
  <c r="J378" i="44"/>
  <c r="F331" i="40"/>
  <c r="L322" i="44"/>
  <c r="W350" i="45"/>
  <c r="F391" i="41"/>
  <c r="J382" i="44"/>
  <c r="U410" i="45"/>
  <c r="F380" i="37"/>
  <c r="P369" i="44"/>
  <c r="G333" i="37"/>
  <c r="Q322" i="44"/>
  <c r="F141" i="40"/>
  <c r="L138" i="44"/>
  <c r="W158" i="45"/>
  <c r="F103" i="40"/>
  <c r="L100" i="44"/>
  <c r="W120" i="45"/>
  <c r="J100" i="44"/>
  <c r="F103" i="41"/>
  <c r="U120" i="45"/>
  <c r="F51" i="40"/>
  <c r="L48" i="44"/>
  <c r="W68" i="45"/>
  <c r="F149" i="37"/>
  <c r="P143" i="44"/>
  <c r="F62" i="37"/>
  <c r="P56" i="44"/>
  <c r="F50" i="40"/>
  <c r="L47" i="44"/>
  <c r="W67" i="45"/>
  <c r="G131" i="37"/>
  <c r="Q125" i="44"/>
  <c r="F327" i="40"/>
  <c r="L318" i="44"/>
  <c r="W346" i="45"/>
  <c r="F338" i="40"/>
  <c r="W357" i="45"/>
  <c r="L329" i="44"/>
  <c r="G354" i="41"/>
  <c r="K345" i="44"/>
  <c r="V373" i="45"/>
  <c r="G372" i="37"/>
  <c r="Q361" i="44"/>
  <c r="G209" i="41"/>
  <c r="K206" i="44"/>
  <c r="V226" i="45"/>
  <c r="F246" i="40"/>
  <c r="W263" i="45"/>
  <c r="L243" i="44"/>
  <c r="F382" i="37"/>
  <c r="P371" i="44"/>
  <c r="F351" i="41"/>
  <c r="J342" i="44"/>
  <c r="U370" i="45"/>
  <c r="F385" i="40"/>
  <c r="W404" i="45"/>
  <c r="L376" i="44"/>
  <c r="G238" i="41"/>
  <c r="K235" i="44"/>
  <c r="V255" i="45"/>
  <c r="G160" i="37"/>
  <c r="Q154" i="44"/>
  <c r="F214" i="37"/>
  <c r="P208" i="44"/>
  <c r="G246" i="41"/>
  <c r="K243" i="44"/>
  <c r="V263" i="45"/>
  <c r="G148" i="41"/>
  <c r="V165" i="45"/>
  <c r="K145" i="44"/>
  <c r="F356" i="40"/>
  <c r="L347" i="44"/>
  <c r="W375" i="45"/>
  <c r="F412" i="37"/>
  <c r="P401" i="44"/>
  <c r="F380" i="41"/>
  <c r="U399" i="45"/>
  <c r="J371" i="44"/>
  <c r="F375" i="41"/>
  <c r="J366" i="44"/>
  <c r="O366" s="1"/>
  <c r="U394" i="45"/>
  <c r="G252" i="41"/>
  <c r="V269" i="45"/>
  <c r="K249" i="44"/>
  <c r="F354" i="40"/>
  <c r="W373" i="45"/>
  <c r="L345" i="44"/>
  <c r="F348" i="37"/>
  <c r="P337" i="44"/>
  <c r="F388" i="41"/>
  <c r="U407" i="45"/>
  <c r="J379" i="44"/>
  <c r="F341" i="40"/>
  <c r="L332" i="44"/>
  <c r="W360" i="45"/>
  <c r="G145" i="37"/>
  <c r="Q139" i="44"/>
  <c r="F410" i="40"/>
  <c r="W429" i="45"/>
  <c r="L401" i="44"/>
  <c r="F362" i="41"/>
  <c r="J353" i="44"/>
  <c r="U381" i="45"/>
  <c r="F351" i="37"/>
  <c r="P340" i="44"/>
  <c r="F163" i="40"/>
  <c r="L160" i="44"/>
  <c r="W180" i="45"/>
  <c r="F358" i="40"/>
  <c r="W377" i="45"/>
  <c r="L349" i="44"/>
  <c r="F209" i="41"/>
  <c r="J206" i="44"/>
  <c r="U226" i="45"/>
  <c r="G157" i="41"/>
  <c r="K154" i="44"/>
  <c r="V174" i="45"/>
  <c r="F388" i="40"/>
  <c r="L379" i="44"/>
  <c r="W407" i="45"/>
  <c r="G238" i="37"/>
  <c r="Q232" i="44"/>
  <c r="F382" i="41"/>
  <c r="J373" i="44"/>
  <c r="U401" i="45"/>
  <c r="F328" i="37"/>
  <c r="P317" i="44"/>
  <c r="F357" i="41"/>
  <c r="U376" i="45"/>
  <c r="J348" i="44"/>
  <c r="F379" i="37"/>
  <c r="P368" i="44"/>
  <c r="F353" i="37"/>
  <c r="P342" i="44"/>
  <c r="G329" i="41"/>
  <c r="K320" i="44"/>
  <c r="V348" i="45"/>
  <c r="F345" i="41"/>
  <c r="U364" i="45"/>
  <c r="J336" i="44"/>
  <c r="G166" i="37"/>
  <c r="Q160" i="44"/>
  <c r="F142" i="41"/>
  <c r="J139" i="44"/>
  <c r="U159" i="45"/>
  <c r="G353" i="37"/>
  <c r="Q342" i="44"/>
  <c r="G235" i="41"/>
  <c r="V252" i="45"/>
  <c r="K232" i="44"/>
  <c r="F384" i="40"/>
  <c r="L375" i="44"/>
  <c r="W403" i="45"/>
  <c r="G384" i="37"/>
  <c r="Q373" i="44"/>
  <c r="G328" i="37"/>
  <c r="Q317" i="44"/>
  <c r="F366" i="37"/>
  <c r="P355" i="44"/>
  <c r="G347" i="37"/>
  <c r="Q336" i="44"/>
  <c r="G228" i="37"/>
  <c r="Q222" i="44"/>
  <c r="G357" i="41"/>
  <c r="V376" i="45"/>
  <c r="K348" i="44"/>
  <c r="G171" i="37"/>
  <c r="Q165" i="44"/>
  <c r="F171" i="37"/>
  <c r="P165" i="44"/>
  <c r="F326" i="41"/>
  <c r="U345" i="45"/>
  <c r="J317" i="44"/>
  <c r="F384" i="41"/>
  <c r="J375" i="44"/>
  <c r="U403" i="45"/>
  <c r="F33" i="37"/>
  <c r="P37" i="44"/>
  <c r="F199" i="41"/>
  <c r="J196" i="44"/>
  <c r="U216" i="45"/>
  <c r="F311" i="37"/>
  <c r="P305" i="44"/>
  <c r="F215" i="37"/>
  <c r="P209" i="44"/>
  <c r="G305" i="37"/>
  <c r="Q299" i="44"/>
  <c r="G303" i="41"/>
  <c r="K300" i="44"/>
  <c r="V320" i="45"/>
  <c r="G36" i="37"/>
  <c r="Q40" i="44"/>
  <c r="F36" i="40"/>
  <c r="L40" i="44"/>
  <c r="W53" i="45"/>
  <c r="F36" i="41"/>
  <c r="J40" i="44"/>
  <c r="O40" s="1"/>
  <c r="U53" i="45"/>
  <c r="F32" i="41"/>
  <c r="J36" i="44"/>
  <c r="U49" i="45"/>
  <c r="F17" i="37"/>
  <c r="P21" i="44"/>
  <c r="F20" i="41"/>
  <c r="J24" i="44"/>
  <c r="U37" i="45"/>
  <c r="G30" i="41"/>
  <c r="K34" i="44"/>
  <c r="V47" i="45"/>
  <c r="G26" i="37"/>
  <c r="Q30" i="44"/>
  <c r="F22" i="37"/>
  <c r="P26" i="44"/>
  <c r="F312" i="40"/>
  <c r="L309" i="44"/>
  <c r="W329" i="45"/>
  <c r="G32" i="41"/>
  <c r="K36" i="44"/>
  <c r="V49" i="45"/>
  <c r="F14" i="37"/>
  <c r="P18" i="44"/>
  <c r="F26" i="40"/>
  <c r="L30" i="44"/>
  <c r="W43" i="45"/>
  <c r="F212" i="40"/>
  <c r="L209" i="44"/>
  <c r="W229" i="45"/>
  <c r="F241" i="37"/>
  <c r="P235" i="44"/>
  <c r="G348" i="37"/>
  <c r="Q337" i="44"/>
  <c r="G365" i="41"/>
  <c r="K356" i="44"/>
  <c r="V384" i="45"/>
  <c r="G407" i="41"/>
  <c r="V426" i="45"/>
  <c r="K398" i="44"/>
  <c r="G401" i="37"/>
  <c r="Q390" i="44"/>
  <c r="F22" i="40"/>
  <c r="L26" i="44"/>
  <c r="W39" i="45"/>
  <c r="G302" i="41"/>
  <c r="K299" i="44"/>
  <c r="V319" i="45"/>
  <c r="G358" i="41"/>
  <c r="V377" i="45"/>
  <c r="K349" i="44"/>
  <c r="G353" i="41"/>
  <c r="K344" i="44"/>
  <c r="V372" i="45"/>
  <c r="G411" i="41"/>
  <c r="V430" i="45"/>
  <c r="K402" i="44"/>
  <c r="G325" i="41"/>
  <c r="V344" i="45"/>
  <c r="K316" i="44"/>
  <c r="F403" i="41"/>
  <c r="U422" i="45"/>
  <c r="J394" i="44"/>
  <c r="O394" s="1"/>
  <c r="F14" i="41"/>
  <c r="J18" i="44"/>
  <c r="O18" s="1"/>
  <c r="U31" i="45"/>
  <c r="G22" i="37"/>
  <c r="Q26" i="44"/>
  <c r="G277" i="37"/>
  <c r="Q271" i="44"/>
  <c r="F15" i="37"/>
  <c r="P19" i="44"/>
  <c r="F263" i="37"/>
  <c r="P257" i="44"/>
  <c r="F260" i="40"/>
  <c r="L257" i="44"/>
  <c r="W277" i="45"/>
  <c r="F203" i="40"/>
  <c r="L200" i="44"/>
  <c r="W220" i="45"/>
  <c r="F203" i="41"/>
  <c r="J200" i="44"/>
  <c r="U220" i="45"/>
  <c r="F201" i="37"/>
  <c r="P195" i="44"/>
  <c r="F114" i="37"/>
  <c r="P108" i="44"/>
  <c r="F275" i="40"/>
  <c r="L272" i="44"/>
  <c r="W292" i="45"/>
  <c r="F278" i="37"/>
  <c r="P272" i="44"/>
  <c r="BA293" i="1"/>
  <c r="BX293" s="1"/>
  <c r="Z320" i="52" s="1"/>
  <c r="AB320" s="1"/>
  <c r="F193" i="37"/>
  <c r="P187" i="44"/>
  <c r="F251" i="41"/>
  <c r="J248" i="44"/>
  <c r="U268" i="45"/>
  <c r="F254" i="37"/>
  <c r="P248" i="44"/>
  <c r="G139" i="41"/>
  <c r="V156" i="45"/>
  <c r="K136" i="44"/>
  <c r="F225" i="37"/>
  <c r="P219" i="44"/>
  <c r="G115" i="37"/>
  <c r="Q109" i="44"/>
  <c r="F112" i="40"/>
  <c r="L109" i="44"/>
  <c r="W129" i="45"/>
  <c r="F383" i="41"/>
  <c r="J374" i="44"/>
  <c r="U402" i="45"/>
  <c r="F383" i="40"/>
  <c r="L374" i="44"/>
  <c r="W402" i="45"/>
  <c r="F61" i="41"/>
  <c r="J58" i="44"/>
  <c r="U78" i="45"/>
  <c r="F61" i="40"/>
  <c r="L58" i="44"/>
  <c r="W78" i="45"/>
  <c r="F344" i="37"/>
  <c r="P333" i="44"/>
  <c r="F342" i="40"/>
  <c r="W361" i="45"/>
  <c r="AB361" s="1"/>
  <c r="L333" i="44"/>
  <c r="F410" i="37"/>
  <c r="P399" i="44"/>
  <c r="F408" i="40"/>
  <c r="L399" i="44"/>
  <c r="W427" i="45"/>
  <c r="F273" i="41"/>
  <c r="J270" i="44"/>
  <c r="U290" i="45"/>
  <c r="F273" i="40"/>
  <c r="L270" i="44"/>
  <c r="W290" i="45"/>
  <c r="G126" i="37"/>
  <c r="Q120" i="44"/>
  <c r="AM393" i="1"/>
  <c r="CN393"/>
  <c r="Z428" i="43"/>
  <c r="AC428" s="1"/>
  <c r="CN18" i="1"/>
  <c r="Z34" i="43"/>
  <c r="AC34" s="1"/>
  <c r="G165" i="37"/>
  <c r="Q159" i="44"/>
  <c r="F406" i="37"/>
  <c r="P395" i="44"/>
  <c r="F163" i="37"/>
  <c r="P157" i="44"/>
  <c r="F291" i="41"/>
  <c r="U308" i="45"/>
  <c r="J288" i="44"/>
  <c r="F294" i="37"/>
  <c r="P288" i="44"/>
  <c r="F132" i="41"/>
  <c r="U149" i="45"/>
  <c r="J129" i="44"/>
  <c r="G162" i="41"/>
  <c r="K159" i="44"/>
  <c r="V179" i="45"/>
  <c r="CN156" i="1"/>
  <c r="Z180" i="43"/>
  <c r="AC180" s="1"/>
  <c r="AM225" i="1"/>
  <c r="CI225" s="1"/>
  <c r="S249" i="43"/>
  <c r="AM243" i="1"/>
  <c r="CI243" s="1"/>
  <c r="S267" i="43"/>
  <c r="AC267" s="1"/>
  <c r="BQ303" i="1"/>
  <c r="F307" i="41"/>
  <c r="U324" i="45"/>
  <c r="J304" i="44"/>
  <c r="BT303" i="1"/>
  <c r="F307" i="40"/>
  <c r="L304" i="44"/>
  <c r="W324" i="45"/>
  <c r="AC327" i="43"/>
  <c r="AB423" i="45"/>
  <c r="CR224" i="1"/>
  <c r="BA251"/>
  <c r="BX251" s="1"/>
  <c r="Z278" i="52" s="1"/>
  <c r="AB278" s="1"/>
  <c r="AU389" i="1"/>
  <c r="BA224"/>
  <c r="BX224" s="1"/>
  <c r="BN224"/>
  <c r="BB224"/>
  <c r="Z248" i="43" s="1"/>
  <c r="BM224" i="1"/>
  <c r="BL224"/>
  <c r="BR224"/>
  <c r="BS224"/>
  <c r="AU292"/>
  <c r="CP389"/>
  <c r="BF389"/>
  <c r="BM251"/>
  <c r="BQ251" s="1"/>
  <c r="BN251"/>
  <c r="CP295"/>
  <c r="BF295"/>
  <c r="CN243"/>
  <c r="BS251"/>
  <c r="BR251"/>
  <c r="BQ298"/>
  <c r="BV303"/>
  <c r="BW303" s="1"/>
  <c r="BZ303"/>
  <c r="CR251"/>
  <c r="Y278" i="52"/>
  <c r="BT100" i="1"/>
  <c r="BR203"/>
  <c r="BT277"/>
  <c r="BN293"/>
  <c r="AM289"/>
  <c r="CI289" s="1"/>
  <c r="AM38"/>
  <c r="AM254"/>
  <c r="CI254" s="1"/>
  <c r="BZ128"/>
  <c r="AM83"/>
  <c r="CI83" s="1"/>
  <c r="AM178"/>
  <c r="CI178" s="1"/>
  <c r="BM225"/>
  <c r="BR243"/>
  <c r="BR225"/>
  <c r="BB225"/>
  <c r="BS225"/>
  <c r="BL225"/>
  <c r="BA225"/>
  <c r="BX225" s="1"/>
  <c r="Z251" i="52" s="1"/>
  <c r="AB251" s="1"/>
  <c r="BA243" i="1"/>
  <c r="BX243" s="1"/>
  <c r="Z270" i="52" s="1"/>
  <c r="AB270" s="1"/>
  <c r="BM243" i="1"/>
  <c r="CR272"/>
  <c r="CR243"/>
  <c r="CR225"/>
  <c r="Y299" i="52"/>
  <c r="Y270"/>
  <c r="AM271" i="1"/>
  <c r="AM218"/>
  <c r="CN340"/>
  <c r="BZ25"/>
  <c r="BZ100"/>
  <c r="BZ287"/>
  <c r="BL243"/>
  <c r="BS243"/>
  <c r="BN243"/>
  <c r="Y251" i="52"/>
  <c r="Y319"/>
  <c r="BZ156" i="1"/>
  <c r="Z319" i="52"/>
  <c r="AB319" s="1"/>
  <c r="BB272" i="1"/>
  <c r="Z296" i="43" s="1"/>
  <c r="BA272" i="1"/>
  <c r="BX272" s="1"/>
  <c r="Z299" i="52" s="1"/>
  <c r="AB299" s="1"/>
  <c r="BN272" i="1"/>
  <c r="BM272"/>
  <c r="BL272"/>
  <c r="BS272"/>
  <c r="BR272"/>
  <c r="AB33" i="52"/>
  <c r="Z42"/>
  <c r="AB42" s="1"/>
  <c r="Z432"/>
  <c r="AB432" s="1"/>
  <c r="BZ277" i="1"/>
  <c r="BB293"/>
  <c r="Z317" i="43" s="1"/>
  <c r="AC317" s="1"/>
  <c r="Y58" i="52"/>
  <c r="BL293" i="1"/>
  <c r="BT156"/>
  <c r="AM398"/>
  <c r="CI398" s="1"/>
  <c r="BS293"/>
  <c r="BM293"/>
  <c r="BR293"/>
  <c r="BT287"/>
  <c r="BT25"/>
  <c r="CN347"/>
  <c r="AM199"/>
  <c r="AM219"/>
  <c r="CI219" s="1"/>
  <c r="AM280"/>
  <c r="CI280" s="1"/>
  <c r="AM57"/>
  <c r="CR293"/>
  <c r="BQ305"/>
  <c r="CG305" s="1"/>
  <c r="BQ100"/>
  <c r="CG100" s="1"/>
  <c r="BQ128"/>
  <c r="CN271"/>
  <c r="AU295"/>
  <c r="Y322" i="52" s="1"/>
  <c r="BQ304" i="1"/>
  <c r="BQ299"/>
  <c r="BQ308"/>
  <c r="BQ309"/>
  <c r="CG309" s="1"/>
  <c r="AM216"/>
  <c r="CI216" s="1"/>
  <c r="CN186"/>
  <c r="CN256"/>
  <c r="BF216"/>
  <c r="AM309"/>
  <c r="CI309" s="1"/>
  <c r="BQ287"/>
  <c r="CN403"/>
  <c r="BZ393"/>
  <c r="AM51"/>
  <c r="CI51" s="1"/>
  <c r="CJ51" s="1"/>
  <c r="BQ158"/>
  <c r="CG158" s="1"/>
  <c r="BQ25"/>
  <c r="CB25" s="1"/>
  <c r="BT158"/>
  <c r="BT128"/>
  <c r="AM247"/>
  <c r="BQ156"/>
  <c r="AM385"/>
  <c r="CI385" s="1"/>
  <c r="CN334"/>
  <c r="CN325"/>
  <c r="CN374"/>
  <c r="AM119"/>
  <c r="BV393"/>
  <c r="AM90"/>
  <c r="CI90" s="1"/>
  <c r="BQ277"/>
  <c r="AM203"/>
  <c r="CI203" s="1"/>
  <c r="BT38"/>
  <c r="BQ393"/>
  <c r="CN194"/>
  <c r="CN135"/>
  <c r="BZ158"/>
  <c r="CN107"/>
  <c r="CN108"/>
  <c r="CN218"/>
  <c r="CN199"/>
  <c r="BT251"/>
  <c r="BB161"/>
  <c r="Z185" i="43" s="1"/>
  <c r="BZ32" i="1"/>
  <c r="BZ26"/>
  <c r="BZ270"/>
  <c r="BZ256"/>
  <c r="BB252"/>
  <c r="Z276" i="43" s="1"/>
  <c r="AC276" s="1"/>
  <c r="BZ199" i="1"/>
  <c r="BZ194"/>
  <c r="BZ309"/>
  <c r="BB94"/>
  <c r="Z118" i="43" s="1"/>
  <c r="BZ271" i="1"/>
  <c r="BZ186"/>
  <c r="BZ358"/>
  <c r="BZ108"/>
  <c r="BZ57"/>
  <c r="BZ397"/>
  <c r="BZ269"/>
  <c r="CN128"/>
  <c r="CN100"/>
  <c r="CN277"/>
  <c r="CN158"/>
  <c r="CN25"/>
  <c r="BB204"/>
  <c r="Z228" i="43" s="1"/>
  <c r="AC228" s="1"/>
  <c r="BZ18" i="1"/>
  <c r="BB255"/>
  <c r="Z279" i="43" s="1"/>
  <c r="BZ107" i="1"/>
  <c r="BB210"/>
  <c r="Z234" i="43" s="1"/>
  <c r="BZ293" i="1"/>
  <c r="BZ135"/>
  <c r="BB219"/>
  <c r="Z243" i="43" s="1"/>
  <c r="AC243" s="1"/>
  <c r="BZ218" i="1"/>
  <c r="BB203"/>
  <c r="Z227" i="43" s="1"/>
  <c r="AC227" s="1"/>
  <c r="BB385" i="1"/>
  <c r="BZ38"/>
  <c r="BZ247"/>
  <c r="BZ308"/>
  <c r="BZ34"/>
  <c r="BZ36"/>
  <c r="BZ19"/>
  <c r="BZ299"/>
  <c r="BZ298"/>
  <c r="BZ398"/>
  <c r="BZ195"/>
  <c r="BZ373"/>
  <c r="BZ234"/>
  <c r="BZ146"/>
  <c r="BZ138"/>
  <c r="BZ55"/>
  <c r="BZ46"/>
  <c r="BZ257"/>
  <c r="BZ231"/>
  <c r="BZ207"/>
  <c r="BZ159"/>
  <c r="BZ137"/>
  <c r="BZ99"/>
  <c r="BZ335"/>
  <c r="BZ347"/>
  <c r="BZ403"/>
  <c r="BZ367"/>
  <c r="BZ386"/>
  <c r="BZ315"/>
  <c r="BZ346"/>
  <c r="BZ353"/>
  <c r="BZ370"/>
  <c r="BZ380"/>
  <c r="BZ316"/>
  <c r="BZ323"/>
  <c r="BZ343"/>
  <c r="BZ359"/>
  <c r="BZ382"/>
  <c r="BZ400"/>
  <c r="BZ322"/>
  <c r="BZ330"/>
  <c r="BZ338"/>
  <c r="BZ314"/>
  <c r="BZ369"/>
  <c r="BZ384"/>
  <c r="BZ396"/>
  <c r="BZ328"/>
  <c r="BZ352"/>
  <c r="BZ364"/>
  <c r="BZ402"/>
  <c r="BZ325"/>
  <c r="BZ333"/>
  <c r="BZ341"/>
  <c r="BZ388"/>
  <c r="BZ336"/>
  <c r="BZ348"/>
  <c r="BZ368"/>
  <c r="BZ383"/>
  <c r="BZ395"/>
  <c r="BZ39"/>
  <c r="BZ33"/>
  <c r="BZ29"/>
  <c r="BZ27"/>
  <c r="BZ20"/>
  <c r="BZ313"/>
  <c r="BZ344"/>
  <c r="BZ378"/>
  <c r="BZ31"/>
  <c r="BZ23"/>
  <c r="BZ30"/>
  <c r="BZ21"/>
  <c r="BZ24"/>
  <c r="BZ22"/>
  <c r="BZ40"/>
  <c r="BZ208"/>
  <c r="BZ304"/>
  <c r="BZ164"/>
  <c r="BZ37"/>
  <c r="BZ381"/>
  <c r="BZ305"/>
  <c r="BZ205"/>
  <c r="BZ153"/>
  <c r="BZ142"/>
  <c r="BZ49"/>
  <c r="BZ242"/>
  <c r="BZ248"/>
  <c r="BZ221"/>
  <c r="BZ201"/>
  <c r="BZ144"/>
  <c r="BZ124"/>
  <c r="BZ47"/>
  <c r="BZ351"/>
  <c r="BZ363"/>
  <c r="BZ371"/>
  <c r="BZ390"/>
  <c r="BZ342"/>
  <c r="BZ350"/>
  <c r="BZ366"/>
  <c r="BZ376"/>
  <c r="BZ319"/>
  <c r="BZ327"/>
  <c r="BZ354"/>
  <c r="BZ377"/>
  <c r="BZ318"/>
  <c r="BZ326"/>
  <c r="BZ334"/>
  <c r="BZ399"/>
  <c r="BZ345"/>
  <c r="BZ365"/>
  <c r="BZ375"/>
  <c r="BZ392"/>
  <c r="BZ320"/>
  <c r="BZ340"/>
  <c r="BZ374"/>
  <c r="BZ321"/>
  <c r="BZ329"/>
  <c r="BZ337"/>
  <c r="BZ379"/>
  <c r="BZ324"/>
  <c r="BZ355"/>
  <c r="BZ401"/>
  <c r="BZ35"/>
  <c r="BZ28"/>
  <c r="BZ17"/>
  <c r="BZ372"/>
  <c r="BZ331"/>
  <c r="BZ119"/>
  <c r="Y250" i="52"/>
  <c r="CN251" i="1"/>
  <c r="BF280"/>
  <c r="AU254"/>
  <c r="CN358"/>
  <c r="CN247"/>
  <c r="CN270"/>
  <c r="CN308"/>
  <c r="CN34"/>
  <c r="CN36"/>
  <c r="CN19"/>
  <c r="CN299"/>
  <c r="CN298"/>
  <c r="CN398"/>
  <c r="CN195"/>
  <c r="CN373"/>
  <c r="CN234"/>
  <c r="CN146"/>
  <c r="CN138"/>
  <c r="CN55"/>
  <c r="CN46"/>
  <c r="CN257"/>
  <c r="CN231"/>
  <c r="CN207"/>
  <c r="CN159"/>
  <c r="CN137"/>
  <c r="CN99"/>
  <c r="CN335"/>
  <c r="CN367"/>
  <c r="CN386"/>
  <c r="CN315"/>
  <c r="CN346"/>
  <c r="CN353"/>
  <c r="CN370"/>
  <c r="CN380"/>
  <c r="CN316"/>
  <c r="CN323"/>
  <c r="CN343"/>
  <c r="CN359"/>
  <c r="CN382"/>
  <c r="CN400"/>
  <c r="CN322"/>
  <c r="CN330"/>
  <c r="CN338"/>
  <c r="CN314"/>
  <c r="CN369"/>
  <c r="CN384"/>
  <c r="CN396"/>
  <c r="CN328"/>
  <c r="CN352"/>
  <c r="CN364"/>
  <c r="CN402"/>
  <c r="CN333"/>
  <c r="CN341"/>
  <c r="CN388"/>
  <c r="CN336"/>
  <c r="CN348"/>
  <c r="CN368"/>
  <c r="CN383"/>
  <c r="CN395"/>
  <c r="CN39"/>
  <c r="CN33"/>
  <c r="CN29"/>
  <c r="CN27"/>
  <c r="CN20"/>
  <c r="CN313"/>
  <c r="CN344"/>
  <c r="CN378"/>
  <c r="CN31"/>
  <c r="CN23"/>
  <c r="CN309"/>
  <c r="CN30"/>
  <c r="CN21"/>
  <c r="CN24"/>
  <c r="CN22"/>
  <c r="CN40"/>
  <c r="CN208"/>
  <c r="CN304"/>
  <c r="CN164"/>
  <c r="CN37"/>
  <c r="CN381"/>
  <c r="CN305"/>
  <c r="CN205"/>
  <c r="CN153"/>
  <c r="CN142"/>
  <c r="CN49"/>
  <c r="CN242"/>
  <c r="CN248"/>
  <c r="CN221"/>
  <c r="CN201"/>
  <c r="CN144"/>
  <c r="CN124"/>
  <c r="CN47"/>
  <c r="CN351"/>
  <c r="CN363"/>
  <c r="CN371"/>
  <c r="CN390"/>
  <c r="CN342"/>
  <c r="CN350"/>
  <c r="CN366"/>
  <c r="CN376"/>
  <c r="CN319"/>
  <c r="CN327"/>
  <c r="CN354"/>
  <c r="CN377"/>
  <c r="CN318"/>
  <c r="CN326"/>
  <c r="CN399"/>
  <c r="CN345"/>
  <c r="CN365"/>
  <c r="CN375"/>
  <c r="CN392"/>
  <c r="CN320"/>
  <c r="CN321"/>
  <c r="CN329"/>
  <c r="CN337"/>
  <c r="CN379"/>
  <c r="CN324"/>
  <c r="CN355"/>
  <c r="CN401"/>
  <c r="CN35"/>
  <c r="CN28"/>
  <c r="BT372"/>
  <c r="AM372"/>
  <c r="AM269"/>
  <c r="CN57"/>
  <c r="CN331"/>
  <c r="CN397"/>
  <c r="CN119"/>
  <c r="AM397"/>
  <c r="AM108"/>
  <c r="BT108"/>
  <c r="CN38"/>
  <c r="CN372"/>
  <c r="BQ57"/>
  <c r="BT57"/>
  <c r="BT331"/>
  <c r="CP216"/>
  <c r="BT397"/>
  <c r="CN269"/>
  <c r="BT269"/>
  <c r="BQ119"/>
  <c r="BT119"/>
  <c r="AU216"/>
  <c r="Y242" i="52" s="1"/>
  <c r="BQ397" i="1"/>
  <c r="CG397" s="1"/>
  <c r="BQ331"/>
  <c r="BQ269"/>
  <c r="AU165"/>
  <c r="Y191" i="52" s="1"/>
  <c r="CP90" i="1"/>
  <c r="BF90"/>
  <c r="AU90"/>
  <c r="Y115" i="52" s="1"/>
  <c r="BA203" i="1"/>
  <c r="BX203" s="1"/>
  <c r="Z229" i="52" s="1"/>
  <c r="AB229" s="1"/>
  <c r="BQ372" i="1"/>
  <c r="CG372" s="1"/>
  <c r="BT293"/>
  <c r="J314" i="41"/>
  <c r="BS203" i="1"/>
  <c r="BN203"/>
  <c r="BQ38"/>
  <c r="CG38" s="1"/>
  <c r="BA189"/>
  <c r="BX189" s="1"/>
  <c r="Z215" i="52" s="1"/>
  <c r="AB215" s="1"/>
  <c r="BB189" i="1"/>
  <c r="Z213" i="43" s="1"/>
  <c r="BA171" i="1"/>
  <c r="BX171" s="1"/>
  <c r="Z197" i="52" s="1"/>
  <c r="AB197" s="1"/>
  <c r="BB171" i="1"/>
  <c r="Z195" i="43" s="1"/>
  <c r="BA115" i="1"/>
  <c r="BX115" s="1"/>
  <c r="Z140" i="52" s="1"/>
  <c r="AB140" s="1"/>
  <c r="BB115" i="1"/>
  <c r="Z139" i="43" s="1"/>
  <c r="BA70" i="1"/>
  <c r="BX70" s="1"/>
  <c r="Z95" i="52" s="1"/>
  <c r="AB95" s="1"/>
  <c r="BB70" i="1"/>
  <c r="Z94" i="43" s="1"/>
  <c r="BA61" i="1"/>
  <c r="BX61" s="1"/>
  <c r="Z86" i="52" s="1"/>
  <c r="AB86" s="1"/>
  <c r="BB61" i="1"/>
  <c r="Z85" i="43" s="1"/>
  <c r="BA166" i="1"/>
  <c r="BX166" s="1"/>
  <c r="Z192" i="52" s="1"/>
  <c r="AB192" s="1"/>
  <c r="BB166" i="1"/>
  <c r="Z190" i="43" s="1"/>
  <c r="BA117" i="1"/>
  <c r="BX117" s="1"/>
  <c r="Z142" i="52" s="1"/>
  <c r="AB142" s="1"/>
  <c r="BB117" i="1"/>
  <c r="Z141" i="43" s="1"/>
  <c r="BA68" i="1"/>
  <c r="BX68" s="1"/>
  <c r="Z93" i="52" s="1"/>
  <c r="AB93" s="1"/>
  <c r="BB68" i="1"/>
  <c r="Z92" i="43" s="1"/>
  <c r="BA59" i="1"/>
  <c r="BX59" s="1"/>
  <c r="Z84" i="52" s="1"/>
  <c r="AB84" s="1"/>
  <c r="BB59" i="1"/>
  <c r="Z83" i="43" s="1"/>
  <c r="BA87" i="1"/>
  <c r="BX87" s="1"/>
  <c r="Z112" i="52" s="1"/>
  <c r="AB112" s="1"/>
  <c r="BB87" i="1"/>
  <c r="Z111" i="43" s="1"/>
  <c r="BA69" i="1"/>
  <c r="BX69" s="1"/>
  <c r="Z94" i="52" s="1"/>
  <c r="AB94" s="1"/>
  <c r="BB69" i="1"/>
  <c r="Z93" i="43" s="1"/>
  <c r="BA64" i="1"/>
  <c r="BX64" s="1"/>
  <c r="Z89" i="52" s="1"/>
  <c r="AB89" s="1"/>
  <c r="BB64" i="1"/>
  <c r="Z88" i="43" s="1"/>
  <c r="BA60" i="1"/>
  <c r="BX60" s="1"/>
  <c r="Z85" i="52" s="1"/>
  <c r="AB85" s="1"/>
  <c r="BB60" i="1"/>
  <c r="Z84" i="43" s="1"/>
  <c r="BA233" i="1"/>
  <c r="BX233" s="1"/>
  <c r="Z260" i="52" s="1"/>
  <c r="AB260" s="1"/>
  <c r="BB233" i="1"/>
  <c r="Z257" i="43" s="1"/>
  <c r="Z255" i="52"/>
  <c r="AB255" s="1"/>
  <c r="BA75" i="1"/>
  <c r="BX75" s="1"/>
  <c r="Z100" i="52" s="1"/>
  <c r="AB100" s="1"/>
  <c r="BB75" i="1"/>
  <c r="Z99" i="43" s="1"/>
  <c r="BA136" i="1"/>
  <c r="BX136" s="1"/>
  <c r="Z161" i="52" s="1"/>
  <c r="AB161" s="1"/>
  <c r="BB136" i="1"/>
  <c r="Z160" i="43" s="1"/>
  <c r="BA285" i="1"/>
  <c r="BX285" s="1"/>
  <c r="Z312" i="52" s="1"/>
  <c r="AB312" s="1"/>
  <c r="BB285" i="1"/>
  <c r="Z309" i="43" s="1"/>
  <c r="BA116" i="1"/>
  <c r="BX116" s="1"/>
  <c r="Z141" i="52" s="1"/>
  <c r="AB141" s="1"/>
  <c r="BB116" i="1"/>
  <c r="Z140" i="43" s="1"/>
  <c r="BA111" i="1"/>
  <c r="BX111" s="1"/>
  <c r="Z136" i="52" s="1"/>
  <c r="AB136" s="1"/>
  <c r="BB111" i="1"/>
  <c r="Z135" i="43" s="1"/>
  <c r="BA104" i="1"/>
  <c r="BX104" s="1"/>
  <c r="Z129" i="52" s="1"/>
  <c r="AB129" s="1"/>
  <c r="BB104" i="1"/>
  <c r="Z128" i="43" s="1"/>
  <c r="BA101" i="1"/>
  <c r="BX101" s="1"/>
  <c r="Z126" i="52" s="1"/>
  <c r="AB126" s="1"/>
  <c r="BB101" i="1"/>
  <c r="Z125" i="43" s="1"/>
  <c r="BA80" i="1"/>
  <c r="BX80" s="1"/>
  <c r="Z105" i="52" s="1"/>
  <c r="AB105" s="1"/>
  <c r="BB80" i="1"/>
  <c r="Z104" i="43" s="1"/>
  <c r="BA300" i="1"/>
  <c r="BX300" s="1"/>
  <c r="Z327" i="52" s="1"/>
  <c r="AB327" s="1"/>
  <c r="BB300" i="1"/>
  <c r="Z324" i="43" s="1"/>
  <c r="BA267" i="1"/>
  <c r="BX267" s="1"/>
  <c r="Z294" i="52" s="1"/>
  <c r="AB294" s="1"/>
  <c r="BB267" i="1"/>
  <c r="Z291" i="43" s="1"/>
  <c r="BA249" i="1"/>
  <c r="BX249" s="1"/>
  <c r="Z276" i="52" s="1"/>
  <c r="AB276" s="1"/>
  <c r="BB249" i="1"/>
  <c r="Z273" i="43" s="1"/>
  <c r="BA193" i="1"/>
  <c r="BX193" s="1"/>
  <c r="Z219" i="52" s="1"/>
  <c r="AB219" s="1"/>
  <c r="BB193" i="1"/>
  <c r="Z217" i="43" s="1"/>
  <c r="BA296" i="1"/>
  <c r="BX296" s="1"/>
  <c r="Z323" i="52" s="1"/>
  <c r="AB323" s="1"/>
  <c r="BB296" i="1"/>
  <c r="Z320" i="43" s="1"/>
  <c r="BA265" i="1"/>
  <c r="BX265" s="1"/>
  <c r="Z292" i="52" s="1"/>
  <c r="AB292" s="1"/>
  <c r="BB265" i="1"/>
  <c r="Z289" i="43" s="1"/>
  <c r="BA240" i="1"/>
  <c r="BX240" s="1"/>
  <c r="Z267" i="52" s="1"/>
  <c r="AB267" s="1"/>
  <c r="BB240" i="1"/>
  <c r="Z264" i="43" s="1"/>
  <c r="BA211" i="1"/>
  <c r="BX211" s="1"/>
  <c r="Z237" i="52" s="1"/>
  <c r="AB237" s="1"/>
  <c r="BB211" i="1"/>
  <c r="Z235" i="43" s="1"/>
  <c r="BA148" i="1"/>
  <c r="BX148" s="1"/>
  <c r="Z173" i="52" s="1"/>
  <c r="AB173" s="1"/>
  <c r="BB148" i="1"/>
  <c r="Z172" i="43" s="1"/>
  <c r="BA297" i="1"/>
  <c r="BX297" s="1"/>
  <c r="Z324" i="52" s="1"/>
  <c r="AB324" s="1"/>
  <c r="BB297" i="1"/>
  <c r="Z321" i="43" s="1"/>
  <c r="BA241" i="1"/>
  <c r="BX241" s="1"/>
  <c r="Z268" i="52" s="1"/>
  <c r="AB268" s="1"/>
  <c r="BB241" i="1"/>
  <c r="Z265" i="43" s="1"/>
  <c r="BA228" i="1"/>
  <c r="BX228" s="1"/>
  <c r="Z254" i="52" s="1"/>
  <c r="AB254" s="1"/>
  <c r="BB228" i="1"/>
  <c r="Z252" i="43" s="1"/>
  <c r="BA209" i="1"/>
  <c r="BX209" s="1"/>
  <c r="Z235" i="52" s="1"/>
  <c r="AB235" s="1"/>
  <c r="BB209" i="1"/>
  <c r="Z233" i="43" s="1"/>
  <c r="BA185" i="1"/>
  <c r="BX185" s="1"/>
  <c r="Z211" i="52" s="1"/>
  <c r="AB211" s="1"/>
  <c r="BB185" i="1"/>
  <c r="Z209" i="43" s="1"/>
  <c r="BA177" i="1"/>
  <c r="BX177" s="1"/>
  <c r="Z203" i="52" s="1"/>
  <c r="AB203" s="1"/>
  <c r="BB177" i="1"/>
  <c r="Z201" i="43" s="1"/>
  <c r="BA170" i="1"/>
  <c r="BX170" s="1"/>
  <c r="Z196" i="52" s="1"/>
  <c r="AB196" s="1"/>
  <c r="BB170" i="1"/>
  <c r="Z194" i="43" s="1"/>
  <c r="BA149" i="1"/>
  <c r="BX149" s="1"/>
  <c r="Z174" i="52" s="1"/>
  <c r="AB174" s="1"/>
  <c r="BB149" i="1"/>
  <c r="Z173" i="43" s="1"/>
  <c r="BA140" i="1"/>
  <c r="BX140" s="1"/>
  <c r="Z165" i="52" s="1"/>
  <c r="AB165" s="1"/>
  <c r="BB140" i="1"/>
  <c r="Z164" i="43" s="1"/>
  <c r="BA131" i="1"/>
  <c r="BX131" s="1"/>
  <c r="Z156" i="52" s="1"/>
  <c r="AB156" s="1"/>
  <c r="BB131" i="1"/>
  <c r="Z155" i="43" s="1"/>
  <c r="BA84" i="1"/>
  <c r="BX84" s="1"/>
  <c r="Z109" i="52" s="1"/>
  <c r="AB109" s="1"/>
  <c r="BB84" i="1"/>
  <c r="Z108" i="43" s="1"/>
  <c r="BA286" i="1"/>
  <c r="BX286" s="1"/>
  <c r="Z313" i="52" s="1"/>
  <c r="AB313" s="1"/>
  <c r="BB286" i="1"/>
  <c r="Z310" i="43" s="1"/>
  <c r="BA281" i="1"/>
  <c r="BX281" s="1"/>
  <c r="Z308" i="52" s="1"/>
  <c r="AB308" s="1"/>
  <c r="BB281" i="1"/>
  <c r="Z305" i="43" s="1"/>
  <c r="BA258" i="1"/>
  <c r="BX258" s="1"/>
  <c r="Z285" i="52" s="1"/>
  <c r="AB285" s="1"/>
  <c r="BB258" i="1"/>
  <c r="Z282" i="43" s="1"/>
  <c r="BA152" i="1"/>
  <c r="BX152" s="1"/>
  <c r="Z178" i="52" s="1"/>
  <c r="AB178" s="1"/>
  <c r="BB152" i="1"/>
  <c r="Z176" i="43" s="1"/>
  <c r="BA143" i="1"/>
  <c r="BX143" s="1"/>
  <c r="Z168" i="52" s="1"/>
  <c r="AB168" s="1"/>
  <c r="BB143" i="1"/>
  <c r="Z167" i="43" s="1"/>
  <c r="BA109" i="1"/>
  <c r="BX109" s="1"/>
  <c r="Z134" i="52" s="1"/>
  <c r="AB134" s="1"/>
  <c r="BB109" i="1"/>
  <c r="Z133" i="43" s="1"/>
  <c r="BA98" i="1"/>
  <c r="BX98" s="1"/>
  <c r="Z123" i="52" s="1"/>
  <c r="AB123" s="1"/>
  <c r="BB98" i="1"/>
  <c r="Z122" i="43" s="1"/>
  <c r="BA76" i="1"/>
  <c r="BX76" s="1"/>
  <c r="Z101" i="52" s="1"/>
  <c r="AB101" s="1"/>
  <c r="BB76" i="1"/>
  <c r="Z100" i="43" s="1"/>
  <c r="BA72" i="1"/>
  <c r="BX72" s="1"/>
  <c r="Z97" i="52" s="1"/>
  <c r="AB97" s="1"/>
  <c r="BB72" i="1"/>
  <c r="Z96" i="43" s="1"/>
  <c r="BA48" i="1"/>
  <c r="BX48" s="1"/>
  <c r="Z73" i="52" s="1"/>
  <c r="AB73" s="1"/>
  <c r="BB48" i="1"/>
  <c r="Z72" i="43" s="1"/>
  <c r="BA190" i="1"/>
  <c r="BX190" s="1"/>
  <c r="Z216" i="52" s="1"/>
  <c r="AB216" s="1"/>
  <c r="BB190" i="1"/>
  <c r="BN129"/>
  <c r="BB129"/>
  <c r="Z153" i="43" s="1"/>
  <c r="BR232" i="1"/>
  <c r="BB232"/>
  <c r="Z256" i="43" s="1"/>
  <c r="BA227" i="1"/>
  <c r="BX227" s="1"/>
  <c r="Z253" i="52" s="1"/>
  <c r="AB253" s="1"/>
  <c r="BB227" i="1"/>
  <c r="Z251" i="43" s="1"/>
  <c r="BA184" i="1"/>
  <c r="BX184" s="1"/>
  <c r="Z210" i="52" s="1"/>
  <c r="AB210" s="1"/>
  <c r="BB184" i="1"/>
  <c r="Z208" i="43" s="1"/>
  <c r="BA160" i="1"/>
  <c r="BX160" s="1"/>
  <c r="Z186" i="52" s="1"/>
  <c r="AB186" s="1"/>
  <c r="BB160" i="1"/>
  <c r="Z184" i="43" s="1"/>
  <c r="BA85" i="1"/>
  <c r="BX85" s="1"/>
  <c r="Z110" i="52" s="1"/>
  <c r="AB110" s="1"/>
  <c r="BB85" i="1"/>
  <c r="Z109" i="43" s="1"/>
  <c r="BA65" i="1"/>
  <c r="BX65" s="1"/>
  <c r="Z90" i="52" s="1"/>
  <c r="AB90" s="1"/>
  <c r="BB65" i="1"/>
  <c r="Z89" i="43" s="1"/>
  <c r="BA169" i="1"/>
  <c r="BX169" s="1"/>
  <c r="Z195" i="52" s="1"/>
  <c r="AB195" s="1"/>
  <c r="BB169" i="1"/>
  <c r="Z193" i="43" s="1"/>
  <c r="BA122" i="1"/>
  <c r="BX122" s="1"/>
  <c r="Z147" i="52" s="1"/>
  <c r="AB147" s="1"/>
  <c r="BB122" i="1"/>
  <c r="Z146" i="43" s="1"/>
  <c r="BA113" i="1"/>
  <c r="BX113" s="1"/>
  <c r="Z138" i="52" s="1"/>
  <c r="AB138" s="1"/>
  <c r="BB113" i="1"/>
  <c r="Z137" i="43" s="1"/>
  <c r="BA63" i="1"/>
  <c r="BX63" s="1"/>
  <c r="Z88" i="52" s="1"/>
  <c r="AB88" s="1"/>
  <c r="BB63" i="1"/>
  <c r="Z87" i="43" s="1"/>
  <c r="BA89" i="1"/>
  <c r="BX89" s="1"/>
  <c r="Z114" i="52" s="1"/>
  <c r="AB114" s="1"/>
  <c r="BB89" i="1"/>
  <c r="Z113" i="43" s="1"/>
  <c r="BA273" i="1"/>
  <c r="BX273" s="1"/>
  <c r="Z300" i="52" s="1"/>
  <c r="AB300" s="1"/>
  <c r="BB273" i="1"/>
  <c r="Z297" i="43" s="1"/>
  <c r="BA67" i="1"/>
  <c r="BX67" s="1"/>
  <c r="Z92" i="52" s="1"/>
  <c r="AB92" s="1"/>
  <c r="BB67" i="1"/>
  <c r="Z91" i="43" s="1"/>
  <c r="BA62" i="1"/>
  <c r="BX62" s="1"/>
  <c r="Z87" i="52" s="1"/>
  <c r="AB87" s="1"/>
  <c r="BB62" i="1"/>
  <c r="Z86" i="43" s="1"/>
  <c r="BA53" i="1"/>
  <c r="BX53" s="1"/>
  <c r="Z78" i="52" s="1"/>
  <c r="AB78" s="1"/>
  <c r="BB53" i="1"/>
  <c r="Z77" i="43" s="1"/>
  <c r="BA230" i="1"/>
  <c r="BX230" s="1"/>
  <c r="Z257" i="52" s="1"/>
  <c r="AB257" s="1"/>
  <c r="BB230" i="1"/>
  <c r="Z254" i="43" s="1"/>
  <c r="BA222" i="1"/>
  <c r="BX222" s="1"/>
  <c r="Z248" i="52" s="1"/>
  <c r="AB248" s="1"/>
  <c r="BB222" i="1"/>
  <c r="Z246" i="43" s="1"/>
  <c r="BA217" i="1"/>
  <c r="BX217" s="1"/>
  <c r="Z243" i="52" s="1"/>
  <c r="AB243" s="1"/>
  <c r="BB217" i="1"/>
  <c r="Z241" i="43" s="1"/>
  <c r="BA150" i="1"/>
  <c r="BX150" s="1"/>
  <c r="Z175" i="52" s="1"/>
  <c r="AB175" s="1"/>
  <c r="BB150" i="1"/>
  <c r="Z174" i="43" s="1"/>
  <c r="BA130" i="1"/>
  <c r="BX130" s="1"/>
  <c r="Z155" i="52" s="1"/>
  <c r="AB155" s="1"/>
  <c r="BB130" i="1"/>
  <c r="Z154" i="43" s="1"/>
  <c r="BA121" i="1"/>
  <c r="BX121" s="1"/>
  <c r="Z146" i="52" s="1"/>
  <c r="AB146" s="1"/>
  <c r="BB121" i="1"/>
  <c r="Z145" i="43" s="1"/>
  <c r="BA114" i="1"/>
  <c r="BX114" s="1"/>
  <c r="Z139" i="52" s="1"/>
  <c r="AB139" s="1"/>
  <c r="BB114" i="1"/>
  <c r="Z138" i="43" s="1"/>
  <c r="BA110" i="1"/>
  <c r="BX110" s="1"/>
  <c r="Z135" i="52" s="1"/>
  <c r="AB135" s="1"/>
  <c r="BB110" i="1"/>
  <c r="Z134" i="43" s="1"/>
  <c r="BA103" i="1"/>
  <c r="BX103" s="1"/>
  <c r="Z128" i="52" s="1"/>
  <c r="AB128" s="1"/>
  <c r="BB103" i="1"/>
  <c r="Z127" i="43" s="1"/>
  <c r="BA91" i="1"/>
  <c r="BX91" s="1"/>
  <c r="Z116" i="52" s="1"/>
  <c r="AB116" s="1"/>
  <c r="BB91" i="1"/>
  <c r="Z115" i="43" s="1"/>
  <c r="BA73" i="1"/>
  <c r="BX73" s="1"/>
  <c r="Z98" i="52" s="1"/>
  <c r="AB98" s="1"/>
  <c r="BB73" i="1"/>
  <c r="Z97" i="43" s="1"/>
  <c r="BA291" i="1"/>
  <c r="BX291" s="1"/>
  <c r="Z318" i="52" s="1"/>
  <c r="AB318" s="1"/>
  <c r="BB291" i="1"/>
  <c r="Z315" i="43" s="1"/>
  <c r="BA262" i="1"/>
  <c r="BX262" s="1"/>
  <c r="Z289" i="52" s="1"/>
  <c r="AB289" s="1"/>
  <c r="BB262" i="1"/>
  <c r="Z286" i="43" s="1"/>
  <c r="BA200" i="1"/>
  <c r="BX200" s="1"/>
  <c r="Z226" i="52" s="1"/>
  <c r="AB226" s="1"/>
  <c r="BB200" i="1"/>
  <c r="Z224" i="43" s="1"/>
  <c r="BA301" i="1"/>
  <c r="BX301" s="1"/>
  <c r="Z328" i="52" s="1"/>
  <c r="AB328" s="1"/>
  <c r="BB301" i="1"/>
  <c r="Z325" i="43" s="1"/>
  <c r="BA289" i="1"/>
  <c r="BX289" s="1"/>
  <c r="Z316" i="52" s="1"/>
  <c r="AB316" s="1"/>
  <c r="BB289" i="1"/>
  <c r="Z313" i="43" s="1"/>
  <c r="BA261" i="1"/>
  <c r="BX261" s="1"/>
  <c r="Z288" i="52" s="1"/>
  <c r="AB288" s="1"/>
  <c r="BB261" i="1"/>
  <c r="Z285" i="43" s="1"/>
  <c r="BA238" i="1"/>
  <c r="BX238" s="1"/>
  <c r="Z265" i="52" s="1"/>
  <c r="AB265" s="1"/>
  <c r="BB238" i="1"/>
  <c r="Z262" i="43" s="1"/>
  <c r="BA175" i="1"/>
  <c r="BX175" s="1"/>
  <c r="Z201" i="52" s="1"/>
  <c r="AB201" s="1"/>
  <c r="BB175" i="1"/>
  <c r="Z199" i="43" s="1"/>
  <c r="BA132" i="1"/>
  <c r="BX132" s="1"/>
  <c r="Z157" i="52" s="1"/>
  <c r="AB157" s="1"/>
  <c r="BB132" i="1"/>
  <c r="Z156" i="43" s="1"/>
  <c r="BA266" i="1"/>
  <c r="BX266" s="1"/>
  <c r="Z293" i="52" s="1"/>
  <c r="AB293" s="1"/>
  <c r="BB266" i="1"/>
  <c r="Z290" i="43" s="1"/>
  <c r="BA239" i="1"/>
  <c r="BX239" s="1"/>
  <c r="Z266" i="52" s="1"/>
  <c r="AB266" s="1"/>
  <c r="BB239" i="1"/>
  <c r="Z263" i="43" s="1"/>
  <c r="BA213" i="1"/>
  <c r="BX213" s="1"/>
  <c r="Z239" i="52" s="1"/>
  <c r="AB239" s="1"/>
  <c r="BB213" i="1"/>
  <c r="Z237" i="43" s="1"/>
  <c r="BA188" i="1"/>
  <c r="BX188" s="1"/>
  <c r="Z214" i="52" s="1"/>
  <c r="AB214" s="1"/>
  <c r="BB188" i="1"/>
  <c r="Z212" i="43" s="1"/>
  <c r="BA180" i="1"/>
  <c r="BX180" s="1"/>
  <c r="Z206" i="52" s="1"/>
  <c r="AB206" s="1"/>
  <c r="BB180" i="1"/>
  <c r="Z204" i="43" s="1"/>
  <c r="BA172" i="1"/>
  <c r="BX172" s="1"/>
  <c r="Z198" i="52" s="1"/>
  <c r="AB198" s="1"/>
  <c r="BB172" i="1"/>
  <c r="Z196" i="43" s="1"/>
  <c r="Z176" i="52"/>
  <c r="AB176" s="1"/>
  <c r="BA147" i="1"/>
  <c r="BX147" s="1"/>
  <c r="Z172" i="52" s="1"/>
  <c r="AB172" s="1"/>
  <c r="BB147" i="1"/>
  <c r="Z171" i="43" s="1"/>
  <c r="BA133" i="1"/>
  <c r="BX133" s="1"/>
  <c r="Z158" i="52" s="1"/>
  <c r="AB158" s="1"/>
  <c r="BB133" i="1"/>
  <c r="Z157" i="43" s="1"/>
  <c r="BA127" i="1"/>
  <c r="BX127" s="1"/>
  <c r="Z152" i="52" s="1"/>
  <c r="AB152" s="1"/>
  <c r="BB127" i="1"/>
  <c r="Z151" i="43" s="1"/>
  <c r="BA81" i="1"/>
  <c r="BX81" s="1"/>
  <c r="Z106" i="52" s="1"/>
  <c r="AB106" s="1"/>
  <c r="BB81" i="1"/>
  <c r="Z105" i="43" s="1"/>
  <c r="BA283" i="1"/>
  <c r="BX283" s="1"/>
  <c r="Z310" i="52" s="1"/>
  <c r="AB310" s="1"/>
  <c r="BB283" i="1"/>
  <c r="Z307" i="43" s="1"/>
  <c r="BA268" i="1"/>
  <c r="BX268" s="1"/>
  <c r="Z295" i="52" s="1"/>
  <c r="AB295" s="1"/>
  <c r="BB268" i="1"/>
  <c r="Z292" i="43" s="1"/>
  <c r="BA154" i="1"/>
  <c r="BX154" s="1"/>
  <c r="Z180" i="52" s="1"/>
  <c r="AB180" s="1"/>
  <c r="BB154" i="1"/>
  <c r="Z178" i="43" s="1"/>
  <c r="BA145" i="1"/>
  <c r="BX145" s="1"/>
  <c r="Z170" i="52" s="1"/>
  <c r="AB170" s="1"/>
  <c r="BB145" i="1"/>
  <c r="Z169" i="43" s="1"/>
  <c r="BA123" i="1"/>
  <c r="BX123" s="1"/>
  <c r="Z148" i="52" s="1"/>
  <c r="AB148" s="1"/>
  <c r="BB123" i="1"/>
  <c r="Z147" i="43" s="1"/>
  <c r="BA105" i="1"/>
  <c r="BX105" s="1"/>
  <c r="Z130" i="52" s="1"/>
  <c r="AB130" s="1"/>
  <c r="BB105" i="1"/>
  <c r="Z129" i="43" s="1"/>
  <c r="BA96" i="1"/>
  <c r="BX96" s="1"/>
  <c r="Z121" i="52" s="1"/>
  <c r="AB121" s="1"/>
  <c r="BB96" i="1"/>
  <c r="Z120" i="43" s="1"/>
  <c r="BA74" i="1"/>
  <c r="BX74" s="1"/>
  <c r="Z99" i="52" s="1"/>
  <c r="AB99" s="1"/>
  <c r="BB74" i="1"/>
  <c r="Z98" i="43" s="1"/>
  <c r="BA56" i="1"/>
  <c r="BX56" s="1"/>
  <c r="Z81" i="52" s="1"/>
  <c r="AB81" s="1"/>
  <c r="BB56" i="1"/>
  <c r="Z80" i="43" s="1"/>
  <c r="BR294" i="1"/>
  <c r="BB294"/>
  <c r="Z318" i="43" s="1"/>
  <c r="BL226" i="1"/>
  <c r="BB226"/>
  <c r="Z250" i="43" s="1"/>
  <c r="BA202" i="1"/>
  <c r="BX202" s="1"/>
  <c r="Z228" i="52" s="1"/>
  <c r="AB228" s="1"/>
  <c r="BB202" i="1"/>
  <c r="Z226" i="43" s="1"/>
  <c r="AC226" s="1"/>
  <c r="BR178" i="1"/>
  <c r="BB178"/>
  <c r="Z202" i="43" s="1"/>
  <c r="AM215" i="1"/>
  <c r="CI215" s="1"/>
  <c r="BV38"/>
  <c r="CR385"/>
  <c r="BQ358"/>
  <c r="CG358" s="1"/>
  <c r="BF254"/>
  <c r="CP254"/>
  <c r="BN385"/>
  <c r="BA385"/>
  <c r="BX385" s="1"/>
  <c r="Z425" i="52" s="1"/>
  <c r="AB425" s="1"/>
  <c r="BR385" i="1"/>
  <c r="BM385"/>
  <c r="BS385"/>
  <c r="BL385"/>
  <c r="BM203"/>
  <c r="BL203"/>
  <c r="BQ108"/>
  <c r="BV156"/>
  <c r="CR203"/>
  <c r="BT218"/>
  <c r="CP280"/>
  <c r="AM277"/>
  <c r="BV100"/>
  <c r="BV25"/>
  <c r="BT358"/>
  <c r="AU280"/>
  <c r="Y307" i="52" s="1"/>
  <c r="CR219" i="1"/>
  <c r="BT135"/>
  <c r="BQ218"/>
  <c r="CG218" s="1"/>
  <c r="BQ135"/>
  <c r="CB135" s="1"/>
  <c r="BN219"/>
  <c r="BA219"/>
  <c r="BX219" s="1"/>
  <c r="Z245" i="52" s="1"/>
  <c r="AB245" s="1"/>
  <c r="BM219" i="1"/>
  <c r="BL219"/>
  <c r="BS219"/>
  <c r="BR219"/>
  <c r="AM135"/>
  <c r="BL178"/>
  <c r="BN178"/>
  <c r="BS178"/>
  <c r="AU191"/>
  <c r="Y217" i="52" s="1"/>
  <c r="BM178" i="1"/>
  <c r="BA178"/>
  <c r="BX178" s="1"/>
  <c r="Z204" i="52" s="1"/>
  <c r="AB204" s="1"/>
  <c r="CR178" i="1"/>
  <c r="BF112"/>
  <c r="BF215"/>
  <c r="BS226"/>
  <c r="BT341"/>
  <c r="BT324"/>
  <c r="BT395"/>
  <c r="BT401"/>
  <c r="BT329"/>
  <c r="BT344"/>
  <c r="BT323"/>
  <c r="BT375"/>
  <c r="BT352"/>
  <c r="BT326"/>
  <c r="BT334"/>
  <c r="BT384"/>
  <c r="BT363"/>
  <c r="BT370"/>
  <c r="BT350"/>
  <c r="BT376"/>
  <c r="BT319"/>
  <c r="BT359"/>
  <c r="BT396"/>
  <c r="BT374"/>
  <c r="BT345"/>
  <c r="BT340"/>
  <c r="BT343"/>
  <c r="BT403"/>
  <c r="BT335"/>
  <c r="BT351"/>
  <c r="BT354"/>
  <c r="BT377"/>
  <c r="BT342"/>
  <c r="BT382"/>
  <c r="BT381"/>
  <c r="BT373"/>
  <c r="BT386"/>
  <c r="BT371"/>
  <c r="BT338"/>
  <c r="BT325"/>
  <c r="BT379"/>
  <c r="BT336"/>
  <c r="BT402"/>
  <c r="BT333"/>
  <c r="BT313"/>
  <c r="BT348"/>
  <c r="BT368"/>
  <c r="BT378"/>
  <c r="BT383"/>
  <c r="BT321"/>
  <c r="BT337"/>
  <c r="BT355"/>
  <c r="BT388"/>
  <c r="BT367"/>
  <c r="BT392"/>
  <c r="BT328"/>
  <c r="BT400"/>
  <c r="BT380"/>
  <c r="BT365"/>
  <c r="BT320"/>
  <c r="BT316"/>
  <c r="BT327"/>
  <c r="BT369"/>
  <c r="BT364"/>
  <c r="BT314"/>
  <c r="BT330"/>
  <c r="BT399"/>
  <c r="BT322"/>
  <c r="BT347"/>
  <c r="BT315"/>
  <c r="BT366"/>
  <c r="BT390"/>
  <c r="BT346"/>
  <c r="BT353"/>
  <c r="BT318"/>
  <c r="BT398"/>
  <c r="BM232"/>
  <c r="BN202"/>
  <c r="BN226"/>
  <c r="BR226"/>
  <c r="BS232"/>
  <c r="AM186"/>
  <c r="BA226"/>
  <c r="BX226" s="1"/>
  <c r="Z252" i="52" s="1"/>
  <c r="AB252" s="1"/>
  <c r="BM226" i="1"/>
  <c r="BL232"/>
  <c r="BN232"/>
  <c r="BA129"/>
  <c r="BX129" s="1"/>
  <c r="Z154" i="52" s="1"/>
  <c r="AB154" s="1"/>
  <c r="BL202" i="1"/>
  <c r="BR129"/>
  <c r="BT247"/>
  <c r="AU356"/>
  <c r="CP288"/>
  <c r="BM129"/>
  <c r="BS129"/>
  <c r="BA232"/>
  <c r="BX232" s="1"/>
  <c r="Z259" i="52" s="1"/>
  <c r="AB259" s="1"/>
  <c r="BQ247" i="1"/>
  <c r="AU179"/>
  <c r="Y205" i="52" s="1"/>
  <c r="AU260" i="1"/>
  <c r="Y287" i="52" s="1"/>
  <c r="BL129" i="1"/>
  <c r="BR202"/>
  <c r="BM202"/>
  <c r="BS202"/>
  <c r="CR226"/>
  <c r="CR129"/>
  <c r="CR202"/>
  <c r="CR232"/>
  <c r="BT137"/>
  <c r="BT47"/>
  <c r="BT142"/>
  <c r="BT124"/>
  <c r="BT305"/>
  <c r="BT144"/>
  <c r="BT138"/>
  <c r="BT207"/>
  <c r="BT159"/>
  <c r="BT49"/>
  <c r="BT201"/>
  <c r="BT248"/>
  <c r="BT231"/>
  <c r="BT40"/>
  <c r="BT24"/>
  <c r="BT36"/>
  <c r="BT34"/>
  <c r="BT21"/>
  <c r="BT37"/>
  <c r="BT26"/>
  <c r="BT18"/>
  <c r="BT256"/>
  <c r="BT194"/>
  <c r="BT107"/>
  <c r="AM25"/>
  <c r="CP112"/>
  <c r="BT39"/>
  <c r="BT35"/>
  <c r="BT33"/>
  <c r="BT31"/>
  <c r="BT29"/>
  <c r="BT23"/>
  <c r="BT28"/>
  <c r="BT27"/>
  <c r="BT20"/>
  <c r="BT99"/>
  <c r="BT55"/>
  <c r="BT46"/>
  <c r="BT153"/>
  <c r="BT146"/>
  <c r="BT242"/>
  <c r="BT234"/>
  <c r="BT205"/>
  <c r="BT221"/>
  <c r="BT164"/>
  <c r="BT257"/>
  <c r="BT195"/>
  <c r="BT304"/>
  <c r="BT298"/>
  <c r="BT22"/>
  <c r="BT308"/>
  <c r="BT30"/>
  <c r="BT19"/>
  <c r="BT208"/>
  <c r="BT299"/>
  <c r="BT32"/>
  <c r="BT270"/>
  <c r="BT199"/>
  <c r="BT309"/>
  <c r="BT271"/>
  <c r="BF183"/>
  <c r="CP215"/>
  <c r="BT186"/>
  <c r="AM100"/>
  <c r="AM112"/>
  <c r="CI112" s="1"/>
  <c r="AU394"/>
  <c r="AU215"/>
  <c r="Y241" i="52" s="1"/>
  <c r="BQ186" i="1"/>
  <c r="CG186" s="1"/>
  <c r="AU157"/>
  <c r="Y183" i="52" s="1"/>
  <c r="AU112" i="1"/>
  <c r="Y137" i="52" s="1"/>
  <c r="AM226" i="1"/>
  <c r="AM202"/>
  <c r="AM358"/>
  <c r="AM129"/>
  <c r="AM232"/>
  <c r="AM294"/>
  <c r="AM293"/>
  <c r="CP183"/>
  <c r="AM183"/>
  <c r="CI183" s="1"/>
  <c r="T54" i="45"/>
  <c r="AM210" i="1"/>
  <c r="AM158"/>
  <c r="BS210"/>
  <c r="BM210"/>
  <c r="BA210"/>
  <c r="BX210" s="1"/>
  <c r="Z236" i="52" s="1"/>
  <c r="AB236" s="1"/>
  <c r="BL210" i="1"/>
  <c r="BN210"/>
  <c r="BR210"/>
  <c r="BS294"/>
  <c r="BL294"/>
  <c r="AM94"/>
  <c r="BM294"/>
  <c r="BN294"/>
  <c r="BA294"/>
  <c r="BX294" s="1"/>
  <c r="Z321" i="52" s="1"/>
  <c r="AB321" s="1"/>
  <c r="AU183" i="1"/>
  <c r="Y209" i="52" s="1"/>
  <c r="CR294" i="1"/>
  <c r="CR210"/>
  <c r="CP51"/>
  <c r="AM128"/>
  <c r="AM299"/>
  <c r="AU92"/>
  <c r="Y117" i="52" s="1"/>
  <c r="CR204" i="1"/>
  <c r="CR94"/>
  <c r="CR161"/>
  <c r="CR255"/>
  <c r="CR252"/>
  <c r="BQ271"/>
  <c r="AU168"/>
  <c r="Y194" i="52" s="1"/>
  <c r="BF245" i="1"/>
  <c r="AM399"/>
  <c r="CI399" s="1"/>
  <c r="CP284"/>
  <c r="CP206"/>
  <c r="BF83"/>
  <c r="AU206"/>
  <c r="Y232" i="52" s="1"/>
  <c r="AU250" i="1"/>
  <c r="Y277" i="52" s="1"/>
  <c r="CP349" i="1"/>
  <c r="AU387"/>
  <c r="BF151"/>
  <c r="BF235"/>
  <c r="CP151"/>
  <c r="AM39"/>
  <c r="AU83"/>
  <c r="Y108" i="52" s="1"/>
  <c r="AU51" i="1"/>
  <c r="Y76" i="52" s="1"/>
  <c r="H314" i="41"/>
  <c r="AM107" i="1"/>
  <c r="BQ107"/>
  <c r="AU278"/>
  <c r="Y305" i="52" s="1"/>
  <c r="AU245" i="1"/>
  <c r="Y272" i="52" s="1"/>
  <c r="CP357" i="1"/>
  <c r="BF236"/>
  <c r="AU79"/>
  <c r="Y104" i="52" s="1"/>
  <c r="AU288" i="1"/>
  <c r="Y315" i="52" s="1"/>
  <c r="AU236" i="1"/>
  <c r="Y263" i="52" s="1"/>
  <c r="AU357" i="1"/>
  <c r="AU349"/>
  <c r="CP387"/>
  <c r="BF92"/>
  <c r="BF168"/>
  <c r="BF179"/>
  <c r="AM400"/>
  <c r="CI400" s="1"/>
  <c r="AM402"/>
  <c r="CI402" s="1"/>
  <c r="AM403"/>
  <c r="CI403" s="1"/>
  <c r="CP236"/>
  <c r="CP92"/>
  <c r="CP79"/>
  <c r="BF288"/>
  <c r="CP168"/>
  <c r="CP179"/>
  <c r="BF260"/>
  <c r="AU307"/>
  <c r="Y333" i="52" s="1"/>
  <c r="BF307" i="1"/>
  <c r="CP307"/>
  <c r="CP278"/>
  <c r="CP260"/>
  <c r="CP245"/>
  <c r="AM401"/>
  <c r="CI401" s="1"/>
  <c r="AM396"/>
  <c r="CI396" s="1"/>
  <c r="BF51"/>
  <c r="BR94"/>
  <c r="BL94"/>
  <c r="BA94"/>
  <c r="BX94" s="1"/>
  <c r="Z119" i="52" s="1"/>
  <c r="AB119" s="1"/>
  <c r="BM94" i="1"/>
  <c r="BN94"/>
  <c r="BS94"/>
  <c r="J417" i="37"/>
  <c r="J419"/>
  <c r="AM395" i="1"/>
  <c r="CI395" s="1"/>
  <c r="H317" i="37"/>
  <c r="H417"/>
  <c r="H419"/>
  <c r="J317"/>
  <c r="H415" i="41"/>
  <c r="G415" i="40"/>
  <c r="J415" i="41"/>
  <c r="H418"/>
  <c r="J418"/>
  <c r="G314" i="40"/>
  <c r="CP190" i="1"/>
  <c r="CP191"/>
  <c r="CP250"/>
  <c r="CP165"/>
  <c r="CP167"/>
  <c r="CP157"/>
  <c r="AM374"/>
  <c r="CI374" s="1"/>
  <c r="AM354"/>
  <c r="CI354" s="1"/>
  <c r="AU151"/>
  <c r="Y177" i="52" s="1"/>
  <c r="CP394" i="1"/>
  <c r="CP356"/>
  <c r="AU167"/>
  <c r="Y193" i="52" s="1"/>
  <c r="BF284" i="1"/>
  <c r="BF190"/>
  <c r="BF191"/>
  <c r="AU284"/>
  <c r="Y311" i="52" s="1"/>
  <c r="BF250" i="1"/>
  <c r="BF165"/>
  <c r="BF167"/>
  <c r="BF206"/>
  <c r="BF157"/>
  <c r="AU235"/>
  <c r="Y262" i="52" s="1"/>
  <c r="CP235" i="1"/>
  <c r="AM390"/>
  <c r="CI390" s="1"/>
  <c r="AM32"/>
  <c r="AM373"/>
  <c r="CI373" s="1"/>
  <c r="AM379"/>
  <c r="CI379" s="1"/>
  <c r="CP83"/>
  <c r="AW310"/>
  <c r="AM26"/>
  <c r="AM302"/>
  <c r="CI302" s="1"/>
  <c r="AM18"/>
  <c r="AM355"/>
  <c r="CI355" s="1"/>
  <c r="AM391"/>
  <c r="CI391" s="1"/>
  <c r="AM286"/>
  <c r="CI286" s="1"/>
  <c r="AM371"/>
  <c r="CI371" s="1"/>
  <c r="AM21"/>
  <c r="AM307"/>
  <c r="CI307" s="1"/>
  <c r="AM31"/>
  <c r="AM40"/>
  <c r="AM301"/>
  <c r="CI301" s="1"/>
  <c r="AM361"/>
  <c r="CI361" s="1"/>
  <c r="AM300"/>
  <c r="CI300" s="1"/>
  <c r="AM30"/>
  <c r="AM27"/>
  <c r="AM352"/>
  <c r="CI352" s="1"/>
  <c r="AM364"/>
  <c r="CI364" s="1"/>
  <c r="AM387"/>
  <c r="CI387" s="1"/>
  <c r="AM384"/>
  <c r="CI384" s="1"/>
  <c r="AM297"/>
  <c r="CI297" s="1"/>
  <c r="AM24"/>
  <c r="AM349"/>
  <c r="CI349" s="1"/>
  <c r="AM351"/>
  <c r="CI351" s="1"/>
  <c r="AM285"/>
  <c r="CI285" s="1"/>
  <c r="AM353"/>
  <c r="CI353" s="1"/>
  <c r="AM359"/>
  <c r="CI359" s="1"/>
  <c r="AM33"/>
  <c r="AM252"/>
  <c r="AM348"/>
  <c r="CI348" s="1"/>
  <c r="AM368"/>
  <c r="CI368" s="1"/>
  <c r="AM383"/>
  <c r="CI383" s="1"/>
  <c r="AM291"/>
  <c r="CI291" s="1"/>
  <c r="AM281"/>
  <c r="CI281" s="1"/>
  <c r="AM363"/>
  <c r="CI363" s="1"/>
  <c r="AM382"/>
  <c r="CI382" s="1"/>
  <c r="AM308"/>
  <c r="AM305"/>
  <c r="AM35"/>
  <c r="AM28"/>
  <c r="AM365"/>
  <c r="CI365" s="1"/>
  <c r="AM283"/>
  <c r="CI283" s="1"/>
  <c r="AM386"/>
  <c r="CI386" s="1"/>
  <c r="AM369"/>
  <c r="CI369" s="1"/>
  <c r="AM37"/>
  <c r="AM377"/>
  <c r="CI377" s="1"/>
  <c r="AM29"/>
  <c r="AM296"/>
  <c r="CI296" s="1"/>
  <c r="AM34"/>
  <c r="AM23"/>
  <c r="AM370"/>
  <c r="CI370" s="1"/>
  <c r="AM278"/>
  <c r="CI278" s="1"/>
  <c r="AM394"/>
  <c r="CI394" s="1"/>
  <c r="AM19"/>
  <c r="AM288"/>
  <c r="CI288" s="1"/>
  <c r="AM388"/>
  <c r="CI388" s="1"/>
  <c r="AM36"/>
  <c r="AM20"/>
  <c r="AM306"/>
  <c r="CI306" s="1"/>
  <c r="R334" i="43"/>
  <c r="R439"/>
  <c r="F13" i="40"/>
  <c r="L17" i="44"/>
  <c r="W30" i="45"/>
  <c r="AM228" i="1"/>
  <c r="CI228" s="1"/>
  <c r="AM177"/>
  <c r="CI177" s="1"/>
  <c r="AM140"/>
  <c r="CI140" s="1"/>
  <c r="AM116"/>
  <c r="CI116" s="1"/>
  <c r="AM99"/>
  <c r="AM274"/>
  <c r="CI274" s="1"/>
  <c r="AM238"/>
  <c r="CI238" s="1"/>
  <c r="AM217"/>
  <c r="CI217" s="1"/>
  <c r="AM191"/>
  <c r="CI191" s="1"/>
  <c r="AM173"/>
  <c r="CI173" s="1"/>
  <c r="AM148"/>
  <c r="CI148" s="1"/>
  <c r="AM122"/>
  <c r="CI122" s="1"/>
  <c r="AM72"/>
  <c r="CI72" s="1"/>
  <c r="AM54"/>
  <c r="CI54" s="1"/>
  <c r="AM324"/>
  <c r="CI324" s="1"/>
  <c r="AM260"/>
  <c r="CI260" s="1"/>
  <c r="AM111"/>
  <c r="CI111" s="1"/>
  <c r="AM347"/>
  <c r="CI347" s="1"/>
  <c r="AM211"/>
  <c r="CI211" s="1"/>
  <c r="AM169"/>
  <c r="CI169" s="1"/>
  <c r="AM136"/>
  <c r="CI136" s="1"/>
  <c r="AM59"/>
  <c r="CI59" s="1"/>
  <c r="AM317"/>
  <c r="CI317" s="1"/>
  <c r="AM170"/>
  <c r="CI170" s="1"/>
  <c r="AM86"/>
  <c r="CI86" s="1"/>
  <c r="AM222"/>
  <c r="CI222" s="1"/>
  <c r="AM145"/>
  <c r="CI145" s="1"/>
  <c r="AM321"/>
  <c r="CI321" s="1"/>
  <c r="AM144"/>
  <c r="AM242"/>
  <c r="AM149"/>
  <c r="CI149" s="1"/>
  <c r="AM142"/>
  <c r="AM133"/>
  <c r="CI133" s="1"/>
  <c r="AM114"/>
  <c r="CI114" s="1"/>
  <c r="AM104"/>
  <c r="CI104" s="1"/>
  <c r="AM97"/>
  <c r="CI97" s="1"/>
  <c r="AM261"/>
  <c r="CI261" s="1"/>
  <c r="AM253"/>
  <c r="CI253" s="1"/>
  <c r="AM245"/>
  <c r="CI245" s="1"/>
  <c r="AM236"/>
  <c r="CI236" s="1"/>
  <c r="AM227"/>
  <c r="CI227" s="1"/>
  <c r="AM200"/>
  <c r="CI200" s="1"/>
  <c r="AM189"/>
  <c r="CI189" s="1"/>
  <c r="AM179"/>
  <c r="CI179" s="1"/>
  <c r="AM56"/>
  <c r="CI56" s="1"/>
  <c r="AM325"/>
  <c r="CI325" s="1"/>
  <c r="AM341"/>
  <c r="CI341" s="1"/>
  <c r="AM356"/>
  <c r="CI356" s="1"/>
  <c r="AM375"/>
  <c r="CI375" s="1"/>
  <c r="AM392"/>
  <c r="CI392" s="1"/>
  <c r="AM320"/>
  <c r="CI320" s="1"/>
  <c r="AM336"/>
  <c r="CI336" s="1"/>
  <c r="AM344"/>
  <c r="CI344" s="1"/>
  <c r="AM360"/>
  <c r="CI360" s="1"/>
  <c r="AM378"/>
  <c r="CI378" s="1"/>
  <c r="AM284"/>
  <c r="CI284" s="1"/>
  <c r="AM381"/>
  <c r="CI381" s="1"/>
  <c r="AM164"/>
  <c r="AM22"/>
  <c r="AM195"/>
  <c r="AM298"/>
  <c r="AM304"/>
  <c r="AM235"/>
  <c r="CI235" s="1"/>
  <c r="AM290"/>
  <c r="CI290" s="1"/>
  <c r="AM279"/>
  <c r="CI279" s="1"/>
  <c r="AM250"/>
  <c r="CI250" s="1"/>
  <c r="AM81"/>
  <c r="CI81" s="1"/>
  <c r="AM75"/>
  <c r="CI75" s="1"/>
  <c r="AM71"/>
  <c r="CI71" s="1"/>
  <c r="AM62"/>
  <c r="CI62" s="1"/>
  <c r="AM47"/>
  <c r="AM332"/>
  <c r="CI332" s="1"/>
  <c r="AM339"/>
  <c r="CI339" s="1"/>
  <c r="AM326"/>
  <c r="CI326" s="1"/>
  <c r="AM350"/>
  <c r="CI350" s="1"/>
  <c r="AM357"/>
  <c r="CI357" s="1"/>
  <c r="AM366"/>
  <c r="CI366" s="1"/>
  <c r="AM376"/>
  <c r="CI376" s="1"/>
  <c r="AM270"/>
  <c r="CI270" s="1"/>
  <c r="AM48"/>
  <c r="CI48" s="1"/>
  <c r="CJ48" s="1"/>
  <c r="AM197"/>
  <c r="CI197" s="1"/>
  <c r="AM103"/>
  <c r="CI103" s="1"/>
  <c r="AM273"/>
  <c r="CI273" s="1"/>
  <c r="AM234"/>
  <c r="AM209"/>
  <c r="CI209" s="1"/>
  <c r="BQ256"/>
  <c r="CG256" s="1"/>
  <c r="AM194"/>
  <c r="Q437" i="45"/>
  <c r="AM188" i="1"/>
  <c r="CI188" s="1"/>
  <c r="AM174"/>
  <c r="CI174" s="1"/>
  <c r="AM159"/>
  <c r="AM147"/>
  <c r="CI147" s="1"/>
  <c r="AM266"/>
  <c r="CI266" s="1"/>
  <c r="AM257"/>
  <c r="AM241"/>
  <c r="CI241" s="1"/>
  <c r="AM231"/>
  <c r="AM185"/>
  <c r="CI185" s="1"/>
  <c r="AM168"/>
  <c r="CI168" s="1"/>
  <c r="AM153"/>
  <c r="AM80"/>
  <c r="CI80" s="1"/>
  <c r="AM73"/>
  <c r="CI73" s="1"/>
  <c r="AM64"/>
  <c r="CI64" s="1"/>
  <c r="AM55"/>
  <c r="AM327"/>
  <c r="CI327" s="1"/>
  <c r="AM322"/>
  <c r="CI322" s="1"/>
  <c r="AM268"/>
  <c r="CI268" s="1"/>
  <c r="AM214"/>
  <c r="CI214" s="1"/>
  <c r="AM171"/>
  <c r="CI171" s="1"/>
  <c r="AM160"/>
  <c r="CI160" s="1"/>
  <c r="AM152"/>
  <c r="CI152" s="1"/>
  <c r="AM139"/>
  <c r="CI139" s="1"/>
  <c r="AM123"/>
  <c r="CI123" s="1"/>
  <c r="AM113"/>
  <c r="CI113" s="1"/>
  <c r="AM85"/>
  <c r="CI85" s="1"/>
  <c r="AM74"/>
  <c r="CI74" s="1"/>
  <c r="AM65"/>
  <c r="CI65" s="1"/>
  <c r="AM314"/>
  <c r="CI314" s="1"/>
  <c r="AM333"/>
  <c r="CI333" s="1"/>
  <c r="AM313"/>
  <c r="CI313" s="1"/>
  <c r="AM328"/>
  <c r="CI328" s="1"/>
  <c r="AM237"/>
  <c r="CI237" s="1"/>
  <c r="AM132"/>
  <c r="CI132" s="1"/>
  <c r="AM264"/>
  <c r="CI264" s="1"/>
  <c r="AM163"/>
  <c r="CI163" s="1"/>
  <c r="AM121"/>
  <c r="CI121" s="1"/>
  <c r="AM78"/>
  <c r="CI78" s="1"/>
  <c r="AM53"/>
  <c r="CI53" s="1"/>
  <c r="CJ53" s="1"/>
  <c r="AM316"/>
  <c r="CI316" s="1"/>
  <c r="AM267"/>
  <c r="CI267" s="1"/>
  <c r="AM92"/>
  <c r="CI92" s="1"/>
  <c r="AM244"/>
  <c r="CI244" s="1"/>
  <c r="AM221"/>
  <c r="AM198"/>
  <c r="CI198" s="1"/>
  <c r="AM182"/>
  <c r="CI182" s="1"/>
  <c r="AM167"/>
  <c r="CI167" s="1"/>
  <c r="AM151"/>
  <c r="CI151" s="1"/>
  <c r="AM275"/>
  <c r="CI275" s="1"/>
  <c r="AM276"/>
  <c r="CI276" s="1"/>
  <c r="AM223"/>
  <c r="CI223" s="1"/>
  <c r="AM212"/>
  <c r="CI212" s="1"/>
  <c r="AM201"/>
  <c r="AM190"/>
  <c r="CI190" s="1"/>
  <c r="AM146"/>
  <c r="AM127"/>
  <c r="CI127" s="1"/>
  <c r="AM93"/>
  <c r="CI93" s="1"/>
  <c r="AM69"/>
  <c r="CI69" s="1"/>
  <c r="AM49"/>
  <c r="AM335"/>
  <c r="CI335" s="1"/>
  <c r="AM315"/>
  <c r="CI315" s="1"/>
  <c r="AM330"/>
  <c r="CI330" s="1"/>
  <c r="AM265"/>
  <c r="CI265" s="1"/>
  <c r="AM249"/>
  <c r="CI249" s="1"/>
  <c r="AM240"/>
  <c r="CI240" s="1"/>
  <c r="AM193"/>
  <c r="CI193" s="1"/>
  <c r="AM175"/>
  <c r="CI175" s="1"/>
  <c r="AM166"/>
  <c r="CI166" s="1"/>
  <c r="AM157"/>
  <c r="CI157" s="1"/>
  <c r="AM150"/>
  <c r="CI150" s="1"/>
  <c r="AM143"/>
  <c r="CI143" s="1"/>
  <c r="AM130"/>
  <c r="CI130" s="1"/>
  <c r="AM117"/>
  <c r="CI117" s="1"/>
  <c r="AM109"/>
  <c r="CI109" s="1"/>
  <c r="AM98"/>
  <c r="CI98" s="1"/>
  <c r="AM89"/>
  <c r="CI89" s="1"/>
  <c r="AM77"/>
  <c r="CI77" s="1"/>
  <c r="AM70"/>
  <c r="CI70" s="1"/>
  <c r="AM61"/>
  <c r="CI61" s="1"/>
  <c r="AM52"/>
  <c r="CI52" s="1"/>
  <c r="CJ52" s="1"/>
  <c r="AM213"/>
  <c r="CI213" s="1"/>
  <c r="AM192"/>
  <c r="CI192" s="1"/>
  <c r="AM155"/>
  <c r="CI155" s="1"/>
  <c r="AM137"/>
  <c r="AM67"/>
  <c r="CI67" s="1"/>
  <c r="AM323"/>
  <c r="CI323" s="1"/>
  <c r="AM318"/>
  <c r="CI318" s="1"/>
  <c r="AM334"/>
  <c r="CI334" s="1"/>
  <c r="AM246"/>
  <c r="CI246" s="1"/>
  <c r="AM125"/>
  <c r="CI125" s="1"/>
  <c r="AM115"/>
  <c r="CI115" s="1"/>
  <c r="AM87"/>
  <c r="CI87" s="1"/>
  <c r="AM345"/>
  <c r="CI345" s="1"/>
  <c r="AM208"/>
  <c r="G13" i="41"/>
  <c r="K17" i="44"/>
  <c r="V30" i="45"/>
  <c r="F13" i="36"/>
  <c r="R17" i="44"/>
  <c r="Z33" i="43"/>
  <c r="AC33" s="1"/>
  <c r="F13" i="37"/>
  <c r="P17" i="44"/>
  <c r="F13" i="41"/>
  <c r="J17" i="44"/>
  <c r="U30" i="45"/>
  <c r="G13" i="37"/>
  <c r="Q17" i="44"/>
  <c r="AM205" i="1"/>
  <c r="AM131"/>
  <c r="CI131" s="1"/>
  <c r="AM91"/>
  <c r="CI91" s="1"/>
  <c r="AM258"/>
  <c r="CI258" s="1"/>
  <c r="AM204"/>
  <c r="AM181"/>
  <c r="CI181" s="1"/>
  <c r="AM165"/>
  <c r="CI165" s="1"/>
  <c r="AM79"/>
  <c r="CI79" s="1"/>
  <c r="AM63"/>
  <c r="CI63" s="1"/>
  <c r="AM329"/>
  <c r="CI329" s="1"/>
  <c r="AM340"/>
  <c r="CI340" s="1"/>
  <c r="AM239"/>
  <c r="CI239" s="1"/>
  <c r="AM95"/>
  <c r="CI95" s="1"/>
  <c r="AM233"/>
  <c r="CI233" s="1"/>
  <c r="AM187"/>
  <c r="CI187" s="1"/>
  <c r="AM76"/>
  <c r="CI76" s="1"/>
  <c r="AM337"/>
  <c r="CI337" s="1"/>
  <c r="AM124"/>
  <c r="AM262"/>
  <c r="CI262" s="1"/>
  <c r="AM176"/>
  <c r="CI176" s="1"/>
  <c r="AM68"/>
  <c r="CI68" s="1"/>
  <c r="AM342"/>
  <c r="CI342" s="1"/>
  <c r="AM154"/>
  <c r="CI154" s="1"/>
  <c r="AM105"/>
  <c r="CI105" s="1"/>
  <c r="AM96"/>
  <c r="CI96" s="1"/>
  <c r="AM282"/>
  <c r="CI282" s="1"/>
  <c r="AM248"/>
  <c r="AM207"/>
  <c r="AM196"/>
  <c r="CI196" s="1"/>
  <c r="AM180"/>
  <c r="CI180" s="1"/>
  <c r="AM172"/>
  <c r="CI172" s="1"/>
  <c r="AM161"/>
  <c r="AM138"/>
  <c r="AM110"/>
  <c r="CI110" s="1"/>
  <c r="AM101"/>
  <c r="CI101" s="1"/>
  <c r="AM84"/>
  <c r="CI84" s="1"/>
  <c r="AM60"/>
  <c r="CI60" s="1"/>
  <c r="AM46"/>
  <c r="AM319"/>
  <c r="CI319" s="1"/>
  <c r="AM343"/>
  <c r="CI343" s="1"/>
  <c r="AM367"/>
  <c r="CI367" s="1"/>
  <c r="AM338"/>
  <c r="CI338" s="1"/>
  <c r="AM346"/>
  <c r="CI346" s="1"/>
  <c r="AM362"/>
  <c r="CI362" s="1"/>
  <c r="AM380"/>
  <c r="CI380" s="1"/>
  <c r="AM230"/>
  <c r="CI230" s="1"/>
  <c r="AM220"/>
  <c r="CI220" s="1"/>
  <c r="AM206"/>
  <c r="CI206" s="1"/>
  <c r="AM184"/>
  <c r="CI184" s="1"/>
  <c r="AM256"/>
  <c r="T64" i="45"/>
  <c r="T342"/>
  <c r="S54"/>
  <c r="T76" s="1"/>
  <c r="Y57" i="43"/>
  <c r="BM255" i="1"/>
  <c r="BR255"/>
  <c r="BA255"/>
  <c r="BX255" s="1"/>
  <c r="Z282" i="52" s="1"/>
  <c r="AB282" s="1"/>
  <c r="BS255" i="1"/>
  <c r="BN255"/>
  <c r="BL255"/>
  <c r="BQ199"/>
  <c r="CG199" s="1"/>
  <c r="BL252"/>
  <c r="BA252"/>
  <c r="BX252" s="1"/>
  <c r="Z279" i="52" s="1"/>
  <c r="AB279" s="1"/>
  <c r="BN252" i="1"/>
  <c r="BR252"/>
  <c r="BM252"/>
  <c r="BS252"/>
  <c r="BQ194"/>
  <c r="AK41"/>
  <c r="AL41"/>
  <c r="BQ270"/>
  <c r="AI407"/>
  <c r="BA204"/>
  <c r="BX204" s="1"/>
  <c r="Z230" i="52" s="1"/>
  <c r="AB230" s="1"/>
  <c r="BQ313" i="1"/>
  <c r="BF362"/>
  <c r="CP246"/>
  <c r="CP198"/>
  <c r="CP264"/>
  <c r="CP253"/>
  <c r="CP220"/>
  <c r="CP214"/>
  <c r="CP176"/>
  <c r="CP125"/>
  <c r="CP196"/>
  <c r="BQ55"/>
  <c r="AU237"/>
  <c r="Y264" i="52" s="1"/>
  <c r="BQ32" i="1"/>
  <c r="CP181"/>
  <c r="CP182"/>
  <c r="CP71"/>
  <c r="CP223"/>
  <c r="CP192"/>
  <c r="CP173"/>
  <c r="CP78"/>
  <c r="CP197"/>
  <c r="CP276"/>
  <c r="BF302"/>
  <c r="BQ319"/>
  <c r="CP306"/>
  <c r="AU54"/>
  <c r="Y79" i="52" s="1"/>
  <c r="BQ37" i="1"/>
  <c r="BA161"/>
  <c r="BX161" s="1"/>
  <c r="Z187" i="52" s="1"/>
  <c r="AB187" s="1"/>
  <c r="BQ30" i="1"/>
  <c r="BQ18"/>
  <c r="BL62"/>
  <c r="BR204"/>
  <c r="BS136"/>
  <c r="BM114"/>
  <c r="BR91"/>
  <c r="BM266"/>
  <c r="BR228"/>
  <c r="BM185"/>
  <c r="BS170"/>
  <c r="BN149"/>
  <c r="BN131"/>
  <c r="BM286"/>
  <c r="BL281"/>
  <c r="BA41"/>
  <c r="BL67"/>
  <c r="BL297"/>
  <c r="BM241"/>
  <c r="BM140"/>
  <c r="BS145"/>
  <c r="BM233"/>
  <c r="BM121"/>
  <c r="BR111"/>
  <c r="BL80"/>
  <c r="BL267"/>
  <c r="BS262"/>
  <c r="BM249"/>
  <c r="BM296"/>
  <c r="BS261"/>
  <c r="BL132"/>
  <c r="BS239"/>
  <c r="BN213"/>
  <c r="BL209"/>
  <c r="BR172"/>
  <c r="BR127"/>
  <c r="BM283"/>
  <c r="BN268"/>
  <c r="BS258"/>
  <c r="BN109"/>
  <c r="BS72"/>
  <c r="BL48"/>
  <c r="BQ19"/>
  <c r="CP237"/>
  <c r="BF237"/>
  <c r="BQ21"/>
  <c r="BQ36"/>
  <c r="BQ34"/>
  <c r="CG34" s="1"/>
  <c r="BQ24"/>
  <c r="CG24" s="1"/>
  <c r="BQ26"/>
  <c r="BQ22"/>
  <c r="BQ40"/>
  <c r="BQ398"/>
  <c r="CG398" s="1"/>
  <c r="BQ208"/>
  <c r="BF54"/>
  <c r="BN188"/>
  <c r="BQ195"/>
  <c r="CP54"/>
  <c r="BQ342"/>
  <c r="BQ390"/>
  <c r="BQ381"/>
  <c r="BF187"/>
  <c r="CP187"/>
  <c r="BF155"/>
  <c r="CP155"/>
  <c r="BF174"/>
  <c r="CP174"/>
  <c r="BF97"/>
  <c r="CP97"/>
  <c r="BF93"/>
  <c r="CP93"/>
  <c r="BF52"/>
  <c r="CP52"/>
  <c r="AU302"/>
  <c r="Y329" i="52" s="1"/>
  <c r="CP302" i="1"/>
  <c r="BF212"/>
  <c r="CP212"/>
  <c r="AU77"/>
  <c r="Y102" i="52" s="1"/>
  <c r="CP77" i="1"/>
  <c r="BF139"/>
  <c r="CP139"/>
  <c r="BF163"/>
  <c r="CP163"/>
  <c r="BF86"/>
  <c r="CP86"/>
  <c r="BF290"/>
  <c r="CP290"/>
  <c r="BF282"/>
  <c r="CP282"/>
  <c r="BF95"/>
  <c r="CP95"/>
  <c r="BF274"/>
  <c r="CP274"/>
  <c r="BF275"/>
  <c r="CP275"/>
  <c r="AU279"/>
  <c r="Y306" i="52" s="1"/>
  <c r="CP279" i="1"/>
  <c r="BF244"/>
  <c r="CP244"/>
  <c r="BQ371"/>
  <c r="BQ221"/>
  <c r="CG221" s="1"/>
  <c r="BF391"/>
  <c r="BF332"/>
  <c r="BF361"/>
  <c r="BN180"/>
  <c r="BM209"/>
  <c r="BM84"/>
  <c r="BQ164"/>
  <c r="BR213"/>
  <c r="BS281"/>
  <c r="BL105"/>
  <c r="BQ400"/>
  <c r="BQ327"/>
  <c r="BQ396"/>
  <c r="BQ373"/>
  <c r="BQ382"/>
  <c r="BQ369"/>
  <c r="BQ386"/>
  <c r="BQ346"/>
  <c r="AU306"/>
  <c r="Y332" i="52" s="1"/>
  <c r="BL74" i="1"/>
  <c r="BQ231"/>
  <c r="BM297"/>
  <c r="BS297"/>
  <c r="BN154"/>
  <c r="BL145"/>
  <c r="BM98"/>
  <c r="BR56"/>
  <c r="BQ257"/>
  <c r="BS209"/>
  <c r="BM188"/>
  <c r="BL172"/>
  <c r="BN286"/>
  <c r="BM281"/>
  <c r="BM131"/>
  <c r="BQ314"/>
  <c r="BQ335"/>
  <c r="BQ353"/>
  <c r="BQ366"/>
  <c r="BR154"/>
  <c r="BM145"/>
  <c r="BS140"/>
  <c r="BQ315"/>
  <c r="BQ377"/>
  <c r="BQ388"/>
  <c r="BL266"/>
  <c r="BL241"/>
  <c r="BQ318"/>
  <c r="BQ326"/>
  <c r="BQ207"/>
  <c r="BQ374"/>
  <c r="BQ351"/>
  <c r="BQ330"/>
  <c r="BF220"/>
  <c r="AU220"/>
  <c r="Y246" i="52" s="1"/>
  <c r="BS238" i="1"/>
  <c r="BL238"/>
  <c r="BN211"/>
  <c r="BL175"/>
  <c r="BM180"/>
  <c r="BS172"/>
  <c r="BR149"/>
  <c r="BN84"/>
  <c r="BR286"/>
  <c r="BS286"/>
  <c r="BL286"/>
  <c r="BN281"/>
  <c r="BR281"/>
  <c r="BS154"/>
  <c r="BL154"/>
  <c r="BM154"/>
  <c r="BN145"/>
  <c r="BR145"/>
  <c r="BR109"/>
  <c r="BM109"/>
  <c r="BR98"/>
  <c r="BN98"/>
  <c r="BS74"/>
  <c r="BM74"/>
  <c r="BS56"/>
  <c r="BN56"/>
  <c r="BQ205"/>
  <c r="BQ234"/>
  <c r="BQ146"/>
  <c r="BQ138"/>
  <c r="BQ322"/>
  <c r="BQ201"/>
  <c r="CG201" s="1"/>
  <c r="BQ159"/>
  <c r="CG159" s="1"/>
  <c r="BQ49"/>
  <c r="BS76"/>
  <c r="BQ347"/>
  <c r="CG347" s="1"/>
  <c r="BQ338"/>
  <c r="BQ354"/>
  <c r="BM177"/>
  <c r="BN72"/>
  <c r="BQ316"/>
  <c r="BQ343"/>
  <c r="BQ340"/>
  <c r="BQ403"/>
  <c r="BQ144"/>
  <c r="CG144" s="1"/>
  <c r="BQ153"/>
  <c r="BQ242"/>
  <c r="BR266"/>
  <c r="BR241"/>
  <c r="BS177"/>
  <c r="BL133"/>
  <c r="BL268"/>
  <c r="BR105"/>
  <c r="BL96"/>
  <c r="BM76"/>
  <c r="BL283"/>
  <c r="BL152"/>
  <c r="BM143"/>
  <c r="BQ380"/>
  <c r="BQ399"/>
  <c r="BQ248"/>
  <c r="AX41"/>
  <c r="AU41"/>
  <c r="BN41"/>
  <c r="G37" i="40" s="1"/>
  <c r="BM41" i="1"/>
  <c r="J37" i="41" s="1"/>
  <c r="BB41" i="1"/>
  <c r="BS41"/>
  <c r="J37" i="37" s="1"/>
  <c r="AY41" i="1"/>
  <c r="BN300"/>
  <c r="BN297"/>
  <c r="BR297"/>
  <c r="BM239"/>
  <c r="BR239"/>
  <c r="BL239"/>
  <c r="BS213"/>
  <c r="BL213"/>
  <c r="BM213"/>
  <c r="BN209"/>
  <c r="BR209"/>
  <c r="BR188"/>
  <c r="BS188"/>
  <c r="BL188"/>
  <c r="BR180"/>
  <c r="BS180"/>
  <c r="BL180"/>
  <c r="BM172"/>
  <c r="BN172"/>
  <c r="BS149"/>
  <c r="BL149"/>
  <c r="BM149"/>
  <c r="BL140"/>
  <c r="BR131"/>
  <c r="BR84"/>
  <c r="BS84"/>
  <c r="BL84"/>
  <c r="BR132"/>
  <c r="BM148"/>
  <c r="BL109"/>
  <c r="BS109"/>
  <c r="BL98"/>
  <c r="BS98"/>
  <c r="BR74"/>
  <c r="BN74"/>
  <c r="BM56"/>
  <c r="BL56"/>
  <c r="BQ364"/>
  <c r="BQ137"/>
  <c r="AU86"/>
  <c r="Y111" i="52" s="1"/>
  <c r="BN239" i="1"/>
  <c r="BR140"/>
  <c r="BN140"/>
  <c r="BL131"/>
  <c r="BS131"/>
  <c r="BN148"/>
  <c r="BQ352"/>
  <c r="BQ99"/>
  <c r="CG99" s="1"/>
  <c r="BQ124"/>
  <c r="CG124" s="1"/>
  <c r="BQ345"/>
  <c r="BS266"/>
  <c r="BS241"/>
  <c r="BL177"/>
  <c r="BS133"/>
  <c r="BR133"/>
  <c r="BN127"/>
  <c r="BM127"/>
  <c r="BM268"/>
  <c r="BS268"/>
  <c r="BS105"/>
  <c r="BM96"/>
  <c r="BS96"/>
  <c r="BL76"/>
  <c r="BR72"/>
  <c r="BR283"/>
  <c r="BN258"/>
  <c r="BS143"/>
  <c r="BL123"/>
  <c r="BQ384"/>
  <c r="CG384" s="1"/>
  <c r="BQ142"/>
  <c r="BQ46"/>
  <c r="BM200"/>
  <c r="BQ47"/>
  <c r="BS283"/>
  <c r="BR258"/>
  <c r="BM152"/>
  <c r="BS152"/>
  <c r="BL143"/>
  <c r="BS123"/>
  <c r="BR123"/>
  <c r="BF181"/>
  <c r="BF198"/>
  <c r="BF264"/>
  <c r="BF253"/>
  <c r="BF279"/>
  <c r="BF77"/>
  <c r="BF246"/>
  <c r="BF182"/>
  <c r="BF71"/>
  <c r="BF223"/>
  <c r="BF192"/>
  <c r="BF173"/>
  <c r="BF78"/>
  <c r="BF197"/>
  <c r="BF276"/>
  <c r="BF214"/>
  <c r="BF176"/>
  <c r="BF125"/>
  <c r="BF196"/>
  <c r="AW404"/>
  <c r="CP317"/>
  <c r="CP391"/>
  <c r="CP361"/>
  <c r="AU360"/>
  <c r="CP360"/>
  <c r="CP362"/>
  <c r="AU332"/>
  <c r="CP332"/>
  <c r="AU339"/>
  <c r="CP339"/>
  <c r="AU187"/>
  <c r="Y213" i="52" s="1"/>
  <c r="AU163" i="1"/>
  <c r="Y189" i="52" s="1"/>
  <c r="AU155" i="1"/>
  <c r="Y181" i="52" s="1"/>
  <c r="AU174" i="1"/>
  <c r="Y200" i="52" s="1"/>
  <c r="AU290" i="1"/>
  <c r="Y317" i="52" s="1"/>
  <c r="AU282" i="1"/>
  <c r="Y309" i="52" s="1"/>
  <c r="AU97" i="1"/>
  <c r="Y122" i="52" s="1"/>
  <c r="AU95" i="1"/>
  <c r="Y120" i="52" s="1"/>
  <c r="AU93" i="1"/>
  <c r="Y118" i="52" s="1"/>
  <c r="AU274" i="1"/>
  <c r="Y301" i="52" s="1"/>
  <c r="AU52" i="1"/>
  <c r="Y77" i="52" s="1"/>
  <c r="AU275" i="1"/>
  <c r="Y302" i="52" s="1"/>
  <c r="AU244" i="1"/>
  <c r="Y271" i="52" s="1"/>
  <c r="AU212" i="1"/>
  <c r="Y238" i="52" s="1"/>
  <c r="BM161" i="1"/>
  <c r="BN161"/>
  <c r="BL161"/>
  <c r="BS161"/>
  <c r="BR161"/>
  <c r="BR190"/>
  <c r="BS190"/>
  <c r="BL190"/>
  <c r="BM190"/>
  <c r="BN190"/>
  <c r="BL296"/>
  <c r="BM261"/>
  <c r="BQ350"/>
  <c r="AU71"/>
  <c r="Y96" i="52" s="1"/>
  <c r="BL87" i="1"/>
  <c r="AU173"/>
  <c r="Y199" i="52" s="1"/>
  <c r="AU276" i="1"/>
  <c r="Y303" i="52" s="1"/>
  <c r="BM301" i="1"/>
  <c r="BS301"/>
  <c r="BR289"/>
  <c r="BN265"/>
  <c r="BS265"/>
  <c r="BN240"/>
  <c r="AU125"/>
  <c r="Y150" i="52" s="1"/>
  <c r="BS228" i="1"/>
  <c r="BL228"/>
  <c r="BM228"/>
  <c r="AU196"/>
  <c r="Y222" i="52" s="1"/>
  <c r="BR185" i="1"/>
  <c r="BS185"/>
  <c r="BL185"/>
  <c r="BM170"/>
  <c r="BN170"/>
  <c r="BR147"/>
  <c r="BS81"/>
  <c r="BM81"/>
  <c r="BN48"/>
  <c r="BR48"/>
  <c r="BN266"/>
  <c r="BN241"/>
  <c r="BR177"/>
  <c r="BN177"/>
  <c r="BN133"/>
  <c r="BM133"/>
  <c r="BL127"/>
  <c r="BS127"/>
  <c r="BR268"/>
  <c r="BN105"/>
  <c r="BM105"/>
  <c r="BR96"/>
  <c r="BN96"/>
  <c r="BR76"/>
  <c r="BN76"/>
  <c r="BM72"/>
  <c r="BL72"/>
  <c r="BN283"/>
  <c r="BM258"/>
  <c r="BL258"/>
  <c r="BR152"/>
  <c r="BN152"/>
  <c r="BR143"/>
  <c r="BN143"/>
  <c r="BN123"/>
  <c r="BM123"/>
  <c r="BM48"/>
  <c r="BS48"/>
  <c r="BN228"/>
  <c r="BN185"/>
  <c r="BL170"/>
  <c r="BR170"/>
  <c r="BN147"/>
  <c r="BL81"/>
  <c r="BL200"/>
  <c r="BR121"/>
  <c r="BS249"/>
  <c r="BQ375"/>
  <c r="AU182"/>
  <c r="Y208" i="52" s="1"/>
  <c r="BS87" i="1"/>
  <c r="BR87"/>
  <c r="BN233"/>
  <c r="BR233"/>
  <c r="BS285"/>
  <c r="BL285"/>
  <c r="BR285"/>
  <c r="BN285"/>
  <c r="BS121"/>
  <c r="BR116"/>
  <c r="BS116"/>
  <c r="BN116"/>
  <c r="BM111"/>
  <c r="BN111"/>
  <c r="BS80"/>
  <c r="BN291"/>
  <c r="BM267"/>
  <c r="BL262"/>
  <c r="BL249"/>
  <c r="BR249"/>
  <c r="BN200"/>
  <c r="BR200"/>
  <c r="BN301"/>
  <c r="BL301"/>
  <c r="BN289"/>
  <c r="BL289"/>
  <c r="BM289"/>
  <c r="BR265"/>
  <c r="BM265"/>
  <c r="BL265"/>
  <c r="BR240"/>
  <c r="BL240"/>
  <c r="AU214"/>
  <c r="Y240" i="52" s="1"/>
  <c r="BS147" i="1"/>
  <c r="BL147"/>
  <c r="BM147"/>
  <c r="BN81"/>
  <c r="BR81"/>
  <c r="BS111"/>
  <c r="BS233"/>
  <c r="BM87"/>
  <c r="BM285"/>
  <c r="BN121"/>
  <c r="BL121"/>
  <c r="BL116"/>
  <c r="BQ363"/>
  <c r="BM91"/>
  <c r="BM204"/>
  <c r="BM211"/>
  <c r="BS62"/>
  <c r="BR261"/>
  <c r="BR211"/>
  <c r="BS175"/>
  <c r="BQ334"/>
  <c r="BR62"/>
  <c r="BN238"/>
  <c r="BR175"/>
  <c r="BS67"/>
  <c r="BS204"/>
  <c r="BN114"/>
  <c r="BS91"/>
  <c r="BN296"/>
  <c r="BL261"/>
  <c r="BM175"/>
  <c r="BQ376"/>
  <c r="BL114"/>
  <c r="BR67"/>
  <c r="BN136"/>
  <c r="BM67"/>
  <c r="BM62"/>
  <c r="BM136"/>
  <c r="BQ392"/>
  <c r="BQ320"/>
  <c r="BL204"/>
  <c r="BS114"/>
  <c r="BL91"/>
  <c r="BS296"/>
  <c r="BN261"/>
  <c r="BM238"/>
  <c r="BL211"/>
  <c r="BQ328"/>
  <c r="BR227"/>
  <c r="BS227"/>
  <c r="BL227"/>
  <c r="BN227"/>
  <c r="BM227"/>
  <c r="BN189"/>
  <c r="BR189"/>
  <c r="BL189"/>
  <c r="BS189"/>
  <c r="BM189"/>
  <c r="BS184"/>
  <c r="BL184"/>
  <c r="BM184"/>
  <c r="BR184"/>
  <c r="BN184"/>
  <c r="BS171"/>
  <c r="BL171"/>
  <c r="BM171"/>
  <c r="BN171"/>
  <c r="BR171"/>
  <c r="BM160"/>
  <c r="BN160"/>
  <c r="BR160"/>
  <c r="BL160"/>
  <c r="BS160"/>
  <c r="BS115"/>
  <c r="BL115"/>
  <c r="BM115"/>
  <c r="BN115"/>
  <c r="BR115"/>
  <c r="BN85"/>
  <c r="BR85"/>
  <c r="BL85"/>
  <c r="BS85"/>
  <c r="BM85"/>
  <c r="BM70"/>
  <c r="BN70"/>
  <c r="BS70"/>
  <c r="BR70"/>
  <c r="BL70"/>
  <c r="BM65"/>
  <c r="BN65"/>
  <c r="BR65"/>
  <c r="BL65"/>
  <c r="BS65"/>
  <c r="BM61"/>
  <c r="BN61"/>
  <c r="BS61"/>
  <c r="BR61"/>
  <c r="BL61"/>
  <c r="AU181"/>
  <c r="Y207" i="52" s="1"/>
  <c r="BN169" i="1"/>
  <c r="BR169"/>
  <c r="BS169"/>
  <c r="BM169"/>
  <c r="BL169"/>
  <c r="BR166"/>
  <c r="BS166"/>
  <c r="BL166"/>
  <c r="BM166"/>
  <c r="BN166"/>
  <c r="BN122"/>
  <c r="BM122"/>
  <c r="BS122"/>
  <c r="BR122"/>
  <c r="BL122"/>
  <c r="BN117"/>
  <c r="BR117"/>
  <c r="BL117"/>
  <c r="BM117"/>
  <c r="BS117"/>
  <c r="BN113"/>
  <c r="BR113"/>
  <c r="BS113"/>
  <c r="BM113"/>
  <c r="BL113"/>
  <c r="BR68"/>
  <c r="BS68"/>
  <c r="BL68"/>
  <c r="BM68"/>
  <c r="BN68"/>
  <c r="BR63"/>
  <c r="BS63"/>
  <c r="BL63"/>
  <c r="BN63"/>
  <c r="BM63"/>
  <c r="BR59"/>
  <c r="BS59"/>
  <c r="BL59"/>
  <c r="BM59"/>
  <c r="BN59"/>
  <c r="AU246"/>
  <c r="Y273" i="52" s="1"/>
  <c r="BN89" i="1"/>
  <c r="BR89"/>
  <c r="BL89"/>
  <c r="BS89"/>
  <c r="BM89"/>
  <c r="BN87"/>
  <c r="AU223"/>
  <c r="Y249" i="52" s="1"/>
  <c r="AU198" i="1"/>
  <c r="Y224" i="52" s="1"/>
  <c r="AU192" i="1"/>
  <c r="Y218" i="52" s="1"/>
  <c r="BN273" i="1"/>
  <c r="BL273"/>
  <c r="BR273"/>
  <c r="BM273"/>
  <c r="BS273"/>
  <c r="BN69"/>
  <c r="BR69"/>
  <c r="BL69"/>
  <c r="BS69"/>
  <c r="BM69"/>
  <c r="BN67"/>
  <c r="BN64"/>
  <c r="BR64"/>
  <c r="BS64"/>
  <c r="BM64"/>
  <c r="BL64"/>
  <c r="BN62"/>
  <c r="BN60"/>
  <c r="BR60"/>
  <c r="BL60"/>
  <c r="BS60"/>
  <c r="BM60"/>
  <c r="BS53"/>
  <c r="BL53"/>
  <c r="BM53"/>
  <c r="BN53"/>
  <c r="BR53"/>
  <c r="BL233"/>
  <c r="BS230"/>
  <c r="BL230"/>
  <c r="BM230"/>
  <c r="BN230"/>
  <c r="BR230"/>
  <c r="BN222"/>
  <c r="BR222"/>
  <c r="BL222"/>
  <c r="BS222"/>
  <c r="BM222"/>
  <c r="AU78"/>
  <c r="Y103" i="52" s="1"/>
  <c r="BR75" i="1"/>
  <c r="BS75"/>
  <c r="BL75"/>
  <c r="BM75"/>
  <c r="BN75"/>
  <c r="BS217"/>
  <c r="BL217"/>
  <c r="BM217"/>
  <c r="BN217"/>
  <c r="BR217"/>
  <c r="BN204"/>
  <c r="AU197"/>
  <c r="Y223" i="52" s="1"/>
  <c r="BR150" i="1"/>
  <c r="BS150"/>
  <c r="BL150"/>
  <c r="BN150"/>
  <c r="BM150"/>
  <c r="BL136"/>
  <c r="BR136"/>
  <c r="BS130"/>
  <c r="BL130"/>
  <c r="BR130"/>
  <c r="BN130"/>
  <c r="BM130"/>
  <c r="AU264"/>
  <c r="Y291" i="52" s="1"/>
  <c r="BM116" i="1"/>
  <c r="BR114"/>
  <c r="BL111"/>
  <c r="BS110"/>
  <c r="BL110"/>
  <c r="BM110"/>
  <c r="BN110"/>
  <c r="BR110"/>
  <c r="BS104"/>
  <c r="BL104"/>
  <c r="BM104"/>
  <c r="BR104"/>
  <c r="BN104"/>
  <c r="BM103"/>
  <c r="BN103"/>
  <c r="BS103"/>
  <c r="BR103"/>
  <c r="BL103"/>
  <c r="BR101"/>
  <c r="BS101"/>
  <c r="BL101"/>
  <c r="BM101"/>
  <c r="BN101"/>
  <c r="BN91"/>
  <c r="BR80"/>
  <c r="BN80"/>
  <c r="BM80"/>
  <c r="BR73"/>
  <c r="BS73"/>
  <c r="BL73"/>
  <c r="BM73"/>
  <c r="BN73"/>
  <c r="BM300"/>
  <c r="BR300"/>
  <c r="BL300"/>
  <c r="BS300"/>
  <c r="BM291"/>
  <c r="BR291"/>
  <c r="BL291"/>
  <c r="BS291"/>
  <c r="BR267"/>
  <c r="BS267"/>
  <c r="BN267"/>
  <c r="BR262"/>
  <c r="BN262"/>
  <c r="BM262"/>
  <c r="AU253"/>
  <c r="Y280" i="52" s="1"/>
  <c r="BN249" i="1"/>
  <c r="BS200"/>
  <c r="BM193"/>
  <c r="BN193"/>
  <c r="BS193"/>
  <c r="BR193"/>
  <c r="BL193"/>
  <c r="BR301"/>
  <c r="BR296"/>
  <c r="BS289"/>
  <c r="BM240"/>
  <c r="BS240"/>
  <c r="BR238"/>
  <c r="BS211"/>
  <c r="AU176"/>
  <c r="Y202" i="52" s="1"/>
  <c r="BN175" i="1"/>
  <c r="BR148"/>
  <c r="BL148"/>
  <c r="BS148"/>
  <c r="BS132"/>
  <c r="BM132"/>
  <c r="BN132"/>
  <c r="BQ370"/>
  <c r="BQ323"/>
  <c r="BQ365"/>
  <c r="BQ367"/>
  <c r="AU362"/>
  <c r="BQ359"/>
  <c r="BQ324"/>
  <c r="CG324" s="1"/>
  <c r="BQ368"/>
  <c r="BQ383"/>
  <c r="BQ401"/>
  <c r="BQ344"/>
  <c r="AU361"/>
  <c r="BQ325"/>
  <c r="BQ333"/>
  <c r="BQ341"/>
  <c r="BQ402"/>
  <c r="CG402" s="1"/>
  <c r="BQ379"/>
  <c r="AU317"/>
  <c r="BQ336"/>
  <c r="BQ348"/>
  <c r="BQ378"/>
  <c r="BQ395"/>
  <c r="AU139"/>
  <c r="Y164" i="52" s="1"/>
  <c r="BQ321" i="1"/>
  <c r="CG321" s="1"/>
  <c r="BQ329"/>
  <c r="CG329" s="1"/>
  <c r="BQ337"/>
  <c r="BQ355"/>
  <c r="AU391"/>
  <c r="BQ28"/>
  <c r="CG28" s="1"/>
  <c r="BQ20"/>
  <c r="BQ35"/>
  <c r="CG35" s="1"/>
  <c r="BQ31"/>
  <c r="CG31" s="1"/>
  <c r="BQ39"/>
  <c r="BQ33"/>
  <c r="BQ29"/>
  <c r="BQ23"/>
  <c r="BQ27"/>
  <c r="CG27" s="1"/>
  <c r="BQ17"/>
  <c r="BV17"/>
  <c r="K14"/>
  <c r="K15" s="1"/>
  <c r="K45"/>
  <c r="K41" i="42" s="1"/>
  <c r="K44" i="1"/>
  <c r="K40" i="42" s="1"/>
  <c r="K312" i="1"/>
  <c r="AX292"/>
  <c r="AX235"/>
  <c r="AX83"/>
  <c r="AX284"/>
  <c r="AX90"/>
  <c r="AX215"/>
  <c r="AX254"/>
  <c r="AX112"/>
  <c r="AX307"/>
  <c r="AX183"/>
  <c r="AX295"/>
  <c r="AX274"/>
  <c r="AX389"/>
  <c r="AX216"/>
  <c r="AX280"/>
  <c r="AX237"/>
  <c r="AX51"/>
  <c r="AX260"/>
  <c r="CJ206" l="1"/>
  <c r="CK206" s="1"/>
  <c r="CJ230"/>
  <c r="CK230" s="1"/>
  <c r="CJ362"/>
  <c r="CK362" s="1"/>
  <c r="CJ338"/>
  <c r="CK338" s="1"/>
  <c r="CJ343"/>
  <c r="CK343" s="1"/>
  <c r="CJ84"/>
  <c r="CK84" s="1"/>
  <c r="CJ110"/>
  <c r="CK110" s="1"/>
  <c r="CJ180"/>
  <c r="CK180" s="1"/>
  <c r="CJ282"/>
  <c r="CK282" s="1"/>
  <c r="CJ105"/>
  <c r="CK105" s="1"/>
  <c r="CJ342"/>
  <c r="CK342" s="1"/>
  <c r="CJ176"/>
  <c r="CK176" s="1"/>
  <c r="CJ76"/>
  <c r="CK76" s="1"/>
  <c r="CJ233"/>
  <c r="CK233" s="1"/>
  <c r="CJ239"/>
  <c r="CK239" s="1"/>
  <c r="CJ329"/>
  <c r="CK329" s="1"/>
  <c r="CJ79"/>
  <c r="CK79" s="1"/>
  <c r="CJ181"/>
  <c r="CK181" s="1"/>
  <c r="CJ258"/>
  <c r="CK258" s="1"/>
  <c r="CJ131"/>
  <c r="CK131" s="1"/>
  <c r="CJ345"/>
  <c r="CK345" s="1"/>
  <c r="CJ115"/>
  <c r="CK115" s="1"/>
  <c r="CJ246"/>
  <c r="CK246" s="1"/>
  <c r="CJ318"/>
  <c r="CK318" s="1"/>
  <c r="CJ67"/>
  <c r="CK67" s="1"/>
  <c r="CJ155"/>
  <c r="CK155" s="1"/>
  <c r="CJ213"/>
  <c r="CK213" s="1"/>
  <c r="CJ61"/>
  <c r="CK61" s="1"/>
  <c r="CJ77"/>
  <c r="CK77" s="1"/>
  <c r="CJ98"/>
  <c r="CK98" s="1"/>
  <c r="CJ117"/>
  <c r="CK117" s="1"/>
  <c r="CJ143"/>
  <c r="CK143" s="1"/>
  <c r="CJ157"/>
  <c r="CK157" s="1"/>
  <c r="CJ175"/>
  <c r="CK175" s="1"/>
  <c r="CJ240"/>
  <c r="CK240" s="1"/>
  <c r="CJ265"/>
  <c r="CK265" s="1"/>
  <c r="CJ315"/>
  <c r="CK315" s="1"/>
  <c r="CJ93"/>
  <c r="CK93" s="1"/>
  <c r="CJ223"/>
  <c r="CK223" s="1"/>
  <c r="CJ275"/>
  <c r="CK275" s="1"/>
  <c r="CJ167"/>
  <c r="CK167" s="1"/>
  <c r="CJ198"/>
  <c r="CK198" s="1"/>
  <c r="CJ244"/>
  <c r="CK244" s="1"/>
  <c r="CJ267"/>
  <c r="CK267" s="1"/>
  <c r="CJ121"/>
  <c r="CK121" s="1"/>
  <c r="CJ264"/>
  <c r="CK264" s="1"/>
  <c r="CJ237"/>
  <c r="CK237" s="1"/>
  <c r="CJ313"/>
  <c r="CK313" s="1"/>
  <c r="CJ314"/>
  <c r="CK314" s="1"/>
  <c r="CJ74"/>
  <c r="CK74" s="1"/>
  <c r="CJ113"/>
  <c r="CK113" s="1"/>
  <c r="CJ139"/>
  <c r="CK139" s="1"/>
  <c r="CJ160"/>
  <c r="CK160" s="1"/>
  <c r="CJ214"/>
  <c r="CK214" s="1"/>
  <c r="CJ322"/>
  <c r="CK322" s="1"/>
  <c r="CJ73"/>
  <c r="CK73" s="1"/>
  <c r="CJ185"/>
  <c r="CK185" s="1"/>
  <c r="CJ241"/>
  <c r="CK241" s="1"/>
  <c r="CJ266"/>
  <c r="CK266" s="1"/>
  <c r="CJ188"/>
  <c r="CK188" s="1"/>
  <c r="CJ209"/>
  <c r="CK209" s="1"/>
  <c r="CJ273"/>
  <c r="CK273" s="1"/>
  <c r="CJ197"/>
  <c r="CK197" s="1"/>
  <c r="CJ270"/>
  <c r="CK270" s="1"/>
  <c r="CJ366"/>
  <c r="CK366" s="1"/>
  <c r="CJ350"/>
  <c r="CK350" s="1"/>
  <c r="CJ339"/>
  <c r="CK339" s="1"/>
  <c r="CJ71"/>
  <c r="CK71" s="1"/>
  <c r="CJ81"/>
  <c r="CK81" s="1"/>
  <c r="CJ279"/>
  <c r="CK279" s="1"/>
  <c r="CJ235"/>
  <c r="CK235" s="1"/>
  <c r="CJ381"/>
  <c r="CK381" s="1"/>
  <c r="CJ378"/>
  <c r="CK378" s="1"/>
  <c r="CJ344"/>
  <c r="CK344" s="1"/>
  <c r="CJ320"/>
  <c r="CK320" s="1"/>
  <c r="CJ375"/>
  <c r="CK375" s="1"/>
  <c r="CJ341"/>
  <c r="CK341" s="1"/>
  <c r="CJ56"/>
  <c r="CK56" s="1"/>
  <c r="CJ189"/>
  <c r="CK189" s="1"/>
  <c r="CJ227"/>
  <c r="CK227" s="1"/>
  <c r="CJ245"/>
  <c r="CK245" s="1"/>
  <c r="CJ261"/>
  <c r="CK261" s="1"/>
  <c r="CJ104"/>
  <c r="CK104" s="1"/>
  <c r="CJ133"/>
  <c r="CK133" s="1"/>
  <c r="CJ149"/>
  <c r="CK149" s="1"/>
  <c r="CJ145"/>
  <c r="CK145" s="1"/>
  <c r="CJ86"/>
  <c r="CK86" s="1"/>
  <c r="CJ317"/>
  <c r="CK317" s="1"/>
  <c r="CJ136"/>
  <c r="CK136" s="1"/>
  <c r="CJ211"/>
  <c r="CK211" s="1"/>
  <c r="CJ111"/>
  <c r="CK111" s="1"/>
  <c r="CJ324"/>
  <c r="CK324" s="1"/>
  <c r="CJ72"/>
  <c r="CK72" s="1"/>
  <c r="CJ148"/>
  <c r="CK148" s="1"/>
  <c r="CJ191"/>
  <c r="CK191" s="1"/>
  <c r="CJ238"/>
  <c r="CK238" s="1"/>
  <c r="CJ140"/>
  <c r="CK140" s="1"/>
  <c r="CJ228"/>
  <c r="CK228" s="1"/>
  <c r="CJ306"/>
  <c r="CK306" s="1"/>
  <c r="CJ288"/>
  <c r="CK288" s="1"/>
  <c r="CJ394"/>
  <c r="CK394" s="1"/>
  <c r="CJ370"/>
  <c r="CK370" s="1"/>
  <c r="CJ386"/>
  <c r="CK386" s="1"/>
  <c r="CJ365"/>
  <c r="CK365" s="1"/>
  <c r="CJ363"/>
  <c r="CK363" s="1"/>
  <c r="CJ291"/>
  <c r="CK291" s="1"/>
  <c r="CJ368"/>
  <c r="CK368" s="1"/>
  <c r="CJ359"/>
  <c r="CK359" s="1"/>
  <c r="CJ285"/>
  <c r="CK285" s="1"/>
  <c r="CJ349"/>
  <c r="CK349" s="1"/>
  <c r="CJ297"/>
  <c r="CK297" s="1"/>
  <c r="CJ387"/>
  <c r="CK387" s="1"/>
  <c r="CJ352"/>
  <c r="CK352" s="1"/>
  <c r="CJ361"/>
  <c r="CK361" s="1"/>
  <c r="CJ307"/>
  <c r="CK307" s="1"/>
  <c r="CJ371"/>
  <c r="CK371" s="1"/>
  <c r="CJ391"/>
  <c r="CK391" s="1"/>
  <c r="CJ373"/>
  <c r="CK373" s="1"/>
  <c r="CJ390"/>
  <c r="CK390" s="1"/>
  <c r="CJ354"/>
  <c r="CK354" s="1"/>
  <c r="CJ395"/>
  <c r="CK395" s="1"/>
  <c r="CJ396"/>
  <c r="CK396" s="1"/>
  <c r="CJ402"/>
  <c r="CK402" s="1"/>
  <c r="CJ183"/>
  <c r="CK183" s="1"/>
  <c r="CJ112"/>
  <c r="CK112" s="1"/>
  <c r="CJ309"/>
  <c r="CK309" s="1"/>
  <c r="CJ216"/>
  <c r="CK216" s="1"/>
  <c r="CJ280"/>
  <c r="CK280" s="1"/>
  <c r="CJ178"/>
  <c r="CK178" s="1"/>
  <c r="CJ243"/>
  <c r="CK243" s="1"/>
  <c r="CJ225"/>
  <c r="CK225" s="1"/>
  <c r="CJ292"/>
  <c r="CK292" s="1"/>
  <c r="CJ295"/>
  <c r="CK295" s="1"/>
  <c r="CJ272"/>
  <c r="CK272" s="1"/>
  <c r="CJ224"/>
  <c r="CK224" s="1"/>
  <c r="CJ156"/>
  <c r="CK156" s="1"/>
  <c r="CJ287"/>
  <c r="CK287" s="1"/>
  <c r="CJ184"/>
  <c r="CK184" s="1"/>
  <c r="CJ220"/>
  <c r="CK220" s="1"/>
  <c r="CJ380"/>
  <c r="CK380" s="1"/>
  <c r="CJ346"/>
  <c r="CK346" s="1"/>
  <c r="CJ367"/>
  <c r="CK367" s="1"/>
  <c r="CJ319"/>
  <c r="CK319" s="1"/>
  <c r="CJ60"/>
  <c r="CK60" s="1"/>
  <c r="CJ101"/>
  <c r="CK101" s="1"/>
  <c r="CJ172"/>
  <c r="CK172" s="1"/>
  <c r="CJ196"/>
  <c r="CK196" s="1"/>
  <c r="CJ96"/>
  <c r="CK96" s="1"/>
  <c r="CJ154"/>
  <c r="CK154" s="1"/>
  <c r="CJ68"/>
  <c r="CK68" s="1"/>
  <c r="CJ262"/>
  <c r="CK262" s="1"/>
  <c r="CJ337"/>
  <c r="CK337" s="1"/>
  <c r="CJ187"/>
  <c r="CK187" s="1"/>
  <c r="CJ95"/>
  <c r="CK95" s="1"/>
  <c r="CJ340"/>
  <c r="CK340" s="1"/>
  <c r="CJ63"/>
  <c r="CK63" s="1"/>
  <c r="CJ165"/>
  <c r="CK165" s="1"/>
  <c r="CJ91"/>
  <c r="CK91" s="1"/>
  <c r="CJ87"/>
  <c r="CK87" s="1"/>
  <c r="CJ125"/>
  <c r="CK125" s="1"/>
  <c r="CJ334"/>
  <c r="CK334" s="1"/>
  <c r="CJ323"/>
  <c r="CK323" s="1"/>
  <c r="CJ192"/>
  <c r="CK192" s="1"/>
  <c r="CJ70"/>
  <c r="CK70" s="1"/>
  <c r="CJ89"/>
  <c r="CK89" s="1"/>
  <c r="CJ109"/>
  <c r="CK109" s="1"/>
  <c r="CJ130"/>
  <c r="CK130" s="1"/>
  <c r="CJ150"/>
  <c r="CK150" s="1"/>
  <c r="CJ166"/>
  <c r="CK166" s="1"/>
  <c r="CJ193"/>
  <c r="CK193" s="1"/>
  <c r="CK249"/>
  <c r="CJ249"/>
  <c r="CK330"/>
  <c r="CJ330"/>
  <c r="CJ335"/>
  <c r="CK335" s="1"/>
  <c r="CJ69"/>
  <c r="CK69" s="1"/>
  <c r="CJ127"/>
  <c r="CK127" s="1"/>
  <c r="CJ190"/>
  <c r="CK190" s="1"/>
  <c r="CJ212"/>
  <c r="CK212" s="1"/>
  <c r="CJ276"/>
  <c r="CK276" s="1"/>
  <c r="CJ151"/>
  <c r="CK151" s="1"/>
  <c r="CJ182"/>
  <c r="CK182" s="1"/>
  <c r="CJ92"/>
  <c r="CK92" s="1"/>
  <c r="CJ316"/>
  <c r="CK316" s="1"/>
  <c r="CJ78"/>
  <c r="CK78" s="1"/>
  <c r="CJ163"/>
  <c r="CK163" s="1"/>
  <c r="CJ132"/>
  <c r="CK132" s="1"/>
  <c r="CJ328"/>
  <c r="CK328" s="1"/>
  <c r="CJ333"/>
  <c r="CK333" s="1"/>
  <c r="CJ65"/>
  <c r="CK65" s="1"/>
  <c r="CJ85"/>
  <c r="CK85" s="1"/>
  <c r="CJ123"/>
  <c r="CK123" s="1"/>
  <c r="CJ152"/>
  <c r="CK152" s="1"/>
  <c r="CJ171"/>
  <c r="CK171" s="1"/>
  <c r="CJ268"/>
  <c r="CK268" s="1"/>
  <c r="CJ327"/>
  <c r="CK327" s="1"/>
  <c r="CJ64"/>
  <c r="CK64" s="1"/>
  <c r="CJ80"/>
  <c r="CK80" s="1"/>
  <c r="CJ168"/>
  <c r="CK168" s="1"/>
  <c r="CJ147"/>
  <c r="CK147" s="1"/>
  <c r="CJ174"/>
  <c r="CK174" s="1"/>
  <c r="CJ103"/>
  <c r="CK103" s="1"/>
  <c r="CJ376"/>
  <c r="CK376" s="1"/>
  <c r="CJ357"/>
  <c r="CK357" s="1"/>
  <c r="CJ326"/>
  <c r="CK326" s="1"/>
  <c r="CJ332"/>
  <c r="CK332" s="1"/>
  <c r="CJ62"/>
  <c r="CK62" s="1"/>
  <c r="CJ75"/>
  <c r="CK75" s="1"/>
  <c r="CJ250"/>
  <c r="CK250" s="1"/>
  <c r="CJ290"/>
  <c r="CK290" s="1"/>
  <c r="CJ284"/>
  <c r="CK284" s="1"/>
  <c r="CJ360"/>
  <c r="CK360" s="1"/>
  <c r="CJ336"/>
  <c r="CK336" s="1"/>
  <c r="CJ392"/>
  <c r="CK392" s="1"/>
  <c r="CJ356"/>
  <c r="CK356" s="1"/>
  <c r="CJ325"/>
  <c r="CK325" s="1"/>
  <c r="CJ179"/>
  <c r="CK179" s="1"/>
  <c r="CJ200"/>
  <c r="CK200" s="1"/>
  <c r="CJ236"/>
  <c r="CK236" s="1"/>
  <c r="CJ253"/>
  <c r="CK253" s="1"/>
  <c r="CJ97"/>
  <c r="CK97" s="1"/>
  <c r="CJ114"/>
  <c r="CK114" s="1"/>
  <c r="CJ321"/>
  <c r="CK321" s="1"/>
  <c r="CJ222"/>
  <c r="CK222" s="1"/>
  <c r="CJ170"/>
  <c r="CK170" s="1"/>
  <c r="CJ59"/>
  <c r="CK59" s="1"/>
  <c r="CJ169"/>
  <c r="CK169" s="1"/>
  <c r="CJ347"/>
  <c r="CK347" s="1"/>
  <c r="CJ260"/>
  <c r="CK260" s="1"/>
  <c r="CJ54"/>
  <c r="CK54" s="1"/>
  <c r="CJ122"/>
  <c r="CK122" s="1"/>
  <c r="CJ173"/>
  <c r="CK173" s="1"/>
  <c r="CJ217"/>
  <c r="CK217" s="1"/>
  <c r="CJ274"/>
  <c r="CK274" s="1"/>
  <c r="CJ116"/>
  <c r="CK116" s="1"/>
  <c r="CJ177"/>
  <c r="CK177" s="1"/>
  <c r="CJ388"/>
  <c r="CK388" s="1"/>
  <c r="CJ278"/>
  <c r="CK278" s="1"/>
  <c r="CJ296"/>
  <c r="CK296" s="1"/>
  <c r="CJ377"/>
  <c r="CK377" s="1"/>
  <c r="CJ369"/>
  <c r="CK369" s="1"/>
  <c r="CJ283"/>
  <c r="CK283" s="1"/>
  <c r="CJ382"/>
  <c r="CK382" s="1"/>
  <c r="CJ281"/>
  <c r="CK281" s="1"/>
  <c r="CJ383"/>
  <c r="CK383" s="1"/>
  <c r="CJ348"/>
  <c r="CK348" s="1"/>
  <c r="CJ353"/>
  <c r="CK353" s="1"/>
  <c r="CJ351"/>
  <c r="CK351" s="1"/>
  <c r="CJ384"/>
  <c r="CK384" s="1"/>
  <c r="CJ364"/>
  <c r="CK364" s="1"/>
  <c r="CJ300"/>
  <c r="CK300" s="1"/>
  <c r="CJ301"/>
  <c r="CK301" s="1"/>
  <c r="CJ286"/>
  <c r="CK286" s="1"/>
  <c r="CJ355"/>
  <c r="CK355" s="1"/>
  <c r="CJ302"/>
  <c r="CK302" s="1"/>
  <c r="CJ379"/>
  <c r="CK379" s="1"/>
  <c r="CJ374"/>
  <c r="CK374" s="1"/>
  <c r="CJ401"/>
  <c r="CK401" s="1"/>
  <c r="CJ403"/>
  <c r="CK403" s="1"/>
  <c r="CJ400"/>
  <c r="CK400" s="1"/>
  <c r="CJ399"/>
  <c r="CK399" s="1"/>
  <c r="CJ215"/>
  <c r="CK215" s="1"/>
  <c r="CJ203"/>
  <c r="CK203" s="1"/>
  <c r="CJ90"/>
  <c r="CK90" s="1"/>
  <c r="CJ385"/>
  <c r="CK385" s="1"/>
  <c r="CJ219"/>
  <c r="CK219" s="1"/>
  <c r="CJ398"/>
  <c r="CK398" s="1"/>
  <c r="CJ83"/>
  <c r="CK83" s="1"/>
  <c r="CJ254"/>
  <c r="CK254" s="1"/>
  <c r="CJ289"/>
  <c r="CK289" s="1"/>
  <c r="CC138"/>
  <c r="CI138"/>
  <c r="CC248"/>
  <c r="CI248"/>
  <c r="CC204"/>
  <c r="CI204"/>
  <c r="CC205"/>
  <c r="CI205"/>
  <c r="CC208"/>
  <c r="CI208"/>
  <c r="CC137"/>
  <c r="CI137"/>
  <c r="CK52"/>
  <c r="CC221"/>
  <c r="CI221"/>
  <c r="CC231"/>
  <c r="CI231"/>
  <c r="CC257"/>
  <c r="CI257"/>
  <c r="CC234"/>
  <c r="CI234"/>
  <c r="CK48"/>
  <c r="CC304"/>
  <c r="CI304"/>
  <c r="CC195"/>
  <c r="CI195"/>
  <c r="CC164"/>
  <c r="CI164"/>
  <c r="CC142"/>
  <c r="CI142"/>
  <c r="CC242"/>
  <c r="CI242"/>
  <c r="CC20"/>
  <c r="CI20"/>
  <c r="CC19"/>
  <c r="CI19"/>
  <c r="CC23"/>
  <c r="CI23"/>
  <c r="CC28"/>
  <c r="CI28"/>
  <c r="CC305"/>
  <c r="CI305"/>
  <c r="CC33"/>
  <c r="CI33"/>
  <c r="CC24"/>
  <c r="CI24"/>
  <c r="CC27"/>
  <c r="CI27"/>
  <c r="CC31"/>
  <c r="CI31"/>
  <c r="CC21"/>
  <c r="CI21"/>
  <c r="CC32"/>
  <c r="CI32"/>
  <c r="CC299"/>
  <c r="CI299"/>
  <c r="CC158"/>
  <c r="CI158"/>
  <c r="CC294"/>
  <c r="CI294"/>
  <c r="CC129"/>
  <c r="CI129"/>
  <c r="CC202"/>
  <c r="CI202"/>
  <c r="CC100"/>
  <c r="CI100"/>
  <c r="CC186"/>
  <c r="CI186"/>
  <c r="CC135"/>
  <c r="CI135"/>
  <c r="CC108"/>
  <c r="CI108"/>
  <c r="CC269"/>
  <c r="CI269"/>
  <c r="CC119"/>
  <c r="CI119"/>
  <c r="CC247"/>
  <c r="CI247"/>
  <c r="CC57"/>
  <c r="CI57"/>
  <c r="CC271"/>
  <c r="CI271"/>
  <c r="CC256"/>
  <c r="CI256"/>
  <c r="CC46"/>
  <c r="CI46"/>
  <c r="CJ46" s="1"/>
  <c r="CC161"/>
  <c r="CI161"/>
  <c r="CC207"/>
  <c r="CI207"/>
  <c r="CC124"/>
  <c r="CI124"/>
  <c r="CC49"/>
  <c r="CI49"/>
  <c r="CJ49" s="1"/>
  <c r="CC146"/>
  <c r="CI146"/>
  <c r="CC201"/>
  <c r="CI201"/>
  <c r="CK53"/>
  <c r="CC55"/>
  <c r="CI55"/>
  <c r="CC153"/>
  <c r="CI153"/>
  <c r="CC159"/>
  <c r="CI159"/>
  <c r="CC194"/>
  <c r="CI194"/>
  <c r="CC47"/>
  <c r="CI47"/>
  <c r="CJ47" s="1"/>
  <c r="CC298"/>
  <c r="CI298"/>
  <c r="CC22"/>
  <c r="CI22"/>
  <c r="CC144"/>
  <c r="CI144"/>
  <c r="CC99"/>
  <c r="CI99"/>
  <c r="CC36"/>
  <c r="CI36"/>
  <c r="CC34"/>
  <c r="CI34"/>
  <c r="CC29"/>
  <c r="CI29"/>
  <c r="CC37"/>
  <c r="CI37"/>
  <c r="CC35"/>
  <c r="CI35"/>
  <c r="CC308"/>
  <c r="CI308"/>
  <c r="CC252"/>
  <c r="CI252"/>
  <c r="CC30"/>
  <c r="CI30"/>
  <c r="CC40"/>
  <c r="CI40"/>
  <c r="CC18"/>
  <c r="CI18"/>
  <c r="CJ18" s="1"/>
  <c r="CC26"/>
  <c r="CI26"/>
  <c r="CC107"/>
  <c r="CI107"/>
  <c r="CC39"/>
  <c r="CI39"/>
  <c r="CC128"/>
  <c r="CI128"/>
  <c r="CC94"/>
  <c r="CI94"/>
  <c r="CC210"/>
  <c r="CI210"/>
  <c r="CC293"/>
  <c r="CI293"/>
  <c r="CC232"/>
  <c r="CI232"/>
  <c r="CC358"/>
  <c r="CI358"/>
  <c r="CC226"/>
  <c r="CI226"/>
  <c r="CC25"/>
  <c r="CI25"/>
  <c r="CC277"/>
  <c r="CI277"/>
  <c r="CC397"/>
  <c r="CI397"/>
  <c r="CC372"/>
  <c r="CI372"/>
  <c r="CK51"/>
  <c r="CC199"/>
  <c r="CI199"/>
  <c r="CC218"/>
  <c r="CI218"/>
  <c r="CC38"/>
  <c r="CI38"/>
  <c r="CC393"/>
  <c r="CI393"/>
  <c r="CB39"/>
  <c r="CG39"/>
  <c r="CB378"/>
  <c r="CG378"/>
  <c r="CB379"/>
  <c r="CG379"/>
  <c r="CB341"/>
  <c r="CG341"/>
  <c r="CB344"/>
  <c r="CG344"/>
  <c r="CB365"/>
  <c r="CG365"/>
  <c r="CB17"/>
  <c r="CG17"/>
  <c r="CB23"/>
  <c r="CG23"/>
  <c r="CB33"/>
  <c r="CG33"/>
  <c r="CB20"/>
  <c r="CG20"/>
  <c r="CB337"/>
  <c r="CG337"/>
  <c r="CB395"/>
  <c r="CG395"/>
  <c r="CB348"/>
  <c r="CG348"/>
  <c r="CB333"/>
  <c r="CG333"/>
  <c r="CB401"/>
  <c r="CG401"/>
  <c r="CB368"/>
  <c r="CG368"/>
  <c r="CB359"/>
  <c r="CG359"/>
  <c r="CB367"/>
  <c r="CG367"/>
  <c r="CB323"/>
  <c r="CG323"/>
  <c r="CB328"/>
  <c r="CG328"/>
  <c r="CB320"/>
  <c r="CG320"/>
  <c r="CB376"/>
  <c r="CG376"/>
  <c r="CB375"/>
  <c r="CG375"/>
  <c r="CB142"/>
  <c r="CG142"/>
  <c r="CB345"/>
  <c r="CG345"/>
  <c r="CB364"/>
  <c r="CG364"/>
  <c r="CB399"/>
  <c r="CG399"/>
  <c r="CB153"/>
  <c r="CG153"/>
  <c r="CB403"/>
  <c r="CG403"/>
  <c r="CB343"/>
  <c r="CG343"/>
  <c r="CB354"/>
  <c r="CG354"/>
  <c r="CB49"/>
  <c r="CG49"/>
  <c r="CB138"/>
  <c r="CG138"/>
  <c r="CB234"/>
  <c r="CG234"/>
  <c r="CB330"/>
  <c r="CG330"/>
  <c r="CB374"/>
  <c r="CG374"/>
  <c r="CB326"/>
  <c r="CG326"/>
  <c r="CB388"/>
  <c r="CG388"/>
  <c r="CB315"/>
  <c r="CG315"/>
  <c r="CB366"/>
  <c r="CG366"/>
  <c r="CB335"/>
  <c r="CG335"/>
  <c r="CB257"/>
  <c r="CG257"/>
  <c r="CB346"/>
  <c r="CG346"/>
  <c r="CB369"/>
  <c r="CG369"/>
  <c r="CB373"/>
  <c r="CG373"/>
  <c r="CB327"/>
  <c r="CG327"/>
  <c r="CB381"/>
  <c r="CG381"/>
  <c r="CB342"/>
  <c r="CG342"/>
  <c r="CB195"/>
  <c r="CG195"/>
  <c r="CB22"/>
  <c r="CG22"/>
  <c r="CB36"/>
  <c r="CG36"/>
  <c r="CB19"/>
  <c r="CG19"/>
  <c r="CB30"/>
  <c r="CG30"/>
  <c r="CB37"/>
  <c r="CG37"/>
  <c r="CB32"/>
  <c r="CG32"/>
  <c r="CB55"/>
  <c r="CG55"/>
  <c r="CB270"/>
  <c r="CG270"/>
  <c r="CB107"/>
  <c r="CG107"/>
  <c r="CB247"/>
  <c r="CG247"/>
  <c r="CB108"/>
  <c r="CG108"/>
  <c r="CB269"/>
  <c r="CG269"/>
  <c r="CB393"/>
  <c r="CG393"/>
  <c r="CC203"/>
  <c r="CC385"/>
  <c r="CB287"/>
  <c r="CG287"/>
  <c r="CB299"/>
  <c r="CG299"/>
  <c r="CB128"/>
  <c r="CG128"/>
  <c r="CC219"/>
  <c r="CB251"/>
  <c r="CG251"/>
  <c r="CB398"/>
  <c r="CB309"/>
  <c r="CB218"/>
  <c r="CB38"/>
  <c r="CB199"/>
  <c r="CB57"/>
  <c r="CB372"/>
  <c r="CB397"/>
  <c r="CB186"/>
  <c r="CB100"/>
  <c r="CB358"/>
  <c r="CB158"/>
  <c r="CB324"/>
  <c r="CB329"/>
  <c r="CB99"/>
  <c r="CB124"/>
  <c r="CB144"/>
  <c r="CB256"/>
  <c r="CB321"/>
  <c r="CB347"/>
  <c r="CC255"/>
  <c r="CB34"/>
  <c r="CB305"/>
  <c r="CB384"/>
  <c r="CB221"/>
  <c r="CB201"/>
  <c r="CB159"/>
  <c r="CB402"/>
  <c r="CB24"/>
  <c r="CB28"/>
  <c r="CB31"/>
  <c r="CB35"/>
  <c r="CB27"/>
  <c r="CB29"/>
  <c r="CG29"/>
  <c r="CB355"/>
  <c r="CG355"/>
  <c r="CB336"/>
  <c r="CG336"/>
  <c r="CB325"/>
  <c r="CG325"/>
  <c r="CB383"/>
  <c r="CG383"/>
  <c r="CB370"/>
  <c r="CG370"/>
  <c r="CB392"/>
  <c r="CG392"/>
  <c r="CB334"/>
  <c r="CG334"/>
  <c r="CB363"/>
  <c r="CG363"/>
  <c r="CB350"/>
  <c r="CG350"/>
  <c r="CB47"/>
  <c r="CG47"/>
  <c r="CB46"/>
  <c r="CG46"/>
  <c r="CB352"/>
  <c r="CG352"/>
  <c r="CB137"/>
  <c r="CG137"/>
  <c r="CB248"/>
  <c r="CG248"/>
  <c r="CB380"/>
  <c r="CG380"/>
  <c r="CB242"/>
  <c r="CG242"/>
  <c r="CB340"/>
  <c r="CG340"/>
  <c r="CB316"/>
  <c r="CG316"/>
  <c r="CB338"/>
  <c r="CG338"/>
  <c r="CB322"/>
  <c r="CG322"/>
  <c r="CB146"/>
  <c r="CG146"/>
  <c r="CB205"/>
  <c r="CG205"/>
  <c r="CB351"/>
  <c r="CG351"/>
  <c r="CB207"/>
  <c r="CG207"/>
  <c r="CB318"/>
  <c r="CG318"/>
  <c r="CB377"/>
  <c r="CG377"/>
  <c r="CB353"/>
  <c r="CG353"/>
  <c r="CB314"/>
  <c r="CG314"/>
  <c r="CB231"/>
  <c r="CG231"/>
  <c r="CB386"/>
  <c r="CG386"/>
  <c r="CB382"/>
  <c r="CG382"/>
  <c r="CB396"/>
  <c r="CG396"/>
  <c r="CB400"/>
  <c r="CG400"/>
  <c r="CB164"/>
  <c r="CG164"/>
  <c r="CB371"/>
  <c r="CG371"/>
  <c r="CB390"/>
  <c r="CG390"/>
  <c r="CB208"/>
  <c r="CG208"/>
  <c r="CB40"/>
  <c r="CG40"/>
  <c r="CB26"/>
  <c r="CG26"/>
  <c r="CB21"/>
  <c r="CG21"/>
  <c r="CB18"/>
  <c r="CG18"/>
  <c r="CB319"/>
  <c r="CG319"/>
  <c r="CB313"/>
  <c r="CG313"/>
  <c r="CB194"/>
  <c r="CG194"/>
  <c r="CB271"/>
  <c r="CG271"/>
  <c r="CB331"/>
  <c r="CG331"/>
  <c r="CB119"/>
  <c r="CG119"/>
  <c r="CB277"/>
  <c r="CG277"/>
  <c r="CB156"/>
  <c r="CG156"/>
  <c r="CC309"/>
  <c r="CB308"/>
  <c r="CG308"/>
  <c r="CB304"/>
  <c r="CG304"/>
  <c r="CC178"/>
  <c r="CB298"/>
  <c r="CG298"/>
  <c r="CB303"/>
  <c r="CG303"/>
  <c r="CC243"/>
  <c r="CC225"/>
  <c r="CC272"/>
  <c r="CC224"/>
  <c r="CG57"/>
  <c r="CG135"/>
  <c r="CG25"/>
  <c r="Z43" i="45"/>
  <c r="O365" i="44"/>
  <c r="O385"/>
  <c r="O278"/>
  <c r="O48"/>
  <c r="O333"/>
  <c r="O402"/>
  <c r="O398"/>
  <c r="O318"/>
  <c r="O35"/>
  <c r="O381"/>
  <c r="O272"/>
  <c r="O371"/>
  <c r="O219"/>
  <c r="O129"/>
  <c r="O195"/>
  <c r="O400"/>
  <c r="O368"/>
  <c r="O316"/>
  <c r="O332"/>
  <c r="O340"/>
  <c r="O299"/>
  <c r="O329"/>
  <c r="O357"/>
  <c r="AC234" i="43"/>
  <c r="AC153"/>
  <c r="AC118"/>
  <c r="AC318"/>
  <c r="AB325" i="45"/>
  <c r="AB324"/>
  <c r="AB427"/>
  <c r="AB329"/>
  <c r="Y424" i="43"/>
  <c r="Y308"/>
  <c r="Y207"/>
  <c r="Y304"/>
  <c r="Y261"/>
  <c r="Y114"/>
  <c r="Y298"/>
  <c r="Y319"/>
  <c r="Y240"/>
  <c r="Y75"/>
  <c r="Y239"/>
  <c r="Y278"/>
  <c r="Y136"/>
  <c r="Y284"/>
  <c r="Y259"/>
  <c r="Y107"/>
  <c r="Y331"/>
  <c r="Y316"/>
  <c r="G155" i="37"/>
  <c r="Q149" i="44"/>
  <c r="F197" i="41"/>
  <c r="J194" i="44"/>
  <c r="U214" i="45"/>
  <c r="G274" i="37"/>
  <c r="Q268" i="44"/>
  <c r="F298" i="37"/>
  <c r="P292" i="44"/>
  <c r="F84" i="40"/>
  <c r="L81" i="44"/>
  <c r="W101" i="45"/>
  <c r="G105" i="41"/>
  <c r="K102" i="44"/>
  <c r="V122" i="45"/>
  <c r="F108" i="41"/>
  <c r="U125" i="45"/>
  <c r="J105" i="44"/>
  <c r="F134" i="40"/>
  <c r="L131" i="44"/>
  <c r="W151" i="45"/>
  <c r="F143" i="37"/>
  <c r="P137" i="44"/>
  <c r="F221" i="41"/>
  <c r="J218" i="44"/>
  <c r="U238" i="45"/>
  <c r="F226" i="40"/>
  <c r="L223" i="44"/>
  <c r="W243" i="45"/>
  <c r="F234" i="41"/>
  <c r="J231" i="44"/>
  <c r="U251" i="45"/>
  <c r="W81"/>
  <c r="F64" i="40"/>
  <c r="L61" i="44"/>
  <c r="F73" i="40"/>
  <c r="L70" i="44"/>
  <c r="W90" i="45"/>
  <c r="F277" i="41"/>
  <c r="J274" i="44"/>
  <c r="U294" i="45"/>
  <c r="F63" i="40"/>
  <c r="W80" i="45"/>
  <c r="L60" i="44"/>
  <c r="F66" i="37"/>
  <c r="P60" i="44"/>
  <c r="G117" i="41"/>
  <c r="K114" i="44"/>
  <c r="V134" i="45"/>
  <c r="G126" i="41"/>
  <c r="K123" i="44"/>
  <c r="V143" i="45"/>
  <c r="F65" i="40"/>
  <c r="L62" i="44"/>
  <c r="W82" i="45"/>
  <c r="G89" i="41"/>
  <c r="K86" i="44"/>
  <c r="V106" i="45"/>
  <c r="F89" i="40"/>
  <c r="L86" i="44"/>
  <c r="W106" i="45"/>
  <c r="F175" i="40"/>
  <c r="W192" i="45"/>
  <c r="L172" i="44"/>
  <c r="F188" i="40"/>
  <c r="L185" i="44"/>
  <c r="W205" i="45"/>
  <c r="J228" i="44"/>
  <c r="F231" i="41"/>
  <c r="U248" i="45"/>
  <c r="F118" i="40"/>
  <c r="W135" i="45"/>
  <c r="L115" i="44"/>
  <c r="F242" i="40"/>
  <c r="L239" i="44"/>
  <c r="W259" i="45"/>
  <c r="F125" i="41"/>
  <c r="J122" i="44"/>
  <c r="U142" i="45"/>
  <c r="F244" i="41"/>
  <c r="J241" i="44"/>
  <c r="U261" i="45"/>
  <c r="F305" i="41"/>
  <c r="J302" i="44"/>
  <c r="U322" i="45"/>
  <c r="F295" i="40"/>
  <c r="L292" i="44"/>
  <c r="W312" i="45"/>
  <c r="F240" i="37"/>
  <c r="P234" i="44"/>
  <c r="F174" i="41"/>
  <c r="J171" i="44"/>
  <c r="U191" i="45"/>
  <c r="G52" i="41"/>
  <c r="V69" i="45"/>
  <c r="K49" i="44"/>
  <c r="F80" i="40"/>
  <c r="L77" i="44"/>
  <c r="W97" i="45"/>
  <c r="F131" i="41"/>
  <c r="J128" i="44"/>
  <c r="U148" i="45"/>
  <c r="F52" i="40"/>
  <c r="L49" i="44"/>
  <c r="W69" i="45"/>
  <c r="G235" i="37"/>
  <c r="Q229" i="44"/>
  <c r="F269" i="40"/>
  <c r="L266" i="44"/>
  <c r="W286" i="45"/>
  <c r="G194" i="41"/>
  <c r="K191" i="44"/>
  <c r="V211" i="45"/>
  <c r="G131" i="41"/>
  <c r="V148" i="45"/>
  <c r="K128" i="44"/>
  <c r="F60" i="41"/>
  <c r="J57" i="44"/>
  <c r="U77" i="45"/>
  <c r="G152" i="41"/>
  <c r="K149" i="44"/>
  <c r="V169" i="45"/>
  <c r="F153" i="41"/>
  <c r="U170" i="45"/>
  <c r="J150" i="44"/>
  <c r="G217" i="41"/>
  <c r="K214" i="44"/>
  <c r="V234" i="45"/>
  <c r="F304" i="40"/>
  <c r="L301" i="44"/>
  <c r="W321" i="45"/>
  <c r="F112" i="37"/>
  <c r="P106" i="44"/>
  <c r="F102" i="40"/>
  <c r="L99" i="44"/>
  <c r="W119" i="45"/>
  <c r="G161" i="37"/>
  <c r="Q155" i="44"/>
  <c r="G179" i="37"/>
  <c r="Q173" i="44"/>
  <c r="G149" i="41"/>
  <c r="K146" i="44"/>
  <c r="V166" i="45"/>
  <c r="F158" i="40"/>
  <c r="W175" i="45"/>
  <c r="L155" i="44"/>
  <c r="F184" i="40"/>
  <c r="L181" i="44"/>
  <c r="W201" i="45"/>
  <c r="F134" i="37"/>
  <c r="P128" i="44"/>
  <c r="G253" i="41"/>
  <c r="K250" i="44"/>
  <c r="V270" i="45"/>
  <c r="G256" i="41"/>
  <c r="K253" i="44"/>
  <c r="V273" i="45"/>
  <c r="G262" i="37"/>
  <c r="Q256" i="44"/>
  <c r="F101" i="37"/>
  <c r="P95" i="44"/>
  <c r="F298" i="40"/>
  <c r="W315" i="45"/>
  <c r="L295" i="44"/>
  <c r="F217" i="37"/>
  <c r="P211" i="44"/>
  <c r="F278" i="36"/>
  <c r="R272" i="44"/>
  <c r="F26" i="36"/>
  <c r="R30" i="44"/>
  <c r="F228" i="36"/>
  <c r="R222" i="44"/>
  <c r="F19" i="36"/>
  <c r="R23" i="44"/>
  <c r="S23" s="1"/>
  <c r="F22" i="36"/>
  <c r="R26" i="44"/>
  <c r="F32" i="36"/>
  <c r="R36" i="44"/>
  <c r="S36" s="1"/>
  <c r="F131" i="36"/>
  <c r="R125" i="44"/>
  <c r="G209" i="37"/>
  <c r="Q203" i="44"/>
  <c r="G136" i="37"/>
  <c r="Q130" i="44"/>
  <c r="F236" i="40"/>
  <c r="L233" i="44"/>
  <c r="W253" i="45"/>
  <c r="F206" i="40"/>
  <c r="L203" i="44"/>
  <c r="W223" i="45"/>
  <c r="F328" i="36"/>
  <c r="R317" i="44"/>
  <c r="F393" i="36"/>
  <c r="R382" i="44"/>
  <c r="S382" s="1"/>
  <c r="F380" i="36"/>
  <c r="R369" i="44"/>
  <c r="F349" i="36"/>
  <c r="R338" i="44"/>
  <c r="S338" s="1"/>
  <c r="F364" i="36"/>
  <c r="R353" i="44"/>
  <c r="F353" i="36"/>
  <c r="R342" i="44"/>
  <c r="S342" s="1"/>
  <c r="F339" i="36"/>
  <c r="R328" i="44"/>
  <c r="F357" i="36"/>
  <c r="R346" i="44"/>
  <c r="S346" s="1"/>
  <c r="T346" s="1"/>
  <c r="F337" i="36"/>
  <c r="R326" i="44"/>
  <c r="G223" i="41"/>
  <c r="K220" i="44"/>
  <c r="V240" i="45"/>
  <c r="F64" i="36"/>
  <c r="R58" i="44"/>
  <c r="BV251" i="1"/>
  <c r="BW251" s="1"/>
  <c r="F258" i="36"/>
  <c r="R252" i="44"/>
  <c r="Z283" i="45"/>
  <c r="AB268"/>
  <c r="Z44"/>
  <c r="AB31"/>
  <c r="S30" i="44"/>
  <c r="Z392" i="45"/>
  <c r="AB381"/>
  <c r="Z421"/>
  <c r="AB410"/>
  <c r="Z366"/>
  <c r="AB355"/>
  <c r="Z422"/>
  <c r="AB411"/>
  <c r="Z365"/>
  <c r="AB354"/>
  <c r="Z155"/>
  <c r="AB140"/>
  <c r="Z307"/>
  <c r="AB292"/>
  <c r="Z386"/>
  <c r="AB375"/>
  <c r="Z368"/>
  <c r="AB357"/>
  <c r="Z284"/>
  <c r="AB269"/>
  <c r="Z91"/>
  <c r="AB76"/>
  <c r="O23" i="44"/>
  <c r="O257"/>
  <c r="Z383" i="45"/>
  <c r="AB372"/>
  <c r="Z415"/>
  <c r="AB404"/>
  <c r="Z362"/>
  <c r="AB351"/>
  <c r="O38" i="44"/>
  <c r="Z144" i="45"/>
  <c r="AB129"/>
  <c r="O187" i="44"/>
  <c r="AB43" i="45"/>
  <c r="Z48"/>
  <c r="AB35"/>
  <c r="Z394"/>
  <c r="AB383"/>
  <c r="Z431"/>
  <c r="AB420"/>
  <c r="Z363"/>
  <c r="AB352"/>
  <c r="Z180"/>
  <c r="AB165"/>
  <c r="Z173"/>
  <c r="AB158"/>
  <c r="Z369"/>
  <c r="AB358"/>
  <c r="O322" i="44"/>
  <c r="Z382" i="45"/>
  <c r="AB371"/>
  <c r="O39" i="44"/>
  <c r="Z51" i="45"/>
  <c r="AB38"/>
  <c r="O373" i="44"/>
  <c r="Z85" i="45"/>
  <c r="AB70"/>
  <c r="Z237"/>
  <c r="AB222"/>
  <c r="Z395"/>
  <c r="AB384"/>
  <c r="O125" i="44"/>
  <c r="F136" i="40"/>
  <c r="L133" i="44"/>
  <c r="W153" i="45"/>
  <c r="F152" i="41"/>
  <c r="J149" i="44"/>
  <c r="U169" i="45"/>
  <c r="G218" i="37"/>
  <c r="Q212" i="44"/>
  <c r="G296" i="37"/>
  <c r="Q290" i="44"/>
  <c r="F200" i="37"/>
  <c r="P194" i="44"/>
  <c r="G207" i="37"/>
  <c r="Q201" i="44"/>
  <c r="F266" i="40"/>
  <c r="L263" i="44"/>
  <c r="W283" i="45"/>
  <c r="F274" i="37"/>
  <c r="P268" i="44"/>
  <c r="G295" i="41"/>
  <c r="K292" i="44"/>
  <c r="V312" i="45"/>
  <c r="G304" i="41"/>
  <c r="K301" i="44"/>
  <c r="V321" i="45"/>
  <c r="G80" i="37"/>
  <c r="Q74" i="44"/>
  <c r="F87" i="37"/>
  <c r="P81" i="44"/>
  <c r="F105" i="41"/>
  <c r="U122" i="45"/>
  <c r="J102" i="44"/>
  <c r="F110" i="37"/>
  <c r="P104" i="44"/>
  <c r="F108" i="40"/>
  <c r="L105" i="44"/>
  <c r="W125" i="45"/>
  <c r="G111" i="37"/>
  <c r="Q105" i="44"/>
  <c r="F114" i="41"/>
  <c r="J111" i="44"/>
  <c r="U131" i="45"/>
  <c r="G120" i="41"/>
  <c r="K117" i="44"/>
  <c r="V137" i="45"/>
  <c r="F137" i="37"/>
  <c r="P131" i="44"/>
  <c r="F140" i="41"/>
  <c r="U157" i="45"/>
  <c r="J137" i="44"/>
  <c r="G157" i="37"/>
  <c r="Q151" i="44"/>
  <c r="F224" i="37"/>
  <c r="P218" i="44"/>
  <c r="G224" i="37"/>
  <c r="Q218" i="44"/>
  <c r="G82" i="37"/>
  <c r="Q76" i="44"/>
  <c r="G229" i="37"/>
  <c r="Q223" i="44"/>
  <c r="F237" i="37"/>
  <c r="P231" i="44"/>
  <c r="G237" i="37"/>
  <c r="Q231" i="44"/>
  <c r="G57" i="41"/>
  <c r="K54" i="44"/>
  <c r="V74" i="45"/>
  <c r="G67" i="37"/>
  <c r="Q61" i="44"/>
  <c r="F66" i="40"/>
  <c r="L63" i="44"/>
  <c r="W83" i="45"/>
  <c r="F71" i="37"/>
  <c r="P65" i="44"/>
  <c r="G76" i="37"/>
  <c r="Q70" i="44"/>
  <c r="G280" i="37"/>
  <c r="Q274" i="44"/>
  <c r="F277" i="40"/>
  <c r="L274" i="44"/>
  <c r="W294" i="45"/>
  <c r="F91" i="40"/>
  <c r="L88" i="44"/>
  <c r="W108" i="45"/>
  <c r="F96" i="37"/>
  <c r="P90" i="44"/>
  <c r="G63" i="41"/>
  <c r="K60" i="44"/>
  <c r="V80" i="45"/>
  <c r="G67" i="41"/>
  <c r="K64" i="44"/>
  <c r="V84" i="45"/>
  <c r="F70" i="37"/>
  <c r="P64" i="44"/>
  <c r="G75" i="37"/>
  <c r="Q69" i="44"/>
  <c r="G120" i="37"/>
  <c r="Q114" i="44"/>
  <c r="G121" i="41"/>
  <c r="K118" i="44"/>
  <c r="V138" i="45"/>
  <c r="F126" i="41"/>
  <c r="J123" i="44"/>
  <c r="U143" i="45"/>
  <c r="F126" i="40"/>
  <c r="W143" i="45"/>
  <c r="L123" i="44"/>
  <c r="G173" i="37"/>
  <c r="Q167" i="44"/>
  <c r="G176" i="37"/>
  <c r="Q170" i="44"/>
  <c r="F65" i="41"/>
  <c r="J62" i="44"/>
  <c r="U82" i="45"/>
  <c r="G65" i="41"/>
  <c r="K62" i="44"/>
  <c r="V82" i="45"/>
  <c r="F69" i="40"/>
  <c r="L66" i="44"/>
  <c r="W86" i="45"/>
  <c r="G77" i="37"/>
  <c r="Q71" i="44"/>
  <c r="G92" i="37"/>
  <c r="Q86" i="44"/>
  <c r="F122" i="37"/>
  <c r="P116" i="44"/>
  <c r="G122" i="37"/>
  <c r="Q116" i="44"/>
  <c r="F164" i="40"/>
  <c r="L161" i="44"/>
  <c r="W181" i="45"/>
  <c r="G175" i="41"/>
  <c r="K172" i="44"/>
  <c r="V192" i="45"/>
  <c r="F191" i="37"/>
  <c r="P185" i="44"/>
  <c r="G193" i="41"/>
  <c r="K190" i="44"/>
  <c r="V210" i="45"/>
  <c r="F193" i="40"/>
  <c r="L190" i="44"/>
  <c r="W210" i="45"/>
  <c r="G234" i="37"/>
  <c r="Q228" i="44"/>
  <c r="G242" i="41"/>
  <c r="K239" i="44"/>
  <c r="V259" i="45"/>
  <c r="G121" i="37"/>
  <c r="Q115" i="44"/>
  <c r="G140" i="41"/>
  <c r="V157" i="45"/>
  <c r="K137" i="44"/>
  <c r="F74" i="37"/>
  <c r="P68" i="44"/>
  <c r="F265" i="41"/>
  <c r="U282" i="45"/>
  <c r="J262" i="44"/>
  <c r="G211" i="37"/>
  <c r="Q205" i="44"/>
  <c r="F69" i="37"/>
  <c r="P63" i="44"/>
  <c r="F268" i="37"/>
  <c r="P262" i="44"/>
  <c r="G95" i="41"/>
  <c r="K92" i="44"/>
  <c r="V112" i="45"/>
  <c r="F125" i="40"/>
  <c r="L122" i="44"/>
  <c r="W142" i="45"/>
  <c r="G118" i="37"/>
  <c r="Q112" i="44"/>
  <c r="F151" i="41"/>
  <c r="J148" i="44"/>
  <c r="U168" i="45"/>
  <c r="F247" i="37"/>
  <c r="P241" i="44"/>
  <c r="G293" i="41"/>
  <c r="V310" i="45"/>
  <c r="K290" i="44"/>
  <c r="F305" i="40"/>
  <c r="L302" i="44"/>
  <c r="W322" i="45"/>
  <c r="F253" i="41"/>
  <c r="J250" i="44"/>
  <c r="U270" i="45"/>
  <c r="G87" i="37"/>
  <c r="Q81" i="44"/>
  <c r="G123" i="37"/>
  <c r="Q117" i="44"/>
  <c r="F292" i="37"/>
  <c r="P286" i="44"/>
  <c r="F237" i="40"/>
  <c r="L234" i="44"/>
  <c r="W254" i="45"/>
  <c r="F85" i="41"/>
  <c r="J82" i="44"/>
  <c r="U102" i="45"/>
  <c r="F189" i="40"/>
  <c r="L186" i="44"/>
  <c r="W206" i="45"/>
  <c r="G127" i="41"/>
  <c r="K124" i="44"/>
  <c r="V144" i="45"/>
  <c r="F156" i="40"/>
  <c r="L153" i="44"/>
  <c r="W173" i="45"/>
  <c r="F287" i="40"/>
  <c r="W304" i="45"/>
  <c r="L284" i="44"/>
  <c r="F83" i="37"/>
  <c r="P77" i="44"/>
  <c r="F109" i="40"/>
  <c r="L106" i="44"/>
  <c r="W126" i="45"/>
  <c r="G137" i="41"/>
  <c r="K134" i="44"/>
  <c r="V154" i="45"/>
  <c r="F245" i="40"/>
  <c r="L242" i="44"/>
  <c r="W262" i="45"/>
  <c r="G85" i="41"/>
  <c r="K82" i="44"/>
  <c r="V102" i="45"/>
  <c r="G174" i="41"/>
  <c r="V191" i="45"/>
  <c r="K171" i="44"/>
  <c r="F296" i="37"/>
  <c r="P290" i="44"/>
  <c r="G265" i="41"/>
  <c r="K262" i="44"/>
  <c r="V282" i="45"/>
  <c r="F194" i="41"/>
  <c r="J191" i="44"/>
  <c r="U211" i="45"/>
  <c r="G168" i="37"/>
  <c r="Q162" i="44"/>
  <c r="F130" i="37"/>
  <c r="P124" i="44"/>
  <c r="G156" i="41"/>
  <c r="K153" i="44"/>
  <c r="V173" i="45"/>
  <c r="G204" i="41"/>
  <c r="V221" i="45"/>
  <c r="K201" i="44"/>
  <c r="F127" i="41"/>
  <c r="J124" i="44"/>
  <c r="U144" i="45"/>
  <c r="F79" i="37"/>
  <c r="P73" i="44"/>
  <c r="G112" i="37"/>
  <c r="Q106" i="44"/>
  <c r="F131" i="40"/>
  <c r="L128" i="44"/>
  <c r="W148" i="45"/>
  <c r="G248" i="37"/>
  <c r="Q242" i="44"/>
  <c r="J132"/>
  <c r="F135" i="41"/>
  <c r="U152" i="45"/>
  <c r="G60" i="41"/>
  <c r="K57" i="44"/>
  <c r="V77" i="45"/>
  <c r="F102" i="41"/>
  <c r="J99" i="44"/>
  <c r="U119" i="45"/>
  <c r="F139" i="37"/>
  <c r="P133" i="44"/>
  <c r="F138" i="37"/>
  <c r="P132" i="44"/>
  <c r="G156" i="37"/>
  <c r="Q150" i="44"/>
  <c r="G187" i="37"/>
  <c r="Q181" i="44"/>
  <c r="F195" i="37"/>
  <c r="P189" i="44"/>
  <c r="F217" i="41"/>
  <c r="U234" i="45"/>
  <c r="J214" i="44"/>
  <c r="G243" i="41"/>
  <c r="V260" i="45"/>
  <c r="K240" i="44"/>
  <c r="F287" i="41"/>
  <c r="J284" i="44"/>
  <c r="U304" i="45"/>
  <c r="F272" i="41"/>
  <c r="J269" i="44"/>
  <c r="U289" i="45"/>
  <c r="F273" i="37"/>
  <c r="P267" i="44"/>
  <c r="G63" i="37"/>
  <c r="Q57" i="44"/>
  <c r="F105" i="37"/>
  <c r="P99" i="44"/>
  <c r="F149" i="40"/>
  <c r="L146" i="44"/>
  <c r="W166" i="45"/>
  <c r="F288" i="37"/>
  <c r="P282" i="44"/>
  <c r="F293" i="37"/>
  <c r="P287" i="44"/>
  <c r="G184" i="41"/>
  <c r="K181" i="44"/>
  <c r="V201" i="45"/>
  <c r="G245" i="37"/>
  <c r="Q239" i="44"/>
  <c r="F161" i="37"/>
  <c r="P155" i="44"/>
  <c r="F176" i="41"/>
  <c r="J173" i="44"/>
  <c r="U193" i="45"/>
  <c r="F63" i="37"/>
  <c r="P57" i="44"/>
  <c r="G304" i="37"/>
  <c r="Q298" i="44"/>
  <c r="F192" i="40"/>
  <c r="L189" i="44"/>
  <c r="W209" i="45"/>
  <c r="G265" i="37"/>
  <c r="Q259" i="44"/>
  <c r="F179" i="37"/>
  <c r="P173" i="44"/>
  <c r="F136" i="41"/>
  <c r="J133" i="44"/>
  <c r="U153" i="45"/>
  <c r="G269" i="37"/>
  <c r="Q263" i="44"/>
  <c r="G125" i="41"/>
  <c r="K122" i="44"/>
  <c r="V142" i="45"/>
  <c r="G245" i="41"/>
  <c r="K242" i="44"/>
  <c r="V262" i="45"/>
  <c r="F285" i="41"/>
  <c r="J282" i="44"/>
  <c r="U302" i="45"/>
  <c r="G177" i="37"/>
  <c r="Q171" i="44"/>
  <c r="F98" i="37"/>
  <c r="P92" i="44"/>
  <c r="F66" i="41"/>
  <c r="J63" i="44"/>
  <c r="U83" i="45"/>
  <c r="F259" i="37"/>
  <c r="P253" i="44"/>
  <c r="G98" i="41"/>
  <c r="K95" i="44"/>
  <c r="V115" i="45"/>
  <c r="G298" i="41"/>
  <c r="V315" i="45"/>
  <c r="K295" i="44"/>
  <c r="F214" i="40"/>
  <c r="W231" i="45"/>
  <c r="L211" i="44"/>
  <c r="G217" i="37"/>
  <c r="Q211" i="44"/>
  <c r="F193" i="36"/>
  <c r="R187" i="44"/>
  <c r="S187" s="1"/>
  <c r="F316" i="36"/>
  <c r="R310" i="44"/>
  <c r="F306" i="36"/>
  <c r="R300" i="44"/>
  <c r="F315" i="36"/>
  <c r="R309" i="44"/>
  <c r="F202" i="36"/>
  <c r="R196" i="44"/>
  <c r="S196" s="1"/>
  <c r="F212" i="36"/>
  <c r="R206" i="44"/>
  <c r="S206" s="1"/>
  <c r="F160" i="36"/>
  <c r="R154" i="44"/>
  <c r="S154" s="1"/>
  <c r="F16" i="36"/>
  <c r="R20" i="44"/>
  <c r="F25" i="36"/>
  <c r="R29" i="44"/>
  <c r="S29" s="1"/>
  <c r="F35" i="36"/>
  <c r="R39" i="44"/>
  <c r="F201" i="36"/>
  <c r="R195" i="44"/>
  <c r="F33" i="36"/>
  <c r="R37" i="44"/>
  <c r="F20" i="36"/>
  <c r="R24" i="44"/>
  <c r="S24" s="1"/>
  <c r="F208" i="36"/>
  <c r="R202" i="44"/>
  <c r="S202" s="1"/>
  <c r="F145" i="36"/>
  <c r="R139" i="44"/>
  <c r="S139" s="1"/>
  <c r="F149" i="36"/>
  <c r="R143" i="44"/>
  <c r="S143" s="1"/>
  <c r="G206" i="41"/>
  <c r="K203" i="44"/>
  <c r="V223" i="45"/>
  <c r="G133" i="41"/>
  <c r="K130" i="44"/>
  <c r="V150" i="45"/>
  <c r="F136" i="37"/>
  <c r="P130" i="44"/>
  <c r="F236" i="41"/>
  <c r="J233" i="44"/>
  <c r="U253" i="45"/>
  <c r="G239" i="37"/>
  <c r="Q233" i="44"/>
  <c r="G236" i="41"/>
  <c r="V253" i="45"/>
  <c r="K233" i="44"/>
  <c r="F359" i="36"/>
  <c r="R348" i="44"/>
  <c r="F360" i="36"/>
  <c r="R349" i="44"/>
  <c r="S349" s="1"/>
  <c r="F327" i="36"/>
  <c r="R316" i="44"/>
  <c r="F329" i="36"/>
  <c r="R318" i="44"/>
  <c r="F413" i="36"/>
  <c r="R402" i="44"/>
  <c r="S402" s="1"/>
  <c r="T402" s="1"/>
  <c r="F401" i="36"/>
  <c r="R390" i="44"/>
  <c r="S390" s="1"/>
  <c r="F396" i="36"/>
  <c r="R385" i="44"/>
  <c r="F326" i="36"/>
  <c r="R315" i="44"/>
  <c r="S315" s="1"/>
  <c r="BV379" i="1"/>
  <c r="F392" i="36"/>
  <c r="R381" i="44"/>
  <c r="BV386" i="1"/>
  <c r="F399" i="36"/>
  <c r="R388" i="44"/>
  <c r="S388" s="1"/>
  <c r="F355" i="36"/>
  <c r="R344" i="44"/>
  <c r="S344" s="1"/>
  <c r="BV335" i="1"/>
  <c r="F348" i="36"/>
  <c r="R337" i="44"/>
  <c r="S337" s="1"/>
  <c r="F358" i="36"/>
  <c r="R347" i="44"/>
  <c r="S347" s="1"/>
  <c r="F332" i="36"/>
  <c r="R321" i="44"/>
  <c r="S321" s="1"/>
  <c r="T321" s="1"/>
  <c r="F376" i="36"/>
  <c r="R365" i="44"/>
  <c r="S365" s="1"/>
  <c r="T365" s="1"/>
  <c r="F365" i="36"/>
  <c r="R354" i="44"/>
  <c r="F342" i="36"/>
  <c r="R331" i="44"/>
  <c r="F354" i="36"/>
  <c r="R343" i="44"/>
  <c r="S343" s="1"/>
  <c r="T343" s="1"/>
  <c r="G185" i="37"/>
  <c r="Q179" i="44"/>
  <c r="F226" i="37"/>
  <c r="P220" i="44"/>
  <c r="F142" i="36"/>
  <c r="R136" i="44"/>
  <c r="F225" i="36"/>
  <c r="R219" i="44"/>
  <c r="S219" s="1"/>
  <c r="T219" s="1"/>
  <c r="F207" i="41"/>
  <c r="J204" i="44"/>
  <c r="U224" i="45"/>
  <c r="F396" i="41"/>
  <c r="U415" i="45"/>
  <c r="J387" i="44"/>
  <c r="F301" i="37"/>
  <c r="P295" i="44"/>
  <c r="Z214" i="43"/>
  <c r="F207" i="40"/>
  <c r="L204" i="44"/>
  <c r="W224" i="45"/>
  <c r="F126" i="36"/>
  <c r="R120" i="44"/>
  <c r="S120" s="1"/>
  <c r="BV397" i="1"/>
  <c r="CT397" s="1"/>
  <c r="F410" i="36"/>
  <c r="R399" i="44"/>
  <c r="S399" s="1"/>
  <c r="BV372" i="1"/>
  <c r="F385" i="36"/>
  <c r="R374" i="44"/>
  <c r="S374" s="1"/>
  <c r="F21" i="36"/>
  <c r="R25" i="44"/>
  <c r="S25" s="1"/>
  <c r="G300" i="37"/>
  <c r="Q294" i="44"/>
  <c r="F163" i="36"/>
  <c r="R157" i="44"/>
  <c r="G276" i="41"/>
  <c r="K273" i="44"/>
  <c r="V293" i="45"/>
  <c r="F247" i="41"/>
  <c r="J244" i="44"/>
  <c r="U264" i="45"/>
  <c r="F232" i="37"/>
  <c r="P226" i="44"/>
  <c r="F210" i="37"/>
  <c r="P204" i="44"/>
  <c r="CS303" i="1"/>
  <c r="G258" i="37"/>
  <c r="Q252" i="44"/>
  <c r="G231" i="37"/>
  <c r="Q225" i="44"/>
  <c r="F310" i="36"/>
  <c r="R304" i="44"/>
  <c r="S304" s="1"/>
  <c r="O159"/>
  <c r="Z323" i="45"/>
  <c r="AB308"/>
  <c r="Z413"/>
  <c r="AB402"/>
  <c r="S195" i="44"/>
  <c r="T195" s="1"/>
  <c r="O36"/>
  <c r="Z50" i="45"/>
  <c r="AB37"/>
  <c r="Z68"/>
  <c r="AB53"/>
  <c r="S37" i="44"/>
  <c r="O232"/>
  <c r="O348"/>
  <c r="Z241" i="45"/>
  <c r="AB226"/>
  <c r="O145" i="44"/>
  <c r="Z381" i="45"/>
  <c r="AB370"/>
  <c r="O100" i="44"/>
  <c r="O382"/>
  <c r="O367"/>
  <c r="S328"/>
  <c r="Z409" i="45"/>
  <c r="AB398"/>
  <c r="AB46"/>
  <c r="O109" i="44"/>
  <c r="AB330" i="45"/>
  <c r="O200" i="44"/>
  <c r="S353"/>
  <c r="O139"/>
  <c r="O326"/>
  <c r="Z53" i="45"/>
  <c r="AB40"/>
  <c r="F232" i="36"/>
  <c r="R226" i="44"/>
  <c r="F406" i="36"/>
  <c r="R395" i="44"/>
  <c r="S395" s="1"/>
  <c r="O120"/>
  <c r="S310"/>
  <c r="O386"/>
  <c r="Z52" i="45"/>
  <c r="AB39"/>
  <c r="S300" i="44"/>
  <c r="O328"/>
  <c r="AB430" i="45"/>
  <c r="O317" i="44"/>
  <c r="Z293" i="45"/>
  <c r="AB278"/>
  <c r="Z357"/>
  <c r="AB346"/>
  <c r="O249" i="44"/>
  <c r="Z411" i="45"/>
  <c r="AB400"/>
  <c r="O352" i="44"/>
  <c r="Z396" i="45"/>
  <c r="AB385"/>
  <c r="Z420"/>
  <c r="AB409"/>
  <c r="AB48"/>
  <c r="O305" i="44"/>
  <c r="O376"/>
  <c r="Z83" i="45"/>
  <c r="AB68"/>
  <c r="Z429"/>
  <c r="AB418"/>
  <c r="O339" i="44"/>
  <c r="Z389" i="45"/>
  <c r="AB378"/>
  <c r="AC248" i="43"/>
  <c r="O304" i="44"/>
  <c r="Z194" i="45"/>
  <c r="AB179"/>
  <c r="O270" i="44"/>
  <c r="Z171" i="45"/>
  <c r="AB156"/>
  <c r="Z306"/>
  <c r="AB291"/>
  <c r="O22" i="44"/>
  <c r="Z270" i="45"/>
  <c r="AB255"/>
  <c r="Z355"/>
  <c r="AB344"/>
  <c r="O392" i="44"/>
  <c r="Z371" i="45"/>
  <c r="AB360"/>
  <c r="Z379"/>
  <c r="AB368"/>
  <c r="O347" i="44"/>
  <c r="Z243" i="45"/>
  <c r="AB228"/>
  <c r="O208" i="44"/>
  <c r="Z178" i="45"/>
  <c r="AB163"/>
  <c r="O138" i="44"/>
  <c r="Z361" i="45"/>
  <c r="AB350"/>
  <c r="Z370"/>
  <c r="AB359"/>
  <c r="Z424"/>
  <c r="AB413"/>
  <c r="S326" i="44"/>
  <c r="O327"/>
  <c r="Z46" i="45"/>
  <c r="AB33"/>
  <c r="O28" i="44"/>
  <c r="O25"/>
  <c r="O196"/>
  <c r="Z427" i="45"/>
  <c r="AB416"/>
  <c r="Z182"/>
  <c r="AB167"/>
  <c r="O356" i="44"/>
  <c r="Z400" i="45"/>
  <c r="AB389"/>
  <c r="Z419"/>
  <c r="AB408"/>
  <c r="S20" i="44"/>
  <c r="T20" s="1"/>
  <c r="O31"/>
  <c r="G266" i="41"/>
  <c r="V283" i="45"/>
  <c r="K263" i="44"/>
  <c r="F77" i="41"/>
  <c r="U94" i="45"/>
  <c r="J74" i="44"/>
  <c r="F107" i="41"/>
  <c r="J104" i="44"/>
  <c r="U124" i="45"/>
  <c r="F121" i="37"/>
  <c r="P115" i="44"/>
  <c r="F208" i="40"/>
  <c r="L205" i="44"/>
  <c r="W225" i="45"/>
  <c r="G226" i="41"/>
  <c r="K223" i="44"/>
  <c r="V243" i="45"/>
  <c r="F57" i="40"/>
  <c r="W74" i="45"/>
  <c r="L54" i="44"/>
  <c r="G73" i="41"/>
  <c r="K70" i="44"/>
  <c r="V90" i="45"/>
  <c r="G70" i="37"/>
  <c r="Q64" i="44"/>
  <c r="G124" i="37"/>
  <c r="Q118" i="44"/>
  <c r="F170" i="41"/>
  <c r="J167" i="44"/>
  <c r="U187" i="45"/>
  <c r="F77" i="37"/>
  <c r="P71" i="44"/>
  <c r="F119" i="41"/>
  <c r="J116" i="44"/>
  <c r="U136" i="45"/>
  <c r="G191" i="37"/>
  <c r="Q185" i="44"/>
  <c r="F95" i="41"/>
  <c r="J92" i="44"/>
  <c r="U112" i="45"/>
  <c r="F140" i="40"/>
  <c r="L137" i="44"/>
  <c r="W157" i="45"/>
  <c r="F218" i="37"/>
  <c r="P212" i="44"/>
  <c r="G240" i="37"/>
  <c r="Q234" i="44"/>
  <c r="F272" i="37"/>
  <c r="P266" i="44"/>
  <c r="F289" i="40"/>
  <c r="L286" i="44"/>
  <c r="W306" i="45"/>
  <c r="F204" i="41"/>
  <c r="J201" i="44"/>
  <c r="U221" i="45"/>
  <c r="G262" i="41"/>
  <c r="K259" i="44"/>
  <c r="V279" i="45"/>
  <c r="F184" i="37"/>
  <c r="P178" i="44"/>
  <c r="F192" i="37"/>
  <c r="P186" i="44"/>
  <c r="F168" i="37"/>
  <c r="P162" i="44"/>
  <c r="G159" i="37"/>
  <c r="Q153" i="44"/>
  <c r="F290" i="37"/>
  <c r="P284" i="44"/>
  <c r="F181" i="41"/>
  <c r="J178" i="44"/>
  <c r="U198" i="45"/>
  <c r="F243" i="40"/>
  <c r="L240" i="44"/>
  <c r="W260" i="45"/>
  <c r="F91" i="37"/>
  <c r="P85" i="44"/>
  <c r="G195" i="37"/>
  <c r="Q189" i="44"/>
  <c r="F248" i="37"/>
  <c r="P242" i="44"/>
  <c r="F60" i="40"/>
  <c r="L57" i="44"/>
  <c r="W77" i="45"/>
  <c r="G293" i="37"/>
  <c r="Q287" i="44"/>
  <c r="F113" i="40"/>
  <c r="L110" i="44"/>
  <c r="W130" i="45"/>
  <c r="F118" i="37"/>
  <c r="P112" i="44"/>
  <c r="F153" i="40"/>
  <c r="L150" i="44"/>
  <c r="W170" i="45"/>
  <c r="F211" i="37"/>
  <c r="P205" i="44"/>
  <c r="F98" i="40"/>
  <c r="L95" i="44"/>
  <c r="W115" i="45"/>
  <c r="G214" i="41"/>
  <c r="K211" i="44"/>
  <c r="V231" i="45"/>
  <c r="F28" i="36"/>
  <c r="R32" i="44"/>
  <c r="S32" s="1"/>
  <c r="T32" s="1"/>
  <c r="F153" i="36"/>
  <c r="R147" i="44"/>
  <c r="S147" s="1"/>
  <c r="T147" s="1"/>
  <c r="F31" i="36"/>
  <c r="R35" i="44"/>
  <c r="S35" s="1"/>
  <c r="T35" s="1"/>
  <c r="F214" i="36"/>
  <c r="R208" i="44"/>
  <c r="S208" s="1"/>
  <c r="F343" i="36"/>
  <c r="R332" i="44"/>
  <c r="S332" s="1"/>
  <c r="T332" s="1"/>
  <c r="F334" i="36"/>
  <c r="R323" i="44"/>
  <c r="S323" s="1"/>
  <c r="F384" i="36"/>
  <c r="R373" i="44"/>
  <c r="S373" s="1"/>
  <c r="F372" i="36"/>
  <c r="R361" i="44"/>
  <c r="S361" s="1"/>
  <c r="F398" i="37"/>
  <c r="P387" i="44"/>
  <c r="F300" i="36"/>
  <c r="R294" i="44"/>
  <c r="G297" i="41"/>
  <c r="K294" i="44"/>
  <c r="V314" i="45"/>
  <c r="F276" i="41"/>
  <c r="J273" i="44"/>
  <c r="U293" i="45"/>
  <c r="CN225" i="1"/>
  <c r="Z249" i="43"/>
  <c r="F284" i="36"/>
  <c r="R278" i="44"/>
  <c r="S278" s="1"/>
  <c r="T278" s="1"/>
  <c r="G228" i="41"/>
  <c r="V245" i="45"/>
  <c r="K225" i="44"/>
  <c r="AC249" i="43"/>
  <c r="Z418" i="45"/>
  <c r="AB407"/>
  <c r="G136" i="41"/>
  <c r="K133" i="44"/>
  <c r="V153" i="45"/>
  <c r="F155" i="37"/>
  <c r="P149" i="44"/>
  <c r="F245" i="37"/>
  <c r="P239" i="44"/>
  <c r="F303" i="37"/>
  <c r="P297" i="44"/>
  <c r="G200" i="37"/>
  <c r="Q194" i="44"/>
  <c r="F253" i="40"/>
  <c r="L250" i="44"/>
  <c r="W270" i="45"/>
  <c r="F269" i="37"/>
  <c r="P263" i="44"/>
  <c r="G298" i="37"/>
  <c r="Q292" i="44"/>
  <c r="G307" i="37"/>
  <c r="Q301" i="44"/>
  <c r="F77" i="40"/>
  <c r="L74" i="44"/>
  <c r="W94" i="45"/>
  <c r="F80" i="37"/>
  <c r="P74" i="44"/>
  <c r="F95" i="40"/>
  <c r="W112" i="45"/>
  <c r="L92" i="44"/>
  <c r="G108" i="37"/>
  <c r="Q102" i="44"/>
  <c r="G110" i="37"/>
  <c r="Q104" i="44"/>
  <c r="F111" i="37"/>
  <c r="P105" i="44"/>
  <c r="F117" i="37"/>
  <c r="P111" i="44"/>
  <c r="G117" i="37"/>
  <c r="Q111" i="44"/>
  <c r="F134" i="41"/>
  <c r="J131" i="44"/>
  <c r="U151" i="45"/>
  <c r="G154" i="41"/>
  <c r="K151" i="44"/>
  <c r="V171" i="45"/>
  <c r="F157" i="37"/>
  <c r="P151" i="44"/>
  <c r="F221" i="40"/>
  <c r="L218" i="44"/>
  <c r="W238" i="45"/>
  <c r="F79" i="40"/>
  <c r="L76" i="44"/>
  <c r="W96" i="45"/>
  <c r="F82" i="37"/>
  <c r="P76" i="44"/>
  <c r="F226" i="41"/>
  <c r="J223" i="44"/>
  <c r="O223" s="1"/>
  <c r="U243" i="45"/>
  <c r="F234" i="40"/>
  <c r="L231" i="44"/>
  <c r="W251" i="45"/>
  <c r="F237" i="41"/>
  <c r="J234" i="44"/>
  <c r="U254" i="45"/>
  <c r="F57" i="41"/>
  <c r="J54" i="44"/>
  <c r="U74" i="45"/>
  <c r="F64" i="41"/>
  <c r="J61" i="44"/>
  <c r="U81" i="45"/>
  <c r="F68" i="41"/>
  <c r="J65" i="44"/>
  <c r="U85" i="45"/>
  <c r="F68" i="40"/>
  <c r="L65" i="44"/>
  <c r="W85" i="45"/>
  <c r="F73" i="41"/>
  <c r="J70" i="44"/>
  <c r="U90" i="45"/>
  <c r="G277" i="41"/>
  <c r="V294" i="45"/>
  <c r="K274" i="44"/>
  <c r="O274" s="1"/>
  <c r="G93" i="41"/>
  <c r="K90" i="44"/>
  <c r="V110" i="45"/>
  <c r="F93" i="40"/>
  <c r="L90" i="44"/>
  <c r="W110" i="45"/>
  <c r="F63" i="41"/>
  <c r="J60" i="44"/>
  <c r="U80" i="45"/>
  <c r="F67" i="40"/>
  <c r="L64" i="44"/>
  <c r="W84" i="45"/>
  <c r="F72" i="40"/>
  <c r="L69" i="44"/>
  <c r="W89" i="45"/>
  <c r="F75" i="37"/>
  <c r="P69" i="44"/>
  <c r="F120" i="37"/>
  <c r="P114" i="44"/>
  <c r="F121" i="41"/>
  <c r="U138" i="45"/>
  <c r="J118" i="44"/>
  <c r="F129" i="37"/>
  <c r="P123" i="44"/>
  <c r="F170" i="40"/>
  <c r="L167" i="44"/>
  <c r="W187" i="45"/>
  <c r="F173" i="37"/>
  <c r="P167" i="44"/>
  <c r="F176" i="37"/>
  <c r="P170" i="44"/>
  <c r="F68" i="37"/>
  <c r="P62" i="44"/>
  <c r="G72" i="37"/>
  <c r="Q66" i="44"/>
  <c r="G69" i="41"/>
  <c r="K66" i="44"/>
  <c r="V86" i="45"/>
  <c r="F74" i="40"/>
  <c r="L71" i="44"/>
  <c r="W91" i="45"/>
  <c r="F89" i="41"/>
  <c r="U106" i="45"/>
  <c r="J86" i="44"/>
  <c r="F119" i="40"/>
  <c r="W136" i="45"/>
  <c r="L116" i="44"/>
  <c r="G167" i="37"/>
  <c r="Q161" i="44"/>
  <c r="G164" i="41"/>
  <c r="V181" i="45"/>
  <c r="K161" i="44"/>
  <c r="F175" i="41"/>
  <c r="J172" i="44"/>
  <c r="U192" i="45"/>
  <c r="V205"/>
  <c r="G188" i="41"/>
  <c r="K185" i="44"/>
  <c r="G196" i="37"/>
  <c r="Q190" i="44"/>
  <c r="G231" i="41"/>
  <c r="K228" i="44"/>
  <c r="V248" i="45"/>
  <c r="F234" i="37"/>
  <c r="P228" i="44"/>
  <c r="F265" i="40"/>
  <c r="L262" i="44"/>
  <c r="W282" i="45"/>
  <c r="F208" i="41"/>
  <c r="J205" i="44"/>
  <c r="U225" i="45"/>
  <c r="G66" i="41"/>
  <c r="K63" i="44"/>
  <c r="V83" i="45"/>
  <c r="F118" i="41"/>
  <c r="J115" i="44"/>
  <c r="U135" i="45"/>
  <c r="F300" i="40"/>
  <c r="W317" i="45"/>
  <c r="L297" i="44"/>
  <c r="G74" i="37"/>
  <c r="Q68" i="44"/>
  <c r="G69" i="37"/>
  <c r="Q63" i="44"/>
  <c r="G289" i="41"/>
  <c r="K286" i="44"/>
  <c r="V306" i="45"/>
  <c r="F88" i="37"/>
  <c r="P82" i="44"/>
  <c r="G154" i="37"/>
  <c r="Q148" i="44"/>
  <c r="F269" i="41"/>
  <c r="J266" i="44"/>
  <c r="U286" i="45"/>
  <c r="F293" i="41"/>
  <c r="J290" i="44"/>
  <c r="U310" i="45"/>
  <c r="F207" i="37"/>
  <c r="P201" i="44"/>
  <c r="F266" i="41"/>
  <c r="J263" i="44"/>
  <c r="U283" i="45"/>
  <c r="F115" i="40"/>
  <c r="L112" i="44"/>
  <c r="W132" i="45"/>
  <c r="F123" i="37"/>
  <c r="P117" i="44"/>
  <c r="F289" i="41"/>
  <c r="U306" i="45"/>
  <c r="J286" i="44"/>
  <c r="F94" i="37"/>
  <c r="P88" i="44"/>
  <c r="G256" i="37"/>
  <c r="Q250" i="44"/>
  <c r="F151" i="40"/>
  <c r="W168" i="45"/>
  <c r="L148" i="44"/>
  <c r="F232" i="40"/>
  <c r="L229" i="44"/>
  <c r="W249" i="45"/>
  <c r="F127" i="40"/>
  <c r="W144" i="45"/>
  <c r="L124" i="44"/>
  <c r="F159" i="37"/>
  <c r="P153" i="44"/>
  <c r="F76" i="41"/>
  <c r="U93" i="45"/>
  <c r="J73" i="44"/>
  <c r="F100" i="40"/>
  <c r="L97" i="44"/>
  <c r="W117" i="45"/>
  <c r="F275" i="37"/>
  <c r="P269" i="44"/>
  <c r="F137" i="40"/>
  <c r="L134" i="44"/>
  <c r="W154" i="45"/>
  <c r="F270" i="40"/>
  <c r="L267" i="44"/>
  <c r="W287" i="45"/>
  <c r="G88" i="37"/>
  <c r="Q82" i="44"/>
  <c r="F189" i="41"/>
  <c r="J186" i="44"/>
  <c r="U206" i="45"/>
  <c r="G232" i="41"/>
  <c r="K229" i="44"/>
  <c r="V249" i="45"/>
  <c r="F244" i="40"/>
  <c r="L241" i="44"/>
  <c r="W261" i="45"/>
  <c r="G308" i="37"/>
  <c r="Q302" i="44"/>
  <c r="F91" i="41"/>
  <c r="J88" i="44"/>
  <c r="U108" i="45"/>
  <c r="F300" i="41"/>
  <c r="J297" i="44"/>
  <c r="U317" i="45"/>
  <c r="G197" i="37"/>
  <c r="Q191" i="44"/>
  <c r="F165" i="41"/>
  <c r="J162" i="44"/>
  <c r="U182" i="45"/>
  <c r="G130" i="37"/>
  <c r="Q124" i="44"/>
  <c r="F265" i="37"/>
  <c r="P259" i="44"/>
  <c r="G150" i="37"/>
  <c r="Q144" i="44"/>
  <c r="F80" i="41"/>
  <c r="J77" i="44"/>
  <c r="U97" i="45"/>
  <c r="G275" i="37"/>
  <c r="Q269" i="44"/>
  <c r="F140" i="37"/>
  <c r="P134" i="44"/>
  <c r="G273" i="37"/>
  <c r="Q267" i="44"/>
  <c r="F144" i="40"/>
  <c r="L141" i="44"/>
  <c r="W161" i="45"/>
  <c r="F78" i="40"/>
  <c r="L75" i="44"/>
  <c r="W95" i="45"/>
  <c r="G116" i="37"/>
  <c r="Q110" i="44"/>
  <c r="F88" i="41"/>
  <c r="J85" i="44"/>
  <c r="U105" i="45"/>
  <c r="F144" i="41"/>
  <c r="J141" i="44"/>
  <c r="U161" i="45"/>
  <c r="F176" i="40"/>
  <c r="L173" i="44"/>
  <c r="W193" i="45"/>
  <c r="F187" i="37"/>
  <c r="P181" i="44"/>
  <c r="F216" i="37"/>
  <c r="P210" i="44"/>
  <c r="G220" i="37"/>
  <c r="Q214" i="44"/>
  <c r="F304" i="37"/>
  <c r="P298" i="44"/>
  <c r="G80" i="41"/>
  <c r="K77" i="44"/>
  <c r="V97" i="45"/>
  <c r="F137" i="41"/>
  <c r="U154" i="45"/>
  <c r="J134" i="44"/>
  <c r="F76" i="40"/>
  <c r="L73" i="44"/>
  <c r="W93" i="45"/>
  <c r="G78" i="41"/>
  <c r="K75" i="44"/>
  <c r="V95" i="45"/>
  <c r="G113" i="41"/>
  <c r="K110" i="44"/>
  <c r="V130" i="45"/>
  <c r="G158" i="41"/>
  <c r="K155" i="44"/>
  <c r="V175" i="45"/>
  <c r="F285" i="40"/>
  <c r="L282" i="44"/>
  <c r="W302" i="45"/>
  <c r="F88" i="40"/>
  <c r="L85" i="44"/>
  <c r="W105" i="45"/>
  <c r="F179" i="41"/>
  <c r="J176" i="44"/>
  <c r="U196" i="45"/>
  <c r="F245" i="41"/>
  <c r="J242" i="44"/>
  <c r="U262" i="45"/>
  <c r="G135" i="41"/>
  <c r="K132" i="44"/>
  <c r="V152" i="45"/>
  <c r="G192" i="41"/>
  <c r="K189" i="44"/>
  <c r="V209" i="45"/>
  <c r="G102" i="41"/>
  <c r="K99" i="44"/>
  <c r="O99" s="1"/>
  <c r="V119" i="45"/>
  <c r="G301" i="41"/>
  <c r="V318" i="45"/>
  <c r="K298" i="44"/>
  <c r="F109" i="41"/>
  <c r="J106" i="44"/>
  <c r="U126" i="45"/>
  <c r="G88" i="41"/>
  <c r="K85" i="44"/>
  <c r="O85" s="1"/>
  <c r="V105" i="45"/>
  <c r="F52" i="41"/>
  <c r="U69" i="45"/>
  <c r="J49" i="44"/>
  <c r="O49" s="1"/>
  <c r="F272" i="40"/>
  <c r="L269" i="44"/>
  <c r="W289" i="45"/>
  <c r="F213" i="41"/>
  <c r="J210" i="44"/>
  <c r="U230" i="45"/>
  <c r="G268" i="37"/>
  <c r="Q262" i="44"/>
  <c r="F271" i="41"/>
  <c r="J268" i="44"/>
  <c r="U288" i="45"/>
  <c r="G237" i="41"/>
  <c r="K234" i="44"/>
  <c r="O234" s="1"/>
  <c r="V254" i="45"/>
  <c r="F301" i="41"/>
  <c r="J298" i="44"/>
  <c r="U318" i="45"/>
  <c r="G290" i="41"/>
  <c r="V307" i="45"/>
  <c r="K287" i="44"/>
  <c r="G189" i="41"/>
  <c r="K186" i="44"/>
  <c r="V206" i="45"/>
  <c r="G118" i="41"/>
  <c r="V135" i="45"/>
  <c r="K115" i="44"/>
  <c r="F256" i="40"/>
  <c r="L253" i="44"/>
  <c r="W273" i="45"/>
  <c r="F259" i="41"/>
  <c r="J256" i="44"/>
  <c r="U276" i="45"/>
  <c r="F262" i="37"/>
  <c r="P256" i="44"/>
  <c r="F298" i="41"/>
  <c r="J295" i="44"/>
  <c r="O295" s="1"/>
  <c r="U315" i="45"/>
  <c r="F214" i="41"/>
  <c r="J211" i="44"/>
  <c r="U231" i="45"/>
  <c r="F206" i="36"/>
  <c r="R200" i="44"/>
  <c r="F215" i="36"/>
  <c r="R209" i="44"/>
  <c r="S209" s="1"/>
  <c r="F18" i="36"/>
  <c r="R22" i="44"/>
  <c r="S22" s="1"/>
  <c r="F264" i="36"/>
  <c r="R258" i="44"/>
  <c r="S258" s="1"/>
  <c r="F241" i="36"/>
  <c r="R235" i="44"/>
  <c r="S235" s="1"/>
  <c r="F53" i="36"/>
  <c r="R47" i="44"/>
  <c r="S47" s="1"/>
  <c r="F23" i="36"/>
  <c r="R27" i="44"/>
  <c r="S27" s="1"/>
  <c r="T27" s="1"/>
  <c r="F27" i="36"/>
  <c r="R31" i="44"/>
  <c r="F263" i="36"/>
  <c r="R257" i="44"/>
  <c r="S257" s="1"/>
  <c r="F17" i="36"/>
  <c r="R21" i="44"/>
  <c r="S21" s="1"/>
  <c r="T21" s="1"/>
  <c r="F36" i="36"/>
  <c r="R40" i="44"/>
  <c r="S40" s="1"/>
  <c r="T40" s="1"/>
  <c r="F56" i="36"/>
  <c r="R50" i="44"/>
  <c r="S50" s="1"/>
  <c r="T50" s="1"/>
  <c r="F151" i="36"/>
  <c r="R145" i="44"/>
  <c r="S145" s="1"/>
  <c r="F54" i="36"/>
  <c r="R48" i="44"/>
  <c r="S48" s="1"/>
  <c r="F209" i="37"/>
  <c r="P203" i="44"/>
  <c r="F206" i="41"/>
  <c r="J203" i="44"/>
  <c r="U223" i="45"/>
  <c r="G230" i="41"/>
  <c r="K227" i="44"/>
  <c r="V247" i="45"/>
  <c r="F233" i="37"/>
  <c r="P227" i="44"/>
  <c r="F411" i="36"/>
  <c r="R400" i="44"/>
  <c r="F403" i="36"/>
  <c r="R392" i="44"/>
  <c r="S392" s="1"/>
  <c r="F335" i="36"/>
  <c r="R324" i="44"/>
  <c r="S324" s="1"/>
  <c r="F377" i="36"/>
  <c r="R366" i="44"/>
  <c r="S366" s="1"/>
  <c r="T366" s="1"/>
  <c r="F333" i="36"/>
  <c r="R322" i="44"/>
  <c r="S322" s="1"/>
  <c r="F341" i="36"/>
  <c r="R330" i="44"/>
  <c r="S330" s="1"/>
  <c r="F368" i="36"/>
  <c r="R357" i="44"/>
  <c r="S357" s="1"/>
  <c r="T357" s="1"/>
  <c r="F391" i="36"/>
  <c r="R380" i="44"/>
  <c r="S380" s="1"/>
  <c r="F346" i="36"/>
  <c r="R335" i="44"/>
  <c r="S335" s="1"/>
  <c r="F338" i="36"/>
  <c r="R327" i="44"/>
  <c r="S327" s="1"/>
  <c r="F386" i="36"/>
  <c r="R375" i="44"/>
  <c r="S375" s="1"/>
  <c r="F390" i="36"/>
  <c r="R379" i="44"/>
  <c r="S379" s="1"/>
  <c r="F416" i="36"/>
  <c r="R405" i="44"/>
  <c r="S405" s="1"/>
  <c r="F387" i="36"/>
  <c r="R376" i="44"/>
  <c r="S376" s="1"/>
  <c r="F389" i="36"/>
  <c r="R378" i="44"/>
  <c r="S378" s="1"/>
  <c r="F397" i="36"/>
  <c r="R386" i="44"/>
  <c r="S386" s="1"/>
  <c r="F388" i="36"/>
  <c r="R377" i="44"/>
  <c r="S377" s="1"/>
  <c r="T377" s="1"/>
  <c r="F414" i="36"/>
  <c r="R403" i="44"/>
  <c r="S403" s="1"/>
  <c r="G233" i="37"/>
  <c r="Q227" i="44"/>
  <c r="F182" i="40"/>
  <c r="W199" i="45"/>
  <c r="L179" i="44"/>
  <c r="G226" i="37"/>
  <c r="Q220" i="44"/>
  <c r="F223" i="40"/>
  <c r="W240" i="45"/>
  <c r="L220" i="44"/>
  <c r="G207" i="41"/>
  <c r="K204" i="44"/>
  <c r="V224" i="45"/>
  <c r="G398" i="37"/>
  <c r="Q387" i="44"/>
  <c r="F396" i="40"/>
  <c r="L387" i="44"/>
  <c r="W415" i="45"/>
  <c r="F239" i="37"/>
  <c r="P233" i="44"/>
  <c r="G210" i="37"/>
  <c r="Q204" i="44"/>
  <c r="F34" i="36"/>
  <c r="R38" i="44"/>
  <c r="S38" s="1"/>
  <c r="F294" i="36"/>
  <c r="R288" i="44"/>
  <c r="S288" s="1"/>
  <c r="F297" i="41"/>
  <c r="J294" i="44"/>
  <c r="U314" i="45"/>
  <c r="F279" i="37"/>
  <c r="P273" i="44"/>
  <c r="BT272" i="1"/>
  <c r="BV272" s="1"/>
  <c r="F276" i="40"/>
  <c r="L273" i="44"/>
  <c r="W293" i="45"/>
  <c r="BQ225" i="1"/>
  <c r="F229" i="41"/>
  <c r="J226" i="44"/>
  <c r="U246" i="45"/>
  <c r="F250" i="37"/>
  <c r="P244" i="44"/>
  <c r="F107" i="36"/>
  <c r="R101" i="44"/>
  <c r="S101" s="1"/>
  <c r="F255" i="40"/>
  <c r="W272" i="45"/>
  <c r="L252" i="44"/>
  <c r="F231" i="37"/>
  <c r="P225" i="44"/>
  <c r="BT224" i="1"/>
  <c r="F228" i="40"/>
  <c r="L225" i="44"/>
  <c r="W245" i="45"/>
  <c r="O374" i="44"/>
  <c r="V374" s="1"/>
  <c r="S26"/>
  <c r="AB49" i="45"/>
  <c r="O300" i="44"/>
  <c r="Z231" i="45"/>
  <c r="AB216"/>
  <c r="S317" i="44"/>
  <c r="Z174" i="45"/>
  <c r="AB159"/>
  <c r="Z387"/>
  <c r="AB376"/>
  <c r="Z412"/>
  <c r="AB401"/>
  <c r="Z405"/>
  <c r="AB394"/>
  <c r="Z410"/>
  <c r="AB399"/>
  <c r="O342" i="44"/>
  <c r="O206"/>
  <c r="O378"/>
  <c r="O310"/>
  <c r="S348"/>
  <c r="Z267" i="45"/>
  <c r="AB252"/>
  <c r="Z278"/>
  <c r="AB263"/>
  <c r="O399" i="44"/>
  <c r="S136"/>
  <c r="Z143" i="45"/>
  <c r="AB128"/>
  <c r="Z425"/>
  <c r="AB414"/>
  <c r="O26" i="44"/>
  <c r="Z244" i="45"/>
  <c r="AB229"/>
  <c r="Z200"/>
  <c r="AB185"/>
  <c r="Z65"/>
  <c r="AB50"/>
  <c r="Z367"/>
  <c r="AB356"/>
  <c r="O160" i="44"/>
  <c r="O353"/>
  <c r="Z189" i="45"/>
  <c r="AB174"/>
  <c r="Z384"/>
  <c r="AB373"/>
  <c r="Z360"/>
  <c r="AB349"/>
  <c r="Z391"/>
  <c r="AB380"/>
  <c r="Z359"/>
  <c r="AB348"/>
  <c r="Z388"/>
  <c r="AB377"/>
  <c r="Z378"/>
  <c r="AB367"/>
  <c r="O323" i="44"/>
  <c r="AB425" i="45"/>
  <c r="Z354"/>
  <c r="AB343"/>
  <c r="O335" i="44"/>
  <c r="O404"/>
  <c r="Z254" i="45"/>
  <c r="AB239"/>
  <c r="O248" i="44"/>
  <c r="O405"/>
  <c r="O390"/>
  <c r="O350"/>
  <c r="Z136" i="45"/>
  <c r="AB121"/>
  <c r="Z313"/>
  <c r="AB298"/>
  <c r="O136" i="44"/>
  <c r="Z399" i="45"/>
  <c r="AB388"/>
  <c r="S272" i="44"/>
  <c r="O271"/>
  <c r="Z404" i="45"/>
  <c r="AB393"/>
  <c r="Z45"/>
  <c r="AB32"/>
  <c r="O24" i="44"/>
  <c r="O235"/>
  <c r="O258"/>
  <c r="Z416" i="45"/>
  <c r="AB405"/>
  <c r="O403" i="44"/>
  <c r="O338"/>
  <c r="AB42" i="45"/>
  <c r="O157" i="44"/>
  <c r="O288"/>
  <c r="S157"/>
  <c r="S58"/>
  <c r="O379"/>
  <c r="AB47" i="45"/>
  <c r="O388" i="44"/>
  <c r="Z82" i="45"/>
  <c r="AB67"/>
  <c r="O354" i="44"/>
  <c r="O380"/>
  <c r="AB44" i="45"/>
  <c r="S39" i="44"/>
  <c r="AC250" i="43"/>
  <c r="AC256"/>
  <c r="AC279"/>
  <c r="G244" i="41"/>
  <c r="K241" i="44"/>
  <c r="V261" i="45"/>
  <c r="G197" i="41"/>
  <c r="K194" i="44"/>
  <c r="V214" i="45"/>
  <c r="F307" i="37"/>
  <c r="P301" i="44"/>
  <c r="G107" i="41"/>
  <c r="V124" i="45"/>
  <c r="K104" i="44"/>
  <c r="G114" i="41"/>
  <c r="K111" i="44"/>
  <c r="V131" i="45"/>
  <c r="F154" i="41"/>
  <c r="J151" i="44"/>
  <c r="U171" i="45"/>
  <c r="F79" i="41"/>
  <c r="J76" i="44"/>
  <c r="U96" i="45"/>
  <c r="G64" i="41"/>
  <c r="K61" i="44"/>
  <c r="V81" i="45"/>
  <c r="G71" i="37"/>
  <c r="Q65" i="44"/>
  <c r="F93" i="41"/>
  <c r="J90" i="44"/>
  <c r="U110" i="45"/>
  <c r="F72" i="41"/>
  <c r="J69" i="44"/>
  <c r="U89" i="45"/>
  <c r="F121" i="40"/>
  <c r="L118" i="44"/>
  <c r="W138" i="45"/>
  <c r="G173" i="41"/>
  <c r="K170" i="44"/>
  <c r="V190" i="45"/>
  <c r="F72" i="37"/>
  <c r="P66" i="44"/>
  <c r="F167" i="37"/>
  <c r="P161" i="44"/>
  <c r="F196" i="37"/>
  <c r="P190" i="44"/>
  <c r="F215" i="41"/>
  <c r="J212" i="44"/>
  <c r="U232" i="45"/>
  <c r="G179" i="41"/>
  <c r="K176" i="44"/>
  <c r="V196" i="45"/>
  <c r="G208" i="41"/>
  <c r="K205" i="44"/>
  <c r="V225" i="45"/>
  <c r="G151" i="41"/>
  <c r="K148" i="44"/>
  <c r="V168" i="45"/>
  <c r="F256" i="37"/>
  <c r="P250" i="44"/>
  <c r="F120" i="40"/>
  <c r="L117" i="44"/>
  <c r="W137" i="45"/>
  <c r="F150" i="37"/>
  <c r="P144" i="44"/>
  <c r="G109" i="41"/>
  <c r="K106" i="44"/>
  <c r="V126" i="45"/>
  <c r="F174" i="40"/>
  <c r="L171" i="44"/>
  <c r="W191" i="45"/>
  <c r="G165" i="41"/>
  <c r="K162" i="44"/>
  <c r="V182" i="45"/>
  <c r="G100" i="41"/>
  <c r="V117" i="45"/>
  <c r="K97" i="44"/>
  <c r="G138" i="37"/>
  <c r="Q132" i="44"/>
  <c r="G105" i="37"/>
  <c r="Q99" i="44"/>
  <c r="F184" i="41"/>
  <c r="J181" i="44"/>
  <c r="U201" i="45"/>
  <c r="F246" i="37"/>
  <c r="P240" i="44"/>
  <c r="F156" i="41"/>
  <c r="J153" i="44"/>
  <c r="U173" i="45"/>
  <c r="F152" i="37"/>
  <c r="P146" i="44"/>
  <c r="F242" i="41"/>
  <c r="J239" i="44"/>
  <c r="O239" s="1"/>
  <c r="U259" i="45"/>
  <c r="F290" i="40"/>
  <c r="W307" i="45"/>
  <c r="L287" i="44"/>
  <c r="F78" i="41"/>
  <c r="J75" i="44"/>
  <c r="U95" i="45"/>
  <c r="F220" i="37"/>
  <c r="P214" i="44"/>
  <c r="G246" i="37"/>
  <c r="Q240" i="44"/>
  <c r="G144" i="41"/>
  <c r="K141" i="44"/>
  <c r="V161" i="45"/>
  <c r="G270" i="41"/>
  <c r="K267" i="44"/>
  <c r="V287" i="45"/>
  <c r="F256" i="41"/>
  <c r="U273" i="45"/>
  <c r="J253" i="44"/>
  <c r="O253" s="1"/>
  <c r="F311" i="36"/>
  <c r="R305" i="44"/>
  <c r="S305" s="1"/>
  <c r="F106" i="36"/>
  <c r="R100" i="44"/>
  <c r="S100" s="1"/>
  <c r="F114" i="36"/>
  <c r="R108" i="44"/>
  <c r="F255" i="36"/>
  <c r="R249" i="44"/>
  <c r="S249" s="1"/>
  <c r="F254" i="36"/>
  <c r="R248" i="44"/>
  <c r="S248" s="1"/>
  <c r="BV353" i="1"/>
  <c r="CT353" s="1"/>
  <c r="F366" i="36"/>
  <c r="R355" i="44"/>
  <c r="S355" s="1"/>
  <c r="F340" i="36"/>
  <c r="R329" i="44"/>
  <c r="S329" s="1"/>
  <c r="T329" s="1"/>
  <c r="F361" i="36"/>
  <c r="R350" i="44"/>
  <c r="S350" s="1"/>
  <c r="F395" i="36"/>
  <c r="R384" i="44"/>
  <c r="S384" s="1"/>
  <c r="T384" s="1"/>
  <c r="F383" i="36"/>
  <c r="R372" i="44"/>
  <c r="S372" s="1"/>
  <c r="T372" s="1"/>
  <c r="F371" i="36"/>
  <c r="R360" i="44"/>
  <c r="S360" s="1"/>
  <c r="F133" i="40"/>
  <c r="L130" i="44"/>
  <c r="W150" i="45"/>
  <c r="BV108" i="1"/>
  <c r="BW108" s="1"/>
  <c r="F115" i="36"/>
  <c r="R109" i="44"/>
  <c r="S109" s="1"/>
  <c r="F165" i="36"/>
  <c r="R159" i="44"/>
  <c r="S159" s="1"/>
  <c r="G250" i="37"/>
  <c r="Q244" i="44"/>
  <c r="F258" i="37"/>
  <c r="P252" i="44"/>
  <c r="Z164" i="45"/>
  <c r="AB149"/>
  <c r="Z433"/>
  <c r="AB422"/>
  <c r="S222" i="44"/>
  <c r="T222" s="1"/>
  <c r="Z375" i="45"/>
  <c r="AB364"/>
  <c r="G139" i="37"/>
  <c r="Q133" i="44"/>
  <c r="F179" i="40"/>
  <c r="L176" i="44"/>
  <c r="W196" i="45"/>
  <c r="G247" i="37"/>
  <c r="Q241" i="44"/>
  <c r="F308" i="37"/>
  <c r="P302" i="44"/>
  <c r="F197" i="40"/>
  <c r="L194" i="44"/>
  <c r="W214" i="45"/>
  <c r="F271" i="40"/>
  <c r="L268" i="44"/>
  <c r="W288" i="45"/>
  <c r="F295" i="41"/>
  <c r="J292" i="44"/>
  <c r="U312" i="45"/>
  <c r="F304" i="41"/>
  <c r="U321" i="45"/>
  <c r="J301" i="44"/>
  <c r="O301" s="1"/>
  <c r="G77" i="41"/>
  <c r="K74" i="44"/>
  <c r="O74" s="1"/>
  <c r="V94" i="45"/>
  <c r="G84" i="41"/>
  <c r="V101" i="45"/>
  <c r="K81" i="44"/>
  <c r="F105" i="40"/>
  <c r="L102" i="44"/>
  <c r="W122" i="45"/>
  <c r="F108" i="37"/>
  <c r="P102" i="44"/>
  <c r="F107" i="40"/>
  <c r="L104" i="44"/>
  <c r="W124" i="45"/>
  <c r="G108" i="41"/>
  <c r="V125" i="45"/>
  <c r="K105" i="44"/>
  <c r="F114" i="40"/>
  <c r="L111" i="44"/>
  <c r="W131" i="45"/>
  <c r="F115" i="41"/>
  <c r="J112" i="44"/>
  <c r="U132" i="45"/>
  <c r="G134" i="41"/>
  <c r="K131" i="44"/>
  <c r="V151" i="45"/>
  <c r="G137" i="37"/>
  <c r="Q131" i="44"/>
  <c r="F154" i="40"/>
  <c r="L151" i="44"/>
  <c r="W171" i="45"/>
  <c r="G221" i="41"/>
  <c r="K218" i="44"/>
  <c r="V238" i="45"/>
  <c r="G79" i="41"/>
  <c r="K76" i="44"/>
  <c r="V96" i="45"/>
  <c r="F229" i="37"/>
  <c r="P223" i="44"/>
  <c r="G234" i="41"/>
  <c r="K231" i="44"/>
  <c r="V251" i="45"/>
  <c r="F60" i="37"/>
  <c r="P54" i="44"/>
  <c r="G60" i="37"/>
  <c r="Q54" i="44"/>
  <c r="F67" i="37"/>
  <c r="P61" i="44"/>
  <c r="G68" i="41"/>
  <c r="K65" i="44"/>
  <c r="V85" i="45"/>
  <c r="F71" i="40"/>
  <c r="W88" i="45"/>
  <c r="L68" i="44"/>
  <c r="F76" i="37"/>
  <c r="P70" i="44"/>
  <c r="F280" i="37"/>
  <c r="P274" i="44"/>
  <c r="G96" i="37"/>
  <c r="Q90" i="44"/>
  <c r="G66" i="37"/>
  <c r="Q60" i="44"/>
  <c r="F67" i="41"/>
  <c r="U84" i="45"/>
  <c r="J64" i="44"/>
  <c r="G72" i="41"/>
  <c r="K69" i="44"/>
  <c r="V89" i="45"/>
  <c r="F117" i="41"/>
  <c r="J114" i="44"/>
  <c r="U134" i="45"/>
  <c r="F117" i="40"/>
  <c r="L114" i="44"/>
  <c r="W134" i="45"/>
  <c r="F124" i="37"/>
  <c r="P118" i="44"/>
  <c r="G129" i="37"/>
  <c r="Q123" i="44"/>
  <c r="G170" i="41"/>
  <c r="K167" i="44"/>
  <c r="V187" i="45"/>
  <c r="F173" i="41"/>
  <c r="J170" i="44"/>
  <c r="U190" i="45"/>
  <c r="F173" i="40"/>
  <c r="L170" i="44"/>
  <c r="W190" i="45"/>
  <c r="G68" i="37"/>
  <c r="Q62" i="44"/>
  <c r="F69" i="41"/>
  <c r="U86" i="45"/>
  <c r="J66" i="44"/>
  <c r="F74" i="41"/>
  <c r="J71" i="44"/>
  <c r="U91" i="45"/>
  <c r="G74" i="41"/>
  <c r="K71" i="44"/>
  <c r="V91" i="45"/>
  <c r="F92" i="37"/>
  <c r="P86" i="44"/>
  <c r="G119" i="41"/>
  <c r="K116" i="44"/>
  <c r="V136" i="45"/>
  <c r="F164" i="41"/>
  <c r="U181" i="45"/>
  <c r="J161" i="44"/>
  <c r="F178" i="37"/>
  <c r="P172" i="44"/>
  <c r="G178" i="37"/>
  <c r="Q172" i="44"/>
  <c r="F188" i="41"/>
  <c r="J185" i="44"/>
  <c r="U205" i="45"/>
  <c r="F193" i="41"/>
  <c r="U210" i="45"/>
  <c r="J190" i="44"/>
  <c r="F231" i="40"/>
  <c r="W248" i="45"/>
  <c r="L228" i="44"/>
  <c r="G303" i="37"/>
  <c r="Q297" i="44"/>
  <c r="G71" i="41"/>
  <c r="K68" i="44"/>
  <c r="V88" i="45"/>
  <c r="G98" i="37"/>
  <c r="Q92" i="44"/>
  <c r="F182" i="37"/>
  <c r="P176" i="44"/>
  <c r="G182" i="37"/>
  <c r="Q176" i="44"/>
  <c r="G215" i="41"/>
  <c r="K212" i="44"/>
  <c r="V232" i="45"/>
  <c r="F120" i="41"/>
  <c r="J117" i="44"/>
  <c r="U137" i="45"/>
  <c r="G91" i="41"/>
  <c r="K88" i="44"/>
  <c r="V108" i="45"/>
  <c r="F85" i="40"/>
  <c r="W102" i="45"/>
  <c r="L82" i="44"/>
  <c r="G269" i="41"/>
  <c r="V286" i="45"/>
  <c r="K266" i="44"/>
  <c r="F293" i="40"/>
  <c r="W310" i="45"/>
  <c r="L290" i="44"/>
  <c r="F204" i="40"/>
  <c r="L201" i="44"/>
  <c r="W221" i="45"/>
  <c r="G271" i="41"/>
  <c r="K268" i="44"/>
  <c r="O268" s="1"/>
  <c r="V288" i="45"/>
  <c r="G115" i="41"/>
  <c r="K112" i="44"/>
  <c r="V132" i="45"/>
  <c r="G128" i="37"/>
  <c r="Q122" i="44"/>
  <c r="G292" i="37"/>
  <c r="Q286" i="44"/>
  <c r="G94" i="37"/>
  <c r="Q88" i="44"/>
  <c r="F128" i="37"/>
  <c r="P122" i="44"/>
  <c r="F177" i="37"/>
  <c r="P171" i="44"/>
  <c r="G55" i="37"/>
  <c r="Q49" i="44"/>
  <c r="F147" i="40"/>
  <c r="L144" i="44"/>
  <c r="W164" i="45"/>
  <c r="F262" i="41"/>
  <c r="J259" i="44"/>
  <c r="U279" i="45"/>
  <c r="G76" i="41"/>
  <c r="V93" i="45"/>
  <c r="K73" i="44"/>
  <c r="F103" i="37"/>
  <c r="P97" i="44"/>
  <c r="G134" i="37"/>
  <c r="Q128" i="44"/>
  <c r="F181" i="40"/>
  <c r="L178" i="44"/>
  <c r="W198" i="45"/>
  <c r="F55" i="37"/>
  <c r="P49" i="44"/>
  <c r="F154" i="37"/>
  <c r="P148" i="44"/>
  <c r="G192" i="37"/>
  <c r="Q186" i="44"/>
  <c r="F232" i="41"/>
  <c r="U249" i="45"/>
  <c r="J229" i="44"/>
  <c r="G272" i="37"/>
  <c r="Q266" i="44"/>
  <c r="G305" i="41"/>
  <c r="K302" i="44"/>
  <c r="O302" s="1"/>
  <c r="V322" i="45"/>
  <c r="F194" i="40"/>
  <c r="L191" i="44"/>
  <c r="W211" i="45"/>
  <c r="F197" i="37"/>
  <c r="P191" i="44"/>
  <c r="F165" i="40"/>
  <c r="L162" i="44"/>
  <c r="W182" i="45"/>
  <c r="F147" i="41"/>
  <c r="J144" i="44"/>
  <c r="U164" i="45"/>
  <c r="G290" i="37"/>
  <c r="Q284" i="44"/>
  <c r="F262" i="40"/>
  <c r="L259" i="44"/>
  <c r="W279" i="45"/>
  <c r="G103" i="37"/>
  <c r="Q97" i="44"/>
  <c r="G272" i="41"/>
  <c r="K269" i="44"/>
  <c r="V289" i="45"/>
  <c r="G140" i="37"/>
  <c r="Q134" i="44"/>
  <c r="F152" i="40"/>
  <c r="L149" i="44"/>
  <c r="W169" i="45"/>
  <c r="F147" i="37"/>
  <c r="P141" i="44"/>
  <c r="F81" i="37"/>
  <c r="P75" i="44"/>
  <c r="F113" i="41"/>
  <c r="J110" i="44"/>
  <c r="U130" i="45"/>
  <c r="G91" i="37"/>
  <c r="Q85" i="44"/>
  <c r="G153" i="41"/>
  <c r="K150" i="44"/>
  <c r="V170" i="45"/>
  <c r="G176" i="41"/>
  <c r="K173" i="44"/>
  <c r="V193" i="45"/>
  <c r="F192" i="41"/>
  <c r="U209" i="45"/>
  <c r="J189" i="44"/>
  <c r="F213" i="40"/>
  <c r="L210" i="44"/>
  <c r="W230" i="45"/>
  <c r="F243" i="41"/>
  <c r="J240" i="44"/>
  <c r="U260" i="45"/>
  <c r="F301" i="40"/>
  <c r="W318" i="45"/>
  <c r="L298" i="44"/>
  <c r="G147" i="41"/>
  <c r="K144" i="44"/>
  <c r="V164" i="45"/>
  <c r="F100" i="41"/>
  <c r="U117" i="45"/>
  <c r="J97" i="44"/>
  <c r="G184" i="37"/>
  <c r="Q178" i="44"/>
  <c r="G181" i="41"/>
  <c r="K178" i="44"/>
  <c r="V198" i="45"/>
  <c r="G83" i="37"/>
  <c r="Q77" i="44"/>
  <c r="G81" i="37"/>
  <c r="Q75" i="44"/>
  <c r="F116" i="37"/>
  <c r="P110" i="44"/>
  <c r="F158" i="41"/>
  <c r="J155" i="44"/>
  <c r="U175" i="45"/>
  <c r="F290" i="41"/>
  <c r="U307" i="45"/>
  <c r="J287" i="44"/>
  <c r="F156" i="37"/>
  <c r="P150" i="44"/>
  <c r="F215" i="40"/>
  <c r="W232" i="45"/>
  <c r="L212" i="44"/>
  <c r="F270" i="41"/>
  <c r="J267" i="44"/>
  <c r="U287" i="45"/>
  <c r="G147" i="37"/>
  <c r="Q141" i="44"/>
  <c r="G285" i="41"/>
  <c r="K282" i="44"/>
  <c r="V302" i="45"/>
  <c r="G216" i="37"/>
  <c r="Q210" i="44"/>
  <c r="F149" i="41"/>
  <c r="J146" i="44"/>
  <c r="O146" s="1"/>
  <c r="U166" i="45"/>
  <c r="G288" i="37"/>
  <c r="Q282" i="44"/>
  <c r="G213" i="41"/>
  <c r="K210" i="44"/>
  <c r="V230" i="45"/>
  <c r="G79" i="37"/>
  <c r="Q73" i="44"/>
  <c r="G287" i="41"/>
  <c r="K284" i="44"/>
  <c r="O284" s="1"/>
  <c r="V304" i="45"/>
  <c r="F217" i="40"/>
  <c r="L214" i="44"/>
  <c r="W234" i="45"/>
  <c r="G300" i="41"/>
  <c r="V317" i="45"/>
  <c r="K297" i="44"/>
  <c r="F84" i="41"/>
  <c r="J81" i="44"/>
  <c r="U101" i="45"/>
  <c r="G152" i="37"/>
  <c r="Q146" i="44"/>
  <c r="F71" i="41"/>
  <c r="J68" i="44"/>
  <c r="U88" i="45"/>
  <c r="F135" i="40"/>
  <c r="L132" i="44"/>
  <c r="W152" i="45"/>
  <c r="F235" i="37"/>
  <c r="P229" i="44"/>
  <c r="G143" i="37"/>
  <c r="Q137" i="44"/>
  <c r="G259" i="37"/>
  <c r="Q253" i="44"/>
  <c r="F259" i="40"/>
  <c r="L256" i="44"/>
  <c r="W276" i="45"/>
  <c r="G259" i="41"/>
  <c r="K256" i="44"/>
  <c r="V276" i="45"/>
  <c r="G101" i="37"/>
  <c r="Q95" i="44"/>
  <c r="F98" i="41"/>
  <c r="J95" i="44"/>
  <c r="U115" i="45"/>
  <c r="G301" i="37"/>
  <c r="Q295" i="44"/>
  <c r="F277" i="36"/>
  <c r="R271" i="44"/>
  <c r="S271" s="1"/>
  <c r="F15" i="36"/>
  <c r="R19" i="44"/>
  <c r="S19" s="1"/>
  <c r="F305" i="36"/>
  <c r="R299" i="44"/>
  <c r="S299" s="1"/>
  <c r="T299" s="1"/>
  <c r="F171" i="36"/>
  <c r="R165" i="44"/>
  <c r="S165" s="1"/>
  <c r="F249" i="36"/>
  <c r="R243" i="44"/>
  <c r="S243" s="1"/>
  <c r="F62" i="36"/>
  <c r="R56" i="44"/>
  <c r="S56" s="1"/>
  <c r="T56" s="1"/>
  <c r="F24" i="36"/>
  <c r="R28" i="44"/>
  <c r="S28" s="1"/>
  <c r="F29" i="36"/>
  <c r="R33" i="44"/>
  <c r="S33" s="1"/>
  <c r="T33" s="1"/>
  <c r="F14" i="36"/>
  <c r="R18" i="44"/>
  <c r="S18" s="1"/>
  <c r="T18" s="1"/>
  <c r="F30" i="36"/>
  <c r="R34" i="44"/>
  <c r="S34" s="1"/>
  <c r="F238" i="36"/>
  <c r="R232" i="44"/>
  <c r="S232" s="1"/>
  <c r="F166" i="36"/>
  <c r="R160" i="44"/>
  <c r="S160" s="1"/>
  <c r="F312" i="36"/>
  <c r="R306" i="44"/>
  <c r="S306" s="1"/>
  <c r="F144" i="36"/>
  <c r="R138" i="44"/>
  <c r="S138" s="1"/>
  <c r="F133" i="41"/>
  <c r="J130" i="44"/>
  <c r="U150" i="45"/>
  <c r="F230" i="40"/>
  <c r="L227" i="44"/>
  <c r="W247" i="45"/>
  <c r="F331" i="36"/>
  <c r="R320" i="44"/>
  <c r="S320" s="1"/>
  <c r="F379" i="36"/>
  <c r="R368" i="44"/>
  <c r="S368" s="1"/>
  <c r="T368" s="1"/>
  <c r="BV399" i="1"/>
  <c r="CT399" s="1"/>
  <c r="F412" i="36"/>
  <c r="R401" i="44"/>
  <c r="S401" s="1"/>
  <c r="F382" i="36"/>
  <c r="R371" i="44"/>
  <c r="S371" s="1"/>
  <c r="T371" s="1"/>
  <c r="F378" i="36"/>
  <c r="R367" i="44"/>
  <c r="S367" s="1"/>
  <c r="BV392" i="1"/>
  <c r="F405" i="36"/>
  <c r="R394" i="44"/>
  <c r="S394" s="1"/>
  <c r="T394" s="1"/>
  <c r="F350" i="36"/>
  <c r="R339" i="44"/>
  <c r="S339" s="1"/>
  <c r="F381" i="36"/>
  <c r="R370" i="44"/>
  <c r="S370" s="1"/>
  <c r="T370" s="1"/>
  <c r="F415" i="36"/>
  <c r="R404" i="44"/>
  <c r="S404" s="1"/>
  <c r="BV338" i="1"/>
  <c r="BW338" s="1"/>
  <c r="F351" i="36"/>
  <c r="R340" i="44"/>
  <c r="S340" s="1"/>
  <c r="T340" s="1"/>
  <c r="F394" i="36"/>
  <c r="R383" i="44"/>
  <c r="S383" s="1"/>
  <c r="F367" i="36"/>
  <c r="R356" i="44"/>
  <c r="S356" s="1"/>
  <c r="F356" i="36"/>
  <c r="R345" i="44"/>
  <c r="S345" s="1"/>
  <c r="F409" i="36"/>
  <c r="R398" i="44"/>
  <c r="S398" s="1"/>
  <c r="T398" s="1"/>
  <c r="F363" i="36"/>
  <c r="R352" i="44"/>
  <c r="S352" s="1"/>
  <c r="F347" i="36"/>
  <c r="R336" i="44"/>
  <c r="S336" s="1"/>
  <c r="F336" i="36"/>
  <c r="R325" i="44"/>
  <c r="S325" s="1"/>
  <c r="F408" i="36"/>
  <c r="R397" i="44"/>
  <c r="S397" s="1"/>
  <c r="T397" s="1"/>
  <c r="G182" i="41"/>
  <c r="V199" i="45"/>
  <c r="K179" i="44"/>
  <c r="F182" i="41"/>
  <c r="J179" i="44"/>
  <c r="U199" i="45"/>
  <c r="F223" i="41"/>
  <c r="J220" i="44"/>
  <c r="U240" i="45"/>
  <c r="G396" i="41"/>
  <c r="K387" i="44"/>
  <c r="V415" i="45"/>
  <c r="F185" i="37"/>
  <c r="P179" i="44"/>
  <c r="F230" i="41"/>
  <c r="J227" i="44"/>
  <c r="O227" s="1"/>
  <c r="U247" i="45"/>
  <c r="BV269" i="1"/>
  <c r="CT269" s="1"/>
  <c r="F276" i="36"/>
  <c r="R270" i="44"/>
  <c r="S270" s="1"/>
  <c r="BV331" i="1"/>
  <c r="F344" i="36"/>
  <c r="R333" i="44"/>
  <c r="S333" s="1"/>
  <c r="T333" s="1"/>
  <c r="CN385" i="1"/>
  <c r="Z420" i="43"/>
  <c r="AC420" s="1"/>
  <c r="F135" i="36"/>
  <c r="R129" i="44"/>
  <c r="S129" s="1"/>
  <c r="T129" s="1"/>
  <c r="F300" i="37"/>
  <c r="P294" i="44"/>
  <c r="G279" i="37"/>
  <c r="Q273" i="44"/>
  <c r="BT243" i="1"/>
  <c r="BV243" s="1"/>
  <c r="F247" i="40"/>
  <c r="W264" i="45"/>
  <c r="L244" i="44"/>
  <c r="G247" i="41"/>
  <c r="K244" i="44"/>
  <c r="V264" i="45"/>
  <c r="G232" i="37"/>
  <c r="Q226" i="44"/>
  <c r="S226" s="1"/>
  <c r="G229" i="41"/>
  <c r="K226" i="44"/>
  <c r="V246" i="45"/>
  <c r="F297" i="40"/>
  <c r="L294" i="44"/>
  <c r="W314" i="45"/>
  <c r="G255" i="41"/>
  <c r="K252" i="44"/>
  <c r="V272" i="45"/>
  <c r="F228" i="41"/>
  <c r="J225" i="44"/>
  <c r="U245" i="45"/>
  <c r="Z305"/>
  <c r="AB290"/>
  <c r="Z93"/>
  <c r="AB78"/>
  <c r="S108" i="44"/>
  <c r="Z235" i="45"/>
  <c r="AB220"/>
  <c r="O349" i="44"/>
  <c r="Z414" i="45"/>
  <c r="AB403"/>
  <c r="Z356"/>
  <c r="AB345"/>
  <c r="O336" i="44"/>
  <c r="O345"/>
  <c r="S125"/>
  <c r="Z135" i="45"/>
  <c r="AB120"/>
  <c r="Z417"/>
  <c r="AB406"/>
  <c r="Z364"/>
  <c r="AB353"/>
  <c r="Z423"/>
  <c r="AB412"/>
  <c r="Z385"/>
  <c r="AB374"/>
  <c r="S31" i="44"/>
  <c r="O243"/>
  <c r="Z408" i="45"/>
  <c r="AB397"/>
  <c r="O58" i="44"/>
  <c r="T272"/>
  <c r="O108"/>
  <c r="S200"/>
  <c r="S309"/>
  <c r="Z47" i="45"/>
  <c r="AB34"/>
  <c r="S400" i="44"/>
  <c r="T400" s="1"/>
  <c r="AB320" i="45"/>
  <c r="O209" i="44"/>
  <c r="O37"/>
  <c r="AB426" i="45"/>
  <c r="Z195"/>
  <c r="AB180"/>
  <c r="O401" i="44"/>
  <c r="O154"/>
  <c r="Z160" i="45"/>
  <c r="AB145"/>
  <c r="O369" i="44"/>
  <c r="O320"/>
  <c r="T315"/>
  <c r="AB432" i="45"/>
  <c r="Z49"/>
  <c r="AB36"/>
  <c r="Z292"/>
  <c r="AB277"/>
  <c r="O344" i="44"/>
  <c r="O165"/>
  <c r="AB433" i="45"/>
  <c r="S318" i="44"/>
  <c r="T318" s="1"/>
  <c r="S354"/>
  <c r="Z374" i="45"/>
  <c r="AB363"/>
  <c r="AC296" i="43"/>
  <c r="O101" i="44"/>
  <c r="O395"/>
  <c r="Z66" i="45"/>
  <c r="AB51"/>
  <c r="O360" i="44"/>
  <c r="Z222" i="45"/>
  <c r="AB207"/>
  <c r="Z230"/>
  <c r="AB215"/>
  <c r="AB45"/>
  <c r="O309" i="44"/>
  <c r="O383"/>
  <c r="O30"/>
  <c r="O19"/>
  <c r="V19" s="1"/>
  <c r="AB428" i="45"/>
  <c r="Z407"/>
  <c r="AB396"/>
  <c r="O337" i="44"/>
  <c r="O375"/>
  <c r="Z257" i="45"/>
  <c r="AB242"/>
  <c r="O202" i="44"/>
  <c r="O324"/>
  <c r="S316"/>
  <c r="T316" s="1"/>
  <c r="O306"/>
  <c r="AB326" i="45"/>
  <c r="O143" i="44"/>
  <c r="AB429" i="45"/>
  <c r="O330" i="44"/>
  <c r="S369"/>
  <c r="Z406" i="45"/>
  <c r="AB395"/>
  <c r="O361" i="44"/>
  <c r="Z377" i="45"/>
  <c r="AB366"/>
  <c r="S381" i="44"/>
  <c r="T381" s="1"/>
  <c r="O29"/>
  <c r="Z67" i="45"/>
  <c r="AB52"/>
  <c r="Z192"/>
  <c r="AB177"/>
  <c r="Z372"/>
  <c r="O34" i="44"/>
  <c r="AB319" i="45"/>
  <c r="Z376"/>
  <c r="AB365"/>
  <c r="O355" i="44"/>
  <c r="O47"/>
  <c r="Z393" i="45"/>
  <c r="AB382"/>
  <c r="O325" i="44"/>
  <c r="S331"/>
  <c r="T331" s="1"/>
  <c r="S385"/>
  <c r="T385" s="1"/>
  <c r="AC185" i="43"/>
  <c r="AC202"/>
  <c r="CN219" i="1"/>
  <c r="CN293"/>
  <c r="BZ251"/>
  <c r="K308" i="42"/>
  <c r="K404" i="1"/>
  <c r="BV225"/>
  <c r="CT225" s="1"/>
  <c r="CR292"/>
  <c r="CR389"/>
  <c r="CS243"/>
  <c r="BQ224"/>
  <c r="CN224"/>
  <c r="BZ224"/>
  <c r="BA292"/>
  <c r="BX292" s="1"/>
  <c r="BN292"/>
  <c r="BB292"/>
  <c r="Z316" i="43" s="1"/>
  <c r="AC316" s="1"/>
  <c r="BM292" i="1"/>
  <c r="BL292"/>
  <c r="BR292"/>
  <c r="BS292"/>
  <c r="BV224"/>
  <c r="BN389"/>
  <c r="BB389"/>
  <c r="Z424" i="43" s="1"/>
  <c r="BA389" i="1"/>
  <c r="BX389" s="1"/>
  <c r="BR389"/>
  <c r="BM389"/>
  <c r="BS389"/>
  <c r="BL389"/>
  <c r="BV277"/>
  <c r="CT277" s="1"/>
  <c r="CS251"/>
  <c r="CT303"/>
  <c r="BZ243"/>
  <c r="CS218"/>
  <c r="BZ225"/>
  <c r="BL165"/>
  <c r="BQ243"/>
  <c r="CN203"/>
  <c r="BQ272"/>
  <c r="BL254"/>
  <c r="Y281" i="52"/>
  <c r="CN272" i="1"/>
  <c r="CS272" s="1"/>
  <c r="BZ272"/>
  <c r="CS225"/>
  <c r="Y379" i="52"/>
  <c r="Y372"/>
  <c r="Y389"/>
  <c r="Y396"/>
  <c r="BM165" i="1"/>
  <c r="Z58" i="52"/>
  <c r="Y402"/>
  <c r="Y430"/>
  <c r="Y357"/>
  <c r="Y401"/>
  <c r="Y400"/>
  <c r="Y397"/>
  <c r="Y427"/>
  <c r="BN394" i="1"/>
  <c r="Y433" i="52"/>
  <c r="BB295" i="1"/>
  <c r="CC295" s="1"/>
  <c r="AB58" i="52"/>
  <c r="CN204" i="1"/>
  <c r="BQ293"/>
  <c r="BV287"/>
  <c r="BW287" s="1"/>
  <c r="CS156"/>
  <c r="CT100"/>
  <c r="CN255"/>
  <c r="CS255" s="1"/>
  <c r="CN210"/>
  <c r="CS393"/>
  <c r="AD334" i="43"/>
  <c r="BM295" i="1"/>
  <c r="BR295"/>
  <c r="BN295"/>
  <c r="CS331"/>
  <c r="BS295"/>
  <c r="BL295"/>
  <c r="BA295"/>
  <c r="BQ300"/>
  <c r="BQ301"/>
  <c r="BV158"/>
  <c r="BW158" s="1"/>
  <c r="CN252"/>
  <c r="CS372"/>
  <c r="CN94"/>
  <c r="CR295"/>
  <c r="BQ296"/>
  <c r="BQ297"/>
  <c r="CT393"/>
  <c r="BS280"/>
  <c r="CN41"/>
  <c r="BV128"/>
  <c r="CT128" s="1"/>
  <c r="BW25"/>
  <c r="BW156"/>
  <c r="BM254"/>
  <c r="BA254"/>
  <c r="BX254" s="1"/>
  <c r="Z281" i="52" s="1"/>
  <c r="AB281" s="1"/>
  <c r="Z250"/>
  <c r="AB250" s="1"/>
  <c r="CN161" i="1"/>
  <c r="BS254"/>
  <c r="BR254"/>
  <c r="BN254"/>
  <c r="AA327" i="44"/>
  <c r="BW393" i="1"/>
  <c r="AA347" i="44"/>
  <c r="BV57" i="1"/>
  <c r="CT57" s="1"/>
  <c r="BV119"/>
  <c r="CT119" s="1"/>
  <c r="BZ161"/>
  <c r="BZ204"/>
  <c r="BZ252"/>
  <c r="BZ255"/>
  <c r="BB284"/>
  <c r="Z308" i="43" s="1"/>
  <c r="BB167" i="1"/>
  <c r="Z191" i="43" s="1"/>
  <c r="BB183" i="1"/>
  <c r="Z207" i="43" s="1"/>
  <c r="BB215" i="1"/>
  <c r="Z239" i="43" s="1"/>
  <c r="BL179" i="1"/>
  <c r="BZ232"/>
  <c r="BZ178"/>
  <c r="BM191"/>
  <c r="BZ219"/>
  <c r="BB90"/>
  <c r="Z114" i="43" s="1"/>
  <c r="BZ41" i="1"/>
  <c r="BB237"/>
  <c r="CC237" s="1"/>
  <c r="BB151"/>
  <c r="Z175" i="43" s="1"/>
  <c r="BZ94" i="1"/>
  <c r="BZ294"/>
  <c r="BZ210"/>
  <c r="BB112"/>
  <c r="Z136" i="43" s="1"/>
  <c r="BS394" i="1"/>
  <c r="BL260"/>
  <c r="BZ129"/>
  <c r="BZ226"/>
  <c r="BZ385"/>
  <c r="BZ202"/>
  <c r="BZ56"/>
  <c r="BZ74"/>
  <c r="BZ96"/>
  <c r="BZ105"/>
  <c r="BZ123"/>
  <c r="BZ145"/>
  <c r="BZ154"/>
  <c r="BZ268"/>
  <c r="BZ283"/>
  <c r="BZ81"/>
  <c r="BZ127"/>
  <c r="BZ133"/>
  <c r="BZ147"/>
  <c r="BZ172"/>
  <c r="BZ180"/>
  <c r="BZ188"/>
  <c r="BZ213"/>
  <c r="BZ239"/>
  <c r="BZ266"/>
  <c r="BZ132"/>
  <c r="BZ175"/>
  <c r="BZ238"/>
  <c r="BZ261"/>
  <c r="BZ289"/>
  <c r="BZ301"/>
  <c r="BZ200"/>
  <c r="BZ262"/>
  <c r="BZ291"/>
  <c r="BZ73"/>
  <c r="BZ91"/>
  <c r="BZ103"/>
  <c r="BZ110"/>
  <c r="BZ114"/>
  <c r="BZ121"/>
  <c r="BZ130"/>
  <c r="BZ150"/>
  <c r="BZ217"/>
  <c r="BZ222"/>
  <c r="BZ230"/>
  <c r="BZ53"/>
  <c r="BZ62"/>
  <c r="BZ67"/>
  <c r="BZ273"/>
  <c r="BZ89"/>
  <c r="BZ63"/>
  <c r="BZ113"/>
  <c r="BZ122"/>
  <c r="BZ169"/>
  <c r="BZ65"/>
  <c r="BZ85"/>
  <c r="BZ160"/>
  <c r="BZ184"/>
  <c r="BZ227"/>
  <c r="BZ190"/>
  <c r="BZ48"/>
  <c r="BZ72"/>
  <c r="BZ76"/>
  <c r="BZ98"/>
  <c r="BZ109"/>
  <c r="BZ143"/>
  <c r="BZ152"/>
  <c r="BZ258"/>
  <c r="BZ281"/>
  <c r="BZ286"/>
  <c r="BZ84"/>
  <c r="BZ131"/>
  <c r="BZ140"/>
  <c r="BZ149"/>
  <c r="BZ170"/>
  <c r="BZ177"/>
  <c r="BZ185"/>
  <c r="BZ209"/>
  <c r="BZ228"/>
  <c r="BZ241"/>
  <c r="BZ297"/>
  <c r="BZ148"/>
  <c r="BZ211"/>
  <c r="BZ240"/>
  <c r="BZ265"/>
  <c r="BZ296"/>
  <c r="BZ193"/>
  <c r="BZ249"/>
  <c r="BZ267"/>
  <c r="BZ300"/>
  <c r="BZ80"/>
  <c r="BZ101"/>
  <c r="BZ104"/>
  <c r="BZ111"/>
  <c r="BZ116"/>
  <c r="BZ285"/>
  <c r="BZ136"/>
  <c r="BZ75"/>
  <c r="BZ233"/>
  <c r="BZ60"/>
  <c r="BZ64"/>
  <c r="BZ69"/>
  <c r="BZ87"/>
  <c r="BZ59"/>
  <c r="BZ68"/>
  <c r="BZ117"/>
  <c r="BZ166"/>
  <c r="BZ61"/>
  <c r="BZ70"/>
  <c r="BZ115"/>
  <c r="BZ171"/>
  <c r="BZ189"/>
  <c r="BA165"/>
  <c r="BX165" s="1"/>
  <c r="Z191" i="52" s="1"/>
  <c r="AB191" s="1"/>
  <c r="CT251" i="1"/>
  <c r="CR254"/>
  <c r="BV270"/>
  <c r="BW270" s="1"/>
  <c r="BV299"/>
  <c r="CT299" s="1"/>
  <c r="BV242"/>
  <c r="BW242" s="1"/>
  <c r="BV20"/>
  <c r="CT20" s="1"/>
  <c r="BV137"/>
  <c r="CT137" s="1"/>
  <c r="BV390"/>
  <c r="CT390" s="1"/>
  <c r="BV347"/>
  <c r="BW347" s="1"/>
  <c r="BV314"/>
  <c r="CT314" s="1"/>
  <c r="BV369"/>
  <c r="CT369" s="1"/>
  <c r="BV316"/>
  <c r="BW316" s="1"/>
  <c r="BV365"/>
  <c r="CT365" s="1"/>
  <c r="BV400"/>
  <c r="CT400" s="1"/>
  <c r="BV337"/>
  <c r="CT337" s="1"/>
  <c r="BV383"/>
  <c r="CT383" s="1"/>
  <c r="BV368"/>
  <c r="BW368" s="1"/>
  <c r="BV313"/>
  <c r="BW313" s="1"/>
  <c r="BV402"/>
  <c r="BW402" s="1"/>
  <c r="BV342"/>
  <c r="BW342" s="1"/>
  <c r="BV345"/>
  <c r="BV396"/>
  <c r="CT396" s="1"/>
  <c r="BV350"/>
  <c r="BW350" s="1"/>
  <c r="BV363"/>
  <c r="CT363" s="1"/>
  <c r="BV352"/>
  <c r="CT352" s="1"/>
  <c r="BV329"/>
  <c r="BW329" s="1"/>
  <c r="BV395"/>
  <c r="CT395" s="1"/>
  <c r="BV341"/>
  <c r="CT341" s="1"/>
  <c r="CT38"/>
  <c r="BW38"/>
  <c r="BB254"/>
  <c r="Z278" i="43" s="1"/>
  <c r="AA23" i="44"/>
  <c r="V35"/>
  <c r="BV346" i="1"/>
  <c r="CT346" s="1"/>
  <c r="BV364"/>
  <c r="BW364" s="1"/>
  <c r="BV327"/>
  <c r="BW327" s="1"/>
  <c r="BV367"/>
  <c r="CT367" s="1"/>
  <c r="BV355"/>
  <c r="CT355" s="1"/>
  <c r="BV321"/>
  <c r="CT321" s="1"/>
  <c r="BV378"/>
  <c r="BW378" s="1"/>
  <c r="BV348"/>
  <c r="BV373"/>
  <c r="CT373" s="1"/>
  <c r="BV377"/>
  <c r="CT377" s="1"/>
  <c r="BV403"/>
  <c r="CT403" s="1"/>
  <c r="BV340"/>
  <c r="BW340" s="1"/>
  <c r="BV374"/>
  <c r="BW374" s="1"/>
  <c r="BV359"/>
  <c r="CT359" s="1"/>
  <c r="BV376"/>
  <c r="BW376" s="1"/>
  <c r="BV370"/>
  <c r="CT370" s="1"/>
  <c r="BV384"/>
  <c r="CT384" s="1"/>
  <c r="BV326"/>
  <c r="CT326" s="1"/>
  <c r="BV375"/>
  <c r="BW375" s="1"/>
  <c r="BV344"/>
  <c r="CT344" s="1"/>
  <c r="BV401"/>
  <c r="BW401" s="1"/>
  <c r="BV324"/>
  <c r="CT324" s="1"/>
  <c r="BV218"/>
  <c r="CT218" s="1"/>
  <c r="CN178"/>
  <c r="CS178" s="1"/>
  <c r="CN202"/>
  <c r="CN226"/>
  <c r="CN294"/>
  <c r="CN56"/>
  <c r="CN74"/>
  <c r="CN96"/>
  <c r="CN105"/>
  <c r="CN123"/>
  <c r="CN145"/>
  <c r="CN154"/>
  <c r="CN268"/>
  <c r="CN283"/>
  <c r="CN81"/>
  <c r="CN127"/>
  <c r="CN133"/>
  <c r="CN147"/>
  <c r="CN172"/>
  <c r="CN180"/>
  <c r="CN188"/>
  <c r="CN213"/>
  <c r="CN239"/>
  <c r="CN266"/>
  <c r="CN132"/>
  <c r="CN175"/>
  <c r="CN238"/>
  <c r="CN261"/>
  <c r="CN289"/>
  <c r="CN301"/>
  <c r="CN200"/>
  <c r="CN262"/>
  <c r="CN291"/>
  <c r="CN73"/>
  <c r="CN91"/>
  <c r="CN103"/>
  <c r="CN110"/>
  <c r="CN114"/>
  <c r="CN121"/>
  <c r="CN130"/>
  <c r="CN150"/>
  <c r="CN217"/>
  <c r="CN222"/>
  <c r="CN230"/>
  <c r="CN53"/>
  <c r="CN62"/>
  <c r="CN67"/>
  <c r="CN273"/>
  <c r="CN89"/>
  <c r="CN63"/>
  <c r="CN113"/>
  <c r="CN122"/>
  <c r="CN169"/>
  <c r="CN65"/>
  <c r="CN85"/>
  <c r="CN160"/>
  <c r="CN184"/>
  <c r="CN227"/>
  <c r="CN232"/>
  <c r="CN129"/>
  <c r="CN48"/>
  <c r="CN72"/>
  <c r="CN76"/>
  <c r="CN98"/>
  <c r="CN109"/>
  <c r="CN143"/>
  <c r="CN152"/>
  <c r="CN258"/>
  <c r="CN281"/>
  <c r="CN286"/>
  <c r="CN84"/>
  <c r="CN131"/>
  <c r="CN140"/>
  <c r="CN149"/>
  <c r="CN170"/>
  <c r="CN177"/>
  <c r="CN185"/>
  <c r="CN209"/>
  <c r="CN228"/>
  <c r="CN241"/>
  <c r="CN297"/>
  <c r="CN148"/>
  <c r="CN211"/>
  <c r="CN240"/>
  <c r="CN265"/>
  <c r="CN296"/>
  <c r="CN193"/>
  <c r="CN249"/>
  <c r="CN267"/>
  <c r="CN300"/>
  <c r="CN80"/>
  <c r="CN101"/>
  <c r="CN104"/>
  <c r="CN111"/>
  <c r="CN116"/>
  <c r="CN285"/>
  <c r="CN136"/>
  <c r="CN75"/>
  <c r="CN233"/>
  <c r="CN60"/>
  <c r="CN64"/>
  <c r="CN69"/>
  <c r="CN87"/>
  <c r="CN59"/>
  <c r="CN68"/>
  <c r="CN117"/>
  <c r="CN166"/>
  <c r="CN61"/>
  <c r="CN70"/>
  <c r="CN115"/>
  <c r="CN171"/>
  <c r="CN189"/>
  <c r="AA320" i="44"/>
  <c r="BZ203" i="1"/>
  <c r="CR216"/>
  <c r="BN216"/>
  <c r="BA216"/>
  <c r="BX216" s="1"/>
  <c r="Z242" i="52" s="1"/>
  <c r="AB242" s="1"/>
  <c r="BB216" i="1"/>
  <c r="Z240" i="43" s="1"/>
  <c r="BR216" i="1"/>
  <c r="BS216"/>
  <c r="BM216"/>
  <c r="BL216"/>
  <c r="CT331"/>
  <c r="BW331"/>
  <c r="BW397"/>
  <c r="BR165"/>
  <c r="BN165"/>
  <c r="BB165"/>
  <c r="Z189" i="43" s="1"/>
  <c r="BR191" i="1"/>
  <c r="BS165"/>
  <c r="CN190"/>
  <c r="BT203"/>
  <c r="BM260"/>
  <c r="BL191"/>
  <c r="BT129"/>
  <c r="BV293"/>
  <c r="BR90"/>
  <c r="BS90"/>
  <c r="CR90"/>
  <c r="BM90"/>
  <c r="BL90"/>
  <c r="BN90"/>
  <c r="BA90"/>
  <c r="BX90" s="1"/>
  <c r="Z115" i="52" s="1"/>
  <c r="AB115" s="1"/>
  <c r="BW372" i="1"/>
  <c r="CT372"/>
  <c r="CT25"/>
  <c r="BA391"/>
  <c r="BX391" s="1"/>
  <c r="Z430" i="52" s="1"/>
  <c r="AB430" s="1"/>
  <c r="BB391" i="1"/>
  <c r="Z426" i="43" s="1"/>
  <c r="BA317" i="1"/>
  <c r="BX317" s="1"/>
  <c r="Z357" i="52" s="1"/>
  <c r="AB357" s="1"/>
  <c r="BB317" i="1"/>
  <c r="Z352" i="43" s="1"/>
  <c r="BA362" i="1"/>
  <c r="BX362" s="1"/>
  <c r="Z402" i="52" s="1"/>
  <c r="AB402" s="1"/>
  <c r="BB362" i="1"/>
  <c r="Z397" i="43" s="1"/>
  <c r="BA253" i="1"/>
  <c r="BX253" s="1"/>
  <c r="Z280" i="52" s="1"/>
  <c r="AB280" s="1"/>
  <c r="BB253" i="1"/>
  <c r="Z277" i="43" s="1"/>
  <c r="BA264" i="1"/>
  <c r="BX264" s="1"/>
  <c r="Z291" i="52" s="1"/>
  <c r="AB291" s="1"/>
  <c r="BB264" i="1"/>
  <c r="Z288" i="43" s="1"/>
  <c r="BA78" i="1"/>
  <c r="BX78" s="1"/>
  <c r="Z103" i="52" s="1"/>
  <c r="AB103" s="1"/>
  <c r="BB78" i="1"/>
  <c r="Z102" i="43" s="1"/>
  <c r="BA192" i="1"/>
  <c r="BX192" s="1"/>
  <c r="Z218" i="52" s="1"/>
  <c r="AB218" s="1"/>
  <c r="BB192" i="1"/>
  <c r="Z216" i="43" s="1"/>
  <c r="BA223" i="1"/>
  <c r="BX223" s="1"/>
  <c r="Z249" i="52" s="1"/>
  <c r="AB249" s="1"/>
  <c r="BB223" i="1"/>
  <c r="Z247" i="43" s="1"/>
  <c r="BA246" i="1"/>
  <c r="BX246" s="1"/>
  <c r="Z273" i="52" s="1"/>
  <c r="AB273" s="1"/>
  <c r="BB246" i="1"/>
  <c r="Z270" i="43" s="1"/>
  <c r="BA182" i="1"/>
  <c r="BX182" s="1"/>
  <c r="Z208" i="52" s="1"/>
  <c r="AB208" s="1"/>
  <c r="BB182" i="1"/>
  <c r="Z206" i="43" s="1"/>
  <c r="BA276" i="1"/>
  <c r="BX276" s="1"/>
  <c r="Z303" i="52" s="1"/>
  <c r="AB303" s="1"/>
  <c r="BB276" i="1"/>
  <c r="Z300" i="43" s="1"/>
  <c r="BA244" i="1"/>
  <c r="BX244" s="1"/>
  <c r="Z271" i="52" s="1"/>
  <c r="AB271" s="1"/>
  <c r="BB244" i="1"/>
  <c r="Z268" i="43" s="1"/>
  <c r="BA52" i="1"/>
  <c r="BX52" s="1"/>
  <c r="Z77" i="52" s="1"/>
  <c r="AB77" s="1"/>
  <c r="BB52" i="1"/>
  <c r="Z76" i="43" s="1"/>
  <c r="BA93" i="1"/>
  <c r="BX93" s="1"/>
  <c r="Z118" i="52" s="1"/>
  <c r="AB118" s="1"/>
  <c r="BB93" i="1"/>
  <c r="Z117" i="43" s="1"/>
  <c r="BA97" i="1"/>
  <c r="BX97" s="1"/>
  <c r="Z122" i="52" s="1"/>
  <c r="AB122" s="1"/>
  <c r="BB97" i="1"/>
  <c r="Z121" i="43" s="1"/>
  <c r="BA290" i="1"/>
  <c r="BX290" s="1"/>
  <c r="Z317" i="52" s="1"/>
  <c r="AB317" s="1"/>
  <c r="BB290" i="1"/>
  <c r="Z314" i="43" s="1"/>
  <c r="BA155" i="1"/>
  <c r="BX155" s="1"/>
  <c r="Z181" i="52" s="1"/>
  <c r="AB181" s="1"/>
  <c r="BB155" i="1"/>
  <c r="Z179" i="43" s="1"/>
  <c r="BA187" i="1"/>
  <c r="BX187" s="1"/>
  <c r="Z213" i="52" s="1"/>
  <c r="AB213" s="1"/>
  <c r="BB187" i="1"/>
  <c r="Z211" i="43" s="1"/>
  <c r="BA339" i="1"/>
  <c r="BX339" s="1"/>
  <c r="Z379" i="52" s="1"/>
  <c r="AB379" s="1"/>
  <c r="BB339" i="1"/>
  <c r="Z374" i="43" s="1"/>
  <c r="BA332" i="1"/>
  <c r="BX332" s="1"/>
  <c r="Z372" i="52" s="1"/>
  <c r="AB372" s="1"/>
  <c r="BB332" i="1"/>
  <c r="Z367" i="43" s="1"/>
  <c r="BA220" i="1"/>
  <c r="BX220" s="1"/>
  <c r="Z246" i="52" s="1"/>
  <c r="AB246" s="1"/>
  <c r="BB220" i="1"/>
  <c r="Z244" i="43" s="1"/>
  <c r="BA54" i="1"/>
  <c r="BX54" s="1"/>
  <c r="Z79" i="52" s="1"/>
  <c r="AB79" s="1"/>
  <c r="BB54" i="1"/>
  <c r="Z78" i="43" s="1"/>
  <c r="BA349" i="1"/>
  <c r="BX349" s="1"/>
  <c r="Z389" i="52" s="1"/>
  <c r="AB389" s="1"/>
  <c r="BB349" i="1"/>
  <c r="Z384" i="43" s="1"/>
  <c r="BA236" i="1"/>
  <c r="BX236" s="1"/>
  <c r="Z263" i="52" s="1"/>
  <c r="AB263" s="1"/>
  <c r="BB236" i="1"/>
  <c r="Z260" i="43" s="1"/>
  <c r="BA79" i="1"/>
  <c r="BX79" s="1"/>
  <c r="Z104" i="52" s="1"/>
  <c r="AB104" s="1"/>
  <c r="BB79" i="1"/>
  <c r="Z103" i="43" s="1"/>
  <c r="BA245" i="1"/>
  <c r="BX245" s="1"/>
  <c r="Z272" i="52" s="1"/>
  <c r="AB272" s="1"/>
  <c r="BB245" i="1"/>
  <c r="Z269" i="43" s="1"/>
  <c r="BA83" i="1"/>
  <c r="BX83" s="1"/>
  <c r="Z108" i="52" s="1"/>
  <c r="AB108" s="1"/>
  <c r="BB83" i="1"/>
  <c r="Z107" i="43" s="1"/>
  <c r="BA387" i="1"/>
  <c r="BX387" s="1"/>
  <c r="Z427" i="52" s="1"/>
  <c r="AB427" s="1"/>
  <c r="BB387" i="1"/>
  <c r="Z422" i="43" s="1"/>
  <c r="BA250" i="1"/>
  <c r="BX250" s="1"/>
  <c r="Z277" i="52" s="1"/>
  <c r="AB277" s="1"/>
  <c r="BB250" i="1"/>
  <c r="Z274" i="43" s="1"/>
  <c r="BA92" i="1"/>
  <c r="BX92" s="1"/>
  <c r="Z117" i="52" s="1"/>
  <c r="AB117" s="1"/>
  <c r="BB92" i="1"/>
  <c r="Z116" i="43" s="1"/>
  <c r="BA157" i="1"/>
  <c r="BX157" s="1"/>
  <c r="Z183" i="52" s="1"/>
  <c r="AB183" s="1"/>
  <c r="BB157" i="1"/>
  <c r="Z181" i="43" s="1"/>
  <c r="BA179" i="1"/>
  <c r="BX179" s="1"/>
  <c r="Z205" i="52" s="1"/>
  <c r="AB205" s="1"/>
  <c r="BB179" i="1"/>
  <c r="Z203" i="43" s="1"/>
  <c r="BA356" i="1"/>
  <c r="BX356" s="1"/>
  <c r="Z396" i="52" s="1"/>
  <c r="AB396" s="1"/>
  <c r="BB356" i="1"/>
  <c r="Z391" i="43" s="1"/>
  <c r="BA191" i="1"/>
  <c r="BX191" s="1"/>
  <c r="Z217" i="52" s="1"/>
  <c r="AB217" s="1"/>
  <c r="BB191" i="1"/>
  <c r="Z215" i="43" s="1"/>
  <c r="BB280" i="1"/>
  <c r="Z304" i="43" s="1"/>
  <c r="BA139" i="1"/>
  <c r="BX139" s="1"/>
  <c r="Z164" i="52" s="1"/>
  <c r="AB164" s="1"/>
  <c r="BB139" i="1"/>
  <c r="Z163" i="43" s="1"/>
  <c r="BA361" i="1"/>
  <c r="BX361" s="1"/>
  <c r="Z401" i="52" s="1"/>
  <c r="AB401" s="1"/>
  <c r="BB361" i="1"/>
  <c r="Z396" i="43" s="1"/>
  <c r="BA176" i="1"/>
  <c r="BX176" s="1"/>
  <c r="Z202" i="52" s="1"/>
  <c r="AB202" s="1"/>
  <c r="BB176" i="1"/>
  <c r="Z200" i="43" s="1"/>
  <c r="BA197" i="1"/>
  <c r="BX197" s="1"/>
  <c r="Z223" i="52" s="1"/>
  <c r="AB223" s="1"/>
  <c r="BB197" i="1"/>
  <c r="Z221" i="43" s="1"/>
  <c r="BA198" i="1"/>
  <c r="BX198" s="1"/>
  <c r="Z224" i="52" s="1"/>
  <c r="AB224" s="1"/>
  <c r="BB198" i="1"/>
  <c r="Z222" i="43" s="1"/>
  <c r="BA181" i="1"/>
  <c r="BX181" s="1"/>
  <c r="Z207" i="52" s="1"/>
  <c r="AB207" s="1"/>
  <c r="BB181" i="1"/>
  <c r="Z205" i="43" s="1"/>
  <c r="BA214" i="1"/>
  <c r="BX214" s="1"/>
  <c r="Z240" i="52" s="1"/>
  <c r="AB240" s="1"/>
  <c r="BB214" i="1"/>
  <c r="Z238" i="43" s="1"/>
  <c r="BA196" i="1"/>
  <c r="BX196" s="1"/>
  <c r="Z222" i="52" s="1"/>
  <c r="AB222" s="1"/>
  <c r="BB196" i="1"/>
  <c r="Z220" i="43" s="1"/>
  <c r="BA125" i="1"/>
  <c r="BX125" s="1"/>
  <c r="Z150" i="52" s="1"/>
  <c r="AB150" s="1"/>
  <c r="BB125" i="1"/>
  <c r="Z149" i="43" s="1"/>
  <c r="BA173" i="1"/>
  <c r="BX173" s="1"/>
  <c r="Z199" i="52" s="1"/>
  <c r="AB199" s="1"/>
  <c r="BB173" i="1"/>
  <c r="Z197" i="43" s="1"/>
  <c r="BA71" i="1"/>
  <c r="BX71" s="1"/>
  <c r="Z96" i="52" s="1"/>
  <c r="AB96" s="1"/>
  <c r="BB71" i="1"/>
  <c r="Z95" i="43" s="1"/>
  <c r="BA212" i="1"/>
  <c r="BX212" s="1"/>
  <c r="Z238" i="52" s="1"/>
  <c r="AB238" s="1"/>
  <c r="BB212" i="1"/>
  <c r="Z236" i="43" s="1"/>
  <c r="BA275" i="1"/>
  <c r="BX275" s="1"/>
  <c r="Z302" i="52" s="1"/>
  <c r="AB302" s="1"/>
  <c r="BB275" i="1"/>
  <c r="Z299" i="43" s="1"/>
  <c r="BA274" i="1"/>
  <c r="BX274" s="1"/>
  <c r="Z301" i="52" s="1"/>
  <c r="AB301" s="1"/>
  <c r="BB274" i="1"/>
  <c r="Z298" i="43" s="1"/>
  <c r="BA95" i="1"/>
  <c r="BX95" s="1"/>
  <c r="Z120" i="52" s="1"/>
  <c r="AB120" s="1"/>
  <c r="BB95" i="1"/>
  <c r="Z119" i="43" s="1"/>
  <c r="BA282" i="1"/>
  <c r="BX282" s="1"/>
  <c r="Z309" i="52" s="1"/>
  <c r="AB309" s="1"/>
  <c r="BB282" i="1"/>
  <c r="Z306" i="43" s="1"/>
  <c r="BA174" i="1"/>
  <c r="BX174" s="1"/>
  <c r="Z200" i="52" s="1"/>
  <c r="AB200" s="1"/>
  <c r="BB174" i="1"/>
  <c r="Z198" i="43" s="1"/>
  <c r="BA163" i="1"/>
  <c r="BX163" s="1"/>
  <c r="Z189" i="52" s="1"/>
  <c r="AB189" s="1"/>
  <c r="BB163" i="1"/>
  <c r="Z187" i="43" s="1"/>
  <c r="BA360" i="1"/>
  <c r="BX360" s="1"/>
  <c r="Z400" i="52" s="1"/>
  <c r="AB400" s="1"/>
  <c r="BB360" i="1"/>
  <c r="Z395" i="43" s="1"/>
  <c r="BA86" i="1"/>
  <c r="BX86" s="1"/>
  <c r="Z111" i="52" s="1"/>
  <c r="AB111" s="1"/>
  <c r="BB86" i="1"/>
  <c r="Z110" i="43" s="1"/>
  <c r="BA306" i="1"/>
  <c r="BX306" s="1"/>
  <c r="Z332" i="52" s="1"/>
  <c r="AB332" s="1"/>
  <c r="BB306" i="1"/>
  <c r="Z330" i="43" s="1"/>
  <c r="BA279" i="1"/>
  <c r="BX279" s="1"/>
  <c r="Z306" i="52" s="1"/>
  <c r="AB306" s="1"/>
  <c r="BB279" i="1"/>
  <c r="Z303" i="43" s="1"/>
  <c r="BA77" i="1"/>
  <c r="BX77" s="1"/>
  <c r="Z102" i="52" s="1"/>
  <c r="AB102" s="1"/>
  <c r="BB77" i="1"/>
  <c r="Z101" i="43" s="1"/>
  <c r="BA302" i="1"/>
  <c r="BX302" s="1"/>
  <c r="Z329" i="52" s="1"/>
  <c r="AB329" s="1"/>
  <c r="BB302" i="1"/>
  <c r="Z326" i="43" s="1"/>
  <c r="BB235" i="1"/>
  <c r="Z259" i="43" s="1"/>
  <c r="BM307" i="1"/>
  <c r="BB307"/>
  <c r="Z331" i="43" s="1"/>
  <c r="BA357" i="1"/>
  <c r="BX357" s="1"/>
  <c r="Z397" i="52" s="1"/>
  <c r="AB397" s="1"/>
  <c r="BB357" i="1"/>
  <c r="Z392" i="43" s="1"/>
  <c r="BA288" i="1"/>
  <c r="BX288" s="1"/>
  <c r="Z315" i="52" s="1"/>
  <c r="AB315" s="1"/>
  <c r="BB288" i="1"/>
  <c r="Z312" i="43" s="1"/>
  <c r="BA278" i="1"/>
  <c r="BX278" s="1"/>
  <c r="Z305" i="52" s="1"/>
  <c r="AB305" s="1"/>
  <c r="BB278" i="1"/>
  <c r="Z302" i="43" s="1"/>
  <c r="BS51" i="1"/>
  <c r="BB51"/>
  <c r="Z75" i="43" s="1"/>
  <c r="BA206" i="1"/>
  <c r="BX206" s="1"/>
  <c r="Z232" i="52" s="1"/>
  <c r="AB232" s="1"/>
  <c r="BB206" i="1"/>
  <c r="Z230" i="43" s="1"/>
  <c r="BA168" i="1"/>
  <c r="BX168" s="1"/>
  <c r="Z194" i="52" s="1"/>
  <c r="AB194" s="1"/>
  <c r="BB168" i="1"/>
  <c r="Z192" i="43" s="1"/>
  <c r="BA394" i="1"/>
  <c r="BX394" s="1"/>
  <c r="Z433" i="52" s="1"/>
  <c r="AB433" s="1"/>
  <c r="BB394" i="1"/>
  <c r="Z429" i="43" s="1"/>
  <c r="BS260" i="1"/>
  <c r="BB260"/>
  <c r="Z284" i="43" s="1"/>
  <c r="BN280" i="1"/>
  <c r="BN356"/>
  <c r="BL356"/>
  <c r="BM280"/>
  <c r="BQ203"/>
  <c r="BW128"/>
  <c r="BQ385"/>
  <c r="BT385"/>
  <c r="CT156"/>
  <c r="BV322"/>
  <c r="BW322" s="1"/>
  <c r="BV330"/>
  <c r="CT330" s="1"/>
  <c r="BV320"/>
  <c r="BW320" s="1"/>
  <c r="BV380"/>
  <c r="BW380" s="1"/>
  <c r="BV328"/>
  <c r="CT328" s="1"/>
  <c r="BV333"/>
  <c r="CT333" s="1"/>
  <c r="BV336"/>
  <c r="BW336" s="1"/>
  <c r="BV325"/>
  <c r="BW325" s="1"/>
  <c r="BV334"/>
  <c r="CT334" s="1"/>
  <c r="BV323"/>
  <c r="CT323" s="1"/>
  <c r="BN191"/>
  <c r="BS191"/>
  <c r="BN250"/>
  <c r="BR356"/>
  <c r="BM356"/>
  <c r="BR260"/>
  <c r="BN260"/>
  <c r="BS356"/>
  <c r="BW100"/>
  <c r="G317" i="36"/>
  <c r="BV32" i="1"/>
  <c r="CT32" s="1"/>
  <c r="BV208"/>
  <c r="BW208" s="1"/>
  <c r="BV30"/>
  <c r="CT30" s="1"/>
  <c r="BV298"/>
  <c r="BW298" s="1"/>
  <c r="BV195"/>
  <c r="CT195" s="1"/>
  <c r="BV164"/>
  <c r="CT164" s="1"/>
  <c r="BV205"/>
  <c r="CT205" s="1"/>
  <c r="BV153"/>
  <c r="CT153" s="1"/>
  <c r="BV55"/>
  <c r="CT55" s="1"/>
  <c r="BV28"/>
  <c r="CT28" s="1"/>
  <c r="BV29"/>
  <c r="CT29" s="1"/>
  <c r="BV33"/>
  <c r="CT33" s="1"/>
  <c r="BV39"/>
  <c r="CT39" s="1"/>
  <c r="BV194"/>
  <c r="BW194" s="1"/>
  <c r="BV37"/>
  <c r="CT37" s="1"/>
  <c r="BV34"/>
  <c r="CT34" s="1"/>
  <c r="BV24"/>
  <c r="CT24" s="1"/>
  <c r="BV231"/>
  <c r="CT231" s="1"/>
  <c r="BV201"/>
  <c r="CT201" s="1"/>
  <c r="BV159"/>
  <c r="CT159" s="1"/>
  <c r="BV138"/>
  <c r="CT138" s="1"/>
  <c r="BV305"/>
  <c r="BW305" s="1"/>
  <c r="BV142"/>
  <c r="CT142" s="1"/>
  <c r="BV398"/>
  <c r="CT398" s="1"/>
  <c r="BV366"/>
  <c r="CT366" s="1"/>
  <c r="BV371"/>
  <c r="CT371" s="1"/>
  <c r="BV382"/>
  <c r="BW382" s="1"/>
  <c r="BV351"/>
  <c r="BW351" s="1"/>
  <c r="BV186"/>
  <c r="CT186" s="1"/>
  <c r="BV271"/>
  <c r="CT271" s="1"/>
  <c r="BV199"/>
  <c r="BW199" s="1"/>
  <c r="BV19"/>
  <c r="BW19" s="1"/>
  <c r="BV308"/>
  <c r="CT308" s="1"/>
  <c r="BV22"/>
  <c r="CT22" s="1"/>
  <c r="BV304"/>
  <c r="CT304" s="1"/>
  <c r="BV257"/>
  <c r="CT257" s="1"/>
  <c r="BV221"/>
  <c r="CT221" s="1"/>
  <c r="BV234"/>
  <c r="CT234" s="1"/>
  <c r="BV146"/>
  <c r="CT146" s="1"/>
  <c r="BV46"/>
  <c r="BW46" s="1"/>
  <c r="BV99"/>
  <c r="CT99" s="1"/>
  <c r="BV27"/>
  <c r="CT27" s="1"/>
  <c r="BV23"/>
  <c r="CT23" s="1"/>
  <c r="BV31"/>
  <c r="CT31" s="1"/>
  <c r="BV35"/>
  <c r="CT35" s="1"/>
  <c r="BV107"/>
  <c r="BW107" s="1"/>
  <c r="BV256"/>
  <c r="BW256" s="1"/>
  <c r="BV26"/>
  <c r="CT26" s="1"/>
  <c r="BV21"/>
  <c r="CT21" s="1"/>
  <c r="BV36"/>
  <c r="CT36" s="1"/>
  <c r="BV40"/>
  <c r="CT40" s="1"/>
  <c r="BV248"/>
  <c r="BW248" s="1"/>
  <c r="BV49"/>
  <c r="CT49" s="1"/>
  <c r="BV207"/>
  <c r="CT207" s="1"/>
  <c r="BV144"/>
  <c r="BW144" s="1"/>
  <c r="BV124"/>
  <c r="CT124" s="1"/>
  <c r="BV47"/>
  <c r="BW47" s="1"/>
  <c r="BV247"/>
  <c r="BW247" s="1"/>
  <c r="BV318"/>
  <c r="CT318" s="1"/>
  <c r="BV315"/>
  <c r="CT315" s="1"/>
  <c r="BV381"/>
  <c r="CT381" s="1"/>
  <c r="BV354"/>
  <c r="BW354" s="1"/>
  <c r="BV343"/>
  <c r="BW343" s="1"/>
  <c r="BV319"/>
  <c r="BW319" s="1"/>
  <c r="BV358"/>
  <c r="CT358" s="1"/>
  <c r="BL280"/>
  <c r="BR280"/>
  <c r="BA280"/>
  <c r="BX280" s="1"/>
  <c r="Z307" i="52" s="1"/>
  <c r="AB307" s="1"/>
  <c r="BT219" i="1"/>
  <c r="CR280"/>
  <c r="CS25"/>
  <c r="CS219"/>
  <c r="BQ219"/>
  <c r="BV135"/>
  <c r="CT135" s="1"/>
  <c r="CS186"/>
  <c r="BT178"/>
  <c r="AB30" i="45"/>
  <c r="BQ202" i="1"/>
  <c r="BR179"/>
  <c r="BT226"/>
  <c r="BL92"/>
  <c r="BR394"/>
  <c r="BQ178"/>
  <c r="BQ226"/>
  <c r="BL394"/>
  <c r="BM394"/>
  <c r="BQ232"/>
  <c r="BT202"/>
  <c r="BT394"/>
  <c r="BT232"/>
  <c r="BL168"/>
  <c r="BM250"/>
  <c r="BV309"/>
  <c r="CT309" s="1"/>
  <c r="CR260"/>
  <c r="BM179"/>
  <c r="BS250"/>
  <c r="BL250"/>
  <c r="BT41"/>
  <c r="G37" i="36" s="1"/>
  <c r="BQ129" i="1"/>
  <c r="BS288"/>
  <c r="BS179"/>
  <c r="BR250"/>
  <c r="BN179"/>
  <c r="BA260"/>
  <c r="BX260" s="1"/>
  <c r="Z287" i="52" s="1"/>
  <c r="AB287" s="1"/>
  <c r="BV18" i="1"/>
  <c r="CT18" s="1"/>
  <c r="BS79"/>
  <c r="BN157"/>
  <c r="BT132"/>
  <c r="BT249"/>
  <c r="BT262"/>
  <c r="BT267"/>
  <c r="BT73"/>
  <c r="BT101"/>
  <c r="BT104"/>
  <c r="BT110"/>
  <c r="BT150"/>
  <c r="BT204"/>
  <c r="BT217"/>
  <c r="BT75"/>
  <c r="BT222"/>
  <c r="BT53"/>
  <c r="BT60"/>
  <c r="BT62"/>
  <c r="BT69"/>
  <c r="BT89"/>
  <c r="BT63"/>
  <c r="BT85"/>
  <c r="BT175"/>
  <c r="BT193"/>
  <c r="BT80"/>
  <c r="BT91"/>
  <c r="BT103"/>
  <c r="BT130"/>
  <c r="BT230"/>
  <c r="BT64"/>
  <c r="BT67"/>
  <c r="BT273"/>
  <c r="BT87"/>
  <c r="BT59"/>
  <c r="BT68"/>
  <c r="BT113"/>
  <c r="BT117"/>
  <c r="BT122"/>
  <c r="BT166"/>
  <c r="BT169"/>
  <c r="BT61"/>
  <c r="BT65"/>
  <c r="BT70"/>
  <c r="BT115"/>
  <c r="BT171"/>
  <c r="BT184"/>
  <c r="BT227"/>
  <c r="BT296"/>
  <c r="BT114"/>
  <c r="BT238"/>
  <c r="BT81"/>
  <c r="BT289"/>
  <c r="BT200"/>
  <c r="BT111"/>
  <c r="BT116"/>
  <c r="BT233"/>
  <c r="BT185"/>
  <c r="BT143"/>
  <c r="BT152"/>
  <c r="BT283"/>
  <c r="BT76"/>
  <c r="BT96"/>
  <c r="BT177"/>
  <c r="BT241"/>
  <c r="BT266"/>
  <c r="BT48"/>
  <c r="BT240"/>
  <c r="BT265"/>
  <c r="BT161"/>
  <c r="BT127"/>
  <c r="BT148"/>
  <c r="BT140"/>
  <c r="BT239"/>
  <c r="BT209"/>
  <c r="BT300"/>
  <c r="BT98"/>
  <c r="BT145"/>
  <c r="BT286"/>
  <c r="BT180"/>
  <c r="BT188"/>
  <c r="BT131"/>
  <c r="BT252"/>
  <c r="BT255"/>
  <c r="BT294"/>
  <c r="BT160"/>
  <c r="BT189"/>
  <c r="BT261"/>
  <c r="BT136"/>
  <c r="BT121"/>
  <c r="BT301"/>
  <c r="BT291"/>
  <c r="BT285"/>
  <c r="BT147"/>
  <c r="BT228"/>
  <c r="BT123"/>
  <c r="BT105"/>
  <c r="BT133"/>
  <c r="BT170"/>
  <c r="BT190"/>
  <c r="BT258"/>
  <c r="BT74"/>
  <c r="BT172"/>
  <c r="BT297"/>
  <c r="BT72"/>
  <c r="BT56"/>
  <c r="BT281"/>
  <c r="BT84"/>
  <c r="BT211"/>
  <c r="BT154"/>
  <c r="BT109"/>
  <c r="BT268"/>
  <c r="BT213"/>
  <c r="BT149"/>
  <c r="BT94"/>
  <c r="BT210"/>
  <c r="CS100"/>
  <c r="CR112"/>
  <c r="CR215"/>
  <c r="BS157"/>
  <c r="BL157"/>
  <c r="BR157"/>
  <c r="BA215"/>
  <c r="BX215" s="1"/>
  <c r="Z241" i="52" s="1"/>
  <c r="AB241" s="1"/>
  <c r="BN215" i="1"/>
  <c r="BL215"/>
  <c r="BM215"/>
  <c r="BR215"/>
  <c r="BS215"/>
  <c r="BM157"/>
  <c r="BA112"/>
  <c r="BX112" s="1"/>
  <c r="Z137" i="52" s="1"/>
  <c r="AB137" s="1"/>
  <c r="BN112" i="1"/>
  <c r="BL112"/>
  <c r="BM112"/>
  <c r="BR112"/>
  <c r="BS112"/>
  <c r="BM357"/>
  <c r="CS199"/>
  <c r="CS271"/>
  <c r="CS158"/>
  <c r="BQ210"/>
  <c r="BQ294"/>
  <c r="BR51"/>
  <c r="CS309"/>
  <c r="CR183"/>
  <c r="BR183"/>
  <c r="BL183"/>
  <c r="BS183"/>
  <c r="BN183"/>
  <c r="BA183"/>
  <c r="BX183" s="1"/>
  <c r="Z209" i="52" s="1"/>
  <c r="AB209" s="1"/>
  <c r="BM183" i="1"/>
  <c r="BR288"/>
  <c r="BM168"/>
  <c r="BS168"/>
  <c r="BN168"/>
  <c r="BR168"/>
  <c r="BR83"/>
  <c r="BN307"/>
  <c r="BS278"/>
  <c r="BL83"/>
  <c r="BL278"/>
  <c r="BS357"/>
  <c r="BM236"/>
  <c r="BL206"/>
  <c r="BS206"/>
  <c r="BM206"/>
  <c r="BR236"/>
  <c r="CS299"/>
  <c r="BS245"/>
  <c r="BS387"/>
  <c r="BM245"/>
  <c r="BR92"/>
  <c r="BR79"/>
  <c r="BL245"/>
  <c r="BN92"/>
  <c r="BR387"/>
  <c r="BL349"/>
  <c r="BM79"/>
  <c r="BL79"/>
  <c r="BN79"/>
  <c r="BS92"/>
  <c r="BM92"/>
  <c r="BN387"/>
  <c r="BM387"/>
  <c r="CS287"/>
  <c r="CR307"/>
  <c r="CR83"/>
  <c r="CR284"/>
  <c r="CR51"/>
  <c r="CR237"/>
  <c r="CR274"/>
  <c r="CR235"/>
  <c r="BN83"/>
  <c r="BR307"/>
  <c r="BL387"/>
  <c r="BL357"/>
  <c r="BM83"/>
  <c r="BS83"/>
  <c r="BN51"/>
  <c r="BR245"/>
  <c r="BS236"/>
  <c r="BN206"/>
  <c r="BR206"/>
  <c r="BN236"/>
  <c r="BN245"/>
  <c r="X334" i="43"/>
  <c r="BS349" i="1"/>
  <c r="BN349"/>
  <c r="BM349"/>
  <c r="BR349"/>
  <c r="BA51"/>
  <c r="BX51" s="1"/>
  <c r="Z76" i="52" s="1"/>
  <c r="AB76" s="1"/>
  <c r="BM51" i="1"/>
  <c r="BL51"/>
  <c r="BL288"/>
  <c r="BN288"/>
  <c r="BM288"/>
  <c r="BM278"/>
  <c r="BR278"/>
  <c r="BR357"/>
  <c r="BN278"/>
  <c r="BN357"/>
  <c r="BL307"/>
  <c r="BS307"/>
  <c r="BR235"/>
  <c r="BS284"/>
  <c r="BN284"/>
  <c r="BA167"/>
  <c r="BX167" s="1"/>
  <c r="Z193" i="52" s="1"/>
  <c r="AB193" s="1"/>
  <c r="BR167" i="1"/>
  <c r="BA151"/>
  <c r="BX151" s="1"/>
  <c r="Z177" i="52" s="1"/>
  <c r="AB177" s="1"/>
  <c r="BS151" i="1"/>
  <c r="BM151"/>
  <c r="BL284"/>
  <c r="BL236"/>
  <c r="BA307"/>
  <c r="BX307" s="1"/>
  <c r="Z333" i="52" s="1"/>
  <c r="AB333" s="1"/>
  <c r="BL151" i="1"/>
  <c r="BL167"/>
  <c r="BM284"/>
  <c r="BM235"/>
  <c r="BN235"/>
  <c r="S57" i="43"/>
  <c r="BM167" i="1"/>
  <c r="BN151"/>
  <c r="BR151"/>
  <c r="BS167"/>
  <c r="BN167"/>
  <c r="BR284"/>
  <c r="BL235"/>
  <c r="BS235"/>
  <c r="BQ94"/>
  <c r="BA235"/>
  <c r="BX235" s="1"/>
  <c r="Z262" i="52" s="1"/>
  <c r="AB262" s="1"/>
  <c r="BA284" i="1"/>
  <c r="BX284" s="1"/>
  <c r="Z311" i="52" s="1"/>
  <c r="AB311" s="1"/>
  <c r="X439" i="43"/>
  <c r="AM41" i="1"/>
  <c r="Z64" i="45"/>
  <c r="R442" i="43"/>
  <c r="AC57"/>
  <c r="G37" i="37"/>
  <c r="K37" s="1"/>
  <c r="J41" i="44"/>
  <c r="O17"/>
  <c r="S17"/>
  <c r="P41"/>
  <c r="Z57" i="43"/>
  <c r="K41" i="44"/>
  <c r="L41"/>
  <c r="Q41"/>
  <c r="U54" i="45"/>
  <c r="F37" i="41"/>
  <c r="F37" i="37"/>
  <c r="V54" i="45"/>
  <c r="G37" i="41"/>
  <c r="K37" s="1"/>
  <c r="W54" i="45"/>
  <c r="F37" i="40"/>
  <c r="H37" s="1"/>
  <c r="BQ255" i="1"/>
  <c r="BQ252"/>
  <c r="BL237"/>
  <c r="BR237"/>
  <c r="BN237"/>
  <c r="CT340"/>
  <c r="BM54"/>
  <c r="BR54"/>
  <c r="BX41"/>
  <c r="BN54"/>
  <c r="BL54"/>
  <c r="BS54"/>
  <c r="BS237"/>
  <c r="BM237"/>
  <c r="BA237"/>
  <c r="BX237" s="1"/>
  <c r="Z264" i="52" s="1"/>
  <c r="AB264" s="1"/>
  <c r="CT348" i="1"/>
  <c r="CT345"/>
  <c r="CT347"/>
  <c r="CT335"/>
  <c r="CT379"/>
  <c r="CT392"/>
  <c r="CT364"/>
  <c r="CT386"/>
  <c r="BR212"/>
  <c r="BN275"/>
  <c r="BR187"/>
  <c r="BN339"/>
  <c r="BS332"/>
  <c r="BM279"/>
  <c r="BR302"/>
  <c r="BN173"/>
  <c r="BN71"/>
  <c r="BN174"/>
  <c r="BN163"/>
  <c r="BN86"/>
  <c r="BS77"/>
  <c r="BM77"/>
  <c r="BN77"/>
  <c r="BR77"/>
  <c r="BL77"/>
  <c r="BS279"/>
  <c r="BM302"/>
  <c r="BS302"/>
  <c r="BN302"/>
  <c r="BL279"/>
  <c r="BL302"/>
  <c r="BN279"/>
  <c r="BR279"/>
  <c r="BM360"/>
  <c r="BM332"/>
  <c r="BM339"/>
  <c r="BN220"/>
  <c r="BN332"/>
  <c r="BL339"/>
  <c r="BQ209"/>
  <c r="BW386"/>
  <c r="BR306"/>
  <c r="BQ131"/>
  <c r="BQ188"/>
  <c r="BQ154"/>
  <c r="CR41"/>
  <c r="BN306"/>
  <c r="BS306"/>
  <c r="BM306"/>
  <c r="BL306"/>
  <c r="BR220"/>
  <c r="BQ286"/>
  <c r="BQ145"/>
  <c r="BM86"/>
  <c r="BR332"/>
  <c r="BL332"/>
  <c r="BR339"/>
  <c r="BS339"/>
  <c r="BR95"/>
  <c r="BQ266"/>
  <c r="BQ133"/>
  <c r="BW353"/>
  <c r="BM71"/>
  <c r="BQ84"/>
  <c r="BQ281"/>
  <c r="BL220"/>
  <c r="BM220"/>
  <c r="BS220"/>
  <c r="BL71"/>
  <c r="BQ241"/>
  <c r="BQ74"/>
  <c r="BQ48"/>
  <c r="BQ98"/>
  <c r="BQ140"/>
  <c r="BQ268"/>
  <c r="BL360"/>
  <c r="BQ233"/>
  <c r="BQ283"/>
  <c r="BQ109"/>
  <c r="BQ180"/>
  <c r="BL173"/>
  <c r="BQ148"/>
  <c r="BM95"/>
  <c r="BQ239"/>
  <c r="BQ56"/>
  <c r="BQ149"/>
  <c r="BQ172"/>
  <c r="BQ213"/>
  <c r="BW399"/>
  <c r="AO409" i="44" s="1"/>
  <c r="BQ81" i="1"/>
  <c r="BQ72"/>
  <c r="BQ177"/>
  <c r="BQ152"/>
  <c r="BW335"/>
  <c r="BQ175"/>
  <c r="BQ143"/>
  <c r="BQ123"/>
  <c r="BQ76"/>
  <c r="BQ96"/>
  <c r="BW345"/>
  <c r="BR86"/>
  <c r="BS86"/>
  <c r="BL86"/>
  <c r="BQ258"/>
  <c r="BL276"/>
  <c r="BS276"/>
  <c r="BS71"/>
  <c r="BR71"/>
  <c r="BL93"/>
  <c r="BL95"/>
  <c r="BS95"/>
  <c r="BN95"/>
  <c r="BL97"/>
  <c r="BR290"/>
  <c r="BN187"/>
  <c r="BS360"/>
  <c r="BN360"/>
  <c r="BR360"/>
  <c r="BQ136"/>
  <c r="BQ62"/>
  <c r="BQ87"/>
  <c r="BQ127"/>
  <c r="BQ267"/>
  <c r="BN282"/>
  <c r="BL187"/>
  <c r="BS174"/>
  <c r="BQ200"/>
  <c r="BQ105"/>
  <c r="BQ170"/>
  <c r="BQ228"/>
  <c r="AW407"/>
  <c r="AW411" s="1"/>
  <c r="BR41"/>
  <c r="H37" i="37" s="1"/>
  <c r="BS173" i="1"/>
  <c r="BQ249"/>
  <c r="BS93"/>
  <c r="BQ111"/>
  <c r="BL282"/>
  <c r="BM282"/>
  <c r="BR282"/>
  <c r="BS282"/>
  <c r="BN290"/>
  <c r="BM187"/>
  <c r="BS187"/>
  <c r="BL290"/>
  <c r="BL163"/>
  <c r="BN97"/>
  <c r="BN93"/>
  <c r="BM155"/>
  <c r="BL41"/>
  <c r="H37" i="41" s="1"/>
  <c r="BR93" i="1"/>
  <c r="BN155"/>
  <c r="BS97"/>
  <c r="BL212"/>
  <c r="BR275"/>
  <c r="BQ262"/>
  <c r="BQ291"/>
  <c r="BN212"/>
  <c r="BV388"/>
  <c r="CT388" s="1"/>
  <c r="BW392"/>
  <c r="BQ211"/>
  <c r="BR174"/>
  <c r="BM163"/>
  <c r="BL174"/>
  <c r="BS163"/>
  <c r="BS290"/>
  <c r="BR97"/>
  <c r="BM93"/>
  <c r="BR155"/>
  <c r="BS155"/>
  <c r="BM275"/>
  <c r="BM212"/>
  <c r="BQ114"/>
  <c r="BQ204"/>
  <c r="BQ67"/>
  <c r="BN276"/>
  <c r="CT17"/>
  <c r="BQ161"/>
  <c r="BS212"/>
  <c r="BS244"/>
  <c r="BL244"/>
  <c r="BM244"/>
  <c r="BN244"/>
  <c r="BR244"/>
  <c r="BS275"/>
  <c r="BL275"/>
  <c r="BS52"/>
  <c r="BL52"/>
  <c r="BN52"/>
  <c r="BM52"/>
  <c r="BR52"/>
  <c r="BN274"/>
  <c r="BL274"/>
  <c r="BR274"/>
  <c r="BS274"/>
  <c r="BM274"/>
  <c r="BM97"/>
  <c r="BM290"/>
  <c r="BM174"/>
  <c r="BL155"/>
  <c r="BR163"/>
  <c r="CP404"/>
  <c r="BQ190"/>
  <c r="CP310"/>
  <c r="BQ238"/>
  <c r="BQ147"/>
  <c r="BQ289"/>
  <c r="BQ185"/>
  <c r="BS196"/>
  <c r="BL196"/>
  <c r="BR196"/>
  <c r="BM196"/>
  <c r="BN196"/>
  <c r="BM173"/>
  <c r="BR173"/>
  <c r="BQ240"/>
  <c r="BQ116"/>
  <c r="BQ285"/>
  <c r="BL125"/>
  <c r="BM125"/>
  <c r="BR125"/>
  <c r="BN125"/>
  <c r="BS125"/>
  <c r="BM276"/>
  <c r="BR276"/>
  <c r="BS214"/>
  <c r="BR214"/>
  <c r="BL214"/>
  <c r="BM214"/>
  <c r="BN214"/>
  <c r="BQ265"/>
  <c r="BL182"/>
  <c r="BS182"/>
  <c r="BM182"/>
  <c r="BN182"/>
  <c r="BR182"/>
  <c r="BQ121"/>
  <c r="BQ261"/>
  <c r="BQ91"/>
  <c r="BW344"/>
  <c r="BQ103"/>
  <c r="BQ110"/>
  <c r="BQ80"/>
  <c r="BQ60"/>
  <c r="BQ132"/>
  <c r="BQ69"/>
  <c r="BQ273"/>
  <c r="BQ63"/>
  <c r="BQ113"/>
  <c r="BQ169"/>
  <c r="BQ65"/>
  <c r="BQ115"/>
  <c r="BQ189"/>
  <c r="BN253"/>
  <c r="BM253"/>
  <c r="BL253"/>
  <c r="BR253"/>
  <c r="BS253"/>
  <c r="BL192"/>
  <c r="BM192"/>
  <c r="BS192"/>
  <c r="BN192"/>
  <c r="BR192"/>
  <c r="BQ184"/>
  <c r="BQ73"/>
  <c r="BQ104"/>
  <c r="BQ230"/>
  <c r="BM198"/>
  <c r="BS198"/>
  <c r="BR198"/>
  <c r="BN198"/>
  <c r="BL198"/>
  <c r="BM223"/>
  <c r="BL223"/>
  <c r="BS223"/>
  <c r="BR223"/>
  <c r="BN223"/>
  <c r="BM246"/>
  <c r="BL246"/>
  <c r="BS246"/>
  <c r="BR246"/>
  <c r="BN246"/>
  <c r="BQ166"/>
  <c r="BN362"/>
  <c r="BL176"/>
  <c r="BM176"/>
  <c r="BR176"/>
  <c r="BS176"/>
  <c r="BN176"/>
  <c r="BQ193"/>
  <c r="BQ101"/>
  <c r="BS264"/>
  <c r="BN264"/>
  <c r="BM264"/>
  <c r="BR264"/>
  <c r="BL264"/>
  <c r="BQ130"/>
  <c r="BQ150"/>
  <c r="BR197"/>
  <c r="BM197"/>
  <c r="BS197"/>
  <c r="BN197"/>
  <c r="BL197"/>
  <c r="BQ217"/>
  <c r="BQ75"/>
  <c r="BS78"/>
  <c r="BL78"/>
  <c r="BN78"/>
  <c r="BM78"/>
  <c r="BR78"/>
  <c r="BQ222"/>
  <c r="BQ53"/>
  <c r="BQ64"/>
  <c r="BQ89"/>
  <c r="BQ59"/>
  <c r="BQ68"/>
  <c r="BQ117"/>
  <c r="BQ122"/>
  <c r="BS181"/>
  <c r="BM181"/>
  <c r="BR181"/>
  <c r="BL181"/>
  <c r="BN181"/>
  <c r="BQ61"/>
  <c r="BQ70"/>
  <c r="BQ85"/>
  <c r="BQ160"/>
  <c r="BQ171"/>
  <c r="BQ227"/>
  <c r="BW370"/>
  <c r="BR362"/>
  <c r="BW365"/>
  <c r="BL362"/>
  <c r="BS362"/>
  <c r="BM362"/>
  <c r="BW359"/>
  <c r="BM361"/>
  <c r="BS361"/>
  <c r="BN361"/>
  <c r="BL361"/>
  <c r="BR361"/>
  <c r="BW379"/>
  <c r="BL391"/>
  <c r="BN391"/>
  <c r="BS391"/>
  <c r="BM391"/>
  <c r="BR391"/>
  <c r="BW321"/>
  <c r="BL139"/>
  <c r="BR139"/>
  <c r="BS139"/>
  <c r="BN139"/>
  <c r="BM139"/>
  <c r="BW348"/>
  <c r="BM317"/>
  <c r="BR317"/>
  <c r="BN317"/>
  <c r="BS317"/>
  <c r="BL317"/>
  <c r="BW17"/>
  <c r="T44"/>
  <c r="P69" i="52" s="1"/>
  <c r="T45" i="1"/>
  <c r="P70" i="52" s="1"/>
  <c r="T43" i="1"/>
  <c r="CJ393" l="1"/>
  <c r="CK393" s="1"/>
  <c r="CJ38"/>
  <c r="CK38" s="1"/>
  <c r="CJ218"/>
  <c r="CK218" s="1"/>
  <c r="CJ199"/>
  <c r="CK199" s="1"/>
  <c r="CJ201"/>
  <c r="CK201" s="1"/>
  <c r="CJ146"/>
  <c r="CK146" s="1"/>
  <c r="CJ124"/>
  <c r="CK124" s="1"/>
  <c r="CJ207"/>
  <c r="CK207" s="1"/>
  <c r="CJ161"/>
  <c r="CK161" s="1"/>
  <c r="CJ256"/>
  <c r="CK256" s="1"/>
  <c r="CJ271"/>
  <c r="CK271" s="1"/>
  <c r="CJ57"/>
  <c r="CK57" s="1"/>
  <c r="CJ247"/>
  <c r="CK247" s="1"/>
  <c r="CJ119"/>
  <c r="CK119" s="1"/>
  <c r="CJ269"/>
  <c r="CK269" s="1"/>
  <c r="CJ108"/>
  <c r="CK108" s="1"/>
  <c r="CJ135"/>
  <c r="CK135" s="1"/>
  <c r="CJ186"/>
  <c r="CK186" s="1"/>
  <c r="CJ100"/>
  <c r="CK100" s="1"/>
  <c r="CJ202"/>
  <c r="CK202" s="1"/>
  <c r="CJ129"/>
  <c r="CK129" s="1"/>
  <c r="CJ294"/>
  <c r="CK294" s="1"/>
  <c r="CJ158"/>
  <c r="CK158" s="1"/>
  <c r="CJ299"/>
  <c r="CK299" s="1"/>
  <c r="CJ32"/>
  <c r="CK32" s="1"/>
  <c r="CJ21"/>
  <c r="CK21" s="1"/>
  <c r="CJ31"/>
  <c r="CK31" s="1"/>
  <c r="CJ27"/>
  <c r="CK27" s="1"/>
  <c r="CJ24"/>
  <c r="CK24" s="1"/>
  <c r="CJ33"/>
  <c r="CK33" s="1"/>
  <c r="CJ305"/>
  <c r="CK305" s="1"/>
  <c r="CJ28"/>
  <c r="CK28" s="1"/>
  <c r="CJ23"/>
  <c r="CK23" s="1"/>
  <c r="CJ19"/>
  <c r="CK19" s="1"/>
  <c r="CJ20"/>
  <c r="CK20" s="1"/>
  <c r="CJ242"/>
  <c r="CK242" s="1"/>
  <c r="CJ142"/>
  <c r="CK142" s="1"/>
  <c r="CJ164"/>
  <c r="CK164" s="1"/>
  <c r="CJ195"/>
  <c r="CK195" s="1"/>
  <c r="CJ304"/>
  <c r="CK304" s="1"/>
  <c r="CJ137"/>
  <c r="CK137" s="1"/>
  <c r="CJ208"/>
  <c r="CK208" s="1"/>
  <c r="CJ205"/>
  <c r="CK205" s="1"/>
  <c r="CJ204"/>
  <c r="CK204" s="1"/>
  <c r="CJ248"/>
  <c r="CK248" s="1"/>
  <c r="CJ138"/>
  <c r="CK138" s="1"/>
  <c r="CJ372"/>
  <c r="CK372" s="1"/>
  <c r="CJ397"/>
  <c r="CK397" s="1"/>
  <c r="CJ277"/>
  <c r="CK277" s="1"/>
  <c r="CJ25"/>
  <c r="CK25" s="1"/>
  <c r="CJ226"/>
  <c r="CK226" s="1"/>
  <c r="CJ358"/>
  <c r="CK358" s="1"/>
  <c r="CJ232"/>
  <c r="CK232" s="1"/>
  <c r="CJ293"/>
  <c r="CK293" s="1"/>
  <c r="CJ210"/>
  <c r="CK210" s="1"/>
  <c r="CJ94"/>
  <c r="CK94" s="1"/>
  <c r="CJ128"/>
  <c r="CK128" s="1"/>
  <c r="CJ39"/>
  <c r="CK39" s="1"/>
  <c r="CJ107"/>
  <c r="CK107" s="1"/>
  <c r="CJ26"/>
  <c r="CK26" s="1"/>
  <c r="CJ40"/>
  <c r="CK40" s="1"/>
  <c r="CJ30"/>
  <c r="CK30" s="1"/>
  <c r="CJ252"/>
  <c r="CK252" s="1"/>
  <c r="CJ308"/>
  <c r="CK308" s="1"/>
  <c r="CJ35"/>
  <c r="CK35" s="1"/>
  <c r="CJ37"/>
  <c r="CK37" s="1"/>
  <c r="CJ29"/>
  <c r="CK29" s="1"/>
  <c r="CJ34"/>
  <c r="CK34" s="1"/>
  <c r="CJ36"/>
  <c r="CK36" s="1"/>
  <c r="CJ99"/>
  <c r="CK99" s="1"/>
  <c r="CJ144"/>
  <c r="CK144" s="1"/>
  <c r="CJ22"/>
  <c r="CK22" s="1"/>
  <c r="CJ298"/>
  <c r="CK298" s="1"/>
  <c r="CJ194"/>
  <c r="CK194" s="1"/>
  <c r="CJ159"/>
  <c r="CK159" s="1"/>
  <c r="CJ153"/>
  <c r="CK153" s="1"/>
  <c r="CJ55"/>
  <c r="CK55" s="1"/>
  <c r="CJ234"/>
  <c r="CK234" s="1"/>
  <c r="CJ257"/>
  <c r="CK257" s="1"/>
  <c r="CJ231"/>
  <c r="CK231" s="1"/>
  <c r="CJ221"/>
  <c r="CK221" s="1"/>
  <c r="CK18"/>
  <c r="CI41"/>
  <c r="CK47"/>
  <c r="CK49"/>
  <c r="CK46"/>
  <c r="CG171"/>
  <c r="CB171"/>
  <c r="CB61"/>
  <c r="CG61"/>
  <c r="CG68"/>
  <c r="CB68"/>
  <c r="CG89"/>
  <c r="CB89"/>
  <c r="CB227"/>
  <c r="CG227"/>
  <c r="CB160"/>
  <c r="CG160"/>
  <c r="CB70"/>
  <c r="CG70"/>
  <c r="CG117"/>
  <c r="CB117"/>
  <c r="CB59"/>
  <c r="CG59"/>
  <c r="CB64"/>
  <c r="CG64"/>
  <c r="CB222"/>
  <c r="CG222"/>
  <c r="CB75"/>
  <c r="CG75"/>
  <c r="CB130"/>
  <c r="CG130"/>
  <c r="CB101"/>
  <c r="CG101"/>
  <c r="CB166"/>
  <c r="CG166"/>
  <c r="CB230"/>
  <c r="CG230"/>
  <c r="CB73"/>
  <c r="CG73"/>
  <c r="CB189"/>
  <c r="CG189"/>
  <c r="CB65"/>
  <c r="CG65"/>
  <c r="CG113"/>
  <c r="CB113"/>
  <c r="CB273"/>
  <c r="CG273"/>
  <c r="CB132"/>
  <c r="CG132"/>
  <c r="CB80"/>
  <c r="CG80"/>
  <c r="CG103"/>
  <c r="CB103"/>
  <c r="CB91"/>
  <c r="CG91"/>
  <c r="CB121"/>
  <c r="CG121"/>
  <c r="CB265"/>
  <c r="CG265"/>
  <c r="CB116"/>
  <c r="CG116"/>
  <c r="CG289"/>
  <c r="CB289"/>
  <c r="CG238"/>
  <c r="CB238"/>
  <c r="CB190"/>
  <c r="CG190"/>
  <c r="CB67"/>
  <c r="CG67"/>
  <c r="CB114"/>
  <c r="CG114"/>
  <c r="CG211"/>
  <c r="CB211"/>
  <c r="CB291"/>
  <c r="CG291"/>
  <c r="CB111"/>
  <c r="CG111"/>
  <c r="CB249"/>
  <c r="CG249"/>
  <c r="CG228"/>
  <c r="CB228"/>
  <c r="CB105"/>
  <c r="CG105"/>
  <c r="CG127"/>
  <c r="CB127"/>
  <c r="CB62"/>
  <c r="CG62"/>
  <c r="CG258"/>
  <c r="CB258"/>
  <c r="CB76"/>
  <c r="CG76"/>
  <c r="CG143"/>
  <c r="CB143"/>
  <c r="CG177"/>
  <c r="CB177"/>
  <c r="CB81"/>
  <c r="CG81"/>
  <c r="CG213"/>
  <c r="CB213"/>
  <c r="CB149"/>
  <c r="CG149"/>
  <c r="CB239"/>
  <c r="CG239"/>
  <c r="CB148"/>
  <c r="CG148"/>
  <c r="CB180"/>
  <c r="CG180"/>
  <c r="CB283"/>
  <c r="CG283"/>
  <c r="CG140"/>
  <c r="CB140"/>
  <c r="CB48"/>
  <c r="CG48"/>
  <c r="CG241"/>
  <c r="CB241"/>
  <c r="CB84"/>
  <c r="CG84"/>
  <c r="CG266"/>
  <c r="CB266"/>
  <c r="CB286"/>
  <c r="CG286"/>
  <c r="CB188"/>
  <c r="CG188"/>
  <c r="CB209"/>
  <c r="CG209"/>
  <c r="CG255"/>
  <c r="CB255"/>
  <c r="CG94"/>
  <c r="CB94"/>
  <c r="CG210"/>
  <c r="CB210"/>
  <c r="CG226"/>
  <c r="CB226"/>
  <c r="CG202"/>
  <c r="CB202"/>
  <c r="CB385"/>
  <c r="CG385"/>
  <c r="CB203"/>
  <c r="CG203"/>
  <c r="CB297"/>
  <c r="CG297"/>
  <c r="CG300"/>
  <c r="CB300"/>
  <c r="CG224"/>
  <c r="CB224"/>
  <c r="CC292"/>
  <c r="CC280"/>
  <c r="CC216"/>
  <c r="CC51"/>
  <c r="CC215"/>
  <c r="CC274"/>
  <c r="CC260"/>
  <c r="CC284"/>
  <c r="CC389"/>
  <c r="CB85"/>
  <c r="CG85"/>
  <c r="CG122"/>
  <c r="CB122"/>
  <c r="CB53"/>
  <c r="CG53"/>
  <c r="CB217"/>
  <c r="CG217"/>
  <c r="CG150"/>
  <c r="CB150"/>
  <c r="CG193"/>
  <c r="CB193"/>
  <c r="CB104"/>
  <c r="CG104"/>
  <c r="CB184"/>
  <c r="CG184"/>
  <c r="CB115"/>
  <c r="CG115"/>
  <c r="CB169"/>
  <c r="CG169"/>
  <c r="CG63"/>
  <c r="CB63"/>
  <c r="CB69"/>
  <c r="CG69"/>
  <c r="CB60"/>
  <c r="CG60"/>
  <c r="CB110"/>
  <c r="CG110"/>
  <c r="CB261"/>
  <c r="CG261"/>
  <c r="CB285"/>
  <c r="CG285"/>
  <c r="CG240"/>
  <c r="CB240"/>
  <c r="CB185"/>
  <c r="CG185"/>
  <c r="CG147"/>
  <c r="CB147"/>
  <c r="CB161"/>
  <c r="CG161"/>
  <c r="CG204"/>
  <c r="CB204"/>
  <c r="CG262"/>
  <c r="CB262"/>
  <c r="CG170"/>
  <c r="CB170"/>
  <c r="CB200"/>
  <c r="CG200"/>
  <c r="CG267"/>
  <c r="CB267"/>
  <c r="CB87"/>
  <c r="CG87"/>
  <c r="CB136"/>
  <c r="CG136"/>
  <c r="CB96"/>
  <c r="CG96"/>
  <c r="CB123"/>
  <c r="CG123"/>
  <c r="CG175"/>
  <c r="CB175"/>
  <c r="CB152"/>
  <c r="CG152"/>
  <c r="CB72"/>
  <c r="CG72"/>
  <c r="CB172"/>
  <c r="CG172"/>
  <c r="CB56"/>
  <c r="CG56"/>
  <c r="CB109"/>
  <c r="CG109"/>
  <c r="CG233"/>
  <c r="CB233"/>
  <c r="CG268"/>
  <c r="CB268"/>
  <c r="CB98"/>
  <c r="CG98"/>
  <c r="CG74"/>
  <c r="CB74"/>
  <c r="CB281"/>
  <c r="CG281"/>
  <c r="CB133"/>
  <c r="CG133"/>
  <c r="CG145"/>
  <c r="CB145"/>
  <c r="CB154"/>
  <c r="CG154"/>
  <c r="CB131"/>
  <c r="CG131"/>
  <c r="CB252"/>
  <c r="CG252"/>
  <c r="CG294"/>
  <c r="CB294"/>
  <c r="CG129"/>
  <c r="CB129"/>
  <c r="CG232"/>
  <c r="CB232"/>
  <c r="CG178"/>
  <c r="CB178"/>
  <c r="CG219"/>
  <c r="CB219"/>
  <c r="CB296"/>
  <c r="CG296"/>
  <c r="CB301"/>
  <c r="CG301"/>
  <c r="CB293"/>
  <c r="CG293"/>
  <c r="CB272"/>
  <c r="CG272"/>
  <c r="CB243"/>
  <c r="CG243"/>
  <c r="CG225"/>
  <c r="CB225"/>
  <c r="CC112"/>
  <c r="CC183"/>
  <c r="CC307"/>
  <c r="CC235"/>
  <c r="CC254"/>
  <c r="CC83"/>
  <c r="CC90"/>
  <c r="T108" i="44"/>
  <c r="O185"/>
  <c r="O167"/>
  <c r="O76"/>
  <c r="O141"/>
  <c r="O211"/>
  <c r="T395"/>
  <c r="BW355" i="1"/>
  <c r="BW383"/>
  <c r="BW346"/>
  <c r="CT338"/>
  <c r="CT108"/>
  <c r="CT293"/>
  <c r="BW269"/>
  <c r="T143" i="44"/>
  <c r="T154"/>
  <c r="T349"/>
  <c r="T344"/>
  <c r="BW28" i="1"/>
  <c r="CT327"/>
  <c r="CT242"/>
  <c r="CT368"/>
  <c r="CT378"/>
  <c r="T58" i="44"/>
  <c r="O225"/>
  <c r="Z287" i="45"/>
  <c r="O387" i="44"/>
  <c r="O130"/>
  <c r="AA130" s="1"/>
  <c r="O210"/>
  <c r="O266"/>
  <c r="O218"/>
  <c r="O131"/>
  <c r="AB321" i="45"/>
  <c r="T353" i="44"/>
  <c r="T310"/>
  <c r="T300"/>
  <c r="O204"/>
  <c r="O203"/>
  <c r="T48"/>
  <c r="O115"/>
  <c r="O186"/>
  <c r="O172"/>
  <c r="O86"/>
  <c r="T361"/>
  <c r="O71"/>
  <c r="O114"/>
  <c r="T235"/>
  <c r="T26"/>
  <c r="T330"/>
  <c r="O97"/>
  <c r="O69"/>
  <c r="T388"/>
  <c r="T403"/>
  <c r="T386"/>
  <c r="T139"/>
  <c r="T348"/>
  <c r="T36"/>
  <c r="O57"/>
  <c r="O122"/>
  <c r="AC107" i="43"/>
  <c r="AC304"/>
  <c r="Z69" i="45"/>
  <c r="T101" i="44"/>
  <c r="T345"/>
  <c r="O179"/>
  <c r="T380"/>
  <c r="O88"/>
  <c r="O205"/>
  <c r="O228"/>
  <c r="O118"/>
  <c r="O65"/>
  <c r="O151"/>
  <c r="O294"/>
  <c r="O92"/>
  <c r="T145"/>
  <c r="T159"/>
  <c r="S294"/>
  <c r="T25"/>
  <c r="O181"/>
  <c r="O269"/>
  <c r="O124"/>
  <c r="O262"/>
  <c r="O171"/>
  <c r="O54"/>
  <c r="T38"/>
  <c r="F330" i="37"/>
  <c r="P319" i="44"/>
  <c r="G404" i="37"/>
  <c r="Q393" i="44"/>
  <c r="F85" i="37"/>
  <c r="P79" i="44"/>
  <c r="F201" i="40"/>
  <c r="L198" i="44"/>
  <c r="W218" i="45"/>
  <c r="G250" i="41"/>
  <c r="K247" i="44"/>
  <c r="V267" i="45"/>
  <c r="F205" i="37"/>
  <c r="P199" i="44"/>
  <c r="G260" i="37"/>
  <c r="Q254" i="44"/>
  <c r="F186" i="40"/>
  <c r="L183" i="44"/>
  <c r="W203" i="45"/>
  <c r="F221" i="37"/>
  <c r="P215" i="44"/>
  <c r="F180" i="37"/>
  <c r="P174" i="44"/>
  <c r="G281" i="37"/>
  <c r="Q275" i="44"/>
  <c r="F59" i="37"/>
  <c r="P53" i="44"/>
  <c r="G219" i="37"/>
  <c r="Q213" i="44"/>
  <c r="G162" i="37"/>
  <c r="Q156" i="44"/>
  <c r="G159" i="41"/>
  <c r="K156" i="44"/>
  <c r="V176" i="45"/>
  <c r="G289" i="37"/>
  <c r="Q283" i="44"/>
  <c r="F286" i="40"/>
  <c r="W303" i="45"/>
  <c r="L283" i="44"/>
  <c r="F101" i="41"/>
  <c r="J98" i="44"/>
  <c r="U118" i="45"/>
  <c r="F280" i="41"/>
  <c r="J277" i="44"/>
  <c r="U297" i="45"/>
  <c r="F102" i="37"/>
  <c r="P96" i="44"/>
  <c r="F227" i="37"/>
  <c r="P221" i="44"/>
  <c r="F283" i="41"/>
  <c r="J280" i="44"/>
  <c r="U300" i="45"/>
  <c r="F84" i="37"/>
  <c r="P78" i="44"/>
  <c r="G283" i="41"/>
  <c r="K280" i="44"/>
  <c r="V300" i="45"/>
  <c r="F58" i="41"/>
  <c r="J55" i="44"/>
  <c r="U75" i="45"/>
  <c r="G58" i="41"/>
  <c r="K55" i="44"/>
  <c r="V75" i="45"/>
  <c r="F291" i="37"/>
  <c r="P285" i="44"/>
  <c r="F155" i="40"/>
  <c r="L152" i="44"/>
  <c r="W172" i="45"/>
  <c r="G158" i="37"/>
  <c r="Q152" i="44"/>
  <c r="F55" i="41"/>
  <c r="J52" i="44"/>
  <c r="U72" i="45"/>
  <c r="F249" i="40"/>
  <c r="L246" i="44"/>
  <c r="W266" i="45"/>
  <c r="G87" i="41"/>
  <c r="K84" i="44"/>
  <c r="V104" i="45"/>
  <c r="F83" i="40"/>
  <c r="L80" i="44"/>
  <c r="W100" i="45"/>
  <c r="F99" i="37"/>
  <c r="P93" i="44"/>
  <c r="F87" i="41"/>
  <c r="J84" i="44"/>
  <c r="U104" i="45"/>
  <c r="G119" i="37"/>
  <c r="Q113" i="44"/>
  <c r="G222" i="37"/>
  <c r="Q216" i="44"/>
  <c r="G164" i="37"/>
  <c r="Q158" i="44"/>
  <c r="F218" i="36"/>
  <c r="R212" i="44"/>
  <c r="S212" s="1"/>
  <c r="F79" i="36"/>
  <c r="R73" i="44"/>
  <c r="F292" i="36"/>
  <c r="R286" i="44"/>
  <c r="S286" s="1"/>
  <c r="F301" i="36"/>
  <c r="R295" i="44"/>
  <c r="F105" i="36"/>
  <c r="R99" i="44"/>
  <c r="S99" s="1"/>
  <c r="T99" s="1"/>
  <c r="F272" i="36"/>
  <c r="R266" i="44"/>
  <c r="F290" i="36"/>
  <c r="R284" i="44"/>
  <c r="S284" s="1"/>
  <c r="T284" s="1"/>
  <c r="F303" i="36"/>
  <c r="R297" i="44"/>
  <c r="F122" i="36"/>
  <c r="R116" i="44"/>
  <c r="S116" s="1"/>
  <c r="F280" i="36"/>
  <c r="R274" i="44"/>
  <c r="F137" i="36"/>
  <c r="R131" i="44"/>
  <c r="F60" i="36"/>
  <c r="R54" i="44"/>
  <c r="F256" i="36"/>
  <c r="R250" i="44"/>
  <c r="S250" s="1"/>
  <c r="F239" i="36"/>
  <c r="R233" i="44"/>
  <c r="G405" i="41"/>
  <c r="V424" i="45"/>
  <c r="K396" i="44"/>
  <c r="F287" i="37"/>
  <c r="P281" i="44"/>
  <c r="G367" i="41"/>
  <c r="V386" i="45"/>
  <c r="K358" i="44"/>
  <c r="G284" i="41"/>
  <c r="V301" i="45"/>
  <c r="K281" i="44"/>
  <c r="F284" i="40"/>
  <c r="L281" i="44"/>
  <c r="W301" i="45"/>
  <c r="F258" i="41"/>
  <c r="U275" i="45"/>
  <c r="J255" i="44"/>
  <c r="F299" i="37"/>
  <c r="P293" i="44"/>
  <c r="T202"/>
  <c r="T383"/>
  <c r="T165"/>
  <c r="Z190" i="45"/>
  <c r="AB175"/>
  <c r="Z145"/>
  <c r="AB130"/>
  <c r="O212" i="44"/>
  <c r="Z99" i="45"/>
  <c r="AB84"/>
  <c r="T258" i="44"/>
  <c r="T350"/>
  <c r="Z246" i="45"/>
  <c r="AB231"/>
  <c r="Z211"/>
  <c r="AB196"/>
  <c r="O162" i="44"/>
  <c r="Z301" i="45"/>
  <c r="AB286"/>
  <c r="Z269"/>
  <c r="AB254"/>
  <c r="Z308"/>
  <c r="AB293"/>
  <c r="Z213"/>
  <c r="AB198"/>
  <c r="Z236"/>
  <c r="AB221"/>
  <c r="Z151"/>
  <c r="AB136"/>
  <c r="T31" i="44"/>
  <c r="T196"/>
  <c r="T138"/>
  <c r="T392"/>
  <c r="T376"/>
  <c r="T109"/>
  <c r="T382"/>
  <c r="Z279" i="45"/>
  <c r="AB264"/>
  <c r="S295" i="44"/>
  <c r="Z268" i="45"/>
  <c r="AB253"/>
  <c r="O95" i="44"/>
  <c r="Z208" i="45"/>
  <c r="AB193"/>
  <c r="Z226"/>
  <c r="AB211"/>
  <c r="Z183"/>
  <c r="AB168"/>
  <c r="O190" i="44"/>
  <c r="Z97" i="45"/>
  <c r="AB82"/>
  <c r="S274" i="44"/>
  <c r="Z146" i="45"/>
  <c r="AB131"/>
  <c r="Z184"/>
  <c r="AB169"/>
  <c r="O220" i="44"/>
  <c r="Z163" i="45"/>
  <c r="AB148"/>
  <c r="Z276"/>
  <c r="AB261"/>
  <c r="Z263"/>
  <c r="AB248"/>
  <c r="Z253"/>
  <c r="AB238"/>
  <c r="AC278" i="43"/>
  <c r="F328" i="41"/>
  <c r="J319" i="44"/>
  <c r="U347" i="45"/>
  <c r="G328" i="41"/>
  <c r="V347" i="45"/>
  <c r="K319" i="44"/>
  <c r="F143" i="40"/>
  <c r="W160" i="45"/>
  <c r="L140" i="44"/>
  <c r="F402" i="40"/>
  <c r="W421" i="45"/>
  <c r="L393" i="44"/>
  <c r="F374" i="37"/>
  <c r="P363" i="44"/>
  <c r="G372" i="41"/>
  <c r="K363" i="44"/>
  <c r="V391" i="45"/>
  <c r="F373" i="41"/>
  <c r="U392" i="45"/>
  <c r="J364" i="44"/>
  <c r="F188" i="37"/>
  <c r="P182" i="44"/>
  <c r="G82" i="41"/>
  <c r="K79" i="44"/>
  <c r="V99" i="45"/>
  <c r="G204" i="37"/>
  <c r="Q198" i="44"/>
  <c r="F268" i="40"/>
  <c r="L265" i="44"/>
  <c r="W285" i="45"/>
  <c r="F180" i="40"/>
  <c r="L177" i="44"/>
  <c r="W197" i="45"/>
  <c r="F180" i="41"/>
  <c r="J177" i="44"/>
  <c r="U197" i="45"/>
  <c r="F253" i="37"/>
  <c r="P247" i="44"/>
  <c r="F227" i="40"/>
  <c r="L224" i="44"/>
  <c r="W244" i="45"/>
  <c r="G227" i="41"/>
  <c r="K224" i="44"/>
  <c r="V244" i="45"/>
  <c r="G205" i="37"/>
  <c r="Q199" i="44"/>
  <c r="G199" i="37"/>
  <c r="Q193" i="44"/>
  <c r="F260" i="37"/>
  <c r="P254" i="44"/>
  <c r="G186" i="41"/>
  <c r="K183" i="44"/>
  <c r="V203" i="45"/>
  <c r="F218" i="40"/>
  <c r="L215" i="44"/>
  <c r="W235" i="45"/>
  <c r="G221" i="37"/>
  <c r="Q215" i="44"/>
  <c r="F129" i="40"/>
  <c r="L126" i="44"/>
  <c r="W146" i="45"/>
  <c r="G177" i="41"/>
  <c r="K174" i="44"/>
  <c r="V194" i="45"/>
  <c r="F200" i="41"/>
  <c r="U217" i="45"/>
  <c r="J197" i="44"/>
  <c r="G294" i="41"/>
  <c r="K291" i="44"/>
  <c r="V311" i="45"/>
  <c r="F281" i="37"/>
  <c r="P275" i="44"/>
  <c r="G56" i="41"/>
  <c r="K53" i="44"/>
  <c r="V73" i="45"/>
  <c r="F279" i="41"/>
  <c r="J276" i="44"/>
  <c r="U296" i="45"/>
  <c r="G248" i="41"/>
  <c r="K245" i="44"/>
  <c r="V265" i="45"/>
  <c r="F162" i="37"/>
  <c r="P156" i="44"/>
  <c r="G297" i="37"/>
  <c r="Q291" i="44"/>
  <c r="F181" i="37"/>
  <c r="P175" i="44"/>
  <c r="F216" i="40"/>
  <c r="L213" i="44"/>
  <c r="W233" i="45"/>
  <c r="F282" i="37"/>
  <c r="P276" i="44"/>
  <c r="F100" i="37"/>
  <c r="P94" i="44"/>
  <c r="F97" i="40"/>
  <c r="L94" i="44"/>
  <c r="W114" i="45"/>
  <c r="G194" i="37"/>
  <c r="Q188" i="44"/>
  <c r="F289" i="37"/>
  <c r="P283" i="44"/>
  <c r="G100" i="37"/>
  <c r="Q94" i="44"/>
  <c r="G373" i="37"/>
  <c r="Q362" i="44"/>
  <c r="F99" i="40"/>
  <c r="L96" i="44"/>
  <c r="W116" i="45"/>
  <c r="F78" i="37"/>
  <c r="P72" i="44"/>
  <c r="G93" i="37"/>
  <c r="Q87" i="44"/>
  <c r="F177" i="41"/>
  <c r="J174" i="44"/>
  <c r="U194" i="45"/>
  <c r="F75" i="41"/>
  <c r="J72" i="44"/>
  <c r="U92" i="45"/>
  <c r="F224" i="41"/>
  <c r="U241" i="45"/>
  <c r="J221" i="44"/>
  <c r="G352" i="37"/>
  <c r="Q341" i="44"/>
  <c r="G90" i="41"/>
  <c r="K87" i="44"/>
  <c r="V107" i="45"/>
  <c r="F310" i="41"/>
  <c r="J307" i="44"/>
  <c r="U327" i="45"/>
  <c r="F350" i="41"/>
  <c r="U369" i="45"/>
  <c r="J341" i="44"/>
  <c r="G350" i="41"/>
  <c r="V369" i="45"/>
  <c r="K341" i="44"/>
  <c r="F286" i="37"/>
  <c r="P280" i="44"/>
  <c r="F306" i="40"/>
  <c r="W323" i="45"/>
  <c r="L303" i="44"/>
  <c r="F81" i="40"/>
  <c r="W98" i="45"/>
  <c r="L78" i="44"/>
  <c r="F75" i="40"/>
  <c r="L72" i="44"/>
  <c r="W92" i="45"/>
  <c r="G345" i="37"/>
  <c r="Q334" i="44"/>
  <c r="F219" i="37"/>
  <c r="P213" i="44"/>
  <c r="G241" i="41"/>
  <c r="K238" i="44"/>
  <c r="V258" i="45"/>
  <c r="F58" i="40"/>
  <c r="L55" i="44"/>
  <c r="W75" i="45"/>
  <c r="F171" i="40"/>
  <c r="L168" i="44"/>
  <c r="W188" i="45"/>
  <c r="G171" i="41"/>
  <c r="V188" i="45"/>
  <c r="K168" i="44"/>
  <c r="G288" i="41"/>
  <c r="K285" i="44"/>
  <c r="V305" i="45"/>
  <c r="F240" i="41"/>
  <c r="J237" i="44"/>
  <c r="U257" i="45"/>
  <c r="G291" i="37"/>
  <c r="Q285" i="44"/>
  <c r="G314" i="37"/>
  <c r="Q308" i="44"/>
  <c r="F370" i="37"/>
  <c r="P359" i="44"/>
  <c r="F292" i="40"/>
  <c r="L289" i="44"/>
  <c r="W309" i="45"/>
  <c r="G55" i="41"/>
  <c r="K52" i="44"/>
  <c r="V72" i="45"/>
  <c r="F360" i="40"/>
  <c r="W379" i="45"/>
  <c r="L351" i="44"/>
  <c r="F240" i="40"/>
  <c r="L237" i="44"/>
  <c r="W257" i="45"/>
  <c r="F252" i="37"/>
  <c r="P246" i="44"/>
  <c r="F368" i="41"/>
  <c r="J359" i="44"/>
  <c r="U387" i="45"/>
  <c r="F87" i="40"/>
  <c r="W104" i="45"/>
  <c r="L84" i="44"/>
  <c r="F398" i="40"/>
  <c r="W417" i="45"/>
  <c r="L389" i="44"/>
  <c r="F83" i="41"/>
  <c r="U100" i="45"/>
  <c r="J80" i="44"/>
  <c r="F96" i="40"/>
  <c r="L93" i="44"/>
  <c r="W113" i="45"/>
  <c r="G249" i="41"/>
  <c r="K246" i="44"/>
  <c r="V266" i="45"/>
  <c r="F243" i="37"/>
  <c r="P237" i="44"/>
  <c r="G240" i="41"/>
  <c r="K237" i="44"/>
  <c r="V257" i="45"/>
  <c r="G285" i="37"/>
  <c r="Q279" i="44"/>
  <c r="F172" i="40"/>
  <c r="L169" i="44"/>
  <c r="W189" i="45"/>
  <c r="G187" i="41"/>
  <c r="K184" i="44"/>
  <c r="V204" i="45"/>
  <c r="F187" i="41"/>
  <c r="J184" i="44"/>
  <c r="U204" i="45"/>
  <c r="F58" i="37"/>
  <c r="P52" i="44"/>
  <c r="F119" i="37"/>
  <c r="P113" i="44"/>
  <c r="F222" i="37"/>
  <c r="P216" i="44"/>
  <c r="F217" i="36"/>
  <c r="R211" i="44"/>
  <c r="S211" s="1"/>
  <c r="T211" s="1"/>
  <c r="F275" i="36"/>
  <c r="R269" i="44"/>
  <c r="F91" i="36"/>
  <c r="R85" i="44"/>
  <c r="F304" i="36"/>
  <c r="R298" i="44"/>
  <c r="S298" s="1"/>
  <c r="F197" i="36"/>
  <c r="R191" i="44"/>
  <c r="S191" s="1"/>
  <c r="F130" i="36"/>
  <c r="R124" i="44"/>
  <c r="S124" s="1"/>
  <c r="T124" s="1"/>
  <c r="F298" i="36"/>
  <c r="R292" i="44"/>
  <c r="S292" s="1"/>
  <c r="F268" i="36"/>
  <c r="R262" i="44"/>
  <c r="S262" s="1"/>
  <c r="T262" s="1"/>
  <c r="F262" i="36"/>
  <c r="R256" i="44"/>
  <c r="F187" i="36"/>
  <c r="R181" i="44"/>
  <c r="S181" s="1"/>
  <c r="T181" s="1"/>
  <c r="F307" i="36"/>
  <c r="R301" i="44"/>
  <c r="F155" i="36"/>
  <c r="R149" i="44"/>
  <c r="S149" s="1"/>
  <c r="F247" i="36"/>
  <c r="R241" i="44"/>
  <c r="S241" s="1"/>
  <c r="F184" i="36"/>
  <c r="R178" i="44"/>
  <c r="S178" s="1"/>
  <c r="F159" i="36"/>
  <c r="R153" i="44"/>
  <c r="S153" s="1"/>
  <c r="F123" i="36"/>
  <c r="R117" i="44"/>
  <c r="S117" s="1"/>
  <c r="F88" i="36"/>
  <c r="R82" i="44"/>
  <c r="F234" i="36"/>
  <c r="R228" i="44"/>
  <c r="S228" s="1"/>
  <c r="T228" s="1"/>
  <c r="F77" i="36"/>
  <c r="R71" i="44"/>
  <c r="F173" i="36"/>
  <c r="R167" i="44"/>
  <c r="S167" s="1"/>
  <c r="T167" s="1"/>
  <c r="F75" i="36"/>
  <c r="R69" i="44"/>
  <c r="F74" i="36"/>
  <c r="R68" i="44"/>
  <c r="S68" s="1"/>
  <c r="F110" i="36"/>
  <c r="R104" i="44"/>
  <c r="S104" s="1"/>
  <c r="F182" i="36"/>
  <c r="R176" i="44"/>
  <c r="S176" s="1"/>
  <c r="F76" i="36"/>
  <c r="R70" i="44"/>
  <c r="F229" i="36"/>
  <c r="R223" i="44"/>
  <c r="S223" s="1"/>
  <c r="T223" s="1"/>
  <c r="F157" i="36"/>
  <c r="R151" i="44"/>
  <c r="S151" s="1"/>
  <c r="T151" s="1"/>
  <c r="F80" i="36"/>
  <c r="R74" i="44"/>
  <c r="S74" s="1"/>
  <c r="T74" s="1"/>
  <c r="F139" i="36"/>
  <c r="R133" i="44"/>
  <c r="G186" i="37"/>
  <c r="Q180" i="44"/>
  <c r="F254" i="41"/>
  <c r="J251" i="44"/>
  <c r="U271" i="45"/>
  <c r="F407" i="36"/>
  <c r="R396" i="44"/>
  <c r="F405" i="41"/>
  <c r="U424" i="45"/>
  <c r="J396" i="44"/>
  <c r="F96" i="41"/>
  <c r="J93" i="44"/>
  <c r="U113" i="45"/>
  <c r="F284" i="41"/>
  <c r="J281" i="44"/>
  <c r="U301" i="45"/>
  <c r="G369" i="37"/>
  <c r="Q358" i="44"/>
  <c r="F369" i="37"/>
  <c r="P358" i="44"/>
  <c r="F367" i="41"/>
  <c r="J358" i="44"/>
  <c r="U386" i="45"/>
  <c r="CN125" i="1"/>
  <c r="CN182"/>
  <c r="BV129"/>
  <c r="CT129" s="1"/>
  <c r="F136" i="36"/>
  <c r="R130" i="44"/>
  <c r="G223" i="37"/>
  <c r="Q217" i="44"/>
  <c r="F220" i="40"/>
  <c r="L217" i="44"/>
  <c r="W237" i="45"/>
  <c r="F183" i="41"/>
  <c r="J180" i="44"/>
  <c r="U200" i="45"/>
  <c r="F258" i="40"/>
  <c r="L255" i="44"/>
  <c r="W275" i="45"/>
  <c r="F299" i="41"/>
  <c r="U316" i="45"/>
  <c r="J296" i="44"/>
  <c r="BT295" i="1"/>
  <c r="F299" i="40"/>
  <c r="L296" i="44"/>
  <c r="W316" i="45"/>
  <c r="Z319" i="43"/>
  <c r="AC319" s="1"/>
  <c r="G400" i="41"/>
  <c r="V419" i="45"/>
  <c r="K391" i="44"/>
  <c r="BT389" i="1"/>
  <c r="F400" i="40"/>
  <c r="L391" i="44"/>
  <c r="W419" i="45"/>
  <c r="F296" i="41"/>
  <c r="U313" i="45"/>
  <c r="J293" i="44"/>
  <c r="T47"/>
  <c r="T309"/>
  <c r="T320"/>
  <c r="T336"/>
  <c r="O226"/>
  <c r="T226" s="1"/>
  <c r="Z214" i="45"/>
  <c r="AB199"/>
  <c r="Z165"/>
  <c r="AB150"/>
  <c r="O256" i="44"/>
  <c r="O81"/>
  <c r="O282"/>
  <c r="Z302" i="45"/>
  <c r="AB287"/>
  <c r="O287" i="44"/>
  <c r="O189"/>
  <c r="O173"/>
  <c r="O110"/>
  <c r="Z294" i="45"/>
  <c r="AB279"/>
  <c r="O68" i="44"/>
  <c r="Z225" i="45"/>
  <c r="AB210"/>
  <c r="Z106"/>
  <c r="AB91"/>
  <c r="Z101"/>
  <c r="AB86"/>
  <c r="O170" i="44"/>
  <c r="Z149" i="45"/>
  <c r="AB134"/>
  <c r="Z147"/>
  <c r="AB132"/>
  <c r="Z288"/>
  <c r="AB273"/>
  <c r="Z110"/>
  <c r="AB95"/>
  <c r="Z216"/>
  <c r="AB201"/>
  <c r="Z186"/>
  <c r="AB171"/>
  <c r="O111" i="44"/>
  <c r="O194"/>
  <c r="T354"/>
  <c r="T157"/>
  <c r="T390"/>
  <c r="T248"/>
  <c r="T404"/>
  <c r="T160"/>
  <c r="T206"/>
  <c r="T374"/>
  <c r="F231" i="36"/>
  <c r="R225" i="44"/>
  <c r="Z329" i="45"/>
  <c r="AB314"/>
  <c r="Z303"/>
  <c r="AB288"/>
  <c r="Z84"/>
  <c r="AB69"/>
  <c r="O298" i="44"/>
  <c r="Z277" i="45"/>
  <c r="AB262"/>
  <c r="O176" i="44"/>
  <c r="O134"/>
  <c r="Z120" i="45"/>
  <c r="AB105"/>
  <c r="O297" i="44"/>
  <c r="S269"/>
  <c r="T269" s="1"/>
  <c r="Z321" i="45"/>
  <c r="AB306"/>
  <c r="O263" i="44"/>
  <c r="Z325" i="45"/>
  <c r="AB310"/>
  <c r="S82" i="44"/>
  <c r="Z150" i="45"/>
  <c r="AB135"/>
  <c r="O66" i="44"/>
  <c r="Z153" i="45"/>
  <c r="AB138"/>
  <c r="S69" i="44"/>
  <c r="T69" s="1"/>
  <c r="Z95" i="45"/>
  <c r="AB80"/>
  <c r="Z105"/>
  <c r="AB90"/>
  <c r="Z89"/>
  <c r="AB74"/>
  <c r="O133" i="44"/>
  <c r="O273"/>
  <c r="O178"/>
  <c r="O201"/>
  <c r="O116"/>
  <c r="Z202" i="45"/>
  <c r="AB187"/>
  <c r="O70" i="44"/>
  <c r="T327"/>
  <c r="T22"/>
  <c r="T304"/>
  <c r="T305"/>
  <c r="T328"/>
  <c r="T100"/>
  <c r="S252"/>
  <c r="Z239" i="45"/>
  <c r="AB224"/>
  <c r="O233" i="44"/>
  <c r="O63"/>
  <c r="O240"/>
  <c r="Z249" i="45"/>
  <c r="AB234"/>
  <c r="Z134"/>
  <c r="AB119"/>
  <c r="O132" i="44"/>
  <c r="S73"/>
  <c r="O191"/>
  <c r="Z117" i="45"/>
  <c r="AB102"/>
  <c r="Z285"/>
  <c r="AB270"/>
  <c r="O148" i="44"/>
  <c r="Z172" i="45"/>
  <c r="AB157"/>
  <c r="O292" i="44"/>
  <c r="T187"/>
  <c r="T257"/>
  <c r="O250"/>
  <c r="O150"/>
  <c r="O149"/>
  <c r="O128"/>
  <c r="Z206" i="45"/>
  <c r="AB191"/>
  <c r="AB322"/>
  <c r="O241" i="44"/>
  <c r="Z309" i="45"/>
  <c r="AB294"/>
  <c r="Z140"/>
  <c r="AB125"/>
  <c r="Z229"/>
  <c r="AB214"/>
  <c r="AC259" i="43"/>
  <c r="AC239"/>
  <c r="AC298"/>
  <c r="AC207"/>
  <c r="F143" i="41"/>
  <c r="J140" i="44"/>
  <c r="U160" i="45"/>
  <c r="G374" i="37"/>
  <c r="Q363" i="44"/>
  <c r="F185" i="41"/>
  <c r="U202" i="45"/>
  <c r="J182" i="44"/>
  <c r="G85" i="37"/>
  <c r="Q79" i="44"/>
  <c r="G268" i="41"/>
  <c r="V285" i="45"/>
  <c r="K265" i="44"/>
  <c r="F250" i="40"/>
  <c r="L247" i="44"/>
  <c r="W267" i="45"/>
  <c r="F129" i="41"/>
  <c r="U146" i="45"/>
  <c r="J126" i="44"/>
  <c r="G59" i="37"/>
  <c r="Q53" i="44"/>
  <c r="F294" i="41"/>
  <c r="J291" i="44"/>
  <c r="U311" i="45"/>
  <c r="F371" i="40"/>
  <c r="L362" i="44"/>
  <c r="W390" i="45"/>
  <c r="G224" i="41"/>
  <c r="K221" i="44"/>
  <c r="V241" i="45"/>
  <c r="F345" i="37"/>
  <c r="P334" i="44"/>
  <c r="G371" i="41"/>
  <c r="V390" i="45"/>
  <c r="K362" i="44"/>
  <c r="F178" i="40"/>
  <c r="L175" i="44"/>
  <c r="W195" i="45"/>
  <c r="G239" i="41"/>
  <c r="K236" i="44"/>
  <c r="V256" i="45"/>
  <c r="F288" i="40"/>
  <c r="L285" i="44"/>
  <c r="W305" i="45"/>
  <c r="G292" i="41"/>
  <c r="K289" i="44"/>
  <c r="V309" i="45"/>
  <c r="G243" i="37"/>
  <c r="Q237" i="44"/>
  <c r="F175" i="37"/>
  <c r="P169" i="44"/>
  <c r="G190" i="37"/>
  <c r="Q184" i="44"/>
  <c r="F265" i="36"/>
  <c r="R259" i="44"/>
  <c r="S259" s="1"/>
  <c r="F143" i="36"/>
  <c r="R137" i="44"/>
  <c r="S137" s="1"/>
  <c r="F147" i="36"/>
  <c r="R141" i="44"/>
  <c r="S141" s="1"/>
  <c r="T141" s="1"/>
  <c r="F240" i="36"/>
  <c r="R234" i="44"/>
  <c r="S234" s="1"/>
  <c r="T234" s="1"/>
  <c r="F176" i="36"/>
  <c r="R170" i="44"/>
  <c r="S170" s="1"/>
  <c r="F200" i="36"/>
  <c r="R194" i="44"/>
  <c r="S194" s="1"/>
  <c r="F211" i="36"/>
  <c r="R205" i="44"/>
  <c r="S205" s="1"/>
  <c r="T205" s="1"/>
  <c r="G86" i="37"/>
  <c r="Q80" i="44"/>
  <c r="F407" i="37"/>
  <c r="P396" i="44"/>
  <c r="G407" i="37"/>
  <c r="Q396" i="44"/>
  <c r="G287" i="37"/>
  <c r="Q281" i="44"/>
  <c r="G169" i="41"/>
  <c r="K166" i="44"/>
  <c r="V186" i="45"/>
  <c r="T337" i="44"/>
  <c r="T401"/>
  <c r="Z116" i="45"/>
  <c r="AB101"/>
  <c r="T288" i="44"/>
  <c r="T378"/>
  <c r="T295"/>
  <c r="Z298" i="45"/>
  <c r="AB283"/>
  <c r="O286" i="44"/>
  <c r="G330" i="37"/>
  <c r="Q319" i="44"/>
  <c r="G146" i="37"/>
  <c r="Q140" i="44"/>
  <c r="F402" i="41"/>
  <c r="J393" i="44"/>
  <c r="U421" i="45"/>
  <c r="G185" i="41"/>
  <c r="K182" i="44"/>
  <c r="V202" i="45"/>
  <c r="F82" i="40"/>
  <c r="L79" i="44"/>
  <c r="W99" i="45"/>
  <c r="G201" i="41"/>
  <c r="K198" i="44"/>
  <c r="V218" i="45"/>
  <c r="F268" i="41"/>
  <c r="J265" i="44"/>
  <c r="U285" i="45"/>
  <c r="G271" i="37"/>
  <c r="Q265" i="44"/>
  <c r="G183" i="37"/>
  <c r="Q177" i="44"/>
  <c r="F373" i="40"/>
  <c r="L364" i="44"/>
  <c r="W392" i="45"/>
  <c r="G253" i="37"/>
  <c r="Q247" i="44"/>
  <c r="F230" i="37"/>
  <c r="P224" i="44"/>
  <c r="F202" i="41"/>
  <c r="J199" i="44"/>
  <c r="U219" i="45"/>
  <c r="G202" i="41"/>
  <c r="K199" i="44"/>
  <c r="V219" i="45"/>
  <c r="G196" i="41"/>
  <c r="V213" i="45"/>
  <c r="K193" i="44"/>
  <c r="F257" i="41"/>
  <c r="U274" i="45"/>
  <c r="J254" i="44"/>
  <c r="G189" i="37"/>
  <c r="Q183" i="44"/>
  <c r="G218" i="41"/>
  <c r="K215" i="44"/>
  <c r="V235" i="45"/>
  <c r="F283" i="37"/>
  <c r="P277" i="44"/>
  <c r="F132" i="37"/>
  <c r="P126" i="44"/>
  <c r="F200" i="40"/>
  <c r="L197" i="44"/>
  <c r="W217" i="45"/>
  <c r="G203" i="37"/>
  <c r="Q197" i="44"/>
  <c r="F170" i="37"/>
  <c r="P164" i="44"/>
  <c r="G101" i="41"/>
  <c r="V118" i="45"/>
  <c r="K98" i="44"/>
  <c r="F278" i="41"/>
  <c r="J275" i="44"/>
  <c r="U295" i="45"/>
  <c r="F56" i="40"/>
  <c r="W73" i="45"/>
  <c r="L53" i="44"/>
  <c r="G282" i="37"/>
  <c r="Q276" i="44"/>
  <c r="F248" i="41"/>
  <c r="J245" i="44"/>
  <c r="U265" i="45"/>
  <c r="F280" i="40"/>
  <c r="L277" i="44"/>
  <c r="W297" i="45"/>
  <c r="G216" i="41"/>
  <c r="K213" i="44"/>
  <c r="V233" i="45"/>
  <c r="G97" i="41"/>
  <c r="K94" i="44"/>
  <c r="V114" i="45"/>
  <c r="G170" i="37"/>
  <c r="Q164" i="44"/>
  <c r="BW137" i="1"/>
  <c r="F216" i="41"/>
  <c r="J213" i="44"/>
  <c r="U233" i="45"/>
  <c r="F101" i="40"/>
  <c r="L98" i="44"/>
  <c r="W118" i="45"/>
  <c r="G191" i="41"/>
  <c r="K188" i="44"/>
  <c r="V208" i="45"/>
  <c r="G286" i="41"/>
  <c r="K283" i="44"/>
  <c r="V303" i="45"/>
  <c r="G181" i="37"/>
  <c r="Q175" i="44"/>
  <c r="F191" i="40"/>
  <c r="W208" i="45"/>
  <c r="L188" i="44"/>
  <c r="G102" i="37"/>
  <c r="Q96" i="44"/>
  <c r="G78" i="37"/>
  <c r="Q72" i="44"/>
  <c r="F90" i="41"/>
  <c r="J87" i="44"/>
  <c r="U107" i="45"/>
  <c r="F93" i="37"/>
  <c r="P87" i="44"/>
  <c r="U390" i="45"/>
  <c r="J362" i="44"/>
  <c r="F371" i="41"/>
  <c r="F352" i="37"/>
  <c r="P341" i="44"/>
  <c r="G310" i="41"/>
  <c r="K307" i="44"/>
  <c r="V327" i="45"/>
  <c r="F343" i="40"/>
  <c r="L334" i="44"/>
  <c r="W362" i="45"/>
  <c r="G343" i="41"/>
  <c r="K334" i="44"/>
  <c r="V362" i="45"/>
  <c r="F283" i="40"/>
  <c r="L280" i="44"/>
  <c r="W300" i="45"/>
  <c r="G309" i="37"/>
  <c r="Q303" i="44"/>
  <c r="G286" i="37"/>
  <c r="Q280" i="44"/>
  <c r="G81" i="41"/>
  <c r="K78" i="44"/>
  <c r="V98" i="45"/>
  <c r="F90" i="40"/>
  <c r="L87" i="44"/>
  <c r="W107" i="45"/>
  <c r="F177" i="40"/>
  <c r="L174" i="44"/>
  <c r="W194" i="45"/>
  <c r="F350" i="40"/>
  <c r="W369" i="45"/>
  <c r="L341" i="44"/>
  <c r="CT350" i="1"/>
  <c r="G244" i="37"/>
  <c r="Q238" i="44"/>
  <c r="F241" i="40"/>
  <c r="L238" i="44"/>
  <c r="W258" i="45"/>
  <c r="F241" i="41"/>
  <c r="J238" i="44"/>
  <c r="U258" i="45"/>
  <c r="G242" i="37"/>
  <c r="Q236" i="44"/>
  <c r="G174" i="37"/>
  <c r="Q168" i="44"/>
  <c r="F171" i="41"/>
  <c r="J168" i="44"/>
  <c r="O168" s="1"/>
  <c r="U188" i="45"/>
  <c r="F288" i="41"/>
  <c r="U305" i="45"/>
  <c r="J285" i="44"/>
  <c r="F174" i="37"/>
  <c r="P168" i="44"/>
  <c r="F242" i="37"/>
  <c r="P236" i="44"/>
  <c r="F311" i="41"/>
  <c r="J308" i="44"/>
  <c r="U328" i="45"/>
  <c r="F285" i="37"/>
  <c r="P279" i="44"/>
  <c r="F292" i="41"/>
  <c r="J289" i="44"/>
  <c r="U309" i="45"/>
  <c r="G362" i="37"/>
  <c r="Q351" i="44"/>
  <c r="F213" i="37"/>
  <c r="P207" i="44"/>
  <c r="F55" i="40"/>
  <c r="L52" i="44"/>
  <c r="W72" i="45"/>
  <c r="F398" i="41"/>
  <c r="J389" i="44"/>
  <c r="U417" i="45"/>
  <c r="G96" i="41"/>
  <c r="K93" i="44"/>
  <c r="O93" s="1"/>
  <c r="V113" i="45"/>
  <c r="G83" i="41"/>
  <c r="K80" i="44"/>
  <c r="V100" i="45"/>
  <c r="F249" i="41"/>
  <c r="U266" i="45"/>
  <c r="J246" i="44"/>
  <c r="G400" i="37"/>
  <c r="Q389" i="44"/>
  <c r="G210" i="41"/>
  <c r="K207" i="44"/>
  <c r="V227" i="45"/>
  <c r="G370" i="37"/>
  <c r="Q359" i="44"/>
  <c r="F311" i="40"/>
  <c r="L308" i="44"/>
  <c r="W328" i="45"/>
  <c r="G175" i="37"/>
  <c r="Q169" i="44"/>
  <c r="F190" i="37"/>
  <c r="P184" i="44"/>
  <c r="G116" i="41"/>
  <c r="V133" i="45"/>
  <c r="K113" i="44"/>
  <c r="G161" i="41"/>
  <c r="K158" i="44"/>
  <c r="V178" i="45"/>
  <c r="G219" i="41"/>
  <c r="K216" i="44"/>
  <c r="V236" i="45"/>
  <c r="F164" i="37"/>
  <c r="P158" i="44"/>
  <c r="F101" i="36"/>
  <c r="R95" i="44"/>
  <c r="S95" s="1"/>
  <c r="F116" i="36"/>
  <c r="R110" i="44"/>
  <c r="F288" i="36"/>
  <c r="R282" i="44"/>
  <c r="S282" s="1"/>
  <c r="F179" i="36"/>
  <c r="R173" i="44"/>
  <c r="F177" i="36"/>
  <c r="R171" i="44"/>
  <c r="S171" s="1"/>
  <c r="T171" s="1"/>
  <c r="F235" i="36"/>
  <c r="R229" i="44"/>
  <c r="F308" i="36"/>
  <c r="R302" i="44"/>
  <c r="S302" s="1"/>
  <c r="T302" s="1"/>
  <c r="F196" i="36"/>
  <c r="R190" i="44"/>
  <c r="S190" s="1"/>
  <c r="F259" i="36"/>
  <c r="R253" i="44"/>
  <c r="S253" s="1"/>
  <c r="T253" s="1"/>
  <c r="F293" i="36"/>
  <c r="R287" i="44"/>
  <c r="S287" s="1"/>
  <c r="F216" i="36"/>
  <c r="R210" i="44"/>
  <c r="S210" s="1"/>
  <c r="T210" s="1"/>
  <c r="F134" i="36"/>
  <c r="R128" i="44"/>
  <c r="F55" i="36"/>
  <c r="R49" i="44"/>
  <c r="S49" s="1"/>
  <c r="T49" s="1"/>
  <c r="F103" i="36"/>
  <c r="R97" i="44"/>
  <c r="F150" i="36"/>
  <c r="R144" i="44"/>
  <c r="S144" s="1"/>
  <c r="F118" i="36"/>
  <c r="R112" i="44"/>
  <c r="S112" s="1"/>
  <c r="F245" i="36"/>
  <c r="R239" i="44"/>
  <c r="S239" s="1"/>
  <c r="T239" s="1"/>
  <c r="F191" i="36"/>
  <c r="R185" i="44"/>
  <c r="S185" s="1"/>
  <c r="T185" s="1"/>
  <c r="F72" i="36"/>
  <c r="R66" i="44"/>
  <c r="S66" s="1"/>
  <c r="F129" i="36"/>
  <c r="R123" i="44"/>
  <c r="S123" s="1"/>
  <c r="F66" i="36"/>
  <c r="R60" i="44"/>
  <c r="S60" s="1"/>
  <c r="F71" i="36"/>
  <c r="R65" i="44"/>
  <c r="S65" s="1"/>
  <c r="T65" s="1"/>
  <c r="F98" i="36"/>
  <c r="R92" i="44"/>
  <c r="F92" i="36"/>
  <c r="R86" i="44"/>
  <c r="S86" s="1"/>
  <c r="T86" s="1"/>
  <c r="F69" i="36"/>
  <c r="R63" i="44"/>
  <c r="S63" s="1"/>
  <c r="F82" i="36"/>
  <c r="R76" i="44"/>
  <c r="S76" s="1"/>
  <c r="T76" s="1"/>
  <c r="F117" i="36"/>
  <c r="R111" i="44"/>
  <c r="S111" s="1"/>
  <c r="F274" i="36"/>
  <c r="R268" i="44"/>
  <c r="G295" i="37"/>
  <c r="Q289" i="44"/>
  <c r="G257" i="37"/>
  <c r="Q251" i="44"/>
  <c r="G254" i="41"/>
  <c r="K251" i="44"/>
  <c r="V271" i="45"/>
  <c r="F209" i="36"/>
  <c r="R203" i="44"/>
  <c r="F233" i="36"/>
  <c r="R227" i="44"/>
  <c r="S227" s="1"/>
  <c r="T227" s="1"/>
  <c r="F226" i="36"/>
  <c r="R220" i="44"/>
  <c r="S220" s="1"/>
  <c r="F264" i="40"/>
  <c r="L261" i="44"/>
  <c r="W281" i="45"/>
  <c r="F254" i="40"/>
  <c r="W271" i="45"/>
  <c r="L251" i="44"/>
  <c r="F367" i="40"/>
  <c r="W386" i="45"/>
  <c r="L358" i="44"/>
  <c r="F94" i="40"/>
  <c r="W111" i="45"/>
  <c r="L91" i="44"/>
  <c r="G97" i="37"/>
  <c r="Q91" i="44"/>
  <c r="F195" i="41"/>
  <c r="J192" i="44"/>
  <c r="U212" i="45"/>
  <c r="G172" i="37"/>
  <c r="Q166" i="44"/>
  <c r="F169" i="40"/>
  <c r="L166" i="44"/>
  <c r="W186" i="45"/>
  <c r="F223" i="37"/>
  <c r="P217" i="44"/>
  <c r="CN237" i="1"/>
  <c r="Z261" i="43"/>
  <c r="AC261" s="1"/>
  <c r="G195" i="41"/>
  <c r="K192" i="44"/>
  <c r="V212" i="45"/>
  <c r="F261" i="37"/>
  <c r="P255" i="44"/>
  <c r="G302" i="37"/>
  <c r="Q296" i="44"/>
  <c r="F302" i="37"/>
  <c r="P296" i="44"/>
  <c r="G299" i="41"/>
  <c r="V316" i="45"/>
  <c r="K296" i="44"/>
  <c r="F169" i="41"/>
  <c r="U186" i="45"/>
  <c r="J166" i="44"/>
  <c r="F402" i="37"/>
  <c r="P391" i="44"/>
  <c r="G296" i="41"/>
  <c r="K293" i="44"/>
  <c r="V313" i="45"/>
  <c r="T325" i="44"/>
  <c r="T355"/>
  <c r="T34"/>
  <c r="T19"/>
  <c r="T369"/>
  <c r="T209"/>
  <c r="T243"/>
  <c r="O244"/>
  <c r="Z262" i="45"/>
  <c r="AB247"/>
  <c r="Z255"/>
  <c r="AB240"/>
  <c r="S229" i="44"/>
  <c r="O267"/>
  <c r="Z322" i="45"/>
  <c r="AB307"/>
  <c r="Z224"/>
  <c r="AB209"/>
  <c r="S85" i="44"/>
  <c r="T85" s="1"/>
  <c r="Z179" i="45"/>
  <c r="AB164"/>
  <c r="O229" i="44"/>
  <c r="O259"/>
  <c r="S54"/>
  <c r="T54" s="1"/>
  <c r="O112"/>
  <c r="O75"/>
  <c r="Z125" i="45"/>
  <c r="AB110"/>
  <c r="Z111"/>
  <c r="AB96"/>
  <c r="S301" i="44"/>
  <c r="T301" s="1"/>
  <c r="T271"/>
  <c r="T136"/>
  <c r="T405"/>
  <c r="T335"/>
  <c r="T323"/>
  <c r="T399"/>
  <c r="T342"/>
  <c r="S225"/>
  <c r="T225" s="1"/>
  <c r="F279" i="36"/>
  <c r="R273" i="44"/>
  <c r="S233"/>
  <c r="S203"/>
  <c r="T203" s="1"/>
  <c r="Z245" i="45"/>
  <c r="AB230"/>
  <c r="Z141"/>
  <c r="AB126"/>
  <c r="O155" i="44"/>
  <c r="Z169" i="45"/>
  <c r="AB154"/>
  <c r="Z176"/>
  <c r="AB161"/>
  <c r="Z112"/>
  <c r="AB97"/>
  <c r="Z221"/>
  <c r="AB206"/>
  <c r="O73" i="44"/>
  <c r="T73" s="1"/>
  <c r="O161"/>
  <c r="T274"/>
  <c r="Z96" i="45"/>
  <c r="AB81"/>
  <c r="Z258"/>
  <c r="AB243"/>
  <c r="Z166"/>
  <c r="AB151"/>
  <c r="S297" i="44"/>
  <c r="Z139" i="45"/>
  <c r="AB124"/>
  <c r="Z109"/>
  <c r="AB94"/>
  <c r="AB272"/>
  <c r="T28" i="44"/>
  <c r="T270"/>
  <c r="T339"/>
  <c r="T249"/>
  <c r="T200"/>
  <c r="T232"/>
  <c r="Z168" i="45"/>
  <c r="AB153"/>
  <c r="Z319"/>
  <c r="AB304"/>
  <c r="O153" i="44"/>
  <c r="O82"/>
  <c r="Z297" i="45"/>
  <c r="AB282"/>
  <c r="O137" i="44"/>
  <c r="O62"/>
  <c r="Z158" i="45"/>
  <c r="AB143"/>
  <c r="O60" i="44"/>
  <c r="S70"/>
  <c r="O117"/>
  <c r="O102"/>
  <c r="T373"/>
  <c r="T39"/>
  <c r="S173"/>
  <c r="Z185" i="45"/>
  <c r="AB170"/>
  <c r="Z266"/>
  <c r="AB251"/>
  <c r="AC284" i="43"/>
  <c r="AC75"/>
  <c r="AC114"/>
  <c r="AC308"/>
  <c r="G143" i="41"/>
  <c r="K140" i="44"/>
  <c r="V160" i="45"/>
  <c r="G375" i="37"/>
  <c r="Q364" i="44"/>
  <c r="G180" i="41"/>
  <c r="V197" i="45"/>
  <c r="K177" i="44"/>
  <c r="F227" i="41"/>
  <c r="U244" i="45"/>
  <c r="J224" i="44"/>
  <c r="F196" i="40"/>
  <c r="L193" i="44"/>
  <c r="W213" i="45"/>
  <c r="F257" i="40"/>
  <c r="L254" i="44"/>
  <c r="W274" i="45"/>
  <c r="G132" i="37"/>
  <c r="Q126" i="44"/>
  <c r="F203" i="37"/>
  <c r="P197" i="44"/>
  <c r="G178" i="41"/>
  <c r="K175" i="44"/>
  <c r="V195" i="45"/>
  <c r="F248" i="40"/>
  <c r="L245" i="44"/>
  <c r="W265" i="45"/>
  <c r="G167" i="41"/>
  <c r="K164" i="44"/>
  <c r="V184" i="45"/>
  <c r="F159" i="40"/>
  <c r="W176" i="45"/>
  <c r="L156" i="44"/>
  <c r="F97" i="41"/>
  <c r="U114" i="45"/>
  <c r="J94" i="44"/>
  <c r="G75" i="41"/>
  <c r="K72" i="44"/>
  <c r="O72" s="1"/>
  <c r="V92" i="45"/>
  <c r="F310" i="40"/>
  <c r="W327" i="45"/>
  <c r="L307" i="44"/>
  <c r="F279" i="40"/>
  <c r="W296" i="45"/>
  <c r="L276" i="44"/>
  <c r="F244" i="37"/>
  <c r="P238" i="44"/>
  <c r="F282" i="40"/>
  <c r="L279" i="44"/>
  <c r="W299" i="45"/>
  <c r="G360" i="41"/>
  <c r="V379" i="45"/>
  <c r="K351" i="44"/>
  <c r="G398" i="41"/>
  <c r="V417" i="45"/>
  <c r="K389" i="44"/>
  <c r="O389" s="1"/>
  <c r="F400" i="37"/>
  <c r="P389" i="44"/>
  <c r="F210" i="41"/>
  <c r="J207" i="44"/>
  <c r="U227" i="45"/>
  <c r="F295" i="37"/>
  <c r="P289" i="44"/>
  <c r="F116" i="40"/>
  <c r="L113" i="44"/>
  <c r="W133" i="45"/>
  <c r="F219" i="40"/>
  <c r="L216" i="44"/>
  <c r="W236" i="45"/>
  <c r="F220" i="36"/>
  <c r="R214" i="44"/>
  <c r="S214" s="1"/>
  <c r="F112" i="36"/>
  <c r="R106" i="44"/>
  <c r="S106" s="1"/>
  <c r="F195" i="36"/>
  <c r="R189" i="44"/>
  <c r="S189" s="1"/>
  <c r="F248" i="36"/>
  <c r="R242" i="44"/>
  <c r="S242" s="1"/>
  <c r="F296" i="36"/>
  <c r="R290" i="44"/>
  <c r="S290" s="1"/>
  <c r="F120" i="36"/>
  <c r="R114" i="44"/>
  <c r="F96" i="36"/>
  <c r="R90" i="44"/>
  <c r="S90" s="1"/>
  <c r="F108" i="36"/>
  <c r="R102" i="44"/>
  <c r="S102" s="1"/>
  <c r="F257" i="37"/>
  <c r="P251" i="44"/>
  <c r="F195" i="40"/>
  <c r="L192" i="44"/>
  <c r="W212" i="45"/>
  <c r="F398" i="36"/>
  <c r="R387" i="44"/>
  <c r="G94" i="41"/>
  <c r="K91" i="44"/>
  <c r="V111" i="45"/>
  <c r="BV203" i="1"/>
  <c r="BW203" s="1"/>
  <c r="F210" i="36"/>
  <c r="R204" i="44"/>
  <c r="S204" s="1"/>
  <c r="T204" s="1"/>
  <c r="G220" i="41"/>
  <c r="V237" i="45"/>
  <c r="K217" i="44"/>
  <c r="G402" i="37"/>
  <c r="Q391" i="44"/>
  <c r="BT292" i="1"/>
  <c r="BV292" s="1"/>
  <c r="F296" i="40"/>
  <c r="L293" i="44"/>
  <c r="W313" i="45"/>
  <c r="T306" i="44"/>
  <c r="S266"/>
  <c r="T266" s="1"/>
  <c r="Z152" i="45"/>
  <c r="AB137"/>
  <c r="Z205"/>
  <c r="AB190"/>
  <c r="S131" i="44"/>
  <c r="T131" s="1"/>
  <c r="Z188" i="45"/>
  <c r="AB173"/>
  <c r="Z247"/>
  <c r="AB232"/>
  <c r="Z291"/>
  <c r="AB276"/>
  <c r="AB317"/>
  <c r="Z98"/>
  <c r="AB83"/>
  <c r="F404" i="37"/>
  <c r="P393" i="44"/>
  <c r="F372" i="41"/>
  <c r="U391" i="45"/>
  <c r="J363" i="44"/>
  <c r="F328" i="40"/>
  <c r="L319" i="44"/>
  <c r="W347" i="45"/>
  <c r="BW395" i="1"/>
  <c r="AO406" i="44" s="1"/>
  <c r="F146" i="37"/>
  <c r="P140" i="44"/>
  <c r="G402" i="41"/>
  <c r="K393" i="44"/>
  <c r="V421" i="45"/>
  <c r="F372" i="40"/>
  <c r="L363" i="44"/>
  <c r="W391" i="45"/>
  <c r="G373" i="41"/>
  <c r="V392" i="45"/>
  <c r="K364" i="44"/>
  <c r="F375" i="37"/>
  <c r="P364" i="44"/>
  <c r="F185" i="40"/>
  <c r="L182" i="44"/>
  <c r="W202" i="45"/>
  <c r="G188" i="37"/>
  <c r="Q182" i="44"/>
  <c r="F82" i="41"/>
  <c r="J79" i="44"/>
  <c r="U99" i="45"/>
  <c r="F201" i="41"/>
  <c r="U218" i="45"/>
  <c r="J198" i="44"/>
  <c r="F204" i="37"/>
  <c r="P198" i="44"/>
  <c r="F271" i="37"/>
  <c r="P265" i="44"/>
  <c r="F183" i="37"/>
  <c r="P177" i="44"/>
  <c r="F250" i="41"/>
  <c r="J247" i="44"/>
  <c r="U267" i="45"/>
  <c r="G230" i="37"/>
  <c r="Q224" i="44"/>
  <c r="F202" i="40"/>
  <c r="L199" i="44"/>
  <c r="W219" i="45"/>
  <c r="F199" i="37"/>
  <c r="P193" i="44"/>
  <c r="F196" i="41"/>
  <c r="J193" i="44"/>
  <c r="O193" s="1"/>
  <c r="U213" i="45"/>
  <c r="G257" i="41"/>
  <c r="K254" i="44"/>
  <c r="V274" i="45"/>
  <c r="F189" i="37"/>
  <c r="P183" i="44"/>
  <c r="F186" i="41"/>
  <c r="J183" i="44"/>
  <c r="O183" s="1"/>
  <c r="U203" i="45"/>
  <c r="F218" i="41"/>
  <c r="J215" i="44"/>
  <c r="O215" s="1"/>
  <c r="U235" i="45"/>
  <c r="G280" i="41"/>
  <c r="K277" i="44"/>
  <c r="V297" i="45"/>
  <c r="G129" i="41"/>
  <c r="K126" i="44"/>
  <c r="V146" i="45"/>
  <c r="G200" i="41"/>
  <c r="K197" i="44"/>
  <c r="V217" i="45"/>
  <c r="F159" i="41"/>
  <c r="J156" i="44"/>
  <c r="U176" i="45"/>
  <c r="G278" i="41"/>
  <c r="K275" i="44"/>
  <c r="V295" i="45"/>
  <c r="F278" i="40"/>
  <c r="W295" i="45"/>
  <c r="L275" i="44"/>
  <c r="F56" i="41"/>
  <c r="J53" i="44"/>
  <c r="O53" s="1"/>
  <c r="U73" i="45"/>
  <c r="F251" i="37"/>
  <c r="P245" i="44"/>
  <c r="G251" i="37"/>
  <c r="Q245" i="44"/>
  <c r="G279" i="41"/>
  <c r="K276" i="44"/>
  <c r="V296" i="45"/>
  <c r="F104" i="37"/>
  <c r="P98" i="44"/>
  <c r="F178" i="41"/>
  <c r="J175" i="44"/>
  <c r="U195" i="45"/>
  <c r="G104" i="37"/>
  <c r="Q98" i="44"/>
  <c r="F167" i="41"/>
  <c r="J164" i="44"/>
  <c r="U184" i="45"/>
  <c r="F294" i="40"/>
  <c r="W311" i="45"/>
  <c r="L291" i="44"/>
  <c r="F286" i="41"/>
  <c r="J283" i="44"/>
  <c r="U303" i="45"/>
  <c r="G180" i="37"/>
  <c r="Q174" i="44"/>
  <c r="F191" i="41"/>
  <c r="J188" i="44"/>
  <c r="U208" i="45"/>
  <c r="F373" i="37"/>
  <c r="P362" i="44"/>
  <c r="F297" i="37"/>
  <c r="P291" i="44"/>
  <c r="F99" i="41"/>
  <c r="J96" i="44"/>
  <c r="U116" i="45"/>
  <c r="G283" i="37"/>
  <c r="Q277" i="44"/>
  <c r="G99" i="41"/>
  <c r="V116" i="45"/>
  <c r="K96" i="44"/>
  <c r="G227" i="37"/>
  <c r="Q221" i="44"/>
  <c r="F343" i="41"/>
  <c r="J334" i="44"/>
  <c r="U362" i="45"/>
  <c r="G313" i="37"/>
  <c r="Q307" i="44"/>
  <c r="F313" i="37"/>
  <c r="P307" i="44"/>
  <c r="F224" i="40"/>
  <c r="L221" i="44"/>
  <c r="W241" i="45"/>
  <c r="BQ302" i="1"/>
  <c r="F306" i="41"/>
  <c r="J303" i="44"/>
  <c r="U323" i="45"/>
  <c r="G306" i="41"/>
  <c r="V323" i="45"/>
  <c r="K303" i="44"/>
  <c r="F81" i="41"/>
  <c r="J78" i="44"/>
  <c r="U98" i="45"/>
  <c r="G84" i="37"/>
  <c r="Q78" i="44"/>
  <c r="F167" i="40"/>
  <c r="L164" i="44"/>
  <c r="W184" i="45"/>
  <c r="F309" i="37"/>
  <c r="P303" i="44"/>
  <c r="F194" i="37"/>
  <c r="P188" i="44"/>
  <c r="CT402" i="1"/>
  <c r="CT401"/>
  <c r="G61" i="37"/>
  <c r="Q55" i="44"/>
  <c r="F61" i="37"/>
  <c r="P55" i="44"/>
  <c r="CT270" i="1"/>
  <c r="F239" i="41"/>
  <c r="J236" i="44"/>
  <c r="U256" i="45"/>
  <c r="F158" i="37"/>
  <c r="P152" i="44"/>
  <c r="F239" i="40"/>
  <c r="L236" i="44"/>
  <c r="W256" i="45"/>
  <c r="F155" i="41"/>
  <c r="J152" i="44"/>
  <c r="U172" i="45"/>
  <c r="G155" i="41"/>
  <c r="K152" i="44"/>
  <c r="V172" i="45"/>
  <c r="F368" i="40"/>
  <c r="W387" i="45"/>
  <c r="L359" i="44"/>
  <c r="G282" i="41"/>
  <c r="K279" i="44"/>
  <c r="V299" i="45"/>
  <c r="F362" i="37"/>
  <c r="P351" i="44"/>
  <c r="F210" i="40"/>
  <c r="L207" i="44"/>
  <c r="W227" i="45"/>
  <c r="G90" i="37"/>
  <c r="Q84" i="44"/>
  <c r="F314" i="37"/>
  <c r="P308" i="44"/>
  <c r="G99" i="37"/>
  <c r="Q93" i="44"/>
  <c r="F360" i="41"/>
  <c r="J351" i="44"/>
  <c r="U379" i="45"/>
  <c r="F86" i="37"/>
  <c r="P80" i="44"/>
  <c r="G252" i="37"/>
  <c r="Q246" i="44"/>
  <c r="G213" i="37"/>
  <c r="Q207" i="44"/>
  <c r="F282" i="41"/>
  <c r="J279" i="44"/>
  <c r="U299" i="45"/>
  <c r="F90" i="37"/>
  <c r="P84" i="44"/>
  <c r="G172" i="41"/>
  <c r="V189" i="45"/>
  <c r="K169" i="44"/>
  <c r="F187" i="40"/>
  <c r="L184" i="44"/>
  <c r="W204" i="45"/>
  <c r="G368" i="41"/>
  <c r="V387" i="45"/>
  <c r="K359" i="44"/>
  <c r="F116" i="41"/>
  <c r="J113" i="44"/>
  <c r="U133" i="45"/>
  <c r="F219" i="41"/>
  <c r="J216" i="44"/>
  <c r="U236" i="45"/>
  <c r="F161" i="41"/>
  <c r="U178" i="45"/>
  <c r="J158" i="44"/>
  <c r="F156" i="36"/>
  <c r="R150" i="44"/>
  <c r="S150" s="1"/>
  <c r="F161" i="36"/>
  <c r="R155" i="44"/>
  <c r="S155" s="1"/>
  <c r="F63" i="36"/>
  <c r="R57" i="44"/>
  <c r="S57" s="1"/>
  <c r="T57" s="1"/>
  <c r="F81" i="36"/>
  <c r="R75" i="44"/>
  <c r="S75" s="1"/>
  <c r="F140" i="36"/>
  <c r="R134" i="44"/>
  <c r="S134" s="1"/>
  <c r="F154" i="36"/>
  <c r="R148" i="44"/>
  <c r="S148" s="1"/>
  <c r="F128" i="36"/>
  <c r="R122" i="44"/>
  <c r="S122" s="1"/>
  <c r="T122" s="1"/>
  <c r="F167" i="36"/>
  <c r="R161" i="44"/>
  <c r="S161" s="1"/>
  <c r="F138" i="36"/>
  <c r="R132" i="44"/>
  <c r="S132" s="1"/>
  <c r="F152" i="36"/>
  <c r="R146" i="44"/>
  <c r="S146" s="1"/>
  <c r="T146" s="1"/>
  <c r="F246" i="36"/>
  <c r="R240" i="44"/>
  <c r="S240" s="1"/>
  <c r="F168" i="36"/>
  <c r="R162" i="44"/>
  <c r="S162" s="1"/>
  <c r="F273" i="36"/>
  <c r="R267" i="44"/>
  <c r="S267" s="1"/>
  <c r="F83" i="36"/>
  <c r="R77" i="44"/>
  <c r="S77" s="1"/>
  <c r="F192" i="36"/>
  <c r="R186" i="44"/>
  <c r="S186" s="1"/>
  <c r="T186" s="1"/>
  <c r="F207" i="36"/>
  <c r="R201" i="44"/>
  <c r="F121" i="36"/>
  <c r="R115" i="44"/>
  <c r="S115" s="1"/>
  <c r="T115" s="1"/>
  <c r="F178" i="36"/>
  <c r="R172" i="44"/>
  <c r="S172" s="1"/>
  <c r="T172" s="1"/>
  <c r="F68" i="36"/>
  <c r="R62" i="44"/>
  <c r="S62" s="1"/>
  <c r="F124" i="36"/>
  <c r="R118" i="44"/>
  <c r="S118" s="1"/>
  <c r="T118" s="1"/>
  <c r="F94" i="36"/>
  <c r="R88" i="44"/>
  <c r="S88" s="1"/>
  <c r="T88" s="1"/>
  <c r="F237" i="36"/>
  <c r="R231" i="44"/>
  <c r="S231" s="1"/>
  <c r="F87" i="36"/>
  <c r="R81" i="44"/>
  <c r="S81" s="1"/>
  <c r="F70" i="36"/>
  <c r="R64" i="44"/>
  <c r="S64" s="1"/>
  <c r="F67" i="36"/>
  <c r="R61" i="44"/>
  <c r="S61" s="1"/>
  <c r="F224" i="36"/>
  <c r="R218" i="44"/>
  <c r="S218" s="1"/>
  <c r="T218" s="1"/>
  <c r="F111" i="36"/>
  <c r="R105" i="44"/>
  <c r="S105" s="1"/>
  <c r="F269" i="36"/>
  <c r="R263" i="44"/>
  <c r="F161" i="40"/>
  <c r="L158" i="44"/>
  <c r="W178" i="45"/>
  <c r="F183" i="40"/>
  <c r="W200" i="45"/>
  <c r="L180" i="44"/>
  <c r="G183" i="41"/>
  <c r="K180" i="44"/>
  <c r="V200" i="45"/>
  <c r="F172" i="41"/>
  <c r="U189" i="45"/>
  <c r="J169" i="44"/>
  <c r="F186" i="37"/>
  <c r="P180" i="44"/>
  <c r="F185" i="36"/>
  <c r="R179" i="44"/>
  <c r="S179" s="1"/>
  <c r="T179" s="1"/>
  <c r="F267" i="37"/>
  <c r="P261" i="44"/>
  <c r="G198" i="37"/>
  <c r="Q192" i="44"/>
  <c r="CT158" i="1"/>
  <c r="G267" i="37"/>
  <c r="Q261" i="44"/>
  <c r="G58" i="37"/>
  <c r="Q52" i="44"/>
  <c r="G311" i="41"/>
  <c r="K308" i="44"/>
  <c r="O308" s="1"/>
  <c r="V328" i="45"/>
  <c r="F94" i="41"/>
  <c r="J91" i="44"/>
  <c r="U111" i="45"/>
  <c r="F97" i="37"/>
  <c r="P91" i="44"/>
  <c r="G264" i="41"/>
  <c r="K261" i="44"/>
  <c r="V281" i="45"/>
  <c r="F198" i="37"/>
  <c r="P192" i="44"/>
  <c r="F172" i="37"/>
  <c r="P166" i="44"/>
  <c r="F220" i="41"/>
  <c r="J217" i="44"/>
  <c r="O217" s="1"/>
  <c r="U237" i="45"/>
  <c r="F264" i="41"/>
  <c r="U281" i="45"/>
  <c r="J261" i="44"/>
  <c r="G261" i="37"/>
  <c r="Q255" i="44"/>
  <c r="G258" i="41"/>
  <c r="K255" i="44"/>
  <c r="V275" i="45"/>
  <c r="F405" i="40"/>
  <c r="L396" i="44"/>
  <c r="W424" i="45"/>
  <c r="BQ389" i="1"/>
  <c r="F400" i="41"/>
  <c r="J391" i="44"/>
  <c r="U419" i="45"/>
  <c r="G299" i="37"/>
  <c r="Q293" i="44"/>
  <c r="T324"/>
  <c r="T375"/>
  <c r="T30"/>
  <c r="T360"/>
  <c r="Z260" i="45"/>
  <c r="AB245"/>
  <c r="O252" i="44"/>
  <c r="T252" s="1"/>
  <c r="F250" i="36"/>
  <c r="R244" i="44"/>
  <c r="Z130" i="45"/>
  <c r="AB115"/>
  <c r="Z103"/>
  <c r="AB88"/>
  <c r="Z181"/>
  <c r="AB166"/>
  <c r="S110" i="44"/>
  <c r="Z132" i="45"/>
  <c r="AB117"/>
  <c r="Z275"/>
  <c r="AB260"/>
  <c r="S97" i="44"/>
  <c r="T97" s="1"/>
  <c r="O144"/>
  <c r="Z264" i="45"/>
  <c r="AB249"/>
  <c r="Z220"/>
  <c r="AB205"/>
  <c r="Z196"/>
  <c r="AB181"/>
  <c r="O105" i="44"/>
  <c r="Z327" i="45"/>
  <c r="AB312"/>
  <c r="S133" i="44"/>
  <c r="S244"/>
  <c r="Z274" i="45"/>
  <c r="AB259"/>
  <c r="Z104"/>
  <c r="AB89"/>
  <c r="O90" i="44"/>
  <c r="T379"/>
  <c r="T338"/>
  <c r="T24"/>
  <c r="Z261" i="45"/>
  <c r="AB246"/>
  <c r="S273" i="44"/>
  <c r="S387"/>
  <c r="T387" s="1"/>
  <c r="Z238" i="45"/>
  <c r="AB223"/>
  <c r="Z330"/>
  <c r="AB315"/>
  <c r="AB318"/>
  <c r="O106" i="44"/>
  <c r="O77"/>
  <c r="Z197" i="45"/>
  <c r="AB182"/>
  <c r="Z123"/>
  <c r="AB108"/>
  <c r="Z108"/>
  <c r="AB93"/>
  <c r="S201" i="44"/>
  <c r="Z240" i="45"/>
  <c r="AB225"/>
  <c r="Z207"/>
  <c r="AB192"/>
  <c r="Z121"/>
  <c r="AB106"/>
  <c r="S114" i="44"/>
  <c r="T114" s="1"/>
  <c r="Z100" i="45"/>
  <c r="AB85"/>
  <c r="O61" i="44"/>
  <c r="S263"/>
  <c r="Z127" i="45"/>
  <c r="AB112"/>
  <c r="S71" i="44"/>
  <c r="T71" s="1"/>
  <c r="O104"/>
  <c r="T356"/>
  <c r="T208"/>
  <c r="T347"/>
  <c r="T29"/>
  <c r="T352"/>
  <c r="T317"/>
  <c r="T120"/>
  <c r="T326"/>
  <c r="T367"/>
  <c r="T37"/>
  <c r="Z426" i="45"/>
  <c r="AB415"/>
  <c r="S130" i="44"/>
  <c r="T130" s="1"/>
  <c r="S92"/>
  <c r="T92" s="1"/>
  <c r="Z317" i="45"/>
  <c r="AB302"/>
  <c r="O242" i="44"/>
  <c r="Z304" i="45"/>
  <c r="AB289"/>
  <c r="Z167"/>
  <c r="AB152"/>
  <c r="Z159"/>
  <c r="AB144"/>
  <c r="O290" i="44"/>
  <c r="O64"/>
  <c r="Z137" i="45"/>
  <c r="AB122"/>
  <c r="T125" i="44"/>
  <c r="T322"/>
  <c r="T23"/>
  <c r="S256"/>
  <c r="S128"/>
  <c r="O214"/>
  <c r="Z92" i="45"/>
  <c r="AB77"/>
  <c r="Z157"/>
  <c r="AB142"/>
  <c r="O123" i="44"/>
  <c r="O231"/>
  <c r="S268"/>
  <c r="T268" s="1"/>
  <c r="AC331" i="43"/>
  <c r="AC136"/>
  <c r="AC240"/>
  <c r="AC424"/>
  <c r="BW326" i="1"/>
  <c r="BW377"/>
  <c r="BW396"/>
  <c r="CT329"/>
  <c r="CS108"/>
  <c r="CS57"/>
  <c r="BW225"/>
  <c r="BW224"/>
  <c r="BV389"/>
  <c r="BW389" s="1"/>
  <c r="CN389"/>
  <c r="CS389" s="1"/>
  <c r="CT224"/>
  <c r="BZ389"/>
  <c r="BQ292"/>
  <c r="CN292"/>
  <c r="CS292" s="1"/>
  <c r="BZ292"/>
  <c r="CT382"/>
  <c r="CS269"/>
  <c r="BW277"/>
  <c r="CN215"/>
  <c r="CS215" s="1"/>
  <c r="CS38"/>
  <c r="BW403"/>
  <c r="CT313"/>
  <c r="CT375"/>
  <c r="CN295"/>
  <c r="CS295" s="1"/>
  <c r="CT305"/>
  <c r="BW34"/>
  <c r="CT194"/>
  <c r="CN167"/>
  <c r="CT243"/>
  <c r="BW293"/>
  <c r="BW57"/>
  <c r="CT287"/>
  <c r="BW272"/>
  <c r="CT272"/>
  <c r="BW243"/>
  <c r="CS247"/>
  <c r="P68" i="52"/>
  <c r="BZ254" i="1"/>
  <c r="BX295"/>
  <c r="BW341"/>
  <c r="BW384"/>
  <c r="BW299"/>
  <c r="CT342"/>
  <c r="CT374"/>
  <c r="CT376"/>
  <c r="CT316"/>
  <c r="CN284"/>
  <c r="CN183"/>
  <c r="CS183" s="1"/>
  <c r="CN254"/>
  <c r="CS254" s="1"/>
  <c r="CS397"/>
  <c r="CS94"/>
  <c r="BW20"/>
  <c r="BW363"/>
  <c r="BW314"/>
  <c r="BW373"/>
  <c r="BW400"/>
  <c r="BW390"/>
  <c r="AL315" i="44"/>
  <c r="BW218" i="1"/>
  <c r="CN151"/>
  <c r="CS203"/>
  <c r="CN112"/>
  <c r="CS112" s="1"/>
  <c r="BV295"/>
  <c r="BQ295"/>
  <c r="BW164"/>
  <c r="CT298"/>
  <c r="CN163"/>
  <c r="BW119"/>
  <c r="BQ307"/>
  <c r="CN192"/>
  <c r="BQ306"/>
  <c r="BW31"/>
  <c r="BW33"/>
  <c r="BW337"/>
  <c r="BW324"/>
  <c r="BW367"/>
  <c r="BW369"/>
  <c r="BW352"/>
  <c r="BQ254"/>
  <c r="CN90"/>
  <c r="CS90" s="1"/>
  <c r="CS294"/>
  <c r="BT254"/>
  <c r="AA124" i="44"/>
  <c r="CN165" i="1"/>
  <c r="AA110" i="44"/>
  <c r="V73"/>
  <c r="BQ191" i="1"/>
  <c r="AA151" i="44"/>
  <c r="BZ284" i="1"/>
  <c r="BZ307"/>
  <c r="BZ51"/>
  <c r="BZ183"/>
  <c r="BZ260"/>
  <c r="BZ280"/>
  <c r="BZ394"/>
  <c r="BZ168"/>
  <c r="BZ206"/>
  <c r="BZ278"/>
  <c r="BZ288"/>
  <c r="BZ357"/>
  <c r="BZ191"/>
  <c r="BZ356"/>
  <c r="BZ179"/>
  <c r="BZ157"/>
  <c r="BZ92"/>
  <c r="BZ250"/>
  <c r="BZ387"/>
  <c r="BZ83"/>
  <c r="BZ245"/>
  <c r="BZ79"/>
  <c r="BZ236"/>
  <c r="BZ349"/>
  <c r="BZ54"/>
  <c r="BZ220"/>
  <c r="BZ332"/>
  <c r="BZ339"/>
  <c r="BZ187"/>
  <c r="BZ155"/>
  <c r="BZ290"/>
  <c r="BZ97"/>
  <c r="BZ93"/>
  <c r="BZ52"/>
  <c r="BZ244"/>
  <c r="BZ276"/>
  <c r="BZ182"/>
  <c r="BZ246"/>
  <c r="BZ223"/>
  <c r="BZ192"/>
  <c r="BZ78"/>
  <c r="BZ264"/>
  <c r="BZ253"/>
  <c r="BZ362"/>
  <c r="BZ317"/>
  <c r="BZ391"/>
  <c r="BZ165"/>
  <c r="BZ237"/>
  <c r="BZ235"/>
  <c r="BZ151"/>
  <c r="BZ167"/>
  <c r="BZ112"/>
  <c r="BZ215"/>
  <c r="BZ302"/>
  <c r="BZ77"/>
  <c r="BZ279"/>
  <c r="BZ306"/>
  <c r="BZ86"/>
  <c r="BZ360"/>
  <c r="BZ163"/>
  <c r="BZ174"/>
  <c r="BZ282"/>
  <c r="BZ95"/>
  <c r="BZ274"/>
  <c r="BZ275"/>
  <c r="BZ212"/>
  <c r="BZ71"/>
  <c r="BZ173"/>
  <c r="BZ125"/>
  <c r="BZ196"/>
  <c r="BZ214"/>
  <c r="BZ181"/>
  <c r="BZ198"/>
  <c r="BZ197"/>
  <c r="BZ176"/>
  <c r="BZ361"/>
  <c r="BZ139"/>
  <c r="BZ216"/>
  <c r="BW366"/>
  <c r="CT336"/>
  <c r="CT322"/>
  <c r="BV170"/>
  <c r="CT170" s="1"/>
  <c r="BV301"/>
  <c r="CT301" s="1"/>
  <c r="BV148"/>
  <c r="CT148" s="1"/>
  <c r="BV266"/>
  <c r="BW266" s="1"/>
  <c r="BV116"/>
  <c r="CT116" s="1"/>
  <c r="BV296"/>
  <c r="CT296" s="1"/>
  <c r="BV184"/>
  <c r="CT184" s="1"/>
  <c r="BV122"/>
  <c r="CT122" s="1"/>
  <c r="BV59"/>
  <c r="CT59" s="1"/>
  <c r="BV64"/>
  <c r="CT64" s="1"/>
  <c r="BV175"/>
  <c r="CT175" s="1"/>
  <c r="BV104"/>
  <c r="CT104" s="1"/>
  <c r="BV262"/>
  <c r="CT262" s="1"/>
  <c r="BT280"/>
  <c r="CN302"/>
  <c r="CN77"/>
  <c r="CN279"/>
  <c r="CN306"/>
  <c r="CN86"/>
  <c r="CN360"/>
  <c r="CN174"/>
  <c r="CN282"/>
  <c r="CN95"/>
  <c r="CN274"/>
  <c r="CS274" s="1"/>
  <c r="CN275"/>
  <c r="CN212"/>
  <c r="CN71"/>
  <c r="CN173"/>
  <c r="CN196"/>
  <c r="CN214"/>
  <c r="CN181"/>
  <c r="CN198"/>
  <c r="CN197"/>
  <c r="CN176"/>
  <c r="CN361"/>
  <c r="CN139"/>
  <c r="CN280"/>
  <c r="CS280" s="1"/>
  <c r="BV84"/>
  <c r="BW84" s="1"/>
  <c r="BV123"/>
  <c r="BW123" s="1"/>
  <c r="BV261"/>
  <c r="CT261" s="1"/>
  <c r="BV286"/>
  <c r="CT286" s="1"/>
  <c r="BV289"/>
  <c r="CT289" s="1"/>
  <c r="BV171"/>
  <c r="CT171" s="1"/>
  <c r="BV117"/>
  <c r="CT117" s="1"/>
  <c r="BV68"/>
  <c r="CT68" s="1"/>
  <c r="BV89"/>
  <c r="CT89" s="1"/>
  <c r="BV101"/>
  <c r="CT101" s="1"/>
  <c r="BT179"/>
  <c r="BV385"/>
  <c r="BW385" s="1"/>
  <c r="CN260"/>
  <c r="CS260" s="1"/>
  <c r="CN394"/>
  <c r="CN168"/>
  <c r="CN206"/>
  <c r="CN51"/>
  <c r="CS51" s="1"/>
  <c r="CN278"/>
  <c r="CN288"/>
  <c r="CN357"/>
  <c r="CN307"/>
  <c r="CS307" s="1"/>
  <c r="CN191"/>
  <c r="CN356"/>
  <c r="CN179"/>
  <c r="CN157"/>
  <c r="CN92"/>
  <c r="CN250"/>
  <c r="CN387"/>
  <c r="CN83"/>
  <c r="CS83" s="1"/>
  <c r="CN245"/>
  <c r="CN79"/>
  <c r="CN236"/>
  <c r="CN349"/>
  <c r="CN54"/>
  <c r="CN220"/>
  <c r="CN332"/>
  <c r="CN339"/>
  <c r="CN187"/>
  <c r="CN155"/>
  <c r="CN290"/>
  <c r="CN97"/>
  <c r="CN93"/>
  <c r="CN52"/>
  <c r="CN244"/>
  <c r="CN276"/>
  <c r="CN246"/>
  <c r="CN223"/>
  <c r="CN78"/>
  <c r="CN264"/>
  <c r="CN253"/>
  <c r="CN362"/>
  <c r="CN317"/>
  <c r="CN391"/>
  <c r="BT90"/>
  <c r="BQ216"/>
  <c r="CN216"/>
  <c r="BT216"/>
  <c r="CS216"/>
  <c r="BZ90"/>
  <c r="BW231"/>
  <c r="CT208"/>
  <c r="BW234"/>
  <c r="BW124"/>
  <c r="BW207"/>
  <c r="BW334"/>
  <c r="BW315"/>
  <c r="BW36"/>
  <c r="BW26"/>
  <c r="CT248"/>
  <c r="CT46"/>
  <c r="BQ165"/>
  <c r="CT351"/>
  <c r="CT380"/>
  <c r="CT256"/>
  <c r="BT260"/>
  <c r="BT165"/>
  <c r="BW186"/>
  <c r="BW271"/>
  <c r="BW330"/>
  <c r="CT325"/>
  <c r="BW29"/>
  <c r="BW333"/>
  <c r="BW323"/>
  <c r="BQ356"/>
  <c r="BW138"/>
  <c r="BQ260"/>
  <c r="BW55"/>
  <c r="BW40"/>
  <c r="BV394"/>
  <c r="BW27"/>
  <c r="BW205"/>
  <c r="BW201"/>
  <c r="BW257"/>
  <c r="BW195"/>
  <c r="BW37"/>
  <c r="BW398"/>
  <c r="BW18"/>
  <c r="BW30"/>
  <c r="BW24"/>
  <c r="BW32"/>
  <c r="CT19"/>
  <c r="CT41" s="1"/>
  <c r="CT354"/>
  <c r="CT320"/>
  <c r="BT356"/>
  <c r="CT203"/>
  <c r="BQ179"/>
  <c r="BW39"/>
  <c r="BW328"/>
  <c r="BV41"/>
  <c r="BW142"/>
  <c r="BW371"/>
  <c r="BW221"/>
  <c r="BW381"/>
  <c r="BW304"/>
  <c r="CT47"/>
  <c r="CT144"/>
  <c r="CT343"/>
  <c r="CT199"/>
  <c r="CT319"/>
  <c r="BW35"/>
  <c r="BW23"/>
  <c r="BW153"/>
  <c r="BW159"/>
  <c r="BW21"/>
  <c r="BW308"/>
  <c r="BT250"/>
  <c r="BT191"/>
  <c r="CN235"/>
  <c r="CS235" s="1"/>
  <c r="BQ90"/>
  <c r="CS293"/>
  <c r="BW22"/>
  <c r="CT107"/>
  <c r="V34" i="44"/>
  <c r="AA273"/>
  <c r="AA386"/>
  <c r="BQ250" i="1"/>
  <c r="BW358"/>
  <c r="BQ394"/>
  <c r="BW146"/>
  <c r="BW99"/>
  <c r="BW49"/>
  <c r="BW318"/>
  <c r="AA104" i="44"/>
  <c r="V235"/>
  <c r="BV94" i="1"/>
  <c r="BW94" s="1"/>
  <c r="BV213"/>
  <c r="CT213" s="1"/>
  <c r="BV109"/>
  <c r="CT109" s="1"/>
  <c r="BV154"/>
  <c r="CT154" s="1"/>
  <c r="BV56"/>
  <c r="BW56" s="1"/>
  <c r="BV297"/>
  <c r="CT297" s="1"/>
  <c r="BV74"/>
  <c r="CT74" s="1"/>
  <c r="BV105"/>
  <c r="CT105" s="1"/>
  <c r="BV228"/>
  <c r="CT228" s="1"/>
  <c r="BV285"/>
  <c r="CT285" s="1"/>
  <c r="BV136"/>
  <c r="BW136" s="1"/>
  <c r="BV189"/>
  <c r="BW189" s="1"/>
  <c r="BV294"/>
  <c r="BW294" s="1"/>
  <c r="BV188"/>
  <c r="CT188" s="1"/>
  <c r="BV98"/>
  <c r="CT98" s="1"/>
  <c r="BV300"/>
  <c r="CT300" s="1"/>
  <c r="BV239"/>
  <c r="CT239" s="1"/>
  <c r="BV265"/>
  <c r="CT265" s="1"/>
  <c r="BV48"/>
  <c r="CT48" s="1"/>
  <c r="BV241"/>
  <c r="BW241" s="1"/>
  <c r="BV96"/>
  <c r="CT96" s="1"/>
  <c r="BV283"/>
  <c r="CT283" s="1"/>
  <c r="BV143"/>
  <c r="CT143" s="1"/>
  <c r="BV233"/>
  <c r="CT233" s="1"/>
  <c r="BV111"/>
  <c r="BW111" s="1"/>
  <c r="BV81"/>
  <c r="CT81" s="1"/>
  <c r="BV114"/>
  <c r="CT114" s="1"/>
  <c r="BV227"/>
  <c r="CT227" s="1"/>
  <c r="BV70"/>
  <c r="CT70" s="1"/>
  <c r="BV61"/>
  <c r="CT61" s="1"/>
  <c r="BV166"/>
  <c r="CT166" s="1"/>
  <c r="BV87"/>
  <c r="CT87" s="1"/>
  <c r="BV67"/>
  <c r="CT67" s="1"/>
  <c r="BV230"/>
  <c r="CT230" s="1"/>
  <c r="BV130"/>
  <c r="CT130" s="1"/>
  <c r="BV91"/>
  <c r="CT91" s="1"/>
  <c r="BV193"/>
  <c r="CT193" s="1"/>
  <c r="BV63"/>
  <c r="CT63" s="1"/>
  <c r="BV69"/>
  <c r="CT69" s="1"/>
  <c r="BV60"/>
  <c r="CT60" s="1"/>
  <c r="BV222"/>
  <c r="CT222" s="1"/>
  <c r="BV217"/>
  <c r="CT217" s="1"/>
  <c r="BV150"/>
  <c r="CT150" s="1"/>
  <c r="BV267"/>
  <c r="CT267" s="1"/>
  <c r="BV249"/>
  <c r="CT249" s="1"/>
  <c r="BV226"/>
  <c r="BW226" s="1"/>
  <c r="BQ280"/>
  <c r="V74" i="44"/>
  <c r="BV252" i="1"/>
  <c r="CT252" s="1"/>
  <c r="BW309"/>
  <c r="AO311" i="44" s="1"/>
  <c r="BV210" i="1"/>
  <c r="BW210" s="1"/>
  <c r="BV149"/>
  <c r="BW149" s="1"/>
  <c r="BV268"/>
  <c r="CT268" s="1"/>
  <c r="BV211"/>
  <c r="CT211" s="1"/>
  <c r="BV281"/>
  <c r="BW281" s="1"/>
  <c r="BV72"/>
  <c r="CT72" s="1"/>
  <c r="BV172"/>
  <c r="BW172" s="1"/>
  <c r="BV258"/>
  <c r="CT258" s="1"/>
  <c r="BV190"/>
  <c r="CT190" s="1"/>
  <c r="BV133"/>
  <c r="BW133" s="1"/>
  <c r="BV147"/>
  <c r="BW147" s="1"/>
  <c r="BV291"/>
  <c r="CT291" s="1"/>
  <c r="BV121"/>
  <c r="CT121" s="1"/>
  <c r="BV160"/>
  <c r="CT160" s="1"/>
  <c r="BV255"/>
  <c r="BW255" s="1"/>
  <c r="BV131"/>
  <c r="CT131" s="1"/>
  <c r="BV180"/>
  <c r="CT180" s="1"/>
  <c r="BV145"/>
  <c r="CT145" s="1"/>
  <c r="BV209"/>
  <c r="BW209" s="1"/>
  <c r="BV140"/>
  <c r="BW140" s="1"/>
  <c r="BV127"/>
  <c r="CT127" s="1"/>
  <c r="BV161"/>
  <c r="BW161" s="1"/>
  <c r="BV240"/>
  <c r="CT240" s="1"/>
  <c r="BV177"/>
  <c r="CT177" s="1"/>
  <c r="BV76"/>
  <c r="CT76" s="1"/>
  <c r="BV152"/>
  <c r="CT152" s="1"/>
  <c r="BV185"/>
  <c r="BW185" s="1"/>
  <c r="BV200"/>
  <c r="BW200" s="1"/>
  <c r="BV238"/>
  <c r="BW238" s="1"/>
  <c r="BV115"/>
  <c r="CT115" s="1"/>
  <c r="BV65"/>
  <c r="CT65" s="1"/>
  <c r="BV169"/>
  <c r="CT169" s="1"/>
  <c r="BV113"/>
  <c r="BW113" s="1"/>
  <c r="BV273"/>
  <c r="CT273" s="1"/>
  <c r="BV103"/>
  <c r="CT103" s="1"/>
  <c r="BV80"/>
  <c r="CT80" s="1"/>
  <c r="BV85"/>
  <c r="CT85" s="1"/>
  <c r="BV62"/>
  <c r="CT62" s="1"/>
  <c r="BV53"/>
  <c r="CT53" s="1"/>
  <c r="BV75"/>
  <c r="CT75" s="1"/>
  <c r="BV204"/>
  <c r="CT204" s="1"/>
  <c r="BV110"/>
  <c r="CT110" s="1"/>
  <c r="BV73"/>
  <c r="CT73" s="1"/>
  <c r="BV132"/>
  <c r="CT132" s="1"/>
  <c r="BV232"/>
  <c r="CT232" s="1"/>
  <c r="CT247"/>
  <c r="BV202"/>
  <c r="CT202" s="1"/>
  <c r="BV178"/>
  <c r="BW178" s="1"/>
  <c r="BV219"/>
  <c r="CT219" s="1"/>
  <c r="CS277"/>
  <c r="BW135"/>
  <c r="CS135"/>
  <c r="CB41"/>
  <c r="CC41"/>
  <c r="AD57" i="43" s="1"/>
  <c r="AE57" s="1"/>
  <c r="BT317" i="1"/>
  <c r="BT332"/>
  <c r="BT349"/>
  <c r="BT387"/>
  <c r="BT362"/>
  <c r="BT391"/>
  <c r="BT361"/>
  <c r="BT360"/>
  <c r="BT339"/>
  <c r="BT357"/>
  <c r="R41" i="44"/>
  <c r="BQ157" i="1"/>
  <c r="F37" i="36"/>
  <c r="H37" s="1"/>
  <c r="BT157" i="1"/>
  <c r="BT246"/>
  <c r="BT223"/>
  <c r="BT253"/>
  <c r="BT139"/>
  <c r="BT181"/>
  <c r="BT78"/>
  <c r="BT197"/>
  <c r="BT264"/>
  <c r="BT176"/>
  <c r="BT198"/>
  <c r="BT182"/>
  <c r="BT196"/>
  <c r="BT52"/>
  <c r="BT276"/>
  <c r="BT93"/>
  <c r="BT97"/>
  <c r="BT187"/>
  <c r="BT95"/>
  <c r="BT306"/>
  <c r="BT279"/>
  <c r="BT77"/>
  <c r="BT163"/>
  <c r="BT71"/>
  <c r="BT54"/>
  <c r="BT237"/>
  <c r="BT167"/>
  <c r="BT278"/>
  <c r="BT236"/>
  <c r="BT83"/>
  <c r="BT79"/>
  <c r="BT183"/>
  <c r="BW129"/>
  <c r="BT192"/>
  <c r="BT214"/>
  <c r="BT125"/>
  <c r="BT274"/>
  <c r="BT244"/>
  <c r="BT212"/>
  <c r="BT155"/>
  <c r="BT290"/>
  <c r="BT282"/>
  <c r="BT220"/>
  <c r="BT302"/>
  <c r="BT86"/>
  <c r="BT174"/>
  <c r="BT173"/>
  <c r="BT275"/>
  <c r="BT151"/>
  <c r="BT235"/>
  <c r="BT284"/>
  <c r="BT288"/>
  <c r="BT245"/>
  <c r="BT206"/>
  <c r="BT51"/>
  <c r="BT92"/>
  <c r="BT307"/>
  <c r="BT168"/>
  <c r="BT112"/>
  <c r="BT215"/>
  <c r="CL41"/>
  <c r="CS17"/>
  <c r="V378" i="44"/>
  <c r="BQ112" i="1"/>
  <c r="BQ215"/>
  <c r="AA102" i="44"/>
  <c r="CS204" i="1"/>
  <c r="AB54" i="45"/>
  <c r="AA375" i="44"/>
  <c r="Z54" i="45"/>
  <c r="V27" i="44"/>
  <c r="V330"/>
  <c r="CS284" i="1"/>
  <c r="CS128"/>
  <c r="CS226"/>
  <c r="CS202"/>
  <c r="CS358"/>
  <c r="CS129"/>
  <c r="CS232"/>
  <c r="V124" i="44"/>
  <c r="CS161" i="1"/>
  <c r="BQ236"/>
  <c r="CS210"/>
  <c r="BQ183"/>
  <c r="BQ83"/>
  <c r="BQ168"/>
  <c r="BQ206"/>
  <c r="BQ151"/>
  <c r="BQ278"/>
  <c r="BQ92"/>
  <c r="BQ245"/>
  <c r="BQ79"/>
  <c r="BQ51"/>
  <c r="CS194"/>
  <c r="CS55"/>
  <c r="CS252"/>
  <c r="CS257"/>
  <c r="CS256"/>
  <c r="CS18"/>
  <c r="CS107"/>
  <c r="CS39"/>
  <c r="CS26"/>
  <c r="CS40"/>
  <c r="CS30"/>
  <c r="CS27"/>
  <c r="CS33"/>
  <c r="CS308"/>
  <c r="CS35"/>
  <c r="CS23"/>
  <c r="CS19"/>
  <c r="CS99"/>
  <c r="CS144"/>
  <c r="CS142"/>
  <c r="CS22"/>
  <c r="CS195"/>
  <c r="CS304"/>
  <c r="CS234"/>
  <c r="CS159"/>
  <c r="CS221"/>
  <c r="CS49"/>
  <c r="CS208"/>
  <c r="CS205"/>
  <c r="CS32"/>
  <c r="CS21"/>
  <c r="CS31"/>
  <c r="CS24"/>
  <c r="CS305"/>
  <c r="CS28"/>
  <c r="CS37"/>
  <c r="CS29"/>
  <c r="CS34"/>
  <c r="CS36"/>
  <c r="CS20"/>
  <c r="CS242"/>
  <c r="CS164"/>
  <c r="CS298"/>
  <c r="CS47"/>
  <c r="CS231"/>
  <c r="CS153"/>
  <c r="CS201"/>
  <c r="CS146"/>
  <c r="CS137"/>
  <c r="CS124"/>
  <c r="CS248"/>
  <c r="CS207"/>
  <c r="CS138"/>
  <c r="CS46"/>
  <c r="CS237"/>
  <c r="AL324" i="44"/>
  <c r="AA330"/>
  <c r="BQ288" i="1"/>
  <c r="BQ167"/>
  <c r="BQ387"/>
  <c r="X442" i="43"/>
  <c r="BQ357" i="1"/>
  <c r="BQ235"/>
  <c r="V367" i="44"/>
  <c r="BQ284" i="1"/>
  <c r="BQ349"/>
  <c r="AL330" i="44"/>
  <c r="V324"/>
  <c r="AA324"/>
  <c r="AA326"/>
  <c r="V354"/>
  <c r="AA354"/>
  <c r="AL320"/>
  <c r="AL356"/>
  <c r="V320"/>
  <c r="AA349"/>
  <c r="AA318"/>
  <c r="AL318"/>
  <c r="V318"/>
  <c r="AA322"/>
  <c r="V322"/>
  <c r="AL322"/>
  <c r="AL378"/>
  <c r="AL19"/>
  <c r="V349"/>
  <c r="V347"/>
  <c r="V130"/>
  <c r="V356"/>
  <c r="AA19"/>
  <c r="AL327"/>
  <c r="V327"/>
  <c r="AA35"/>
  <c r="AL347"/>
  <c r="AL23"/>
  <c r="V375"/>
  <c r="AA374"/>
  <c r="V369"/>
  <c r="AL35"/>
  <c r="V23"/>
  <c r="AL130"/>
  <c r="AL27"/>
  <c r="AL326"/>
  <c r="AA356"/>
  <c r="V326"/>
  <c r="AL349"/>
  <c r="AA367"/>
  <c r="AA378"/>
  <c r="AL34"/>
  <c r="AA27"/>
  <c r="AL354"/>
  <c r="AA368"/>
  <c r="AL374"/>
  <c r="AA34"/>
  <c r="AA32"/>
  <c r="AL32"/>
  <c r="V32"/>
  <c r="AA28"/>
  <c r="AL28"/>
  <c r="V28"/>
  <c r="AL379"/>
  <c r="V379"/>
  <c r="AA379"/>
  <c r="AA348"/>
  <c r="AL348"/>
  <c r="V348"/>
  <c r="AA370"/>
  <c r="AL370"/>
  <c r="V370"/>
  <c r="V338"/>
  <c r="AA338"/>
  <c r="AL338"/>
  <c r="AL325"/>
  <c r="AA325"/>
  <c r="V325"/>
  <c r="AL337"/>
  <c r="AA337"/>
  <c r="V337"/>
  <c r="AL26"/>
  <c r="V26"/>
  <c r="AA26"/>
  <c r="V310"/>
  <c r="AA310"/>
  <c r="AL310"/>
  <c r="AL385"/>
  <c r="V385"/>
  <c r="AA385"/>
  <c r="AA30"/>
  <c r="AL30"/>
  <c r="V30"/>
  <c r="I37" i="37"/>
  <c r="AA38" i="44"/>
  <c r="AL38"/>
  <c r="V38"/>
  <c r="AA344"/>
  <c r="AL344"/>
  <c r="V344"/>
  <c r="AA332"/>
  <c r="AL332"/>
  <c r="V332"/>
  <c r="AA331"/>
  <c r="V331"/>
  <c r="AL331"/>
  <c r="V48"/>
  <c r="AL48"/>
  <c r="AA48"/>
  <c r="AL381"/>
  <c r="V381"/>
  <c r="AA381"/>
  <c r="AL345"/>
  <c r="AA345"/>
  <c r="V345"/>
  <c r="AA24"/>
  <c r="AL24"/>
  <c r="V24"/>
  <c r="S41"/>
  <c r="AL339"/>
  <c r="AL375"/>
  <c r="AA384"/>
  <c r="AL384"/>
  <c r="V384"/>
  <c r="V346"/>
  <c r="AA346"/>
  <c r="AL346"/>
  <c r="AA22"/>
  <c r="AL22"/>
  <c r="V22"/>
  <c r="V21"/>
  <c r="AA21"/>
  <c r="AL21"/>
  <c r="AA18"/>
  <c r="AL18"/>
  <c r="V18"/>
  <c r="AA315"/>
  <c r="V315"/>
  <c r="AA336"/>
  <c r="AL336"/>
  <c r="V336"/>
  <c r="AA355"/>
  <c r="V355"/>
  <c r="AA339"/>
  <c r="V339"/>
  <c r="AA47"/>
  <c r="V47"/>
  <c r="AL47"/>
  <c r="AA31"/>
  <c r="AL31"/>
  <c r="V31"/>
  <c r="AA316"/>
  <c r="AL316"/>
  <c r="V316"/>
  <c r="AL317"/>
  <c r="AA317"/>
  <c r="V317"/>
  <c r="AA37"/>
  <c r="AL37"/>
  <c r="V37"/>
  <c r="AA20"/>
  <c r="AL20"/>
  <c r="V20"/>
  <c r="I37" i="41"/>
  <c r="AL329" i="44"/>
  <c r="AA329"/>
  <c r="V329"/>
  <c r="V366"/>
  <c r="AA366"/>
  <c r="AL366"/>
  <c r="AL40"/>
  <c r="V40"/>
  <c r="AA40"/>
  <c r="V36"/>
  <c r="AA36"/>
  <c r="AL36"/>
  <c r="V33"/>
  <c r="AA33"/>
  <c r="AL33"/>
  <c r="V56"/>
  <c r="AA56"/>
  <c r="V25"/>
  <c r="AA25"/>
  <c r="AL25"/>
  <c r="AA352"/>
  <c r="AL352"/>
  <c r="V352"/>
  <c r="V335"/>
  <c r="AA335"/>
  <c r="AA376"/>
  <c r="AL376"/>
  <c r="V376"/>
  <c r="V343"/>
  <c r="AA343"/>
  <c r="AA380"/>
  <c r="AL380"/>
  <c r="V380"/>
  <c r="AL50"/>
  <c r="AA50"/>
  <c r="V50"/>
  <c r="AL377"/>
  <c r="V377"/>
  <c r="AA377"/>
  <c r="AA383"/>
  <c r="AL383"/>
  <c r="V383"/>
  <c r="AL353"/>
  <c r="AA353"/>
  <c r="V353"/>
  <c r="V29"/>
  <c r="AA29"/>
  <c r="AL29"/>
  <c r="AA17"/>
  <c r="AL17"/>
  <c r="V17"/>
  <c r="V41" s="1"/>
  <c r="T17"/>
  <c r="O41"/>
  <c r="AL335"/>
  <c r="AL355"/>
  <c r="AL367"/>
  <c r="V382"/>
  <c r="AA382"/>
  <c r="AL382"/>
  <c r="AL343"/>
  <c r="T310" i="1"/>
  <c r="BQ54"/>
  <c r="BQ237"/>
  <c r="BQ77"/>
  <c r="BQ279"/>
  <c r="BQ264"/>
  <c r="BQ339"/>
  <c r="BQ332"/>
  <c r="BQ173"/>
  <c r="BQ71"/>
  <c r="BQ86"/>
  <c r="BQ220"/>
  <c r="BQ163"/>
  <c r="BQ174"/>
  <c r="BQ290"/>
  <c r="BQ360"/>
  <c r="BQ187"/>
  <c r="BQ282"/>
  <c r="BQ95"/>
  <c r="BQ276"/>
  <c r="BQ155"/>
  <c r="BQ97"/>
  <c r="BQ93"/>
  <c r="CP407"/>
  <c r="BQ41"/>
  <c r="CG41"/>
  <c r="BQ275"/>
  <c r="BW388"/>
  <c r="BQ212"/>
  <c r="BQ274"/>
  <c r="BQ52"/>
  <c r="BQ244"/>
  <c r="BQ125"/>
  <c r="BQ196"/>
  <c r="BQ182"/>
  <c r="BQ214"/>
  <c r="BQ362"/>
  <c r="BQ246"/>
  <c r="BQ223"/>
  <c r="BQ198"/>
  <c r="BQ192"/>
  <c r="BQ181"/>
  <c r="BQ78"/>
  <c r="BQ197"/>
  <c r="BQ176"/>
  <c r="BQ253"/>
  <c r="BQ317"/>
  <c r="BQ139"/>
  <c r="BQ361"/>
  <c r="BQ391"/>
  <c r="K43"/>
  <c r="V312"/>
  <c r="W312" s="1"/>
  <c r="V45"/>
  <c r="W45" s="1"/>
  <c r="V13"/>
  <c r="W13" s="1"/>
  <c r="Q13" i="52" s="1"/>
  <c r="V43" i="1"/>
  <c r="W43" s="1"/>
  <c r="V44"/>
  <c r="W44" s="1"/>
  <c r="T14"/>
  <c r="T15" s="1"/>
  <c r="CB391" l="1"/>
  <c r="CG391"/>
  <c r="CB253"/>
  <c r="CG253"/>
  <c r="CG181"/>
  <c r="CB181"/>
  <c r="CB198"/>
  <c r="CG198"/>
  <c r="CG246"/>
  <c r="CB246"/>
  <c r="CB214"/>
  <c r="CG214"/>
  <c r="CB196"/>
  <c r="CG196"/>
  <c r="CB244"/>
  <c r="CG244"/>
  <c r="CB274"/>
  <c r="CG274"/>
  <c r="CB97"/>
  <c r="CG97"/>
  <c r="CG276"/>
  <c r="CB276"/>
  <c r="CB282"/>
  <c r="CG282"/>
  <c r="CB360"/>
  <c r="CG360"/>
  <c r="CB174"/>
  <c r="CG174"/>
  <c r="CB220"/>
  <c r="CG220"/>
  <c r="CB71"/>
  <c r="CG71"/>
  <c r="CB332"/>
  <c r="CG332"/>
  <c r="CG264"/>
  <c r="CB264"/>
  <c r="CG77"/>
  <c r="CB77"/>
  <c r="CB54"/>
  <c r="CG54"/>
  <c r="CB349"/>
  <c r="CG349"/>
  <c r="CB235"/>
  <c r="CG235"/>
  <c r="CB167"/>
  <c r="CG167"/>
  <c r="CG79"/>
  <c r="CB79"/>
  <c r="CB92"/>
  <c r="CG92"/>
  <c r="CB151"/>
  <c r="CG151"/>
  <c r="CG168"/>
  <c r="CB168"/>
  <c r="CB183"/>
  <c r="CG183"/>
  <c r="CB236"/>
  <c r="CG236"/>
  <c r="CB112"/>
  <c r="CG112"/>
  <c r="CB280"/>
  <c r="CG280"/>
  <c r="CG90"/>
  <c r="CB90"/>
  <c r="CG165"/>
  <c r="CB165"/>
  <c r="CB216"/>
  <c r="CG216"/>
  <c r="CB191"/>
  <c r="CG191"/>
  <c r="CB254"/>
  <c r="CG254"/>
  <c r="CB306"/>
  <c r="CG306"/>
  <c r="CB307"/>
  <c r="CG307"/>
  <c r="CG292"/>
  <c r="CB292"/>
  <c r="CB389"/>
  <c r="CG389"/>
  <c r="CG139"/>
  <c r="CB139"/>
  <c r="CB197"/>
  <c r="CG197"/>
  <c r="CB361"/>
  <c r="CG361"/>
  <c r="CG317"/>
  <c r="CB317"/>
  <c r="CG176"/>
  <c r="CB176"/>
  <c r="CB78"/>
  <c r="CG78"/>
  <c r="CB192"/>
  <c r="CG192"/>
  <c r="CB223"/>
  <c r="CG223"/>
  <c r="CB362"/>
  <c r="CG362"/>
  <c r="CG182"/>
  <c r="CB182"/>
  <c r="CB125"/>
  <c r="CG125"/>
  <c r="CG52"/>
  <c r="CB52"/>
  <c r="CB212"/>
  <c r="CG212"/>
  <c r="CB275"/>
  <c r="CG275"/>
  <c r="CG93"/>
  <c r="CB93"/>
  <c r="CG155"/>
  <c r="CB155"/>
  <c r="CB95"/>
  <c r="CG95"/>
  <c r="CB187"/>
  <c r="CG187"/>
  <c r="CB290"/>
  <c r="CG290"/>
  <c r="CB163"/>
  <c r="CG163"/>
  <c r="CG86"/>
  <c r="CB86"/>
  <c r="CB173"/>
  <c r="CG173"/>
  <c r="CB339"/>
  <c r="CG339"/>
  <c r="CB279"/>
  <c r="CG279"/>
  <c r="CB237"/>
  <c r="CG237"/>
  <c r="CB284"/>
  <c r="CG284"/>
  <c r="CB357"/>
  <c r="CG357"/>
  <c r="CB387"/>
  <c r="CG387"/>
  <c r="CB288"/>
  <c r="CG288"/>
  <c r="CB51"/>
  <c r="CG51"/>
  <c r="CB245"/>
  <c r="CG245"/>
  <c r="CB278"/>
  <c r="CG278"/>
  <c r="CB206"/>
  <c r="CG206"/>
  <c r="CB83"/>
  <c r="CG83"/>
  <c r="CG215"/>
  <c r="CB215"/>
  <c r="CG157"/>
  <c r="CB157"/>
  <c r="CB394"/>
  <c r="CG394"/>
  <c r="CB250"/>
  <c r="CG250"/>
  <c r="CB179"/>
  <c r="CG179"/>
  <c r="CB260"/>
  <c r="CG260"/>
  <c r="CB356"/>
  <c r="CG356"/>
  <c r="CG295"/>
  <c r="CB295"/>
  <c r="CG302"/>
  <c r="CB302"/>
  <c r="CT385"/>
  <c r="O279" i="44"/>
  <c r="O334"/>
  <c r="T82"/>
  <c r="O166"/>
  <c r="O265"/>
  <c r="O261"/>
  <c r="T153"/>
  <c r="O80"/>
  <c r="O289"/>
  <c r="O281"/>
  <c r="CT389" i="1"/>
  <c r="CS224"/>
  <c r="BW295"/>
  <c r="BW292"/>
  <c r="AB323" i="45"/>
  <c r="O164" i="44"/>
  <c r="T137"/>
  <c r="O78"/>
  <c r="T287"/>
  <c r="O55"/>
  <c r="O303"/>
  <c r="T155"/>
  <c r="T229"/>
  <c r="O236"/>
  <c r="O396"/>
  <c r="AA396" s="1"/>
  <c r="O238"/>
  <c r="O363"/>
  <c r="T162"/>
  <c r="T294"/>
  <c r="AB328" i="45"/>
  <c r="P68" i="43"/>
  <c r="O65" i="45"/>
  <c r="F252" i="36"/>
  <c r="R246" i="44"/>
  <c r="S246" s="1"/>
  <c r="F93" i="36"/>
  <c r="R87" i="44"/>
  <c r="F281" i="36"/>
  <c r="R275" i="44"/>
  <c r="S275" s="1"/>
  <c r="F244" i="36"/>
  <c r="R238" i="44"/>
  <c r="F194" i="36"/>
  <c r="R188" i="44"/>
  <c r="S188" s="1"/>
  <c r="F183" i="36"/>
  <c r="R177" i="44"/>
  <c r="F253" i="36"/>
  <c r="R247" i="44"/>
  <c r="S247" s="1"/>
  <c r="F375" i="36"/>
  <c r="R364" i="44"/>
  <c r="F257" i="36"/>
  <c r="R251" i="44"/>
  <c r="S251" s="1"/>
  <c r="F369" i="36"/>
  <c r="R358" i="44"/>
  <c r="BV165" i="1"/>
  <c r="BW165" s="1"/>
  <c r="F172" i="36"/>
  <c r="R166" i="44"/>
  <c r="S166" s="1"/>
  <c r="BV280" i="1"/>
  <c r="F287" i="36"/>
  <c r="R281" i="44"/>
  <c r="S281" s="1"/>
  <c r="T123"/>
  <c r="Z430" i="45"/>
  <c r="AB419"/>
  <c r="Z148"/>
  <c r="AB133"/>
  <c r="Z131"/>
  <c r="AB116"/>
  <c r="Z191"/>
  <c r="AB176"/>
  <c r="Z129"/>
  <c r="AB114"/>
  <c r="O175" i="44"/>
  <c r="T60"/>
  <c r="Z227" i="45"/>
  <c r="AB212"/>
  <c r="Z320"/>
  <c r="AB305"/>
  <c r="Z234"/>
  <c r="AB219"/>
  <c r="Z326"/>
  <c r="AB311"/>
  <c r="O182" i="44"/>
  <c r="T150"/>
  <c r="T148"/>
  <c r="T132"/>
  <c r="T116"/>
  <c r="T194"/>
  <c r="T68"/>
  <c r="O293"/>
  <c r="O358"/>
  <c r="Z272" i="45"/>
  <c r="AB257"/>
  <c r="O307" i="44"/>
  <c r="Z256" i="45"/>
  <c r="AB241"/>
  <c r="S87" i="44"/>
  <c r="Z212" i="45"/>
  <c r="AB197"/>
  <c r="O364" i="44"/>
  <c r="T95"/>
  <c r="Z119" i="45"/>
  <c r="AB104"/>
  <c r="F222" i="36"/>
  <c r="R216" i="44"/>
  <c r="S216" s="1"/>
  <c r="F99" i="36"/>
  <c r="R93" i="44"/>
  <c r="F295" i="36"/>
  <c r="R289" i="44"/>
  <c r="F282" i="36"/>
  <c r="R276" i="44"/>
  <c r="S276" s="1"/>
  <c r="F309" i="36"/>
  <c r="R303" i="44"/>
  <c r="F162" i="36"/>
  <c r="R156" i="44"/>
  <c r="F132" i="36"/>
  <c r="R126" i="44"/>
  <c r="F243" i="36"/>
  <c r="R237" i="44"/>
  <c r="S237" s="1"/>
  <c r="F61" i="36"/>
  <c r="R55" i="44"/>
  <c r="F286" i="36"/>
  <c r="R280" i="44"/>
  <c r="F104" i="36"/>
  <c r="R98" i="44"/>
  <c r="F203" i="36"/>
  <c r="R197" i="44"/>
  <c r="F271" i="36"/>
  <c r="R265" i="44"/>
  <c r="F146" i="36"/>
  <c r="R140" i="44"/>
  <c r="F164" i="36"/>
  <c r="R158" i="44"/>
  <c r="F373" i="36"/>
  <c r="R362" i="44"/>
  <c r="F400" i="36"/>
  <c r="R389" i="44"/>
  <c r="AA68"/>
  <c r="BV260" i="1"/>
  <c r="F267" i="36"/>
  <c r="R261" i="44"/>
  <c r="V148"/>
  <c r="T214"/>
  <c r="T242"/>
  <c r="Z296" i="45"/>
  <c r="AB281"/>
  <c r="Z251"/>
  <c r="AB236"/>
  <c r="O169" i="44"/>
  <c r="Z113" i="45"/>
  <c r="AB98"/>
  <c r="O96" i="44"/>
  <c r="S362"/>
  <c r="O283"/>
  <c r="O276"/>
  <c r="O156"/>
  <c r="O254"/>
  <c r="Z282" i="45"/>
  <c r="AB267"/>
  <c r="Z114"/>
  <c r="AB99"/>
  <c r="S364" i="44"/>
  <c r="O91"/>
  <c r="Z259" i="45"/>
  <c r="AB244"/>
  <c r="T112" i="44"/>
  <c r="T267"/>
  <c r="Z201" i="45"/>
  <c r="AB186"/>
  <c r="O192" i="44"/>
  <c r="O216"/>
  <c r="Z281" i="45"/>
  <c r="AB266"/>
  <c r="Z428"/>
  <c r="AB417"/>
  <c r="Z273"/>
  <c r="AB258"/>
  <c r="O362" i="44"/>
  <c r="T362" s="1"/>
  <c r="Z122" i="45"/>
  <c r="AB107"/>
  <c r="O188" i="44"/>
  <c r="Z280" i="45"/>
  <c r="AB265"/>
  <c r="Z310"/>
  <c r="AB295"/>
  <c r="O199" i="44"/>
  <c r="S396"/>
  <c r="O291"/>
  <c r="O126"/>
  <c r="Z217" i="45"/>
  <c r="AB202"/>
  <c r="Z175"/>
  <c r="AB160"/>
  <c r="T292" i="44"/>
  <c r="T70"/>
  <c r="T201"/>
  <c r="T273"/>
  <c r="T263"/>
  <c r="T297"/>
  <c r="T134"/>
  <c r="T111"/>
  <c r="T170"/>
  <c r="T110"/>
  <c r="T81"/>
  <c r="Z328" i="45"/>
  <c r="AB313"/>
  <c r="AB316"/>
  <c r="Z128"/>
  <c r="AB113"/>
  <c r="AB424"/>
  <c r="Z286"/>
  <c r="AB271"/>
  <c r="Z115"/>
  <c r="AB100"/>
  <c r="Z398"/>
  <c r="AB387"/>
  <c r="O52" i="44"/>
  <c r="O237"/>
  <c r="O341"/>
  <c r="Z380" i="45"/>
  <c r="AB369"/>
  <c r="Z209"/>
  <c r="AB194"/>
  <c r="S156" i="44"/>
  <c r="O197"/>
  <c r="O224"/>
  <c r="V224" s="1"/>
  <c r="Z403" i="45"/>
  <c r="AB392"/>
  <c r="Z358"/>
  <c r="AB347"/>
  <c r="T212" i="44"/>
  <c r="O255"/>
  <c r="AA255" s="1"/>
  <c r="O84"/>
  <c r="Z133" i="45"/>
  <c r="AB118"/>
  <c r="F314" i="36"/>
  <c r="R308" i="44"/>
  <c r="S308" s="1"/>
  <c r="T308" s="1"/>
  <c r="F297" i="36"/>
  <c r="R291" i="44"/>
  <c r="F84" i="36"/>
  <c r="R78" i="44"/>
  <c r="F188" i="36"/>
  <c r="R182" i="44"/>
  <c r="F352" i="36"/>
  <c r="R341" i="44"/>
  <c r="S341" s="1"/>
  <c r="Z250" i="45"/>
  <c r="AB235"/>
  <c r="S289" i="44"/>
  <c r="Z289" i="45"/>
  <c r="AB274"/>
  <c r="BW296" i="1"/>
  <c r="F119" i="36"/>
  <c r="R113" i="44"/>
  <c r="F58" i="36"/>
  <c r="R52" i="44"/>
  <c r="S52" s="1"/>
  <c r="F291" i="36"/>
  <c r="R285" i="44"/>
  <c r="F180" i="36"/>
  <c r="R174" i="44"/>
  <c r="S174" s="1"/>
  <c r="F227" i="36"/>
  <c r="R221" i="44"/>
  <c r="F219" i="36"/>
  <c r="R213" i="44"/>
  <c r="F221" i="36"/>
  <c r="R215" i="44"/>
  <c r="F190" i="36"/>
  <c r="R184" i="44"/>
  <c r="F285" i="36"/>
  <c r="R279" i="44"/>
  <c r="F78" i="36"/>
  <c r="R72" i="44"/>
  <c r="S72" s="1"/>
  <c r="T72" s="1"/>
  <c r="F313" i="36"/>
  <c r="R307" i="44"/>
  <c r="F100" i="36"/>
  <c r="R94" i="44"/>
  <c r="F189" i="36"/>
  <c r="R183" i="44"/>
  <c r="S183" s="1"/>
  <c r="T183" s="1"/>
  <c r="F204" i="36"/>
  <c r="R198" i="44"/>
  <c r="S198" s="1"/>
  <c r="F260" i="36"/>
  <c r="R254" i="44"/>
  <c r="F374" i="36"/>
  <c r="R363" i="44"/>
  <c r="F362" i="36"/>
  <c r="R351" i="44"/>
  <c r="S351" s="1"/>
  <c r="BV179" i="1"/>
  <c r="CT179" s="1"/>
  <c r="F186" i="36"/>
  <c r="R180" i="44"/>
  <c r="S180" s="1"/>
  <c r="BV254" i="1"/>
  <c r="CT254" s="1"/>
  <c r="F261" i="36"/>
  <c r="R255" i="44"/>
  <c r="AA217"/>
  <c r="T104"/>
  <c r="T61"/>
  <c r="T77"/>
  <c r="T90"/>
  <c r="O158"/>
  <c r="Z314" i="45"/>
  <c r="AB299"/>
  <c r="S93" i="44"/>
  <c r="Z187" i="45"/>
  <c r="AB172"/>
  <c r="Z271"/>
  <c r="AB256"/>
  <c r="S55" i="44"/>
  <c r="T55" s="1"/>
  <c r="S303"/>
  <c r="S307"/>
  <c r="Z373" i="45"/>
  <c r="AB362"/>
  <c r="Z199"/>
  <c r="AB184"/>
  <c r="S98" i="44"/>
  <c r="O247"/>
  <c r="S265"/>
  <c r="T265" s="1"/>
  <c r="O79"/>
  <c r="O393"/>
  <c r="Z242" i="45"/>
  <c r="AB227"/>
  <c r="O351" i="44"/>
  <c r="S197"/>
  <c r="T161"/>
  <c r="S255"/>
  <c r="S158"/>
  <c r="O113"/>
  <c r="S389"/>
  <c r="T389" s="1"/>
  <c r="S279"/>
  <c r="Z203" i="45"/>
  <c r="AB188"/>
  <c r="S280" i="44"/>
  <c r="Z401" i="45"/>
  <c r="AB390"/>
  <c r="Z248"/>
  <c r="AB233"/>
  <c r="O245" i="44"/>
  <c r="AA245" s="1"/>
  <c r="O275"/>
  <c r="S126"/>
  <c r="AL126" s="1"/>
  <c r="S177"/>
  <c r="Z300" i="45"/>
  <c r="AB285"/>
  <c r="O198" i="44"/>
  <c r="Z432" i="45"/>
  <c r="AB421"/>
  <c r="T286" i="44"/>
  <c r="Z161" i="45"/>
  <c r="AB146"/>
  <c r="O140" i="44"/>
  <c r="AA140" s="1"/>
  <c r="T241"/>
  <c r="T128"/>
  <c r="T250"/>
  <c r="T191"/>
  <c r="T63"/>
  <c r="T133"/>
  <c r="T66"/>
  <c r="T176"/>
  <c r="T298"/>
  <c r="T173"/>
  <c r="T256"/>
  <c r="F402" i="36"/>
  <c r="R391" i="44"/>
  <c r="S391" s="1"/>
  <c r="Z215" i="45"/>
  <c r="AB200"/>
  <c r="S358" i="44"/>
  <c r="Z316" i="45"/>
  <c r="AB301"/>
  <c r="O251" i="44"/>
  <c r="V251" s="1"/>
  <c r="Z219" i="45"/>
  <c r="AB204"/>
  <c r="O184" i="44"/>
  <c r="S213"/>
  <c r="Z107" i="45"/>
  <c r="AB92"/>
  <c r="O174" i="44"/>
  <c r="S94"/>
  <c r="Z311" i="45"/>
  <c r="AB296"/>
  <c r="Z232"/>
  <c r="AB217"/>
  <c r="S182" i="44"/>
  <c r="O319"/>
  <c r="T220"/>
  <c r="T190"/>
  <c r="Z290" i="45"/>
  <c r="AB275"/>
  <c r="S113" i="44"/>
  <c r="Z87" i="45"/>
  <c r="AB72"/>
  <c r="S285" i="44"/>
  <c r="S221"/>
  <c r="Z312" i="45"/>
  <c r="AB297"/>
  <c r="O98" i="44"/>
  <c r="S215"/>
  <c r="T215" s="1"/>
  <c r="F158" i="36"/>
  <c r="R152" i="44"/>
  <c r="S152" s="1"/>
  <c r="F90" i="36"/>
  <c r="R84" i="44"/>
  <c r="S84" s="1"/>
  <c r="F59" i="36"/>
  <c r="R53" i="44"/>
  <c r="S53" s="1"/>
  <c r="T53" s="1"/>
  <c r="F330" i="36"/>
  <c r="R319" i="44"/>
  <c r="S319" s="1"/>
  <c r="F223" i="36"/>
  <c r="R217" i="44"/>
  <c r="S217" s="1"/>
  <c r="T290"/>
  <c r="T105"/>
  <c r="S261"/>
  <c r="Z318" i="45"/>
  <c r="AB303"/>
  <c r="S140" i="44"/>
  <c r="T117"/>
  <c r="P69" i="43"/>
  <c r="O66" i="45"/>
  <c r="F175" i="36"/>
  <c r="R169" i="44"/>
  <c r="S169" s="1"/>
  <c r="F213" i="36"/>
  <c r="R207" i="44"/>
  <c r="S207" s="1"/>
  <c r="F242" i="36"/>
  <c r="R236" i="44"/>
  <c r="S236" s="1"/>
  <c r="F181" i="36"/>
  <c r="R175" i="44"/>
  <c r="S175" s="1"/>
  <c r="F289" i="36"/>
  <c r="R283" i="44"/>
  <c r="F251" i="36"/>
  <c r="R245" i="44"/>
  <c r="S245" s="1"/>
  <c r="F199" i="36"/>
  <c r="R193" i="44"/>
  <c r="S193" s="1"/>
  <c r="T193" s="1"/>
  <c r="F86" i="36"/>
  <c r="R80" i="44"/>
  <c r="S80" s="1"/>
  <c r="F174" i="36"/>
  <c r="R168" i="44"/>
  <c r="S168" s="1"/>
  <c r="T168" s="1"/>
  <c r="F170" i="36"/>
  <c r="R164" i="44"/>
  <c r="S164" s="1"/>
  <c r="T164" s="1"/>
  <c r="F102" i="36"/>
  <c r="R96" i="44"/>
  <c r="S96" s="1"/>
  <c r="F283" i="36"/>
  <c r="R277" i="44"/>
  <c r="S277" s="1"/>
  <c r="F205" i="36"/>
  <c r="R199" i="44"/>
  <c r="S199" s="1"/>
  <c r="F85" i="36"/>
  <c r="R79" i="44"/>
  <c r="S79" s="1"/>
  <c r="F230" i="36"/>
  <c r="R224" i="44"/>
  <c r="S224" s="1"/>
  <c r="F370" i="36"/>
  <c r="R359" i="44"/>
  <c r="S359" s="1"/>
  <c r="F404" i="36"/>
  <c r="R393" i="44"/>
  <c r="S393" s="1"/>
  <c r="F345" i="36"/>
  <c r="R334" i="44"/>
  <c r="S334" s="1"/>
  <c r="T334" s="1"/>
  <c r="F198" i="36"/>
  <c r="R192" i="44"/>
  <c r="S192" s="1"/>
  <c r="BV90" i="1"/>
  <c r="CT90" s="1"/>
  <c r="F97" i="36"/>
  <c r="R91" i="44"/>
  <c r="S91" s="1"/>
  <c r="T231"/>
  <c r="T64"/>
  <c r="T106"/>
  <c r="T144"/>
  <c r="Z252" i="45"/>
  <c r="AB237"/>
  <c r="Z126"/>
  <c r="AB111"/>
  <c r="Z204"/>
  <c r="AB189"/>
  <c r="Z193"/>
  <c r="AB178"/>
  <c r="O359" i="44"/>
  <c r="T279"/>
  <c r="Z390" i="45"/>
  <c r="AB379"/>
  <c r="O152" i="44"/>
  <c r="S78"/>
  <c r="T78" s="1"/>
  <c r="S291"/>
  <c r="Z223" i="45"/>
  <c r="AB208"/>
  <c r="Z210"/>
  <c r="AB195"/>
  <c r="Z88"/>
  <c r="AB73"/>
  <c r="Z218"/>
  <c r="AB203"/>
  <c r="Z228"/>
  <c r="AB213"/>
  <c r="Z233"/>
  <c r="AB218"/>
  <c r="Z402"/>
  <c r="AB391"/>
  <c r="F299" i="36"/>
  <c r="R293" i="44"/>
  <c r="S293" s="1"/>
  <c r="O207"/>
  <c r="O94"/>
  <c r="T94" s="1"/>
  <c r="O177"/>
  <c r="T102"/>
  <c r="T62"/>
  <c r="T75"/>
  <c r="T259"/>
  <c r="T244"/>
  <c r="O296"/>
  <c r="T93"/>
  <c r="Z324" i="45"/>
  <c r="AB309"/>
  <c r="O285" i="44"/>
  <c r="S238"/>
  <c r="T238" s="1"/>
  <c r="O213"/>
  <c r="T213" s="1"/>
  <c r="S184"/>
  <c r="S363"/>
  <c r="T149"/>
  <c r="T240"/>
  <c r="T233"/>
  <c r="T178"/>
  <c r="T189"/>
  <c r="T282"/>
  <c r="O391"/>
  <c r="F302" i="36"/>
  <c r="R296" i="44"/>
  <c r="S296" s="1"/>
  <c r="O180"/>
  <c r="Z397" i="45"/>
  <c r="AB386"/>
  <c r="O246" i="44"/>
  <c r="AA246" s="1"/>
  <c r="AB327" i="45"/>
  <c r="O87" i="44"/>
  <c r="T87" s="1"/>
  <c r="O221"/>
  <c r="S283"/>
  <c r="Z90" i="45"/>
  <c r="AB75"/>
  <c r="O280" i="44"/>
  <c r="T280" s="1"/>
  <c r="Z315" i="45"/>
  <c r="AB300"/>
  <c r="O277" i="44"/>
  <c r="S254"/>
  <c r="K39" i="42"/>
  <c r="K310" i="1"/>
  <c r="K407" s="1"/>
  <c r="AL124" i="44"/>
  <c r="BW116" i="1"/>
  <c r="BW262"/>
  <c r="CT292"/>
  <c r="BW254"/>
  <c r="BW104"/>
  <c r="BW171"/>
  <c r="CT266"/>
  <c r="CT123"/>
  <c r="BW59"/>
  <c r="BW170"/>
  <c r="BW148"/>
  <c r="CT84"/>
  <c r="BW101"/>
  <c r="BW286"/>
  <c r="Z322" i="52"/>
  <c r="AB322" s="1"/>
  <c r="BZ295" i="1"/>
  <c r="P336" i="52"/>
  <c r="BW227" i="1"/>
  <c r="CT295"/>
  <c r="CS119"/>
  <c r="CS385"/>
  <c r="BW122"/>
  <c r="BW64"/>
  <c r="BW68"/>
  <c r="BW184"/>
  <c r="BW175"/>
  <c r="CT111"/>
  <c r="V93" i="44"/>
  <c r="CT260" i="1"/>
  <c r="BW89"/>
  <c r="BW301"/>
  <c r="BW261"/>
  <c r="AA270" i="44"/>
  <c r="V173"/>
  <c r="BW222" i="1"/>
  <c r="BW154"/>
  <c r="AA243" i="44"/>
  <c r="AA155"/>
  <c r="AA168"/>
  <c r="V112"/>
  <c r="AA220"/>
  <c r="V186"/>
  <c r="BW117" i="1"/>
  <c r="BW70"/>
  <c r="BW289"/>
  <c r="BW228"/>
  <c r="BW239"/>
  <c r="BW213"/>
  <c r="CT136"/>
  <c r="BV216"/>
  <c r="CT216" s="1"/>
  <c r="V389" i="44"/>
  <c r="AA172"/>
  <c r="V178"/>
  <c r="V244"/>
  <c r="V141"/>
  <c r="AA127"/>
  <c r="AA229"/>
  <c r="AA203"/>
  <c r="AL253"/>
  <c r="BV339" i="1"/>
  <c r="BW339" s="1"/>
  <c r="BV361"/>
  <c r="CT361" s="1"/>
  <c r="BV362"/>
  <c r="CT362" s="1"/>
  <c r="BV349"/>
  <c r="CT349" s="1"/>
  <c r="BV317"/>
  <c r="CT317" s="1"/>
  <c r="BV191"/>
  <c r="CT191" s="1"/>
  <c r="V351" i="44"/>
  <c r="BV212" i="1"/>
  <c r="BW212" s="1"/>
  <c r="BV274"/>
  <c r="BW274" s="1"/>
  <c r="BV182"/>
  <c r="CT182" s="1"/>
  <c r="BV357"/>
  <c r="CT357" s="1"/>
  <c r="BV360"/>
  <c r="CT360" s="1"/>
  <c r="BV332"/>
  <c r="CT332" s="1"/>
  <c r="BW121"/>
  <c r="BW249"/>
  <c r="CT172"/>
  <c r="CT113"/>
  <c r="CT294"/>
  <c r="CT226"/>
  <c r="BW217"/>
  <c r="BW394"/>
  <c r="BW109"/>
  <c r="BW150"/>
  <c r="BW69"/>
  <c r="BW114"/>
  <c r="BW143"/>
  <c r="BW180"/>
  <c r="BW297"/>
  <c r="BW48"/>
  <c r="BW98"/>
  <c r="CT140"/>
  <c r="BW230"/>
  <c r="BW75"/>
  <c r="BW265"/>
  <c r="BW300"/>
  <c r="BW233"/>
  <c r="CT241"/>
  <c r="CT189"/>
  <c r="CT200"/>
  <c r="CT149"/>
  <c r="CT281"/>
  <c r="BW127"/>
  <c r="BW258"/>
  <c r="BW61"/>
  <c r="BW63"/>
  <c r="BW285"/>
  <c r="BW87"/>
  <c r="BW81"/>
  <c r="BW91"/>
  <c r="BW283"/>
  <c r="CT56"/>
  <c r="CT394"/>
  <c r="CT94"/>
  <c r="BV250"/>
  <c r="CT250" s="1"/>
  <c r="BW260"/>
  <c r="BV356"/>
  <c r="AA357" i="44"/>
  <c r="BW41" i="1"/>
  <c r="AO41" i="44" s="1"/>
  <c r="BW130" i="1"/>
  <c r="BW166"/>
  <c r="BW193"/>
  <c r="BW160"/>
  <c r="BW60"/>
  <c r="BW204"/>
  <c r="BW103"/>
  <c r="BW211"/>
  <c r="BW268"/>
  <c r="BW96"/>
  <c r="BW76"/>
  <c r="BW105"/>
  <c r="BW67"/>
  <c r="BW267"/>
  <c r="BW74"/>
  <c r="BW188"/>
  <c r="BW110"/>
  <c r="BW132"/>
  <c r="BW190"/>
  <c r="BW62"/>
  <c r="BW177"/>
  <c r="CT161"/>
  <c r="CT238"/>
  <c r="CT255"/>
  <c r="CT147"/>
  <c r="AA171" i="44"/>
  <c r="AA269"/>
  <c r="V386"/>
  <c r="CT185" i="1"/>
  <c r="AL386" i="44"/>
  <c r="BW80" i="1"/>
  <c r="BW65"/>
  <c r="BW152"/>
  <c r="BW219"/>
  <c r="AA92" i="44"/>
  <c r="AA125"/>
  <c r="V252"/>
  <c r="BW73" i="1"/>
  <c r="BW115"/>
  <c r="BW131"/>
  <c r="CT209"/>
  <c r="CT133"/>
  <c r="BW252"/>
  <c r="CT210"/>
  <c r="BW202"/>
  <c r="V158" i="44"/>
  <c r="V350"/>
  <c r="AA95"/>
  <c r="CT178" i="1"/>
  <c r="V83" i="44"/>
  <c r="V77"/>
  <c r="AA86"/>
  <c r="V360"/>
  <c r="AA257"/>
  <c r="AA154"/>
  <c r="AA167"/>
  <c r="BV112" i="1"/>
  <c r="CT112" s="1"/>
  <c r="BV307"/>
  <c r="BW307" s="1"/>
  <c r="BV206"/>
  <c r="BW206" s="1"/>
  <c r="BV288"/>
  <c r="BW288" s="1"/>
  <c r="BV235"/>
  <c r="BW235" s="1"/>
  <c r="BV275"/>
  <c r="BW275" s="1"/>
  <c r="BV174"/>
  <c r="BW174" s="1"/>
  <c r="BV302"/>
  <c r="CT302" s="1"/>
  <c r="BV282"/>
  <c r="BW282" s="1"/>
  <c r="BV155"/>
  <c r="CT155" s="1"/>
  <c r="BV244"/>
  <c r="BW244" s="1"/>
  <c r="BV125"/>
  <c r="BW125" s="1"/>
  <c r="BV192"/>
  <c r="CT192" s="1"/>
  <c r="BV79"/>
  <c r="BW79" s="1"/>
  <c r="BV236"/>
  <c r="BW236" s="1"/>
  <c r="BV167"/>
  <c r="BW167" s="1"/>
  <c r="BV54"/>
  <c r="BW54" s="1"/>
  <c r="BV163"/>
  <c r="CT163" s="1"/>
  <c r="BV279"/>
  <c r="BW279" s="1"/>
  <c r="BV95"/>
  <c r="BW95" s="1"/>
  <c r="BV97"/>
  <c r="CT97" s="1"/>
  <c r="BV276"/>
  <c r="CT276" s="1"/>
  <c r="BV196"/>
  <c r="CT196" s="1"/>
  <c r="BV198"/>
  <c r="BW198" s="1"/>
  <c r="BV264"/>
  <c r="BW264" s="1"/>
  <c r="BV78"/>
  <c r="BW78" s="1"/>
  <c r="BV253"/>
  <c r="BW253" s="1"/>
  <c r="BV223"/>
  <c r="BW223" s="1"/>
  <c r="BV246"/>
  <c r="BW246" s="1"/>
  <c r="BV139"/>
  <c r="BW139" s="1"/>
  <c r="BV391"/>
  <c r="CT391" s="1"/>
  <c r="BW85"/>
  <c r="BW53"/>
  <c r="BW169"/>
  <c r="BW273"/>
  <c r="BW291"/>
  <c r="BW240"/>
  <c r="BW72"/>
  <c r="BW145"/>
  <c r="BV387"/>
  <c r="BW387" s="1"/>
  <c r="BV215"/>
  <c r="CT215" s="1"/>
  <c r="BV168"/>
  <c r="BW168" s="1"/>
  <c r="BV92"/>
  <c r="CT92" s="1"/>
  <c r="BV51"/>
  <c r="BW51" s="1"/>
  <c r="BV245"/>
  <c r="CT245" s="1"/>
  <c r="BV284"/>
  <c r="BW284" s="1"/>
  <c r="BV151"/>
  <c r="CT151" s="1"/>
  <c r="BV173"/>
  <c r="CT173" s="1"/>
  <c r="BV86"/>
  <c r="BW86" s="1"/>
  <c r="BV220"/>
  <c r="CT220" s="1"/>
  <c r="BV290"/>
  <c r="CT290" s="1"/>
  <c r="BV214"/>
  <c r="BW214" s="1"/>
  <c r="BV183"/>
  <c r="BW183" s="1"/>
  <c r="BV83"/>
  <c r="CT83" s="1"/>
  <c r="BV278"/>
  <c r="BW278" s="1"/>
  <c r="BV237"/>
  <c r="CT237" s="1"/>
  <c r="BV71"/>
  <c r="CT71" s="1"/>
  <c r="BV77"/>
  <c r="BW77" s="1"/>
  <c r="BV306"/>
  <c r="CT306" s="1"/>
  <c r="BV187"/>
  <c r="BW187" s="1"/>
  <c r="BV93"/>
  <c r="CT93" s="1"/>
  <c r="BV52"/>
  <c r="BW52" s="1"/>
  <c r="BV176"/>
  <c r="CT176" s="1"/>
  <c r="BV197"/>
  <c r="CT197" s="1"/>
  <c r="BV181"/>
  <c r="CT181" s="1"/>
  <c r="BW232"/>
  <c r="CT280"/>
  <c r="BW280"/>
  <c r="V161" i="44"/>
  <c r="AA202"/>
  <c r="V160"/>
  <c r="V62"/>
  <c r="BV157" i="1"/>
  <c r="V359" i="44"/>
  <c r="V217"/>
  <c r="AA249"/>
  <c r="AA200"/>
  <c r="V135"/>
  <c r="V193"/>
  <c r="AA180"/>
  <c r="V189"/>
  <c r="V89"/>
  <c r="V219"/>
  <c r="AL258"/>
  <c r="AL132"/>
  <c r="AA132"/>
  <c r="V132"/>
  <c r="AL151"/>
  <c r="AA74"/>
  <c r="AA90"/>
  <c r="V110"/>
  <c r="AA49"/>
  <c r="AA62"/>
  <c r="AA123"/>
  <c r="V201"/>
  <c r="AA139"/>
  <c r="V139"/>
  <c r="AL139"/>
  <c r="V105"/>
  <c r="AA261"/>
  <c r="V272"/>
  <c r="AL149"/>
  <c r="V151"/>
  <c r="V164"/>
  <c r="AA149"/>
  <c r="V149"/>
  <c r="AL138"/>
  <c r="V138"/>
  <c r="AA138"/>
  <c r="AA73"/>
  <c r="AL235"/>
  <c r="AL74"/>
  <c r="V258"/>
  <c r="V261"/>
  <c r="AA122"/>
  <c r="AL102"/>
  <c r="V58"/>
  <c r="V123"/>
  <c r="AL123"/>
  <c r="V102"/>
  <c r="AA272"/>
  <c r="V271"/>
  <c r="AA58"/>
  <c r="AL110"/>
  <c r="AA108"/>
  <c r="AA169"/>
  <c r="AL394"/>
  <c r="AA99"/>
  <c r="AA235"/>
  <c r="AL272"/>
  <c r="AL68"/>
  <c r="AA394"/>
  <c r="V394"/>
  <c r="V216"/>
  <c r="V49"/>
  <c r="AL49"/>
  <c r="V64"/>
  <c r="AA64"/>
  <c r="AA216"/>
  <c r="V68"/>
  <c r="AA271"/>
  <c r="V264"/>
  <c r="V233"/>
  <c r="AL233"/>
  <c r="AA233"/>
  <c r="AL66"/>
  <c r="V66"/>
  <c r="AA66"/>
  <c r="O342" i="45"/>
  <c r="P347" i="43"/>
  <c r="AA359" i="44"/>
  <c r="AL58"/>
  <c r="AA230"/>
  <c r="V136"/>
  <c r="AL368"/>
  <c r="AL122"/>
  <c r="AL62"/>
  <c r="V104"/>
  <c r="V273"/>
  <c r="AA148"/>
  <c r="AA369"/>
  <c r="AL369"/>
  <c r="V122"/>
  <c r="AL273"/>
  <c r="AA264"/>
  <c r="AL264"/>
  <c r="V126"/>
  <c r="V368"/>
  <c r="AL76"/>
  <c r="AL148"/>
  <c r="T41"/>
  <c r="V176"/>
  <c r="V116"/>
  <c r="P67" i="43"/>
  <c r="O64" i="45"/>
  <c r="AA236" i="44"/>
  <c r="V236"/>
  <c r="AA231"/>
  <c r="V270"/>
  <c r="AA67"/>
  <c r="V67"/>
  <c r="AL67"/>
  <c r="V119"/>
  <c r="AA119"/>
  <c r="AL119"/>
  <c r="AL232"/>
  <c r="AA232"/>
  <c r="V232"/>
  <c r="AL60"/>
  <c r="AA60"/>
  <c r="V60"/>
  <c r="AA263"/>
  <c r="V263"/>
  <c r="AL263"/>
  <c r="AA59"/>
  <c r="V59"/>
  <c r="AL59"/>
  <c r="V128"/>
  <c r="AL128"/>
  <c r="AA128"/>
  <c r="V215"/>
  <c r="AA215"/>
  <c r="AL405"/>
  <c r="V405"/>
  <c r="AA405"/>
  <c r="AL260"/>
  <c r="AA260"/>
  <c r="V260"/>
  <c r="AL136"/>
  <c r="V166"/>
  <c r="AA166"/>
  <c r="AL85"/>
  <c r="V85"/>
  <c r="AA85"/>
  <c r="V371"/>
  <c r="AA371"/>
  <c r="AA112"/>
  <c r="V65"/>
  <c r="AA65"/>
  <c r="AL65"/>
  <c r="V211"/>
  <c r="V108"/>
  <c r="V120"/>
  <c r="AL120"/>
  <c r="AA120"/>
  <c r="V107"/>
  <c r="AA107"/>
  <c r="AL107"/>
  <c r="AL73"/>
  <c r="AL104"/>
  <c r="AL64"/>
  <c r="AL106"/>
  <c r="AA106"/>
  <c r="V106"/>
  <c r="V115"/>
  <c r="AA115"/>
  <c r="AL115"/>
  <c r="AL70"/>
  <c r="AA70"/>
  <c r="V70"/>
  <c r="V103"/>
  <c r="AA103"/>
  <c r="AL103"/>
  <c r="P13" i="43"/>
  <c r="O13" i="45"/>
  <c r="AA253" i="44"/>
  <c r="V253"/>
  <c r="AL118"/>
  <c r="AA118"/>
  <c r="V118"/>
  <c r="AA61"/>
  <c r="AL61"/>
  <c r="V61"/>
  <c r="AL82"/>
  <c r="V82"/>
  <c r="AA82"/>
  <c r="V57"/>
  <c r="AA57"/>
  <c r="AL57"/>
  <c r="V76"/>
  <c r="AA76"/>
  <c r="AA109"/>
  <c r="AL109"/>
  <c r="V109"/>
  <c r="V238"/>
  <c r="AA238"/>
  <c r="AL134"/>
  <c r="AA134"/>
  <c r="V134"/>
  <c r="AA185"/>
  <c r="AL185"/>
  <c r="V185"/>
  <c r="V262"/>
  <c r="AL262"/>
  <c r="AA262"/>
  <c r="AA69"/>
  <c r="AL69"/>
  <c r="V69"/>
  <c r="AA173"/>
  <c r="AA201"/>
  <c r="AA94"/>
  <c r="V121"/>
  <c r="AA121"/>
  <c r="AL121"/>
  <c r="AA133"/>
  <c r="AL133"/>
  <c r="V133"/>
  <c r="V129"/>
  <c r="AA129"/>
  <c r="AL129"/>
  <c r="AL56"/>
  <c r="V137"/>
  <c r="AA137"/>
  <c r="AL137"/>
  <c r="V150"/>
  <c r="AA150"/>
  <c r="AL150"/>
  <c r="AA274"/>
  <c r="V274"/>
  <c r="AL274"/>
  <c r="AL234"/>
  <c r="AA234"/>
  <c r="V234"/>
  <c r="AL75"/>
  <c r="V75"/>
  <c r="AA75"/>
  <c r="AA63"/>
  <c r="V63"/>
  <c r="AL63"/>
  <c r="AL153"/>
  <c r="AA153"/>
  <c r="V153"/>
  <c r="V14" i="1"/>
  <c r="T407"/>
  <c r="V310"/>
  <c r="AA312"/>
  <c r="AA44"/>
  <c r="R69" i="52" s="1"/>
  <c r="AA43" i="1"/>
  <c r="AA45"/>
  <c r="R70" i="52" s="1"/>
  <c r="AA13" i="1"/>
  <c r="V404"/>
  <c r="BU404"/>
  <c r="BU407" s="1"/>
  <c r="B14"/>
  <c r="B15" s="1"/>
  <c r="BW90" l="1"/>
  <c r="V245" i="44"/>
  <c r="AL238"/>
  <c r="AL215"/>
  <c r="AA224"/>
  <c r="BW179" i="1"/>
  <c r="CT165"/>
  <c r="T221" i="44"/>
  <c r="T363"/>
  <c r="T80"/>
  <c r="AL245"/>
  <c r="T261"/>
  <c r="T98"/>
  <c r="T281"/>
  <c r="T289"/>
  <c r="T166"/>
  <c r="AL166"/>
  <c r="BW182" i="1"/>
  <c r="AL261" i="44"/>
  <c r="V213"/>
  <c r="T177"/>
  <c r="AL396"/>
  <c r="T303"/>
  <c r="V396"/>
  <c r="T396"/>
  <c r="AA177"/>
  <c r="T319"/>
  <c r="T237"/>
  <c r="AL216"/>
  <c r="T364"/>
  <c r="T184"/>
  <c r="T113"/>
  <c r="AL217"/>
  <c r="T217"/>
  <c r="T236"/>
  <c r="AL236"/>
  <c r="T152"/>
  <c r="T174"/>
  <c r="T198"/>
  <c r="T393"/>
  <c r="T199"/>
  <c r="T192"/>
  <c r="T91"/>
  <c r="T156"/>
  <c r="T169"/>
  <c r="AA152"/>
  <c r="V237"/>
  <c r="AA192"/>
  <c r="T391"/>
  <c r="T296"/>
  <c r="T359"/>
  <c r="T275"/>
  <c r="T351"/>
  <c r="T79"/>
  <c r="T158"/>
  <c r="T84"/>
  <c r="T52"/>
  <c r="T126"/>
  <c r="T188"/>
  <c r="T96"/>
  <c r="V152"/>
  <c r="AL169"/>
  <c r="T246"/>
  <c r="T180"/>
  <c r="T207"/>
  <c r="T140"/>
  <c r="T245"/>
  <c r="T224"/>
  <c r="T291"/>
  <c r="T216"/>
  <c r="T254"/>
  <c r="T276"/>
  <c r="T358"/>
  <c r="T182"/>
  <c r="V94"/>
  <c r="V174"/>
  <c r="AA87"/>
  <c r="V91"/>
  <c r="V87"/>
  <c r="T277"/>
  <c r="T285"/>
  <c r="T251"/>
  <c r="T247"/>
  <c r="T255"/>
  <c r="T197"/>
  <c r="T341"/>
  <c r="T283"/>
  <c r="T307"/>
  <c r="T293"/>
  <c r="T175"/>
  <c r="AA91"/>
  <c r="V127"/>
  <c r="BW360" i="1"/>
  <c r="CT212"/>
  <c r="CT339"/>
  <c r="BW317"/>
  <c r="BW362"/>
  <c r="R13" i="52"/>
  <c r="R68"/>
  <c r="R336" s="1"/>
  <c r="R352"/>
  <c r="R444" s="1"/>
  <c r="BW361" i="1"/>
  <c r="BW349"/>
  <c r="AA162" i="44"/>
  <c r="V395"/>
  <c r="V144"/>
  <c r="BW216" i="1"/>
  <c r="BW332"/>
  <c r="CT274"/>
  <c r="BW191"/>
  <c r="AL91" i="44"/>
  <c r="AL359"/>
  <c r="AL114"/>
  <c r="BW357" i="1"/>
  <c r="AA395" i="44"/>
  <c r="AL395"/>
  <c r="V159"/>
  <c r="BW250" i="1"/>
  <c r="AL87" i="44"/>
  <c r="AL94"/>
  <c r="AA334"/>
  <c r="V334"/>
  <c r="AL334"/>
  <c r="CT223" i="1"/>
  <c r="BW237"/>
  <c r="V154" i="44"/>
  <c r="AP41"/>
  <c r="V357"/>
  <c r="BW356" i="1"/>
  <c r="CT356"/>
  <c r="V171" i="44"/>
  <c r="BW192" i="1"/>
  <c r="BW290"/>
  <c r="BW71"/>
  <c r="CT86"/>
  <c r="CT174"/>
  <c r="CT282"/>
  <c r="CT244"/>
  <c r="AA350" i="44"/>
  <c r="AL357"/>
  <c r="BW112" i="1"/>
  <c r="BW196"/>
  <c r="BW97"/>
  <c r="BW306"/>
  <c r="CT279"/>
  <c r="CT264"/>
  <c r="CT246"/>
  <c r="CT253"/>
  <c r="V192" i="44"/>
  <c r="CT235" i="1"/>
  <c r="BW163"/>
  <c r="CT198"/>
  <c r="CT77"/>
  <c r="CT95"/>
  <c r="CT52"/>
  <c r="CT214"/>
  <c r="CT78"/>
  <c r="CT139"/>
  <c r="AA161" i="44"/>
  <c r="BW197" i="1"/>
  <c r="BW276"/>
  <c r="BW302"/>
  <c r="CT275"/>
  <c r="CT125"/>
  <c r="CT187"/>
  <c r="AA244" i="44"/>
  <c r="CT284" i="1"/>
  <c r="BW83"/>
  <c r="AL154" i="44"/>
  <c r="BW391" i="1"/>
  <c r="BW181"/>
  <c r="BW176"/>
  <c r="BW155"/>
  <c r="BW93"/>
  <c r="CT54"/>
  <c r="CT288"/>
  <c r="BW92"/>
  <c r="CT183"/>
  <c r="CT79"/>
  <c r="BW220"/>
  <c r="AL361" i="44"/>
  <c r="BW151" i="1"/>
  <c r="CT278"/>
  <c r="BW215"/>
  <c r="AL244" i="44"/>
  <c r="AL177"/>
  <c r="AL167"/>
  <c r="V391"/>
  <c r="AA391"/>
  <c r="AL391"/>
  <c r="V388"/>
  <c r="AL388"/>
  <c r="AA388"/>
  <c r="AA361"/>
  <c r="V361"/>
  <c r="CT387" i="1"/>
  <c r="CT236"/>
  <c r="CT168"/>
  <c r="AL387" i="44"/>
  <c r="AA387"/>
  <c r="V387"/>
  <c r="AA340"/>
  <c r="V340"/>
  <c r="AL340"/>
  <c r="V358"/>
  <c r="AA358"/>
  <c r="AL358"/>
  <c r="V140"/>
  <c r="AL140"/>
  <c r="BW173" i="1"/>
  <c r="AL192" i="44"/>
  <c r="CT51" i="1"/>
  <c r="CT307"/>
  <c r="CT167"/>
  <c r="AL218" i="44"/>
  <c r="AL161"/>
  <c r="AL171"/>
  <c r="V177"/>
  <c r="AA143"/>
  <c r="BW245" i="1"/>
  <c r="V218" i="44"/>
  <c r="AA184"/>
  <c r="V113"/>
  <c r="CT206" i="1"/>
  <c r="AA259" i="44"/>
  <c r="AL259"/>
  <c r="V259"/>
  <c r="V257"/>
  <c r="AA113"/>
  <c r="AA135"/>
  <c r="AA160"/>
  <c r="AA360"/>
  <c r="AA389"/>
  <c r="V155"/>
  <c r="AA219"/>
  <c r="V162"/>
  <c r="V125"/>
  <c r="AL141"/>
  <c r="AA93"/>
  <c r="V95"/>
  <c r="V172"/>
  <c r="AL365"/>
  <c r="AL155"/>
  <c r="AL360"/>
  <c r="AA141"/>
  <c r="AL257"/>
  <c r="AL213"/>
  <c r="AL219"/>
  <c r="AL221"/>
  <c r="AL162"/>
  <c r="AL224"/>
  <c r="AA83"/>
  <c r="V180"/>
  <c r="AA221"/>
  <c r="V55"/>
  <c r="AL125"/>
  <c r="BW157" i="1"/>
  <c r="CT157"/>
  <c r="AL95" i="44"/>
  <c r="AL172"/>
  <c r="V200"/>
  <c r="AL200"/>
  <c r="AA77"/>
  <c r="AL135"/>
  <c r="V168"/>
  <c r="AL93"/>
  <c r="AL255"/>
  <c r="AL83"/>
  <c r="AL113"/>
  <c r="AA111"/>
  <c r="AL111"/>
  <c r="V111"/>
  <c r="AA213"/>
  <c r="V169"/>
  <c r="AA258"/>
  <c r="AA365"/>
  <c r="V365"/>
  <c r="AL112"/>
  <c r="AL77"/>
  <c r="AL142"/>
  <c r="AL173"/>
  <c r="AA136"/>
  <c r="AA142"/>
  <c r="V142"/>
  <c r="AA126"/>
  <c r="AL84"/>
  <c r="AA205"/>
  <c r="AL90"/>
  <c r="AA84"/>
  <c r="V205"/>
  <c r="V184"/>
  <c r="V84"/>
  <c r="AL145"/>
  <c r="V90"/>
  <c r="AL351"/>
  <c r="AL170"/>
  <c r="AL127"/>
  <c r="AA214"/>
  <c r="V214"/>
  <c r="AL156"/>
  <c r="V254"/>
  <c r="AL160"/>
  <c r="AA194"/>
  <c r="AL105"/>
  <c r="AL214"/>
  <c r="AL201"/>
  <c r="AL184"/>
  <c r="V156"/>
  <c r="AA156"/>
  <c r="AA248"/>
  <c r="V170"/>
  <c r="AA170"/>
  <c r="V242"/>
  <c r="AA145"/>
  <c r="V145"/>
  <c r="AA114"/>
  <c r="V114"/>
  <c r="AA105"/>
  <c r="AA351"/>
  <c r="V393"/>
  <c r="AL393"/>
  <c r="AA393"/>
  <c r="AA390"/>
  <c r="V390"/>
  <c r="AL390"/>
  <c r="AL389"/>
  <c r="AL81"/>
  <c r="V255"/>
  <c r="AA80"/>
  <c r="AL144"/>
  <c r="V81"/>
  <c r="AL199"/>
  <c r="AA218"/>
  <c r="AA81"/>
  <c r="V199"/>
  <c r="AL180"/>
  <c r="AA164"/>
  <c r="AA199"/>
  <c r="AL164"/>
  <c r="AA211"/>
  <c r="AL211"/>
  <c r="AL231"/>
  <c r="V231"/>
  <c r="AL271"/>
  <c r="AL270"/>
  <c r="AL183"/>
  <c r="AL168"/>
  <c r="V183"/>
  <c r="AL86"/>
  <c r="AL243"/>
  <c r="AL251"/>
  <c r="AA117"/>
  <c r="AA183"/>
  <c r="V243"/>
  <c r="V212"/>
  <c r="AL212"/>
  <c r="AA212"/>
  <c r="V86"/>
  <c r="AA251"/>
  <c r="AL205"/>
  <c r="V228"/>
  <c r="AA147"/>
  <c r="AL147"/>
  <c r="V147"/>
  <c r="AA144"/>
  <c r="AA175"/>
  <c r="V175"/>
  <c r="AL175"/>
  <c r="AA178"/>
  <c r="AL99"/>
  <c r="AA193"/>
  <c r="AA186"/>
  <c r="V220"/>
  <c r="V202"/>
  <c r="V117"/>
  <c r="V92"/>
  <c r="AL92"/>
  <c r="AL193"/>
  <c r="V99"/>
  <c r="AL108"/>
  <c r="AA252"/>
  <c r="AL202"/>
  <c r="AL228"/>
  <c r="AA189"/>
  <c r="AA268"/>
  <c r="AL265"/>
  <c r="AL252"/>
  <c r="AL117"/>
  <c r="AL246"/>
  <c r="V246"/>
  <c r="AA237"/>
  <c r="AL189"/>
  <c r="AL225"/>
  <c r="V194"/>
  <c r="V97"/>
  <c r="AL197"/>
  <c r="V197"/>
  <c r="AA197"/>
  <c r="V225"/>
  <c r="AL178"/>
  <c r="AL159"/>
  <c r="AA101"/>
  <c r="AA206"/>
  <c r="AL206"/>
  <c r="V206"/>
  <c r="V239"/>
  <c r="AA239"/>
  <c r="AL220"/>
  <c r="AA228"/>
  <c r="V248"/>
  <c r="AA225"/>
  <c r="AL101"/>
  <c r="V101"/>
  <c r="AA157"/>
  <c r="V96"/>
  <c r="V265"/>
  <c r="AA265"/>
  <c r="V72"/>
  <c r="AA159"/>
  <c r="AL239"/>
  <c r="AL237"/>
  <c r="AL248"/>
  <c r="V221"/>
  <c r="V203"/>
  <c r="AL203"/>
  <c r="AA55"/>
  <c r="AA53"/>
  <c r="V167"/>
  <c r="W14" i="1"/>
  <c r="V15"/>
  <c r="V407" s="1"/>
  <c r="V230" i="44"/>
  <c r="V182"/>
  <c r="AA182"/>
  <c r="AA256"/>
  <c r="AL256"/>
  <c r="V256"/>
  <c r="AL98"/>
  <c r="V143"/>
  <c r="AA241"/>
  <c r="AA146"/>
  <c r="AA89"/>
  <c r="V277"/>
  <c r="AL182"/>
  <c r="AL72"/>
  <c r="V269"/>
  <c r="V157"/>
  <c r="V80"/>
  <c r="V53"/>
  <c r="AA198"/>
  <c r="AL179"/>
  <c r="AL53"/>
  <c r="AA72"/>
  <c r="AL174"/>
  <c r="AL242"/>
  <c r="AA223"/>
  <c r="AA277"/>
  <c r="V268"/>
  <c r="AL186"/>
  <c r="AL230"/>
  <c r="AL198"/>
  <c r="V198"/>
  <c r="AL194"/>
  <c r="AL80"/>
  <c r="AL157"/>
  <c r="AL269"/>
  <c r="AA174"/>
  <c r="AA242"/>
  <c r="AL89"/>
  <c r="AL223"/>
  <c r="V223"/>
  <c r="V319"/>
  <c r="AA319"/>
  <c r="AL319"/>
  <c r="AL364"/>
  <c r="V364"/>
  <c r="AA364"/>
  <c r="AA250"/>
  <c r="V250"/>
  <c r="AL250"/>
  <c r="AL227"/>
  <c r="AA227"/>
  <c r="V227"/>
  <c r="AL163"/>
  <c r="V163"/>
  <c r="AA163"/>
  <c r="AL55"/>
  <c r="AL268"/>
  <c r="V210"/>
  <c r="AL210"/>
  <c r="AA210"/>
  <c r="V362"/>
  <c r="AL362"/>
  <c r="AA362"/>
  <c r="AL333"/>
  <c r="V333"/>
  <c r="AA333"/>
  <c r="V190"/>
  <c r="AA190"/>
  <c r="AL190"/>
  <c r="AL392"/>
  <c r="AA392"/>
  <c r="V392"/>
  <c r="V341"/>
  <c r="AA341"/>
  <c r="AL341"/>
  <c r="V363"/>
  <c r="AA363"/>
  <c r="AL363"/>
  <c r="V179"/>
  <c r="AA179"/>
  <c r="AA176"/>
  <c r="AL176"/>
  <c r="AA96"/>
  <c r="AA97"/>
  <c r="AA98"/>
  <c r="V249"/>
  <c r="AA116"/>
  <c r="AL277"/>
  <c r="AA158"/>
  <c r="V241"/>
  <c r="V229"/>
  <c r="AL254"/>
  <c r="AL350"/>
  <c r="V98"/>
  <c r="AL146"/>
  <c r="AL143"/>
  <c r="AL116"/>
  <c r="AL152"/>
  <c r="AL241"/>
  <c r="AA254"/>
  <c r="AL229"/>
  <c r="AL249"/>
  <c r="V146"/>
  <c r="AL96"/>
  <c r="AL158"/>
  <c r="AL373"/>
  <c r="V373"/>
  <c r="AA373"/>
  <c r="AA266"/>
  <c r="V266"/>
  <c r="AL266"/>
  <c r="AL240"/>
  <c r="AA240"/>
  <c r="V240"/>
  <c r="AL79"/>
  <c r="V79"/>
  <c r="AA79"/>
  <c r="AL275"/>
  <c r="AA275"/>
  <c r="V275"/>
  <c r="AA342"/>
  <c r="AL342"/>
  <c r="V342"/>
  <c r="AA196"/>
  <c r="AL196"/>
  <c r="V196"/>
  <c r="AL267"/>
  <c r="AA267"/>
  <c r="V267"/>
  <c r="AA209"/>
  <c r="V209"/>
  <c r="V222"/>
  <c r="AL222"/>
  <c r="AA222"/>
  <c r="V131"/>
  <c r="AA131"/>
  <c r="AL131"/>
  <c r="AA276"/>
  <c r="V276"/>
  <c r="AL100"/>
  <c r="AA100"/>
  <c r="V100"/>
  <c r="AA71"/>
  <c r="V71"/>
  <c r="AL71"/>
  <c r="AA328"/>
  <c r="AL328"/>
  <c r="V328"/>
  <c r="AA372"/>
  <c r="AL372"/>
  <c r="V372"/>
  <c r="AL208"/>
  <c r="AA208"/>
  <c r="V208"/>
  <c r="AL52"/>
  <c r="AA52"/>
  <c r="V52"/>
  <c r="V226"/>
  <c r="AL226"/>
  <c r="AA226"/>
  <c r="AL78"/>
  <c r="AA78"/>
  <c r="V78"/>
  <c r="AL54"/>
  <c r="AA54"/>
  <c r="V54"/>
  <c r="AA204"/>
  <c r="AL204"/>
  <c r="V204"/>
  <c r="AL209"/>
  <c r="AA188"/>
  <c r="AL188"/>
  <c r="V188"/>
  <c r="AL97"/>
  <c r="AL371"/>
  <c r="O331" i="45"/>
  <c r="AL191" i="44"/>
  <c r="AA191"/>
  <c r="V191"/>
  <c r="AL187"/>
  <c r="AA187"/>
  <c r="V187"/>
  <c r="AL181"/>
  <c r="V181"/>
  <c r="AA181"/>
  <c r="AL195"/>
  <c r="AA195"/>
  <c r="V195"/>
  <c r="AA88"/>
  <c r="V88"/>
  <c r="V207"/>
  <c r="AA207"/>
  <c r="AL207"/>
  <c r="AL165"/>
  <c r="V165"/>
  <c r="AA165"/>
  <c r="AA247"/>
  <c r="V247"/>
  <c r="AL247"/>
  <c r="AL276"/>
  <c r="AL88"/>
  <c r="P334" i="43"/>
  <c r="AF13" i="1"/>
  <c r="AF45"/>
  <c r="P66" i="45" s="1"/>
  <c r="AF43" i="1"/>
  <c r="AF44"/>
  <c r="P65" i="45" s="1"/>
  <c r="AF312" i="1"/>
  <c r="P342" i="45" s="1"/>
  <c r="CS41" i="1"/>
  <c r="AD13"/>
  <c r="B17"/>
  <c r="AD312"/>
  <c r="AD45"/>
  <c r="U70" i="52" s="1"/>
  <c r="AD43" i="1"/>
  <c r="AD44"/>
  <c r="U69" i="52" s="1"/>
  <c r="W310" i="1"/>
  <c r="AA310"/>
  <c r="AA14"/>
  <c r="R14" i="52" s="1"/>
  <c r="W404" i="1"/>
  <c r="AA404"/>
  <c r="U68" i="52" l="1"/>
  <c r="U352"/>
  <c r="U444" s="1"/>
  <c r="U13"/>
  <c r="P14"/>
  <c r="P15" s="1"/>
  <c r="P447" s="1"/>
  <c r="Q14"/>
  <c r="Q15" s="1"/>
  <c r="Q447" s="1"/>
  <c r="R15"/>
  <c r="R447" s="1"/>
  <c r="AF14" i="1"/>
  <c r="P14" i="45" s="1"/>
  <c r="W15" i="1"/>
  <c r="W407" s="1"/>
  <c r="P14" i="43"/>
  <c r="O14" i="45"/>
  <c r="O15" s="1"/>
  <c r="AA15" i="1"/>
  <c r="AA407" s="1"/>
  <c r="AA411" s="1"/>
  <c r="P439" i="43"/>
  <c r="AG44" i="1"/>
  <c r="Q68" i="43" s="1"/>
  <c r="AG45" i="1"/>
  <c r="Q69" i="43" s="1"/>
  <c r="AG312" i="1"/>
  <c r="Q347" i="43" s="1"/>
  <c r="AG43" i="1"/>
  <c r="Q67" i="43" s="1"/>
  <c r="P64" i="45"/>
  <c r="AG13" i="1"/>
  <c r="P13" i="45"/>
  <c r="AJ44" i="1"/>
  <c r="S65" i="45" s="1"/>
  <c r="T87" s="1"/>
  <c r="AJ43" i="1"/>
  <c r="AJ45"/>
  <c r="S66" i="45" s="1"/>
  <c r="T88" s="1"/>
  <c r="AJ312" i="1"/>
  <c r="S342" i="45" s="1"/>
  <c r="T381" s="1"/>
  <c r="AJ13" i="1"/>
  <c r="AF404"/>
  <c r="AF310"/>
  <c r="AD14"/>
  <c r="U14" i="52" s="1"/>
  <c r="B18" i="1"/>
  <c r="B19" s="1"/>
  <c r="B20" s="1"/>
  <c r="B21" s="1"/>
  <c r="B22" s="1"/>
  <c r="B23" s="1"/>
  <c r="AD404"/>
  <c r="BF312"/>
  <c r="AD310"/>
  <c r="BD13"/>
  <c r="BD15" s="1"/>
  <c r="U15" i="52" l="1"/>
  <c r="U336"/>
  <c r="AG14" i="1"/>
  <c r="Q14" i="43" s="1"/>
  <c r="AF15" i="1"/>
  <c r="AF407" s="1"/>
  <c r="AJ14"/>
  <c r="S14" i="45" s="1"/>
  <c r="T14" s="1"/>
  <c r="P15" i="43"/>
  <c r="P442" s="1"/>
  <c r="Q13"/>
  <c r="AD15" i="1"/>
  <c r="AD407" s="1"/>
  <c r="AD411" s="1"/>
  <c r="AG310"/>
  <c r="Q439" i="43" s="1"/>
  <c r="AG404" i="1"/>
  <c r="Q334" i="43"/>
  <c r="P434" i="45"/>
  <c r="AK13" i="1"/>
  <c r="S13" i="45"/>
  <c r="T13" s="1"/>
  <c r="AL45" i="1"/>
  <c r="AL44"/>
  <c r="P15" i="45"/>
  <c r="P331"/>
  <c r="O434"/>
  <c r="O437" s="1"/>
  <c r="AJ404" i="1"/>
  <c r="AK43"/>
  <c r="S64" i="45"/>
  <c r="S331" s="1"/>
  <c r="AL43" i="1"/>
  <c r="AL13"/>
  <c r="AK44"/>
  <c r="S68" i="43" s="1"/>
  <c r="AL312" i="1"/>
  <c r="AK312"/>
  <c r="S347" i="43" s="1"/>
  <c r="AK45" i="1"/>
  <c r="S69" i="43" s="1"/>
  <c r="AJ310" i="1"/>
  <c r="B24"/>
  <c r="B25" s="1"/>
  <c r="BF404"/>
  <c r="BD407"/>
  <c r="T86" i="45" l="1"/>
  <c r="T370"/>
  <c r="T434" s="1"/>
  <c r="AL14" i="1"/>
  <c r="AK14"/>
  <c r="S14" i="43" s="1"/>
  <c r="AJ15" i="1"/>
  <c r="AJ407" s="1"/>
  <c r="AG15"/>
  <c r="AG407" s="1"/>
  <c r="U447" i="52"/>
  <c r="T331" i="45"/>
  <c r="Q15" i="43"/>
  <c r="Q442" s="1"/>
  <c r="B26" i="1"/>
  <c r="B27" s="1"/>
  <c r="S434" i="45"/>
  <c r="AL310" i="1"/>
  <c r="S15" i="45"/>
  <c r="AM13" i="1"/>
  <c r="CI13" s="1"/>
  <c r="S13" i="43"/>
  <c r="AM45" i="1"/>
  <c r="CI45" s="1"/>
  <c r="CJ45" s="1"/>
  <c r="AM44"/>
  <c r="CI44" s="1"/>
  <c r="CJ44" s="1"/>
  <c r="AM43"/>
  <c r="CI43" s="1"/>
  <c r="CJ43" s="1"/>
  <c r="S67" i="43"/>
  <c r="P437" i="45"/>
  <c r="T15"/>
  <c r="AK310" i="1"/>
  <c r="S439" i="43" s="1"/>
  <c r="AK404" i="1"/>
  <c r="AM312"/>
  <c r="CI312" s="1"/>
  <c r="CL310"/>
  <c r="D8" i="15"/>
  <c r="D9"/>
  <c r="AX402" i="1"/>
  <c r="AX403"/>
  <c r="AX373"/>
  <c r="AX398"/>
  <c r="AX381"/>
  <c r="CJ312" l="1"/>
  <c r="CK312" s="1"/>
  <c r="CK404" s="1"/>
  <c r="CJ13"/>
  <c r="CK13" s="1"/>
  <c r="CK44"/>
  <c r="CK43"/>
  <c r="CK45"/>
  <c r="CC373"/>
  <c r="CC403"/>
  <c r="CC402"/>
  <c r="CC381"/>
  <c r="CC398"/>
  <c r="AL15"/>
  <c r="Y416" i="43"/>
  <c r="AC416" s="1"/>
  <c r="Y408"/>
  <c r="AC408" s="1"/>
  <c r="Y438"/>
  <c r="AC438" s="1"/>
  <c r="Y437"/>
  <c r="AC437" s="1"/>
  <c r="Y433"/>
  <c r="AC433" s="1"/>
  <c r="AM14" i="1"/>
  <c r="CI14" s="1"/>
  <c r="AK15"/>
  <c r="AK407" s="1"/>
  <c r="S15" i="43"/>
  <c r="CL404" i="1"/>
  <c r="CL407" s="1"/>
  <c r="CR398"/>
  <c r="CS398" s="1"/>
  <c r="CR381"/>
  <c r="CS381" s="1"/>
  <c r="CR373"/>
  <c r="CS373" s="1"/>
  <c r="CR403"/>
  <c r="CS403" s="1"/>
  <c r="CR402"/>
  <c r="CS402" s="1"/>
  <c r="AM15"/>
  <c r="S437" i="45"/>
  <c r="T437"/>
  <c r="AM310" i="1"/>
  <c r="S334" i="43"/>
  <c r="S442" s="1"/>
  <c r="AE14" i="1"/>
  <c r="AE45"/>
  <c r="CJ14" l="1"/>
  <c r="CK14" s="1"/>
  <c r="CI404"/>
  <c r="CI310"/>
  <c r="CI15"/>
  <c r="AU45"/>
  <c r="Y70" i="52" s="1"/>
  <c r="AU14" i="1"/>
  <c r="Y14" i="52" l="1"/>
  <c r="BA14" i="1"/>
  <c r="BX14" s="1"/>
  <c r="Z14" i="52" s="1"/>
  <c r="AB14" s="1"/>
  <c r="BB14" i="1"/>
  <c r="CN14" s="1"/>
  <c r="BA45"/>
  <c r="BX45" s="1"/>
  <c r="Z70" i="52" s="1"/>
  <c r="AB70" s="1"/>
  <c r="BB45" i="1"/>
  <c r="Z69" i="43" s="1"/>
  <c r="CI407" i="1"/>
  <c r="R14" i="44"/>
  <c r="BR14" i="1"/>
  <c r="P14" i="44" s="1"/>
  <c r="BM14" i="1"/>
  <c r="BS14"/>
  <c r="Q14" i="44" s="1"/>
  <c r="BN14" i="1"/>
  <c r="BL14"/>
  <c r="BN45"/>
  <c r="AE13"/>
  <c r="AE15" s="1"/>
  <c r="C15" i="15"/>
  <c r="F49" i="40" l="1"/>
  <c r="W66" i="45"/>
  <c r="L46" i="44"/>
  <c r="O46" s="1"/>
  <c r="BZ45" i="1"/>
  <c r="BZ14"/>
  <c r="CN45"/>
  <c r="Z14" i="43"/>
  <c r="BT45" i="1"/>
  <c r="L14" i="44"/>
  <c r="W14" i="45"/>
  <c r="BM15" i="1"/>
  <c r="K14" i="44"/>
  <c r="K15" s="1"/>
  <c r="V14" i="45"/>
  <c r="BL15" i="1"/>
  <c r="J14" i="44"/>
  <c r="U14" i="45"/>
  <c r="S14" i="44"/>
  <c r="Q15"/>
  <c r="BS15" i="1"/>
  <c r="BR15"/>
  <c r="P15" i="44"/>
  <c r="BV14" i="1"/>
  <c r="BQ14"/>
  <c r="BQ45"/>
  <c r="AU13"/>
  <c r="CB45" l="1"/>
  <c r="CG45"/>
  <c r="CG14"/>
  <c r="CB14"/>
  <c r="Z81" i="45"/>
  <c r="AB66"/>
  <c r="F52" i="36"/>
  <c r="R46" i="44"/>
  <c r="S46" s="1"/>
  <c r="T46" s="1"/>
  <c r="Y13" i="52"/>
  <c r="Y15" s="1"/>
  <c r="AX9" i="1"/>
  <c r="AU15"/>
  <c r="BB13"/>
  <c r="CN13" s="1"/>
  <c r="CN15" s="1"/>
  <c r="BV45"/>
  <c r="BW45" s="1"/>
  <c r="O14" i="44"/>
  <c r="T14" s="1"/>
  <c r="Z14" i="45"/>
  <c r="V15"/>
  <c r="AB14"/>
  <c r="J15" i="44"/>
  <c r="AA46"/>
  <c r="V46"/>
  <c r="U15" i="45"/>
  <c r="CT45" i="1"/>
  <c r="CT14"/>
  <c r="BW14"/>
  <c r="BN13"/>
  <c r="BN15" s="1"/>
  <c r="AL46" i="44" l="1"/>
  <c r="Z13" i="43"/>
  <c r="Z15" s="1"/>
  <c r="BB15" i="1"/>
  <c r="R13" i="44"/>
  <c r="S13" s="1"/>
  <c r="S15" s="1"/>
  <c r="BT15" i="1"/>
  <c r="L13" i="44"/>
  <c r="W13" i="45"/>
  <c r="BQ13" i="1"/>
  <c r="BV13"/>
  <c r="BV15" s="1"/>
  <c r="AM404"/>
  <c r="AM407" s="1"/>
  <c r="AL404"/>
  <c r="AL407" s="1"/>
  <c r="CG13" l="1"/>
  <c r="CB13"/>
  <c r="CJ15"/>
  <c r="CB15"/>
  <c r="BQ15"/>
  <c r="R15" i="44"/>
  <c r="W15" i="45"/>
  <c r="Z13"/>
  <c r="Z15" s="1"/>
  <c r="AB13"/>
  <c r="AB15" s="1"/>
  <c r="L15" i="44"/>
  <c r="O13"/>
  <c r="CG15" i="1"/>
  <c r="CT13"/>
  <c r="CT15" s="1"/>
  <c r="AE312"/>
  <c r="AE44"/>
  <c r="AE43"/>
  <c r="CK15" l="1"/>
  <c r="O15" i="44"/>
  <c r="T13"/>
  <c r="T15" s="1"/>
  <c r="V13"/>
  <c r="V15" s="1"/>
  <c r="AL13"/>
  <c r="AL41" s="1"/>
  <c r="AA13"/>
  <c r="AA41" s="1"/>
  <c r="Y41" s="1"/>
  <c r="BF310" i="1"/>
  <c r="AE310"/>
  <c r="AU43"/>
  <c r="AE404"/>
  <c r="AU312"/>
  <c r="AU44"/>
  <c r="Y69" i="52" s="1"/>
  <c r="Y352" l="1"/>
  <c r="Y444" s="1"/>
  <c r="Y68"/>
  <c r="Y336" s="1"/>
  <c r="BA312" i="1"/>
  <c r="BX312" s="1"/>
  <c r="Z352" i="52" s="1"/>
  <c r="BB312" i="1"/>
  <c r="CN312" s="1"/>
  <c r="CN404" s="1"/>
  <c r="BA43"/>
  <c r="BX43" s="1"/>
  <c r="Z68" i="52" s="1"/>
  <c r="BB43" i="1"/>
  <c r="CN43" s="1"/>
  <c r="BA44"/>
  <c r="BX44" s="1"/>
  <c r="Z69" i="52" s="1"/>
  <c r="AB69" s="1"/>
  <c r="BB44" i="1"/>
  <c r="Z68" i="43" s="1"/>
  <c r="AP15" i="44"/>
  <c r="BF407" i="1"/>
  <c r="BF411" s="1"/>
  <c r="AU404"/>
  <c r="AE407"/>
  <c r="BN43"/>
  <c r="BT43" s="1"/>
  <c r="AU310"/>
  <c r="BS44"/>
  <c r="BR44"/>
  <c r="BN44"/>
  <c r="BM44"/>
  <c r="BL44"/>
  <c r="BS312"/>
  <c r="BR312"/>
  <c r="BM312"/>
  <c r="BL312"/>
  <c r="BS43"/>
  <c r="BR43"/>
  <c r="BM43"/>
  <c r="BL43"/>
  <c r="BN312"/>
  <c r="BT312" s="1"/>
  <c r="AY404"/>
  <c r="F51" i="37" l="1"/>
  <c r="P45" i="44"/>
  <c r="F48" i="41"/>
  <c r="J45" i="44"/>
  <c r="U65" i="45"/>
  <c r="G51" i="37"/>
  <c r="Q45" i="44"/>
  <c r="G48" i="41"/>
  <c r="K45" i="44"/>
  <c r="V65" i="45"/>
  <c r="F48" i="40"/>
  <c r="L45" i="44"/>
  <c r="W65" i="45"/>
  <c r="Y447" i="52"/>
  <c r="Z336"/>
  <c r="AB68"/>
  <c r="AB336" s="1"/>
  <c r="AB352"/>
  <c r="AB444" s="1"/>
  <c r="Z444"/>
  <c r="BZ44" i="1"/>
  <c r="BZ43"/>
  <c r="BZ312"/>
  <c r="BZ404" s="1"/>
  <c r="CN44"/>
  <c r="CN310" s="1"/>
  <c r="CN407" s="1"/>
  <c r="Z347" i="43"/>
  <c r="BT44" i="1"/>
  <c r="W342" i="45"/>
  <c r="F323" i="40"/>
  <c r="L314" i="44"/>
  <c r="G325" i="37"/>
  <c r="G417" s="1"/>
  <c r="Q314" i="44"/>
  <c r="F325" i="36"/>
  <c r="R314" i="44"/>
  <c r="U342" i="45"/>
  <c r="F323" i="41"/>
  <c r="F415" s="1"/>
  <c r="J314" i="44"/>
  <c r="F325" i="37"/>
  <c r="F417" s="1"/>
  <c r="P314" i="44"/>
  <c r="V342" i="45"/>
  <c r="G323" i="41"/>
  <c r="G415" s="1"/>
  <c r="K314" i="44"/>
  <c r="F47" i="41"/>
  <c r="J44" i="44"/>
  <c r="U64" i="45"/>
  <c r="F50" i="37"/>
  <c r="P44" i="44"/>
  <c r="Z67" i="43"/>
  <c r="G47" i="41"/>
  <c r="K44" i="44"/>
  <c r="V64" i="45"/>
  <c r="G50" i="37"/>
  <c r="Q44" i="44"/>
  <c r="F47" i="40"/>
  <c r="L44" i="44"/>
  <c r="W64" i="45"/>
  <c r="F50" i="36"/>
  <c r="R44" i="44"/>
  <c r="BR404" i="1"/>
  <c r="BB404"/>
  <c r="BM404"/>
  <c r="BS404"/>
  <c r="BA404"/>
  <c r="BX404"/>
  <c r="BA310"/>
  <c r="BX310"/>
  <c r="AY310"/>
  <c r="AU407"/>
  <c r="BQ44"/>
  <c r="BQ43"/>
  <c r="BL404"/>
  <c r="BQ312"/>
  <c r="BN310"/>
  <c r="BV43"/>
  <c r="BB310"/>
  <c r="BV312"/>
  <c r="BM310"/>
  <c r="BS310"/>
  <c r="BL310"/>
  <c r="BR310"/>
  <c r="BT404"/>
  <c r="BN404"/>
  <c r="CB312" l="1"/>
  <c r="CG312"/>
  <c r="CB43"/>
  <c r="CG43"/>
  <c r="CB44"/>
  <c r="CG44"/>
  <c r="Z353" i="45"/>
  <c r="Z79"/>
  <c r="O45" i="44"/>
  <c r="F51" i="36"/>
  <c r="F317" s="1"/>
  <c r="H317" s="1"/>
  <c r="R45" i="44"/>
  <c r="S45" s="1"/>
  <c r="Z80" i="45"/>
  <c r="AB65"/>
  <c r="BZ310" i="1"/>
  <c r="BQ310"/>
  <c r="Z334" i="43"/>
  <c r="AB64" i="45"/>
  <c r="AB342"/>
  <c r="BV44" i="1"/>
  <c r="CT44" s="1"/>
  <c r="BT310"/>
  <c r="BT407" s="1"/>
  <c r="BT411" s="1"/>
  <c r="L311" i="44"/>
  <c r="Q311"/>
  <c r="G317" i="37"/>
  <c r="K317" s="1"/>
  <c r="S314" i="44"/>
  <c r="O314"/>
  <c r="Q406"/>
  <c r="Z439" i="43"/>
  <c r="W331" i="45"/>
  <c r="F314" i="40"/>
  <c r="H314" s="1"/>
  <c r="F415"/>
  <c r="L406" i="44"/>
  <c r="W434" i="45"/>
  <c r="K417" i="37"/>
  <c r="V331" i="45"/>
  <c r="G314" i="41"/>
  <c r="K314" s="1"/>
  <c r="I415"/>
  <c r="F317" i="37"/>
  <c r="I317" s="1"/>
  <c r="J311" i="44"/>
  <c r="O44"/>
  <c r="P406"/>
  <c r="F417" i="36"/>
  <c r="R406" i="44"/>
  <c r="K406"/>
  <c r="V434" i="45"/>
  <c r="K415" i="41"/>
  <c r="K311" i="44"/>
  <c r="I417" i="37"/>
  <c r="P311" i="44"/>
  <c r="S44"/>
  <c r="U331" i="45"/>
  <c r="F314" i="41"/>
  <c r="I314" s="1"/>
  <c r="BB407" i="1"/>
  <c r="BR407"/>
  <c r="BR411" s="1"/>
  <c r="BM407"/>
  <c r="BM411" s="1"/>
  <c r="BS407"/>
  <c r="BS411" s="1"/>
  <c r="BL407"/>
  <c r="BL411" s="1"/>
  <c r="BN407"/>
  <c r="BN411" s="1"/>
  <c r="CT312"/>
  <c r="CT404" s="1"/>
  <c r="CB310"/>
  <c r="CT43"/>
  <c r="BW43"/>
  <c r="BQ404"/>
  <c r="BV404"/>
  <c r="CJ404" l="1"/>
  <c r="T45" i="44"/>
  <c r="BV310" i="1"/>
  <c r="BV407" s="1"/>
  <c r="BW44"/>
  <c r="BW310" s="1"/>
  <c r="Z442" i="43"/>
  <c r="R311" i="44"/>
  <c r="R409" s="1"/>
  <c r="Q409"/>
  <c r="W437" i="45"/>
  <c r="V437"/>
  <c r="L409" i="44"/>
  <c r="G419" i="37"/>
  <c r="K419" s="1"/>
  <c r="T314" i="44"/>
  <c r="AL314"/>
  <c r="V314"/>
  <c r="V406" s="1"/>
  <c r="AA314"/>
  <c r="AA406" s="1"/>
  <c r="AB331" i="45"/>
  <c r="Z331"/>
  <c r="K409" i="44"/>
  <c r="F419" i="37"/>
  <c r="I419" s="1"/>
  <c r="G418" i="41"/>
  <c r="K418" s="1"/>
  <c r="P409" i="44"/>
  <c r="Z342" i="45"/>
  <c r="Z434" s="1"/>
  <c r="F419" i="36"/>
  <c r="S406" i="44"/>
  <c r="J406"/>
  <c r="J409" s="1"/>
  <c r="AL323"/>
  <c r="AA323"/>
  <c r="V323"/>
  <c r="U434" i="45"/>
  <c r="U437" s="1"/>
  <c r="AB434"/>
  <c r="AL44" i="44"/>
  <c r="AA44"/>
  <c r="AA311" s="1"/>
  <c r="O311"/>
  <c r="T44"/>
  <c r="V44"/>
  <c r="V311" s="1"/>
  <c r="F418" i="41"/>
  <c r="I418" s="1"/>
  <c r="AA45" i="44"/>
  <c r="V45"/>
  <c r="F417" i="40"/>
  <c r="H415"/>
  <c r="CG404" i="1"/>
  <c r="BQ407"/>
  <c r="CG310"/>
  <c r="CT310"/>
  <c r="CT407" s="1"/>
  <c r="BW312"/>
  <c r="BW404" s="1"/>
  <c r="CB404"/>
  <c r="CB407" s="1"/>
  <c r="CK310" l="1"/>
  <c r="CJ310"/>
  <c r="AL45" i="44"/>
  <c r="AL311" s="1"/>
  <c r="S311"/>
  <c r="S409" s="1"/>
  <c r="AB437" i="45"/>
  <c r="Z437"/>
  <c r="AA409" i="44"/>
  <c r="V409"/>
  <c r="T311"/>
  <c r="T406"/>
  <c r="AP406" s="1"/>
  <c r="AL321"/>
  <c r="AL406" s="1"/>
  <c r="AA321"/>
  <c r="V321"/>
  <c r="O406"/>
  <c r="O409" s="1"/>
  <c r="CG407" i="1"/>
  <c r="AL409" i="44" l="1"/>
  <c r="AP311"/>
  <c r="T409"/>
  <c r="AP409" s="1"/>
  <c r="BW13" i="1"/>
  <c r="Z13" i="52" s="1"/>
  <c r="Z15" l="1"/>
  <c r="Z447" s="1"/>
  <c r="BW15" i="1"/>
  <c r="BW407" s="1"/>
  <c r="B50" l="1"/>
  <c r="B28" l="1"/>
  <c r="B29" l="1"/>
  <c r="B51"/>
  <c r="B30" l="1"/>
  <c r="B52"/>
  <c r="B53" s="1"/>
  <c r="B54" s="1"/>
  <c r="B55" s="1"/>
  <c r="B56" s="1"/>
  <c r="B31" l="1"/>
  <c r="B32" s="1"/>
  <c r="B33" s="1"/>
  <c r="B34" s="1"/>
  <c r="B35" s="1"/>
  <c r="B36" s="1"/>
  <c r="B37" s="1"/>
  <c r="B38" s="1"/>
  <c r="B39" s="1"/>
  <c r="B57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394"/>
  <c r="B100" l="1"/>
  <c r="B101" s="1"/>
  <c r="B102" s="1"/>
  <c r="B103" s="1"/>
  <c r="B104" s="1"/>
  <c r="B105" s="1"/>
  <c r="B106" s="1"/>
  <c r="B107" s="1"/>
  <c r="B395"/>
  <c r="B396" s="1"/>
  <c r="B397" l="1"/>
  <c r="B398" s="1"/>
  <c r="B108"/>
  <c r="B109" s="1"/>
  <c r="B40" l="1"/>
  <c r="B41" s="1"/>
  <c r="A425" s="1"/>
  <c r="B110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399"/>
  <c r="B400" s="1"/>
  <c r="B401" s="1"/>
  <c r="B402" s="1"/>
  <c r="B403" s="1"/>
  <c r="A470" s="1"/>
  <c r="B404" l="1"/>
  <c r="B158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l="1"/>
  <c r="B174" s="1"/>
  <c r="B175" l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l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l="1"/>
  <c r="B217" s="1"/>
  <c r="B218" s="1"/>
  <c r="B219" s="1"/>
  <c r="B220" s="1"/>
  <c r="B221" s="1"/>
  <c r="B222" s="1"/>
  <c r="B223" s="1"/>
  <c r="B224" l="1"/>
  <c r="B225" s="1"/>
  <c r="B226" l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l="1"/>
  <c r="B294" s="1"/>
  <c r="B295" l="1"/>
  <c r="B296" s="1"/>
  <c r="B297" s="1"/>
  <c r="B298" s="1"/>
  <c r="B299" s="1"/>
  <c r="B300" s="1"/>
  <c r="B301" s="1"/>
  <c r="B302" s="1"/>
  <c r="B303" s="1"/>
  <c r="B304" l="1"/>
  <c r="AY15"/>
  <c r="AY407" s="1"/>
  <c r="AZ15"/>
  <c r="AZ407" s="1"/>
  <c r="B305" l="1"/>
  <c r="B306" s="1"/>
  <c r="B307" s="1"/>
  <c r="B308" s="1"/>
  <c r="B309" s="1"/>
  <c r="BA13"/>
  <c r="BA15" s="1"/>
  <c r="BA407" s="1"/>
  <c r="B310" l="1"/>
  <c r="A464" s="1"/>
  <c r="BX13"/>
  <c r="B407" l="1"/>
  <c r="A474" s="1"/>
  <c r="AA13" i="52"/>
  <c r="BX15" i="1"/>
  <c r="BZ13"/>
  <c r="BZ15" s="1"/>
  <c r="BZ407" s="1"/>
  <c r="AA15" i="52" l="1"/>
  <c r="AA447" s="1"/>
  <c r="AB13"/>
  <c r="AB15" s="1"/>
  <c r="AB447" s="1"/>
  <c r="BX407" i="1"/>
  <c r="AX240"/>
  <c r="AX279"/>
  <c r="AX344"/>
  <c r="AX366"/>
  <c r="AX200"/>
  <c r="AX380"/>
  <c r="AX111"/>
  <c r="AX157"/>
  <c r="AX246"/>
  <c r="AX288"/>
  <c r="AX116"/>
  <c r="AX92"/>
  <c r="AX70"/>
  <c r="AX297"/>
  <c r="AX72"/>
  <c r="AX238"/>
  <c r="AX110"/>
  <c r="AX81"/>
  <c r="AX98"/>
  <c r="AX113"/>
  <c r="AX356"/>
  <c r="AX103"/>
  <c r="AX172"/>
  <c r="AX212"/>
  <c r="AX147"/>
  <c r="AX314"/>
  <c r="AX387"/>
  <c r="AX394"/>
  <c r="AX62"/>
  <c r="AX395"/>
  <c r="AX101"/>
  <c r="AX313"/>
  <c r="AX376"/>
  <c r="AX165"/>
  <c r="AX267"/>
  <c r="AX302"/>
  <c r="AX188"/>
  <c r="AX365"/>
  <c r="AX160"/>
  <c r="AX281"/>
  <c r="AX326"/>
  <c r="AX273"/>
  <c r="AX182"/>
  <c r="AX359"/>
  <c r="AX250"/>
  <c r="AX180"/>
  <c r="AX335"/>
  <c r="AX65"/>
  <c r="AX262"/>
  <c r="AX290"/>
  <c r="AX13"/>
  <c r="AX185"/>
  <c r="AX245"/>
  <c r="AX301"/>
  <c r="AX171"/>
  <c r="AX351"/>
  <c r="AX374"/>
  <c r="AX244"/>
  <c r="AX322"/>
  <c r="AX317"/>
  <c r="AX286"/>
  <c r="AX191"/>
  <c r="AX78"/>
  <c r="AX190"/>
  <c r="AX140"/>
  <c r="AX384"/>
  <c r="AX48"/>
  <c r="AX300"/>
  <c r="AX151"/>
  <c r="AX114"/>
  <c r="AX175"/>
  <c r="AX174"/>
  <c r="AX130"/>
  <c r="AX378"/>
  <c r="AX87"/>
  <c r="AX52"/>
  <c r="AX241"/>
  <c r="AX401"/>
  <c r="AX383"/>
  <c r="AX86"/>
  <c r="AX184"/>
  <c r="AX339"/>
  <c r="AX270"/>
  <c r="AX233"/>
  <c r="AX278"/>
  <c r="AX377"/>
  <c r="AX152"/>
  <c r="AX323"/>
  <c r="AX325"/>
  <c r="AX291"/>
  <c r="AX196"/>
  <c r="AX332"/>
  <c r="AX343"/>
  <c r="AX364"/>
  <c r="AX353"/>
  <c r="AX91"/>
  <c r="AX154"/>
  <c r="AX150"/>
  <c r="AX56"/>
  <c r="AX68"/>
  <c r="AX192"/>
  <c r="AX346"/>
  <c r="AX85"/>
  <c r="AX315"/>
  <c r="AX253"/>
  <c r="AX333"/>
  <c r="AX127"/>
  <c r="AX97"/>
  <c r="AX371"/>
  <c r="AX261"/>
  <c r="AX350"/>
  <c r="AX328"/>
  <c r="AX266"/>
  <c r="AX354"/>
  <c r="AX117"/>
  <c r="AX342"/>
  <c r="AX132"/>
  <c r="AX155"/>
  <c r="AX319"/>
  <c r="AX44"/>
  <c r="AX75"/>
  <c r="AX96"/>
  <c r="AX357"/>
  <c r="AX324"/>
  <c r="AX211"/>
  <c r="AX236"/>
  <c r="AX367"/>
  <c r="AX285"/>
  <c r="AX334"/>
  <c r="AX193"/>
  <c r="AX71"/>
  <c r="AX77"/>
  <c r="AX109"/>
  <c r="AX163"/>
  <c r="AX368"/>
  <c r="AX296"/>
  <c r="AX143"/>
  <c r="AX352"/>
  <c r="AX349"/>
  <c r="AX104"/>
  <c r="AX84"/>
  <c r="AX214"/>
  <c r="AX60"/>
  <c r="AX63"/>
  <c r="AX189"/>
  <c r="AX275"/>
  <c r="AX149"/>
  <c r="AX392"/>
  <c r="AX121"/>
  <c r="AX173"/>
  <c r="AX69"/>
  <c r="AX170"/>
  <c r="AX206"/>
  <c r="AX399"/>
  <c r="AX220"/>
  <c r="AX282"/>
  <c r="AX198"/>
  <c r="AX362"/>
  <c r="AX181"/>
  <c r="AX228"/>
  <c r="AX363"/>
  <c r="AX370"/>
  <c r="AX14"/>
  <c r="AX64"/>
  <c r="AX312"/>
  <c r="AX222"/>
  <c r="AX330"/>
  <c r="AX167"/>
  <c r="AX329"/>
  <c r="AX139"/>
  <c r="AX79"/>
  <c r="AX61"/>
  <c r="AX388"/>
  <c r="AX361"/>
  <c r="AX115"/>
  <c r="AX239"/>
  <c r="AX131"/>
  <c r="AX93"/>
  <c r="AX320"/>
  <c r="AX338"/>
  <c r="AX391"/>
  <c r="AX360"/>
  <c r="AX45"/>
  <c r="AX264"/>
  <c r="AX276"/>
  <c r="AX341"/>
  <c r="AX80"/>
  <c r="AX177"/>
  <c r="AX136"/>
  <c r="AX340"/>
  <c r="AX43"/>
  <c r="AX386"/>
  <c r="AX289"/>
  <c r="AX213"/>
  <c r="AX316"/>
  <c r="AX348"/>
  <c r="AX123"/>
  <c r="AX400"/>
  <c r="AX347"/>
  <c r="AX336"/>
  <c r="AX379"/>
  <c r="AX223"/>
  <c r="AX59"/>
  <c r="AX53"/>
  <c r="AX122"/>
  <c r="AX230"/>
  <c r="AX133"/>
  <c r="AX345"/>
  <c r="AX258"/>
  <c r="AX306"/>
  <c r="AX73"/>
  <c r="AX369"/>
  <c r="AX283"/>
  <c r="AX54"/>
  <c r="AX382"/>
  <c r="AX145"/>
  <c r="AX337"/>
  <c r="AX95"/>
  <c r="AX187"/>
  <c r="AX396"/>
  <c r="AX268"/>
  <c r="AX67"/>
  <c r="AX179"/>
  <c r="AX169"/>
  <c r="AX265"/>
  <c r="AX125"/>
  <c r="AX105"/>
  <c r="AX168"/>
  <c r="AX176"/>
  <c r="AX76"/>
  <c r="AX166"/>
  <c r="AX375"/>
  <c r="AX227"/>
  <c r="AX249"/>
  <c r="AX74"/>
  <c r="AX89"/>
  <c r="AX321"/>
  <c r="AX318"/>
  <c r="AX197"/>
  <c r="AX209"/>
  <c r="AX355"/>
  <c r="AX217"/>
  <c r="AX148"/>
  <c r="AX390"/>
  <c r="AX327"/>
  <c r="CC376" l="1"/>
  <c r="CC125"/>
  <c r="CC238"/>
  <c r="CC54"/>
  <c r="CC364"/>
  <c r="CC191"/>
  <c r="CC241"/>
  <c r="CC101"/>
  <c r="CC399"/>
  <c r="CC182"/>
  <c r="CC143"/>
  <c r="CC332"/>
  <c r="CC382"/>
  <c r="CC96"/>
  <c r="CC400"/>
  <c r="CC170"/>
  <c r="CC313"/>
  <c r="CC315"/>
  <c r="CC72"/>
  <c r="CC283"/>
  <c r="CC343"/>
  <c r="CC45"/>
  <c r="CC52"/>
  <c r="CC395"/>
  <c r="CC206"/>
  <c r="CC64"/>
  <c r="CC296"/>
  <c r="CC196"/>
  <c r="CC374"/>
  <c r="CC390"/>
  <c r="CC123"/>
  <c r="CC69"/>
  <c r="CC155"/>
  <c r="CC265"/>
  <c r="CC297"/>
  <c r="CC369"/>
  <c r="CC93"/>
  <c r="CC286"/>
  <c r="CC87"/>
  <c r="CC62"/>
  <c r="CC197"/>
  <c r="CC273"/>
  <c r="CC368"/>
  <c r="CC291"/>
  <c r="CC351"/>
  <c r="CC327"/>
  <c r="CC348"/>
  <c r="CC173"/>
  <c r="CC132"/>
  <c r="CC85"/>
  <c r="CC70"/>
  <c r="CC73"/>
  <c r="CC131"/>
  <c r="CC360"/>
  <c r="CC378"/>
  <c r="CC394"/>
  <c r="CC318"/>
  <c r="CC14"/>
  <c r="CC163"/>
  <c r="CC325"/>
  <c r="CC171"/>
  <c r="CC148"/>
  <c r="CC316"/>
  <c r="CC121"/>
  <c r="CC342"/>
  <c r="CC169"/>
  <c r="CC92"/>
  <c r="CC306"/>
  <c r="CC239"/>
  <c r="CC317"/>
  <c r="CC130"/>
  <c r="CC387"/>
  <c r="CC321"/>
  <c r="CC326"/>
  <c r="CC109"/>
  <c r="CC323"/>
  <c r="CC301"/>
  <c r="CC75"/>
  <c r="CC213"/>
  <c r="CC392"/>
  <c r="CC117"/>
  <c r="CC346"/>
  <c r="CC116"/>
  <c r="CC258"/>
  <c r="CC115"/>
  <c r="CC391"/>
  <c r="CC174"/>
  <c r="CC314"/>
  <c r="CC89"/>
  <c r="CC370"/>
  <c r="CC77"/>
  <c r="CC152"/>
  <c r="CC245"/>
  <c r="CC217"/>
  <c r="CC289"/>
  <c r="CC149"/>
  <c r="CC354"/>
  <c r="CC179"/>
  <c r="CC288"/>
  <c r="CC345"/>
  <c r="CC361"/>
  <c r="CC322"/>
  <c r="CC175"/>
  <c r="CC147"/>
  <c r="CC74"/>
  <c r="CC44"/>
  <c r="CC71"/>
  <c r="CC377"/>
  <c r="CC185"/>
  <c r="CC281"/>
  <c r="CC386"/>
  <c r="CC275"/>
  <c r="CC266"/>
  <c r="CC338"/>
  <c r="CC246"/>
  <c r="CC133"/>
  <c r="CC388"/>
  <c r="CC192"/>
  <c r="CC114"/>
  <c r="CC212"/>
  <c r="CC249"/>
  <c r="CC355"/>
  <c r="CC193"/>
  <c r="CC278"/>
  <c r="CC363"/>
  <c r="CC43"/>
  <c r="CC189"/>
  <c r="CC328"/>
  <c r="CC244"/>
  <c r="CC157"/>
  <c r="CC230"/>
  <c r="CC61"/>
  <c r="CC67"/>
  <c r="CC151"/>
  <c r="CC172"/>
  <c r="CC227"/>
  <c r="CC319"/>
  <c r="CC334"/>
  <c r="CC233"/>
  <c r="CC290"/>
  <c r="CC160"/>
  <c r="CC340"/>
  <c r="CC63"/>
  <c r="CC350"/>
  <c r="CC320"/>
  <c r="CC111"/>
  <c r="CC122"/>
  <c r="CC79"/>
  <c r="CC68"/>
  <c r="CC300"/>
  <c r="CC103"/>
  <c r="CC375"/>
  <c r="CC228"/>
  <c r="CC285"/>
  <c r="CC270"/>
  <c r="CC262"/>
  <c r="CC268"/>
  <c r="CC136"/>
  <c r="CC60"/>
  <c r="CC261"/>
  <c r="CC365"/>
  <c r="CC380"/>
  <c r="CC53"/>
  <c r="CC139"/>
  <c r="CC209"/>
  <c r="CC48"/>
  <c r="CC356"/>
  <c r="CC166"/>
  <c r="CC56"/>
  <c r="CC367"/>
  <c r="CC339"/>
  <c r="CC65"/>
  <c r="CC181"/>
  <c r="CC177"/>
  <c r="CC214"/>
  <c r="CC371"/>
  <c r="CC396"/>
  <c r="CC200"/>
  <c r="CC59"/>
  <c r="CC329"/>
  <c r="CC188"/>
  <c r="CC384"/>
  <c r="CC113"/>
  <c r="CC76"/>
  <c r="CC150"/>
  <c r="CC236"/>
  <c r="CC184"/>
  <c r="CC335"/>
  <c r="CC362"/>
  <c r="CC80"/>
  <c r="CC84"/>
  <c r="CC97"/>
  <c r="CC187"/>
  <c r="CC366"/>
  <c r="CC223"/>
  <c r="CC167"/>
  <c r="CC302"/>
  <c r="CC140"/>
  <c r="CC98"/>
  <c r="CC176"/>
  <c r="CC154"/>
  <c r="CC211"/>
  <c r="CC86"/>
  <c r="CC180"/>
  <c r="CC198"/>
  <c r="CC341"/>
  <c r="CC104"/>
  <c r="CC127"/>
  <c r="CC95"/>
  <c r="CC344"/>
  <c r="CC379"/>
  <c r="CC330"/>
  <c r="CC267"/>
  <c r="CC190"/>
  <c r="CC81"/>
  <c r="CC168"/>
  <c r="CC91"/>
  <c r="CC324"/>
  <c r="CC383"/>
  <c r="CC250"/>
  <c r="CC282"/>
  <c r="CC276"/>
  <c r="CC349"/>
  <c r="CC333"/>
  <c r="CC337"/>
  <c r="CC279"/>
  <c r="CC336"/>
  <c r="CC222"/>
  <c r="CC165"/>
  <c r="CC78"/>
  <c r="CC110"/>
  <c r="CC105"/>
  <c r="CC353"/>
  <c r="CC357"/>
  <c r="CC401"/>
  <c r="CC359"/>
  <c r="CC220"/>
  <c r="CC264"/>
  <c r="CC352"/>
  <c r="CC253"/>
  <c r="CC145"/>
  <c r="CC240"/>
  <c r="CC347"/>
  <c r="CC312"/>
  <c r="Y325" i="43"/>
  <c r="AC325" s="1"/>
  <c r="Y190"/>
  <c r="AC190" s="1"/>
  <c r="Y217"/>
  <c r="AC217" s="1"/>
  <c r="Y194"/>
  <c r="AC194" s="1"/>
  <c r="Y214"/>
  <c r="AC214" s="1"/>
  <c r="Y412"/>
  <c r="AC412" s="1"/>
  <c r="Y172"/>
  <c r="AC172" s="1"/>
  <c r="Y122"/>
  <c r="AC122" s="1"/>
  <c r="Y252"/>
  <c r="AC252" s="1"/>
  <c r="Y383"/>
  <c r="AC383" s="1"/>
  <c r="Y411"/>
  <c r="AC411" s="1"/>
  <c r="Y369"/>
  <c r="AC369" s="1"/>
  <c r="Y269"/>
  <c r="AC269" s="1"/>
  <c r="Y102"/>
  <c r="AC102" s="1"/>
  <c r="Y100"/>
  <c r="AC100" s="1"/>
  <c r="Y99"/>
  <c r="AC99" s="1"/>
  <c r="Y93"/>
  <c r="AC93" s="1"/>
  <c r="Y80"/>
  <c r="AC80" s="1"/>
  <c r="Y302"/>
  <c r="AC302" s="1"/>
  <c r="Y348"/>
  <c r="AC348" s="1"/>
  <c r="Y105"/>
  <c r="AC105" s="1"/>
  <c r="Y209"/>
  <c r="AC209" s="1"/>
  <c r="Y351"/>
  <c r="AC351" s="1"/>
  <c r="Y200"/>
  <c r="AC200" s="1"/>
  <c r="Y309"/>
  <c r="AC309" s="1"/>
  <c r="Y197"/>
  <c r="AC197" s="1"/>
  <c r="Y149"/>
  <c r="AC149" s="1"/>
  <c r="Y257"/>
  <c r="AC257" s="1"/>
  <c r="Y241"/>
  <c r="AC241" s="1"/>
  <c r="Y134"/>
  <c r="AC134" s="1"/>
  <c r="Y174"/>
  <c r="AC174" s="1"/>
  <c r="Y237"/>
  <c r="AC237" s="1"/>
  <c r="Y179"/>
  <c r="AC179" s="1"/>
  <c r="Y402"/>
  <c r="AC402" s="1"/>
  <c r="Y350"/>
  <c r="AC350" s="1"/>
  <c r="Y192"/>
  <c r="AC192" s="1"/>
  <c r="Y305"/>
  <c r="AC305" s="1"/>
  <c r="Y145"/>
  <c r="AC145" s="1"/>
  <c r="Y178"/>
  <c r="AC178" s="1"/>
  <c r="Y294"/>
  <c r="AC294" s="1"/>
  <c r="Y156"/>
  <c r="AC156" s="1"/>
  <c r="Y262"/>
  <c r="AC262" s="1"/>
  <c r="Y314"/>
  <c r="AC314" s="1"/>
  <c r="Y313"/>
  <c r="AC313" s="1"/>
  <c r="Y129"/>
  <c r="AC129" s="1"/>
  <c r="Y260"/>
  <c r="AC260" s="1"/>
  <c r="Y427"/>
  <c r="AC427" s="1"/>
  <c r="Y289"/>
  <c r="AC289" s="1"/>
  <c r="Y374"/>
  <c r="AC374" s="1"/>
  <c r="Y398"/>
  <c r="AC398" s="1"/>
  <c r="Y96"/>
  <c r="AC96" s="1"/>
  <c r="Y115"/>
  <c r="AC115" s="1"/>
  <c r="Y421"/>
  <c r="AC421" s="1"/>
  <c r="Y377"/>
  <c r="AC377" s="1"/>
  <c r="Y235"/>
  <c r="AC235" s="1"/>
  <c r="Y286"/>
  <c r="AC286" s="1"/>
  <c r="Y109"/>
  <c r="AC109" s="1"/>
  <c r="Y78"/>
  <c r="AC78" s="1"/>
  <c r="Y184"/>
  <c r="AC184" s="1"/>
  <c r="Y173"/>
  <c r="AC173" s="1"/>
  <c r="Y388"/>
  <c r="AC388" s="1"/>
  <c r="Y208"/>
  <c r="AC208" s="1"/>
  <c r="Y141"/>
  <c r="AC141" s="1"/>
  <c r="Y321"/>
  <c r="AC321" s="1"/>
  <c r="Y89"/>
  <c r="AC89" s="1"/>
  <c r="Y307"/>
  <c r="AC307" s="1"/>
  <c r="Y359"/>
  <c r="AC359" s="1"/>
  <c r="Y299"/>
  <c r="AC299" s="1"/>
  <c r="Y193"/>
  <c r="AC193" s="1"/>
  <c r="Y110"/>
  <c r="AC110" s="1"/>
  <c r="Y292"/>
  <c r="AC292" s="1"/>
  <c r="Y94"/>
  <c r="AC94" s="1"/>
  <c r="Y399"/>
  <c r="AC399" s="1"/>
  <c r="Y375"/>
  <c r="AC375" s="1"/>
  <c r="Y389"/>
  <c r="AC389" s="1"/>
  <c r="Y392"/>
  <c r="AC392" s="1"/>
  <c r="Y370"/>
  <c r="AC370" s="1"/>
  <c r="Y381"/>
  <c r="AC381" s="1"/>
  <c r="Y404"/>
  <c r="AC404" s="1"/>
  <c r="Y205"/>
  <c r="AC205" s="1"/>
  <c r="Y213"/>
  <c r="AC213" s="1"/>
  <c r="Y378"/>
  <c r="AC378" s="1"/>
  <c r="Y418"/>
  <c r="AC418" s="1"/>
  <c r="Y290"/>
  <c r="AC290" s="1"/>
  <c r="Y116"/>
  <c r="AC116" s="1"/>
  <c r="Y204"/>
  <c r="AC204" s="1"/>
  <c r="Y160"/>
  <c r="AC160" s="1"/>
  <c r="Y97"/>
  <c r="AC97" s="1"/>
  <c r="Y215"/>
  <c r="AC215" s="1"/>
  <c r="Y87"/>
  <c r="AC87" s="1"/>
  <c r="Y203"/>
  <c r="AC203" s="1"/>
  <c r="Y436"/>
  <c r="AC436" s="1"/>
  <c r="Y397"/>
  <c r="AC397" s="1"/>
  <c r="Y140"/>
  <c r="AC140" s="1"/>
  <c r="Y117"/>
  <c r="AC117" s="1"/>
  <c r="Y201"/>
  <c r="AC201" s="1"/>
  <c r="Y363"/>
  <c r="AC363" s="1"/>
  <c r="Y69"/>
  <c r="AC69" s="1"/>
  <c r="Y274"/>
  <c r="AC274" s="1"/>
  <c r="Y373"/>
  <c r="AC373" s="1"/>
  <c r="Y330"/>
  <c r="AC330" s="1"/>
  <c r="Y222"/>
  <c r="AC222" s="1"/>
  <c r="Y84"/>
  <c r="AC84" s="1"/>
  <c r="Y155"/>
  <c r="AC155" s="1"/>
  <c r="Y265"/>
  <c r="AC265" s="1"/>
  <c r="Y385"/>
  <c r="AC385" s="1"/>
  <c r="Y312"/>
  <c r="AC312" s="1"/>
  <c r="Y394"/>
  <c r="AC394" s="1"/>
  <c r="Y104"/>
  <c r="AC104" s="1"/>
  <c r="Y282"/>
  <c r="AC282" s="1"/>
  <c r="Y310"/>
  <c r="AC310" s="1"/>
  <c r="Y238"/>
  <c r="AC238" s="1"/>
  <c r="Y268"/>
  <c r="AC268" s="1"/>
  <c r="Y76"/>
  <c r="AC76" s="1"/>
  <c r="Y306"/>
  <c r="AC306" s="1"/>
  <c r="Y270"/>
  <c r="AC270" s="1"/>
  <c r="Y263"/>
  <c r="AC263" s="1"/>
  <c r="Y376"/>
  <c r="AC376" s="1"/>
  <c r="Y285"/>
  <c r="AC285" s="1"/>
  <c r="Y395"/>
  <c r="AC395" s="1"/>
  <c r="Y125"/>
  <c r="AC125" s="1"/>
  <c r="Y355"/>
  <c r="AC355" s="1"/>
  <c r="Y380"/>
  <c r="AC380" s="1"/>
  <c r="Y244"/>
  <c r="AC244" s="1"/>
  <c r="Y108"/>
  <c r="AC108" s="1"/>
  <c r="Y139"/>
  <c r="AC139" s="1"/>
  <c r="Y111"/>
  <c r="AC111" s="1"/>
  <c r="Y406"/>
  <c r="AC406" s="1"/>
  <c r="Y181"/>
  <c r="AC181" s="1"/>
  <c r="Y430"/>
  <c r="AC430" s="1"/>
  <c r="Y300"/>
  <c r="AC300" s="1"/>
  <c r="Y157"/>
  <c r="AC157" s="1"/>
  <c r="Y352"/>
  <c r="AC352" s="1"/>
  <c r="Y128"/>
  <c r="AC128" s="1"/>
  <c r="Y400"/>
  <c r="AC400" s="1"/>
  <c r="Y413"/>
  <c r="AC413" s="1"/>
  <c r="Y434"/>
  <c r="AC434" s="1"/>
  <c r="Y135"/>
  <c r="AC135" s="1"/>
  <c r="Y396"/>
  <c r="AC396" s="1"/>
  <c r="Y288"/>
  <c r="AC288" s="1"/>
  <c r="Y121"/>
  <c r="AC121" s="1"/>
  <c r="Y426"/>
  <c r="AC426" s="1"/>
  <c r="Y86"/>
  <c r="AC86" s="1"/>
  <c r="Y431"/>
  <c r="AC431" s="1"/>
  <c r="Y254"/>
  <c r="AC254" s="1"/>
  <c r="Y230"/>
  <c r="AC230" s="1"/>
  <c r="Y384"/>
  <c r="AC384" s="1"/>
  <c r="Y423"/>
  <c r="AC423" s="1"/>
  <c r="Y154"/>
  <c r="AC154" s="1"/>
  <c r="Y151"/>
  <c r="AC151" s="1"/>
  <c r="Y415"/>
  <c r="AC415" s="1"/>
  <c r="Y429"/>
  <c r="AC429" s="1"/>
  <c r="Y206"/>
  <c r="AC206" s="1"/>
  <c r="Y146"/>
  <c r="AC146" s="1"/>
  <c r="Y357"/>
  <c r="AC357" s="1"/>
  <c r="Y387"/>
  <c r="AC387" s="1"/>
  <c r="Y211"/>
  <c r="AC211" s="1"/>
  <c r="Y198"/>
  <c r="AC198" s="1"/>
  <c r="Y221"/>
  <c r="AC221" s="1"/>
  <c r="Y224"/>
  <c r="AC224" s="1"/>
  <c r="Y85"/>
  <c r="AC85" s="1"/>
  <c r="Y88"/>
  <c r="AC88" s="1"/>
  <c r="Y368"/>
  <c r="AC368" s="1"/>
  <c r="Y216"/>
  <c r="AC216" s="1"/>
  <c r="Y422"/>
  <c r="AC422" s="1"/>
  <c r="Y119"/>
  <c r="AC119" s="1"/>
  <c r="Y77"/>
  <c r="AC77" s="1"/>
  <c r="Y353"/>
  <c r="AC353" s="1"/>
  <c r="Y167"/>
  <c r="AC167" s="1"/>
  <c r="Y103"/>
  <c r="AC103" s="1"/>
  <c r="Y199"/>
  <c r="AC199" s="1"/>
  <c r="Y277"/>
  <c r="AC277" s="1"/>
  <c r="Y401"/>
  <c r="AC401" s="1"/>
  <c r="Y349"/>
  <c r="AC349" s="1"/>
  <c r="Y297"/>
  <c r="AC297" s="1"/>
  <c r="Y83"/>
  <c r="AC83" s="1"/>
  <c r="Y91"/>
  <c r="AC91" s="1"/>
  <c r="Y320"/>
  <c r="AC320" s="1"/>
  <c r="Y372"/>
  <c r="AC372" s="1"/>
  <c r="Y138"/>
  <c r="AC138" s="1"/>
  <c r="Y356"/>
  <c r="AC356" s="1"/>
  <c r="Y379"/>
  <c r="AC379" s="1"/>
  <c r="Y163"/>
  <c r="AC163" s="1"/>
  <c r="Y367"/>
  <c r="AC367" s="1"/>
  <c r="Y92"/>
  <c r="AC92" s="1"/>
  <c r="Y171"/>
  <c r="AC171" s="1"/>
  <c r="Y169"/>
  <c r="AC169" s="1"/>
  <c r="Y247"/>
  <c r="AC247" s="1"/>
  <c r="Y113"/>
  <c r="AC113" s="1"/>
  <c r="Y403"/>
  <c r="AC403" s="1"/>
  <c r="Y364"/>
  <c r="AC364" s="1"/>
  <c r="Y175"/>
  <c r="AC175" s="1"/>
  <c r="Y220"/>
  <c r="AC220" s="1"/>
  <c r="Y303"/>
  <c r="AC303" s="1"/>
  <c r="Y236"/>
  <c r="AC236" s="1"/>
  <c r="Y361"/>
  <c r="AC361" s="1"/>
  <c r="Y414"/>
  <c r="AC414" s="1"/>
  <c r="Y233"/>
  <c r="AC233" s="1"/>
  <c r="Y187"/>
  <c r="AC187" s="1"/>
  <c r="Y417"/>
  <c r="AC417" s="1"/>
  <c r="Y324"/>
  <c r="AC324" s="1"/>
  <c r="Y98"/>
  <c r="AC98" s="1"/>
  <c r="Y264"/>
  <c r="AC264" s="1"/>
  <c r="Y191"/>
  <c r="AC191" s="1"/>
  <c r="Y405"/>
  <c r="AC405" s="1"/>
  <c r="Y315"/>
  <c r="AC315" s="1"/>
  <c r="Y212"/>
  <c r="AC212" s="1"/>
  <c r="Y196"/>
  <c r="AC196" s="1"/>
  <c r="Y409"/>
  <c r="AC409" s="1"/>
  <c r="Y371"/>
  <c r="AC371" s="1"/>
  <c r="Y273"/>
  <c r="AC273" s="1"/>
  <c r="Y133"/>
  <c r="AC133" s="1"/>
  <c r="Y365"/>
  <c r="AC365" s="1"/>
  <c r="Y72"/>
  <c r="AC72" s="1"/>
  <c r="Y360"/>
  <c r="AC360" s="1"/>
  <c r="Y120"/>
  <c r="AC120" s="1"/>
  <c r="Y127"/>
  <c r="AC127" s="1"/>
  <c r="Y68"/>
  <c r="AC68" s="1"/>
  <c r="Y382"/>
  <c r="AC382" s="1"/>
  <c r="Y326"/>
  <c r="AC326" s="1"/>
  <c r="Y101"/>
  <c r="AC101" s="1"/>
  <c r="Y386"/>
  <c r="AC386" s="1"/>
  <c r="Y419"/>
  <c r="AC419" s="1"/>
  <c r="Y251"/>
  <c r="AC251" s="1"/>
  <c r="Y425"/>
  <c r="AC425" s="1"/>
  <c r="Y246"/>
  <c r="AC246" s="1"/>
  <c r="Y390"/>
  <c r="AC390" s="1"/>
  <c r="Y358"/>
  <c r="AC358" s="1"/>
  <c r="Y291"/>
  <c r="AC291" s="1"/>
  <c r="Y391"/>
  <c r="AC391" s="1"/>
  <c r="Y195"/>
  <c r="AC195" s="1"/>
  <c r="Y435"/>
  <c r="AC435" s="1"/>
  <c r="Y410"/>
  <c r="AC410" s="1"/>
  <c r="Y95"/>
  <c r="AC95" s="1"/>
  <c r="Y164"/>
  <c r="AC164" s="1"/>
  <c r="Y176"/>
  <c r="AC176" s="1"/>
  <c r="Y362"/>
  <c r="AC362" s="1"/>
  <c r="Y137"/>
  <c r="AC137" s="1"/>
  <c r="Y354"/>
  <c r="AC354" s="1"/>
  <c r="Y147"/>
  <c r="AC147" s="1"/>
  <c r="Y189"/>
  <c r="AC189" s="1"/>
  <c r="CR130" i="1"/>
  <c r="CS130" s="1"/>
  <c r="CR306"/>
  <c r="CS306" s="1"/>
  <c r="CR367"/>
  <c r="CS367" s="1"/>
  <c r="CR89"/>
  <c r="CS89" s="1"/>
  <c r="CR314"/>
  <c r="CS314" s="1"/>
  <c r="CR262"/>
  <c r="CS262" s="1"/>
  <c r="CR69"/>
  <c r="CS69" s="1"/>
  <c r="AX404"/>
  <c r="Y347" i="43"/>
  <c r="CR312" i="1"/>
  <c r="CR302"/>
  <c r="CS302" s="1"/>
  <c r="CR266"/>
  <c r="CS266" s="1"/>
  <c r="CR104"/>
  <c r="CS104" s="1"/>
  <c r="CR379"/>
  <c r="CS379" s="1"/>
  <c r="CR350"/>
  <c r="CS350" s="1"/>
  <c r="CR286"/>
  <c r="CS286" s="1"/>
  <c r="CR297"/>
  <c r="CS297" s="1"/>
  <c r="CR187"/>
  <c r="CS187" s="1"/>
  <c r="CR344"/>
  <c r="CS344" s="1"/>
  <c r="CR132"/>
  <c r="CS132" s="1"/>
  <c r="CR370"/>
  <c r="CS370" s="1"/>
  <c r="CR59"/>
  <c r="CS59" s="1"/>
  <c r="CR261"/>
  <c r="CS261" s="1"/>
  <c r="CR139"/>
  <c r="CS139" s="1"/>
  <c r="CR387"/>
  <c r="CS387" s="1"/>
  <c r="CR323"/>
  <c r="CS323" s="1"/>
  <c r="CR339"/>
  <c r="CS339" s="1"/>
  <c r="CR391"/>
  <c r="CS391" s="1"/>
  <c r="CR189"/>
  <c r="CS189" s="1"/>
  <c r="CR125"/>
  <c r="CS125" s="1"/>
  <c r="CR368"/>
  <c r="CS368" s="1"/>
  <c r="CR268"/>
  <c r="CS268" s="1"/>
  <c r="CR140"/>
  <c r="CS140" s="1"/>
  <c r="CR401"/>
  <c r="CS401" s="1"/>
  <c r="CR127"/>
  <c r="CS127" s="1"/>
  <c r="CR330"/>
  <c r="CS330" s="1"/>
  <c r="CR13"/>
  <c r="AX15"/>
  <c r="Y13" i="43"/>
  <c r="CR87" i="1"/>
  <c r="CS87" s="1"/>
  <c r="CR340"/>
  <c r="CS340" s="1"/>
  <c r="CR81"/>
  <c r="CS81" s="1"/>
  <c r="CR328"/>
  <c r="CS328" s="1"/>
  <c r="CR85"/>
  <c r="CS85" s="1"/>
  <c r="CR77"/>
  <c r="CS77" s="1"/>
  <c r="CR228"/>
  <c r="CS228" s="1"/>
  <c r="CR365"/>
  <c r="CS365" s="1"/>
  <c r="CR209"/>
  <c r="CS209" s="1"/>
  <c r="CR288"/>
  <c r="CS288" s="1"/>
  <c r="CR214"/>
  <c r="CS214" s="1"/>
  <c r="CR65"/>
  <c r="CS65" s="1"/>
  <c r="CR174"/>
  <c r="CS174" s="1"/>
  <c r="CR73"/>
  <c r="CS73" s="1"/>
  <c r="CR238"/>
  <c r="CS238" s="1"/>
  <c r="CR291"/>
  <c r="CS291" s="1"/>
  <c r="CR346"/>
  <c r="CS346" s="1"/>
  <c r="CR360"/>
  <c r="CS360" s="1"/>
  <c r="CR14"/>
  <c r="CS14" s="1"/>
  <c r="Y14" i="43"/>
  <c r="AC14" s="1"/>
  <c r="CR95" i="1"/>
  <c r="CS95" s="1"/>
  <c r="CR267"/>
  <c r="CS267" s="1"/>
  <c r="CR363"/>
  <c r="CS363" s="1"/>
  <c r="CR62"/>
  <c r="CS62" s="1"/>
  <c r="CR148"/>
  <c r="CS148" s="1"/>
  <c r="CR233"/>
  <c r="CS233" s="1"/>
  <c r="CR329"/>
  <c r="CS329" s="1"/>
  <c r="CR253"/>
  <c r="CS253" s="1"/>
  <c r="CR152"/>
  <c r="CS152" s="1"/>
  <c r="CR362"/>
  <c r="CS362" s="1"/>
  <c r="CR380"/>
  <c r="CS380" s="1"/>
  <c r="CR48"/>
  <c r="CS48" s="1"/>
  <c r="CR315"/>
  <c r="CS315" s="1"/>
  <c r="CR371"/>
  <c r="CS371" s="1"/>
  <c r="CR354"/>
  <c r="CS354" s="1"/>
  <c r="CR198"/>
  <c r="CS198" s="1"/>
  <c r="CR45"/>
  <c r="CS45" s="1"/>
  <c r="CR54"/>
  <c r="CS54" s="1"/>
  <c r="CR351"/>
  <c r="CS351" s="1"/>
  <c r="CR92"/>
  <c r="CS92" s="1"/>
  <c r="CR378"/>
  <c r="CS378" s="1"/>
  <c r="CR163"/>
  <c r="CS163" s="1"/>
  <c r="CR176"/>
  <c r="CS176" s="1"/>
  <c r="CR244"/>
  <c r="CS244" s="1"/>
  <c r="CR43"/>
  <c r="Y67" i="43"/>
  <c r="AX310" i="1"/>
  <c r="AX407" s="1"/>
  <c r="AX411" s="1"/>
  <c r="CR197"/>
  <c r="CS197" s="1"/>
  <c r="CR334"/>
  <c r="CS334" s="1"/>
  <c r="CR290"/>
  <c r="CS290" s="1"/>
  <c r="CR188"/>
  <c r="CS188" s="1"/>
  <c r="CR190"/>
  <c r="CS190" s="1"/>
  <c r="CR101"/>
  <c r="CS101" s="1"/>
  <c r="CR332"/>
  <c r="CS332" s="1"/>
  <c r="CR53"/>
  <c r="CS53" s="1"/>
  <c r="CR356"/>
  <c r="CS356" s="1"/>
  <c r="CR72"/>
  <c r="CS72" s="1"/>
  <c r="CR396"/>
  <c r="CS396" s="1"/>
  <c r="CR337"/>
  <c r="CS337" s="1"/>
  <c r="CR217"/>
  <c r="CS217" s="1"/>
  <c r="CR151"/>
  <c r="CS151" s="1"/>
  <c r="CR301"/>
  <c r="CS301" s="1"/>
  <c r="CR327"/>
  <c r="CS327" s="1"/>
  <c r="CR76"/>
  <c r="CS76" s="1"/>
  <c r="CR394"/>
  <c r="CS394" s="1"/>
  <c r="CR325"/>
  <c r="CS325" s="1"/>
  <c r="CR168"/>
  <c r="CS168" s="1"/>
  <c r="CR157"/>
  <c r="CS157" s="1"/>
  <c r="CR193"/>
  <c r="CS193" s="1"/>
  <c r="CR60"/>
  <c r="CS60" s="1"/>
  <c r="CR56"/>
  <c r="CS56" s="1"/>
  <c r="CR160"/>
  <c r="CS160" s="1"/>
  <c r="CR384"/>
  <c r="CS384" s="1"/>
  <c r="CR321"/>
  <c r="CS321" s="1"/>
  <c r="AD442" i="43"/>
  <c r="CR399" i="1"/>
  <c r="CS399" s="1"/>
  <c r="CR382"/>
  <c r="CS382" s="1"/>
  <c r="CR359"/>
  <c r="CS359" s="1"/>
  <c r="CR52"/>
  <c r="CS52" s="1"/>
  <c r="CR283"/>
  <c r="CS283" s="1"/>
  <c r="CR200"/>
  <c r="CS200" s="1"/>
  <c r="CR191"/>
  <c r="CS191" s="1"/>
  <c r="CR289"/>
  <c r="CS289" s="1"/>
  <c r="CR172"/>
  <c r="CS172" s="1"/>
  <c r="CR67"/>
  <c r="CS67" s="1"/>
  <c r="CR320"/>
  <c r="CS320" s="1"/>
  <c r="CR68"/>
  <c r="CS68" s="1"/>
  <c r="CR318"/>
  <c r="CS318" s="1"/>
  <c r="CR171"/>
  <c r="CS171" s="1"/>
  <c r="CR91"/>
  <c r="CS91" s="1"/>
  <c r="CR230"/>
  <c r="CS230" s="1"/>
  <c r="CR343"/>
  <c r="CS343" s="1"/>
  <c r="CR110"/>
  <c r="CS110" s="1"/>
  <c r="CR196"/>
  <c r="CS196" s="1"/>
  <c r="CR70"/>
  <c r="CS70" s="1"/>
  <c r="CR113"/>
  <c r="CS113" s="1"/>
  <c r="CR116"/>
  <c r="CS116" s="1"/>
  <c r="CR182"/>
  <c r="CS182" s="1"/>
  <c r="CR96"/>
  <c r="CS96" s="1"/>
  <c r="CR281"/>
  <c r="CS281" s="1"/>
  <c r="AD439" i="43"/>
  <c r="CR395" i="1"/>
  <c r="CS395" s="1"/>
  <c r="CR273"/>
  <c r="CS273" s="1"/>
  <c r="CR185"/>
  <c r="CS185" s="1"/>
  <c r="CR250"/>
  <c r="CS250" s="1"/>
  <c r="CR149"/>
  <c r="CS149" s="1"/>
  <c r="CR227"/>
  <c r="CS227" s="1"/>
  <c r="CR180"/>
  <c r="CS180" s="1"/>
  <c r="CR111"/>
  <c r="CS111" s="1"/>
  <c r="CR300"/>
  <c r="CS300" s="1"/>
  <c r="CR80"/>
  <c r="CS80" s="1"/>
  <c r="CR282"/>
  <c r="CS282" s="1"/>
  <c r="CR324"/>
  <c r="CS324" s="1"/>
  <c r="CR61"/>
  <c r="CS61" s="1"/>
  <c r="CR63"/>
  <c r="CS63" s="1"/>
  <c r="CR105"/>
  <c r="CS105" s="1"/>
  <c r="CR374"/>
  <c r="CS374" s="1"/>
  <c r="CR369"/>
  <c r="CS369" s="1"/>
  <c r="CR345"/>
  <c r="CS345" s="1"/>
  <c r="CR147"/>
  <c r="CS147" s="1"/>
  <c r="CR143"/>
  <c r="CS143" s="1"/>
  <c r="CR400"/>
  <c r="CS400" s="1"/>
  <c r="CR386"/>
  <c r="CS386" s="1"/>
  <c r="CR206"/>
  <c r="CS206" s="1"/>
  <c r="CR383"/>
  <c r="CS383" s="1"/>
  <c r="CR150"/>
  <c r="CS150" s="1"/>
  <c r="CR279"/>
  <c r="CS279" s="1"/>
  <c r="CR366"/>
  <c r="CS366" s="1"/>
  <c r="CR319"/>
  <c r="CS319" s="1"/>
  <c r="CR93"/>
  <c r="CS93" s="1"/>
  <c r="CR122"/>
  <c r="CS122" s="1"/>
  <c r="CR103"/>
  <c r="CS103" s="1"/>
  <c r="CR121"/>
  <c r="CS121" s="1"/>
  <c r="CR276"/>
  <c r="CS276" s="1"/>
  <c r="CR357"/>
  <c r="CS357" s="1"/>
  <c r="CR131"/>
  <c r="CS131" s="1"/>
  <c r="CR278"/>
  <c r="CS278" s="1"/>
  <c r="CR353"/>
  <c r="CS353" s="1"/>
  <c r="CR390"/>
  <c r="CS390" s="1"/>
  <c r="CR348"/>
  <c r="CS348" s="1"/>
  <c r="CR361"/>
  <c r="CS361" s="1"/>
  <c r="CR74"/>
  <c r="CS74" s="1"/>
  <c r="CR285"/>
  <c r="CS285" s="1"/>
  <c r="CR246"/>
  <c r="CS246" s="1"/>
  <c r="CR275"/>
  <c r="CS275" s="1"/>
  <c r="CR64"/>
  <c r="CS64" s="1"/>
  <c r="CR245"/>
  <c r="CS245" s="1"/>
  <c r="CR236"/>
  <c r="CS236" s="1"/>
  <c r="CR336"/>
  <c r="CS336" s="1"/>
  <c r="CR181"/>
  <c r="CS181" s="1"/>
  <c r="CR220"/>
  <c r="CS220" s="1"/>
  <c r="CR145"/>
  <c r="CS145" s="1"/>
  <c r="CR79"/>
  <c r="CS79" s="1"/>
  <c r="CR375"/>
  <c r="CS375" s="1"/>
  <c r="CR342"/>
  <c r="CS342" s="1"/>
  <c r="CR349"/>
  <c r="CS349" s="1"/>
  <c r="CR98"/>
  <c r="CS98" s="1"/>
  <c r="CR213"/>
  <c r="CS213" s="1"/>
  <c r="CR212"/>
  <c r="CS212" s="1"/>
  <c r="CR364"/>
  <c r="CS364" s="1"/>
  <c r="CR123"/>
  <c r="CS123" s="1"/>
  <c r="CR75"/>
  <c r="CS75" s="1"/>
  <c r="CR322"/>
  <c r="CS322" s="1"/>
  <c r="CR44"/>
  <c r="CS44" s="1"/>
  <c r="CR154"/>
  <c r="CS154" s="1"/>
  <c r="CR133"/>
  <c r="CS133" s="1"/>
  <c r="CR170"/>
  <c r="CS170" s="1"/>
  <c r="CR241"/>
  <c r="CS241" s="1"/>
  <c r="CR338"/>
  <c r="CS338" s="1"/>
  <c r="CR184"/>
  <c r="CS184" s="1"/>
  <c r="CR222"/>
  <c r="CS222" s="1"/>
  <c r="CR136"/>
  <c r="CS136" s="1"/>
  <c r="CR264"/>
  <c r="CS264" s="1"/>
  <c r="CR240"/>
  <c r="CS240" s="1"/>
  <c r="CR258"/>
  <c r="CS258" s="1"/>
  <c r="CR239"/>
  <c r="CS239" s="1"/>
  <c r="CR169"/>
  <c r="CS169" s="1"/>
  <c r="CR333"/>
  <c r="CS333" s="1"/>
  <c r="CR179"/>
  <c r="CS179" s="1"/>
  <c r="CR392"/>
  <c r="CS392" s="1"/>
  <c r="CR249"/>
  <c r="CS249" s="1"/>
  <c r="CR377"/>
  <c r="CS377" s="1"/>
  <c r="CR84"/>
  <c r="CS84" s="1"/>
  <c r="CR223"/>
  <c r="CS223" s="1"/>
  <c r="CR175"/>
  <c r="CS175" s="1"/>
  <c r="CR71"/>
  <c r="CS71" s="1"/>
  <c r="CR211"/>
  <c r="CS211" s="1"/>
  <c r="CR388"/>
  <c r="CS388" s="1"/>
  <c r="CR114"/>
  <c r="CS114" s="1"/>
  <c r="CR155"/>
  <c r="CS155" s="1"/>
  <c r="CR326"/>
  <c r="CS326" s="1"/>
  <c r="CR166"/>
  <c r="CS166" s="1"/>
  <c r="CR165"/>
  <c r="CS165" s="1"/>
  <c r="CR177"/>
  <c r="CS177" s="1"/>
  <c r="CR352"/>
  <c r="CS352" s="1"/>
  <c r="CR347"/>
  <c r="CS347" s="1"/>
  <c r="CR270"/>
  <c r="CS270" s="1"/>
  <c r="CR317"/>
  <c r="CS317" s="1"/>
  <c r="CR335"/>
  <c r="CS335" s="1"/>
  <c r="CR316"/>
  <c r="CS316" s="1"/>
  <c r="CR313"/>
  <c r="CS313" s="1"/>
  <c r="CR117"/>
  <c r="CS117" s="1"/>
  <c r="CR355"/>
  <c r="CS355" s="1"/>
  <c r="CR376"/>
  <c r="CS376" s="1"/>
  <c r="CR97"/>
  <c r="CS97" s="1"/>
  <c r="CR167"/>
  <c r="CS167" s="1"/>
  <c r="CR173"/>
  <c r="CS173" s="1"/>
  <c r="CR341"/>
  <c r="CS341" s="1"/>
  <c r="CR86"/>
  <c r="CS86" s="1"/>
  <c r="CR192"/>
  <c r="CS192" s="1"/>
  <c r="CR78"/>
  <c r="CS78" s="1"/>
  <c r="CR265"/>
  <c r="CS265" s="1"/>
  <c r="CR109"/>
  <c r="CS109" s="1"/>
  <c r="CR296"/>
  <c r="CS296" s="1"/>
  <c r="CR115"/>
  <c r="CS115" s="1"/>
  <c r="CC310" l="1"/>
  <c r="Y334" i="43"/>
  <c r="AC67"/>
  <c r="AC334" s="1"/>
  <c r="AE334" s="1"/>
  <c r="CC15" i="1"/>
  <c r="AD15" i="43" s="1"/>
  <c r="CR15" i="1"/>
  <c r="CS13"/>
  <c r="CS15" s="1"/>
  <c r="Y439" i="43"/>
  <c r="AC347"/>
  <c r="AC439" s="1"/>
  <c r="AE439" s="1"/>
  <c r="CC404" i="1"/>
  <c r="CR310"/>
  <c r="CS43"/>
  <c r="CS310" s="1"/>
  <c r="Y15" i="43"/>
  <c r="AC13"/>
  <c r="AC15" s="1"/>
  <c r="CR404" i="1"/>
  <c r="CS312"/>
  <c r="CS404" s="1"/>
  <c r="Y442" i="43" l="1"/>
  <c r="AE15"/>
  <c r="AC442"/>
  <c r="AE442" s="1"/>
  <c r="CR407" i="1"/>
  <c r="CS407"/>
  <c r="CC407"/>
  <c r="CK41" l="1"/>
  <c r="CK407" s="1"/>
  <c r="CJ41"/>
  <c r="CJ407" s="1"/>
</calcChain>
</file>

<file path=xl/sharedStrings.xml><?xml version="1.0" encoding="utf-8"?>
<sst xmlns="http://schemas.openxmlformats.org/spreadsheetml/2006/main" count="28671" uniqueCount="7453">
  <si>
    <t>Nº</t>
  </si>
  <si>
    <t>GRADO</t>
  </si>
  <si>
    <t>CEDULA</t>
  </si>
  <si>
    <t>NOMBRES Y APELLIDOS</t>
  </si>
  <si>
    <t>FECHA DE INGRESO</t>
  </si>
  <si>
    <t>CARGO</t>
  </si>
  <si>
    <t>CODIGO DE CARGO</t>
  </si>
  <si>
    <t>SUELDO BASE</t>
  </si>
  <si>
    <t>PRIMA POR HIJOS</t>
  </si>
  <si>
    <t>BONO NOCTURNO</t>
  </si>
  <si>
    <t>BONO VACACIONAL</t>
  </si>
  <si>
    <t>UNIFORME</t>
  </si>
  <si>
    <t>UTILES ESCOLARES</t>
  </si>
  <si>
    <t>JUGUETES</t>
  </si>
  <si>
    <t>APORTE PATRONAL</t>
  </si>
  <si>
    <t>SUELDO NORMAL MENSUAL</t>
  </si>
  <si>
    <t>PERSONAL DIRECTIVO</t>
  </si>
  <si>
    <t>CODCARGO</t>
  </si>
  <si>
    <t>DESCRIP</t>
  </si>
  <si>
    <t>TIPOCARGO</t>
  </si>
  <si>
    <t>CLASECARGO</t>
  </si>
  <si>
    <t>35131</t>
  </si>
  <si>
    <t>ABOGADO FISCAL I</t>
  </si>
  <si>
    <t>E</t>
  </si>
  <si>
    <t>UT</t>
  </si>
  <si>
    <t>35132</t>
  </si>
  <si>
    <t>ABOGADO FISCAL II</t>
  </si>
  <si>
    <t>35133</t>
  </si>
  <si>
    <t>ABOGADO FISCAL III</t>
  </si>
  <si>
    <t>35134</t>
  </si>
  <si>
    <t>ABOGADO FISCAL IV</t>
  </si>
  <si>
    <t>35135</t>
  </si>
  <si>
    <t>ABOGADO FISCAL JEFE</t>
  </si>
  <si>
    <t>35121</t>
  </si>
  <si>
    <t>ABOGADO I</t>
  </si>
  <si>
    <t>35122</t>
  </si>
  <si>
    <t>ABOGADO II</t>
  </si>
  <si>
    <t>35123</t>
  </si>
  <si>
    <t>ABOGADO III</t>
  </si>
  <si>
    <t>35124</t>
  </si>
  <si>
    <t>ABOGADO IV</t>
  </si>
  <si>
    <t>35125</t>
  </si>
  <si>
    <t>ABOGADO JEFE</t>
  </si>
  <si>
    <t>35151</t>
  </si>
  <si>
    <t>ABOGADO PROCURADURIA I</t>
  </si>
  <si>
    <t>35152</t>
  </si>
  <si>
    <t>ABOGADO PROCURADURIA II</t>
  </si>
  <si>
    <t>35153</t>
  </si>
  <si>
    <t>ABOGADO PROCURADURIA III</t>
  </si>
  <si>
    <t>35154</t>
  </si>
  <si>
    <t>ABOGADO PROCURADURIA IV</t>
  </si>
  <si>
    <t>36151</t>
  </si>
  <si>
    <t>ACTUARIO I</t>
  </si>
  <si>
    <t>36152</t>
  </si>
  <si>
    <t>ACTUARIO II</t>
  </si>
  <si>
    <t>36153</t>
  </si>
  <si>
    <t>ACTUARIO III</t>
  </si>
  <si>
    <t>36154</t>
  </si>
  <si>
    <t>ACTUARIO IV</t>
  </si>
  <si>
    <t>36155</t>
  </si>
  <si>
    <t>ACTUARIO V</t>
  </si>
  <si>
    <t>53111</t>
  </si>
  <si>
    <t>ADJUNTO INTERVENTOR DE ADUANAS I</t>
  </si>
  <si>
    <t>AD</t>
  </si>
  <si>
    <t>02</t>
  </si>
  <si>
    <t>53112</t>
  </si>
  <si>
    <t>ADJUNTO INTERVENTOR DE ADUANAS II</t>
  </si>
  <si>
    <t>03</t>
  </si>
  <si>
    <t>53113</t>
  </si>
  <si>
    <t>ADJUNTO INTERVENTOR DE ADUANAS III</t>
  </si>
  <si>
    <t>37530</t>
  </si>
  <si>
    <t>ADMINISTRADOR DE COLECCIONES</t>
  </si>
  <si>
    <t>12121</t>
  </si>
  <si>
    <t>ADMINISTRADOR I</t>
  </si>
  <si>
    <t>12122</t>
  </si>
  <si>
    <t>ADMINISTRADOR II</t>
  </si>
  <si>
    <t>12123</t>
  </si>
  <si>
    <t>ADMINISTRADOR III</t>
  </si>
  <si>
    <t>12124</t>
  </si>
  <si>
    <t>ADMINISTRADOR IV</t>
  </si>
  <si>
    <t>12130</t>
  </si>
  <si>
    <t>ADMINISTRADOR JEFE</t>
  </si>
  <si>
    <t>45211</t>
  </si>
  <si>
    <t>AEROTOPOGRAFO I</t>
  </si>
  <si>
    <t>45212</t>
  </si>
  <si>
    <t>AEROTOPOGRAFO II</t>
  </si>
  <si>
    <t>04</t>
  </si>
  <si>
    <t>45213</t>
  </si>
  <si>
    <t>AEROTOPOGRAFO III</t>
  </si>
  <si>
    <t>06</t>
  </si>
  <si>
    <t>45214</t>
  </si>
  <si>
    <t>AEROTOPOGRAFO IV</t>
  </si>
  <si>
    <t>08</t>
  </si>
  <si>
    <t>45220</t>
  </si>
  <si>
    <t>AEROTOPOGRAFO JEFE</t>
  </si>
  <si>
    <t>10</t>
  </si>
  <si>
    <t>84211</t>
  </si>
  <si>
    <t>AFERIDOR I</t>
  </si>
  <si>
    <t>01</t>
  </si>
  <si>
    <t>84212</t>
  </si>
  <si>
    <t>AFERIDOR II</t>
  </si>
  <si>
    <t>44110</t>
  </si>
  <si>
    <t>AFORADOR DE HIDROCARBUROS</t>
  </si>
  <si>
    <t>79551</t>
  </si>
  <si>
    <t>AGENTE AYUDA JUVENIL I</t>
  </si>
  <si>
    <t>79552</t>
  </si>
  <si>
    <t>AGENTE AYUDA JUVENIL II</t>
  </si>
  <si>
    <t>41351</t>
  </si>
  <si>
    <t>AGENTE COOPERATIVISTA I</t>
  </si>
  <si>
    <t>41352</t>
  </si>
  <si>
    <t>AGENTE COOPERATIVISTA II</t>
  </si>
  <si>
    <t>86221</t>
  </si>
  <si>
    <t>AGENTE DE INMIGRACION Y EXTRANJERIA I</t>
  </si>
  <si>
    <t>86222</t>
  </si>
  <si>
    <t>AGENTE DE INMIGRACION Y EXTRANJERIA II</t>
  </si>
  <si>
    <t>86223</t>
  </si>
  <si>
    <t>AGENTE DE INMIGRACION Y EXTRANJERIA III</t>
  </si>
  <si>
    <t>79611</t>
  </si>
  <si>
    <t>AGENTE DE VIVIENDA I</t>
  </si>
  <si>
    <t>79612</t>
  </si>
  <si>
    <t>AGENTE DE VIVIENDA II</t>
  </si>
  <si>
    <t>79613</t>
  </si>
  <si>
    <t>AGENTE DE VIVIENDA III</t>
  </si>
  <si>
    <t>43161</t>
  </si>
  <si>
    <t>AGRIMENSOR I</t>
  </si>
  <si>
    <t>43162</t>
  </si>
  <si>
    <t>AGRIMENSOR II</t>
  </si>
  <si>
    <t>43163</t>
  </si>
  <si>
    <t>AGRIMENSOR III</t>
  </si>
  <si>
    <t>43170</t>
  </si>
  <si>
    <t>AGRIMENSOR JEFE</t>
  </si>
  <si>
    <t>25211</t>
  </si>
  <si>
    <t>ALMACENISTA I</t>
  </si>
  <si>
    <t>25212</t>
  </si>
  <si>
    <t>ALMACENISTA II</t>
  </si>
  <si>
    <t>15141</t>
  </si>
  <si>
    <t>ANALISTA CENTRAL DE PERSONAL I</t>
  </si>
  <si>
    <t>15142</t>
  </si>
  <si>
    <t>ANALISTA CENTRAL DE PERSONAL II</t>
  </si>
  <si>
    <t>15143</t>
  </si>
  <si>
    <t>ANALISTA CENTRAL DE PERSONAL III</t>
  </si>
  <si>
    <t>15144</t>
  </si>
  <si>
    <t>ANALISTA CENTRAL DE PERSONAL IV</t>
  </si>
  <si>
    <t>15150</t>
  </si>
  <si>
    <t>ANALISTA CENTRAL DE PERSONAL JEFE</t>
  </si>
  <si>
    <t>13431</t>
  </si>
  <si>
    <t>ANALISTA CENTRAL DE PRESUPUESTO I</t>
  </si>
  <si>
    <t>13432</t>
  </si>
  <si>
    <t>ANALISTA CENTRAL DE PRESUPUESTO II</t>
  </si>
  <si>
    <t>13433</t>
  </si>
  <si>
    <t>ANALISTA CENTRAL DE PRESUPUESTO III</t>
  </si>
  <si>
    <t>13434</t>
  </si>
  <si>
    <t>ANALISTA CENTRAL DE PRESUPUESTO IV</t>
  </si>
  <si>
    <t>13440</t>
  </si>
  <si>
    <t>ANALISTA CENTRAL DE PRESUPUESTO JEFE</t>
  </si>
  <si>
    <t>13251</t>
  </si>
  <si>
    <t>ANALISTA CENTRAL ORGAN. Y SISTEMAS I</t>
  </si>
  <si>
    <t>13252</t>
  </si>
  <si>
    <t>ANALISTA CENTRAL ORGAN. Y SISTEMAS II</t>
  </si>
  <si>
    <t>13253</t>
  </si>
  <si>
    <t>ANALISTA CENTRAL ORGAN. Y SISTEMAS III</t>
  </si>
  <si>
    <t>13254</t>
  </si>
  <si>
    <t>ANALISTA CENTRAL ORGAN. Y SISTEMAS IV</t>
  </si>
  <si>
    <t>13260</t>
  </si>
  <si>
    <t>ANALISTA CENTRAL ORGAN. Y SISTEMAS JEFE</t>
  </si>
  <si>
    <t>15140</t>
  </si>
  <si>
    <t>ANALISTA CENTRAL PERSONAL EN FORMACION</t>
  </si>
  <si>
    <t>13430</t>
  </si>
  <si>
    <t>ANALISTA CENTRAL PRESUP EN FORMACION</t>
  </si>
  <si>
    <t>34110</t>
  </si>
  <si>
    <t>ANALISTA DE ASUNTOS AUDIOVISUALES</t>
  </si>
  <si>
    <t>16310</t>
  </si>
  <si>
    <t>ANALISTA DE COLOCACION Y SEGUIMIENTO</t>
  </si>
  <si>
    <t>25861</t>
  </si>
  <si>
    <t>ANALISTA DE CONTROL FINANCIERO I</t>
  </si>
  <si>
    <t>25862</t>
  </si>
  <si>
    <t>ANALISTA DE CONTROL FINANCIERO II</t>
  </si>
  <si>
    <t>25863</t>
  </si>
  <si>
    <t>ANALISTA DE CONTROL FINANCIERO III</t>
  </si>
  <si>
    <t>25864</t>
  </si>
  <si>
    <t>ANALISTA DE CONTROL FINANCIERO IV</t>
  </si>
  <si>
    <t>25870</t>
  </si>
  <si>
    <t>ANALISTA DE CONTROL FINANCIERO JEFE</t>
  </si>
  <si>
    <t>25866</t>
  </si>
  <si>
    <t>ANALISTA DE CONTROL FINANCIERO V</t>
  </si>
  <si>
    <t>14218</t>
  </si>
  <si>
    <t>ANALISTA DE CREDITOS AGROPECUARIO III</t>
  </si>
  <si>
    <t>14211</t>
  </si>
  <si>
    <t>ANALISTA DE CREDITOS AGROPECUARIOS I</t>
  </si>
  <si>
    <t>14212</t>
  </si>
  <si>
    <t>ANALISTA DE CREDITOS AGROPECUARIOS II</t>
  </si>
  <si>
    <t>14220</t>
  </si>
  <si>
    <t>ANALISTA DE CREDITOS AGROPECUARIOS JEFE</t>
  </si>
  <si>
    <t>13221</t>
  </si>
  <si>
    <t>ANALISTA DE ORGANIZACION Y SISTEMAS I</t>
  </si>
  <si>
    <t>13222</t>
  </si>
  <si>
    <t>ANALISTA DE ORGANIZACION Y SISTEMAS II</t>
  </si>
  <si>
    <t>13223</t>
  </si>
  <si>
    <t>ANALISTA DE ORGANIZACION Y SISTEMAS III</t>
  </si>
  <si>
    <t>13224</t>
  </si>
  <si>
    <t>ANALISTA DE ORGANIZACION Y SISTEMAS IV</t>
  </si>
  <si>
    <t>13230</t>
  </si>
  <si>
    <t>ANALISTA DE ORGANIZACION Y SISTEMAS JEFE</t>
  </si>
  <si>
    <t>15121</t>
  </si>
  <si>
    <t>ANALISTA DE PERSONAL I</t>
  </si>
  <si>
    <t>15122</t>
  </si>
  <si>
    <t>ANALISTA DE PERSONAL II</t>
  </si>
  <si>
    <t>15123</t>
  </si>
  <si>
    <t>ANALISTA DE PERSONAL III</t>
  </si>
  <si>
    <t>15124</t>
  </si>
  <si>
    <t>ANALISTA DE PERSONAL IV</t>
  </si>
  <si>
    <t>15125</t>
  </si>
  <si>
    <t>ANALISTA DE PERSONAL V</t>
  </si>
  <si>
    <t>15126</t>
  </si>
  <si>
    <t>ANALISTA DE PERSONAL VI</t>
  </si>
  <si>
    <t>13411</t>
  </si>
  <si>
    <t>ANALISTA DE PRESUPUESTO I</t>
  </si>
  <si>
    <t>13412</t>
  </si>
  <si>
    <t>ANALISTA DE PRESUPUESTO II</t>
  </si>
  <si>
    <t>13413</t>
  </si>
  <si>
    <t>ANALISTA DE PRESUPUESTO III</t>
  </si>
  <si>
    <t>13414</t>
  </si>
  <si>
    <t>ANALISTA DE PRESUPUESTO IV</t>
  </si>
  <si>
    <t>13420</t>
  </si>
  <si>
    <t>ANALISTA DE PRESUPUESTO JEFE</t>
  </si>
  <si>
    <t>23451</t>
  </si>
  <si>
    <t>ANALISTA DE PROCESAMIENTO DE DATOS I</t>
  </si>
  <si>
    <t>23452</t>
  </si>
  <si>
    <t>ANALISTA DE PROCESAMIENTO DE DATOS II</t>
  </si>
  <si>
    <t>23453</t>
  </si>
  <si>
    <t>ANALISTA DE PROCESAMIENTO DE DATOS III</t>
  </si>
  <si>
    <t>14411</t>
  </si>
  <si>
    <t>ANALISTA DE PROYECTOS AGROPECUARIOS I</t>
  </si>
  <si>
    <t>14412</t>
  </si>
  <si>
    <t>ANALISTA DE PROYECTOS AGROPECUARIOS II</t>
  </si>
  <si>
    <t>14413</t>
  </si>
  <si>
    <t>ANALISTA DE PROYECTOS AGROPECUARIOS III</t>
  </si>
  <si>
    <t>13281</t>
  </si>
  <si>
    <t>ANALISTA DE PROYECTOS INDUSTRIALES I</t>
  </si>
  <si>
    <t>13282</t>
  </si>
  <si>
    <t>ANALISTA DE PROYECTOS INDUSTRIALES II</t>
  </si>
  <si>
    <t>85311</t>
  </si>
  <si>
    <t>ANALISTA DE SEGURIDAD Y DEFENSA I</t>
  </si>
  <si>
    <t>85313</t>
  </si>
  <si>
    <t>ANALISTA DE SEGURIDAD Y DEFENSA III</t>
  </si>
  <si>
    <t>85314</t>
  </si>
  <si>
    <t>ANALISTA DE SEGURIDAD Y DEFENSA IV</t>
  </si>
  <si>
    <t>85320</t>
  </si>
  <si>
    <t>ANALISTA DE SEGURIDAD Y DEFENSA JEFE</t>
  </si>
  <si>
    <t>85312</t>
  </si>
  <si>
    <t>ANALISTA DE SEGURIDAD Y DENFENSA II</t>
  </si>
  <si>
    <t>14332</t>
  </si>
  <si>
    <t>ANALISTA DE SUPERV. DE CREDITOS AGRO II</t>
  </si>
  <si>
    <t>14333</t>
  </si>
  <si>
    <t>ANALISTA DE SUPERV. DE CREDITOS AGRO III</t>
  </si>
  <si>
    <t>14331</t>
  </si>
  <si>
    <t>ANALISTA DE SUPERV. DE CREDITOS AGRO. I</t>
  </si>
  <si>
    <t>14121</t>
  </si>
  <si>
    <t>ANALISTA FINANCIERO I</t>
  </si>
  <si>
    <t>14122</t>
  </si>
  <si>
    <t>ANALISTA FINANCIERO II</t>
  </si>
  <si>
    <t>14123</t>
  </si>
  <si>
    <t>ANALISTA FINANCIERO III</t>
  </si>
  <si>
    <t>14124</t>
  </si>
  <si>
    <t>ANALISTA FINANCIERO IV</t>
  </si>
  <si>
    <t>14130</t>
  </si>
  <si>
    <t>ANALISTA FINANCIERO JEFE</t>
  </si>
  <si>
    <t>14125</t>
  </si>
  <si>
    <t>ANALISTA FINANCIERO V</t>
  </si>
  <si>
    <t>15220</t>
  </si>
  <si>
    <t>ANALISTA OCUPACIONAL  JEFE</t>
  </si>
  <si>
    <t>15211</t>
  </si>
  <si>
    <t>ANALISTA OCUPACIONAL I</t>
  </si>
  <si>
    <t>15212</t>
  </si>
  <si>
    <t>ANALISTA OCUPACIONAL II</t>
  </si>
  <si>
    <t>36451</t>
  </si>
  <si>
    <t>ANTROPOLOGO I</t>
  </si>
  <si>
    <t>36452</t>
  </si>
  <si>
    <t>ANTROPOLOGO II</t>
  </si>
  <si>
    <t>36453</t>
  </si>
  <si>
    <t>ANTROPOLOGO III</t>
  </si>
  <si>
    <t>22121</t>
  </si>
  <si>
    <t>ARCHIVISTA I</t>
  </si>
  <si>
    <t>22122</t>
  </si>
  <si>
    <t>ARCHIVISTA II</t>
  </si>
  <si>
    <t>22123</t>
  </si>
  <si>
    <t>ARCHIVISTA III</t>
  </si>
  <si>
    <t>05</t>
  </si>
  <si>
    <t>22131</t>
  </si>
  <si>
    <t>ARCHIVOLOGO I</t>
  </si>
  <si>
    <t>22132</t>
  </si>
  <si>
    <t>ARCHIVOLOGO II</t>
  </si>
  <si>
    <t>22133</t>
  </si>
  <si>
    <t>ARCHIVOLOGO III</t>
  </si>
  <si>
    <t>22134</t>
  </si>
  <si>
    <t>ARCHIVOLOGO IV</t>
  </si>
  <si>
    <t>43531</t>
  </si>
  <si>
    <t>ARQUITECTO I</t>
  </si>
  <si>
    <t>43532</t>
  </si>
  <si>
    <t>ARQUITECTO II</t>
  </si>
  <si>
    <t>43533</t>
  </si>
  <si>
    <t>ARQUITECTO III</t>
  </si>
  <si>
    <t>43541</t>
  </si>
  <si>
    <t>ARQUITECTO JEFE I</t>
  </si>
  <si>
    <t>43542</t>
  </si>
  <si>
    <t>ARQUITECTO JEFE II</t>
  </si>
  <si>
    <t>43551</t>
  </si>
  <si>
    <t>ARQUITECTO PAISAJISTA I</t>
  </si>
  <si>
    <t>43552</t>
  </si>
  <si>
    <t>ARQUITECTO PAISAJISTA II</t>
  </si>
  <si>
    <t>43553</t>
  </si>
  <si>
    <t>ARQUITECTO PAISAJISTA III</t>
  </si>
  <si>
    <t>43561</t>
  </si>
  <si>
    <t>ARQUITECTO PAISAJISTA JEFE I</t>
  </si>
  <si>
    <t>43562</t>
  </si>
  <si>
    <t>ARQUITECTO PAISAJISTA JEFE II</t>
  </si>
  <si>
    <t>36760</t>
  </si>
  <si>
    <t>ASISTENTE  PABELLON DE FERIAS</t>
  </si>
  <si>
    <t>00918</t>
  </si>
  <si>
    <t>ASISTENTE A LA SECRETARIA PRIVADA</t>
  </si>
  <si>
    <t>DI</t>
  </si>
  <si>
    <t>12111</t>
  </si>
  <si>
    <t>ASISTENTE ADMINISTRATIVO I</t>
  </si>
  <si>
    <t>12112</t>
  </si>
  <si>
    <t>ASISTENTE ADMINISTRATIVO II</t>
  </si>
  <si>
    <t>12113</t>
  </si>
  <si>
    <t>ASISTENTE ADMINISTRATIVO III</t>
  </si>
  <si>
    <t>12114</t>
  </si>
  <si>
    <t>ASISTENTE ADMINISTRATIVO IV</t>
  </si>
  <si>
    <t>12115</t>
  </si>
  <si>
    <t>ASISTENTE ADMINISTRATIVO V</t>
  </si>
  <si>
    <t>51321</t>
  </si>
  <si>
    <t>ASISTENTE AEROPUERTO I</t>
  </si>
  <si>
    <t>51322</t>
  </si>
  <si>
    <t>ASISTENTE AEROPUERTO II</t>
  </si>
  <si>
    <t>51323</t>
  </si>
  <si>
    <t>ASISTENTE AEROPUERTO III</t>
  </si>
  <si>
    <t>41131</t>
  </si>
  <si>
    <t>ASISTENTE AGROPECUARIO I</t>
  </si>
  <si>
    <t>41132</t>
  </si>
  <si>
    <t>ASISTENTE AGROPECUARIO II</t>
  </si>
  <si>
    <t>00921</t>
  </si>
  <si>
    <t>ASISTENTE AL COORDINADOR</t>
  </si>
  <si>
    <t>00926</t>
  </si>
  <si>
    <t>ASISTENTE AL DIRECTOR</t>
  </si>
  <si>
    <t>52290</t>
  </si>
  <si>
    <t>ASISTENTE AL JEFE CAPITANIA DE PUERTOS</t>
  </si>
  <si>
    <t>00909</t>
  </si>
  <si>
    <t>ASISTENTE AL SECRETARIO</t>
  </si>
  <si>
    <t>14111</t>
  </si>
  <si>
    <t>ASISTENTE ANALISTA FINANCIERO I</t>
  </si>
  <si>
    <t>14112</t>
  </si>
  <si>
    <t>ASISTENTE ANALISTA FINANCIERO II</t>
  </si>
  <si>
    <t>31420</t>
  </si>
  <si>
    <t>ASISTENTE ASUNTOS LITERARIOS</t>
  </si>
  <si>
    <t>43610</t>
  </si>
  <si>
    <t>ASISTENTE AUXILIAR DE HIDROMETERIOLOGIA</t>
  </si>
  <si>
    <t>79320</t>
  </si>
  <si>
    <t>ASISTENTE AUXILIAR DE SERVICIO SOCIAL</t>
  </si>
  <si>
    <t>13240</t>
  </si>
  <si>
    <t>ASISTENTE CENTRAL DE ORGAN. Y SISTEMAS</t>
  </si>
  <si>
    <t>13311</t>
  </si>
  <si>
    <t>ASISTENTE DE ANALISTA I</t>
  </si>
  <si>
    <t>13312</t>
  </si>
  <si>
    <t>ASISTENTE DE ANALISTA II</t>
  </si>
  <si>
    <t>13313</t>
  </si>
  <si>
    <t>ASISTENTE DE ANALISTA III</t>
  </si>
  <si>
    <t>32410</t>
  </si>
  <si>
    <t>ASISTENTE DE ASUNTOS CINEMATOGRAFICOS</t>
  </si>
  <si>
    <t>35111</t>
  </si>
  <si>
    <t>ASISTENTE DE ASUNTOS LEGALES I</t>
  </si>
  <si>
    <t>35112</t>
  </si>
  <si>
    <t>ASISTENTE DE ASUNTOS LEGALES II</t>
  </si>
  <si>
    <t>36621</t>
  </si>
  <si>
    <t>ASISTENTE DE BIBLIOTECA I</t>
  </si>
  <si>
    <t>36622</t>
  </si>
  <si>
    <t>ASISTENTE DE BIBLIOTECA II</t>
  </si>
  <si>
    <t>36623</t>
  </si>
  <si>
    <t>ASISTENTE DE BIBLIOTECA III</t>
  </si>
  <si>
    <t>42511</t>
  </si>
  <si>
    <t>ASISTENTE DE BIOLOGIA I</t>
  </si>
  <si>
    <t>42512</t>
  </si>
  <si>
    <t>ASISTENTE DE BIOLOGIA II</t>
  </si>
  <si>
    <t>52271</t>
  </si>
  <si>
    <t>ASISTENTE DE CAPITAN DE PUERTO I</t>
  </si>
  <si>
    <t>52272</t>
  </si>
  <si>
    <t>ASISTENTE DE CAPITAN DE PUERTO II</t>
  </si>
  <si>
    <t>31311</t>
  </si>
  <si>
    <t>ASISTENTE DE COMUNICACION SOCIAL I</t>
  </si>
  <si>
    <t>31312</t>
  </si>
  <si>
    <t>ASISTENTE DE COMUNICACION SOCIAL II</t>
  </si>
  <si>
    <t>25850</t>
  </si>
  <si>
    <t>ASISTENTE DE CONTROL FINANCIERO</t>
  </si>
  <si>
    <t>77110</t>
  </si>
  <si>
    <t>ASISTENTE DE DIETETICA</t>
  </si>
  <si>
    <t>36211</t>
  </si>
  <si>
    <t>ASISTENTE DE ECONOMIA I</t>
  </si>
  <si>
    <t>36212</t>
  </si>
  <si>
    <t>ASISTENTE DE ECONOMIA II</t>
  </si>
  <si>
    <t>32120</t>
  </si>
  <si>
    <t>ASISTENTE DE ESCENOGRAFIA</t>
  </si>
  <si>
    <t>36121</t>
  </si>
  <si>
    <t>ASISTENTE DE ESTADISTICA I</t>
  </si>
  <si>
    <t>36122</t>
  </si>
  <si>
    <t>ASISTENTE DE ESTADISTICA II</t>
  </si>
  <si>
    <t>36123</t>
  </si>
  <si>
    <t>ASISTENTE DE ESTADISTICA III</t>
  </si>
  <si>
    <t>46931</t>
  </si>
  <si>
    <t>ASISTENTE DE ESTIMADOR DE ASTILLEROS I</t>
  </si>
  <si>
    <t>46932</t>
  </si>
  <si>
    <t>ASISTENTE DE ESTIMADOR DE ASTILLEROS II</t>
  </si>
  <si>
    <t>74121</t>
  </si>
  <si>
    <t>ASISTENTE DE FARMACIA I</t>
  </si>
  <si>
    <t>74122</t>
  </si>
  <si>
    <t>ASISTENTE DE FARMACIA II</t>
  </si>
  <si>
    <t>42611</t>
  </si>
  <si>
    <t>ASISTENTE DE GUARDAFAUNA I</t>
  </si>
  <si>
    <t>42612</t>
  </si>
  <si>
    <t>ASISTENTE DE GUARDAFAUNA II</t>
  </si>
  <si>
    <t>43621</t>
  </si>
  <si>
    <t>ASISTENTE DE HIDROMETEREOLOGIA I</t>
  </si>
  <si>
    <t>43622</t>
  </si>
  <si>
    <t>ASISTENTE DE HIDROMETERIOLOGIA II</t>
  </si>
  <si>
    <t>43623</t>
  </si>
  <si>
    <t>ASISTENTE DE HIDROMETERIOLOGIA III</t>
  </si>
  <si>
    <t>07</t>
  </si>
  <si>
    <t>86110</t>
  </si>
  <si>
    <t>ASISTENTE DE IDENTIFICACION</t>
  </si>
  <si>
    <t>43480</t>
  </si>
  <si>
    <t>ASISTENTE DE INGENIERIA</t>
  </si>
  <si>
    <t>86210</t>
  </si>
  <si>
    <t>ASISTENTE DE INMIGRACION Y EXTRANJERIA</t>
  </si>
  <si>
    <t>37310</t>
  </si>
  <si>
    <t>ASISTENTE DE INVESTIGADOR DE MUSEO</t>
  </si>
  <si>
    <t>72111</t>
  </si>
  <si>
    <t>ASISTENTE DE LABORATORIO CLINICO I</t>
  </si>
  <si>
    <t>72112</t>
  </si>
  <si>
    <t>ASISTENTE DE LABORATORIO CLINICO II</t>
  </si>
  <si>
    <t>37210</t>
  </si>
  <si>
    <t>ASISTENTE DE MUSEOGRAFIA</t>
  </si>
  <si>
    <t>22211</t>
  </si>
  <si>
    <t>ASISTENTE DE OFICINA I</t>
  </si>
  <si>
    <t>22212</t>
  </si>
  <si>
    <t>ASISTENTE DE OFICINA II</t>
  </si>
  <si>
    <t>72610</t>
  </si>
  <si>
    <t>ASISTENTE DE ORTESIS Y/O PROTESIS</t>
  </si>
  <si>
    <t>17910</t>
  </si>
  <si>
    <t>ASISTENTE DE PRE-ESCOLAR</t>
  </si>
  <si>
    <t>85611</t>
  </si>
  <si>
    <t>ASISTENTE DE PRIMEROS AUXILIOS I</t>
  </si>
  <si>
    <t>85612</t>
  </si>
  <si>
    <t>ASISTENTE DE PRIMEROS AUXILIOS II</t>
  </si>
  <si>
    <t>35210</t>
  </si>
  <si>
    <t>ASISTENTE DE PRODUCCION</t>
  </si>
  <si>
    <t>23410</t>
  </si>
  <si>
    <t>ASISTENTE DE PROGRAMACION</t>
  </si>
  <si>
    <t>37910</t>
  </si>
  <si>
    <t>ASISTENTE DE PROMOTOR CULTURA</t>
  </si>
  <si>
    <t>36710</t>
  </si>
  <si>
    <t>ASISTENTE DE PROMOTOR DE EXPORTACIONES</t>
  </si>
  <si>
    <t>33110</t>
  </si>
  <si>
    <t>ASISTENTE DE PROTOCOLO</t>
  </si>
  <si>
    <t>36311</t>
  </si>
  <si>
    <t>ASISTENTE DE PSICOLOGIA I</t>
  </si>
  <si>
    <t>36312</t>
  </si>
  <si>
    <t>ASISTENTE DE PSICOLOGIA II</t>
  </si>
  <si>
    <t>79110</t>
  </si>
  <si>
    <t>ASISTENTE DE PUERICULTURA</t>
  </si>
  <si>
    <t>72430</t>
  </si>
  <si>
    <t>ASISTENTE DE RAYOS X</t>
  </si>
  <si>
    <t>31330</t>
  </si>
  <si>
    <t>ASISTENTE DE RELACIONES PUBLICAS</t>
  </si>
  <si>
    <t>37410</t>
  </si>
  <si>
    <t>ASISTENTE DE RESTAURACION</t>
  </si>
  <si>
    <t>76220</t>
  </si>
  <si>
    <t>ASISTENTE DE SALUD PUBLICA</t>
  </si>
  <si>
    <t>79330</t>
  </si>
  <si>
    <t>ASISTENTE DE SERVICIO SOCIAL</t>
  </si>
  <si>
    <t>72510</t>
  </si>
  <si>
    <t>ASISTENTE DE TERAPIA</t>
  </si>
  <si>
    <t>43110</t>
  </si>
  <si>
    <t>ASISTENTE DE TOPOGRAFO</t>
  </si>
  <si>
    <t>78110</t>
  </si>
  <si>
    <t>ASISTENTE DE VETERINARIA</t>
  </si>
  <si>
    <t>31221</t>
  </si>
  <si>
    <t>ASISTENTE ESPECIALISTA EN INFORMACION I</t>
  </si>
  <si>
    <t>31222</t>
  </si>
  <si>
    <t>ASISTENTE ESPECIALISTA EN INFORMACION II</t>
  </si>
  <si>
    <t>21531</t>
  </si>
  <si>
    <t>ASISTENTE HABILITADO I</t>
  </si>
  <si>
    <t>21532</t>
  </si>
  <si>
    <t>ASISTENTE HABILITADO II</t>
  </si>
  <si>
    <t>47213</t>
  </si>
  <si>
    <t>ASISTENTE MATEMATICA III</t>
  </si>
  <si>
    <t>47211</t>
  </si>
  <si>
    <t>ASISTENTE MATEMATICAS I</t>
  </si>
  <si>
    <t>47212</t>
  </si>
  <si>
    <t>ASISTENTE MATEMATICAS II</t>
  </si>
  <si>
    <t>42620</t>
  </si>
  <si>
    <t>ASISTENTE TECNICO DE GUARDAFAUNA</t>
  </si>
  <si>
    <t>43491</t>
  </si>
  <si>
    <t>ASISTENTE TECNICO DE INGENIERIA I</t>
  </si>
  <si>
    <t>43492</t>
  </si>
  <si>
    <t>ASISTENTE TECNICO DE INGENIERIA II</t>
  </si>
  <si>
    <t>46110</t>
  </si>
  <si>
    <t>ASISTENTE TECNICO EN REPARACION Y MANTE.</t>
  </si>
  <si>
    <t>47110</t>
  </si>
  <si>
    <t>ASTRONOMO</t>
  </si>
  <si>
    <t>21211</t>
  </si>
  <si>
    <t>AUDITOR I</t>
  </si>
  <si>
    <t>21212</t>
  </si>
  <si>
    <t>AUDITOR II</t>
  </si>
  <si>
    <t>21213</t>
  </si>
  <si>
    <t>AUDITOR III</t>
  </si>
  <si>
    <t>21214</t>
  </si>
  <si>
    <t>AUDITOR IV</t>
  </si>
  <si>
    <t>21220</t>
  </si>
  <si>
    <t>AUDITOR JEFE</t>
  </si>
  <si>
    <t>37950</t>
  </si>
  <si>
    <t>AUTOGRAFISTA</t>
  </si>
  <si>
    <t>02043</t>
  </si>
  <si>
    <t>43221</t>
  </si>
  <si>
    <t>AVALUADOR DE INMUEBLES I</t>
  </si>
  <si>
    <t>43222</t>
  </si>
  <si>
    <t>AVALUADOR DE INMUEBLES II</t>
  </si>
  <si>
    <t>43223</t>
  </si>
  <si>
    <t>AVALUADOR DE INMUEBLES III</t>
  </si>
  <si>
    <t>43230</t>
  </si>
  <si>
    <t>AVALUADOR DE INMUEBLES JEFE</t>
  </si>
  <si>
    <t>36631</t>
  </si>
  <si>
    <t>BIBLIOTECOLOGO I</t>
  </si>
  <si>
    <t>36632</t>
  </si>
  <si>
    <t>BIBLIOTECOLOGO II</t>
  </si>
  <si>
    <t>36633</t>
  </si>
  <si>
    <t>BIBLIOTECOLOGO III</t>
  </si>
  <si>
    <t>36634</t>
  </si>
  <si>
    <t>BIBLIOTECOLOGO IV</t>
  </si>
  <si>
    <t>72221</t>
  </si>
  <si>
    <t>BIOANALISTA I</t>
  </si>
  <si>
    <t>72222</t>
  </si>
  <si>
    <t>BIOANALISTA II</t>
  </si>
  <si>
    <t>72223</t>
  </si>
  <si>
    <t>BIOANALISTA III</t>
  </si>
  <si>
    <t>72224</t>
  </si>
  <si>
    <t>BIOANALISTA IV</t>
  </si>
  <si>
    <t>72225</t>
  </si>
  <si>
    <t>BIOANALISTA V</t>
  </si>
  <si>
    <t>72226</t>
  </si>
  <si>
    <t>BIOANALISTA VI</t>
  </si>
  <si>
    <t>42521</t>
  </si>
  <si>
    <t>BIOLOGO I</t>
  </si>
  <si>
    <t>42522</t>
  </si>
  <si>
    <t>BIOLOGO II</t>
  </si>
  <si>
    <t>42523</t>
  </si>
  <si>
    <t>BIOLOGO III</t>
  </si>
  <si>
    <t>42530</t>
  </si>
  <si>
    <t>BIOLOGO JEFE</t>
  </si>
  <si>
    <t>03520</t>
  </si>
  <si>
    <t>BOMBARDINO SOLISTA</t>
  </si>
  <si>
    <t>62920</t>
  </si>
  <si>
    <t>BOMBERO (BOMBERO)</t>
  </si>
  <si>
    <t>BO</t>
  </si>
  <si>
    <t>81111</t>
  </si>
  <si>
    <t>BOMBERO I</t>
  </si>
  <si>
    <t>81112</t>
  </si>
  <si>
    <t>BOMBERO II</t>
  </si>
  <si>
    <t>81113</t>
  </si>
  <si>
    <t>BOMBERO III</t>
  </si>
  <si>
    <t>81114</t>
  </si>
  <si>
    <t>BOMBERO IV</t>
  </si>
  <si>
    <t>81121</t>
  </si>
  <si>
    <t>BOMBERO JEFE I</t>
  </si>
  <si>
    <t>09</t>
  </si>
  <si>
    <t>81122</t>
  </si>
  <si>
    <t>BOMBERO JEFE II</t>
  </si>
  <si>
    <t>03614</t>
  </si>
  <si>
    <t>BOMBO 3</t>
  </si>
  <si>
    <t>41631</t>
  </si>
  <si>
    <t>BOTANICO I</t>
  </si>
  <si>
    <t>41632</t>
  </si>
  <si>
    <t>BOTANICO II</t>
  </si>
  <si>
    <t>41633</t>
  </si>
  <si>
    <t>BOTANICO III</t>
  </si>
  <si>
    <t>41640</t>
  </si>
  <si>
    <t>BOTANICO JEFE</t>
  </si>
  <si>
    <t>62810</t>
  </si>
  <si>
    <t>CABO 1RO (BOMBERO)</t>
  </si>
  <si>
    <t>62820</t>
  </si>
  <si>
    <t>CABO 2DO (BOMBERO)</t>
  </si>
  <si>
    <t>21511</t>
  </si>
  <si>
    <t>CAJERO I</t>
  </si>
  <si>
    <t>21512</t>
  </si>
  <si>
    <t>CAJERO II</t>
  </si>
  <si>
    <t>21513</t>
  </si>
  <si>
    <t>CAJERO III</t>
  </si>
  <si>
    <t>21520</t>
  </si>
  <si>
    <t>CAJERO JEFE</t>
  </si>
  <si>
    <t>44121</t>
  </si>
  <si>
    <t>CALCULISTA DE HIDROCARBUROS I</t>
  </si>
  <si>
    <t>44122</t>
  </si>
  <si>
    <t>CALCULISTA DE HIDROCARBUROS II</t>
  </si>
  <si>
    <t>44123</t>
  </si>
  <si>
    <t>CALCULISTA DE HIDROCARBUROS III</t>
  </si>
  <si>
    <t>33510</t>
  </si>
  <si>
    <t>CALIGRAFO</t>
  </si>
  <si>
    <t>33311</t>
  </si>
  <si>
    <t>CAPELLAN I</t>
  </si>
  <si>
    <t>33312</t>
  </si>
  <si>
    <t>CAPELLAN II</t>
  </si>
  <si>
    <t>62500</t>
  </si>
  <si>
    <t>CAPITAN (BOMBERO)</t>
  </si>
  <si>
    <t>52480</t>
  </si>
  <si>
    <t>CAPITAN DE HELICOPTERO</t>
  </si>
  <si>
    <t>32455</t>
  </si>
  <si>
    <t>CAPITAN DE JET</t>
  </si>
  <si>
    <t>35420</t>
  </si>
  <si>
    <t>CAPITAN DE PISTON</t>
  </si>
  <si>
    <t>52281</t>
  </si>
  <si>
    <t>CAPITAN DE PUERTOS I</t>
  </si>
  <si>
    <t>52282</t>
  </si>
  <si>
    <t>CAPITAN DE PUERTOS II</t>
  </si>
  <si>
    <t>52385</t>
  </si>
  <si>
    <t>CAPITAN DE REMOLCADOR</t>
  </si>
  <si>
    <t>52395</t>
  </si>
  <si>
    <t>CAPITAN DE TRANSPORTE NAVAL</t>
  </si>
  <si>
    <t>52361</t>
  </si>
  <si>
    <t>CAPITAN I</t>
  </si>
  <si>
    <t>52362</t>
  </si>
  <si>
    <t>CAPITAN II</t>
  </si>
  <si>
    <t>52363</t>
  </si>
  <si>
    <t>CAPITAN III</t>
  </si>
  <si>
    <t>84410</t>
  </si>
  <si>
    <t>CENSOR RADIO Y TV</t>
  </si>
  <si>
    <t>72133</t>
  </si>
  <si>
    <t>CITOTECNOLOG III</t>
  </si>
  <si>
    <t>72131</t>
  </si>
  <si>
    <t>CITOTECNOLOGO I</t>
  </si>
  <si>
    <t>72132</t>
  </si>
  <si>
    <t>CITOTECNOLOGO II</t>
  </si>
  <si>
    <t>03534</t>
  </si>
  <si>
    <t>CLARINETE 1</t>
  </si>
  <si>
    <t>03563</t>
  </si>
  <si>
    <t>CLARINETE 2</t>
  </si>
  <si>
    <t>03606</t>
  </si>
  <si>
    <t>CLARINETE 3</t>
  </si>
  <si>
    <t>03518</t>
  </si>
  <si>
    <t>CLARINETE SOLISTA</t>
  </si>
  <si>
    <t>21611</t>
  </si>
  <si>
    <t>COBRADOR JEFE I</t>
  </si>
  <si>
    <t>21612</t>
  </si>
  <si>
    <t>COBRADOR JEFE II</t>
  </si>
  <si>
    <t>21630</t>
  </si>
  <si>
    <t>COLECTOR</t>
  </si>
  <si>
    <t>62200</t>
  </si>
  <si>
    <t>COMANDANTE</t>
  </si>
  <si>
    <t>52485</t>
  </si>
  <si>
    <t>COMANDANTE DE HELICOPTERO</t>
  </si>
  <si>
    <t>52460</t>
  </si>
  <si>
    <t>COMANDANTE DE JET</t>
  </si>
  <si>
    <t>52440</t>
  </si>
  <si>
    <t>COMANDANTE DE TURBO</t>
  </si>
  <si>
    <t>00917</t>
  </si>
  <si>
    <t>COMISIONADO ASUNTOS INTERINSTITUCIONALES</t>
  </si>
  <si>
    <t>84310</t>
  </si>
  <si>
    <t>COMISIONADO DEL TRABAJO</t>
  </si>
  <si>
    <t>84311</t>
  </si>
  <si>
    <t>COMISIONADO ESPECIAL DE TRABAJO I</t>
  </si>
  <si>
    <t>84312</t>
  </si>
  <si>
    <t>COMISIONADO ESPECIAL DE TRABAJO II</t>
  </si>
  <si>
    <t>00001</t>
  </si>
  <si>
    <t>COMISIONADO</t>
  </si>
  <si>
    <t>25311</t>
  </si>
  <si>
    <t>COMPRADOR I</t>
  </si>
  <si>
    <t>25312</t>
  </si>
  <si>
    <t>COMPRADOR II</t>
  </si>
  <si>
    <t>25313</t>
  </si>
  <si>
    <t>COMPRADOR III</t>
  </si>
  <si>
    <t>25321</t>
  </si>
  <si>
    <t>COMPRADOR JEFE I</t>
  </si>
  <si>
    <t>25322</t>
  </si>
  <si>
    <t>COMPRADOR JEFE II</t>
  </si>
  <si>
    <t>31321</t>
  </si>
  <si>
    <t>COMUNICADOR SOCIAL I</t>
  </si>
  <si>
    <t>31322</t>
  </si>
  <si>
    <t>COMUNICADOR SOCIAL II</t>
  </si>
  <si>
    <t>31323</t>
  </si>
  <si>
    <t>COMUNICADOR SOCIAL III</t>
  </si>
  <si>
    <t>00924</t>
  </si>
  <si>
    <t>CONSULTOR JURIDICO</t>
  </si>
  <si>
    <t>21111</t>
  </si>
  <si>
    <t>CONTABILISTA I</t>
  </si>
  <si>
    <t>21112</t>
  </si>
  <si>
    <t>CONTABILISTA II</t>
  </si>
  <si>
    <t>21113</t>
  </si>
  <si>
    <t>CONTABILISTA III</t>
  </si>
  <si>
    <t>21131</t>
  </si>
  <si>
    <t>CONTADOR I</t>
  </si>
  <si>
    <t>21132</t>
  </si>
  <si>
    <t>CONTADOR II</t>
  </si>
  <si>
    <t>21133</t>
  </si>
  <si>
    <t>CONTADOR III</t>
  </si>
  <si>
    <t>21134</t>
  </si>
  <si>
    <t>CONTADOR IV</t>
  </si>
  <si>
    <t>21140</t>
  </si>
  <si>
    <t>CONTADOR JEFE</t>
  </si>
  <si>
    <t>02057</t>
  </si>
  <si>
    <t>CONTRABAJO</t>
  </si>
  <si>
    <t>03558</t>
  </si>
  <si>
    <t>CONTRABAJO 1</t>
  </si>
  <si>
    <t>03559</t>
  </si>
  <si>
    <t>CONTRABAJO II</t>
  </si>
  <si>
    <t>85211</t>
  </si>
  <si>
    <t>CONTROLADOR DE ARMAS Y EXPLOSIVOS I</t>
  </si>
  <si>
    <t>85212</t>
  </si>
  <si>
    <t>CONTROLADOR DE ARMAS Y EXPLOSIVOS II</t>
  </si>
  <si>
    <t>85213</t>
  </si>
  <si>
    <t>CONTROLADOR DE ARMAS Y EXPLOSIVOS III</t>
  </si>
  <si>
    <t>51621</t>
  </si>
  <si>
    <t>CONTROLADOR DE TRANSITO AEREO I</t>
  </si>
  <si>
    <t>51622</t>
  </si>
  <si>
    <t>CONTROLADOR DE TRANSITO AEREO II</t>
  </si>
  <si>
    <t>51623</t>
  </si>
  <si>
    <t>CONTROLADOR DE TRANSITO AEREO III</t>
  </si>
  <si>
    <t>51624</t>
  </si>
  <si>
    <t>CONTROLADOR DE TRANSITO AEREO IV</t>
  </si>
  <si>
    <t>51631</t>
  </si>
  <si>
    <t>CONTROLADOR DE TRANSITO AEREO JEFE I</t>
  </si>
  <si>
    <t>51632</t>
  </si>
  <si>
    <t>CONTROLADOR DE TRANSITO AEREO JEFE II</t>
  </si>
  <si>
    <t>51633</t>
  </si>
  <si>
    <t>CONTROLADOR DE TRANSITO AEREO JEFE III</t>
  </si>
  <si>
    <t>51625</t>
  </si>
  <si>
    <t>CONTROLADOR DE TRANSITO AEREO V</t>
  </si>
  <si>
    <t>51626</t>
  </si>
  <si>
    <t>CONTROLADOR DE TRANSITO AEREO VI</t>
  </si>
  <si>
    <t>35422</t>
  </si>
  <si>
    <t>32421</t>
  </si>
  <si>
    <t>35423</t>
  </si>
  <si>
    <t>00929</t>
  </si>
  <si>
    <t>COORD. DE SEGUIMIENTO Y EVAL. DE POLITICAS PUBLICAS</t>
  </si>
  <si>
    <t>00936</t>
  </si>
  <si>
    <t>COORD. DEL COMITE ESTADAL DE LA VIVIENDA</t>
  </si>
  <si>
    <t>16111</t>
  </si>
  <si>
    <t>16112</t>
  </si>
  <si>
    <t>COORD. DESARROLLO DE RECURSOS HUMANOS II</t>
  </si>
  <si>
    <t>00941</t>
  </si>
  <si>
    <t>COORD. ENTES P Y P DE CULTURA Y DEPORTE</t>
  </si>
  <si>
    <t>36640</t>
  </si>
  <si>
    <t>COORD. RED DE BIBLIOTECAS E INFORM. ESTA</t>
  </si>
  <si>
    <t>15130</t>
  </si>
  <si>
    <t>COORD. REGISTRO NACIONAL PERMANENTE</t>
  </si>
  <si>
    <t>00904</t>
  </si>
  <si>
    <t>COORDINADOR</t>
  </si>
  <si>
    <t>00915</t>
  </si>
  <si>
    <t>COORDINADOR ADMINISTRATIVO</t>
  </si>
  <si>
    <t>33412</t>
  </si>
  <si>
    <t>33413</t>
  </si>
  <si>
    <t>33420</t>
  </si>
  <si>
    <t>84331</t>
  </si>
  <si>
    <t>00913</t>
  </si>
  <si>
    <t>COORDINADOR DE  ASISTENCIA TECNICA</t>
  </si>
  <si>
    <t>37940</t>
  </si>
  <si>
    <t>COORDINADOR DE  FORMACION CULTURAL</t>
  </si>
  <si>
    <t>33411</t>
  </si>
  <si>
    <t>COORDINADOR DE ASUNTOS INTERNACIONALES I</t>
  </si>
  <si>
    <t>84332</t>
  </si>
  <si>
    <t>31430</t>
  </si>
  <si>
    <t>COORDINADOR DE ASUNTOS LITERARIOS</t>
  </si>
  <si>
    <t>79560</t>
  </si>
  <si>
    <t>COORDINADOR DE AYUDA JUVENIL</t>
  </si>
  <si>
    <t>17361</t>
  </si>
  <si>
    <t>COORDINADOR DE CENTRO I</t>
  </si>
  <si>
    <t>17362</t>
  </si>
  <si>
    <t>COORDINADOR DE CENTRO II</t>
  </si>
  <si>
    <t>00925</t>
  </si>
  <si>
    <t>COORDINADOR DE CIENCIAS POLITICAS</t>
  </si>
  <si>
    <t>71380</t>
  </si>
  <si>
    <t>COORDINADOR DE ESCUELAS DE ENFERMERIA</t>
  </si>
  <si>
    <t>00920</t>
  </si>
  <si>
    <t>COORDINADOR DE EVENTOS Y PROTOCOLO</t>
  </si>
  <si>
    <t>17231</t>
  </si>
  <si>
    <t>COORDINADOR DE FORMACION EMPRESARIA I</t>
  </si>
  <si>
    <t>17232</t>
  </si>
  <si>
    <t>COORDINADOR DE FORMACION EMPRESARIAL II</t>
  </si>
  <si>
    <t>17350</t>
  </si>
  <si>
    <t>COORDINADOR DE FORMACION PROFESIONAL</t>
  </si>
  <si>
    <t>85410</t>
  </si>
  <si>
    <t>COORDINADOR DE FRONTERAS</t>
  </si>
  <si>
    <t>16611</t>
  </si>
  <si>
    <t>COORDINADOR DE PROGRAMAS DE FORMACION I</t>
  </si>
  <si>
    <t>16612</t>
  </si>
  <si>
    <t>COORDINADOR DE PROGRAMAS DE FORMACION II</t>
  </si>
  <si>
    <t>32130</t>
  </si>
  <si>
    <t>COORDINADOR DE PROGRAMAS TV</t>
  </si>
  <si>
    <t>33120</t>
  </si>
  <si>
    <t>COORDINADOR DE PROTOCOLO</t>
  </si>
  <si>
    <t>00927</t>
  </si>
  <si>
    <t>COORDINADOR DE RENDICION DE CUENTA</t>
  </si>
  <si>
    <t>31581</t>
  </si>
  <si>
    <t>COORDINADOR DE SERVICIOS TURISTICOS I</t>
  </si>
  <si>
    <t>31582</t>
  </si>
  <si>
    <t>COORDINADOR DE SERVICIOS TURISTICOS II</t>
  </si>
  <si>
    <t>00912</t>
  </si>
  <si>
    <t>COORDINADOR DEFENSA CIVIL</t>
  </si>
  <si>
    <t>31350</t>
  </si>
  <si>
    <t>COORDINADOR PUBLICITARIO</t>
  </si>
  <si>
    <t>79540</t>
  </si>
  <si>
    <t>COORDINADOR RECREACION</t>
  </si>
  <si>
    <t>00914</t>
  </si>
  <si>
    <t>COORDINADOR ZONAL</t>
  </si>
  <si>
    <t>52471</t>
  </si>
  <si>
    <t>COPILOTO DE HELICOPTERO I</t>
  </si>
  <si>
    <t>52472</t>
  </si>
  <si>
    <t>COPILOTO DE HELICOTERO II</t>
  </si>
  <si>
    <t>52411</t>
  </si>
  <si>
    <t>COPILOTO DE PISTON I</t>
  </si>
  <si>
    <t>52412</t>
  </si>
  <si>
    <t>COPILOTO DE PISTON II</t>
  </si>
  <si>
    <t>52430</t>
  </si>
  <si>
    <t>COPILOTO DE TURBO</t>
  </si>
  <si>
    <t>03562</t>
  </si>
  <si>
    <t>COPISTA ARCHIVERO</t>
  </si>
  <si>
    <t>00916</t>
  </si>
  <si>
    <t>CORDINADOR DE ORGANISMOS CULTURALES</t>
  </si>
  <si>
    <t>03582</t>
  </si>
  <si>
    <t>CORNO 2</t>
  </si>
  <si>
    <t>03610</t>
  </si>
  <si>
    <t>CORNO 3</t>
  </si>
  <si>
    <t>03550</t>
  </si>
  <si>
    <t>CORNO I</t>
  </si>
  <si>
    <t>62100</t>
  </si>
  <si>
    <t>CORONEL (BOMBERO)</t>
  </si>
  <si>
    <t>31410</t>
  </si>
  <si>
    <t>CORRECTOR DE ESTILO</t>
  </si>
  <si>
    <t>82111</t>
  </si>
  <si>
    <t>DELEGADO PRUEBA I</t>
  </si>
  <si>
    <t>82112</t>
  </si>
  <si>
    <t>DELEGADO PRUEBA II</t>
  </si>
  <si>
    <t>82113</t>
  </si>
  <si>
    <t>DELEGADO PRUEBA III</t>
  </si>
  <si>
    <t>82114</t>
  </si>
  <si>
    <t>DELEGADO PRUEBA IV</t>
  </si>
  <si>
    <t>82115</t>
  </si>
  <si>
    <t>DELEGADO PRUEBA V</t>
  </si>
  <si>
    <t>79211</t>
  </si>
  <si>
    <t>DEMOSTRADORA DEL HOGAR I</t>
  </si>
  <si>
    <t>79212</t>
  </si>
  <si>
    <t>DEMOSTRADORA DEL HOGAR II</t>
  </si>
  <si>
    <t>79213</t>
  </si>
  <si>
    <t>DEMOSTRADORA DEL HOGAR III</t>
  </si>
  <si>
    <t>79220</t>
  </si>
  <si>
    <t>DEMOSTRADORA DEL HOGAR JEFE</t>
  </si>
  <si>
    <t>21350</t>
  </si>
  <si>
    <t>DEPOSITARIO DE ESPECIES FISCALES</t>
  </si>
  <si>
    <t>21355</t>
  </si>
  <si>
    <t>DEPOSITARIO DE ESPECIES FISCALES JEFE</t>
  </si>
  <si>
    <t>43770</t>
  </si>
  <si>
    <t>DIAGRAMADOR</t>
  </si>
  <si>
    <t>43741</t>
  </si>
  <si>
    <t>DIBUJANTE CARTOGRAFICIO I</t>
  </si>
  <si>
    <t>43742</t>
  </si>
  <si>
    <t>DIBUJANTE CARTOGRAFICO II</t>
  </si>
  <si>
    <t>43743</t>
  </si>
  <si>
    <t>DIBUJANTE CARTOGRAFICO III</t>
  </si>
  <si>
    <t>43744</t>
  </si>
  <si>
    <t>DIBUJANTE CARTOGRAFICO IV</t>
  </si>
  <si>
    <t>43750</t>
  </si>
  <si>
    <t>DIBUJANTE CARTOGRAFICO JEFE</t>
  </si>
  <si>
    <t>43721</t>
  </si>
  <si>
    <t>DIBUJANTE I</t>
  </si>
  <si>
    <t>43722</t>
  </si>
  <si>
    <t>DIBUJANTE II</t>
  </si>
  <si>
    <t>43723</t>
  </si>
  <si>
    <t>DIBUJANTE III</t>
  </si>
  <si>
    <t>43781</t>
  </si>
  <si>
    <t>DIBUJANTE ILUSTRADOR I</t>
  </si>
  <si>
    <t>43782</t>
  </si>
  <si>
    <t>DIBUJANTE ILUSTRADOR II</t>
  </si>
  <si>
    <t>43790</t>
  </si>
  <si>
    <t>DIBUJANTE ILUSTRADOR JEFE</t>
  </si>
  <si>
    <t>43730</t>
  </si>
  <si>
    <t>DIBUJANTE JEFE</t>
  </si>
  <si>
    <t>77121</t>
  </si>
  <si>
    <t>DIETISTA I</t>
  </si>
  <si>
    <t>77122</t>
  </si>
  <si>
    <t>DIETISTA II</t>
  </si>
  <si>
    <t>77123</t>
  </si>
  <si>
    <t>DIETISTA III</t>
  </si>
  <si>
    <t>77124</t>
  </si>
  <si>
    <t>DIETISTA IV</t>
  </si>
  <si>
    <t>77130</t>
  </si>
  <si>
    <t>DIETISTA JEFE</t>
  </si>
  <si>
    <t>00903</t>
  </si>
  <si>
    <t>DIRECTOR</t>
  </si>
  <si>
    <t>03502</t>
  </si>
  <si>
    <t>DIRECTOR DE BANDA</t>
  </si>
  <si>
    <t>71390</t>
  </si>
  <si>
    <t>DIRECTOR DE ESCUELAS DE ENFERMERIA</t>
  </si>
  <si>
    <t>34150</t>
  </si>
  <si>
    <t>DIRECTOR DE PROGRAMAS DE CURSOS</t>
  </si>
  <si>
    <t>32135</t>
  </si>
  <si>
    <t>DIRECTOR DE PROGRAMAS TV</t>
  </si>
  <si>
    <t>43724</t>
  </si>
  <si>
    <t>80000</t>
  </si>
  <si>
    <t>62910</t>
  </si>
  <si>
    <t>DISTINGUIDO (BOMBERO)</t>
  </si>
  <si>
    <t>77141</t>
  </si>
  <si>
    <t>ECONOMA I</t>
  </si>
  <si>
    <t>77142</t>
  </si>
  <si>
    <t>ECONOMA II</t>
  </si>
  <si>
    <t>36221</t>
  </si>
  <si>
    <t>ECONOMISTA I</t>
  </si>
  <si>
    <t>36222</t>
  </si>
  <si>
    <t>ECONOMISTA II</t>
  </si>
  <si>
    <t>36223</t>
  </si>
  <si>
    <t>ECONOMISTA III</t>
  </si>
  <si>
    <t>36231</t>
  </si>
  <si>
    <t>ECONOMISTA JEFE I</t>
  </si>
  <si>
    <t>36232</t>
  </si>
  <si>
    <t>ECONOMISTA JEFE II</t>
  </si>
  <si>
    <t>36233</t>
  </si>
  <si>
    <t>ECONOMISTA JEFE III</t>
  </si>
  <si>
    <t>31360</t>
  </si>
  <si>
    <t>EDITOR</t>
  </si>
  <si>
    <t>31120</t>
  </si>
  <si>
    <t>EDITOR DE NOTICIAS EDUCATIVAS</t>
  </si>
  <si>
    <t>32170</t>
  </si>
  <si>
    <t>EDITOR FILMICO</t>
  </si>
  <si>
    <t>31110</t>
  </si>
  <si>
    <t>EDITOR HISTORICO</t>
  </si>
  <si>
    <t>31370</t>
  </si>
  <si>
    <t>EDITOR JEFE</t>
  </si>
  <si>
    <t>37812</t>
  </si>
  <si>
    <t>ENCUADERNADOR DE CONSERVACION II</t>
  </si>
  <si>
    <t>37813</t>
  </si>
  <si>
    <t>ENCUADERNADOR DE CONSERVACION III</t>
  </si>
  <si>
    <t>37820</t>
  </si>
  <si>
    <t>ENCUADERNADOR DE CONSERVACION JEFE</t>
  </si>
  <si>
    <t>71310</t>
  </si>
  <si>
    <t>ENFERMERA ANESTESISTA</t>
  </si>
  <si>
    <t>71351</t>
  </si>
  <si>
    <t>ENFERMERA DE SALUD PUBLICA I</t>
  </si>
  <si>
    <t>71352</t>
  </si>
  <si>
    <t>ENFERMERA DE SALUD PUBLICA II</t>
  </si>
  <si>
    <t>71353</t>
  </si>
  <si>
    <t>ENFERMERA DE SALUD PUBLICA III</t>
  </si>
  <si>
    <t>71354</t>
  </si>
  <si>
    <t>ENFERMERA DE SALUD PUBLICA IV</t>
  </si>
  <si>
    <t>71362</t>
  </si>
  <si>
    <t>ENFERMERA DE SALUD PUBLICA JEFE II</t>
  </si>
  <si>
    <t>71363</t>
  </si>
  <si>
    <t>ENFERMERA DE SALUD PUBLICA JEFE III</t>
  </si>
  <si>
    <t>71364</t>
  </si>
  <si>
    <t>ENFERMERA DE SALUD PUBLICA JEFE V</t>
  </si>
  <si>
    <t>71355</t>
  </si>
  <si>
    <t>ENFERMERA DE SALUD PUBLICA V</t>
  </si>
  <si>
    <t>71321</t>
  </si>
  <si>
    <t>ENFERMERA HEMOTERAPISTA I</t>
  </si>
  <si>
    <t>71322</t>
  </si>
  <si>
    <t>ENFERMERA HEMOTERAPISTA II</t>
  </si>
  <si>
    <t>71323</t>
  </si>
  <si>
    <t>ENFERMERA HEMOTERAPISTA III</t>
  </si>
  <si>
    <t>71331</t>
  </si>
  <si>
    <t>ENFERMERA I</t>
  </si>
  <si>
    <t>71332</t>
  </si>
  <si>
    <t>ENFERMERA II</t>
  </si>
  <si>
    <t>71333</t>
  </si>
  <si>
    <t>ENFERMERA III</t>
  </si>
  <si>
    <t>71341</t>
  </si>
  <si>
    <t>ENFERMERA JEFE I</t>
  </si>
  <si>
    <t>71342</t>
  </si>
  <si>
    <t>ENFERMERA JEFE II</t>
  </si>
  <si>
    <t>71343</t>
  </si>
  <si>
    <t>ENFERMERA JEFE III</t>
  </si>
  <si>
    <t>34232</t>
  </si>
  <si>
    <t>34231</t>
  </si>
  <si>
    <t>ENTRENADOR DEPORTIVO I</t>
  </si>
  <si>
    <t>34233</t>
  </si>
  <si>
    <t>ENTRENADOR DEPORTIVO III</t>
  </si>
  <si>
    <t>34234</t>
  </si>
  <si>
    <t>ENTRENADOR DEPORTIVO IV</t>
  </si>
  <si>
    <t>34235</t>
  </si>
  <si>
    <t>ENTRENADOR DEPORTIVO V</t>
  </si>
  <si>
    <t>34236</t>
  </si>
  <si>
    <t>ENTRENADOR DEPORTIVO VI</t>
  </si>
  <si>
    <t>34237</t>
  </si>
  <si>
    <t>ENTRENADOR DEPORTIVO VII</t>
  </si>
  <si>
    <t>32125</t>
  </si>
  <si>
    <t>ESCENOGRAFO</t>
  </si>
  <si>
    <t>35231</t>
  </si>
  <si>
    <t>ESCRIBIENTE DE REGISTRO I</t>
  </si>
  <si>
    <t>35232</t>
  </si>
  <si>
    <t>ESCRIBIENTE DE REGISTROS  II</t>
  </si>
  <si>
    <t>12310</t>
  </si>
  <si>
    <t>ESPECIALISTA EN ASISTENCIA TECNICA</t>
  </si>
  <si>
    <t>41311</t>
  </si>
  <si>
    <t>ESPECIALISTA EN EXTENSION I</t>
  </si>
  <si>
    <t>41312</t>
  </si>
  <si>
    <t>ESPECIALISTA EN EXTENSION II</t>
  </si>
  <si>
    <t>41313</t>
  </si>
  <si>
    <t>ESPECIALISTA EN EXTENSION III</t>
  </si>
  <si>
    <t>41314</t>
  </si>
  <si>
    <t>ESPECIALISTA EN EXTENSION IV</t>
  </si>
  <si>
    <t>31231</t>
  </si>
  <si>
    <t>ESPECIALISTA EN INFORMACION I</t>
  </si>
  <si>
    <t>31232</t>
  </si>
  <si>
    <t>ESPECIALISTA EN INFORMACION II</t>
  </si>
  <si>
    <t>31233</t>
  </si>
  <si>
    <t>ESPECIALISTA EN INFORMACION III</t>
  </si>
  <si>
    <t>23471</t>
  </si>
  <si>
    <t>ESPECIALISTA EN INFORMATICA I</t>
  </si>
  <si>
    <t>23472</t>
  </si>
  <si>
    <t>ESPECIALISTA EN INFORMATICA II</t>
  </si>
  <si>
    <t>36131</t>
  </si>
  <si>
    <t>ESTADISTICO I</t>
  </si>
  <si>
    <t>36132</t>
  </si>
  <si>
    <t>ESTADISTICO II</t>
  </si>
  <si>
    <t>36133</t>
  </si>
  <si>
    <t>ESTADISTICO III</t>
  </si>
  <si>
    <t>36141</t>
  </si>
  <si>
    <t>ESTADISTICO JEFE I</t>
  </si>
  <si>
    <t>36142</t>
  </si>
  <si>
    <t>ESTADISTICO JEFE II</t>
  </si>
  <si>
    <t>46960</t>
  </si>
  <si>
    <t>ESTIMADOR DE ASTILLEROS</t>
  </si>
  <si>
    <t>25810</t>
  </si>
  <si>
    <t>EXAMINADOR AUXILIADOR DE BANCO</t>
  </si>
  <si>
    <t>25821</t>
  </si>
  <si>
    <t>EXAMINADOR DE BANCOS I</t>
  </si>
  <si>
    <t>25822</t>
  </si>
  <si>
    <t>EXAMINADOR DE BANCOS II</t>
  </si>
  <si>
    <t>25823</t>
  </si>
  <si>
    <t>EXAMINADOR DE BANCOS III</t>
  </si>
  <si>
    <t>25824</t>
  </si>
  <si>
    <t>EXAMINADOR DE BANCOS IV</t>
  </si>
  <si>
    <t>25830</t>
  </si>
  <si>
    <t>EXAMINADOR DE BANCOS JEFE</t>
  </si>
  <si>
    <t>25825</t>
  </si>
  <si>
    <t>EXAMINADOR DE BANCOS V</t>
  </si>
  <si>
    <t>21641</t>
  </si>
  <si>
    <t>EXPENDEDOR DE ESPECIES FISCALES I</t>
  </si>
  <si>
    <t>21642</t>
  </si>
  <si>
    <t>EXPENDEDOR DE ESPECIES FISCALES II</t>
  </si>
  <si>
    <t>03542</t>
  </si>
  <si>
    <t>FAGOT 1</t>
  </si>
  <si>
    <t>03568</t>
  </si>
  <si>
    <t>FAGOT 2</t>
  </si>
  <si>
    <t>74211</t>
  </si>
  <si>
    <t>FARMACEUTICO I</t>
  </si>
  <si>
    <t>74212</t>
  </si>
  <si>
    <t>FARMACEUTICO II</t>
  </si>
  <si>
    <t>74213</t>
  </si>
  <si>
    <t>FARMACEUTICO III</t>
  </si>
  <si>
    <t>74221</t>
  </si>
  <si>
    <t>FARMACEUTICO JEFE I</t>
  </si>
  <si>
    <t>74222</t>
  </si>
  <si>
    <t>FARMACEUTICO JEFE II</t>
  </si>
  <si>
    <t>74231</t>
  </si>
  <si>
    <t>FARMACOLOGO I</t>
  </si>
  <si>
    <t>74232</t>
  </si>
  <si>
    <t>FARMACOLOGO II</t>
  </si>
  <si>
    <t>74233</t>
  </si>
  <si>
    <t>FARMACOLOGO III</t>
  </si>
  <si>
    <t>74240</t>
  </si>
  <si>
    <t>FARMACOLOGO JEFE</t>
  </si>
  <si>
    <t>25710</t>
  </si>
  <si>
    <t>FISCAL DE BIENES COMERCIALES</t>
  </si>
  <si>
    <t>21651</t>
  </si>
  <si>
    <t>FISCAL DE COTIZACIONES I</t>
  </si>
  <si>
    <t>21652</t>
  </si>
  <si>
    <t>FISCAL DE COTIZACIONES II</t>
  </si>
  <si>
    <t>21380</t>
  </si>
  <si>
    <t>FISCAL DE EMPRESAS</t>
  </si>
  <si>
    <t>51351</t>
  </si>
  <si>
    <t>FISCAL DE PREVENSION Y VIGILANCIA I</t>
  </si>
  <si>
    <t>51352</t>
  </si>
  <si>
    <t>FISCAL DE PREVENSION Y VIGILANCIA II</t>
  </si>
  <si>
    <t>51360</t>
  </si>
  <si>
    <t>FISCAL DE PREVENSION Y VIGILANCIA JEFE</t>
  </si>
  <si>
    <t>21321</t>
  </si>
  <si>
    <t>FISCAL DE RENTAS I</t>
  </si>
  <si>
    <t>21322</t>
  </si>
  <si>
    <t>FISCAL DE RENTAS II</t>
  </si>
  <si>
    <t>21323</t>
  </si>
  <si>
    <t>FISCAL DE RENTAS III</t>
  </si>
  <si>
    <t>21324</t>
  </si>
  <si>
    <t>FISCAL DE RENTAS IV</t>
  </si>
  <si>
    <t>21335</t>
  </si>
  <si>
    <t>FISCAL DE RENTAS JEFE</t>
  </si>
  <si>
    <t>21325</t>
  </si>
  <si>
    <t>FISCAL DE RENTAS V</t>
  </si>
  <si>
    <t>21371</t>
  </si>
  <si>
    <t>FISCAL TECNICO I</t>
  </si>
  <si>
    <t>21372</t>
  </si>
  <si>
    <t>FISCAL TECNICO II</t>
  </si>
  <si>
    <t>21373</t>
  </si>
  <si>
    <t>FISCAL TECNICO III</t>
  </si>
  <si>
    <t>21375</t>
  </si>
  <si>
    <t>FISCAL TECNICO JEFE</t>
  </si>
  <si>
    <t>72531</t>
  </si>
  <si>
    <t>FISIOTERAPEUTA I</t>
  </si>
  <si>
    <t>75532</t>
  </si>
  <si>
    <t>FISIOTERAPEUTA II</t>
  </si>
  <si>
    <t>72533</t>
  </si>
  <si>
    <t>FISIOTERAPEUTA III</t>
  </si>
  <si>
    <t>72534</t>
  </si>
  <si>
    <t>FISIOTERAPEUTA IV</t>
  </si>
  <si>
    <t>03538</t>
  </si>
  <si>
    <t>FLAUTA 1</t>
  </si>
  <si>
    <t>03564</t>
  </si>
  <si>
    <t>FLAUTA 2</t>
  </si>
  <si>
    <t>17510</t>
  </si>
  <si>
    <t>FORMADOR DE INSTRUCTORES</t>
  </si>
  <si>
    <t>37711</t>
  </si>
  <si>
    <t>FOTOGRAFO ARTISTICO I</t>
  </si>
  <si>
    <t>37712</t>
  </si>
  <si>
    <t>FOTOGRAFO ARTISTICO II</t>
  </si>
  <si>
    <t>45251</t>
  </si>
  <si>
    <t>FOTOGRAFO I</t>
  </si>
  <si>
    <t>45252</t>
  </si>
  <si>
    <t>FOTOGRAFO II</t>
  </si>
  <si>
    <t>45253</t>
  </si>
  <si>
    <t>FOTOGRAFO III</t>
  </si>
  <si>
    <t>45281</t>
  </si>
  <si>
    <t>FOTOGRAMETRISTA I</t>
  </si>
  <si>
    <t>45282</t>
  </si>
  <si>
    <t>FOTOGRAMETRISTA II</t>
  </si>
  <si>
    <t>45283</t>
  </si>
  <si>
    <t>FOTOGRAMETRISTA III</t>
  </si>
  <si>
    <t>45284</t>
  </si>
  <si>
    <t>FOTOGRAMETRISTA IV</t>
  </si>
  <si>
    <t>45290</t>
  </si>
  <si>
    <t>FOTOGRAMETRISTA JEFE</t>
  </si>
  <si>
    <t>44381</t>
  </si>
  <si>
    <t>GEMOLOGO I</t>
  </si>
  <si>
    <t>44382</t>
  </si>
  <si>
    <t>GEMOLOGO II</t>
  </si>
  <si>
    <t>36511</t>
  </si>
  <si>
    <t>GEOGRAFO I</t>
  </si>
  <si>
    <t>36512</t>
  </si>
  <si>
    <t>GEOGRAFO II</t>
  </si>
  <si>
    <t>36513</t>
  </si>
  <si>
    <t>GEOGRAFO III</t>
  </si>
  <si>
    <t>44341</t>
  </si>
  <si>
    <t>GEOLOGO I</t>
  </si>
  <si>
    <t>44342</t>
  </si>
  <si>
    <t>GEOLOGO II</t>
  </si>
  <si>
    <t>44343</t>
  </si>
  <si>
    <t>GEOLOGO III</t>
  </si>
  <si>
    <t>44351</t>
  </si>
  <si>
    <t>GEOLOGO JEFE I</t>
  </si>
  <si>
    <t>44352</t>
  </si>
  <si>
    <t>GEOLOGO JEFE II</t>
  </si>
  <si>
    <t>00900</t>
  </si>
  <si>
    <t>GOBERNADOR</t>
  </si>
  <si>
    <t>42631</t>
  </si>
  <si>
    <t>GUARDAFAUNA I</t>
  </si>
  <si>
    <t>42632</t>
  </si>
  <si>
    <t>GUARDAFAUNA II</t>
  </si>
  <si>
    <t>42633</t>
  </si>
  <si>
    <t>GUARDAFAUNA III</t>
  </si>
  <si>
    <t>79511</t>
  </si>
  <si>
    <t>GUIA DE CENTRO I</t>
  </si>
  <si>
    <t>79512</t>
  </si>
  <si>
    <t>GUIA DE CENTRO II</t>
  </si>
  <si>
    <t>21541</t>
  </si>
  <si>
    <t>HABILITADO I</t>
  </si>
  <si>
    <t>21542</t>
  </si>
  <si>
    <t>HABILITADO II</t>
  </si>
  <si>
    <t>21543</t>
  </si>
  <si>
    <t>HABILITADO III</t>
  </si>
  <si>
    <t>21550</t>
  </si>
  <si>
    <t>HABILITADO JEFE</t>
  </si>
  <si>
    <t>43911</t>
  </si>
  <si>
    <t>HIDROGRAFO I</t>
  </si>
  <si>
    <t>43916</t>
  </si>
  <si>
    <t>HIDROGRAFO II</t>
  </si>
  <si>
    <t>43920</t>
  </si>
  <si>
    <t>HIDROGRAFO JEFE</t>
  </si>
  <si>
    <t>43631</t>
  </si>
  <si>
    <t>HIDROMETEOROLOGISTA I</t>
  </si>
  <si>
    <t>43632</t>
  </si>
  <si>
    <t>HIDROMETEOROLOGISTA II</t>
  </si>
  <si>
    <t>43633</t>
  </si>
  <si>
    <t>HIDROMETEOROLOGISTA III</t>
  </si>
  <si>
    <t>73121</t>
  </si>
  <si>
    <t>HIGIENISTA DENTAL I</t>
  </si>
  <si>
    <t>73122</t>
  </si>
  <si>
    <t>HIGIENISTA DENTAL II</t>
  </si>
  <si>
    <t>51361</t>
  </si>
  <si>
    <t>INFORMADOR DE AEROPUERTO I</t>
  </si>
  <si>
    <t>51362</t>
  </si>
  <si>
    <t>INFORMADOR DE AEROPUERTO II</t>
  </si>
  <si>
    <t>71111</t>
  </si>
  <si>
    <t>INFORMADOR TURISTICO  I</t>
  </si>
  <si>
    <t>31521</t>
  </si>
  <si>
    <t>INFORMADOR TURISTICO I</t>
  </si>
  <si>
    <t>31522</t>
  </si>
  <si>
    <t>INFORMADOR TURISTICO II</t>
  </si>
  <si>
    <t>31523</t>
  </si>
  <si>
    <t>INFORMADOR TURISTICO III</t>
  </si>
  <si>
    <t>31524</t>
  </si>
  <si>
    <t>INFORMADOR TURISTICO IV</t>
  </si>
  <si>
    <t>31530</t>
  </si>
  <si>
    <t>INFORMADOR TURISTICO JEFE</t>
  </si>
  <si>
    <t>46411</t>
  </si>
  <si>
    <t>INGENIERO AERONAUTICO I</t>
  </si>
  <si>
    <t>46412</t>
  </si>
  <si>
    <t>INGENIERO AERONAUTICO II</t>
  </si>
  <si>
    <t>41151</t>
  </si>
  <si>
    <t>INGENIERO AGRONOMO I</t>
  </si>
  <si>
    <t>41152</t>
  </si>
  <si>
    <t>INGENIERO AGRONOMO II</t>
  </si>
  <si>
    <t>41153</t>
  </si>
  <si>
    <t>INGENIERO AGRONOMO III</t>
  </si>
  <si>
    <t>41154</t>
  </si>
  <si>
    <t>INGENIERO AGRONOMO IV</t>
  </si>
  <si>
    <t>41160</t>
  </si>
  <si>
    <t>INGENIERO AGRONOMO JEFE</t>
  </si>
  <si>
    <t>41155</t>
  </si>
  <si>
    <t>INGENIERO AGRONOMO V</t>
  </si>
  <si>
    <t>43421</t>
  </si>
  <si>
    <t>INGENIERO CIVIL I</t>
  </si>
  <si>
    <t>43422</t>
  </si>
  <si>
    <t>INGENIERO CIVIL II</t>
  </si>
  <si>
    <t>43423</t>
  </si>
  <si>
    <t>INGENIERO CIVIL III</t>
  </si>
  <si>
    <t>43431</t>
  </si>
  <si>
    <t>INGENIERO CIVIL JEFE I</t>
  </si>
  <si>
    <t>43432</t>
  </si>
  <si>
    <t>INGENIERO CIVIL JEFE II</t>
  </si>
  <si>
    <t>43433</t>
  </si>
  <si>
    <t>INGENIERO CIVIL JEFE III</t>
  </si>
  <si>
    <t>44411</t>
  </si>
  <si>
    <t>INGENIERO DE MINA I</t>
  </si>
  <si>
    <t>44412</t>
  </si>
  <si>
    <t>INGENIERO DE MINAS II</t>
  </si>
  <si>
    <t>44413</t>
  </si>
  <si>
    <t>INGENIERO DE MINAS III</t>
  </si>
  <si>
    <t>44421</t>
  </si>
  <si>
    <t>INGENIERO DE MINAS JEFE I</t>
  </si>
  <si>
    <t>44422</t>
  </si>
  <si>
    <t>INGENIERO DE MINAS JEFE II</t>
  </si>
  <si>
    <t>46511</t>
  </si>
  <si>
    <t>INGENIERO ELECTRICISTA I</t>
  </si>
  <si>
    <t>46512</t>
  </si>
  <si>
    <t>INGENIERO ELECTRICISTA II</t>
  </si>
  <si>
    <t>46513</t>
  </si>
  <si>
    <t>INGENIERO ELECTRICISTA III</t>
  </si>
  <si>
    <t>46520</t>
  </si>
  <si>
    <t>INGENIERO ELECTRICISTA JEFE</t>
  </si>
  <si>
    <t>41721</t>
  </si>
  <si>
    <t>INGENIERO FORESTAL I</t>
  </si>
  <si>
    <t>41722</t>
  </si>
  <si>
    <t>INGENIERO FORESTAL II</t>
  </si>
  <si>
    <t>41723</t>
  </si>
  <si>
    <t>INGENIERO FORESTAL III</t>
  </si>
  <si>
    <t>41731</t>
  </si>
  <si>
    <t>INGENIERO FORESTAL JEFE I</t>
  </si>
  <si>
    <t>41732</t>
  </si>
  <si>
    <t>INGENIERO FORESTAL JEFE II</t>
  </si>
  <si>
    <t>44436</t>
  </si>
  <si>
    <t>INGENIERO GEODESTA I</t>
  </si>
  <si>
    <t>44362</t>
  </si>
  <si>
    <t>INGENIERO GEODESTA II</t>
  </si>
  <si>
    <t>44363</t>
  </si>
  <si>
    <t>INGENIERO GEODESTA III</t>
  </si>
  <si>
    <t>44371</t>
  </si>
  <si>
    <t>INGENIERO GEODESTA JEFE I</t>
  </si>
  <si>
    <t>44372</t>
  </si>
  <si>
    <t>INGENIERO GEODESTA JEFE II</t>
  </si>
  <si>
    <t>43651</t>
  </si>
  <si>
    <t>INGENIERO HIDROMETEOROLISTA JEFE I</t>
  </si>
  <si>
    <t>43652</t>
  </si>
  <si>
    <t>INGENIERO HIDROMETEOROLISTA JEFE II</t>
  </si>
  <si>
    <t>43641</t>
  </si>
  <si>
    <t>INGENIERO HIDROMETEOROLOGISTA I</t>
  </si>
  <si>
    <t>43642</t>
  </si>
  <si>
    <t>INGENIERO HIDROMETEOROLOSTA II</t>
  </si>
  <si>
    <t>43643</t>
  </si>
  <si>
    <t>INGENIERO HIROMETEROLOGISTA III</t>
  </si>
  <si>
    <t>46611</t>
  </si>
  <si>
    <t>INGENIERO INDUSTRIAL I</t>
  </si>
  <si>
    <t>46612</t>
  </si>
  <si>
    <t>INGENIERO INDUSTRIAL II</t>
  </si>
  <si>
    <t>46613</t>
  </si>
  <si>
    <t>INGENIERO INDUSTRIAL III</t>
  </si>
  <si>
    <t>46311</t>
  </si>
  <si>
    <t>INGENIERO MECANICO I</t>
  </si>
  <si>
    <t>46312</t>
  </si>
  <si>
    <t>INGENIERO MECANICO II</t>
  </si>
  <si>
    <t>46313</t>
  </si>
  <si>
    <t>INGENIERO MECANICO III</t>
  </si>
  <si>
    <t>46320</t>
  </si>
  <si>
    <t>INGENIERO MECANICO JEFE</t>
  </si>
  <si>
    <t>44210</t>
  </si>
  <si>
    <t>INGENIERO METALURGICO</t>
  </si>
  <si>
    <t>46811</t>
  </si>
  <si>
    <t>INGENIERO NAVAL I</t>
  </si>
  <si>
    <t>46812</t>
  </si>
  <si>
    <t>INGENIERO NAVAL II</t>
  </si>
  <si>
    <t>46813</t>
  </si>
  <si>
    <t>INGENIERO NAVAL III</t>
  </si>
  <si>
    <t>46820</t>
  </si>
  <si>
    <t>INGENIERO NAVAL JEFE</t>
  </si>
  <si>
    <t>46711</t>
  </si>
  <si>
    <t>INGENIERO NUCLEAR I</t>
  </si>
  <si>
    <t>46712</t>
  </si>
  <si>
    <t>INGENIERO NUCLEAR II</t>
  </si>
  <si>
    <t>46713</t>
  </si>
  <si>
    <t>INGENIERO NUCLEAR III</t>
  </si>
  <si>
    <t>46720</t>
  </si>
  <si>
    <t>INGENIERO NUCLEAR JEFE</t>
  </si>
  <si>
    <t>44521</t>
  </si>
  <si>
    <t>INGENIERO PETROLERO I</t>
  </si>
  <si>
    <t>44522</t>
  </si>
  <si>
    <t>INGENIERO PETROLERO II</t>
  </si>
  <si>
    <t>44523</t>
  </si>
  <si>
    <t>INGENIERO PETROLERO III</t>
  </si>
  <si>
    <t>44531</t>
  </si>
  <si>
    <t>INGENIERO PETROLERO JEFE I</t>
  </si>
  <si>
    <t>44532</t>
  </si>
  <si>
    <t>INGENIERO PETROLERO JEFE II</t>
  </si>
  <si>
    <t>44741</t>
  </si>
  <si>
    <t>INGENIERO QUIMICO I</t>
  </si>
  <si>
    <t>44742</t>
  </si>
  <si>
    <t>INGENIERO QUIMICO II</t>
  </si>
  <si>
    <t>44743</t>
  </si>
  <si>
    <t>INGENIERO QUIMICO III</t>
  </si>
  <si>
    <t>44751</t>
  </si>
  <si>
    <t>INGENIERO QUIMICO JEFE I</t>
  </si>
  <si>
    <t>44752</t>
  </si>
  <si>
    <t>INGENIERO QUMICO JEFE II</t>
  </si>
  <si>
    <t>43441</t>
  </si>
  <si>
    <t>INGENIERO SANITARIO I</t>
  </si>
  <si>
    <t>43442</t>
  </si>
  <si>
    <t>INGENIERO SANITARIO II</t>
  </si>
  <si>
    <t>43443</t>
  </si>
  <si>
    <t>INGENIERO SANITARIO III</t>
  </si>
  <si>
    <t>43451</t>
  </si>
  <si>
    <t>INGENIERO SANITARIO JEFE I</t>
  </si>
  <si>
    <t>43452</t>
  </si>
  <si>
    <t>INGENIERO SANITARIO JEFE II</t>
  </si>
  <si>
    <t>43453</t>
  </si>
  <si>
    <t>INGENIERO SANITARIO JEFE III</t>
  </si>
  <si>
    <t>43311</t>
  </si>
  <si>
    <t>INPECTOR DE MAQUINARIAS I</t>
  </si>
  <si>
    <t>35213</t>
  </si>
  <si>
    <t>INSP. NACIONAL DE REGIST Y NOTARIAS III</t>
  </si>
  <si>
    <t>35212</t>
  </si>
  <si>
    <t>INSP. NACIONAL DE REGIST. Y NOTARIAS II</t>
  </si>
  <si>
    <t>35220</t>
  </si>
  <si>
    <t>INSPEC NACIONAL DE REG. Y NOTARIAS JEFE</t>
  </si>
  <si>
    <t>21711</t>
  </si>
  <si>
    <t>INSPEC.  RELACIONES CON EL SEGURO SOCIAL</t>
  </si>
  <si>
    <t>35211</t>
  </si>
  <si>
    <t>INSPEC. NACIONAL DE REGISTROS Y NOTARIAS</t>
  </si>
  <si>
    <t>21712</t>
  </si>
  <si>
    <t>INSPEC. RELACIONES SEGURO SOCIAL II</t>
  </si>
  <si>
    <t>21411</t>
  </si>
  <si>
    <t>INSPECTOR ADMINISTRATIVO I</t>
  </si>
  <si>
    <t>21413</t>
  </si>
  <si>
    <t>INSPECTOR ADMINISTRATIVO III</t>
  </si>
  <si>
    <t>21414</t>
  </si>
  <si>
    <t>INSPECTOR ADMINISTRATIVO IV</t>
  </si>
  <si>
    <t>21425</t>
  </si>
  <si>
    <t>INSPECTOR ADMINISTRATIVO JEFE</t>
  </si>
  <si>
    <t>21412</t>
  </si>
  <si>
    <t>INSPECTOR AMDINISTRATIVO II</t>
  </si>
  <si>
    <t>43460</t>
  </si>
  <si>
    <t>INSPECTOR AUX. DE OBRAS DE INGENIERIA</t>
  </si>
  <si>
    <t>51750</t>
  </si>
  <si>
    <t>INSPECTOR DE AEROPUERTOS</t>
  </si>
  <si>
    <t>44611</t>
  </si>
  <si>
    <t>INSPECTOR DE DERIVADOS HIDROCARBUROS I</t>
  </si>
  <si>
    <t>44612</t>
  </si>
  <si>
    <t>INSPECTOR DE DERIVADOS HIDROCARBUROS II</t>
  </si>
  <si>
    <t>43210</t>
  </si>
  <si>
    <t>INSPECTOR DE INMUEBLES</t>
  </si>
  <si>
    <t>43312</t>
  </si>
  <si>
    <t>INSPECTOR DE MAQUINARIAS II</t>
  </si>
  <si>
    <t>46171</t>
  </si>
  <si>
    <t>INSPECTOR DE MECANICA DE AVIACION I</t>
  </si>
  <si>
    <t>46172</t>
  </si>
  <si>
    <t>INSPECTOR DE MECANICA DE AVIACION II</t>
  </si>
  <si>
    <t>46173</t>
  </si>
  <si>
    <t>INSPECTOR DE MECANICA DE AVIACION III</t>
  </si>
  <si>
    <t>43471</t>
  </si>
  <si>
    <t>INSPECTOR DE OBRAS DE INGENIERIA I</t>
  </si>
  <si>
    <t>43472</t>
  </si>
  <si>
    <t>INSPECTOR DE OBRAS DE INGENIERIA II</t>
  </si>
  <si>
    <t>82210</t>
  </si>
  <si>
    <t>INSPECTOR DE PRISIONES</t>
  </si>
  <si>
    <t>82220</t>
  </si>
  <si>
    <t>INSPECTOR DE PRISIONES JEFE</t>
  </si>
  <si>
    <t>53230</t>
  </si>
  <si>
    <t>INSPECTOR DE PUERTOS</t>
  </si>
  <si>
    <t>21311</t>
  </si>
  <si>
    <t>INSPECTOR DE RENTAS I</t>
  </si>
  <si>
    <t>21312</t>
  </si>
  <si>
    <t>INSPECTOR DE RENTAS II</t>
  </si>
  <si>
    <t>21315</t>
  </si>
  <si>
    <t>INSPECTOR DE RENTAS JEFE</t>
  </si>
  <si>
    <t>76233</t>
  </si>
  <si>
    <t>INSPECTOR DE SALID PUBLICA III</t>
  </si>
  <si>
    <t>76231</t>
  </si>
  <si>
    <t>INSPECTOR DE SALUD PUBLICA I</t>
  </si>
  <si>
    <t>46232</t>
  </si>
  <si>
    <t>INSPECTOR DE SALUD PUBLICA II</t>
  </si>
  <si>
    <t>76234</t>
  </si>
  <si>
    <t>INSPECTOR DE SALUD PUBLICA IV</t>
  </si>
  <si>
    <t>85111</t>
  </si>
  <si>
    <t>INSPECTOR DE SEGURIDAD INDUSTRIAL</t>
  </si>
  <si>
    <t>85112</t>
  </si>
  <si>
    <t>INSPECTOR DE SEGURIDAD INDUSTRIAL II</t>
  </si>
  <si>
    <t>85113</t>
  </si>
  <si>
    <t>INSPECTOR DE SEGURIDAD INDUSTRIAL III</t>
  </si>
  <si>
    <t>85114</t>
  </si>
  <si>
    <t>INSPECTOR DE SEGURIDAD INDUSTRIAL IV</t>
  </si>
  <si>
    <t>25511</t>
  </si>
  <si>
    <t>INSPECTOR DE SEGUROS COMERCIALES I</t>
  </si>
  <si>
    <t>25512</t>
  </si>
  <si>
    <t>INSPECTOR DE SEGUROS COMERCIALES II</t>
  </si>
  <si>
    <t>25520</t>
  </si>
  <si>
    <t>INSPECTOR DE SEGUROS COMERIALES JEFE</t>
  </si>
  <si>
    <t>25513</t>
  </si>
  <si>
    <t>INSPECTOR DE SEUGROS COMERCIALES III</t>
  </si>
  <si>
    <t>51731</t>
  </si>
  <si>
    <t>INSPECTOR DE TELECOMUNICACIONES I</t>
  </si>
  <si>
    <t>51732</t>
  </si>
  <si>
    <t>INSPECTOR DE TELECOMUNICACIONES II</t>
  </si>
  <si>
    <t>51733</t>
  </si>
  <si>
    <t>INSPECTOR DE TELECOMUNICACIONES III</t>
  </si>
  <si>
    <t>84321</t>
  </si>
  <si>
    <t>INSPECTOR DE TRABAJO I</t>
  </si>
  <si>
    <t>84322</t>
  </si>
  <si>
    <t>INSPECTOR DE TRABAJO II</t>
  </si>
  <si>
    <t>84323</t>
  </si>
  <si>
    <t>INSPECTOR DE TRABAJO III</t>
  </si>
  <si>
    <t>84324</t>
  </si>
  <si>
    <t>INSPECTOR DE TRABAJO IV</t>
  </si>
  <si>
    <t>84325</t>
  </si>
  <si>
    <t>INSPECTOR DE TRABAJO V</t>
  </si>
  <si>
    <t>52121</t>
  </si>
  <si>
    <t>INSPECTOR DE TRANSPORTE I</t>
  </si>
  <si>
    <t>52122</t>
  </si>
  <si>
    <t>INSPECTOR DE TRANSPORTE II</t>
  </si>
  <si>
    <t>52255</t>
  </si>
  <si>
    <t>INSPECTOR DE ZONAS MARITIMAS</t>
  </si>
  <si>
    <t>64110</t>
  </si>
  <si>
    <t>INSPECTOR ELECTRICISTA</t>
  </si>
  <si>
    <t>21361</t>
  </si>
  <si>
    <t>INSPECTOR GENERAL DE HACIENDA I</t>
  </si>
  <si>
    <t>21362</t>
  </si>
  <si>
    <t>INSPECTOR GENERAL DE HACIENDA II</t>
  </si>
  <si>
    <t>21363</t>
  </si>
  <si>
    <t>INSPECTOR GENERAL DE HACIENDA III</t>
  </si>
  <si>
    <t>21364</t>
  </si>
  <si>
    <t>INSPECTOR GENERAL DE HACIENDA IV</t>
  </si>
  <si>
    <t>86130</t>
  </si>
  <si>
    <t>INSPECTOR IDENTIFICACION Y EXTRANJERIA</t>
  </si>
  <si>
    <t>31561</t>
  </si>
  <si>
    <t>INSPECTOR TURISTICO I</t>
  </si>
  <si>
    <t>31562</t>
  </si>
  <si>
    <t>INSPECTOR TURISTICO II</t>
  </si>
  <si>
    <t>31563</t>
  </si>
  <si>
    <t>INSPECTOR TURISTICO III</t>
  </si>
  <si>
    <t>31564</t>
  </si>
  <si>
    <t>INSPECTOR TURISTICO IV</t>
  </si>
  <si>
    <t>31571</t>
  </si>
  <si>
    <t>INSPECTOR TURISTICO JEFE I</t>
  </si>
  <si>
    <t>31572</t>
  </si>
  <si>
    <t>INSPECTOR TURISTICO JEFE II</t>
  </si>
  <si>
    <t>16410</t>
  </si>
  <si>
    <t>INSTRC. DE ALFABETIZACION Y EDUC. BASICA</t>
  </si>
  <si>
    <t>17340</t>
  </si>
  <si>
    <t>INSTRC. FORMACION PROF. EN EL AREA COMER</t>
  </si>
  <si>
    <t>17320</t>
  </si>
  <si>
    <t>INSTRUC FORMACION PROF, ART,Y SERV.</t>
  </si>
  <si>
    <t>41411</t>
  </si>
  <si>
    <t>INSTRUCTOR AGROPECUARIO I</t>
  </si>
  <si>
    <t>41413</t>
  </si>
  <si>
    <t>INSTRUCTOR AGROPECUARIO III</t>
  </si>
  <si>
    <t>41421</t>
  </si>
  <si>
    <t>INSTRUCTOR AGROPECUARIO JEFE I</t>
  </si>
  <si>
    <t>41422</t>
  </si>
  <si>
    <t>INSTRUCTOR AGROPECURIO JEFE II</t>
  </si>
  <si>
    <t>71370</t>
  </si>
  <si>
    <t>INSTRUCTOR DE ENFERMERIA</t>
  </si>
  <si>
    <t>54110</t>
  </si>
  <si>
    <t>INSTRUCTOR DE ERONAUTICA CIVIL</t>
  </si>
  <si>
    <t>17330</t>
  </si>
  <si>
    <t>INSTRUCTOR DE FORM. PROFESIONAL EN EL AREA DE OFICINA</t>
  </si>
  <si>
    <t>17212</t>
  </si>
  <si>
    <t>INSTRUCTOR DE FORMACION EMPRESARIA II</t>
  </si>
  <si>
    <t>17211</t>
  </si>
  <si>
    <t>INSTRUCTOR DE FORMACION EMPRESARIAL</t>
  </si>
  <si>
    <t>17213</t>
  </si>
  <si>
    <t>INSTRUCTOR DE FORMACION EMPRESARIAL III</t>
  </si>
  <si>
    <t>17920</t>
  </si>
  <si>
    <t>INSTRUCTOR DE PRE-ESCOLAR</t>
  </si>
  <si>
    <t>54210</t>
  </si>
  <si>
    <t>INSTRUCTOR DE TECNICAS NAUTICAS</t>
  </si>
  <si>
    <t>54220</t>
  </si>
  <si>
    <t>INSTRUCTOR DE TECNICAS NAUTICAS JEFE</t>
  </si>
  <si>
    <t>54140</t>
  </si>
  <si>
    <t>INSTRUCTOR INSTRUMENTAL DE VUELO</t>
  </si>
  <si>
    <t>41412</t>
  </si>
  <si>
    <t>INSTURCTOR AGROPECUARIO II</t>
  </si>
  <si>
    <t>03750</t>
  </si>
  <si>
    <t>INTENDENTE DE HOSPITAL I</t>
  </si>
  <si>
    <t>71212</t>
  </si>
  <si>
    <t>INTENDENTE DE HOSPITAL II</t>
  </si>
  <si>
    <t>71213</t>
  </si>
  <si>
    <t>INTENDENTE DE HOSPITAL III</t>
  </si>
  <si>
    <t>71214</t>
  </si>
  <si>
    <t>INTENDENTE DE HOSPITAL IV</t>
  </si>
  <si>
    <t>71215</t>
  </si>
  <si>
    <t>INTENDENTE DE HOSPITAL V</t>
  </si>
  <si>
    <t>53122</t>
  </si>
  <si>
    <t>INTERVENTOR DE ADUANAS II</t>
  </si>
  <si>
    <t>53123</t>
  </si>
  <si>
    <t>INTERVENTOR DE ADUANAS III</t>
  </si>
  <si>
    <t>53121</t>
  </si>
  <si>
    <t>INTERVENTOR DE ADUNAS I</t>
  </si>
  <si>
    <t>37321</t>
  </si>
  <si>
    <t>INVESTIGADOR DE MUSEO I</t>
  </si>
  <si>
    <t>37322</t>
  </si>
  <si>
    <t>INVESTIGADOR DE MUSEO II</t>
  </si>
  <si>
    <t>37323</t>
  </si>
  <si>
    <t>INVESTIGADOR DE MUSEO III</t>
  </si>
  <si>
    <t>41220</t>
  </si>
  <si>
    <t>INVESTIGADOR EN ADIESTRAMIENTO</t>
  </si>
  <si>
    <t>41221</t>
  </si>
  <si>
    <t>INVESTIGADOR I</t>
  </si>
  <si>
    <t>41222</t>
  </si>
  <si>
    <t>INVESTIGADOR II</t>
  </si>
  <si>
    <t>41223</t>
  </si>
  <si>
    <t>INVESTIGADOR III</t>
  </si>
  <si>
    <t>41224</t>
  </si>
  <si>
    <t>INVESTIGADOR IV</t>
  </si>
  <si>
    <t>41230</t>
  </si>
  <si>
    <t>INVESTIGADOR JEFE</t>
  </si>
  <si>
    <t>36811</t>
  </si>
  <si>
    <t>INVESTIGADOR SOCIAL I</t>
  </si>
  <si>
    <t>36812</t>
  </si>
  <si>
    <t>INVESTIGADOR SOCIAL II</t>
  </si>
  <si>
    <t>36813</t>
  </si>
  <si>
    <t>INVESTIGADOR SOCIAL III</t>
  </si>
  <si>
    <t>36820</t>
  </si>
  <si>
    <t>INVESTIGADOR SOCIAL JEFE</t>
  </si>
  <si>
    <t>41225</t>
  </si>
  <si>
    <t>INVESTIGADOR V</t>
  </si>
  <si>
    <t>53221</t>
  </si>
  <si>
    <t>JEE DE SERVICIOS PORTUARIOS I</t>
  </si>
  <si>
    <t>52295</t>
  </si>
  <si>
    <t>JEFE CAPITAN DE PUERTO</t>
  </si>
  <si>
    <t>79532</t>
  </si>
  <si>
    <t>JEFE CENTRO ATENCION POR ABANDONO</t>
  </si>
  <si>
    <t>79533</t>
  </si>
  <si>
    <t>JEFE CENTRO ATENCION POR TRATAMIENTO</t>
  </si>
  <si>
    <t>34120</t>
  </si>
  <si>
    <t>JEFE CENTRO AUDIOVISUAL</t>
  </si>
  <si>
    <t>79531</t>
  </si>
  <si>
    <t>JEFE CENTRO DE PREVENCION</t>
  </si>
  <si>
    <t>36432</t>
  </si>
  <si>
    <t>JEFE CENTRO INDIGENISTA II</t>
  </si>
  <si>
    <t>36431</t>
  </si>
  <si>
    <t>JEFE CENTRO INDIGENITA I</t>
  </si>
  <si>
    <t>51331</t>
  </si>
  <si>
    <t>JEFE DE AEROPUERTO I</t>
  </si>
  <si>
    <t>51332</t>
  </si>
  <si>
    <t>JEFE DE AEROPUERTO II</t>
  </si>
  <si>
    <t>51333</t>
  </si>
  <si>
    <t>JEFE DE AEROPUERTO III</t>
  </si>
  <si>
    <t>51334</t>
  </si>
  <si>
    <t>JEFE DE AEROPUERTO IV</t>
  </si>
  <si>
    <t>51335</t>
  </si>
  <si>
    <t>JEFE DE AEROPUERTO V</t>
  </si>
  <si>
    <t>43320</t>
  </si>
  <si>
    <t>JEFE DE CONTROL DE MAQUINAS</t>
  </si>
  <si>
    <t>00906</t>
  </si>
  <si>
    <t>JEFE DE DEPARTAMENTO</t>
  </si>
  <si>
    <t>00905</t>
  </si>
  <si>
    <t>JEFE DE DIVISION</t>
  </si>
  <si>
    <t>00919</t>
  </si>
  <si>
    <t>JEFE DE DIVISION ADMINISTRATIVO</t>
  </si>
  <si>
    <t>00922</t>
  </si>
  <si>
    <t>JEFE DE EJECUCION Y CONTROL DE PRESUPUES</t>
  </si>
  <si>
    <t>23461</t>
  </si>
  <si>
    <t>JEFE DE INFORMATICA I</t>
  </si>
  <si>
    <t>23462</t>
  </si>
  <si>
    <t>JEFE DE INFORMATICA II</t>
  </si>
  <si>
    <t>23463</t>
  </si>
  <si>
    <t>JEFE DE INFORMATICA III</t>
  </si>
  <si>
    <t>45230</t>
  </si>
  <si>
    <t>JEFE DE LABORATORIO DE AEROFOTOGRAFIA</t>
  </si>
  <si>
    <t>52321</t>
  </si>
  <si>
    <t>JEFE DE MAQUINAS I</t>
  </si>
  <si>
    <t>52322</t>
  </si>
  <si>
    <t>JEFE DE MAQUINAS II</t>
  </si>
  <si>
    <t>00923</t>
  </si>
  <si>
    <t>JEFE DE OBREROS</t>
  </si>
  <si>
    <t>00907</t>
  </si>
  <si>
    <t>JEFE DE OFICINA</t>
  </si>
  <si>
    <t>36780</t>
  </si>
  <si>
    <t>JEFE DE PABELLON DE FERIAS</t>
  </si>
  <si>
    <t>17930</t>
  </si>
  <si>
    <t>JEFE DE PRE-ESCOLAR</t>
  </si>
  <si>
    <t>31341</t>
  </si>
  <si>
    <t>JEFE DE RELACIONES PUBLICAS I</t>
  </si>
  <si>
    <t>31342</t>
  </si>
  <si>
    <t>JEFE DE RELACIONES PUBLICAS II</t>
  </si>
  <si>
    <t>31343</t>
  </si>
  <si>
    <t>JEFE DE RELACIONES PUBLICAS III</t>
  </si>
  <si>
    <t>00910</t>
  </si>
  <si>
    <t>JEFE DE SECCION</t>
  </si>
  <si>
    <t>53222</t>
  </si>
  <si>
    <t>JEFE DE SERVICIOS PORTUARIOS II</t>
  </si>
  <si>
    <t>53223</t>
  </si>
  <si>
    <t>JEFE DE SERVICIOS PORTUARIOS III</t>
  </si>
  <si>
    <t>53224</t>
  </si>
  <si>
    <t>JEFE DE SERVICIOS PORTUARIOS IV</t>
  </si>
  <si>
    <t>52141</t>
  </si>
  <si>
    <t>JEFE DE TRANSPORTE AUTOMOTOR I</t>
  </si>
  <si>
    <t>52143</t>
  </si>
  <si>
    <t>JEFE DE TRANSPORTE AUTONOMOR III</t>
  </si>
  <si>
    <t>52142</t>
  </si>
  <si>
    <t>JEFE DE TRASPORTE AUTOMOTOR II</t>
  </si>
  <si>
    <t>00908</t>
  </si>
  <si>
    <t>JEFE DE ZONA</t>
  </si>
  <si>
    <t>76310</t>
  </si>
  <si>
    <t>JEFE DE ZONA DE SANEAMIENTO AMBIENTAL</t>
  </si>
  <si>
    <t>52260</t>
  </si>
  <si>
    <t>JEFE ESTACION DE PILOTO</t>
  </si>
  <si>
    <t>00928</t>
  </si>
  <si>
    <t>JEFE SECCION DE RENDICION DE CUENTAS</t>
  </si>
  <si>
    <t>12210</t>
  </si>
  <si>
    <t>JEFE TECNICO AMDINISTRATIVO</t>
  </si>
  <si>
    <t>32230</t>
  </si>
  <si>
    <t>LABORATORISTA CINEMATOGRAFICO</t>
  </si>
  <si>
    <t>45121</t>
  </si>
  <si>
    <t>LABORATORISTA I</t>
  </si>
  <si>
    <t>45122</t>
  </si>
  <si>
    <t>LABORATORISTA II</t>
  </si>
  <si>
    <t>45123</t>
  </si>
  <si>
    <t>LABORATORISTA III</t>
  </si>
  <si>
    <t>32160</t>
  </si>
  <si>
    <t>LIBRETISTA DE RADIO</t>
  </si>
  <si>
    <t>44131</t>
  </si>
  <si>
    <t>LIQUIDADOR DE HIDROCARBUROS I</t>
  </si>
  <si>
    <t>44132</t>
  </si>
  <si>
    <t>LIQUIDADOR DE HIDROCARBUROS II</t>
  </si>
  <si>
    <t>44133</t>
  </si>
  <si>
    <t>LIQUIDADOR DE HIDROCARBUROS III</t>
  </si>
  <si>
    <t>44140</t>
  </si>
  <si>
    <t>LIQUIDADOR DE HIDROCARBUROS JEFE</t>
  </si>
  <si>
    <t>21341</t>
  </si>
  <si>
    <t>LIQUIDADOR I</t>
  </si>
  <si>
    <t>21342</t>
  </si>
  <si>
    <t>LIQUIDADOR II</t>
  </si>
  <si>
    <t>21343</t>
  </si>
  <si>
    <t>LIQUIDADOR III</t>
  </si>
  <si>
    <t>21345</t>
  </si>
  <si>
    <t>LIQUIDADOR JEFE</t>
  </si>
  <si>
    <t>32141</t>
  </si>
  <si>
    <t>LOCUTOR I</t>
  </si>
  <si>
    <t>32142</t>
  </si>
  <si>
    <t>LOCUTOR II</t>
  </si>
  <si>
    <t>43521</t>
  </si>
  <si>
    <t>MAQUETISTA I</t>
  </si>
  <si>
    <t>43522</t>
  </si>
  <si>
    <t>MAQUETISTA II</t>
  </si>
  <si>
    <t>32115</t>
  </si>
  <si>
    <t>MAQUILLADOR</t>
  </si>
  <si>
    <t>52350</t>
  </si>
  <si>
    <t>MAQUINISTA DE REMOLCADOR</t>
  </si>
  <si>
    <t>52390</t>
  </si>
  <si>
    <t>MAQUINISTA DE TRANSPORTE NAVAL</t>
  </si>
  <si>
    <t>47221</t>
  </si>
  <si>
    <t>MATEMATICO I</t>
  </si>
  <si>
    <t>47222</t>
  </si>
  <si>
    <t>MATEMATICO II</t>
  </si>
  <si>
    <t>62400</t>
  </si>
  <si>
    <t>MAYOR (BOMBERO)</t>
  </si>
  <si>
    <t>75211</t>
  </si>
  <si>
    <t>MEDICO DE SALUD PUBLICA I</t>
  </si>
  <si>
    <t>75212</t>
  </si>
  <si>
    <t>MEDICO DE SALUD PUBLICA II</t>
  </si>
  <si>
    <t>75213</t>
  </si>
  <si>
    <t>MEDICO DE SALUD PUBLICA III</t>
  </si>
  <si>
    <t>75221</t>
  </si>
  <si>
    <t>MEDICO DE SALUD PUBLICA JEFE</t>
  </si>
  <si>
    <t>75222</t>
  </si>
  <si>
    <t>MEDICO DE SALUD PUBLICA JEFE II</t>
  </si>
  <si>
    <t>75223</t>
  </si>
  <si>
    <t>MEDICO DE SALUD PUBLICA JEFE III</t>
  </si>
  <si>
    <t>75151</t>
  </si>
  <si>
    <t>MEDICO DIRECTOR DE HOSPITAL I</t>
  </si>
  <si>
    <t>75152</t>
  </si>
  <si>
    <t>MEDICO DIRECTOR DE HOSPITAL II</t>
  </si>
  <si>
    <t>75153</t>
  </si>
  <si>
    <t>MEDICO DIRECTOR DE HOSPITAL III</t>
  </si>
  <si>
    <t>75154</t>
  </si>
  <si>
    <t>MEDICO DIRECTOR DE HOSPITAL IV</t>
  </si>
  <si>
    <t>75311</t>
  </si>
  <si>
    <t>MEDICO ESPECIALISTA I</t>
  </si>
  <si>
    <t>75312</t>
  </si>
  <si>
    <t>MEDICO ESPECIALISTA II</t>
  </si>
  <si>
    <t>75131</t>
  </si>
  <si>
    <t>MEDICO I</t>
  </si>
  <si>
    <t>75132</t>
  </si>
  <si>
    <t>MEDICO II</t>
  </si>
  <si>
    <t>75110</t>
  </si>
  <si>
    <t>MEDICO INTERNO</t>
  </si>
  <si>
    <t>75141</t>
  </si>
  <si>
    <t>MEDICO JEFE I</t>
  </si>
  <si>
    <t>75142</t>
  </si>
  <si>
    <t>MEDICO JEFE II</t>
  </si>
  <si>
    <t>75143</t>
  </si>
  <si>
    <t>MEDICO JEFE III</t>
  </si>
  <si>
    <t>75144</t>
  </si>
  <si>
    <t>MEDICO JEFE IV</t>
  </si>
  <si>
    <t>75120</t>
  </si>
  <si>
    <t>MEDICO RESIDENTE</t>
  </si>
  <si>
    <t>78211</t>
  </si>
  <si>
    <t>MEDICO VETERINARIO I</t>
  </si>
  <si>
    <t>78212</t>
  </si>
  <si>
    <t>MEDICO VETERINARIO II</t>
  </si>
  <si>
    <t>78213</t>
  </si>
  <si>
    <t>MEDICO VETERINARIO III</t>
  </si>
  <si>
    <t>78221</t>
  </si>
  <si>
    <t>MEDICO VETERINARIO JEFE I</t>
  </si>
  <si>
    <t>78222</t>
  </si>
  <si>
    <t>MEDICO VETERINARIO JEFE II</t>
  </si>
  <si>
    <t>84231</t>
  </si>
  <si>
    <t>METROLOGO I</t>
  </si>
  <si>
    <t>84232</t>
  </si>
  <si>
    <t>METROLOGO II</t>
  </si>
  <si>
    <t>84233</t>
  </si>
  <si>
    <t>METROLOGO III</t>
  </si>
  <si>
    <t>84241</t>
  </si>
  <si>
    <t>METROLOGO JEFE I</t>
  </si>
  <si>
    <t>84242</t>
  </si>
  <si>
    <t>METROLOGO JEFE II</t>
  </si>
  <si>
    <t>72311</t>
  </si>
  <si>
    <t>MICROBIOLOGO I</t>
  </si>
  <si>
    <t>72312</t>
  </si>
  <si>
    <t>MICROBIOLOGO II</t>
  </si>
  <si>
    <t>72313</t>
  </si>
  <si>
    <t>MICROBIOLOGO III</t>
  </si>
  <si>
    <t>72320</t>
  </si>
  <si>
    <t>MICROBIOLOGO JEFE</t>
  </si>
  <si>
    <t>45341</t>
  </si>
  <si>
    <t>MICROFILMADOR I</t>
  </si>
  <si>
    <t>45342</t>
  </si>
  <si>
    <t>MICROFILMADOR II</t>
  </si>
  <si>
    <t>45343</t>
  </si>
  <si>
    <t>MICROFILMADOR III</t>
  </si>
  <si>
    <t>45344</t>
  </si>
  <si>
    <t>MICROFILMADOR IV</t>
  </si>
  <si>
    <t>37221</t>
  </si>
  <si>
    <t>MUSEOGRAFO I</t>
  </si>
  <si>
    <t>37222</t>
  </si>
  <si>
    <t>MUSEOGRAFO II</t>
  </si>
  <si>
    <t>37223</t>
  </si>
  <si>
    <t>MUSEOGRAFO III</t>
  </si>
  <si>
    <t>37111</t>
  </si>
  <si>
    <t>MUSEOLOGO</t>
  </si>
  <si>
    <t>37112</t>
  </si>
  <si>
    <t>MUSEOLOGO II</t>
  </si>
  <si>
    <t>37113</t>
  </si>
  <si>
    <t>MUSEOLOGO III</t>
  </si>
  <si>
    <t>37114</t>
  </si>
  <si>
    <t>MUSEOLOGO IV</t>
  </si>
  <si>
    <t>03540</t>
  </si>
  <si>
    <t>OBOE 1</t>
  </si>
  <si>
    <t>03566</t>
  </si>
  <si>
    <t>OBOE 2</t>
  </si>
  <si>
    <t>84421</t>
  </si>
  <si>
    <t>OBSERVADOR DE RADIO Y TV I</t>
  </si>
  <si>
    <t>84422</t>
  </si>
  <si>
    <t>OBSERVADOR DE RADIO Y TV II</t>
  </si>
  <si>
    <t>73212</t>
  </si>
  <si>
    <t>ODONTOLO II</t>
  </si>
  <si>
    <t>73211</t>
  </si>
  <si>
    <t>ODONTOLOGO I</t>
  </si>
  <si>
    <t>73213</t>
  </si>
  <si>
    <t>ODONTOLOGO III</t>
  </si>
  <si>
    <t>73221</t>
  </si>
  <si>
    <t>ODONTOLOGO JEFE I</t>
  </si>
  <si>
    <t>73222</t>
  </si>
  <si>
    <t>ODONTOLOGO JEFE II</t>
  </si>
  <si>
    <t>85511</t>
  </si>
  <si>
    <t>OFICIAL DE BUSQUEDA Y SALVAMENTO I</t>
  </si>
  <si>
    <t>85512</t>
  </si>
  <si>
    <t>OFICIAL DE BUSQUEDA Y SALVAMENTO II</t>
  </si>
  <si>
    <t>85513</t>
  </si>
  <si>
    <t>OFICIAL DE BUSQUEDA Y SALVAMENTO III</t>
  </si>
  <si>
    <t>85514</t>
  </si>
  <si>
    <t>OFICIAL DE BUSQUEDA Y SALVAMENTO IV</t>
  </si>
  <si>
    <t>52311</t>
  </si>
  <si>
    <t>OFICIAL DE MAQUINAS I</t>
  </si>
  <si>
    <t>52312</t>
  </si>
  <si>
    <t>OFICIAL DE MAQUINAS II</t>
  </si>
  <si>
    <t>52313</t>
  </si>
  <si>
    <t>OFICIAL DE MAQUINAS III</t>
  </si>
  <si>
    <t>52211</t>
  </si>
  <si>
    <t>OFICIAL DE MARINA I</t>
  </si>
  <si>
    <t>52212</t>
  </si>
  <si>
    <t>OFICIAL DE MARINA II</t>
  </si>
  <si>
    <t>52213</t>
  </si>
  <si>
    <t>OFICIAL DE MARINA III</t>
  </si>
  <si>
    <t>52214</t>
  </si>
  <si>
    <t>OFICIAL DE MARINA IV</t>
  </si>
  <si>
    <t>52221</t>
  </si>
  <si>
    <t>OFICIAL DE MARINA JEFE I</t>
  </si>
  <si>
    <t>52222</t>
  </si>
  <si>
    <t>OFICIAL DE MARINA JEFE II</t>
  </si>
  <si>
    <t>52223</t>
  </si>
  <si>
    <t>OFICIAL DE MARINA JEFE III</t>
  </si>
  <si>
    <t>52331</t>
  </si>
  <si>
    <t>OFICIAL DE NAVEGACION I</t>
  </si>
  <si>
    <t>52332</t>
  </si>
  <si>
    <t>OFICIAL DE NAVEGACION II</t>
  </si>
  <si>
    <t>52333</t>
  </si>
  <si>
    <t>OFICIAL DE NAVEGACION III</t>
  </si>
  <si>
    <t>23331</t>
  </si>
  <si>
    <t>OPERADOR DE EQUIPOS DE COMPUTACION I</t>
  </si>
  <si>
    <t>23332</t>
  </si>
  <si>
    <t>OPERADOR DE EQUIPOS DE COMPUTACION II</t>
  </si>
  <si>
    <t>23333</t>
  </si>
  <si>
    <t>OPERADOR DE EQUIPOS DE COMPUTACION III</t>
  </si>
  <si>
    <t>32220</t>
  </si>
  <si>
    <t>OPERADOR DE EQUIPOS DE TV Y/O CINE</t>
  </si>
  <si>
    <t>52340</t>
  </si>
  <si>
    <t>OPERADOR DE QUPOS DE DRAGADO</t>
  </si>
  <si>
    <t>23110</t>
  </si>
  <si>
    <t>OPERADOR DE REPRODUCCION I</t>
  </si>
  <si>
    <t>51421</t>
  </si>
  <si>
    <t>OPERADOR DE SOPORTE TECNICO</t>
  </si>
  <si>
    <t>51451</t>
  </si>
  <si>
    <t>OPERADOR DE TELECOMUNICACIONES AERO. I</t>
  </si>
  <si>
    <t>51452</t>
  </si>
  <si>
    <t>OPERADOR DE TELECOMUNICACIONES AERON. II</t>
  </si>
  <si>
    <t>51411</t>
  </si>
  <si>
    <t>OPERADOR DE TELECOMUNICACIONES I</t>
  </si>
  <si>
    <t>51412</t>
  </si>
  <si>
    <t>OPERADOR DE TELECOMUNICACIONES II</t>
  </si>
  <si>
    <t>51413</t>
  </si>
  <si>
    <t>OPERADOR DE TELECOMUNICACIONES III</t>
  </si>
  <si>
    <t>51414</t>
  </si>
  <si>
    <t>OPERADOR DE TELECOMUNICACIONES IV</t>
  </si>
  <si>
    <t>51420</t>
  </si>
  <si>
    <t>OPERADOR DE TELECOMUNICACIONES JEFE</t>
  </si>
  <si>
    <t>51461</t>
  </si>
  <si>
    <t>OPERADOR TELECOMUNICACIONES AER. JEFE I</t>
  </si>
  <si>
    <t>51453</t>
  </si>
  <si>
    <t>OPERADOR TELECOMUNICACIONES AERON. III</t>
  </si>
  <si>
    <t>51454</t>
  </si>
  <si>
    <t>OPERADOR TELECOMUNICACIONES AERON. IV</t>
  </si>
  <si>
    <t>51455</t>
  </si>
  <si>
    <t>OPERADOR TELECOMUNICACIONES AERON. V</t>
  </si>
  <si>
    <t>51462</t>
  </si>
  <si>
    <t>OPERADOR TELECOMUNICAICONES AER. JEFE II</t>
  </si>
  <si>
    <t>51456</t>
  </si>
  <si>
    <t>OPERADOR TELECOMUNICAICONES AERON.VI</t>
  </si>
  <si>
    <t>36480</t>
  </si>
  <si>
    <t>PALEONTOLOGO</t>
  </si>
  <si>
    <t>52370</t>
  </si>
  <si>
    <t>PATRON DE LANCHA</t>
  </si>
  <si>
    <t>41743</t>
  </si>
  <si>
    <t>PERITO FORESTAL  III</t>
  </si>
  <si>
    <t>41741</t>
  </si>
  <si>
    <t>PERITO FORESTAL I</t>
  </si>
  <si>
    <t>41742</t>
  </si>
  <si>
    <t>PERITO FORESTAL II</t>
  </si>
  <si>
    <t>41751</t>
  </si>
  <si>
    <t>PERITO FORESTAL JEFE I</t>
  </si>
  <si>
    <t>41752</t>
  </si>
  <si>
    <t>PERITO FORESTAL JEFE II</t>
  </si>
  <si>
    <t>52230</t>
  </si>
  <si>
    <t>PERITO NAVAL</t>
  </si>
  <si>
    <t>85531</t>
  </si>
  <si>
    <t>PILOTO DE BUSQUEDA Y SALVAMENTO I</t>
  </si>
  <si>
    <t>85532</t>
  </si>
  <si>
    <t>PILOTO DE BUSQUEDA Y SALVAMENTO II</t>
  </si>
  <si>
    <t>85533</t>
  </si>
  <si>
    <t>PILOTO DE BUSQUEDA Y SALVAMENTO III</t>
  </si>
  <si>
    <t>85534</t>
  </si>
  <si>
    <t>PILOTO DE BUSQUEDA Y SALVAMENTO IV</t>
  </si>
  <si>
    <t>85553</t>
  </si>
  <si>
    <t>PILOTO DE HELICOPTERO BUSQUD. Y SALV.III</t>
  </si>
  <si>
    <t>85552</t>
  </si>
  <si>
    <t>PILOTO DE HELICOPTERO BUSQUEDA Y SALV II</t>
  </si>
  <si>
    <t>85551</t>
  </si>
  <si>
    <t>PILOTO DE HELICOPTERO DE BUSQUEDA Y SALV</t>
  </si>
  <si>
    <t>51741</t>
  </si>
  <si>
    <t>PILOTO INSPECTOR DE VUELO I</t>
  </si>
  <si>
    <t>51742</t>
  </si>
  <si>
    <t>PILOTO INSPECTOR DE VUELO II</t>
  </si>
  <si>
    <t>54122</t>
  </si>
  <si>
    <t>PILOTO INSTRUCTOR DE VUELO II</t>
  </si>
  <si>
    <t>54123</t>
  </si>
  <si>
    <t>PILOTO INSTRUCTOR DE VUELO III</t>
  </si>
  <si>
    <t>54130</t>
  </si>
  <si>
    <t>PILOTO INSTRUCTOR DE VUELO JEFE</t>
  </si>
  <si>
    <t>52490</t>
  </si>
  <si>
    <t>PILOTO JEFE</t>
  </si>
  <si>
    <t>52495</t>
  </si>
  <si>
    <t>PILOTO JEFE DE OPERACIONES</t>
  </si>
  <si>
    <t>52250</t>
  </si>
  <si>
    <t>PILOTO OFICIAL DE LA MARINA MERCANTE</t>
  </si>
  <si>
    <t>13380</t>
  </si>
  <si>
    <t>PLANIFICADOR CENTRAL EN FORMACION</t>
  </si>
  <si>
    <t>13381</t>
  </si>
  <si>
    <t>PLANIFICADOR CENTRAL I</t>
  </si>
  <si>
    <t>13382</t>
  </si>
  <si>
    <t>PLANIFICADOR CENTRAL II</t>
  </si>
  <si>
    <t>13383</t>
  </si>
  <si>
    <t>PLANIFICADOR CENTRAL III</t>
  </si>
  <si>
    <t>13384</t>
  </si>
  <si>
    <t>PLANIFICADOR CENTRAL IV</t>
  </si>
  <si>
    <t>13390</t>
  </si>
  <si>
    <t>PLANIFICADOR CENTRAL JEFE</t>
  </si>
  <si>
    <t>13361</t>
  </si>
  <si>
    <t>PLANIFICADOR I</t>
  </si>
  <si>
    <t>13362</t>
  </si>
  <si>
    <t>PLANIFICADOR II</t>
  </si>
  <si>
    <t>13363</t>
  </si>
  <si>
    <t>PLANIFICADOR III</t>
  </si>
  <si>
    <t>13364</t>
  </si>
  <si>
    <t>PLANIFICADOR IV</t>
  </si>
  <si>
    <t>13370</t>
  </si>
  <si>
    <t>PLANIFICADOR JEFE</t>
  </si>
  <si>
    <t>13365</t>
  </si>
  <si>
    <t>PLANIFICADOR V</t>
  </si>
  <si>
    <t>61221</t>
  </si>
  <si>
    <t>PREFECTO DE MUNICIPIO</t>
  </si>
  <si>
    <t>61222</t>
  </si>
  <si>
    <t>PREFECTO DE PARROQUIA</t>
  </si>
  <si>
    <t>52451</t>
  </si>
  <si>
    <t>PRIMER OFICIAL DE JET I</t>
  </si>
  <si>
    <t>52452</t>
  </si>
  <si>
    <t>PRIMER OFICIAL DE JET II</t>
  </si>
  <si>
    <t>52435</t>
  </si>
  <si>
    <t>PRIMER OFICIAL DE TURBO</t>
  </si>
  <si>
    <t>35140</t>
  </si>
  <si>
    <t>PROCURADOR DE TRABAJADORES</t>
  </si>
  <si>
    <t>32175</t>
  </si>
  <si>
    <t>PRODUCTOR DE RADIO</t>
  </si>
  <si>
    <t>34170</t>
  </si>
  <si>
    <t>PROGRAMADOR DE FORMACION PROFES. JEFE</t>
  </si>
  <si>
    <t>34160</t>
  </si>
  <si>
    <t>PROGRAMADOR DE FORMACION PROFESIONAL</t>
  </si>
  <si>
    <t>23421</t>
  </si>
  <si>
    <t>PROGRAMADOR I</t>
  </si>
  <si>
    <t>23422</t>
  </si>
  <si>
    <t>PROGRAMADOR II</t>
  </si>
  <si>
    <t>23423</t>
  </si>
  <si>
    <t>PROGRAMADOR III</t>
  </si>
  <si>
    <t>23424</t>
  </si>
  <si>
    <t>PROGRAMADOR IV</t>
  </si>
  <si>
    <t>79372</t>
  </si>
  <si>
    <t>PROMOTOR  SOCIAL I</t>
  </si>
  <si>
    <t>37921</t>
  </si>
  <si>
    <t>PROMOTOR CULTURAL I</t>
  </si>
  <si>
    <t>37922</t>
  </si>
  <si>
    <t>PROMOTOR CULTURAL II</t>
  </si>
  <si>
    <t>79370</t>
  </si>
  <si>
    <t>PROMOTOR DE BIENESTAR SOCIAL</t>
  </si>
  <si>
    <t>17310</t>
  </si>
  <si>
    <t>PROMOTOR DE CURSOS</t>
  </si>
  <si>
    <t>36721</t>
  </si>
  <si>
    <t>PROMOTOR DE EXPORTACIONES I</t>
  </si>
  <si>
    <t>36722</t>
  </si>
  <si>
    <t>PROMOTOR DE EXPORTACIONES II</t>
  </si>
  <si>
    <t>36723</t>
  </si>
  <si>
    <t>PROMOTOR DE EXPORTACIONES III</t>
  </si>
  <si>
    <t>36730</t>
  </si>
  <si>
    <t>PROMOTOR DE EXPORTACIONES JEFE</t>
  </si>
  <si>
    <t>79371</t>
  </si>
  <si>
    <t>PROMOTOR DEPORTIVO</t>
  </si>
  <si>
    <t>79230</t>
  </si>
  <si>
    <t>PROMOTOR RURAL</t>
  </si>
  <si>
    <t>31541</t>
  </si>
  <si>
    <t>PROMOTOR TURISTICO I</t>
  </si>
  <si>
    <t>31542</t>
  </si>
  <si>
    <t>PROMOTOR TURISTICO II</t>
  </si>
  <si>
    <t>31543</t>
  </si>
  <si>
    <t>PROMOTOR TURISTICO III</t>
  </si>
  <si>
    <t>31544</t>
  </si>
  <si>
    <t>PROMOTOR TURISTICO IV</t>
  </si>
  <si>
    <t>31550</t>
  </si>
  <si>
    <t>PROMOTOR TURISTICO JEFE</t>
  </si>
  <si>
    <t>36770</t>
  </si>
  <si>
    <t>PROYECTISTA DE PABELLON DE FERIAS</t>
  </si>
  <si>
    <t>36321</t>
  </si>
  <si>
    <t>PSICOLOGO I</t>
  </si>
  <si>
    <t>36322</t>
  </si>
  <si>
    <t>PSICOLOGO II</t>
  </si>
  <si>
    <t>36323</t>
  </si>
  <si>
    <t>PSICOLOGO III</t>
  </si>
  <si>
    <t>36325</t>
  </si>
  <si>
    <t>PSICOLOGO JEFE</t>
  </si>
  <si>
    <t>34130</t>
  </si>
  <si>
    <t>PSICOPEDAGOGO</t>
  </si>
  <si>
    <t>79120</t>
  </si>
  <si>
    <t>PUERICULTORA</t>
  </si>
  <si>
    <t>44721</t>
  </si>
  <si>
    <t>QUIMICO I</t>
  </si>
  <si>
    <t>44722</t>
  </si>
  <si>
    <t>QUIMICO II</t>
  </si>
  <si>
    <t>44723</t>
  </si>
  <si>
    <t>QUIMICO III</t>
  </si>
  <si>
    <t>44731</t>
  </si>
  <si>
    <t>QUIMICO JEFE I</t>
  </si>
  <si>
    <t>44732</t>
  </si>
  <si>
    <t>QUIMICO JEFE II</t>
  </si>
  <si>
    <t>51431</t>
  </si>
  <si>
    <t>RADIO OPERADOR DE CRIPTOGRAFO I</t>
  </si>
  <si>
    <t>51432</t>
  </si>
  <si>
    <t>RADIO OPERADOR DE CRIPTOGRAFO II</t>
  </si>
  <si>
    <t>51440</t>
  </si>
  <si>
    <t>RADIO OPERADOR DE CRIPTOGRAFO JEFE</t>
  </si>
  <si>
    <t>51470</t>
  </si>
  <si>
    <t>RADIOTELEFONISTA</t>
  </si>
  <si>
    <t>22230</t>
  </si>
  <si>
    <t>RECEPCIONISTA</t>
  </si>
  <si>
    <t>03549</t>
  </si>
  <si>
    <t>REDOBLANTE 1</t>
  </si>
  <si>
    <t>25111</t>
  </si>
  <si>
    <t>REGISTRADOR DE BIENES Y MATERIAS I</t>
  </si>
  <si>
    <t>25112</t>
  </si>
  <si>
    <t>REGISTRADOR DE BIENES Y MATERIAS II</t>
  </si>
  <si>
    <t>25113</t>
  </si>
  <si>
    <t>REGISTRADOR DE BIENES Y MATERIAS III</t>
  </si>
  <si>
    <t>25114</t>
  </si>
  <si>
    <t>REGISTRADOR DE BIENES Y MATERIAS IV</t>
  </si>
  <si>
    <t>37520</t>
  </si>
  <si>
    <t>REGISTRADOR DE MUSEO</t>
  </si>
  <si>
    <t>37421</t>
  </si>
  <si>
    <t>RESTAURADOR I</t>
  </si>
  <si>
    <t>37422</t>
  </si>
  <si>
    <t>RESTAURADOR II</t>
  </si>
  <si>
    <t>37423</t>
  </si>
  <si>
    <t>RESTAURADOR III</t>
  </si>
  <si>
    <t>37430</t>
  </si>
  <si>
    <t>RESTAURADOR JEFE</t>
  </si>
  <si>
    <t>21831</t>
  </si>
  <si>
    <t>REVISOR DE CONTRALORIA I</t>
  </si>
  <si>
    <t>21832</t>
  </si>
  <si>
    <t>REVISOR DE CONTRALORIA II</t>
  </si>
  <si>
    <t>21833</t>
  </si>
  <si>
    <t>REVISOR DE CONTRALORIA III</t>
  </si>
  <si>
    <t>21834</t>
  </si>
  <si>
    <t>REVISOR DE CONTRALORIA IV</t>
  </si>
  <si>
    <t>21835</t>
  </si>
  <si>
    <t>REVISOR DE CONTRALORIA V</t>
  </si>
  <si>
    <t>62710</t>
  </si>
  <si>
    <t>SARGENTO 1RO (BOMBERO)</t>
  </si>
  <si>
    <t>62720</t>
  </si>
  <si>
    <t>SARGENTO 2DO (BOMBERO)</t>
  </si>
  <si>
    <t>62700</t>
  </si>
  <si>
    <t>SARGENTO AYUDANTE (BOMBERO)</t>
  </si>
  <si>
    <t>03544</t>
  </si>
  <si>
    <t>SAXO ALTO 1</t>
  </si>
  <si>
    <t>03570</t>
  </si>
  <si>
    <t>SAXO ALTO 2</t>
  </si>
  <si>
    <t>03571</t>
  </si>
  <si>
    <t>SAXO TENOR</t>
  </si>
  <si>
    <t>03575</t>
  </si>
  <si>
    <t>SAXO-BARITONO</t>
  </si>
  <si>
    <t>90100</t>
  </si>
  <si>
    <t>SECRETARIA GRAL. ENCARGADA</t>
  </si>
  <si>
    <t>00902</t>
  </si>
  <si>
    <t>SECRETARIO (A) PRIVADO (A)</t>
  </si>
  <si>
    <t>24321</t>
  </si>
  <si>
    <t>SECRETARIO BILINGUE I</t>
  </si>
  <si>
    <t>24322</t>
  </si>
  <si>
    <t>SECRETARIO BILINGUE II</t>
  </si>
  <si>
    <t>24314</t>
  </si>
  <si>
    <t>SECRETARIO DE DESPACHO</t>
  </si>
  <si>
    <t>24341</t>
  </si>
  <si>
    <t>SECRETARIO EJECUTIVO I</t>
  </si>
  <si>
    <t>24342</t>
  </si>
  <si>
    <t>SECRETARIO EJECUTIVO II</t>
  </si>
  <si>
    <t>24343</t>
  </si>
  <si>
    <t>SECRETARIO EJECUTIVO III</t>
  </si>
  <si>
    <t>00901</t>
  </si>
  <si>
    <t>SECRETARIO GRAL .DE GOBIERNO</t>
  </si>
  <si>
    <t>24311</t>
  </si>
  <si>
    <t>SECRETARIO I</t>
  </si>
  <si>
    <t>24312</t>
  </si>
  <si>
    <t>SECRETARIO II</t>
  </si>
  <si>
    <t>24313</t>
  </si>
  <si>
    <t>SECRETARIO III</t>
  </si>
  <si>
    <t>00000</t>
  </si>
  <si>
    <t>SIN CARGO</t>
  </si>
  <si>
    <t>36425</t>
  </si>
  <si>
    <t>SOCIOLOG JEFE</t>
  </si>
  <si>
    <t>36421</t>
  </si>
  <si>
    <t>SOCIOLOGO I</t>
  </si>
  <si>
    <t>36422</t>
  </si>
  <si>
    <t>SOCIOLOGO II</t>
  </si>
  <si>
    <t>36423</t>
  </si>
  <si>
    <t>SOCIOLOGO III</t>
  </si>
  <si>
    <t>45411</t>
  </si>
  <si>
    <t>SOPLADOR DE VIDRIO I</t>
  </si>
  <si>
    <t>45412</t>
  </si>
  <si>
    <t>SOPLADOR DE VIDRIO II</t>
  </si>
  <si>
    <t>45420</t>
  </si>
  <si>
    <t>SOPLADOR DE VIDRIO JEFE</t>
  </si>
  <si>
    <t>03508</t>
  </si>
  <si>
    <t>SUB DIRECTOR DE ORQUESTA</t>
  </si>
  <si>
    <t>21360</t>
  </si>
  <si>
    <t>SUB INSPECTOR GENERAL DE HACIENDA</t>
  </si>
  <si>
    <t>62610</t>
  </si>
  <si>
    <t>SUBTENIENTE (BOMBERO)</t>
  </si>
  <si>
    <t>23340</t>
  </si>
  <si>
    <t>16413</t>
  </si>
  <si>
    <t>SUPERVISOR ALFABETIZACION Y EDUC BAS III</t>
  </si>
  <si>
    <t>16411</t>
  </si>
  <si>
    <t>SUPERVISOR ALFABETIZACION Y EDUC BAS. I</t>
  </si>
  <si>
    <t>16412</t>
  </si>
  <si>
    <t>SUPERVISOR ALFABETIZACION Y EDUC.BAS II</t>
  </si>
  <si>
    <t>37960</t>
  </si>
  <si>
    <t>SUPERVISOR AUTOGRAFISTA</t>
  </si>
  <si>
    <t>25220</t>
  </si>
  <si>
    <t>SUPERVISOR DE ALMACEN</t>
  </si>
  <si>
    <t>16711</t>
  </si>
  <si>
    <t>SUPERVISOR DE APRENDIZAJE I</t>
  </si>
  <si>
    <t>16712</t>
  </si>
  <si>
    <t>SUPERVISOR DE APRENDIZAJE II</t>
  </si>
  <si>
    <t>16713</t>
  </si>
  <si>
    <t>SUPERVISOR DE APRENDIZAJE III</t>
  </si>
  <si>
    <t>16714</t>
  </si>
  <si>
    <t>SUPERVISOR DE APRENDIZAJE IV</t>
  </si>
  <si>
    <t>46921</t>
  </si>
  <si>
    <t>SUPERVISOR DE ASTILLEROS I</t>
  </si>
  <si>
    <t>46922</t>
  </si>
  <si>
    <t>SUPERVISOR DE ASTILLEROS II</t>
  </si>
  <si>
    <t>69220</t>
  </si>
  <si>
    <t>SUPERVISOR DE CAPORALES</t>
  </si>
  <si>
    <t>21635</t>
  </si>
  <si>
    <t>SUPERVISOR DE COLECTORES</t>
  </si>
  <si>
    <t>65121</t>
  </si>
  <si>
    <t>SUPERVISOR DE CONSERVACION AUTOM. I</t>
  </si>
  <si>
    <t>65122</t>
  </si>
  <si>
    <t>SUPERVISOR DE CONSERVACION AUTOMOTORA II</t>
  </si>
  <si>
    <t>14342</t>
  </si>
  <si>
    <t>SUPERVISOR DE CREDITOS AGROPECUARIO II</t>
  </si>
  <si>
    <t>14341</t>
  </si>
  <si>
    <t>SUPERVISOR DE CREDITOS AGROPECUARIOS I</t>
  </si>
  <si>
    <t>14343</t>
  </si>
  <si>
    <t>SUPERVISOR DE CREDITOS AGROPECUARIOS III</t>
  </si>
  <si>
    <t>52345</t>
  </si>
  <si>
    <t>SUPERVISOR DE EQUIPOS DE DRAGADO</t>
  </si>
  <si>
    <t>41321</t>
  </si>
  <si>
    <t>SUPERVISOR DE EXTENSION I</t>
  </si>
  <si>
    <t>41322</t>
  </si>
  <si>
    <t>SUPERVISOR DE EXTENSION II</t>
  </si>
  <si>
    <t>43215</t>
  </si>
  <si>
    <t>SUPERVISOR DE INSPECTORES DE INMUEBLES</t>
  </si>
  <si>
    <t>16513</t>
  </si>
  <si>
    <t>16511</t>
  </si>
  <si>
    <t>SUPERVISOR DE INSTRUCCION A DISTANCIA I</t>
  </si>
  <si>
    <t>16512</t>
  </si>
  <si>
    <t>SUPERVISOR DE INSTRUCCION A DISTANCIA II</t>
  </si>
  <si>
    <t>41811</t>
  </si>
  <si>
    <t>SUPERVISOR DE MANTENIMIENTO DE PARQUES I</t>
  </si>
  <si>
    <t>65111</t>
  </si>
  <si>
    <t>SUPERVISOR DE MECANICOS AUTOMOTORES I</t>
  </si>
  <si>
    <t>65112</t>
  </si>
  <si>
    <t>SUPERVISOR DE MECANICOS AUTOMOTORES II</t>
  </si>
  <si>
    <t>69250</t>
  </si>
  <si>
    <t>SUPERVISOR DE OBRAS PUBLICAS</t>
  </si>
  <si>
    <t>69240</t>
  </si>
  <si>
    <t>SUPERVISOR DE OBRAS SANITARIAS</t>
  </si>
  <si>
    <t>32521</t>
  </si>
  <si>
    <t>SUPERVISOR DE PRODUCCION I</t>
  </si>
  <si>
    <t>32522</t>
  </si>
  <si>
    <t>SUPERVISOR DE PRODUCCION II</t>
  </si>
  <si>
    <t>23430</t>
  </si>
  <si>
    <t>SUPERVISOR DE PROGRAMACION</t>
  </si>
  <si>
    <t>23120</t>
  </si>
  <si>
    <t>SUPERVISOR DE REPRODUCCION II</t>
  </si>
  <si>
    <t>22414</t>
  </si>
  <si>
    <t>SUPERVISOR DE SERVICIOS GENERAL IV</t>
  </si>
  <si>
    <t>22411</t>
  </si>
  <si>
    <t>SUPERVISOR DE SERVICIOS GENERALES I</t>
  </si>
  <si>
    <t>22412</t>
  </si>
  <si>
    <t>SUPERVISOR DE SERVICIOS GENERALES II</t>
  </si>
  <si>
    <t>22413</t>
  </si>
  <si>
    <t>SUPERVISOR DE SERVICIOS GENERALES III</t>
  </si>
  <si>
    <t>63121</t>
  </si>
  <si>
    <t>SUPERVISOR DE TALLER DE IMPRENTA I</t>
  </si>
  <si>
    <t>63122</t>
  </si>
  <si>
    <t>SUPERVISOR DE TALLER DE IMPRENTA II</t>
  </si>
  <si>
    <t>63123</t>
  </si>
  <si>
    <t>SUPERVISOR DE TALLER DE IMPRENTA III</t>
  </si>
  <si>
    <t>17430</t>
  </si>
  <si>
    <t>SUPERVISOR DOCENTE</t>
  </si>
  <si>
    <t>17440</t>
  </si>
  <si>
    <t>SUPERVISOR DOCENTE JEFE</t>
  </si>
  <si>
    <t>21660</t>
  </si>
  <si>
    <t>SUPERVISOR FISCAL DE COTIZACIONES</t>
  </si>
  <si>
    <t>21670</t>
  </si>
  <si>
    <t>SUPERVISOR FISCAL JEFE</t>
  </si>
  <si>
    <t>41812</t>
  </si>
  <si>
    <t>41813</t>
  </si>
  <si>
    <t>41814</t>
  </si>
  <si>
    <t>42450</t>
  </si>
  <si>
    <t>TAXIDERMISTA</t>
  </si>
  <si>
    <t>51541</t>
  </si>
  <si>
    <t>TEC EN RADIOCOMUNICACIONES AERON. JEFE</t>
  </si>
  <si>
    <t>71220</t>
  </si>
  <si>
    <t>TEC. EN DOTACION DE EQUIPOS DE HOSPITAL</t>
  </si>
  <si>
    <t>46161</t>
  </si>
  <si>
    <t>TEC. EN FABRICACION DE CUCHILLAS DE DIAM</t>
  </si>
  <si>
    <t>51542</t>
  </si>
  <si>
    <t>TEC. EN RADIOCOMUNICACIONES AER.JEFE II</t>
  </si>
  <si>
    <t>51531</t>
  </si>
  <si>
    <t>TEC. EN RADIOCOMUNICACIONES AERON. I</t>
  </si>
  <si>
    <t>51532</t>
  </si>
  <si>
    <t>TEC. EN RADIOCOMUNICACIONES AERONA. II</t>
  </si>
  <si>
    <t>51534</t>
  </si>
  <si>
    <t>TEC. EN RADIOCOMUNICACIONES AERONAU. IV</t>
  </si>
  <si>
    <t>51535</t>
  </si>
  <si>
    <t>TEC. EN RADIOCOMUNICACIONES AERONAU. V</t>
  </si>
  <si>
    <t>51536</t>
  </si>
  <si>
    <t>TEC. EN RADIOCOMUNICACIONES AERONAU. VI</t>
  </si>
  <si>
    <t>51533</t>
  </si>
  <si>
    <t>TEC. EN RADIOCOMUNICAICONES AERONA. III</t>
  </si>
  <si>
    <t>46164</t>
  </si>
  <si>
    <t>TEC. FABRICACION CUCHILLA DIAMANTE IV</t>
  </si>
  <si>
    <t>46162</t>
  </si>
  <si>
    <t>TEC. FABRICACION CUCHILLAS DIAMANTES II</t>
  </si>
  <si>
    <t>46163</t>
  </si>
  <si>
    <t>TEC. FABRICACION CUCHILLAS DIAMANTES III</t>
  </si>
  <si>
    <t>51552</t>
  </si>
  <si>
    <t>TECNICO AERNAUTICO II</t>
  </si>
  <si>
    <t>51551</t>
  </si>
  <si>
    <t>TECNICO AERONAUTICO I</t>
  </si>
  <si>
    <t>51560</t>
  </si>
  <si>
    <t>TECNICO AERONAUTICO JEFE</t>
  </si>
  <si>
    <t>41111</t>
  </si>
  <si>
    <t>TECNICO AGROPECUARIO I</t>
  </si>
  <si>
    <t>41112</t>
  </si>
  <si>
    <t>TECNICO AGROPECUARIO II</t>
  </si>
  <si>
    <t>41113</t>
  </si>
  <si>
    <t>TECNICO AGROPECUARIO III</t>
  </si>
  <si>
    <t>41114</t>
  </si>
  <si>
    <t>TECNICO AGROPECUARIO IV</t>
  </si>
  <si>
    <t>41120</t>
  </si>
  <si>
    <t>TECNICO AGROPECUARIO JEFE</t>
  </si>
  <si>
    <t>53131</t>
  </si>
  <si>
    <t>TECNICO ARANCELARIO I</t>
  </si>
  <si>
    <t>53140</t>
  </si>
  <si>
    <t>TECNICO ARANCELARIO JEFE</t>
  </si>
  <si>
    <t>53132</t>
  </si>
  <si>
    <t>TECNICO ARANGELARIO II</t>
  </si>
  <si>
    <t>46910</t>
  </si>
  <si>
    <t>TECNICO DE ASTILLEROS</t>
  </si>
  <si>
    <t>52240</t>
  </si>
  <si>
    <t>TECNICO DE BALIZAMIENTO</t>
  </si>
  <si>
    <t>52245</t>
  </si>
  <si>
    <t>TECNICO DE BALIZAMIENTO JEFE</t>
  </si>
  <si>
    <t>72411</t>
  </si>
  <si>
    <t>TECNICO DE EQUIPOS MEDICOS I</t>
  </si>
  <si>
    <t>72412</t>
  </si>
  <si>
    <t>TECNICO DE EQUIPOS MEDICOS II</t>
  </si>
  <si>
    <t>72413</t>
  </si>
  <si>
    <t>TECNICO DE EQUIPOS MEDICOS III</t>
  </si>
  <si>
    <t>86121</t>
  </si>
  <si>
    <t>TECNICO DE IDENTIDICACION I</t>
  </si>
  <si>
    <t>86122</t>
  </si>
  <si>
    <t>TECNICO DE IDENTIFICACION II</t>
  </si>
  <si>
    <t>86123</t>
  </si>
  <si>
    <t>TECNICO DE IDENTIFICACION III</t>
  </si>
  <si>
    <t>71121</t>
  </si>
  <si>
    <t>TECNICO DE REGISTRO Y EST. DE SALUD I</t>
  </si>
  <si>
    <t>71122</t>
  </si>
  <si>
    <t>TECNICO DE REGISTRO Y EST. DE SALUD II</t>
  </si>
  <si>
    <t>71123</t>
  </si>
  <si>
    <t>TECNICO DE REGISTRO Y ESTAD DE SALUD III</t>
  </si>
  <si>
    <t>71124</t>
  </si>
  <si>
    <t>TECNICO DE REGISTRO Y ESTAD DE SALUD IV</t>
  </si>
  <si>
    <t>46121</t>
  </si>
  <si>
    <t>TECNICO DE REPARACION Y MANTENIMIENTO I</t>
  </si>
  <si>
    <t>46122</t>
  </si>
  <si>
    <t>TECNICO DE REPARACION Y MANTENIMIENTO II</t>
  </si>
  <si>
    <t>51211</t>
  </si>
  <si>
    <t>TECNICO EN DRAGADO I</t>
  </si>
  <si>
    <t>51212</t>
  </si>
  <si>
    <t>TECNICO EN DRAGADO II</t>
  </si>
  <si>
    <t>51213</t>
  </si>
  <si>
    <t>TECNICO EN DRAGADO III</t>
  </si>
  <si>
    <t>44311</t>
  </si>
  <si>
    <t>TECNICO EN GEOLOGIA Y MINAS I</t>
  </si>
  <si>
    <t>44312</t>
  </si>
  <si>
    <t>TECNICO EN GEOLOGIA Y MINAS II</t>
  </si>
  <si>
    <t>44313</t>
  </si>
  <si>
    <t>TECNICO EN GEOLOGIA Y MINAS III</t>
  </si>
  <si>
    <t>79380</t>
  </si>
  <si>
    <t>TECNICO EN GERONTOLOGIA</t>
  </si>
  <si>
    <t>51581</t>
  </si>
  <si>
    <t>TECNICO EN INFORMACION AERONAUTICA I</t>
  </si>
  <si>
    <t>51582</t>
  </si>
  <si>
    <t>TECNICO EN INFORMACION AERONAUTICA II</t>
  </si>
  <si>
    <t>51583</t>
  </si>
  <si>
    <t>TECNICO EN INFORMACION AERONAUTICA III</t>
  </si>
  <si>
    <t>51584</t>
  </si>
  <si>
    <t>TECNICO EN INFORMACION AERONAUTICA IV</t>
  </si>
  <si>
    <t>51590</t>
  </si>
  <si>
    <t>TECNICO EN INFORMACION AERONAUTICA JEFE</t>
  </si>
  <si>
    <t>51585</t>
  </si>
  <si>
    <t>TECNICO EN INFORMACION AERONAUTICA V</t>
  </si>
  <si>
    <t>84221</t>
  </si>
  <si>
    <t>TECNICO EN METROLOGIA I</t>
  </si>
  <si>
    <t>84222</t>
  </si>
  <si>
    <t>TECNICO EN METROLOGIA II</t>
  </si>
  <si>
    <t>84223</t>
  </si>
  <si>
    <t>TECNICO EN METROLOGIA III</t>
  </si>
  <si>
    <t>72620</t>
  </si>
  <si>
    <t>TECNICO EN ORTEIS Y/O PROTESIS</t>
  </si>
  <si>
    <t>44511</t>
  </si>
  <si>
    <t>TECNICO EN PETROLEO I</t>
  </si>
  <si>
    <t>44512</t>
  </si>
  <si>
    <t>TECNICO EN PETROLEO II</t>
  </si>
  <si>
    <t>44513</t>
  </si>
  <si>
    <t>TECNICO EN PETROLEO III</t>
  </si>
  <si>
    <t>51511</t>
  </si>
  <si>
    <t>TECNICO EN TELECOMUNICACIONES I</t>
  </si>
  <si>
    <t>51512</t>
  </si>
  <si>
    <t>TECNICO EN TELECOMUNICACIONES II</t>
  </si>
  <si>
    <t>51513</t>
  </si>
  <si>
    <t>TECNICO EN TELECOMUNICACIONES III</t>
  </si>
  <si>
    <t>51514</t>
  </si>
  <si>
    <t>TECNICO EN TELECOMUNICACIONES IV</t>
  </si>
  <si>
    <t>51521</t>
  </si>
  <si>
    <t>TECNICO EN TELECOMUNICACIONES JEFE I</t>
  </si>
  <si>
    <t>51522</t>
  </si>
  <si>
    <t>TECNICO EN TELECOMUNICACIONES JEFE II</t>
  </si>
  <si>
    <t>51523</t>
  </si>
  <si>
    <t>TECNICO EN TELECOMUNICACIONES JEFE III</t>
  </si>
  <si>
    <t>51515</t>
  </si>
  <si>
    <t>TECNICO EN TELECOMUNICACIONES V</t>
  </si>
  <si>
    <t>51516</t>
  </si>
  <si>
    <t>TECNICO EN TELECOMUNICACIONES VI</t>
  </si>
  <si>
    <t>72140</t>
  </si>
  <si>
    <t>TECNICO HISTOLOGO</t>
  </si>
  <si>
    <t>84511</t>
  </si>
  <si>
    <t>TECNICO NORMALIZADOR I</t>
  </si>
  <si>
    <t>84512</t>
  </si>
  <si>
    <t>TECNICO NORMALIZADOR II</t>
  </si>
  <si>
    <t>84513</t>
  </si>
  <si>
    <t>TECNICO NORMALIZADOR III</t>
  </si>
  <si>
    <t>53241</t>
  </si>
  <si>
    <t>TECNICO PORTUARIO I</t>
  </si>
  <si>
    <t>53242</t>
  </si>
  <si>
    <t>TECNICO PORTUARIO II</t>
  </si>
  <si>
    <t>53250</t>
  </si>
  <si>
    <t>TECNICO PORTUARIO JEFE</t>
  </si>
  <si>
    <t>44711</t>
  </si>
  <si>
    <t>TECNICO QUIMICO I</t>
  </si>
  <si>
    <t>44712</t>
  </si>
  <si>
    <t>TECNICO QUIMICO II</t>
  </si>
  <si>
    <t>44713</t>
  </si>
  <si>
    <t>TECNICO QUIMICO III</t>
  </si>
  <si>
    <t>44714</t>
  </si>
  <si>
    <t>TECNICO QUIMICO IV</t>
  </si>
  <si>
    <t>72441</t>
  </si>
  <si>
    <t>TECNICO RADIOLOGO I</t>
  </si>
  <si>
    <t>72442</t>
  </si>
  <si>
    <t>TECNICO RADIOLOGO II</t>
  </si>
  <si>
    <t>72443</t>
  </si>
  <si>
    <t>TECNICO RADIOLOGO III</t>
  </si>
  <si>
    <t>42150</t>
  </si>
  <si>
    <t>TECNICO SUPERIOR AGRICULTOR</t>
  </si>
  <si>
    <t>79341</t>
  </si>
  <si>
    <t>TECNICO SUPERIOR EN TRABAJO SOCIAL I</t>
  </si>
  <si>
    <t>79342</t>
  </si>
  <si>
    <t>TECNICO SUPERIOR EN TRABAJO SOCIAL II</t>
  </si>
  <si>
    <t>42140</t>
  </si>
  <si>
    <t>TECNICO SUPERIOR PESQUERO</t>
  </si>
  <si>
    <t>53311</t>
  </si>
  <si>
    <t>TECNICO VALORADOR I</t>
  </si>
  <si>
    <t>53312</t>
  </si>
  <si>
    <t>TECNICO VALORADOR II</t>
  </si>
  <si>
    <t>53313</t>
  </si>
  <si>
    <t>TECNICO VALORADOR III</t>
  </si>
  <si>
    <t>53320</t>
  </si>
  <si>
    <t>TECNICO VALORADOR JEFE</t>
  </si>
  <si>
    <t>51480</t>
  </si>
  <si>
    <t>TELEFONISTA</t>
  </si>
  <si>
    <t>62600</t>
  </si>
  <si>
    <t>TENIENTE (BOMBERO)</t>
  </si>
  <si>
    <t>62300</t>
  </si>
  <si>
    <t>TENIENTE CORONEL (BOMBERO)</t>
  </si>
  <si>
    <t>72521</t>
  </si>
  <si>
    <t>TERAPEUTA OCUPACIONAL I</t>
  </si>
  <si>
    <t>72522</t>
  </si>
  <si>
    <t>TERAPEUTA OCUPACIONAL II</t>
  </si>
  <si>
    <t>72523</t>
  </si>
  <si>
    <t>TERAPEUTA OCUPACIONAL III</t>
  </si>
  <si>
    <t>72524</t>
  </si>
  <si>
    <t>TERAPEUTA OCUPACIONAL IV</t>
  </si>
  <si>
    <t>72541</t>
  </si>
  <si>
    <t>TERAPISTA DE LENGUAJE I</t>
  </si>
  <si>
    <t>72542</t>
  </si>
  <si>
    <t>TERAPISTA DE LENGUAJE II</t>
  </si>
  <si>
    <t>00911</t>
  </si>
  <si>
    <t>TESORERO(A) GENERAL DEL ESTADO</t>
  </si>
  <si>
    <t>03556</t>
  </si>
  <si>
    <t>TIMBAL 1</t>
  </si>
  <si>
    <t>43141</t>
  </si>
  <si>
    <t>TOPOGRAFO CARTOGRAFICO I</t>
  </si>
  <si>
    <t>43142</t>
  </si>
  <si>
    <t>TOPOGRAFO CARTOGRAFICO II</t>
  </si>
  <si>
    <t>43150</t>
  </si>
  <si>
    <t>TOPOGRAFO CARTOGRAFICO JEFE</t>
  </si>
  <si>
    <t>43121</t>
  </si>
  <si>
    <t>TOPOGRAFO I</t>
  </si>
  <si>
    <t>43122</t>
  </si>
  <si>
    <t>TOPOGRAFO II</t>
  </si>
  <si>
    <t>79351</t>
  </si>
  <si>
    <t>TRABAJADOR SOCIAL I</t>
  </si>
  <si>
    <t>79352</t>
  </si>
  <si>
    <t>TRABAJADOR SOCIAL II</t>
  </si>
  <si>
    <t>79353</t>
  </si>
  <si>
    <t>TRABAJADOR SOCIAL III</t>
  </si>
  <si>
    <t>79354</t>
  </si>
  <si>
    <t>TRABAJADOR SOCIAL IV</t>
  </si>
  <si>
    <t>22311</t>
  </si>
  <si>
    <t>TRADUCTOR I</t>
  </si>
  <si>
    <t>22312</t>
  </si>
  <si>
    <t>TRADUCTOR II</t>
  </si>
  <si>
    <t>22313</t>
  </si>
  <si>
    <t>TRADUCTOR III</t>
  </si>
  <si>
    <t>22322</t>
  </si>
  <si>
    <t>TRADUCTOR MULTILINGUE II</t>
  </si>
  <si>
    <t>22321</t>
  </si>
  <si>
    <t>TRADUCTOR MULTILUNGUE I</t>
  </si>
  <si>
    <t>53151</t>
  </si>
  <si>
    <t>TRAMITADOR DE ASUNTOS DE ADUANA I</t>
  </si>
  <si>
    <t>53152</t>
  </si>
  <si>
    <t>TRAMITADOR DE ASUNTOS DE ADUANA II</t>
  </si>
  <si>
    <t>53160</t>
  </si>
  <si>
    <t>TRAMITADOR DE ASUNTOS DE ADUANA JEFE</t>
  </si>
  <si>
    <t>03552</t>
  </si>
  <si>
    <t>TROMBON 1</t>
  </si>
  <si>
    <t>03584</t>
  </si>
  <si>
    <t>TROMBON 2</t>
  </si>
  <si>
    <t>03613</t>
  </si>
  <si>
    <t>TROMBON 3</t>
  </si>
  <si>
    <t>03548</t>
  </si>
  <si>
    <t>TROMPETA 1</t>
  </si>
  <si>
    <t>03580</t>
  </si>
  <si>
    <t>TROMPETA 2</t>
  </si>
  <si>
    <t>03608</t>
  </si>
  <si>
    <t>TROMPETA 3</t>
  </si>
  <si>
    <t>03512</t>
  </si>
  <si>
    <t>TROMPETA SOLISTA</t>
  </si>
  <si>
    <t>03554</t>
  </si>
  <si>
    <t>TUBA 1</t>
  </si>
  <si>
    <t>03586</t>
  </si>
  <si>
    <t>TUBA 2</t>
  </si>
  <si>
    <t>79521</t>
  </si>
  <si>
    <t>TUTOR FACILITADOR I</t>
  </si>
  <si>
    <t>79522</t>
  </si>
  <si>
    <t>TUTOR FACILITADOR II</t>
  </si>
  <si>
    <t>79523</t>
  </si>
  <si>
    <t>TUTOR FACILITADOR III</t>
  </si>
  <si>
    <t>43811</t>
  </si>
  <si>
    <t>URBANISTA I</t>
  </si>
  <si>
    <t>43812</t>
  </si>
  <si>
    <t>URBANISTA II</t>
  </si>
  <si>
    <t>43813</t>
  </si>
  <si>
    <t>URBANISTA III</t>
  </si>
  <si>
    <t>43820</t>
  </si>
  <si>
    <t>URBANISTA JEFE</t>
  </si>
  <si>
    <t>03577</t>
  </si>
  <si>
    <t>VIOLIN 1</t>
  </si>
  <si>
    <t>03576</t>
  </si>
  <si>
    <t>VIOLONCELLO</t>
  </si>
  <si>
    <t>42431</t>
  </si>
  <si>
    <t>ZOOLOGO I</t>
  </si>
  <si>
    <t>42432</t>
  </si>
  <si>
    <t>ZOOLOGO II</t>
  </si>
  <si>
    <t>41511</t>
  </si>
  <si>
    <t>ZOOTECNISTA I</t>
  </si>
  <si>
    <t>41512</t>
  </si>
  <si>
    <t>ZOOTECNISTA II</t>
  </si>
  <si>
    <t>41513</t>
  </si>
  <si>
    <t>ZOOTECNISTA III</t>
  </si>
  <si>
    <t>41514</t>
  </si>
  <si>
    <t>ZOOTECNISTA IV</t>
  </si>
  <si>
    <t>41520</t>
  </si>
  <si>
    <t>ZOOTECNISTA JEFE</t>
  </si>
  <si>
    <t>41515</t>
  </si>
  <si>
    <t>ZOOTECNISTA V</t>
  </si>
  <si>
    <t>ACARREADOR</t>
  </si>
  <si>
    <t>7101</t>
  </si>
  <si>
    <t>O</t>
  </si>
  <si>
    <t>OB</t>
  </si>
  <si>
    <t>7225</t>
  </si>
  <si>
    <t>ARMADOR DE PUERTOS</t>
  </si>
  <si>
    <t>5250</t>
  </si>
  <si>
    <t>ASCENSORISTA</t>
  </si>
  <si>
    <t>3125</t>
  </si>
  <si>
    <t>ASEADOR</t>
  </si>
  <si>
    <t>7102</t>
  </si>
  <si>
    <t>6231</t>
  </si>
  <si>
    <t>6232</t>
  </si>
  <si>
    <t>AUXILIAR DE AUTOPSIA</t>
  </si>
  <si>
    <t>6225</t>
  </si>
  <si>
    <t>AUXILIAR DE CRISTALERIA</t>
  </si>
  <si>
    <t>8524</t>
  </si>
  <si>
    <t>AUXILIAR DE ENFERMERIA</t>
  </si>
  <si>
    <t>6274</t>
  </si>
  <si>
    <t>AUXILIAR DE NUTRICION</t>
  </si>
  <si>
    <t>6227</t>
  </si>
  <si>
    <t>AUXILIAR DE ODONTOLOGIA</t>
  </si>
  <si>
    <t>6228</t>
  </si>
  <si>
    <t>AUXILIAR DE SERVICIOS DE OFICINA</t>
  </si>
  <si>
    <t>7202</t>
  </si>
  <si>
    <t>AUXILIAR DE SERVICIOS DE TREN</t>
  </si>
  <si>
    <t>3202</t>
  </si>
  <si>
    <t>AUXILIAR DE TELECOMUNICACIONES</t>
  </si>
  <si>
    <t>7203</t>
  </si>
  <si>
    <t>AUXILIAR DE VETERINARIA</t>
  </si>
  <si>
    <t>1201</t>
  </si>
  <si>
    <t>6201</t>
  </si>
  <si>
    <t>6226</t>
  </si>
  <si>
    <t>6229</t>
  </si>
  <si>
    <t>AYUDANTE AGROPECUARIO</t>
  </si>
  <si>
    <t>1151</t>
  </si>
  <si>
    <t>AYUDANTE BARMAN</t>
  </si>
  <si>
    <t>2125</t>
  </si>
  <si>
    <t>AYUDANTE DE ALMACEN</t>
  </si>
  <si>
    <t>7201</t>
  </si>
  <si>
    <t>AYUDANTE DE ARTES GRAFICAS</t>
  </si>
  <si>
    <t>4150</t>
  </si>
  <si>
    <t>AYUDANTE DE AULA</t>
  </si>
  <si>
    <t>7125</t>
  </si>
  <si>
    <t>AYUDANTE DE CARGA</t>
  </si>
  <si>
    <t>7150</t>
  </si>
  <si>
    <t>AYUDANTE DE CARPINTERIA</t>
  </si>
  <si>
    <t>7228</t>
  </si>
  <si>
    <t>AYUDANTE DE COSTURA</t>
  </si>
  <si>
    <t>7103</t>
  </si>
  <si>
    <t>AYUDANTE DE INSTALADOR DE ANTENA</t>
  </si>
  <si>
    <t>5154</t>
  </si>
  <si>
    <t>AYUDANTE DE LABORATORIO GEONALITICO</t>
  </si>
  <si>
    <t>5150</t>
  </si>
  <si>
    <t>AYUDANTE DE MAQUINARIA</t>
  </si>
  <si>
    <t>5125</t>
  </si>
  <si>
    <t>AYUDANTE DE MECANICO</t>
  </si>
  <si>
    <t>5126</t>
  </si>
  <si>
    <t>AYUDANTE DE OPERACIONES FERROVIARIAS</t>
  </si>
  <si>
    <t>7178</t>
  </si>
  <si>
    <t>AYUDANTE DE PANADEROS Y PASTELERO</t>
  </si>
  <si>
    <t>2126</t>
  </si>
  <si>
    <t>AYUDANTE DE SERV. DE PUERTO Y AEROPUERTO</t>
  </si>
  <si>
    <t>3129</t>
  </si>
  <si>
    <t>AYUDANTE DE SERVICIOS DE COCINA</t>
  </si>
  <si>
    <t>2127</t>
  </si>
  <si>
    <t>AYUDANTE DE SERVICIOS GENERALES</t>
  </si>
  <si>
    <t>7152</t>
  </si>
  <si>
    <t>AYUDANTE DE TOPOGRAFIA</t>
  </si>
  <si>
    <t>7226</t>
  </si>
  <si>
    <t>AYUDANTE INSPECTOR</t>
  </si>
  <si>
    <t>8521</t>
  </si>
  <si>
    <t>AYUDANTE MANTENIMIENTO DE VIAS TERRESTRE</t>
  </si>
  <si>
    <t>5152</t>
  </si>
  <si>
    <t>AYUDANTE MANTENIMIENTO VIAS FERROVIARIAS</t>
  </si>
  <si>
    <t>5151</t>
  </si>
  <si>
    <t>AYUDANTE POSTAL TELEGRAFICO</t>
  </si>
  <si>
    <t>7126</t>
  </si>
  <si>
    <t>BARBERO</t>
  </si>
  <si>
    <t>3150</t>
  </si>
  <si>
    <t>BARMAN</t>
  </si>
  <si>
    <t>2201</t>
  </si>
  <si>
    <t>BOTONES</t>
  </si>
  <si>
    <t>3126</t>
  </si>
  <si>
    <t>BUZO</t>
  </si>
  <si>
    <t>7250</t>
  </si>
  <si>
    <t>CAJISTA</t>
  </si>
  <si>
    <t>4174</t>
  </si>
  <si>
    <t>CAMARERA</t>
  </si>
  <si>
    <t>7104</t>
  </si>
  <si>
    <t>CAMILLERO</t>
  </si>
  <si>
    <t>6174</t>
  </si>
  <si>
    <t>CAPITAN DE MESONEROS</t>
  </si>
  <si>
    <t>3301</t>
  </si>
  <si>
    <t>CAPORAL DE EQUIPOS</t>
  </si>
  <si>
    <t>8525</t>
  </si>
  <si>
    <t>CARNICERO</t>
  </si>
  <si>
    <t>2150</t>
  </si>
  <si>
    <t>CARPINTERO</t>
  </si>
  <si>
    <t>7227</t>
  </si>
  <si>
    <t>CERRAJERO</t>
  </si>
  <si>
    <t>7127</t>
  </si>
  <si>
    <t>CLASIFICADOR DE FRUTOS</t>
  </si>
  <si>
    <t>1150</t>
  </si>
  <si>
    <t>CLASIFICADOS POSTAL TELEGRAFICO</t>
  </si>
  <si>
    <t>7207</t>
  </si>
  <si>
    <t>2129</t>
  </si>
  <si>
    <t>CONSERJE</t>
  </si>
  <si>
    <t>7159</t>
  </si>
  <si>
    <t>CONTRAMAESTRE</t>
  </si>
  <si>
    <t>7301</t>
  </si>
  <si>
    <t>CONTROL ASIST, MEDICAS</t>
  </si>
  <si>
    <t>8523</t>
  </si>
  <si>
    <t>COSTURERA</t>
  </si>
  <si>
    <t>7204</t>
  </si>
  <si>
    <t>CUIDADOR DE ANIMALES</t>
  </si>
  <si>
    <t>1174</t>
  </si>
  <si>
    <t>CHOFER</t>
  </si>
  <si>
    <t>7174</t>
  </si>
  <si>
    <t>CHOFER DE CARGA</t>
  </si>
  <si>
    <t>7231</t>
  </si>
  <si>
    <t>CHOFER DE TRANSPORTE</t>
  </si>
  <si>
    <t>7206</t>
  </si>
  <si>
    <t>DEPOSITARIO</t>
  </si>
  <si>
    <t>7135</t>
  </si>
  <si>
    <t>DESPACHADOR DE COMBUSTIBLE</t>
  </si>
  <si>
    <t>5127</t>
  </si>
  <si>
    <t>DESPACHADOR DE MERCANCIA</t>
  </si>
  <si>
    <t>3127</t>
  </si>
  <si>
    <t>DESPENSERO</t>
  </si>
  <si>
    <t>2174</t>
  </si>
  <si>
    <t>ELECTRICISTA DE ALTA TENSION</t>
  </si>
  <si>
    <t>7274</t>
  </si>
  <si>
    <t>ELECTROMECANICO</t>
  </si>
  <si>
    <t>7275</t>
  </si>
  <si>
    <t>EMBALADOR</t>
  </si>
  <si>
    <t>8522</t>
  </si>
  <si>
    <t>ESCOLTA</t>
  </si>
  <si>
    <t>8250</t>
  </si>
  <si>
    <t>ESPESORISTA</t>
  </si>
  <si>
    <t>8526</t>
  </si>
  <si>
    <t>FISCAL DE MATADERO</t>
  </si>
  <si>
    <t>1175</t>
  </si>
  <si>
    <t>FOTOGRABADOR PLANCHISTA</t>
  </si>
  <si>
    <t>4225</t>
  </si>
  <si>
    <t>FUMIGADOR</t>
  </si>
  <si>
    <t>6150</t>
  </si>
  <si>
    <t>GUARDA BARRERA</t>
  </si>
  <si>
    <t>7105</t>
  </si>
  <si>
    <t>GUARDAPARQUES</t>
  </si>
  <si>
    <t>8251</t>
  </si>
  <si>
    <t>GUARDAPARQUEZ</t>
  </si>
  <si>
    <t>6251</t>
  </si>
  <si>
    <t>GUIA VACACIONISTA</t>
  </si>
  <si>
    <t>3201</t>
  </si>
  <si>
    <t>GUILLOTINERO</t>
  </si>
  <si>
    <t>4152</t>
  </si>
  <si>
    <t>HERRERO</t>
  </si>
  <si>
    <t>7208</t>
  </si>
  <si>
    <t>INCINERADOR</t>
  </si>
  <si>
    <t>8520</t>
  </si>
  <si>
    <t>INSTALADOR DE ANTENA</t>
  </si>
  <si>
    <t>5251</t>
  </si>
  <si>
    <t>JARDINERO</t>
  </si>
  <si>
    <t>7153</t>
  </si>
  <si>
    <t>JEFE DE OBRERO</t>
  </si>
  <si>
    <t>0911</t>
  </si>
  <si>
    <t>LATONERO Y PINTOR</t>
  </si>
  <si>
    <t>5174</t>
  </si>
  <si>
    <t>LAVADOR Y ENGRASADOR</t>
  </si>
  <si>
    <t>5128</t>
  </si>
  <si>
    <t>LAVANDERO</t>
  </si>
  <si>
    <t>7128</t>
  </si>
  <si>
    <t>LENCERO</t>
  </si>
  <si>
    <t>7106</t>
  </si>
  <si>
    <t>LINOTIPISTA</t>
  </si>
  <si>
    <t>4202</t>
  </si>
  <si>
    <t>MAITRE</t>
  </si>
  <si>
    <t>3350</t>
  </si>
  <si>
    <t>MANIPULADOR DE FRUTOS</t>
  </si>
  <si>
    <t>1125</t>
  </si>
  <si>
    <t>MAQUINISTA</t>
  </si>
  <si>
    <t>5201</t>
  </si>
  <si>
    <t>MARINERO</t>
  </si>
  <si>
    <t>7154</t>
  </si>
  <si>
    <t>MECANICO AUTOMOTRIZ</t>
  </si>
  <si>
    <t>5225</t>
  </si>
  <si>
    <t>MECANICO DE AVIACION</t>
  </si>
  <si>
    <t>5275</t>
  </si>
  <si>
    <t>MECANICO DE BOBLIWG</t>
  </si>
  <si>
    <t>5175</t>
  </si>
  <si>
    <t>MECANICO DE BOGIS FERROVIARIO</t>
  </si>
  <si>
    <t>5277</t>
  </si>
  <si>
    <t>MECANICO DE MOTO</t>
  </si>
  <si>
    <t>5176</t>
  </si>
  <si>
    <t>MECANICO DE MOTORES DIESEL</t>
  </si>
  <si>
    <t>5274</t>
  </si>
  <si>
    <t>MECANICO DE REFRIGERACION</t>
  </si>
  <si>
    <t>5226</t>
  </si>
  <si>
    <t>MECANICO SISTEMA NEUMATICO FERROVIARIO</t>
  </si>
  <si>
    <t>5276</t>
  </si>
  <si>
    <t>MENSAJERO</t>
  </si>
  <si>
    <t>7129</t>
  </si>
  <si>
    <t>MENSAJERO MOTORIZADO</t>
  </si>
  <si>
    <t>7155</t>
  </si>
  <si>
    <t>MESONERO</t>
  </si>
  <si>
    <t>3175</t>
  </si>
  <si>
    <t>MODISTO</t>
  </si>
  <si>
    <t>7251</t>
  </si>
  <si>
    <t>3174</t>
  </si>
  <si>
    <t>OBRERO DE MANTENIMIENTO</t>
  </si>
  <si>
    <t>8123</t>
  </si>
  <si>
    <t>2202</t>
  </si>
  <si>
    <t>OP</t>
  </si>
  <si>
    <t>OPERADOR DE CALDERA</t>
  </si>
  <si>
    <t>7215</t>
  </si>
  <si>
    <t>OPERADOR DE MAQUINARIA PESADA</t>
  </si>
  <si>
    <t>5229</t>
  </si>
  <si>
    <t>OPERADOR DE PRENSA DE IMPRESION</t>
  </si>
  <si>
    <t>4250</t>
  </si>
  <si>
    <t>OPERADOR DE SALAS MOVILES</t>
  </si>
  <si>
    <t>7211</t>
  </si>
  <si>
    <t>OPERADOR DE SONIDO</t>
  </si>
  <si>
    <t>7160</t>
  </si>
  <si>
    <t>OPERADOR FERROVIARIO DE MANTENIMIENTO</t>
  </si>
  <si>
    <t>7210</t>
  </si>
  <si>
    <t>OPERADOR MAQUINARIA DE VIA FERREA</t>
  </si>
  <si>
    <t>5232</t>
  </si>
  <si>
    <t>OPERARIO COMPAGINACION Y ENCUADERNACION</t>
  </si>
  <si>
    <t>4125</t>
  </si>
  <si>
    <t>OPERARIO DE ACUEDUCTO</t>
  </si>
  <si>
    <t>5227</t>
  </si>
  <si>
    <t>OPERARIO DE EQUIPO DE TELECOMUNICACION</t>
  </si>
  <si>
    <t>7209</t>
  </si>
  <si>
    <t>OPERARIO DE FARO</t>
  </si>
  <si>
    <t>7130</t>
  </si>
  <si>
    <t>OPERARIO DE MAQUINA FOTOCOPIADORA</t>
  </si>
  <si>
    <t>4151</t>
  </si>
  <si>
    <t>OPERARIO DE MAQUINA LIVIANA</t>
  </si>
  <si>
    <t>5202</t>
  </si>
  <si>
    <t>OPERARIO DE PISCINA</t>
  </si>
  <si>
    <t>5203</t>
  </si>
  <si>
    <t>OPERARIO DE PLANTA HIDROELECTRICA</t>
  </si>
  <si>
    <t>5230</t>
  </si>
  <si>
    <t>OPERARIO MANTENIMIENTO VIAS TERRESTRES</t>
  </si>
  <si>
    <t>5228</t>
  </si>
  <si>
    <t>OPERARIO MAQUINA PRODUCCION FARMACEUTICA</t>
  </si>
  <si>
    <t>6175</t>
  </si>
  <si>
    <t>PANADERO</t>
  </si>
  <si>
    <t>2175</t>
  </si>
  <si>
    <t>PASTELERO</t>
  </si>
  <si>
    <t>2203</t>
  </si>
  <si>
    <t>PESCADOR</t>
  </si>
  <si>
    <t>1202</t>
  </si>
  <si>
    <t>PINTOR</t>
  </si>
  <si>
    <t>7177</t>
  </si>
  <si>
    <t>PLANCHADOR</t>
  </si>
  <si>
    <t>7131</t>
  </si>
  <si>
    <t>PLOMERO</t>
  </si>
  <si>
    <t>7212</t>
  </si>
  <si>
    <t>PORTERO</t>
  </si>
  <si>
    <t>3128</t>
  </si>
  <si>
    <t>PRACTICO FLUVIAL</t>
  </si>
  <si>
    <t>7175</t>
  </si>
  <si>
    <t>RAPARADOR DE BICICLETA</t>
  </si>
  <si>
    <t>5153</t>
  </si>
  <si>
    <t>RASTRILLERO</t>
  </si>
  <si>
    <t>8527</t>
  </si>
  <si>
    <t>RECEPTOR INFORMADOR</t>
  </si>
  <si>
    <t>3176</t>
  </si>
  <si>
    <t>REPARADOR DE MQUINA DE OFICINA</t>
  </si>
  <si>
    <t>7157</t>
  </si>
  <si>
    <t>REPARADOR DE NEUMATICO</t>
  </si>
  <si>
    <t>5129</t>
  </si>
  <si>
    <t>REPARADOR DE PARACAIDAS</t>
  </si>
  <si>
    <t>5231</t>
  </si>
  <si>
    <t>REPARADOR DE RADIADOR</t>
  </si>
  <si>
    <t>5130</t>
  </si>
  <si>
    <t>REPARTIDOR DE ALIMENTOS</t>
  </si>
  <si>
    <t>2128</t>
  </si>
  <si>
    <t>REPARTIDOR POSTAL TELEGRAFICO</t>
  </si>
  <si>
    <t>7176</t>
  </si>
  <si>
    <t>SALVAVIDAS</t>
  </si>
  <si>
    <t>8225</t>
  </si>
  <si>
    <t>SOLDADOR</t>
  </si>
  <si>
    <t>7229</t>
  </si>
  <si>
    <t>SUPERV. MANTENIMIENTO VIAS FERROVIARIA</t>
  </si>
  <si>
    <t>5302</t>
  </si>
  <si>
    <t>SUPERVISOR DE ARMADOR DE PUENTES</t>
  </si>
  <si>
    <t>5350</t>
  </si>
  <si>
    <t>SUPERVISOR DE ASCENSORISTAS</t>
  </si>
  <si>
    <t>3809</t>
  </si>
  <si>
    <t>SUPERVISOR DE AUXILIAR DE VETERINARIA</t>
  </si>
  <si>
    <t>1301</t>
  </si>
  <si>
    <t>SUPERVISOR DE CAMARERAS</t>
  </si>
  <si>
    <t>7302</t>
  </si>
  <si>
    <t>SUPERVISOR DE COCINA</t>
  </si>
  <si>
    <t>2301</t>
  </si>
  <si>
    <t>SUPERVISOR DE FUMIGACION</t>
  </si>
  <si>
    <t>6301</t>
  </si>
  <si>
    <t>SUPERVISOR DE MANTENIMIENTO DE AREAS PUBLICAS</t>
  </si>
  <si>
    <t>7305</t>
  </si>
  <si>
    <t>SUPERVISOR DE PLANTA HIDROELECTRICA</t>
  </si>
  <si>
    <t>5301</t>
  </si>
  <si>
    <t>SUPERVISOR DE SEGURIDAD</t>
  </si>
  <si>
    <t>8350</t>
  </si>
  <si>
    <t>SUPERVISOR DE SERVICIOS DE REPROD. E IMP</t>
  </si>
  <si>
    <t>4350</t>
  </si>
  <si>
    <t>SUPERVISOR DE SERVICIOS ESPECIALIZADOS</t>
  </si>
  <si>
    <t>7350</t>
  </si>
  <si>
    <t>SUPERVISOR DE SERVICIOS INTERNOS</t>
  </si>
  <si>
    <t>7303</t>
  </si>
  <si>
    <t>SUPERVISOR DE VIVEROS</t>
  </si>
  <si>
    <t>1302</t>
  </si>
  <si>
    <t>SUPERVISOR EMPAQUE Y ENVASE PROD. FARM.</t>
  </si>
  <si>
    <t>6302</t>
  </si>
  <si>
    <t>SUPERVISOR OPERACIONES FERROVIARIAS</t>
  </si>
  <si>
    <t>7351</t>
  </si>
  <si>
    <t>TALABARTERO</t>
  </si>
  <si>
    <t>7158</t>
  </si>
  <si>
    <t>TAPICERO</t>
  </si>
  <si>
    <t>7213</t>
  </si>
  <si>
    <t>TAQUILLERO</t>
  </si>
  <si>
    <t>3151</t>
  </si>
  <si>
    <t>TIMONEL DE EMBARCACION</t>
  </si>
  <si>
    <t>7214</t>
  </si>
  <si>
    <t>TORNERO</t>
  </si>
  <si>
    <t>7230</t>
  </si>
  <si>
    <t>VIGILANTE</t>
  </si>
  <si>
    <t>8201</t>
  </si>
  <si>
    <t>ZAPATERO</t>
  </si>
  <si>
    <t>7132</t>
  </si>
  <si>
    <t>OBRERO</t>
  </si>
  <si>
    <t>99A</t>
  </si>
  <si>
    <t>99B</t>
  </si>
  <si>
    <t>99C</t>
  </si>
  <si>
    <t>99D</t>
  </si>
  <si>
    <t>99E</t>
  </si>
  <si>
    <t>TIPO</t>
  </si>
  <si>
    <t>TABULADOR DE OBREROS</t>
  </si>
  <si>
    <t>99F</t>
  </si>
  <si>
    <t>99G</t>
  </si>
  <si>
    <t>TSU</t>
  </si>
  <si>
    <t>NIVEL EDUCATIVO</t>
  </si>
  <si>
    <t>EMPLEADO</t>
  </si>
  <si>
    <t>CODIGO</t>
  </si>
  <si>
    <t>DENOMINACION</t>
  </si>
  <si>
    <t>INFORMACION</t>
  </si>
  <si>
    <t>C0003</t>
  </si>
  <si>
    <t>PRIMA ANTIGÜEDAD</t>
  </si>
  <si>
    <t>C0004</t>
  </si>
  <si>
    <t>C0005</t>
  </si>
  <si>
    <t>PRIMAS POR PROFESIONALIZACION</t>
  </si>
  <si>
    <t>C0006</t>
  </si>
  <si>
    <t>C0010</t>
  </si>
  <si>
    <t>C0019</t>
  </si>
  <si>
    <t>C0025</t>
  </si>
  <si>
    <t>BONO NAVIDEÑO</t>
  </si>
  <si>
    <t>S.S.O.</t>
  </si>
  <si>
    <t>PARO FORZOSO</t>
  </si>
  <si>
    <t>NRO. DE HIJOS</t>
  </si>
  <si>
    <t>JULIO</t>
  </si>
  <si>
    <t>TOTAL PERSONAL DIRECTIVO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</si>
  <si>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</si>
  <si>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</si>
  <si>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</si>
  <si>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</si>
  <si>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</si>
  <si>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</si>
  <si>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</si>
  <si>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</si>
  <si>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</si>
  <si>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AUXILIAR DE TERAPIA</t>
  </si>
  <si>
    <t xml:space="preserve">TOTAL GENERAL </t>
  </si>
  <si>
    <t>CAJA DE AHORRO</t>
  </si>
  <si>
    <t>PRIMA TRANSPORTE</t>
  </si>
  <si>
    <t>DIAS FERIADOS</t>
  </si>
  <si>
    <t>ANTIGÜEDAD</t>
  </si>
  <si>
    <t>PROFESIONALIZACION</t>
  </si>
  <si>
    <t>AÑOS</t>
  </si>
  <si>
    <t>PORCENTAJE</t>
  </si>
  <si>
    <t>GRADO INSTRUCCIÓN</t>
  </si>
  <si>
    <t>BACHILLER</t>
  </si>
  <si>
    <t>UNIVERSITARIO</t>
  </si>
  <si>
    <t>ESPECIALISTA</t>
  </si>
  <si>
    <t>MAESTRIA</t>
  </si>
  <si>
    <t>DOCTOR</t>
  </si>
  <si>
    <t>MONTO</t>
  </si>
  <si>
    <t>COORDINADORES -COMISIONADOS</t>
  </si>
  <si>
    <t>DIRECTORES DE LINEA -VICEPRESIDENTES</t>
  </si>
  <si>
    <t>ASIST- JEFES DE DEPART- CONSULTOR- JEFES DE DIVISION</t>
  </si>
  <si>
    <t>MAXIMA AUTORIDAD -DIRECTORES-SECRETARIO PRIVADO- PRESIDENTE</t>
  </si>
  <si>
    <t>SECRETARIO GENERAL</t>
  </si>
  <si>
    <t>NOVIEMBRE</t>
  </si>
  <si>
    <t>DICIEMBRE</t>
  </si>
  <si>
    <t>CLASIFICACION DE CARGOS - GRADOS</t>
  </si>
  <si>
    <t>AÑO DE FORMULACION</t>
  </si>
  <si>
    <t>CONCEPTOS</t>
  </si>
  <si>
    <t>FAOV POLÍTICA HABITACIONAL</t>
  </si>
  <si>
    <t>CANT. LUNES-MES</t>
  </si>
  <si>
    <t>MES</t>
  </si>
  <si>
    <t>CANT LUNES</t>
  </si>
  <si>
    <t xml:space="preserve"> </t>
  </si>
  <si>
    <t>COMISIONADO.</t>
  </si>
  <si>
    <t>INSTRUCTOR I   N.G.</t>
  </si>
  <si>
    <t>INSTRUCTOR II  N.G.</t>
  </si>
  <si>
    <t>INSTRUCTOR III N.G.</t>
  </si>
  <si>
    <t>INSTRUCTOR N.G TCVD</t>
  </si>
  <si>
    <t>DOCENTE AULA IV</t>
  </si>
  <si>
    <t>INSTRUCTOR MARROQUINERIA</t>
  </si>
  <si>
    <t>AUX. BIBLIOTECA TCVN</t>
  </si>
  <si>
    <t>AUXILIAR DE BIBLIOTECA TID</t>
  </si>
  <si>
    <t>ASIST. BIBLIOTECA III</t>
  </si>
  <si>
    <t>ASIST. BIBLIOTECA TCVN</t>
  </si>
  <si>
    <t>DOCENTE N.G. 1-6</t>
  </si>
  <si>
    <t>DOC. BASICA N.G. 19 TID</t>
  </si>
  <si>
    <t>DOC. BASICA N.G. TCVID</t>
  </si>
  <si>
    <t>DOC. BASICA N.G. 16 TCVNMA</t>
  </si>
  <si>
    <t>DOC. BASICA N.G. 789 TCVNMA</t>
  </si>
  <si>
    <t>DOC. DIRECTOR BAS. N.G. 16 TCVNMA</t>
  </si>
  <si>
    <t>DOC. DIRECTOR BAS. N.G. 789 TCVNMA</t>
  </si>
  <si>
    <t>DOC. BASICA N.G. TCVD</t>
  </si>
  <si>
    <t>DOC. SUB DIRECTOR N.G. TIDN</t>
  </si>
  <si>
    <t>DOC. DIRECTOR ARTES P.</t>
  </si>
  <si>
    <t>DOC. BASICA N.G. 789 TCVNHC</t>
  </si>
  <si>
    <t>DOC. PRE-ESCOLAR N.G.</t>
  </si>
  <si>
    <t>DOC. DIRECTOR N.G.</t>
  </si>
  <si>
    <t>DOC. DIRECTOR VI 77</t>
  </si>
  <si>
    <t>DOC. BAS. I 77 INTERINO</t>
  </si>
  <si>
    <t>DOC. BASICA I   77 16 TSE</t>
  </si>
  <si>
    <t>DOC. BASICA II  77 16 TSE</t>
  </si>
  <si>
    <t>DOC. SUP.NG. III MEFDTC</t>
  </si>
  <si>
    <t>DOC. DIRECTOR VI 139</t>
  </si>
  <si>
    <t>DOC. PLAN.16 77 IV</t>
  </si>
  <si>
    <t>DOC. PLAN.16 77  V</t>
  </si>
  <si>
    <t>DOC. PLAN.16 77 VI</t>
  </si>
  <si>
    <t>ALFABETIZADOR</t>
  </si>
  <si>
    <t>DOC. 77-TC. III.</t>
  </si>
  <si>
    <t>DOC. ORIENT. 77  III TID</t>
  </si>
  <si>
    <t>DOC. BASICA V ORIENT.77 TID</t>
  </si>
  <si>
    <t>DOC. BAS.PLANIF.IV TC 77</t>
  </si>
  <si>
    <t>DOC. BAS. PLANIF. V TC 77</t>
  </si>
  <si>
    <t>DOC. ORIEN. I 77 1-6 TC</t>
  </si>
  <si>
    <t>DOC. ORIEN. V 77 1-6 TID</t>
  </si>
  <si>
    <t>DOC. PLANIF. V   TC</t>
  </si>
  <si>
    <t>DOC. PRE-ESC. I   77  TID</t>
  </si>
  <si>
    <t>DOC. PRE-ESC. II  77  TID</t>
  </si>
  <si>
    <t>DOC. PRE-ESC. III 77  TID</t>
  </si>
  <si>
    <t>DOC. PRE-ESC. IV  77  TID</t>
  </si>
  <si>
    <t>DOC. PRE-ESC. V   77  TID</t>
  </si>
  <si>
    <t>DOC. PRE-ESC. VI  77  TID</t>
  </si>
  <si>
    <t>DOC. PRE-ESC. I   139 TID</t>
  </si>
  <si>
    <t>DOC. PRE-ESC. II  139 TID</t>
  </si>
  <si>
    <t>DOC. PRE-ESC. III 139 TID</t>
  </si>
  <si>
    <t>DOC. PRE-ESC. IV  139 TID</t>
  </si>
  <si>
    <t>DOC. PRE-ESC. V   139 TID</t>
  </si>
  <si>
    <t>DOC. PRE-ESC. VI  139 TID</t>
  </si>
  <si>
    <t>DOC. BASICA 77  TID</t>
  </si>
  <si>
    <t>DOC. BASICA I 77 TID</t>
  </si>
  <si>
    <t>DOC. BASICA II  77  TID</t>
  </si>
  <si>
    <t>DOC. BASICA III 77  TID</t>
  </si>
  <si>
    <t>DOC. BASICA IV  77  TID</t>
  </si>
  <si>
    <t>DOC. BASICA V   77  TID</t>
  </si>
  <si>
    <t>DOC. BASICA VI  77  TID</t>
  </si>
  <si>
    <t>DOC. BASICA I   139 TID</t>
  </si>
  <si>
    <t>DOC. BASICA II  139 TID</t>
  </si>
  <si>
    <t>DOC. BASICA III 139 TID</t>
  </si>
  <si>
    <t>DOC. BASICA IV  139 TID</t>
  </si>
  <si>
    <t>DOC. BASICA V   139 TID</t>
  </si>
  <si>
    <t>DOC. BASICA VI  139 TID</t>
  </si>
  <si>
    <t>DOC. BASICA V  139 TCVD-MEF</t>
  </si>
  <si>
    <t>DOC. BASICA I    77 TCVNMA</t>
  </si>
  <si>
    <t>DOC. BASICA II 77 TCVNMA</t>
  </si>
  <si>
    <t>DOC. BASICA III  77 TCVNMA</t>
  </si>
  <si>
    <t>DOC. BASICA IV   77 TCVNMA</t>
  </si>
  <si>
    <t>DOC. BASICA V    77 TCVNMA</t>
  </si>
  <si>
    <t>DOC. BASICA VI   77 TCVNMA</t>
  </si>
  <si>
    <t>DOC. BASICA I   139 TCVNMA</t>
  </si>
  <si>
    <t>DOC. BASICA II  139 TCVNMA</t>
  </si>
  <si>
    <t>DOC. BASICA III 139 TCVNMA</t>
  </si>
  <si>
    <t>DOC. BASICA IV  139 TCVNMA</t>
  </si>
  <si>
    <t>DOC. BASICA V   139 TCVNMA</t>
  </si>
  <si>
    <t>DOC. BASICA VI  139 TCVNMA</t>
  </si>
  <si>
    <t>DOC. BASICA IV  77 TC-V</t>
  </si>
  <si>
    <t>DOC. BASICA V   77 TC-V 79</t>
  </si>
  <si>
    <t>DOC. BASICA 77  TCVD</t>
  </si>
  <si>
    <t>DOC. BASICA I   77  TCVD</t>
  </si>
  <si>
    <t>DOC. BASICA II 77  TCVD</t>
  </si>
  <si>
    <t>DOC. BASICA III 77  TCVD</t>
  </si>
  <si>
    <t>DOC. BASICA IV  77  TCVD</t>
  </si>
  <si>
    <t>DOC. BASICA V   77  TCVD</t>
  </si>
  <si>
    <t>DOC. BASICA VI  77  TCVD</t>
  </si>
  <si>
    <t>DOC. BASICA VI   77 TCVD</t>
  </si>
  <si>
    <t>DOC. BASICA II 77</t>
  </si>
  <si>
    <t>DOC. BAS. III T.S.E  TCVD</t>
  </si>
  <si>
    <t>DOC. BASICA I   139 TCVD</t>
  </si>
  <si>
    <t>DOC. BASICA II  139 TCVD</t>
  </si>
  <si>
    <t>DOC. BASICA III 139 TCVD</t>
  </si>
  <si>
    <t>DOC. BASICA IV  139 TCVD</t>
  </si>
  <si>
    <t>DOC. BASICA V   139 TCVD</t>
  </si>
  <si>
    <t>DOC. BASICA VI  139 TCVD</t>
  </si>
  <si>
    <t>DOC. PRE-ESC I 77 TID INTERINO</t>
  </si>
  <si>
    <t>DOC. BAS. I 77 TID INTERINO</t>
  </si>
  <si>
    <t>DOC. BAS. I T.S.E. TID INTERINO</t>
  </si>
  <si>
    <t>DOC. PRE-ESC I TSE TID INTERINO</t>
  </si>
  <si>
    <t>DOC. BAS. I 77 TCVDMA INTERINO</t>
  </si>
  <si>
    <t>DOC. BAS I TSE TCVDMA INTERINO</t>
  </si>
  <si>
    <t>DOC. BAS I 77 TCVD INTERINO</t>
  </si>
  <si>
    <t>PROF. PINTURA Y DIBUJO</t>
  </si>
  <si>
    <t>INSTRUCTOR ECONOMIA DOMESTICA</t>
  </si>
  <si>
    <t>DOC. SUB DIRECTOR PRE-ESCOLAR II 77</t>
  </si>
  <si>
    <t>DOC. SUB DIRECTOR PRE-ESCOLAR III 77</t>
  </si>
  <si>
    <t>DOC. SUB DIRECTOR PRE-ESCOLAR IV 77</t>
  </si>
  <si>
    <t>DOC. SUB DIRECTOR PRE-ESCOLAR V  77</t>
  </si>
  <si>
    <t>DOC. SUB DIRECTOR PRE-ESCOLAR VI 77</t>
  </si>
  <si>
    <t>DOC. SUB DIRECTOR PRE-ESC. T.S.E. TID II</t>
  </si>
  <si>
    <t>DOC. SUB DIRECTOR PRE-ESC. T.S.E. TID IV</t>
  </si>
  <si>
    <t>DOC. SUB DIRECTOR PRE-ESC. T.S.E. TID V</t>
  </si>
  <si>
    <t>DOC. SUB DIRECTOR PRE-ESC. T.S.E. TID VI</t>
  </si>
  <si>
    <t>DOC. SUB DIRECTOR PRE-ESCOLAR II 139</t>
  </si>
  <si>
    <t>DOC. SUB DIRECTOR BASICA IV  TID</t>
  </si>
  <si>
    <t>DOC. SUB DIRECTOR PRE-ESCOLAR V  139</t>
  </si>
  <si>
    <t>DOC. SUB DIRECTOR PRE-ESCOLAR VI 139</t>
  </si>
  <si>
    <t>DOC. SUB DIRECTOR BASICA 77 TID</t>
  </si>
  <si>
    <t>DOC. SUB DIRECTOR BASICA I 77 TID</t>
  </si>
  <si>
    <t>DOC. SUB DIRECTOR BASICA II  77 TID</t>
  </si>
  <si>
    <t>DOC. SUB DIRECTOR BASICA III  77 TID</t>
  </si>
  <si>
    <t>DOC. SUB DIRECTOR BASICA IV  77 TID</t>
  </si>
  <si>
    <t>DOC. SUB DIRECTOR BASICA V   77 TID</t>
  </si>
  <si>
    <t>DOC. SUB DIRECTOR BASICA VI  77 TID</t>
  </si>
  <si>
    <t>DOC. SUB DIRECTOR BASICA  I  139 TID</t>
  </si>
  <si>
    <t>DOC. SUB DIRECTOR BASICA  II 139 TID</t>
  </si>
  <si>
    <t>DOC. SUB DIRECTOR BASICA III 139 TID</t>
  </si>
  <si>
    <t>DOC. SUB DIRECTOR BASICA IV 139 TID</t>
  </si>
  <si>
    <t>DOC. SUB DIRECTOR BASICA V  139 TID</t>
  </si>
  <si>
    <t>DOC. SUB DIRECTOR BASICA VI 139 TID</t>
  </si>
  <si>
    <t>DOC. SUB DIRECTOR BASICA VI  77 TCVNMA</t>
  </si>
  <si>
    <t>PROFESOR I TID</t>
  </si>
  <si>
    <t>INSTRUCTOR MUSICAL</t>
  </si>
  <si>
    <t>DOC. DIRECTOR PRE-ESC. I   77  TID</t>
  </si>
  <si>
    <t>DOC. DIRECTOR PRE-ESC  II  77  TID</t>
  </si>
  <si>
    <t>DOC. DIRECTOR PRE-ESC. III  77 TID</t>
  </si>
  <si>
    <t>DOC. DIRECTOR PRE-ESC. IV  77  TID</t>
  </si>
  <si>
    <t>DOC. DIRECTOR PRE-ESC. V   77  TID</t>
  </si>
  <si>
    <t>DOC. DIRECTOR PRE-ESC. VI  77  TID</t>
  </si>
  <si>
    <t>INSTRUCTOR DE MANUALIDADES TCVD</t>
  </si>
  <si>
    <t>DOC. DIRECTOR PRE-ESC. III 139 TID</t>
  </si>
  <si>
    <t>DOC. DIRECTOR PRE-ESC. IV  139 TID</t>
  </si>
  <si>
    <t>DOC. DIRECTOR PRE-ESC. V   139 TID</t>
  </si>
  <si>
    <t>DOC. DIRECTOR PRE-ESC. VI  139 TID</t>
  </si>
  <si>
    <t>DOC. DIRECTOR BASICA 77  TID</t>
  </si>
  <si>
    <t>DOC. DIRECTOR BASICA I   77  TID</t>
  </si>
  <si>
    <t>DOC. DIRECTOR BASICA II  77  TID</t>
  </si>
  <si>
    <t>DOC. DIRECTOR BASICA III 77 TID</t>
  </si>
  <si>
    <t>DOC. DIRECTOR BASICA IV  77 TID</t>
  </si>
  <si>
    <t>DOC. DIRECTOR BASICA V   77 TID</t>
  </si>
  <si>
    <t>DOC. DIRECTOR BASICA VI  77 TID</t>
  </si>
  <si>
    <t>DOC. DIRECTOR BASICA III 139 TID</t>
  </si>
  <si>
    <t>DOC. DIRECTOR BASICA IV 139 TID</t>
  </si>
  <si>
    <t>DOC. DIRECTOR BASICA V  139 TID</t>
  </si>
  <si>
    <t>DOC. DIRECTOR BASICA VI 139 TID</t>
  </si>
  <si>
    <t>DOC. DIRECTOR BASICA I  77 TCVNMA</t>
  </si>
  <si>
    <t>DOC. DIRECTOR TCV NMA 77-III</t>
  </si>
  <si>
    <t>DOC. DIRECTOR BASICA IV  77 TCVNMA</t>
  </si>
  <si>
    <t>DOC. DIRECTOR BASICA  V  77 TCVNMA</t>
  </si>
  <si>
    <t>DOC. DIRECTOR BASICA VI  77 TCVNMA</t>
  </si>
  <si>
    <t>DOC. DIRECTOR BASICA  I 139 TCVNMA</t>
  </si>
  <si>
    <t>DOC. DIRECTOR BASICA IV 139 TCVNMA</t>
  </si>
  <si>
    <t>DOC. DIRECTOR BASICA  V 139 TCVNMA</t>
  </si>
  <si>
    <t>DOC. DIRECTOR BASICA VI 139 TCVNMA</t>
  </si>
  <si>
    <t>DOC. DIRECTOR 77-TC  IV.</t>
  </si>
  <si>
    <t>DOC. DIRECTOR BASICA VI  77 TINMA</t>
  </si>
  <si>
    <t>DOC. SUP.BAS. II 77  TC</t>
  </si>
  <si>
    <t>DOC. SUP. BAS. III 77</t>
  </si>
  <si>
    <t>DOC. SUP.BAS. IV 77  TC</t>
  </si>
  <si>
    <t>DOC. SUP.BAS. V  77  TC</t>
  </si>
  <si>
    <t>DOC. SUP.BAS  VI 77  TC</t>
  </si>
  <si>
    <t>DOC. ORIENTADOR 77-TC. I.</t>
  </si>
  <si>
    <t>DOC. ORI.BAS. III 77</t>
  </si>
  <si>
    <t>DOC. SUP.BAS. IV 139 TC</t>
  </si>
  <si>
    <t>DOC. SUP.BAS. V  139 TC</t>
  </si>
  <si>
    <t>DOC. SUP.BAS. VI 139 TC</t>
  </si>
  <si>
    <t>TECNICO SUPERIOR III 77 TID</t>
  </si>
  <si>
    <t>SECRETARIO EJECUTIVO DEL COMITE SUPERIOR DEL G.E.P.D.T</t>
  </si>
  <si>
    <t>COORDINADOR DE PREFECTURAS</t>
  </si>
  <si>
    <t>COORD. DE DIFUSIONLITER. Y TEATRAL</t>
  </si>
  <si>
    <t>ALFABETIZADOR I   77</t>
  </si>
  <si>
    <t>ALFABETIZADOR II  77</t>
  </si>
  <si>
    <t>ALFABETIZADOR III 77</t>
  </si>
  <si>
    <t>ALFABETIZADOR IV  77</t>
  </si>
  <si>
    <t>ALFABETIZADOR V   77</t>
  </si>
  <si>
    <t>ALFABETIZADOR VI  77</t>
  </si>
  <si>
    <t>ALFABETIZADOR I   139</t>
  </si>
  <si>
    <t>ALFABETIZADOR II  139</t>
  </si>
  <si>
    <t>ALFABETIZADOR III 139</t>
  </si>
  <si>
    <t>ALFABETIZADOR IV  139</t>
  </si>
  <si>
    <t>ALFABETIZADOR V   139</t>
  </si>
  <si>
    <t>ALFABETIZADOR VI  139</t>
  </si>
  <si>
    <t>ASISTENTE DE TEATRO  IV 139</t>
  </si>
  <si>
    <t>ASIST. DE TALLER III N.G.</t>
  </si>
  <si>
    <t>ASIS. COORD. RED. B. IV 139</t>
  </si>
  <si>
    <t>AUX. BIBLIOTECA PUB. I  139</t>
  </si>
  <si>
    <t>AUX. BIBLIOTECA PUB. II 139</t>
  </si>
  <si>
    <t>AUX. BIBLIOTECA PUB.III 139</t>
  </si>
  <si>
    <t>AUX. BIBLIOTECA PUB. IV 139</t>
  </si>
  <si>
    <t>AUX. BIBLIOTECA PUB. V  139</t>
  </si>
  <si>
    <t>AUX. BIBLIOTECA PUB. VI 139</t>
  </si>
  <si>
    <t>AUX. BIBLIOTECA PUB. I   77</t>
  </si>
  <si>
    <t>AUX. BIBLIOTECA PUB. II  77</t>
  </si>
  <si>
    <t>AUX. BIBLIOTECA PUB. III 77</t>
  </si>
  <si>
    <t>AUX. BIBLIOTECA PUB. IV  77</t>
  </si>
  <si>
    <t>AUX. BIBLIOTECA PUB. V   77</t>
  </si>
  <si>
    <t>AUX. BIBLIOTECA PUB. VI  77</t>
  </si>
  <si>
    <t>COORD.  I   77</t>
  </si>
  <si>
    <t>COORD.  II  77</t>
  </si>
  <si>
    <t>COORD.  III 77</t>
  </si>
  <si>
    <t>COORD.  IV  77</t>
  </si>
  <si>
    <t>COORD.  V   77</t>
  </si>
  <si>
    <t>COORD.  VI  77</t>
  </si>
  <si>
    <t>COORD. CONSERV. Y M.</t>
  </si>
  <si>
    <t>COORD. I   139</t>
  </si>
  <si>
    <t>COORD. II  139</t>
  </si>
  <si>
    <t>COORD. III 139</t>
  </si>
  <si>
    <t>COORD. IV  139</t>
  </si>
  <si>
    <t>COORD. V   139</t>
  </si>
  <si>
    <t>COORD. VI  139</t>
  </si>
  <si>
    <t>COORD.EDUC.RURAL</t>
  </si>
  <si>
    <t>COORD. DOCENTE 77</t>
  </si>
  <si>
    <t>COORD. DOCENTE I   77</t>
  </si>
  <si>
    <t>COORD. DOCENTE II  77</t>
  </si>
  <si>
    <t>COORD. DOCENTE III 77</t>
  </si>
  <si>
    <t>COORD. DOCENTE IV  77</t>
  </si>
  <si>
    <t>COORD. DOCENTE V   77</t>
  </si>
  <si>
    <t>COORD. DOCENTE VI  77</t>
  </si>
  <si>
    <t>COORD.DIF.C.CUL.VI 139</t>
  </si>
  <si>
    <t>DIRECTOR I   139</t>
  </si>
  <si>
    <t>DIRECTOR II  139</t>
  </si>
  <si>
    <t>DIRECTOR III 139</t>
  </si>
  <si>
    <t>DIRECTOR IV  139</t>
  </si>
  <si>
    <t>DIRECTOR V   139</t>
  </si>
  <si>
    <t>DIRECTOR VI  139</t>
  </si>
  <si>
    <t>DIRECTOR I   77</t>
  </si>
  <si>
    <t>DIRECTOR II  77</t>
  </si>
  <si>
    <t>DIRECTOR III 77</t>
  </si>
  <si>
    <t>DIRECTOR IV  77</t>
  </si>
  <si>
    <t>DIRECTOR V   77</t>
  </si>
  <si>
    <t>DIRECTOR VI  77</t>
  </si>
  <si>
    <t>INSTRUCTOR I   77</t>
  </si>
  <si>
    <t>INSTRUCTOR II  77</t>
  </si>
  <si>
    <t>INSTRUCTOR III 77</t>
  </si>
  <si>
    <t>INSTRUCTOR IV  77</t>
  </si>
  <si>
    <t>INSTRUCTOR V   77</t>
  </si>
  <si>
    <t>INSTRUCTOR VI  77</t>
  </si>
  <si>
    <t>INSTRUCTOR I   139</t>
  </si>
  <si>
    <t>INSTRUCTOR II  139</t>
  </si>
  <si>
    <t>INSTRUCTOR III 139</t>
  </si>
  <si>
    <t>INSTRUCTOR IV  139</t>
  </si>
  <si>
    <t>INSTRUCTOR V   139</t>
  </si>
  <si>
    <t>INSTRUCTOR VI  139</t>
  </si>
  <si>
    <t>DOCENTE ORIENTADOR</t>
  </si>
  <si>
    <t>DOC. ORIENTADOR 77 TC IV</t>
  </si>
  <si>
    <t>DOC. ORIENTADOR 77 TC V</t>
  </si>
  <si>
    <t>PROF. CLARINETE II  77</t>
  </si>
  <si>
    <t>PROF. DE PIANO  IV  139</t>
  </si>
  <si>
    <t>PROF. DE PIANO III  77</t>
  </si>
  <si>
    <t>PROF. DIB. Y DEC. G.III 77</t>
  </si>
  <si>
    <t>PROF. DIBUJO Y DEC. VI 77</t>
  </si>
  <si>
    <t>PROF. HIST. MUSICA VI  139</t>
  </si>
  <si>
    <t>PROF. HISTORIA DEL A.IV 77</t>
  </si>
  <si>
    <t>PROF. HISTORIA DEL A.VI 77</t>
  </si>
  <si>
    <t>PROF. KINDER MUSICAL VI 77</t>
  </si>
  <si>
    <t>PROF. LANG. PLASTICO I 77</t>
  </si>
  <si>
    <t>PROF. PIANO PRINCIPAL III 77</t>
  </si>
  <si>
    <t>PROF. PINTURA INFAN. V 77</t>
  </si>
  <si>
    <t>PROF. VIOLA III 77</t>
  </si>
  <si>
    <t>PROF. VIOLIN III 77</t>
  </si>
  <si>
    <t>PROF. VIOLONCELLO III 77</t>
  </si>
  <si>
    <t>PROF. GUITARRA VI 139</t>
  </si>
  <si>
    <t>INSTRUCTOR I</t>
  </si>
  <si>
    <t>INTRUCTOR DEPORTIVO</t>
  </si>
  <si>
    <t>PROF. FOTOGRAFIA  VI  139</t>
  </si>
  <si>
    <t>PROF. MUSICA POP. VI   77</t>
  </si>
  <si>
    <t>PROF. HISTORIA EST.III 77</t>
  </si>
  <si>
    <t>DOC. PRE-ESC TSE TID I</t>
  </si>
  <si>
    <t>DOC. PRE-ESC TSE TID II</t>
  </si>
  <si>
    <t>DOC. PRE-ESC TSE TID III</t>
  </si>
  <si>
    <t>DOC. PRE-ESC TSE TID IV</t>
  </si>
  <si>
    <t>DOC. PRE-ESC TSE TID V</t>
  </si>
  <si>
    <t>DOC. PRE-ESC TSE TID VI</t>
  </si>
  <si>
    <t>DOC. DIRECTOR BASICO I  T.S.E.</t>
  </si>
  <si>
    <t>DOC. DIRECTOR BASICO II  T.S.E.</t>
  </si>
  <si>
    <t>DOC. DIRECTOR BASICO III  T.S.E.</t>
  </si>
  <si>
    <t>DOC. DIRECTOR BASICO IV  T.S.E.</t>
  </si>
  <si>
    <t>DOC. DIRECTOR BASICO V  T.S.E.</t>
  </si>
  <si>
    <t>DOC. DIRECTOR BASICO VI  T.S.E.</t>
  </si>
  <si>
    <t>DOC. SUB DIRECTOR BASICO I  T.S.E.</t>
  </si>
  <si>
    <t>DOC. SUB DIRECTOR BASICO IV  T.S.E.</t>
  </si>
  <si>
    <t>DOC. SUB DIRECTOR BASICO V  T.S.E.</t>
  </si>
  <si>
    <t>DOC. SUB DIRECTOR BASICA IV  T.S.E</t>
  </si>
  <si>
    <t>DOC. SUB DIRECTOR BASICO VI T.S.E.</t>
  </si>
  <si>
    <t>DOC. BASICA 16-TSE TID I</t>
  </si>
  <si>
    <t>DOC. BASICA 16-TSE TID II</t>
  </si>
  <si>
    <t>DOC. BASICA 16-TSE TID III</t>
  </si>
  <si>
    <t>DOC. BASICA 16-TSE TID IV</t>
  </si>
  <si>
    <t>DOC. BASICA 16-TSE TID V</t>
  </si>
  <si>
    <t>DOC. BASICA 16- TSE TID VI</t>
  </si>
  <si>
    <t>DOC. BASICA 789-TSE TCVD I</t>
  </si>
  <si>
    <t>DOC. BASICA 789-TSE TCVD II</t>
  </si>
  <si>
    <t>DOC. BASICA 789-TSE TCVD III</t>
  </si>
  <si>
    <t>DOC. BASICA 789-TSE TCVD IV</t>
  </si>
  <si>
    <t>DOC. BASICA 789-TSE TCVD V</t>
  </si>
  <si>
    <t>DOC. BASICA 789-TSE TCVD VI</t>
  </si>
  <si>
    <t>DOC. BASICA 16-789 TSE TCVD I</t>
  </si>
  <si>
    <t>DOC. BASICA 16-789 TSE TCVD II</t>
  </si>
  <si>
    <t>DOC. BASICA 16-789 TSE TCVD III</t>
  </si>
  <si>
    <t>DOC. BASICA 16-789 TSE TCVD IV</t>
  </si>
  <si>
    <t>DOC. BASICA 16-789 TSE TCVD V</t>
  </si>
  <si>
    <t>DOC. BASICA 16-789 TSE TCVD VI</t>
  </si>
  <si>
    <t>DOC. BASICO I  T.S.E. TCVNMA</t>
  </si>
  <si>
    <t>DOC. BASICO II  T.S.E. TCVNMA</t>
  </si>
  <si>
    <t>DOC. BASICO III T.S.E. TCVNMA</t>
  </si>
  <si>
    <t>DOC. BASICO IV  T.S.E. TCVNMA</t>
  </si>
  <si>
    <t>DOC. BASCO V  T.S.E. TCVNMA</t>
  </si>
  <si>
    <t>DOC. BASICO  VI  T.S.E. TCVNMA</t>
  </si>
  <si>
    <t>DOC. DIRECTOR BASICA IV T.S.E TID</t>
  </si>
  <si>
    <t>DOC. DIRECTOR BASICA  V T.S.E TID</t>
  </si>
  <si>
    <t>PROF. CLARINETE VI</t>
  </si>
  <si>
    <t>SUB DIRECTOR VI 139</t>
  </si>
  <si>
    <t>INSTRUCTOR MANUALIDADES I</t>
  </si>
  <si>
    <t>INSTRUCTOR MANUALIDADES III</t>
  </si>
  <si>
    <t>INSTRUCTOR MANUALIDADES II</t>
  </si>
  <si>
    <t>INST.CORT.Y CONFECC. N.G.</t>
  </si>
  <si>
    <t>INST. MUSICAL N.G.</t>
  </si>
  <si>
    <t>INSTRUCTOR</t>
  </si>
  <si>
    <t>INST.BALLET Y DANZAS N.G.</t>
  </si>
  <si>
    <t>INST.DANZAS III N.G.</t>
  </si>
  <si>
    <t>INST.REPOSTERIA C. N.G.</t>
  </si>
  <si>
    <t>INST.PINTURA 77 III</t>
  </si>
  <si>
    <t>INST.DIBUJO INFANTIL N.G.</t>
  </si>
  <si>
    <t>INST.PINTURA Y DIB. VI 139</t>
  </si>
  <si>
    <t>DIRECTOR ESCUELA 139 III</t>
  </si>
  <si>
    <t>INST.CERAMICA Y ESC. N.G.</t>
  </si>
  <si>
    <t>COORD.DOCENTE N.G.</t>
  </si>
  <si>
    <t>INST.TEATRO-TITERES 139 III</t>
  </si>
  <si>
    <t>INST.TEJIDO E HILADO 77 IV</t>
  </si>
  <si>
    <t>INST.PINTURA Y D. N.G.</t>
  </si>
  <si>
    <t>DIRECTOR ESCUELA N.G.</t>
  </si>
  <si>
    <t>PROF.CERAMICA ARTISTICA N.G.</t>
  </si>
  <si>
    <t>INST.DANZAS FOLKLORICAS N.G.</t>
  </si>
  <si>
    <t>ALFABETIZADOR N.G.</t>
  </si>
  <si>
    <t>INST.CORTE Y CONF. 77 VI</t>
  </si>
  <si>
    <t>INST.BORDADO A MAQUINA N.G.</t>
  </si>
  <si>
    <t>INST.DE PELUQUERIA N.G.</t>
  </si>
  <si>
    <t>PROF.TEATRO N.G.</t>
  </si>
  <si>
    <t>ASISTENTE DE TALLER N.G.</t>
  </si>
  <si>
    <t>PROFESOR DE VIOLA N.G.</t>
  </si>
  <si>
    <t>PROFESOR DE VIOLIN N.G.</t>
  </si>
  <si>
    <t>PROF. MANUALIDADES 77 II</t>
  </si>
  <si>
    <t>AUX. BIBLIOTECA PUB. N.G.</t>
  </si>
  <si>
    <t>DIRECTOR DE ESCUELA 139 III</t>
  </si>
  <si>
    <t>INST.MANUALIDADES N.G.</t>
  </si>
  <si>
    <t>ASIST. DE TALLER II</t>
  </si>
  <si>
    <t>ASIST.COORD.RED.B. IV 77</t>
  </si>
  <si>
    <t>PROF. CLARINETE N.G.</t>
  </si>
  <si>
    <t>PROF. TROMPETA N.G.</t>
  </si>
  <si>
    <t>PROF. KINDER MUSICAL N.G.</t>
  </si>
  <si>
    <t>PROF. FORMACION CORAL</t>
  </si>
  <si>
    <t>PROF. PIANO COMPLEMENTARIO</t>
  </si>
  <si>
    <t>PROF. CORNO I</t>
  </si>
  <si>
    <t>PROF. TEORIA Y SOLFEO</t>
  </si>
  <si>
    <t>PROF. ARMONIA COMPLEMENTARIA</t>
  </si>
  <si>
    <t>PROF. HISTORIA ESTETICA</t>
  </si>
  <si>
    <t>PROF. FLAUTA</t>
  </si>
  <si>
    <t>PROF. OBOE</t>
  </si>
  <si>
    <t>PROF. MANUALIDADES III 77</t>
  </si>
  <si>
    <t>INST. CORTE Y CONF. 77 III</t>
  </si>
  <si>
    <t>INST. ARTES MANUALES N.G.</t>
  </si>
  <si>
    <t>PROF. ESCULTURA N.G.</t>
  </si>
  <si>
    <t>PROF. CORTE Y CONF. 77  IV</t>
  </si>
  <si>
    <t>PROF. BALLET Y DANZAS</t>
  </si>
  <si>
    <t>INST. TEATRO Y TITERES N.G.</t>
  </si>
  <si>
    <t>INST. B. Y DANZAS 77 III</t>
  </si>
  <si>
    <t>SUB DIRECTOR N.G.</t>
  </si>
  <si>
    <t>PROF. RECURSOS AUDIO N.G</t>
  </si>
  <si>
    <t>PROF. CERAMICA N.G.</t>
  </si>
  <si>
    <t>INST. MUSICAL 77 IV</t>
  </si>
  <si>
    <t>CLARINETE I</t>
  </si>
  <si>
    <t>COORD.DOCENTE BAS.16TC. VI 77</t>
  </si>
  <si>
    <t>COORD.DIF.Y PROM.DOC.BAS.16 TC.139</t>
  </si>
  <si>
    <t>COORD. INV. Y FLOK.</t>
  </si>
  <si>
    <t>COORD.MANT. Y CONSERV.</t>
  </si>
  <si>
    <t>PIANO COMPLEMENTARIO</t>
  </si>
  <si>
    <t>FLAUTA I</t>
  </si>
  <si>
    <t>CLARINETE II</t>
  </si>
  <si>
    <t>ARMONICA</t>
  </si>
  <si>
    <t>FORMAS MUSICALES</t>
  </si>
  <si>
    <t>GUITARRA</t>
  </si>
  <si>
    <t>CUATRO</t>
  </si>
  <si>
    <t>MANDOLINA</t>
  </si>
  <si>
    <t>FAGOT</t>
  </si>
  <si>
    <t>OBOE</t>
  </si>
  <si>
    <t>PERCUSION</t>
  </si>
  <si>
    <t>VIOLONCHELO</t>
  </si>
  <si>
    <t>VIOLA</t>
  </si>
  <si>
    <t>VIOLIN</t>
  </si>
  <si>
    <t>LENGUAJE MUSICAL</t>
  </si>
  <si>
    <t>PROF. HORAS DE BASICA(2746HRAS)</t>
  </si>
  <si>
    <t>PROF. HORAS EDUC MEDIA(1373 HRAS)</t>
  </si>
  <si>
    <t>INSTRUMENTO III</t>
  </si>
  <si>
    <t>INSTRUMENTO II</t>
  </si>
  <si>
    <t>INSTRUMENTO I</t>
  </si>
  <si>
    <t>SOLISTA</t>
  </si>
  <si>
    <t>VIOLINCILLO</t>
  </si>
  <si>
    <t>DOC. BASICA III 77 TCVN</t>
  </si>
  <si>
    <t>ASISTENTE ADMINISTRATIVO VI</t>
  </si>
  <si>
    <t>ADMINISTRADOR V</t>
  </si>
  <si>
    <t>ANALISTA CENTRAL ORGAN. Y SISTEMAS V</t>
  </si>
  <si>
    <t>ANALISTA DE PROYECTOS INDUSTRIALES III</t>
  </si>
  <si>
    <t>COCINERO</t>
  </si>
  <si>
    <t>HABILITADO IV</t>
  </si>
  <si>
    <t>OBRERO NO CLASIFICADO</t>
  </si>
  <si>
    <t>PROGRAMADOR V</t>
  </si>
  <si>
    <t>ANALISTA DE PROCESAMIENTO DE DATOS IV</t>
  </si>
  <si>
    <t>ANALISTA DE PROCESAMIENTO DE DATOS V</t>
  </si>
  <si>
    <t>REGISTRADOR DE BIENES Y MATERIAS V</t>
  </si>
  <si>
    <t>ANALISTA DE CONTROL FINANCIERO JEFE II</t>
  </si>
  <si>
    <t>NIÑERA</t>
  </si>
  <si>
    <t>MAESTRO(A)</t>
  </si>
  <si>
    <t>PRECEPTOR</t>
  </si>
  <si>
    <t>MAESTRA BIBLIOTECARIA</t>
  </si>
  <si>
    <t>PROF DE CUATRO</t>
  </si>
  <si>
    <t>DIRECTOR CENTRO DE CULTURA</t>
  </si>
  <si>
    <t>ALFABETIZADOR NG TCVDMA</t>
  </si>
  <si>
    <t>ALFABETIZADOR I TCVDMA</t>
  </si>
  <si>
    <t>ALFABETIZADOR II TCVDMA</t>
  </si>
  <si>
    <t>ALFABETIZADOR III TCVDMA</t>
  </si>
  <si>
    <t>ALFABETIZADOR IV TCVDMA</t>
  </si>
  <si>
    <t>ALFABETIZADOR V TCVDMA</t>
  </si>
  <si>
    <t>ALFABETIZADOR VI TCVDMA</t>
  </si>
  <si>
    <t>BIBLIOTECARIA</t>
  </si>
  <si>
    <t>COORD DOC VI 77 TID (36 HORAS) Y DOCENTE BASICO VI (06 HORAS)</t>
  </si>
  <si>
    <t>COORDINADOR DOCENTE BASICO VI 77 TID (36 HORAS) Y TCVD (7HORAS)</t>
  </si>
  <si>
    <t>COORDINADOR DOCENTE BASICO VI TC (36 HORAS) Y DOC. BAS. VI TC (11 HORAS)</t>
  </si>
  <si>
    <t>COORDINADORA DOCENTE V 77 Y DOCENTE BASICA V 77 TCVN Y DOCENTE AULA V (ZONA EDUCATIVA)</t>
  </si>
  <si>
    <t>DIRECTOR BASICO VI TID (36 HORAS) Y DOCENTE BASICO VI 77 TCVD (18 HORAS)</t>
  </si>
  <si>
    <t>DIRECTOR DE CULTURA Y PROFESOR PH NOCTURNO GR</t>
  </si>
  <si>
    <t>DIRECTORA DOCENTE BASICA VI 139 TID Y DOCENTE BASICA VI 139 TCVN</t>
  </si>
  <si>
    <t>DIRECTORA ESCUELA ANDRES BLANCO Y MAESTRA PH GR NOCTURNO VALERA</t>
  </si>
  <si>
    <t>DOC.DIRECTOR BASICA VI 139 TID (36HRS) Y ALFABETIZADOR V 139 (16HRS)</t>
  </si>
  <si>
    <t>DOCENTE BASICA 19-77 TID</t>
  </si>
  <si>
    <t>DOCENTE BASICA DIRECTORA 16-77 TID</t>
  </si>
  <si>
    <t>DOCENTE BASICA DIRECTORA V 77 TCVD (20 HORAS) Y TC (40 HORAS)</t>
  </si>
  <si>
    <t>DOCENTE BASICA I 77 TCVD  (12 HORAS) Y DOCENTE BASICA I 77 TCVD (08 HORAS)</t>
  </si>
  <si>
    <t>DOCENTE BASICA IV 77 TCVD (18 HORAS) Y DOCENTE BASICA IV 77 TID (33,33 HORAS)</t>
  </si>
  <si>
    <t>DOCENTE BASICA IV 77 TCVD (22 HORAS) Y DOCENTE BASICA IV 77 TID (33,33 HORAS)</t>
  </si>
  <si>
    <t>DOCENTE BASICA IV 77 TCVD Y DOCENTE IV 77 TCVD</t>
  </si>
  <si>
    <t>DOCENTE BASICA IV 77 TID (33,33 HORAS) Y ALFABETIZADORA (16 HORAS)</t>
  </si>
  <si>
    <t>DOCENTE BASICA IV 77 TID (33,33 HORAS) Y DOCENTE BASICA IV 77 TCVD (10 HORAS)</t>
  </si>
  <si>
    <t>DOCENTE BASICA IV 77 TID (33,33 HORAS) Y DOCENTE BASICA IV TCVD (14 HORAS)</t>
  </si>
  <si>
    <t>DOCENTE BASICA IV 77 TID (33,33 HORAS) Y TCVD (12 HORAS)</t>
  </si>
  <si>
    <t>DOCENTE BASICA IV 77 TID (33,33 HORAS) Y TCVD (20 HORAS)</t>
  </si>
  <si>
    <t>DOCENTE BASICA IV 77 TID Y DOCENTE DE AULA (ZONA EDUCATIVA)</t>
  </si>
  <si>
    <t>DOCENTE BASICA NG 16 TCVNMA (16 HORAS)</t>
  </si>
  <si>
    <t>DOCENTE BASICA III 77 TID/TCVD</t>
  </si>
  <si>
    <t>DOCENTE BASICA IV 139 TCVNMA (16 HORAS)</t>
  </si>
  <si>
    <t>DOCENTE BASICA IV 77 TID Y DOCENTE BASICA IV 77 TCVD</t>
  </si>
  <si>
    <t>DOCENTE BASICA NG TCVD (20 HORAS)</t>
  </si>
  <si>
    <t>DOCENTE BASICA NG TCVD (07 HORAS)</t>
  </si>
  <si>
    <t>DOCENTE BASICA NG TCVD (12 HORAS)</t>
  </si>
  <si>
    <t>DOCENTE BASICA NG TCVD (12 HR) Y INSTRUCTOR II (24 HR)</t>
  </si>
  <si>
    <t>DOCENTE BASICA SUPERVISORA VI 139 TC Y DOCENTE BASICA VI 139 TCVNM</t>
  </si>
  <si>
    <t>DOCENTE BASICA V  77 TID (33,33 HORAS) Y DOCENTE BASICA V 77 TCVD (19HORAS)</t>
  </si>
  <si>
    <t>DOCENTE BASICA V 139 TID Y DOCENTE BASICA V 139 TCVN</t>
  </si>
  <si>
    <t>DOCENTE BASICA V 77 TID (33,33 HORAS)  Y TCVNMA (16 HORAS)</t>
  </si>
  <si>
    <t>DOCENTE BASICA V 77 TID (33,33 HORAS) Y TCVD (02 HORAS)</t>
  </si>
  <si>
    <t>DOCENTE BASICA V 77 TID (33,33 HORAS) Y TCVD (08 HORAS)</t>
  </si>
  <si>
    <t>DOCENTE BASICA V 77 TID (33,33 HORAS) Y TCVD (17 HORAS)</t>
  </si>
  <si>
    <t>DOCENTE BASICA V 77 TID (33,33 HORAS) Y TCVD (19 HORAS)</t>
  </si>
  <si>
    <t>DOCENTE BASICA V 77 TID Y V 77 (33,33 HORAS) TCVD (10 HORAS)</t>
  </si>
  <si>
    <t>DOCENTE BASICA V 77 TID Y V 77 (33,33 HORAS) TCVD (20 HORAS)</t>
  </si>
  <si>
    <t>DOCENTE BASICA VI 139 TID (33.33 HORAS) Y DOCENTE BASICA VI 139 TCVD (16 HORAS)</t>
  </si>
  <si>
    <t>DOCENTE BASICA VI 139 TID Y COORDINADORA VI 139</t>
  </si>
  <si>
    <t>DOCENTE BASICA VI 139 TID Y DOCENTE BASICA VI 139 TCVD</t>
  </si>
  <si>
    <t>DOCENTE BASICA VI 139 TID Y DOCENTE BASICA VI 139 TCVNM</t>
  </si>
  <si>
    <t>DOCENTE BASICA VI 77 TCVD (13 HORAS) Y COORDINADORA VI (36 HORAS)</t>
  </si>
  <si>
    <t>DOCENTE BASICA VI 77 TCVNM, MAESTRA ALFABETIZADORA, DIRECTORA DOCENTE BASICA VI TCVN, DOCENTE BASICA</t>
  </si>
  <si>
    <t>DOCENTE BASICA VI 77 TID  (33.33 HORAS) Y TCVNMA  (16 HORAS)</t>
  </si>
  <si>
    <t>DOCENTE BASICA VI 77 TID  (33.33) / TCVD (12 HORAS)</t>
  </si>
  <si>
    <t>DOCENTE BASICA VI 77 TID (10 HORAS)  /TCVD (33,33 HORAS)</t>
  </si>
  <si>
    <t>DOCENTE BASICA VI 77 TID (33 HORAS) Y TCVD (07 HORAS)</t>
  </si>
  <si>
    <t>DOCENTE BASICA VI 77 TID (33 HORAS) Y TCVD (08 HORAS)</t>
  </si>
  <si>
    <t>DOCENTE BASICA VI 77 TID (33 HORAS), V 77 TCVD (08 HORAS)</t>
  </si>
  <si>
    <t>DOCENTE BASICA VI 77 TID (33,33 HORAS)  Y TCVD (20 HORAS)</t>
  </si>
  <si>
    <t>DOCENTE BASICA VI 77 TID (33,33 HORAS) /TCVNMA (15 HORAS)</t>
  </si>
  <si>
    <t>DOCENTE BASICA VI 77 TID (33,33 HORAS) Y  TCVD (6 HORAS)</t>
  </si>
  <si>
    <t>DOCENTE BASICA VI 77 TID (33,33 HORAS) Y ALFABETIZADORA VI 77 (16 HORAS)</t>
  </si>
  <si>
    <t>DOCENTE BASICA VI 77 TID (33,33 HORAS) Y TCVD (04 HORAS)</t>
  </si>
  <si>
    <t>DOCENTE BASICA VI 77 TID (33,33 HORAS) Y TCVD (11 HORAS)</t>
  </si>
  <si>
    <t>DOCENTE BASICA VI 77 TID (33,33 HORAS) Y TCVNMA (14 HORAS)</t>
  </si>
  <si>
    <t>DOC. BASICA V  77  TCVD  (10 HORAS) Y TCVNMA (16) HORAS</t>
  </si>
  <si>
    <t>DOCENTE BASICA VI 77 TID (33,33) Y DOCENTE BASICO VI 77 TCVD (12 HORAS)</t>
  </si>
  <si>
    <t>DOCENTE BASICA VI 77 TID (33,33) Y TCVD (14 HORAS)</t>
  </si>
  <si>
    <t>DOCENTE BASICA VI 77 TID (33.33 HORAS) Y TCVD (16 HORAS)</t>
  </si>
  <si>
    <t>DOCENTE BASICA VI 77 TID (33.33 HORAS) Y TCVD (19 HORAS)</t>
  </si>
  <si>
    <t>DOCENTE BASICA VI 77 TID (36 HORAS) Y DOCENTE BASICO TCVD (12 HORAS)</t>
  </si>
  <si>
    <t>DOCENTE BASICA VI 77 TID Y DOCENTE BASICA VI 77 TCNM</t>
  </si>
  <si>
    <t>DOCENTE BASICA VI 77 TID Y DOCENTE DE AULA (ZONA EDUCATIVA)</t>
  </si>
  <si>
    <t>DOCENTE BASICO 16-139 TCVN Y DOCENTE DIRECTOR BASICO 139 TID VI</t>
  </si>
  <si>
    <t>DOCENTE BASICO 16-77 TCVNM/MA VI Y DOCENTE SUB-DIRECTOR 16-77 TID VI Y PH (08 HORAS)</t>
  </si>
  <si>
    <t>DOCENTE BASICO 16-77 TCVNMA VI, Y SUPERVISOR BASICO</t>
  </si>
  <si>
    <t>DOCENTE BASICO IV 77 TID (33,33 HORAS) Y TCVD (08 HORAS)</t>
  </si>
  <si>
    <t>DOCENTE BASICO IV 77 TID (33,33 HORAS) Y TCVD (12 HORAS)</t>
  </si>
  <si>
    <t>DOCENTE BASICO IV 77 TID (33,33 HORAS) Y TCVD (16 HORAS)</t>
  </si>
  <si>
    <t>DOCENTE BASICO IV 77 TID (33,33 HORAS) Y TCVD (18 HORAS)</t>
  </si>
  <si>
    <t>DOCENTE BASICO IV 77 TID (33,33 HORAS) Y TCVD (20 HORAS)</t>
  </si>
  <si>
    <t>DOCENTE BASICO IV 77 TID (33,33 HORAS) Y TCVNMA (16 HORAS)</t>
  </si>
  <si>
    <t>DOCENTE BASICO V 77 TCVNMA (16 HORAS) Y DOCENTE SUPERVISOR BASICO V 77 TC (40 HORAS)</t>
  </si>
  <si>
    <t>DOCENTE BASICO V 77 TID (33 HORAS) Y TVCNMA (16 HORAS)</t>
  </si>
  <si>
    <t>DOCENTE BASICO V 77 TID (33,33 HORAS) Y TCVD (05 HORAS)</t>
  </si>
  <si>
    <t>DOCENTE BASICO V 77 TID (33,33 HORAS) Y TCVD (14 HORAS)</t>
  </si>
  <si>
    <t>DOCENTE BASICO V 77 TID (33,33 HORAS) Y TCVN (10 HORAS)</t>
  </si>
  <si>
    <t>DOCENTE BASICO V 77 TID (33,33 HORAS) Y TCVN (16 HORAS)</t>
  </si>
  <si>
    <t>DOCENTE BASICO V 77 TID (33,33 HORAS)Y TCVD (07 HORAS)</t>
  </si>
  <si>
    <t>DOCENTE BASICO V 77 TID (33.33 HORAS) Y TCVD (21 HORAS)</t>
  </si>
  <si>
    <t>DOCENTE BASICO V TID (33.33 HORAS), Y TCVD (11 HORAS)</t>
  </si>
  <si>
    <t>DOCENTE BASICO V TSE TCVNMA (16 HR)</t>
  </si>
  <si>
    <t>DOCENTE BASICO VI  77 TID (33,33 HORAS) Y TCVD (14 HORAS)</t>
  </si>
  <si>
    <t>DOCENTE BASICO VI 77 (33,33 HORAS)  TID Y TCVD (8 HORAS)</t>
  </si>
  <si>
    <t>DOCENTE BASICO VI 77 TCVD (33 HORAS) TID (17 HORAS)</t>
  </si>
  <si>
    <t>DOCENTE BASICO VI 77 TID (33,33 HORAS) Y DOCENTE BASICO VI 77 TCVD (8 HORAS)</t>
  </si>
  <si>
    <t>DOCENTE BASICO VI 77 TID (33,33 HORAS) Y TCVD (20 HORAS)</t>
  </si>
  <si>
    <t>DOCENTE BASICO VI 77 TID (33,33 HORAS) Y TCVD (6 HORAS)</t>
  </si>
  <si>
    <t>DOCENTE BASICO VI 77 TID (33,33)  / TCVNMA (11)</t>
  </si>
  <si>
    <t>DOCENTE BASICO VI 77 TID (33.33 HORAS) Y TCVD (6 HORAS)</t>
  </si>
  <si>
    <t>DOCENTE BASICO VI 77 TID Y DOCENTE BASICO VI 77 TCVD Y DOCENTE BASICO VI 77 TCVD Y 2 CARGOS MAS</t>
  </si>
  <si>
    <t>DOCENTE BASICO Y DIRECTOR 16-139 TID VI</t>
  </si>
  <si>
    <t>DOCENTE DIRECTOR BASICA IV 77 TCVD Y COORDINADOR DOCENTE</t>
  </si>
  <si>
    <t>DOCENTE DIRECTOR BASICA VI 77 TID (36 HORAS) Y TCVNMA (16 HORAS)</t>
  </si>
  <si>
    <t>DOCENTE DIRECTOR BASICA VI 77 TID (36HORAS) Y TCVD (10 HORAS)</t>
  </si>
  <si>
    <t>DOCENTE DIRECTOR BASICO V 77 TID (40 HORAS) Y DOCENTE BASICO V 77 TCVM (16 HORAS)</t>
  </si>
  <si>
    <t>DOCENTE DIRECTOR BASICO VI 139 TID (36 HORAS), Y DOCENTE DIRECTOR BASICO VI 139 TCVN (20 HORAS)</t>
  </si>
  <si>
    <t>DOCENTE DIRECTOR BASICO VI 77 TID (36 HORAS) Y DOC BASICO VI 77 TCVD (13 HORAS)</t>
  </si>
  <si>
    <t>DOCENTE DIRECTOR BASICO VI 77 TID (36 HORAS) Y TCVD (17 HORAS)</t>
  </si>
  <si>
    <t>DOCENTE DIRECTOR BASICO VI 77 TID (40 HORAS) Y DOC BASICO VI 77 TCVD (06 HORAS)</t>
  </si>
  <si>
    <t>DOCENTE DIRECTOR BASICO VI 77 TID (40 HORAS) Y DOCENTE BASICO VI 77 TCVNMA (16 HORAS)</t>
  </si>
  <si>
    <t>DOCENTE DIRECTOR PRE-ESCOLAR VI 77 TID (36 HORAS)</t>
  </si>
  <si>
    <t>DOCENTE DIRECTORA BASICA V 77 TCVNMA 20HRS</t>
  </si>
  <si>
    <t>DOCENTE DIRECTORA BASICA VI 139 (36 HORAS) TID Y ALFABETIZADORA VI 139</t>
  </si>
  <si>
    <t>DOCENTE DIRECTORA BASICA VI 77 TID (36 HORAS) Y DOCENTE BASICA V 77 TCVD (4 HORAS)</t>
  </si>
  <si>
    <t>DOCENTE ORIENTADOR V 77 1-6 TID (36 HORAS)</t>
  </si>
  <si>
    <t>DOCENTE PLANIFICADORA 16-77 VI (36 HORAS) Y DOC BAS VI 77 TCVMA (16 HORAS)</t>
  </si>
  <si>
    <t>DOCENTE PRE-ESCOLAR IV 77 TID (33,33 HORAS) Y DOCENTE BASICA IV 77 TCVD (06 HORAS)</t>
  </si>
  <si>
    <t>DOCENTE PREESCOLAR VI 77 TID (33.33 HORAS) Y DOCENTE BASICO V 77 TCVNMA (16 HORAS)</t>
  </si>
  <si>
    <t>DOCENTE SD BASICA VI 77 TID (40 HORAS) Y TCVD (14 HORAS)</t>
  </si>
  <si>
    <t>DOCENTE SUB-DIRECTOR BASICA IV 77 TID (36 HORAS)Y DOCENTE IV BASICO TCVD (16 HORAS)</t>
  </si>
  <si>
    <t>DOCENTE SUB-DIRECTOR BASICO IV 77 TID (40 HORAS) Y DOCENTE BASICO IV 77 TCVD (08 HORAS)</t>
  </si>
  <si>
    <t>DOCENTE SUB-DIRECTORA BASICA V 77 TID (36 HORAS) Y TCVD (08 HORAS)</t>
  </si>
  <si>
    <t>DOCENTE SUB-DIRECTORA BASICA V TSE (36 HORAS)</t>
  </si>
  <si>
    <t>DOCENTE SUB-DIRECTORA BASICA VI 77 TID (40 HORAS) Y (07 HORAS)</t>
  </si>
  <si>
    <t>DOCENTE SUB-DIRECTORA BASICO VI 77 TID (36 HORAS) Y (16 HORAS)</t>
  </si>
  <si>
    <t>DOCENTE SUP BASICA VI 77 TC (40 HORAS), DOCENTE BAS VI TCVN (16 HORAS) Y DOCENTE VI AULA (5 HORAS)</t>
  </si>
  <si>
    <t>DOCENTE SUPERVISOR V 77 TC</t>
  </si>
  <si>
    <t>DOCENTE SUPERVISOR BASICO V 77 TC Y DOCENTE BASICO V 77 TCVN Y DOCENTE DE AULA V (ZONA EDUC)</t>
  </si>
  <si>
    <t>DOCENTE SUPERVISOR BASICO VI 139 TC (40 HORAS) Y DOCENTE BASICO VI 139 TCVNMA (16 HORAS)</t>
  </si>
  <si>
    <t>DOCENTE SUPERVISOR BASICO VI 77 TC Y DOCENTE IV AULA (13 HORAS)</t>
  </si>
  <si>
    <t>DOCENTE V 77 TID (33,33 HORAS) Y TCVD (13 HORAS)</t>
  </si>
  <si>
    <t>EJECUTANTE DE CLARINETE</t>
  </si>
  <si>
    <t>FLAUTA 2/ INSTRUCTOR I 16HRS</t>
  </si>
  <si>
    <t>INSTRUCTOR I (16HRS) Y DOC NG (33.33HRS.)</t>
  </si>
  <si>
    <t>INSTRUCTOR III NG (33,33 HORAS) Y DOCENTE BASICO 16 TSE TCVD I (04 HR)</t>
  </si>
  <si>
    <t>INSTRUCTOR III NG (33,33 HORAS) Y ENTRENADOR DEPORTIVO (33,33 HORAS)</t>
  </si>
  <si>
    <t>INSTRUCTOR MUSICAL Y DOCENTE IV AULA</t>
  </si>
  <si>
    <t>INSTRUCTORA DE COCINA Y ARTE CULINARIA</t>
  </si>
  <si>
    <t>INSTRUCTORA III NG (16 HORAS) Y DOCENTE BASICA NG 1-6 TCVNM (33,33 HORAS)</t>
  </si>
  <si>
    <t>MAESTRA ALFABETIZADORA</t>
  </si>
  <si>
    <t>MAESTRA COORDINADORA</t>
  </si>
  <si>
    <t>MAESTRA N§ 10</t>
  </si>
  <si>
    <t>MAESTRA N§ 2</t>
  </si>
  <si>
    <t>MAESTRA NORMALISTA</t>
  </si>
  <si>
    <t>MAESTRA TIPO A</t>
  </si>
  <si>
    <t>PROFESOR DE CONTRABAJO</t>
  </si>
  <si>
    <t>PROFESOR DE ESCULTURA Y ARTES GRAFICAS Y DOCENTE AULA MEDIA PROFESIONAL NG</t>
  </si>
  <si>
    <t>PROFESOR DE MUSICA</t>
  </si>
  <si>
    <t>PROFESOR POR HORA (24 HORAS)</t>
  </si>
  <si>
    <t>PROFESORA DE CORTE Y COSTURA Y DIRECTORA DE LA ESCUELA ANDRES ELOY BLANCO</t>
  </si>
  <si>
    <t>PROFESORA DE MECANOGRAFIA</t>
  </si>
  <si>
    <t>PROFESORA DE PINTURA INFANTIL, PROFESORA DE EDUCACION ARTISTICA Y COORDINADORA DOCENTE.</t>
  </si>
  <si>
    <t>PROFESORA DE PINTURA Y DIBUJO (06 HORAS) Y DOCENTE IV COORDINADOR (24 HORAS)</t>
  </si>
  <si>
    <t>PROFESORA NOCTURNA (NACIONAL) Y COORDINADORA DOCENTE VI</t>
  </si>
  <si>
    <t>SUB-DIRECTOR (35 HORAS)  NG Y CLARINETE</t>
  </si>
  <si>
    <t>SUPERVISOR I</t>
  </si>
  <si>
    <t>SUPERVISOR II Y MAESTRO PH GR NOCTURNO</t>
  </si>
  <si>
    <t>SUPERVISORA III</t>
  </si>
  <si>
    <t>DOCENTE DE BASICA III TSE 16 H Y AUXILIAR DE BIBLIOTECA</t>
  </si>
  <si>
    <t>DOCENTE BASICO IV 77 TCVD (36 HORAS)</t>
  </si>
  <si>
    <t>DOCENTE BASICO IV 77 TID/TCVD</t>
  </si>
  <si>
    <t>DOCENTE BASICO VI 77 TCVD / TCVD</t>
  </si>
  <si>
    <t>DOCENTE DIRECTOR BASICA VI 139 TID (36 HORAS)</t>
  </si>
  <si>
    <t>DOCENTE DIRECTORA BASICA IV 77 TID (36 HORAS)</t>
  </si>
  <si>
    <t>DOCENTE SUB-DIRECTOR BASICA IV 77 TID (36 HORAS)</t>
  </si>
  <si>
    <t>INSTRUCTOR I Y III NG (16 H)</t>
  </si>
  <si>
    <t>DOC. BASICA V   77  TID (33.33 HORAS /TCVD (10 HORAS)</t>
  </si>
  <si>
    <t>DOC.BAS. VI 77 TID (36 HORAS) /TCVD (08 HORAS)</t>
  </si>
  <si>
    <t>DOC. SUB DIR. IV  77 TID /DOC BASICA IV 77 TCVNMA</t>
  </si>
  <si>
    <t>DOC. BAS. I 77 TID (33.33 HORAS)/TCVD (18 HORAS)</t>
  </si>
  <si>
    <t>DOC. SUP. BAS.  VI 77 TC (40 HORAS) TCVNMA (16 HORAS)</t>
  </si>
  <si>
    <t>DOC. N.G.  TCVID (10 HORAS)/ TCVNMA (09 HORAS)</t>
  </si>
  <si>
    <t>DOC. BAS. VI  TID (33.33 HORAS)/TCVD (14 HORAS)</t>
  </si>
  <si>
    <t>DOC. BASICA V 77 TID (33.33) TCVD (20 HORAS)</t>
  </si>
  <si>
    <t>DOC. BAS. IV 77 TID (33.33 HORAS)/TCVD (06 HORAS)</t>
  </si>
  <si>
    <t>DOC. BAS.V TCVD (16 HORAS) /TCVNMA (10 HORAS)</t>
  </si>
  <si>
    <t>DOC. BAS. VI 139 TID / INSTRUCTOR I (16 HORAS)</t>
  </si>
  <si>
    <t>DOC. BAS. VI  77  TID (33.33 HORAS)/TCVD (19 HORAS)</t>
  </si>
  <si>
    <t>DOC. BASICA IV 77 TCVD (19 HORAS) TID  (33.33 HORAS)</t>
  </si>
  <si>
    <t>DOC.BAS. VI 77 TID  (33.33 HORAS) /TCVD (05 HORAS)</t>
  </si>
  <si>
    <t>DOC.SUB.BAS.IV TID (36 HOTAS) /TCVD (4 HORAS) Y (8 HORAS)</t>
  </si>
  <si>
    <t>DOC. BAS. IV 77 TID (33.33 HORAS)/ TCVD (16 HORAS)</t>
  </si>
  <si>
    <t>DOC. BASICA V   77  TID (33.33 HORAS) /TCVD (13 HORAS)</t>
  </si>
  <si>
    <t>DOC.PRE-ESC. /TID (33.33) Y TCVD (17 HORAS)</t>
  </si>
  <si>
    <t>DOC.BAS. V 77 TID (33.33 HORAS) /TCVD (05 HORAS)</t>
  </si>
  <si>
    <t>DOC.BAS. V 77 TID (33.33 HORAS)-TCVD (05 HORAS)</t>
  </si>
  <si>
    <t>DOC. BAS. IV  77  TID (33.33 HORAS)/TCVD (14 HORAS)</t>
  </si>
  <si>
    <t>DOC.BAS. VI 77TID (33.33 HORAS) / TCVMNA (16 HORAS)</t>
  </si>
  <si>
    <t>DOC. BAS. V 77 TID (33.33 HORAS) /TCVD (10 HORAS)</t>
  </si>
  <si>
    <t>INSTRUCTOR I (16 HORAS) / DIREC.  BAND (16 HORAS)</t>
  </si>
  <si>
    <t>DOC.BAS VI 77 TID (33.33 HORAS) / TCVD (16 HORAS)</t>
  </si>
  <si>
    <t>DOC. BAS. VI 77 TID (33.33 HORAS) /TCVD (16 HORAS)</t>
  </si>
  <si>
    <t>DOC. BAS. I (03 HORAS) Y DOC BAS IV 77 TID (33 HORAS9 /TCVD (09 HORAS)</t>
  </si>
  <si>
    <t>DOC.BAS. VI 77 TID (33.33 HORAS) /TCVD (20 HORAS)</t>
  </si>
  <si>
    <t>DOC.BAS.VI 77 TID (33.33 HORAS) /TCVD (10 HORAS)</t>
  </si>
  <si>
    <t>DOC.BAS. VI 77 TID (36 HORAS) /TCVD (14 HORAS)</t>
  </si>
  <si>
    <t>DOC. BASICA VI 77 TID (33.33 HORAS) TCVNMA (11 HORAS)</t>
  </si>
  <si>
    <t>DOC.BAS.VI 77 TID (33 HORAS) /TCVD (14 HORAS)</t>
  </si>
  <si>
    <t>DOC. BASICA IV  77  TID  (33 HORAS) /TCVD (14 HORAS)</t>
  </si>
  <si>
    <t>DOC. SUB. DIR. BAS. VI 77 (36 HORAS) DOC BAS VI 77 TCVD (14 HORAS)</t>
  </si>
  <si>
    <t>DOC. BAS. V   77  TID (33,33 HORAS) /TCVD (13 HORAS)</t>
  </si>
  <si>
    <t>DOC.BAS. VI 77 TID (33,33 HORAS) / TCVD (20 HORAS)</t>
  </si>
  <si>
    <t>DOC. BAS. VI  77  TID (33.33 HORAS)/TCVD (12 HORAS)</t>
  </si>
  <si>
    <t>DOC. BAS. V   77  TID (33,33 HORAS) /TCVD (11 HORAS)</t>
  </si>
  <si>
    <t>DOC. BASICA VI 77 TID (33.33 HORAS) TCVN (12 HORAS)</t>
  </si>
  <si>
    <t>DOCENTE N.G 1-6 TCVD (33,33 HORAS) / DOC BASICA NG TCVD (14 HORAS)</t>
  </si>
  <si>
    <t>SUB DIRECTOR Y PROFESOR DE MANUALIDADES</t>
  </si>
  <si>
    <t>SUB-DIRECTOR</t>
  </si>
  <si>
    <t>COORD. DOCENTE IV 77 TC (36 HORAS) Y DOCENTE IV 77 TCVNMA (16 HORAS)</t>
  </si>
  <si>
    <t>DIRECTOR DE BANDA Y PROFESOR DE FLAUTA Y PIANO</t>
  </si>
  <si>
    <t>SUB-DIRECTOR Y MAESTRO TCVDNMA</t>
  </si>
  <si>
    <t>DOCENTE BASICO 16-139 TCVNMA</t>
  </si>
  <si>
    <t>DOC. DIRECTOR BASICA 77 TCVNMA</t>
  </si>
  <si>
    <t>DOCENTE PRE-ESCOLAR VI 139 TID (33,33 HORAS) Y DOC. BASICA VI 139 TCVNMA  (16 HORAS)</t>
  </si>
  <si>
    <t>DOCENTE PLANIFICADOR VI 77 TC (36 HORAS) Y DOCENTE BASICA VI 77 TCVNMA (16 HORAS)</t>
  </si>
  <si>
    <t>INSTRUCTOR III NG (33,33) Y DOCENTE BASICA NG TCVNMA (16 HORAS)</t>
  </si>
  <si>
    <t>DOCENTE BASICO NG TID (33,33 HORAS) Y DOCENTE BASICA NG TCVNMA (16 HORAS)</t>
  </si>
  <si>
    <t>DOCENTE COOD. 139 VI TID (33,33 HORAS) Y DOCENTE BASICO VI 139 TCVNMA (16 HORAS)</t>
  </si>
  <si>
    <t>CONTRABAJO I/ INST. I N.G. (16 HORAS)</t>
  </si>
  <si>
    <t>PROFESOR(A) DE CORTE Y CONFECCIÓN</t>
  </si>
  <si>
    <t>DOCENTE BASICO DE ADULTOS Y COORD PROM DIF CULT</t>
  </si>
  <si>
    <t>DOC. DIR. BASICA  VI 139 TID (36 HORAS) Y DOC. BAS. VI 139 TCVNMA (16 HORAS)</t>
  </si>
  <si>
    <t>DOC. SUBDIR. BAS. (36 HORAS) Y PROF. DE KINDER MUSICAL (16 HORAS)</t>
  </si>
  <si>
    <t>SUB DIRECTORA (36 HORAS) Y DIRECTORA (20 HORAS)</t>
  </si>
  <si>
    <t>SUBDIR. (36 HORAS) PROF. DE PIANO Y KINDER MUSICAL (26 HORAS)</t>
  </si>
  <si>
    <t>MAESTRA (33.33 HORAS) Y PROF. PH GR (20 HORAS)</t>
  </si>
  <si>
    <t>DOC. BAS. DIR. VI 77 T.C. V.N.</t>
  </si>
  <si>
    <t>DOC. BAS. 77 TCVNMA/DOC IV AULA ADULTOS/DIRECTOR DE EDUCACION</t>
  </si>
  <si>
    <t>DOCENTE BASICO VI 77 TID (33,33 HORAS) / TCVD (6 HORAS) / TCVD (12 HORAS)</t>
  </si>
  <si>
    <t>DOC. BASICO SUPERVISOR (40 HORAS) Y DIRECTOR VI 77 (16 HORAS)</t>
  </si>
  <si>
    <t>DOC. BAS. N.G. TCVNMA / AUXILIAR DE BIBLIOTECA</t>
  </si>
  <si>
    <t>DOC. BASICA V  77  TID/TCVNMA</t>
  </si>
  <si>
    <t>DOCENTE SUPERVISOR BASICO VI 77 TCVNMA</t>
  </si>
  <si>
    <t>PROFESOR DE MANUALIDADES</t>
  </si>
  <si>
    <t>MAESTRO TCVDNMA</t>
  </si>
  <si>
    <t>COORDINADOR DOCENTE BASICO VI TCVD</t>
  </si>
  <si>
    <t>TECNICO EN AGROALIMENTARIA</t>
  </si>
  <si>
    <t>SUPERVISOR DE TELEFONISTA</t>
  </si>
  <si>
    <t>INSPECTOR DE OBRAS DE INGENIERIA III</t>
  </si>
  <si>
    <t>ASISTENTE TECNICO DE INGENIERIA III</t>
  </si>
  <si>
    <t>DISEÑADOR GRAFICO</t>
  </si>
  <si>
    <t>DISEÑADOR GRAFICO II</t>
  </si>
  <si>
    <t>DISEÑADOR GRAFICO III</t>
  </si>
  <si>
    <t>DISEÑADOR GRAFICO IV</t>
  </si>
  <si>
    <t>FOTOGRAFO IV</t>
  </si>
  <si>
    <t>TECNICO DE REPARACION Y MANTENIMIENTO III</t>
  </si>
  <si>
    <t>INGENIERO INDUSTRIAL IV</t>
  </si>
  <si>
    <t>INGENIERO AGRICOLA I</t>
  </si>
  <si>
    <t>INGENIERO AGRICOLA II</t>
  </si>
  <si>
    <t>INGENIERO AGRICOLA III</t>
  </si>
  <si>
    <t>INGENIERO AGRICOLA IV</t>
  </si>
  <si>
    <t>INGENIERO AGRICOLA V</t>
  </si>
  <si>
    <t>INGENIERO EN CONSTRUCCION CIVIL I</t>
  </si>
  <si>
    <t>INGENIERO EN CONSTRUCCION CIVIL II</t>
  </si>
  <si>
    <t>INGENIERO EN CONSTRUCCION CIVIL III</t>
  </si>
  <si>
    <t>INGENIERO EN TELECOMUNICACIONES II</t>
  </si>
  <si>
    <t>INGENIERO EN INFORMATICA I</t>
  </si>
  <si>
    <t>SUPERVISOR I (171)</t>
  </si>
  <si>
    <t>COMANDANTE GENERAL</t>
  </si>
  <si>
    <t>CONDUCTORES DE 3RA</t>
  </si>
  <si>
    <t>CONDUCTORES DE 2DA</t>
  </si>
  <si>
    <t>CONDUCTORES DE 1RA</t>
  </si>
  <si>
    <t>ORDENANZA  I</t>
  </si>
  <si>
    <t>ORDENANZA II</t>
  </si>
  <si>
    <t>AGENTE</t>
  </si>
  <si>
    <t>ORDENANZA III</t>
  </si>
  <si>
    <t>AGENTE DISIP</t>
  </si>
  <si>
    <t>DISTINGUIDO</t>
  </si>
  <si>
    <t>CABO 1RO</t>
  </si>
  <si>
    <t>CABO 2DO</t>
  </si>
  <si>
    <t>SARGENTO 2DA</t>
  </si>
  <si>
    <t>SARGENTO 1RA</t>
  </si>
  <si>
    <t>SARGENTO MAYOR</t>
  </si>
  <si>
    <t>SUB INSPECTOR</t>
  </si>
  <si>
    <t>INSPECTOR</t>
  </si>
  <si>
    <t>INSPECTOR JEFE</t>
  </si>
  <si>
    <t>SUB COMISARIO</t>
  </si>
  <si>
    <t>COMISARIO</t>
  </si>
  <si>
    <t>COMISARIO JEFE</t>
  </si>
  <si>
    <t>COMISARIO GENERAL</t>
  </si>
  <si>
    <t>LCDO(A) EN GESTION AMBIENTAL</t>
  </si>
  <si>
    <t>COORDINADOR DE PROGRAMA (SAPNNAET)</t>
  </si>
  <si>
    <t>LCDO(A) EN GESTION SOCIAL</t>
  </si>
  <si>
    <t>JEFE DE ARTE Y FOLKLORE</t>
  </si>
  <si>
    <t>ALBAÑIL</t>
  </si>
  <si>
    <t>SUPERVISOR DE VIGILANCIA</t>
  </si>
  <si>
    <t>SUPERVISOR ASISTENCIAL</t>
  </si>
  <si>
    <t>JEFE DE SERVICIO (SALUD)</t>
  </si>
  <si>
    <t>ASEADOR DE MATERIALES DE LABORATORIO</t>
  </si>
  <si>
    <t>INSPECTOR AUXILIAR DE OBRAS</t>
  </si>
  <si>
    <t>CHOFER DE CISTERNA</t>
  </si>
  <si>
    <t>CRIMINOLOGO</t>
  </si>
  <si>
    <t>OFICIAL</t>
  </si>
  <si>
    <t>OFICIAL AGREGADO</t>
  </si>
  <si>
    <t>OFICIAL JEFE</t>
  </si>
  <si>
    <t>SUPERVISOR</t>
  </si>
  <si>
    <t>SUPERVISOR AGREGADO</t>
  </si>
  <si>
    <t>SUPERVISOR JEFE</t>
  </si>
  <si>
    <t>COMISIONADO AGREGADO</t>
  </si>
  <si>
    <t>DIRECTOR GENERAL</t>
  </si>
  <si>
    <t>COMISIONADO JEFE</t>
  </si>
  <si>
    <t>OFICIAL (GRADO 0)</t>
  </si>
  <si>
    <t>OFICIAL (GRADO 1)</t>
  </si>
  <si>
    <t>OFICIAL (GRADO 2)</t>
  </si>
  <si>
    <t>OFICIAL AGREGADO (GRADO 0)</t>
  </si>
  <si>
    <t>OFICIAL AGREGADO (GRADO 1)</t>
  </si>
  <si>
    <t>OFICIAL AGREGADO (GRADO 2)</t>
  </si>
  <si>
    <t>OFICIAL JEFE (GRADO 0)</t>
  </si>
  <si>
    <t>OFICIAL JEFE (GRADO 1)</t>
  </si>
  <si>
    <t>OFICIAL JEFE (GRADO 2)</t>
  </si>
  <si>
    <t>SUPERVISOR (GRADO 0)</t>
  </si>
  <si>
    <t>SUPERVISOR (GRADO 1)</t>
  </si>
  <si>
    <t>SUPERVISOR (GRADO 2)</t>
  </si>
  <si>
    <t>SUPERVISOR AGREGADO (GRADO 0)</t>
  </si>
  <si>
    <t>SUPERVISOR AGREGADO (GRADO 1)</t>
  </si>
  <si>
    <t>SUPERVISOR AGREGADO (GRADO 2)</t>
  </si>
  <si>
    <t>SUPERVISOR JEFE (GRADO 0)</t>
  </si>
  <si>
    <t>SUPERVISOR JEFE (GRADO 1)</t>
  </si>
  <si>
    <t>SUPERVISOR JEFE (GRADO 2)</t>
  </si>
  <si>
    <t>COMISIONADO (GRADO 0)</t>
  </si>
  <si>
    <t>COMISIONADO (GRADO 1)</t>
  </si>
  <si>
    <t>COMISIONADO (GRADO 2)</t>
  </si>
  <si>
    <t>COMISIONADO AGREGADO (GRADO 0)</t>
  </si>
  <si>
    <t>COMISIONADO AGREGADO (GRADO 1)</t>
  </si>
  <si>
    <t>COMISIONADO AGREGADO (GRADO 2)</t>
  </si>
  <si>
    <t>COMISIONADO JEFE (GRADO 0)</t>
  </si>
  <si>
    <t>COMISIONADO JEFE (GRADO 1)</t>
  </si>
  <si>
    <t>COMISIONADO JEFE (GRADO 2)</t>
  </si>
  <si>
    <t>COMISIONADO JEFE (GRADO 3)</t>
  </si>
  <si>
    <t>00011</t>
  </si>
  <si>
    <t>00012</t>
  </si>
  <si>
    <t>00013</t>
  </si>
  <si>
    <t>00014</t>
  </si>
  <si>
    <t>00015</t>
  </si>
  <si>
    <t>00016</t>
  </si>
  <si>
    <t>00021</t>
  </si>
  <si>
    <t>00030</t>
  </si>
  <si>
    <t>00031</t>
  </si>
  <si>
    <t>00032</t>
  </si>
  <si>
    <t>00033</t>
  </si>
  <si>
    <t>00034</t>
  </si>
  <si>
    <t>00041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</si>
  <si>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</si>
  <si>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</si>
  <si>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</si>
  <si>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</si>
  <si>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</si>
  <si>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</si>
  <si>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</si>
  <si>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</si>
  <si>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</si>
  <si>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</si>
  <si>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00061</t>
  </si>
  <si>
    <t>00062</t>
  </si>
  <si>
    <t>00066</t>
  </si>
  <si>
    <t>00070</t>
  </si>
  <si>
    <t>00071</t>
  </si>
  <si>
    <t>00072</t>
  </si>
  <si>
    <t>00073</t>
  </si>
  <si>
    <t>00076</t>
  </si>
  <si>
    <t>00077</t>
  </si>
  <si>
    <t>00078</t>
  </si>
  <si>
    <t>00079</t>
  </si>
  <si>
    <t>00081</t>
  </si>
  <si>
    <t>00084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</si>
  <si>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</si>
  <si>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</si>
  <si>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</si>
  <si>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</si>
  <si>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</si>
  <si>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</si>
  <si>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</si>
  <si>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</si>
  <si>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</si>
  <si>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</si>
  <si>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</si>
  <si>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</si>
  <si>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</si>
  <si>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00111</t>
  </si>
  <si>
    <t>00112</t>
  </si>
  <si>
    <t>00113</t>
  </si>
  <si>
    <t>00114</t>
  </si>
  <si>
    <t>00115</t>
  </si>
  <si>
    <t>00116</t>
  </si>
  <si>
    <t>00120</t>
  </si>
  <si>
    <t>00121</t>
  </si>
  <si>
    <t>00122</t>
  </si>
  <si>
    <t>00123</t>
  </si>
  <si>
    <t>00124</t>
  </si>
  <si>
    <t>00125</t>
  </si>
  <si>
    <t>00126</t>
  </si>
  <si>
    <t>00131</t>
  </si>
  <si>
    <t>00132</t>
  </si>
  <si>
    <t>00133</t>
  </si>
  <si>
    <t>00134</t>
  </si>
  <si>
    <t>00135</t>
  </si>
  <si>
    <t>00136</t>
  </si>
  <si>
    <t>00155</t>
  </si>
  <si>
    <t>00161</t>
  </si>
  <si>
    <t>00162</t>
  </si>
  <si>
    <t>00163</t>
  </si>
  <si>
    <t>00164</t>
  </si>
  <si>
    <t>00165</t>
  </si>
  <si>
    <t>00166</t>
  </si>
  <si>
    <t>00171</t>
  </si>
  <si>
    <t>00172</t>
  </si>
  <si>
    <t>00173</t>
  </si>
  <si>
    <t>00174</t>
  </si>
  <si>
    <t>00175</t>
  </si>
  <si>
    <t>00176</t>
  </si>
  <si>
    <t>00204</t>
  </si>
  <si>
    <t>00205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</si>
  <si>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</si>
  <si>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</si>
  <si>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</si>
  <si>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</si>
  <si>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</si>
  <si>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</si>
  <si>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</si>
  <si>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</si>
  <si>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</si>
  <si>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</si>
  <si>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00231</t>
  </si>
  <si>
    <t>00232</t>
  </si>
  <si>
    <t>00233</t>
  </si>
  <si>
    <t>00234</t>
  </si>
  <si>
    <t>00235</t>
  </si>
  <si>
    <t>00236</t>
  </si>
  <si>
    <t>00241</t>
  </si>
  <si>
    <t>00242</t>
  </si>
  <si>
    <t>00243</t>
  </si>
  <si>
    <t>00244</t>
  </si>
  <si>
    <t>00245</t>
  </si>
  <si>
    <t>00246</t>
  </si>
  <si>
    <t>00301</t>
  </si>
  <si>
    <t>00311</t>
  </si>
  <si>
    <t>00321</t>
  </si>
  <si>
    <t>00331</t>
  </si>
  <si>
    <t>00341</t>
  </si>
  <si>
    <t>00351</t>
  </si>
  <si>
    <t>00361</t>
  </si>
  <si>
    <t>00592</t>
  </si>
  <si>
    <t>00616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</si>
  <si>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</si>
  <si>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</si>
  <si>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</si>
  <si>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</si>
  <si>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</si>
  <si>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</si>
  <si>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</si>
  <si>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</si>
  <si>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</si>
  <si>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</si>
  <si>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</si>
  <si>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00634</t>
  </si>
  <si>
    <t>00635</t>
  </si>
  <si>
    <t>00636</t>
  </si>
  <si>
    <t>00640</t>
  </si>
  <si>
    <t>00641</t>
  </si>
  <si>
    <t>00642</t>
  </si>
  <si>
    <t>00643</t>
  </si>
  <si>
    <t>00644</t>
  </si>
  <si>
    <t>00645</t>
  </si>
  <si>
    <t>00646</t>
  </si>
  <si>
    <t>00651</t>
  </si>
  <si>
    <t>00652</t>
  </si>
  <si>
    <t>00653</t>
  </si>
  <si>
    <t>00654</t>
  </si>
  <si>
    <t>00655</t>
  </si>
  <si>
    <t>00656</t>
  </si>
  <si>
    <t>00666</t>
  </si>
  <si>
    <t>00704</t>
  </si>
  <si>
    <t>00712</t>
  </si>
  <si>
    <t>00721</t>
  </si>
  <si>
    <t>00722</t>
  </si>
  <si>
    <t>00723</t>
  </si>
  <si>
    <t>00724</t>
  </si>
  <si>
    <t>00725</t>
  </si>
  <si>
    <t>00726</t>
  </si>
  <si>
    <t>00728</t>
  </si>
  <si>
    <t>00733</t>
  </si>
  <si>
    <t>00734</t>
  </si>
  <si>
    <t>00735</t>
  </si>
  <si>
    <t>00736</t>
  </si>
  <si>
    <t>00740</t>
  </si>
  <si>
    <t>00741</t>
  </si>
  <si>
    <t>00742</t>
  </si>
  <si>
    <t>00743</t>
  </si>
  <si>
    <t>00744</t>
  </si>
  <si>
    <t>00745</t>
  </si>
  <si>
    <t>00746</t>
  </si>
  <si>
    <t>00753</t>
  </si>
  <si>
    <t>00754</t>
  </si>
  <si>
    <t>00755</t>
  </si>
  <si>
    <t>00756</t>
  </si>
  <si>
    <t>00761</t>
  </si>
  <si>
    <t>00763</t>
  </si>
  <si>
    <t>00764</t>
  </si>
  <si>
    <t>00765</t>
  </si>
  <si>
    <t>00766</t>
  </si>
  <si>
    <t>00771</t>
  </si>
  <si>
    <t>00774</t>
  </si>
  <si>
    <t>00775</t>
  </si>
  <si>
    <t>00776</t>
  </si>
  <si>
    <t>00789</t>
  </si>
  <si>
    <t>00806</t>
  </si>
  <si>
    <t>00862</t>
  </si>
  <si>
    <t>00863</t>
  </si>
  <si>
    <t>00864</t>
  </si>
  <si>
    <t>00865</t>
  </si>
  <si>
    <t>00866</t>
  </si>
  <si>
    <t>00868</t>
  </si>
  <si>
    <t>00870</t>
  </si>
  <si>
    <t>00874</t>
  </si>
  <si>
    <t>00875</t>
  </si>
  <si>
    <t>00876</t>
  </si>
  <si>
    <t>00877</t>
  </si>
  <si>
    <t>00930</t>
  </si>
  <si>
    <t>00931</t>
  </si>
  <si>
    <t>00945</t>
  </si>
  <si>
    <t>01101</t>
  </si>
  <si>
    <t>01102</t>
  </si>
  <si>
    <t>01103</t>
  </si>
  <si>
    <t>01104</t>
  </si>
  <si>
    <t>01105</t>
  </si>
  <si>
    <t>01106</t>
  </si>
  <si>
    <t>01111</t>
  </si>
  <si>
    <t>01112</t>
  </si>
  <si>
    <t>01113</t>
  </si>
  <si>
    <t>01114</t>
  </si>
  <si>
    <t>01115</t>
  </si>
  <si>
    <t>01116</t>
  </si>
  <si>
    <t>01126</t>
  </si>
  <si>
    <t>01130</t>
  </si>
  <si>
    <t>01146</t>
  </si>
  <si>
    <t>01150</t>
  </si>
  <si>
    <t>01201</t>
  </si>
  <si>
    <t>01202</t>
  </si>
  <si>
    <t>01203</t>
  </si>
  <si>
    <t>01204</t>
  </si>
  <si>
    <t>01205</t>
  </si>
  <si>
    <t>01206</t>
  </si>
  <si>
    <t>01211</t>
  </si>
  <si>
    <t>01212</t>
  </si>
  <si>
    <t>01213</t>
  </si>
  <si>
    <t>01214</t>
  </si>
  <si>
    <t>01215</t>
  </si>
  <si>
    <t>01216</t>
  </si>
  <si>
    <t>01301</t>
  </si>
  <si>
    <t>01302</t>
  </si>
  <si>
    <t>01303</t>
  </si>
  <si>
    <t>01304</t>
  </si>
  <si>
    <t>01305</t>
  </si>
  <si>
    <t>01306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</si>
  <si>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</si>
  <si>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</si>
  <si>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</si>
  <si>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</si>
  <si>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</si>
  <si>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</si>
  <si>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</si>
  <si>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</si>
  <si>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</si>
  <si>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</si>
  <si>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</si>
  <si>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</si>
  <si>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</si>
  <si>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</si>
  <si>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</si>
  <si>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</si>
  <si>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01331</t>
  </si>
  <si>
    <t>01332</t>
  </si>
  <si>
    <t>01333</t>
  </si>
  <si>
    <t>01334</t>
  </si>
  <si>
    <t>01335</t>
  </si>
  <si>
    <t>01336</t>
  </si>
  <si>
    <t>01341</t>
  </si>
  <si>
    <t>01342</t>
  </si>
  <si>
    <t>01343</t>
  </si>
  <si>
    <t>01344</t>
  </si>
  <si>
    <t>01345</t>
  </si>
  <si>
    <t>01346</t>
  </si>
  <si>
    <t>01361</t>
  </si>
  <si>
    <t>01362</t>
  </si>
  <si>
    <t>01363</t>
  </si>
  <si>
    <t>01364</t>
  </si>
  <si>
    <t>01365</t>
  </si>
  <si>
    <t>01366</t>
  </si>
  <si>
    <t>01371</t>
  </si>
  <si>
    <t>01372</t>
  </si>
  <si>
    <t>01373</t>
  </si>
  <si>
    <t>01374</t>
  </si>
  <si>
    <t>01375</t>
  </si>
  <si>
    <t>01376</t>
  </si>
  <si>
    <t>01403</t>
  </si>
  <si>
    <t>01404</t>
  </si>
  <si>
    <t>01405</t>
  </si>
  <si>
    <t>01412</t>
  </si>
  <si>
    <t>01424</t>
  </si>
  <si>
    <t>01433</t>
  </si>
  <si>
    <t>01443</t>
  </si>
  <si>
    <t>01446</t>
  </si>
  <si>
    <t>01453</t>
  </si>
  <si>
    <t>01454</t>
  </si>
  <si>
    <t>01456</t>
  </si>
  <si>
    <t>01466</t>
  </si>
  <si>
    <t>01471</t>
  </si>
  <si>
    <t>01483</t>
  </si>
  <si>
    <t>01495</t>
  </si>
  <si>
    <t>01513</t>
  </si>
  <si>
    <t>01523</t>
  </si>
  <si>
    <t>01533</t>
  </si>
  <si>
    <t>01534</t>
  </si>
  <si>
    <t>01535</t>
  </si>
  <si>
    <t>01536</t>
  </si>
  <si>
    <t>01546</t>
  </si>
  <si>
    <t>01556</t>
  </si>
  <si>
    <t>01563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</si>
  <si>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</si>
  <si>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</si>
  <si>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</si>
  <si>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</si>
  <si>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</si>
  <si>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</si>
  <si>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</si>
  <si>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</si>
  <si>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</si>
  <si>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</si>
  <si>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</si>
  <si>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</si>
  <si>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</si>
  <si>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</si>
  <si>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</si>
  <si>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</si>
  <si>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01618</t>
  </si>
  <si>
    <t>01621</t>
  </si>
  <si>
    <t>01622</t>
  </si>
  <si>
    <t>01623</t>
  </si>
  <si>
    <t>01624</t>
  </si>
  <si>
    <t>01625</t>
  </si>
  <si>
    <t>01626</t>
  </si>
  <si>
    <t>01631</t>
  </si>
  <si>
    <t>01632</t>
  </si>
  <si>
    <t>01633</t>
  </si>
  <si>
    <t>01634</t>
  </si>
  <si>
    <t>01635</t>
  </si>
  <si>
    <t>01636</t>
  </si>
  <si>
    <t>01651</t>
  </si>
  <si>
    <t>01652</t>
  </si>
  <si>
    <t>01653</t>
  </si>
  <si>
    <t>01654</t>
  </si>
  <si>
    <t>01655</t>
  </si>
  <si>
    <t>01656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</si>
  <si>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</si>
  <si>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</si>
  <si>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</si>
  <si>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</si>
  <si>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</si>
  <si>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</si>
  <si>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</si>
  <si>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</si>
  <si>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01827</t>
  </si>
  <si>
    <t>01926</t>
  </si>
  <si>
    <t>02000</t>
  </si>
  <si>
    <t>02001</t>
  </si>
  <si>
    <t>02002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</si>
  <si>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</si>
  <si>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</si>
  <si>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</si>
  <si>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</si>
  <si>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</si>
  <si>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</si>
  <si>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</si>
  <si>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</si>
  <si>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</si>
  <si>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</si>
  <si>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02017</t>
  </si>
  <si>
    <t>02018</t>
  </si>
  <si>
    <t>02019</t>
  </si>
  <si>
    <t>02021</t>
  </si>
  <si>
    <t>02022</t>
  </si>
  <si>
    <t>02024</t>
  </si>
  <si>
    <t>02025</t>
  </si>
  <si>
    <t>02026</t>
  </si>
  <si>
    <t>02027</t>
  </si>
  <si>
    <t>02028</t>
  </si>
  <si>
    <t>02029</t>
  </si>
  <si>
    <t>02030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</si>
  <si>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</si>
  <si>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</si>
  <si>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</si>
  <si>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</si>
  <si>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</si>
  <si>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</si>
  <si>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</si>
  <si>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</si>
  <si>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02042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</si>
  <si>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</si>
  <si>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</si>
  <si>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</si>
  <si>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</si>
  <si>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</si>
  <si>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</si>
  <si>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</si>
  <si>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</si>
  <si>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</si>
  <si>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</si>
  <si>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</si>
  <si>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</si>
  <si>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</si>
  <si>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</si>
  <si>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</si>
  <si>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</si>
  <si>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</si>
  <si>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</si>
  <si>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</si>
  <si>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</si>
  <si>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</si>
  <si>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</si>
  <si>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</si>
  <si>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</si>
  <si>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</si>
  <si>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</si>
  <si>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</si>
  <si>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</si>
  <si>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</si>
  <si>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</si>
  <si>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02080</t>
  </si>
  <si>
    <t>02081</t>
  </si>
  <si>
    <t>02082</t>
  </si>
  <si>
    <t>02083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</si>
  <si>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</si>
  <si>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</si>
  <si>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</si>
  <si>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</si>
  <si>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</si>
  <si>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</si>
  <si>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</si>
  <si>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</si>
  <si>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</si>
  <si>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</si>
  <si>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</si>
  <si>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</si>
  <si>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</si>
  <si>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03748</t>
  </si>
  <si>
    <t>03749</t>
  </si>
  <si>
    <t>03751</t>
  </si>
  <si>
    <t>03752</t>
  </si>
  <si>
    <t>03753</t>
  </si>
  <si>
    <t>03754</t>
  </si>
  <si>
    <t>03755</t>
  </si>
  <si>
    <t>09127</t>
  </si>
  <si>
    <t>12116</t>
  </si>
  <si>
    <t>12125</t>
  </si>
  <si>
    <t>13255</t>
  </si>
  <si>
    <t>13283</t>
  </si>
  <si>
    <t>21544</t>
  </si>
  <si>
    <t>23425</t>
  </si>
  <si>
    <t>23454</t>
  </si>
  <si>
    <t>23455</t>
  </si>
  <si>
    <t>25115</t>
  </si>
  <si>
    <t>25871</t>
  </si>
  <si>
    <t>40001</t>
  </si>
  <si>
    <t>40002</t>
  </si>
  <si>
    <t>40003</t>
  </si>
  <si>
    <t>40004</t>
  </si>
  <si>
    <t>40005</t>
  </si>
  <si>
    <t>40006</t>
  </si>
  <si>
    <t>40007</t>
  </si>
  <si>
    <t>40008</t>
  </si>
  <si>
    <t>40009</t>
  </si>
  <si>
    <t>40010</t>
  </si>
  <si>
    <t>40011</t>
  </si>
  <si>
    <t>40012</t>
  </si>
  <si>
    <t>40013</t>
  </si>
  <si>
    <t>40014</t>
  </si>
  <si>
    <t>40015</t>
  </si>
  <si>
    <t>40016</t>
  </si>
  <si>
    <t>40017</t>
  </si>
  <si>
    <t>40018</t>
  </si>
  <si>
    <t>40019</t>
  </si>
  <si>
    <t>40020</t>
  </si>
  <si>
    <t>40021</t>
  </si>
  <si>
    <t>40022</t>
  </si>
  <si>
    <t>40023</t>
  </si>
  <si>
    <t>40024</t>
  </si>
  <si>
    <t>40025</t>
  </si>
  <si>
    <t>40026</t>
  </si>
  <si>
    <t>40027</t>
  </si>
  <si>
    <t>40028</t>
  </si>
  <si>
    <t>40029</t>
  </si>
  <si>
    <t>40030</t>
  </si>
  <si>
    <t>40031</t>
  </si>
  <si>
    <t>40032</t>
  </si>
  <si>
    <t>40033</t>
  </si>
  <si>
    <t>40034</t>
  </si>
  <si>
    <t>40035</t>
  </si>
  <si>
    <t>40036</t>
  </si>
  <si>
    <t>40037</t>
  </si>
  <si>
    <t>40038</t>
  </si>
  <si>
    <t>40039</t>
  </si>
  <si>
    <t>40040</t>
  </si>
  <si>
    <t>40041</t>
  </si>
  <si>
    <t>40042</t>
  </si>
  <si>
    <t>40043</t>
  </si>
  <si>
    <t>40044</t>
  </si>
  <si>
    <t>40045</t>
  </si>
  <si>
    <t>40046</t>
  </si>
  <si>
    <t>40047</t>
  </si>
  <si>
    <t>40048</t>
  </si>
  <si>
    <t>40049</t>
  </si>
  <si>
    <t>40050</t>
  </si>
  <si>
    <t>40051</t>
  </si>
  <si>
    <t>40052</t>
  </si>
  <si>
    <t>40053</t>
  </si>
  <si>
    <t>40054</t>
  </si>
  <si>
    <t>40055</t>
  </si>
  <si>
    <t>40056</t>
  </si>
  <si>
    <t>40057</t>
  </si>
  <si>
    <t>40058</t>
  </si>
  <si>
    <t>40059</t>
  </si>
  <si>
    <t>40060</t>
  </si>
  <si>
    <t>40061</t>
  </si>
  <si>
    <t>40062</t>
  </si>
  <si>
    <t>40063</t>
  </si>
  <si>
    <t>40064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</si>
  <si>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</si>
  <si>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</si>
  <si>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</si>
  <si>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</si>
  <si>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</si>
  <si>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</si>
  <si>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</si>
  <si>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</si>
  <si>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40073</t>
  </si>
  <si>
    <t>40074</t>
  </si>
  <si>
    <t>40075</t>
  </si>
  <si>
    <t>40076</t>
  </si>
  <si>
    <t>40077</t>
  </si>
  <si>
    <t>40078</t>
  </si>
  <si>
    <t>40079</t>
  </si>
  <si>
    <t>40080</t>
  </si>
  <si>
    <t>40081</t>
  </si>
  <si>
    <t>40082</t>
  </si>
  <si>
    <t>40083</t>
  </si>
  <si>
    <t>40084</t>
  </si>
  <si>
    <t>40085</t>
  </si>
  <si>
    <t>40086</t>
  </si>
  <si>
    <t>40087</t>
  </si>
  <si>
    <t>40088</t>
  </si>
  <si>
    <t>40089</t>
  </si>
  <si>
    <t>40090</t>
  </si>
  <si>
    <t>40091</t>
  </si>
  <si>
    <t>40092</t>
  </si>
  <si>
    <t>40093</t>
  </si>
  <si>
    <t>40094</t>
  </si>
  <si>
    <t>40095</t>
  </si>
  <si>
    <t>40096</t>
  </si>
  <si>
    <t>40097</t>
  </si>
  <si>
    <t>40098</t>
  </si>
  <si>
    <t>40099</t>
  </si>
  <si>
    <t>40100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</si>
  <si>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</si>
  <si>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</si>
  <si>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</si>
  <si>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</si>
  <si>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</si>
  <si>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</si>
  <si>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</si>
  <si>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</si>
  <si>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</si>
  <si>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</si>
  <si>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</si>
  <si>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</si>
  <si>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</si>
  <si>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40114</t>
  </si>
  <si>
    <t>40115</t>
  </si>
  <si>
    <t>40116</t>
  </si>
  <si>
    <t>40117</t>
  </si>
  <si>
    <t>40118</t>
  </si>
  <si>
    <t>40119</t>
  </si>
  <si>
    <t>40120</t>
  </si>
  <si>
    <t>40121</t>
  </si>
  <si>
    <t>40122</t>
  </si>
  <si>
    <t>40123</t>
  </si>
  <si>
    <t>40124</t>
  </si>
  <si>
    <t>40125</t>
  </si>
  <si>
    <t>40126</t>
  </si>
  <si>
    <t>40127</t>
  </si>
  <si>
    <t>40128</t>
  </si>
  <si>
    <t>40129</t>
  </si>
  <si>
    <t>40130</t>
  </si>
  <si>
    <t>40131</t>
  </si>
  <si>
    <t>40132</t>
  </si>
  <si>
    <t>40133</t>
  </si>
  <si>
    <t>40134</t>
  </si>
  <si>
    <t>40135</t>
  </si>
  <si>
    <t>40136</t>
  </si>
  <si>
    <t>40137</t>
  </si>
  <si>
    <t>40138</t>
  </si>
  <si>
    <t>40139</t>
  </si>
  <si>
    <t>40140</t>
  </si>
  <si>
    <t>40141</t>
  </si>
  <si>
    <t>40142</t>
  </si>
  <si>
    <t>40143</t>
  </si>
  <si>
    <t>40144</t>
  </si>
  <si>
    <t>40145</t>
  </si>
  <si>
    <t>40146</t>
  </si>
  <si>
    <t>40147</t>
  </si>
  <si>
    <t>40148</t>
  </si>
  <si>
    <t>40149</t>
  </si>
  <si>
    <t>40150</t>
  </si>
  <si>
    <t>40151</t>
  </si>
  <si>
    <t>40152</t>
  </si>
  <si>
    <t>40153</t>
  </si>
  <si>
    <t>40154</t>
  </si>
  <si>
    <t>40155</t>
  </si>
  <si>
    <t>40156</t>
  </si>
  <si>
    <t>40157</t>
  </si>
  <si>
    <t>40158</t>
  </si>
  <si>
    <t>40159</t>
  </si>
  <si>
    <t>40160</t>
  </si>
  <si>
    <t>40161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</si>
  <si>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</si>
  <si>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</si>
  <si>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</si>
  <si>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</si>
  <si>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</si>
  <si>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</si>
  <si>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</si>
  <si>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</si>
  <si>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40170</t>
  </si>
  <si>
    <t>40171</t>
  </si>
  <si>
    <t>40172</t>
  </si>
  <si>
    <t>40173</t>
  </si>
  <si>
    <t>40174</t>
  </si>
  <si>
    <t>40175</t>
  </si>
  <si>
    <t>40176</t>
  </si>
  <si>
    <t>40177</t>
  </si>
  <si>
    <t>40178</t>
  </si>
  <si>
    <t>40179</t>
  </si>
  <si>
    <t>40180</t>
  </si>
  <si>
    <t>40181</t>
  </si>
  <si>
    <t>40182</t>
  </si>
  <si>
    <t>40183</t>
  </si>
  <si>
    <t>40184</t>
  </si>
  <si>
    <t>40185</t>
  </si>
  <si>
    <t>40186</t>
  </si>
  <si>
    <t>40187</t>
  </si>
  <si>
    <t>40188</t>
  </si>
  <si>
    <t>40189</t>
  </si>
  <si>
    <t>40190</t>
  </si>
  <si>
    <t>40191</t>
  </si>
  <si>
    <t>40192</t>
  </si>
  <si>
    <t>40193</t>
  </si>
  <si>
    <t>40194</t>
  </si>
  <si>
    <t>40195</t>
  </si>
  <si>
    <t>40196</t>
  </si>
  <si>
    <t>40197</t>
  </si>
  <si>
    <t>40198</t>
  </si>
  <si>
    <t>40199</t>
  </si>
  <si>
    <t>40200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</si>
  <si>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</si>
  <si>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</si>
  <si>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</si>
  <si>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</si>
  <si>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</si>
  <si>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</si>
  <si>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</si>
  <si>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</si>
  <si>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</si>
  <si>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</si>
  <si>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</si>
  <si>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</si>
  <si>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</si>
  <si>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</si>
  <si>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</si>
  <si>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</si>
  <si>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</si>
  <si>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</si>
  <si>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</si>
  <si>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</si>
  <si>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</si>
  <si>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</si>
  <si>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</si>
  <si>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</si>
  <si>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</si>
  <si>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40226</t>
  </si>
  <si>
    <t>40227</t>
  </si>
  <si>
    <t>40228</t>
  </si>
  <si>
    <t>40229</t>
  </si>
  <si>
    <t>40230</t>
  </si>
  <si>
    <t>40231</t>
  </si>
  <si>
    <t>40232</t>
  </si>
  <si>
    <t>40233</t>
  </si>
  <si>
    <t>40234</t>
  </si>
  <si>
    <t>40235</t>
  </si>
  <si>
    <t>40236</t>
  </si>
  <si>
    <t>40237</t>
  </si>
  <si>
    <t>40238</t>
  </si>
  <si>
    <t>40239</t>
  </si>
  <si>
    <t>40240</t>
  </si>
  <si>
    <t>40241</t>
  </si>
  <si>
    <t>40242</t>
  </si>
  <si>
    <t>40243</t>
  </si>
  <si>
    <t>40244</t>
  </si>
  <si>
    <t>40245</t>
  </si>
  <si>
    <t>40246</t>
  </si>
  <si>
    <t>40300</t>
  </si>
  <si>
    <t>40301</t>
  </si>
  <si>
    <t>40302</t>
  </si>
  <si>
    <t>40303</t>
  </si>
  <si>
    <t>41121</t>
  </si>
  <si>
    <t>41815</t>
  </si>
  <si>
    <t>43473</t>
  </si>
  <si>
    <t>43493</t>
  </si>
  <si>
    <t>43725</t>
  </si>
  <si>
    <t>43726</t>
  </si>
  <si>
    <t>43727</t>
  </si>
  <si>
    <t>45254</t>
  </si>
  <si>
    <t>46123</t>
  </si>
  <si>
    <t>46614</t>
  </si>
  <si>
    <t>50001</t>
  </si>
  <si>
    <t>50002</t>
  </si>
  <si>
    <t>50003</t>
  </si>
  <si>
    <t>50004</t>
  </si>
  <si>
    <t>50005</t>
  </si>
  <si>
    <t>50011</t>
  </si>
  <si>
    <t>50012</t>
  </si>
  <si>
    <t>50013</t>
  </si>
  <si>
    <t>50014</t>
  </si>
  <si>
    <t>50015</t>
  </si>
  <si>
    <t>50020</t>
  </si>
  <si>
    <t>50030</t>
  </si>
  <si>
    <t>51214</t>
  </si>
  <si>
    <t>62162</t>
  </si>
  <si>
    <t>62211</t>
  </si>
  <si>
    <t>62212</t>
  </si>
  <si>
    <t>62213</t>
  </si>
  <si>
    <t>62221</t>
  </si>
  <si>
    <t>62222</t>
  </si>
  <si>
    <t>62223</t>
  </si>
  <si>
    <t>62224</t>
  </si>
  <si>
    <t>62225</t>
  </si>
  <si>
    <t>62231</t>
  </si>
  <si>
    <t>62240</t>
  </si>
  <si>
    <t>62241</t>
  </si>
  <si>
    <t>62251</t>
  </si>
  <si>
    <t>62252</t>
  </si>
  <si>
    <t>62253</t>
  </si>
  <si>
    <t>62261</t>
  </si>
  <si>
    <t>62262</t>
  </si>
  <si>
    <t>62263</t>
  </si>
  <si>
    <t>62271</t>
  </si>
  <si>
    <t>62272</t>
  </si>
  <si>
    <t>62273</t>
  </si>
  <si>
    <t>62274</t>
  </si>
  <si>
    <t>65000</t>
  </si>
  <si>
    <t>65001</t>
  </si>
  <si>
    <t>65002</t>
  </si>
  <si>
    <t>71211</t>
  </si>
  <si>
    <t>7360</t>
  </si>
  <si>
    <t>7361</t>
  </si>
  <si>
    <t>7362</t>
  </si>
  <si>
    <t>8528</t>
  </si>
  <si>
    <t>8529</t>
  </si>
  <si>
    <t>8530</t>
  </si>
  <si>
    <t>85321</t>
  </si>
  <si>
    <t>90000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</si>
  <si>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</si>
  <si>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</si>
  <si>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</si>
  <si>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</si>
  <si>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</si>
  <si>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</si>
  <si>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</si>
  <si>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</si>
  <si>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</si>
  <si>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</si>
  <si>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</si>
  <si>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</si>
  <si>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</si>
  <si>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</si>
  <si>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</si>
  <si>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</si>
  <si>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</si>
  <si>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</si>
  <si>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</si>
  <si>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</si>
  <si>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</si>
  <si>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</si>
  <si>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</si>
  <si>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</si>
  <si>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</si>
  <si>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</si>
  <si>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</si>
  <si>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</si>
  <si>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</si>
  <si>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</si>
  <si>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</si>
  <si>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</si>
  <si>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</si>
  <si>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</si>
  <si>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</si>
  <si>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</si>
  <si>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</si>
  <si>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/>
  </si>
  <si>
    <t>99</t>
  </si>
  <si>
    <t>DO</t>
  </si>
  <si>
    <t>15</t>
  </si>
  <si>
    <t>17</t>
  </si>
  <si>
    <t>19</t>
  </si>
  <si>
    <t>20</t>
  </si>
  <si>
    <t>21</t>
  </si>
  <si>
    <t>23</t>
  </si>
  <si>
    <t>24</t>
  </si>
  <si>
    <t>25</t>
  </si>
  <si>
    <t>22</t>
  </si>
  <si>
    <t>18</t>
  </si>
  <si>
    <t>26</t>
  </si>
  <si>
    <t>16</t>
  </si>
  <si>
    <t>11</t>
  </si>
  <si>
    <t>28</t>
  </si>
  <si>
    <t>13</t>
  </si>
  <si>
    <t>12</t>
  </si>
  <si>
    <t>14</t>
  </si>
  <si>
    <t>PO</t>
  </si>
  <si>
    <t>DE 0 A 2 AÑOS</t>
  </si>
  <si>
    <t>DE 3 A 5 AÑOS</t>
  </si>
  <si>
    <t>DE 6 A 8 AÑOS</t>
  </si>
  <si>
    <t>DE 9 A 11 AÑOS</t>
  </si>
  <si>
    <t>DE 12 A 14 AÑOS</t>
  </si>
  <si>
    <t>DE 15 A 17 AÑOS</t>
  </si>
  <si>
    <t>DE 18 EN ADELANTE</t>
  </si>
  <si>
    <t>PRESIDENTE</t>
  </si>
  <si>
    <t>61223</t>
  </si>
  <si>
    <t>VICEPRESIDENTE</t>
  </si>
  <si>
    <t>90101</t>
  </si>
  <si>
    <t>JEFE DE UNIDAD</t>
  </si>
  <si>
    <t>ASISTENTE AL PRESIDENTE</t>
  </si>
  <si>
    <t>90103</t>
  </si>
  <si>
    <t>BECAS PARA HIJOS/AS ESTUDIANTES</t>
  </si>
  <si>
    <t>BECAS PARA TRABAJADORES/AS ESTUDIANTES</t>
  </si>
  <si>
    <t>CONTRIBUCION PARA TRABAJADORES/AS CON DISCAPACIDAD</t>
  </si>
  <si>
    <t>CONTRIBUCION PARA HIJOS/AS CON DISCAPACIDAD</t>
  </si>
  <si>
    <t>DIA DE LA MADRE</t>
  </si>
  <si>
    <t>DIA DEL PADRE</t>
  </si>
  <si>
    <t>DIA DEL NIÑO</t>
  </si>
  <si>
    <t>AYUDA POR NACIMIENTO</t>
  </si>
  <si>
    <t>AYUDA POR MATRIMONIO</t>
  </si>
  <si>
    <t>C0100</t>
  </si>
  <si>
    <t>C0200</t>
  </si>
  <si>
    <t>C0300</t>
  </si>
  <si>
    <t>C0400</t>
  </si>
  <si>
    <t>PRIMA DE HIJOS</t>
  </si>
  <si>
    <t>AGUINALDOS</t>
  </si>
  <si>
    <t>TOTAL OBREROS FIJOS</t>
  </si>
  <si>
    <t>ALICUOTA VACACIONES</t>
  </si>
  <si>
    <t>ALICUOTA AGUINALDOS</t>
  </si>
  <si>
    <t>ASEADOR AREAS PUBLICAS</t>
  </si>
  <si>
    <t>7107</t>
  </si>
  <si>
    <t>AUXILIAR DE BIBLIOTECA N.G.</t>
  </si>
  <si>
    <t>AUXILIAR DE FARMACIA</t>
  </si>
  <si>
    <t>AUXILIAR DE LABORATORIO</t>
  </si>
  <si>
    <t>AUXILIAR DE MEZCLAS PRODUCTOS FARMACEUTICOS</t>
  </si>
  <si>
    <t>AUXILIAR DE OFICINA I</t>
  </si>
  <si>
    <t>10002</t>
  </si>
  <si>
    <t>AUXILIAR DE PRE-ESCOLAR</t>
  </si>
  <si>
    <t>AUXILIAR DE PRUEBAS PRODUCTOS FARMACEUTICOS</t>
  </si>
  <si>
    <t>AUXILIAR DE RAYOS X</t>
  </si>
  <si>
    <t>AUXILIAR DE TERAPIA N.G.</t>
  </si>
  <si>
    <t>AUXILIAR DE TERAPIA NG</t>
  </si>
  <si>
    <t>AYUDANTE DE ALBAÑIL</t>
  </si>
  <si>
    <t>7222</t>
  </si>
  <si>
    <t>CONTRALOR INTERNO</t>
  </si>
  <si>
    <t>10000</t>
  </si>
  <si>
    <t>COORDINADOR DE ASUNTOS CINEMATOGRAFICOS I</t>
  </si>
  <si>
    <t>COORDINADOR DE ASUNTOS CINEMATOGRAFICOS II</t>
  </si>
  <si>
    <t>COORDINADOR DE ASUNTOS CINEMATOGRAFICOS III</t>
  </si>
  <si>
    <t>COORDINADOR DE ASUNTOS INTERNACIONALES II</t>
  </si>
  <si>
    <t>COORDINADOR DE ASUNTOS INTERNACIONALES III</t>
  </si>
  <si>
    <t>COORDINADOR DE ASUNTOS LABORALES I</t>
  </si>
  <si>
    <t>COORDINADOR DE ASUNTOS LABORALES II</t>
  </si>
  <si>
    <t>COORDINADOR DE DESARROLLO DE RECURSOS HUMANOS I</t>
  </si>
  <si>
    <t>COORDINADOR DE MAQUINARIA PESADA</t>
  </si>
  <si>
    <t>7244</t>
  </si>
  <si>
    <t>COORDINADOR DEASUNTOS INTERNACIONALES JEFE</t>
  </si>
  <si>
    <t>COORDINADOR GENERAL DE PERSONAL</t>
  </si>
  <si>
    <t>10003</t>
  </si>
  <si>
    <t>DIRECTOR TOPOGRAFO</t>
  </si>
  <si>
    <t>10004</t>
  </si>
  <si>
    <t>FISCAL DE OBRAS I</t>
  </si>
  <si>
    <t>10006</t>
  </si>
  <si>
    <t>FISCAL I  (OBREROS)</t>
  </si>
  <si>
    <t>7240</t>
  </si>
  <si>
    <t>FISCAL II (OBREROS)</t>
  </si>
  <si>
    <t>7241</t>
  </si>
  <si>
    <t>GERENTE</t>
  </si>
  <si>
    <t>00932</t>
  </si>
  <si>
    <t>INGENIERO DE GAS I</t>
  </si>
  <si>
    <t>INGENIERO EN AGROSISTEMAS I</t>
  </si>
  <si>
    <t>INSPECTOR AUXILIAR DE OPERACIONES DE AREAS PUBLICAS</t>
  </si>
  <si>
    <t>7221</t>
  </si>
  <si>
    <t>00950</t>
  </si>
  <si>
    <t>MECANOGRAFA(O) II</t>
  </si>
  <si>
    <t>10001</t>
  </si>
  <si>
    <t>PAGADOR</t>
  </si>
  <si>
    <t>7224</t>
  </si>
  <si>
    <t>PERSONAL ADMINISTRATIVO NO CLASIFICADO</t>
  </si>
  <si>
    <t>10005</t>
  </si>
  <si>
    <t>SECRETARIA EJECUTIVA [SUB DIRECTORA]</t>
  </si>
  <si>
    <t>24344</t>
  </si>
  <si>
    <t>SECRETARIO(A) DE DESPACHO</t>
  </si>
  <si>
    <t>SUPERVISOR DE CAMIONES CISTERNA</t>
  </si>
  <si>
    <t>7243</t>
  </si>
  <si>
    <t>SUPERVISOR DE INSTRUCCION A DISTANCIA III</t>
  </si>
  <si>
    <t>SUPERVISOR DE MANTENIMIENTO DE PARQUES II</t>
  </si>
  <si>
    <t>SUPERVISOR DE MANTENIMIENTO DE PARQUES III</t>
  </si>
  <si>
    <t>SUPERVISOR DE MANTENIMIENTO DE PARQUES IV</t>
  </si>
  <si>
    <t>SUPERVISOR DE MANTENIMIENTO I (OPE)</t>
  </si>
  <si>
    <t>7242</t>
  </si>
  <si>
    <t>SUPERVISOR DE ZONA (OPE)</t>
  </si>
  <si>
    <t>7223</t>
  </si>
  <si>
    <t>SUPERVISOR OPERADOR EQUIPOS DE COMPUTACION</t>
  </si>
  <si>
    <t>EMPLEADOS FIJOS</t>
  </si>
  <si>
    <t>TOTAL EMPLEADOS FIJOS</t>
  </si>
  <si>
    <t>OBREROS FIJOS</t>
  </si>
  <si>
    <t>EVALUACION POR DESEMPEÑO</t>
  </si>
  <si>
    <t>BONO DIA OBRERO</t>
  </si>
  <si>
    <t>BONO DIA  EMPLEADO PUBLICO</t>
  </si>
  <si>
    <t>MES ACTUAL</t>
  </si>
  <si>
    <t>MONTO PRIMERA QUINCENA</t>
  </si>
  <si>
    <t>MONTO SEGUNDA QUINCENA</t>
  </si>
  <si>
    <t>SUELDO QUINCENAL</t>
  </si>
  <si>
    <t xml:space="preserve">SUELDO COBRADO EN OTRA INSTITUCION  </t>
  </si>
  <si>
    <t>SUELDO BASE A PAGAR MENSUAL</t>
  </si>
  <si>
    <t>INSTITUCION DONDE ESTA EN COMISIÓN DE SERVICIO</t>
  </si>
  <si>
    <t>TOTAL AÑOS DE SERVICIO</t>
  </si>
  <si>
    <t>DEDUCCIONES</t>
  </si>
  <si>
    <t>TOTAL DE DEDUCCIONES</t>
  </si>
  <si>
    <t>SS0                                (4%)</t>
  </si>
  <si>
    <t>PARO             FORZOSO                                           (0,5%)</t>
  </si>
  <si>
    <t>FAOV                            (1%)</t>
  </si>
  <si>
    <t>FECHA DE NACIMENTO</t>
  </si>
  <si>
    <t>SS0                 (9%)</t>
  </si>
  <si>
    <t>PARO             FORZOSO               (2%)</t>
  </si>
  <si>
    <t>FAOV                     (2%)</t>
  </si>
  <si>
    <r>
      <t xml:space="preserve">P3VI   </t>
    </r>
    <r>
      <rPr>
        <sz val="8"/>
        <color theme="1"/>
        <rFont val="Arial"/>
        <family val="2"/>
      </rPr>
      <t>(18 EN ADELANTE)</t>
    </r>
  </si>
  <si>
    <r>
      <t xml:space="preserve">P2V   </t>
    </r>
    <r>
      <rPr>
        <sz val="8"/>
        <color theme="1"/>
        <rFont val="Arial"/>
        <family val="2"/>
      </rPr>
      <t xml:space="preserve"> (18 EN ADELANTE)</t>
    </r>
  </si>
  <si>
    <r>
      <t xml:space="preserve">T2V  </t>
    </r>
    <r>
      <rPr>
        <sz val="8"/>
        <rFont val="Arial"/>
        <family val="2"/>
      </rPr>
      <t xml:space="preserve"> (18 EN ADELANTE)</t>
    </r>
  </si>
  <si>
    <r>
      <t xml:space="preserve">B3IV   </t>
    </r>
    <r>
      <rPr>
        <sz val="8"/>
        <rFont val="Arial"/>
        <family val="2"/>
      </rPr>
      <t>(18 EN ADELANTE)</t>
    </r>
  </si>
  <si>
    <r>
      <t xml:space="preserve">B1  </t>
    </r>
    <r>
      <rPr>
        <sz val="8"/>
        <rFont val="Arial"/>
        <family val="2"/>
      </rPr>
      <t xml:space="preserve"> (0-2 AÑOS)</t>
    </r>
  </si>
  <si>
    <r>
      <t xml:space="preserve">B2   </t>
    </r>
    <r>
      <rPr>
        <sz val="8"/>
        <rFont val="Arial"/>
        <family val="2"/>
      </rPr>
      <t>(3-5 AÑOS)</t>
    </r>
  </si>
  <si>
    <r>
      <t xml:space="preserve">B3   </t>
    </r>
    <r>
      <rPr>
        <sz val="8"/>
        <rFont val="Arial"/>
        <family val="2"/>
      </rPr>
      <t>(6-8 AÑOS)</t>
    </r>
  </si>
  <si>
    <r>
      <t xml:space="preserve">B3I  </t>
    </r>
    <r>
      <rPr>
        <sz val="8"/>
        <rFont val="Arial"/>
        <family val="2"/>
      </rPr>
      <t xml:space="preserve"> (9-11 AÑOS</t>
    </r>
    <r>
      <rPr>
        <sz val="11"/>
        <rFont val="Arial"/>
        <family val="2"/>
      </rPr>
      <t>)</t>
    </r>
  </si>
  <si>
    <r>
      <t xml:space="preserve">B3II   </t>
    </r>
    <r>
      <rPr>
        <sz val="8"/>
        <rFont val="Arial"/>
        <family val="2"/>
      </rPr>
      <t>(12-14 AÑOS)</t>
    </r>
  </si>
  <si>
    <r>
      <t xml:space="preserve">B3III   </t>
    </r>
    <r>
      <rPr>
        <sz val="8"/>
        <rFont val="Arial"/>
        <family val="2"/>
      </rPr>
      <t>(15-17 AÑOS)</t>
    </r>
  </si>
  <si>
    <r>
      <t xml:space="preserve">T1   </t>
    </r>
    <r>
      <rPr>
        <sz val="8"/>
        <rFont val="Arial"/>
        <family val="2"/>
      </rPr>
      <t>(0-2 AÑOS)</t>
    </r>
  </si>
  <si>
    <r>
      <t xml:space="preserve">T2   </t>
    </r>
    <r>
      <rPr>
        <sz val="8"/>
        <color theme="1"/>
        <rFont val="Arial"/>
        <family val="2"/>
      </rPr>
      <t>(3-5 AÑOS)</t>
    </r>
  </si>
  <si>
    <r>
      <t xml:space="preserve">T2I   </t>
    </r>
    <r>
      <rPr>
        <sz val="8"/>
        <color theme="1"/>
        <rFont val="Arial"/>
        <family val="2"/>
      </rPr>
      <t>(6-8 AÑOS)</t>
    </r>
  </si>
  <si>
    <r>
      <t xml:space="preserve">T2II   </t>
    </r>
    <r>
      <rPr>
        <sz val="8"/>
        <color theme="1"/>
        <rFont val="Arial"/>
        <family val="2"/>
      </rPr>
      <t>(9-11 AÑOS)</t>
    </r>
  </si>
  <si>
    <r>
      <t xml:space="preserve">T2III   </t>
    </r>
    <r>
      <rPr>
        <sz val="8"/>
        <color theme="1"/>
        <rFont val="Arial"/>
        <family val="2"/>
      </rPr>
      <t>(12-14 AÑOS)</t>
    </r>
  </si>
  <si>
    <r>
      <t xml:space="preserve">T2IV   </t>
    </r>
    <r>
      <rPr>
        <sz val="8"/>
        <color theme="1"/>
        <rFont val="Arial"/>
        <family val="2"/>
      </rPr>
      <t>(15-17 AÑOS)</t>
    </r>
  </si>
  <si>
    <r>
      <t xml:space="preserve">P1   </t>
    </r>
    <r>
      <rPr>
        <sz val="8"/>
        <color theme="1"/>
        <rFont val="Arial"/>
        <family val="2"/>
      </rPr>
      <t>(0-2 AÑOS)</t>
    </r>
  </si>
  <si>
    <r>
      <t xml:space="preserve">P2  </t>
    </r>
    <r>
      <rPr>
        <sz val="8"/>
        <color theme="1"/>
        <rFont val="Arial"/>
        <family val="2"/>
      </rPr>
      <t xml:space="preserve"> (3-5 AÑOS)</t>
    </r>
  </si>
  <si>
    <r>
      <t xml:space="preserve">P2I   </t>
    </r>
    <r>
      <rPr>
        <sz val="8"/>
        <color theme="1"/>
        <rFont val="Arial"/>
        <family val="2"/>
      </rPr>
      <t>(6-8 AÑOS)</t>
    </r>
  </si>
  <si>
    <r>
      <t xml:space="preserve">P2II   </t>
    </r>
    <r>
      <rPr>
        <sz val="8"/>
        <color theme="1"/>
        <rFont val="Arial"/>
        <family val="2"/>
      </rPr>
      <t xml:space="preserve">(9-11 AÑOS)  </t>
    </r>
  </si>
  <si>
    <r>
      <t xml:space="preserve">P2III   </t>
    </r>
    <r>
      <rPr>
        <sz val="8"/>
        <color theme="1"/>
        <rFont val="Arial"/>
        <family val="2"/>
      </rPr>
      <t>(12-14 AÑOS)</t>
    </r>
  </si>
  <si>
    <r>
      <t xml:space="preserve">P2IV   </t>
    </r>
    <r>
      <rPr>
        <sz val="8"/>
        <color theme="1"/>
        <rFont val="Arial"/>
        <family val="2"/>
      </rPr>
      <t>(15-17 AÑOS)</t>
    </r>
  </si>
  <si>
    <r>
      <t xml:space="preserve">P3   </t>
    </r>
    <r>
      <rPr>
        <sz val="8"/>
        <color theme="1"/>
        <rFont val="Arial"/>
        <family val="2"/>
      </rPr>
      <t xml:space="preserve"> (0-2 AÑOS)</t>
    </r>
  </si>
  <si>
    <r>
      <t xml:space="preserve">P3I </t>
    </r>
    <r>
      <rPr>
        <sz val="8"/>
        <color theme="1"/>
        <rFont val="Arial"/>
        <family val="2"/>
      </rPr>
      <t xml:space="preserve">    (3-5 AÑOS)</t>
    </r>
  </si>
  <si>
    <r>
      <t xml:space="preserve">P3II     </t>
    </r>
    <r>
      <rPr>
        <sz val="8"/>
        <color theme="1"/>
        <rFont val="Arial"/>
        <family val="2"/>
      </rPr>
      <t>(6-8 AÑOS)</t>
    </r>
  </si>
  <si>
    <r>
      <t xml:space="preserve">P3III    </t>
    </r>
    <r>
      <rPr>
        <sz val="8"/>
        <color theme="1"/>
        <rFont val="Arial"/>
        <family val="2"/>
      </rPr>
      <t xml:space="preserve">(9-11 AÑOS)    </t>
    </r>
  </si>
  <si>
    <r>
      <t xml:space="preserve">P3IV    </t>
    </r>
    <r>
      <rPr>
        <sz val="8"/>
        <color theme="1"/>
        <rFont val="Arial"/>
        <family val="2"/>
      </rPr>
      <t>(12-14 AÑOS)</t>
    </r>
  </si>
  <si>
    <r>
      <t xml:space="preserve">P3V    </t>
    </r>
    <r>
      <rPr>
        <sz val="8"/>
        <color theme="1"/>
        <rFont val="Arial"/>
        <family val="2"/>
      </rPr>
      <t>(15-17 AÑOS)</t>
    </r>
  </si>
  <si>
    <t>HIJOS</t>
  </si>
  <si>
    <t>MESES</t>
  </si>
  <si>
    <t>GRADO DE INSTRUCCIÓN (CARRERA)</t>
  </si>
  <si>
    <t>0</t>
  </si>
  <si>
    <t>((SN*4/12)+SN)/30*180</t>
  </si>
  <si>
    <t>MONTO TOTAL DE BECAS Y/O CONTRIB. X DISCAPAC</t>
  </si>
  <si>
    <t>CANT. LUNES DEL MES</t>
  </si>
  <si>
    <t>NACIONALIDAD</t>
  </si>
  <si>
    <t>F</t>
  </si>
  <si>
    <t>M</t>
  </si>
  <si>
    <t>V</t>
  </si>
  <si>
    <t>GENERO</t>
  </si>
  <si>
    <t>AÑOS DE SERVICIOS RECONOCIDOS</t>
  </si>
  <si>
    <t>AÑOS SERVICIO (INSTITUCION)</t>
  </si>
  <si>
    <t>COLOCAR  QUINCENA PARA IMPRIMIR</t>
  </si>
  <si>
    <t>COMISION DE SERVICIO</t>
  </si>
  <si>
    <t>PRIMAS FRACCIONADAS</t>
  </si>
  <si>
    <t xml:space="preserve">1era Quincena Primas Fraccionadas </t>
  </si>
  <si>
    <t xml:space="preserve">2da Quincena Primas Fraccionadas </t>
  </si>
  <si>
    <t>VIGILANTE NOCTURNO</t>
  </si>
  <si>
    <t xml:space="preserve">MES DE </t>
  </si>
  <si>
    <t>DE</t>
  </si>
  <si>
    <t xml:space="preserve">              BECAS/CONTRIBUCION POR DISCAPACIDAD</t>
  </si>
  <si>
    <t>TOTAL DE APORTES</t>
  </si>
  <si>
    <t xml:space="preserve"> INSTITUCIÓN A LA QUE PERTENECE</t>
  </si>
  <si>
    <t>BONO DE EMERGENCIA</t>
  </si>
  <si>
    <t>(((SN*6/12)+SN)/30)*150</t>
  </si>
  <si>
    <t>NRO. DE HIJOS (EDAD ESCOLAR)</t>
  </si>
  <si>
    <t>NRO. DE HIJOS (DISCAPACIDAD)</t>
  </si>
  <si>
    <t>CANT. DIAS FERIADOS</t>
  </si>
  <si>
    <t>P2II</t>
  </si>
  <si>
    <t>P2I</t>
  </si>
  <si>
    <t>B3I</t>
  </si>
  <si>
    <t>T2II</t>
  </si>
  <si>
    <t>P1</t>
  </si>
  <si>
    <t>T2</t>
  </si>
  <si>
    <t>P2</t>
  </si>
  <si>
    <t>T1</t>
  </si>
  <si>
    <t>B1</t>
  </si>
  <si>
    <t>AÑOS SERVICIO</t>
  </si>
  <si>
    <t>AÑOS DE SERVICIOS PREVIOS</t>
  </si>
  <si>
    <t>VACANTE</t>
  </si>
  <si>
    <t>HORAS EXTRAS NOCTURNAS</t>
  </si>
  <si>
    <t>DÍAS FERIADO O DÍA DE DESCANSO</t>
  </si>
  <si>
    <t>CANTIDAD H. EXTRAS NOCTURNAS LABORADAS</t>
  </si>
  <si>
    <t>CANTIDAD DÍAS FERIADO O DE DESCANSO LABORADOS</t>
  </si>
  <si>
    <t>H.EXTRAS</t>
  </si>
  <si>
    <t>DIAS DESCANS</t>
  </si>
  <si>
    <t>CONCEPTOS ADICIONALES</t>
  </si>
  <si>
    <t>CESTA TICKET</t>
  </si>
  <si>
    <t xml:space="preserve">TOTAL DE DEDUCCIONES + APORTES </t>
  </si>
  <si>
    <t>CESTA T</t>
  </si>
  <si>
    <t>NOTA: el ciudadano MORENO SILVA ALFREDY JOSE C.I. 24.565.372 se encuentra en Comisión de Servicio no remunerada en otro organismo</t>
  </si>
  <si>
    <t>NOTA: La ciudadana Almazan Barragan Maria de los Angeles C.I. 19.591.141 se encuentra en Comisión de Servicio no remunerada</t>
  </si>
  <si>
    <t>Araujo Rivas Thaily Del Rosario</t>
  </si>
  <si>
    <t>Olmos Rodriguez Eberto De Jesus</t>
  </si>
  <si>
    <t>Perez Saavedra Isabel Teresa</t>
  </si>
  <si>
    <t>Perez Castellano Javier Horacio</t>
  </si>
  <si>
    <t>Rojo Sanchez Alexis O.</t>
  </si>
  <si>
    <t>Cabrera Muchacho Yencirley del Carmen</t>
  </si>
  <si>
    <t>Frias Aldana Maria Yaritza</t>
  </si>
  <si>
    <t>Vielma Jenifer</t>
  </si>
  <si>
    <t>Briceño Rangel Sudney Dayan</t>
  </si>
  <si>
    <t>Aponte Matheus Richard A.</t>
  </si>
  <si>
    <t>Rivero Zambrano Herluis Jose</t>
  </si>
  <si>
    <t>Rangel Rivas Ildemaro</t>
  </si>
  <si>
    <t>Araujo Manzanilla Carlos Antonio</t>
  </si>
  <si>
    <t>Viloria Montilla Gerardo</t>
  </si>
  <si>
    <t>Diaz Maldonado Anny Jackeline</t>
  </si>
  <si>
    <t>Delfin Bustos Jose Hercilio</t>
  </si>
  <si>
    <t>Coy Andara Darlin Gabriela</t>
  </si>
  <si>
    <t>Triviño de Bastidas Dioni de la Coromoto</t>
  </si>
  <si>
    <t>Delduca Adriana Del Valle</t>
  </si>
  <si>
    <t>Campos de Velazquez Nilda Carolina</t>
  </si>
  <si>
    <t>Urbina Cuellar Tannessy Lenery</t>
  </si>
  <si>
    <t>Berrios Gomez Neida Marina</t>
  </si>
  <si>
    <t>Sulbaran Campos Yusneida Ayarith</t>
  </si>
  <si>
    <t>Mejia Linares Alexis de Jesus</t>
  </si>
  <si>
    <t>Balestrini Nuñez Ulises Ramon</t>
  </si>
  <si>
    <t>Aldana Duran Delia Mercedes</t>
  </si>
  <si>
    <t>Linares Araujo Adolfo Jose</t>
  </si>
  <si>
    <t>Ynfante Castellanos Josefina Del C.</t>
  </si>
  <si>
    <t>Castellanos de Araujo Maria Eustoquia</t>
  </si>
  <si>
    <t>Aguilera Carroz Gerardo Raul</t>
  </si>
  <si>
    <t>Pacheco Bermudez Bebsabeth Coromoto</t>
  </si>
  <si>
    <t>Duarte de Bastidas Gladys M.</t>
  </si>
  <si>
    <t>Valera Borrero Marcos Tulio</t>
  </si>
  <si>
    <t>Torres Gonzalez Meris Del Carmen</t>
  </si>
  <si>
    <t>Simancas De Mendoza Alix Josefina</t>
  </si>
  <si>
    <t>Saavedra Juan Jose</t>
  </si>
  <si>
    <t>Manzanilla Molina Alfredo Jose</t>
  </si>
  <si>
    <t>Palma de Briceño Sonia Josefina</t>
  </si>
  <si>
    <t>Gonzalez Hernandez Marianela</t>
  </si>
  <si>
    <t>Sanchez Barrios Magalis del Carmen</t>
  </si>
  <si>
    <t>Cardozo Garcia Jorge Antonio</t>
  </si>
  <si>
    <t>Garcia Araujo Jose Domingo</t>
  </si>
  <si>
    <t>Perez Salas Olga Margarita</t>
  </si>
  <si>
    <t>Abreu Araujo Omar Antonio</t>
  </si>
  <si>
    <t>Hernandez Valero Jose Alfredo</t>
  </si>
  <si>
    <t>Mendoza Vieras Pedro Luis</t>
  </si>
  <si>
    <t>Artigas de Hernandez Ana Maria</t>
  </si>
  <si>
    <t xml:space="preserve">Linares Linares Emma Teresa </t>
  </si>
  <si>
    <t>Aguial Carrillo Deris M.</t>
  </si>
  <si>
    <t>Carrillo Prato Blanca Isabel</t>
  </si>
  <si>
    <t>Torres Dulma Ramona</t>
  </si>
  <si>
    <t>Frias Jacson Daniel</t>
  </si>
  <si>
    <t>Marquez Marquez Maribel del Valle</t>
  </si>
  <si>
    <t>Ruiz Luis Alfonzo</t>
  </si>
  <si>
    <t>Briceño Pirela Carmen Violeta</t>
  </si>
  <si>
    <t>Santana Briceño Jose Gregorio</t>
  </si>
  <si>
    <t>Perdomo Perdomo Angela Aurora</t>
  </si>
  <si>
    <t>Bastidas Yanitza Del Valle</t>
  </si>
  <si>
    <t>Briceño Ruiz Sara Josefina</t>
  </si>
  <si>
    <t xml:space="preserve">Carrizo Carmona Douglas Jose </t>
  </si>
  <si>
    <t>Ramirez Vergara Graciela De Jesus</t>
  </si>
  <si>
    <t>Cruz de Rodriguez Yanet Coromoto</t>
  </si>
  <si>
    <t>Castro de Vielma Yanira Rosa</t>
  </si>
  <si>
    <t>Delduca Moreno Luisa</t>
  </si>
  <si>
    <t>Rangel Briceño Marcial Segundo</t>
  </si>
  <si>
    <t>Montilla Cegarra Pablo Javier</t>
  </si>
  <si>
    <t>Angarita Hernandez Ana Del Carmen</t>
  </si>
  <si>
    <t>Garcia Moreno Iris Josefina</t>
  </si>
  <si>
    <t>Contreras Rojo Gerardo Alexander</t>
  </si>
  <si>
    <t>Rojas Hernandez Morela Del Carmen</t>
  </si>
  <si>
    <t>Carrillo Altuve Maria Mercedes</t>
  </si>
  <si>
    <t>Delgado Araujo Siria Coromoto</t>
  </si>
  <si>
    <t>Materano Delgado Yoleida Josefina</t>
  </si>
  <si>
    <t>Olivar Santana Maria Valbina</t>
  </si>
  <si>
    <t>Chacin Sanchez Eduard Fabian</t>
  </si>
  <si>
    <t>Perdomo Rosales Modesto Ramon</t>
  </si>
  <si>
    <t>Sardi Hernandez Gladis J.</t>
  </si>
  <si>
    <t>Peña Villegas Lisette Carolina</t>
  </si>
  <si>
    <t>Suarez Chiquin Yaritza Josefina</t>
  </si>
  <si>
    <t>Rivas Albarran Martin Antonio</t>
  </si>
  <si>
    <t>Saez de Mejias Maria del Rosario</t>
  </si>
  <si>
    <t>Perdomo Orlando Jose</t>
  </si>
  <si>
    <t>Teran Torres Olga Del Carmen</t>
  </si>
  <si>
    <t>Justo Angel Jannessy</t>
  </si>
  <si>
    <t>Linares Hernandez Thaiz Yoconda</t>
  </si>
  <si>
    <t>Sulbaran Campos Jesus Alberto</t>
  </si>
  <si>
    <t>Alvarado Marquina Yaritza Del Carmen</t>
  </si>
  <si>
    <t>Alburguez  Manzanilla Neira Josefina</t>
  </si>
  <si>
    <t>Montilla Lamus Ana Cristina</t>
  </si>
  <si>
    <t>Sanchez Olivar Denis Josefina</t>
  </si>
  <si>
    <t>Mendez Olmos Tulio Enrique</t>
  </si>
  <si>
    <t>Escalona Ruiz Luis Alberto</t>
  </si>
  <si>
    <t>Segovia Rondon Milagros Del Valle</t>
  </si>
  <si>
    <t>Diaz Albarran Jose Edwar</t>
  </si>
  <si>
    <t>Mejia de Briceño Maryory Lucia</t>
  </si>
  <si>
    <t>Camacho Gomez Trina Margarita</t>
  </si>
  <si>
    <t>Gonzalez Pabon Marianela</t>
  </si>
  <si>
    <t>Velazquez Yaneht Coromoto</t>
  </si>
  <si>
    <t>Mendez de Viloria Yelitza Del Valle</t>
  </si>
  <si>
    <t>Torres de Gonzalez Milangela Maria</t>
  </si>
  <si>
    <t>Villegas Jaime Antonio</t>
  </si>
  <si>
    <t>Bastidas Guerra Soralis del Valle</t>
  </si>
  <si>
    <t>Macias Briceño Alejandra Coromoto</t>
  </si>
  <si>
    <t>Henry Peña Yokary Nakary</t>
  </si>
  <si>
    <t>Abreu Rodriguez Eva Del Carmen</t>
  </si>
  <si>
    <t>Santos Hernandez Karine Yenilet</t>
  </si>
  <si>
    <t>Ramirez Ayala Jenny Marisela</t>
  </si>
  <si>
    <t>Altuve Diaz Jose Antonio</t>
  </si>
  <si>
    <t>Zambrano Castellanos Maria Alejandra</t>
  </si>
  <si>
    <t>Yusti Godoy Andry Isaac</t>
  </si>
  <si>
    <t>Materan Riveros Yorvis Alexis</t>
  </si>
  <si>
    <t xml:space="preserve">Diaz Ramirez Mileyda Del Valle </t>
  </si>
  <si>
    <t>Carrizo Blanco Belquis Cecilia</t>
  </si>
  <si>
    <t>Araujo Ruiz Ramon Alfonso</t>
  </si>
  <si>
    <t>Artigas Sanchez Mireya Carolina</t>
  </si>
  <si>
    <t>Araujo Matheus Alba Mariela</t>
  </si>
  <si>
    <t>Perez Barrios Helenmar</t>
  </si>
  <si>
    <t>Aguilar Flores Heidy Coromoto</t>
  </si>
  <si>
    <t>Leal Mejia Jociany Trinny</t>
  </si>
  <si>
    <t>Aguilar Sandra del Valle</t>
  </si>
  <si>
    <t>Sarmiento Suarez Karem</t>
  </si>
  <si>
    <t>Martinez Leal Deyanira Yusissan</t>
  </si>
  <si>
    <t>Rendon Utrilla Gerson Paul</t>
  </si>
  <si>
    <t>Godoy Bracamonte Juan Carlos</t>
  </si>
  <si>
    <t>Franco Mendoza Ana Cecilia</t>
  </si>
  <si>
    <t>Barreto Oswaldo Enrique</t>
  </si>
  <si>
    <t>Peña Briceño Reina Lisbeth</t>
  </si>
  <si>
    <t>Peña Rosales Marinela</t>
  </si>
  <si>
    <t>Briceño Hernandez Yeny Del Carmen</t>
  </si>
  <si>
    <t>Ramirez Palomares Mariana Teresa</t>
  </si>
  <si>
    <t>Rivas Ana Lucila</t>
  </si>
  <si>
    <t>Alvarran Arjona Ismenia Del Carmen</t>
  </si>
  <si>
    <t>Linares Villarreal Rosmely del Carmen</t>
  </si>
  <si>
    <t>Segovia de Santiago Malvelis Dayana</t>
  </si>
  <si>
    <t>Becerra Marin Fran Reinaldo</t>
  </si>
  <si>
    <t>Briceño Araujo Alexander Javier</t>
  </si>
  <si>
    <t>Blanco de Matheus Carol Carolina</t>
  </si>
  <si>
    <t>Castellano de Gonzalez Annyzabeth</t>
  </si>
  <si>
    <t>Briceño Lozada Maraiby Coromoto</t>
  </si>
  <si>
    <t>Villegas Gonzalez Mileide Karine</t>
  </si>
  <si>
    <t>Gonzalez Torres Damarys Coromoto</t>
  </si>
  <si>
    <t>Yndriago Blanco Lismiley Andreina</t>
  </si>
  <si>
    <t>Araujo Peña Yamileth Cesilia</t>
  </si>
  <si>
    <t>Moreno Maria Angelica</t>
  </si>
  <si>
    <t>Sifontes Sosa Mayulis Dayana</t>
  </si>
  <si>
    <t>Briceño Doris Elena</t>
  </si>
  <si>
    <t>Paredes de Rendon Zuly Josefina</t>
  </si>
  <si>
    <t>Gonzalez Pineda Eduardo Manuel</t>
  </si>
  <si>
    <t>Carmona Peñaloza Yaneth Coromoto</t>
  </si>
  <si>
    <t>Gonzalez Huerta Maria Josefina</t>
  </si>
  <si>
    <t>Montilla de Davila Nileidy del Valle</t>
  </si>
  <si>
    <t>Rincon Quevedo Angela Adriana</t>
  </si>
  <si>
    <t>Araujo Moreno Elisaelith</t>
  </si>
  <si>
    <t>Perez Martinez Leonel Jose</t>
  </si>
  <si>
    <t>Lugo Moreno Yenny Katiuska</t>
  </si>
  <si>
    <t>Barreto Maldonado Jose Luis</t>
  </si>
  <si>
    <t>Carrillo Uzcategui Tahiyuani Carolina</t>
  </si>
  <si>
    <t>Perdomo Linares Alejandra Carolina</t>
  </si>
  <si>
    <t>Peña Nava Maria Gabriela</t>
  </si>
  <si>
    <t>Moron Rafael Ramon</t>
  </si>
  <si>
    <t>Materan Gallardo Vivian Katiana</t>
  </si>
  <si>
    <t>Serrada Bustos Gladys Magaly</t>
  </si>
  <si>
    <t>Albarran Araujo Yely Coromoto</t>
  </si>
  <si>
    <t>Perez Ramirez Yonathan Jesus</t>
  </si>
  <si>
    <t>Mejia Araujo Sandra Coromoto</t>
  </si>
  <si>
    <t>Matheus Rondon Aida</t>
  </si>
  <si>
    <t>Bastidas Yelitza Del Carmen</t>
  </si>
  <si>
    <t>Aponte Rivera Lenismar del Valle</t>
  </si>
  <si>
    <t>Manzanilla Araujo Richard Jose</t>
  </si>
  <si>
    <t>Leon Valero Ceila Maria</t>
  </si>
  <si>
    <t>Carrizo Mary Alejandra</t>
  </si>
  <si>
    <t>Urdaneta Soto Katherine Esther</t>
  </si>
  <si>
    <t>Torres Aranguren Lilibeth del Valle</t>
  </si>
  <si>
    <t>Torres Briceño Yarelis Del Carmen</t>
  </si>
  <si>
    <t>Nuñez Maria Gusmara</t>
  </si>
  <si>
    <t>Duarte Portillo Dani Vicente</t>
  </si>
  <si>
    <t>Rivera Gil Christian Rafael</t>
  </si>
  <si>
    <t>Aguial Dayana Carolina</t>
  </si>
  <si>
    <t>Briceño Briceño Naibely Carolina</t>
  </si>
  <si>
    <t>Duran Rangel Karoly Coromoto</t>
  </si>
  <si>
    <t>Rojas Aguilar Manuel Alejandro</t>
  </si>
  <si>
    <t>Bastidas Franco Dianellys Sarain</t>
  </si>
  <si>
    <t>Blanco Torres Beixy Coromoto</t>
  </si>
  <si>
    <t>Nieve Briceño Glorys Carolina</t>
  </si>
  <si>
    <t>Pulido Sanchez Joalina Vanessa</t>
  </si>
  <si>
    <t>Serrano Ingrid Maria</t>
  </si>
  <si>
    <t>Villegas Daboin Mayte Yelitza</t>
  </si>
  <si>
    <t>Lozada Bencomo Daniela Carolina</t>
  </si>
  <si>
    <t>Caridad Valera Neliana Maritza</t>
  </si>
  <si>
    <t>Villarreal Prada Yoriangela Nataly</t>
  </si>
  <si>
    <t>Abreu Araujo Gilmer Francisco</t>
  </si>
  <si>
    <t>Villarreal Lusana Carolina</t>
  </si>
  <si>
    <t>Godoy Linares Amenaida del Valle</t>
  </si>
  <si>
    <t>Castellanos Moncada Betty Johana</t>
  </si>
  <si>
    <t>Quintero Paradas Ilse Maria</t>
  </si>
  <si>
    <t>Peñaloza Olmos Eduardo Jose</t>
  </si>
  <si>
    <t>Quintero Duran Emilio Alfonso</t>
  </si>
  <si>
    <t>Briceño Uzcategui Maria Esperanza</t>
  </si>
  <si>
    <t>Gervasi De Valera Solanye Dairilyn</t>
  </si>
  <si>
    <t>Rodriguez Salas Mary Carmen</t>
  </si>
  <si>
    <t>Ramirez Rodriguez Rudys Arelys</t>
  </si>
  <si>
    <t>Uzcategui Urbina Madeley Tatiana</t>
  </si>
  <si>
    <t>Morillo Barrios Yurbelys Andreina</t>
  </si>
  <si>
    <t>Plaza Quintero Orelis Maria</t>
  </si>
  <si>
    <t>Hernandez Graterol Gleidys Coromoto</t>
  </si>
  <si>
    <t>Valero Sanchez Zulay Del Valle</t>
  </si>
  <si>
    <t>Duran Benitez Randy Regori</t>
  </si>
  <si>
    <t>Guillen Briceño Humarly Zolandy</t>
  </si>
  <si>
    <t>Mejia Rosales Katiusca Josefina</t>
  </si>
  <si>
    <t>Leal Mejia Fraineli Yoset</t>
  </si>
  <si>
    <t>Santos Saavedra Greosmar Johan</t>
  </si>
  <si>
    <t>Uzcategui Uzcategui Saray Cristina</t>
  </si>
  <si>
    <t>Santiago Edwin Alexander</t>
  </si>
  <si>
    <t>Valero Mejia Aleidy Rosana</t>
  </si>
  <si>
    <t>Villa Daniela Carolina</t>
  </si>
  <si>
    <t>Mejia Aldana Norbelys Carolina</t>
  </si>
  <si>
    <t>Suarez Leal Betzabeth Daimar</t>
  </si>
  <si>
    <t>Rondon Ramos Genesis Franmelly</t>
  </si>
  <si>
    <t>Olivares de Abreu Iribeth Walesca</t>
  </si>
  <si>
    <t>Ramirez Bolaño Hermes Jose</t>
  </si>
  <si>
    <t>Piña Valera Marianni Dayana</t>
  </si>
  <si>
    <t>Mendez Giro Maryely Roxana</t>
  </si>
  <si>
    <t>Morillo Garces Yeniree Lourdes</t>
  </si>
  <si>
    <t>Lomelli Perez  Diana Patricia</t>
  </si>
  <si>
    <t>Saavedra Valera Keila Andreina</t>
  </si>
  <si>
    <t xml:space="preserve">Viloria Jessica del Carmen </t>
  </si>
  <si>
    <t>Mejias Valera Yusbelys Karina</t>
  </si>
  <si>
    <t xml:space="preserve">Suarez Briceño Daiver Jose </t>
  </si>
  <si>
    <t>Calderon Vetencourt Yamardi Carolina</t>
  </si>
  <si>
    <t>Daboin Piña Jesus Manuel</t>
  </si>
  <si>
    <t>Manzanilla Gonzalez Landkler Josue</t>
  </si>
  <si>
    <t>Gallardo Abreu Daniel David</t>
  </si>
  <si>
    <t>Perez Araujo Dulce Marina</t>
  </si>
  <si>
    <t xml:space="preserve">Barrios Olivar Geraldine Katiusca </t>
  </si>
  <si>
    <t>Delduca Garcia Monica Estefania</t>
  </si>
  <si>
    <t>Rivera Sandoval Ilva Azucena</t>
  </si>
  <si>
    <t>Molina Briceño Maria de los Angeles</t>
  </si>
  <si>
    <t>Rivas Hurtado Orleidys Betania</t>
  </si>
  <si>
    <t>Cardozo Cañizalez Edder Eli</t>
  </si>
  <si>
    <t xml:space="preserve">Viloria Maldonado Gerardo Jesus </t>
  </si>
  <si>
    <t>Moreno Silva Alfredy Jose</t>
  </si>
  <si>
    <t>Villarreal Quintero Patricia Alejandra</t>
  </si>
  <si>
    <t>Ramirez Palomares Carmen Beatriz</t>
  </si>
  <si>
    <t>Coello Diaz Yormileidys del Carmen</t>
  </si>
  <si>
    <t>Guanda Barazarte Roxely Andreina</t>
  </si>
  <si>
    <t>Graterol Castillo Yoselyn Zunedy</t>
  </si>
  <si>
    <t>Nava Carrillo Oriana Daniela</t>
  </si>
  <si>
    <t xml:space="preserve">Balza Vetencourt Maria Gabriela </t>
  </si>
  <si>
    <t>Andara Moreno Marielena Nathaly</t>
  </si>
  <si>
    <t>Moncayo Perez Ruddy Bellaliz</t>
  </si>
  <si>
    <t>Briceño Espinoza Brayhan Jose</t>
  </si>
  <si>
    <t>Molina Rojas Genesis Angely</t>
  </si>
  <si>
    <t>Delgado Cabezas Rosa Magdalena</t>
  </si>
  <si>
    <t>Segovia Lisbeira del Carmen</t>
  </si>
  <si>
    <t>Rubio Briceño Diana Carolina</t>
  </si>
  <si>
    <t>Moreno Bastidas Rixnelly Maria</t>
  </si>
  <si>
    <t>Rivas Torres Rosa Alba</t>
  </si>
  <si>
    <t>Perdomo Juarez Jose De Jesus</t>
  </si>
  <si>
    <t>Moreno Andreina del Valle</t>
  </si>
  <si>
    <t>Ramirez Valderrama Yesire Daniela</t>
  </si>
  <si>
    <t>Mendoza Cardozo Josue Vicensio</t>
  </si>
  <si>
    <t>Quintero Peña Maria Alejandra</t>
  </si>
  <si>
    <t>Castillo Carrizo Katherine Cecilia</t>
  </si>
  <si>
    <t>Gil Ruiz Marianyeli Sarait</t>
  </si>
  <si>
    <t>Zambrano Briceño Elio Jesus</t>
  </si>
  <si>
    <t>Gonzalez Justo Jariana Roxanny</t>
  </si>
  <si>
    <t>GOBERNACION</t>
  </si>
  <si>
    <t>Acuero Aguilar Yazmin Elsy</t>
  </si>
  <si>
    <t>B3III</t>
  </si>
  <si>
    <t>P2V</t>
  </si>
  <si>
    <t>T2IV</t>
  </si>
  <si>
    <t>B3IV</t>
  </si>
  <si>
    <t>Aguana Sanchez Yraida Josefina</t>
  </si>
  <si>
    <t>Villegas Leon Sonia J.</t>
  </si>
  <si>
    <t>P2IV</t>
  </si>
  <si>
    <t>T2V</t>
  </si>
  <si>
    <t>P2III</t>
  </si>
  <si>
    <t>B3II</t>
  </si>
  <si>
    <t>P3</t>
  </si>
  <si>
    <t>T2III</t>
  </si>
  <si>
    <t>B2</t>
  </si>
  <si>
    <t>P3VI</t>
  </si>
  <si>
    <t>P3I</t>
  </si>
  <si>
    <t>Querales Guillen Franklin Jose</t>
  </si>
  <si>
    <t>T2I</t>
  </si>
  <si>
    <t>P3V</t>
  </si>
  <si>
    <t>B3</t>
  </si>
  <si>
    <t>Contreras Nava Raul Jose</t>
  </si>
  <si>
    <t>Portillo Soto Luis Eduardo</t>
  </si>
  <si>
    <t>P3IV</t>
  </si>
  <si>
    <t>ENTRENADOR DEPORTIVO II</t>
  </si>
  <si>
    <t>Montilla Briceño Yorgelis Fabiola</t>
  </si>
  <si>
    <t>AGUIAL CARRILLO GREGORIA COROMOTO</t>
  </si>
  <si>
    <t>Paredes Marquez Eduardo Jesus</t>
  </si>
  <si>
    <t>Ramirez Garcia Maria Perpetua</t>
  </si>
  <si>
    <t>Salas Quintero Jose Gregorio</t>
  </si>
  <si>
    <t>Flores Diana Yamilet</t>
  </si>
  <si>
    <t>Santiago Torres Jose Ramon</t>
  </si>
  <si>
    <t>Rivas Rivas Jose Gerardo</t>
  </si>
  <si>
    <t>Mejia HIlario Jose</t>
  </si>
  <si>
    <t>Toro Margi Enrique</t>
  </si>
  <si>
    <t>Alarcon Argenio</t>
  </si>
  <si>
    <t>Hernandez de Villegas Zoraida Elodia</t>
  </si>
  <si>
    <t>Ruiz Alberto Jose</t>
  </si>
  <si>
    <t>Rodriguez Fernandez Carlos Eduardo</t>
  </si>
  <si>
    <t>Gutierrez Briceño Jose Justimiano</t>
  </si>
  <si>
    <t>Figueroa Roa Yudith Griselda</t>
  </si>
  <si>
    <t>Campos Muchacho Rafael Angel</t>
  </si>
  <si>
    <t>Vargas Benitez Jose Nerio</t>
  </si>
  <si>
    <t>Lobo Mendoza Luz Marina</t>
  </si>
  <si>
    <t>Paredes Quintero Jose Benigno</t>
  </si>
  <si>
    <t>Milla Ana Julia</t>
  </si>
  <si>
    <t>Hidalgo Linares Gloria Margarita</t>
  </si>
  <si>
    <t>Gonzalez Torres Orangel Ramon</t>
  </si>
  <si>
    <t>Rivero Carrizo Jose Agustin</t>
  </si>
  <si>
    <t>Araujo Moreno Luigi Enrique</t>
  </si>
  <si>
    <t>Viloria Garcia Karina Liseth</t>
  </si>
  <si>
    <t>Quintero Eric Ludwig</t>
  </si>
  <si>
    <t>Delgado Jose Argenis</t>
  </si>
  <si>
    <t>Carrizo Jose Waldo</t>
  </si>
  <si>
    <t>Gutierrez Briceño Jose Orangel</t>
  </si>
  <si>
    <t>Montilla Vergara Belkys Josefina</t>
  </si>
  <si>
    <t xml:space="preserve">Luque Azuaje Rigoberto </t>
  </si>
  <si>
    <t>Barreto Maria Ramona</t>
  </si>
  <si>
    <t>Bentancourt Rivas Luis Enrique</t>
  </si>
  <si>
    <t>Flores Camacho Maria Zoraida</t>
  </si>
  <si>
    <t xml:space="preserve">Sulbaran De Araujo Magaly </t>
  </si>
  <si>
    <t>Aldana Olivar Maria del Carmen</t>
  </si>
  <si>
    <t>Rodriguez Maria Ibel</t>
  </si>
  <si>
    <t>Amaya Perez Carmen Elena</t>
  </si>
  <si>
    <t>Avila Salvio Rodolfo</t>
  </si>
  <si>
    <t>Rivas Carlos Luis</t>
  </si>
  <si>
    <t>Briceño Graterol Oscar Antonio</t>
  </si>
  <si>
    <t>Perez Montilla William Jose</t>
  </si>
  <si>
    <t>Lozada de Estenoz Maria Edicta</t>
  </si>
  <si>
    <t>Mendoza Rangel Ana Beatriz</t>
  </si>
  <si>
    <t>Carrizo Blanco Doris Coromoto</t>
  </si>
  <si>
    <t>Gutierrez Briceño Jose Gabriel</t>
  </si>
  <si>
    <t>Artigas Sanchez Mereldes Corina</t>
  </si>
  <si>
    <t>Zerpa Silva Frank Michael</t>
  </si>
  <si>
    <t>Briceño Aldana Yhon Mario</t>
  </si>
  <si>
    <t>Briceño Leal Ana Edelmira</t>
  </si>
  <si>
    <t>Arroyo Williams Jose</t>
  </si>
  <si>
    <t>Perez Montilla Yosmer Alexander</t>
  </si>
  <si>
    <t>Pulido Rojo Wilmer Jose</t>
  </si>
  <si>
    <t>Rivera Virginia del Carmen</t>
  </si>
  <si>
    <t>Umbria de Segovia Alexandra del Carmen</t>
  </si>
  <si>
    <t>Andara Briceño Jean Carlos</t>
  </si>
  <si>
    <t>Pacheco Yudith Del Valle</t>
  </si>
  <si>
    <t>Frias Aldana Yhonny Ramon</t>
  </si>
  <si>
    <t>Chinchilla Perez Jean Carlos</t>
  </si>
  <si>
    <t>Linares Montilla Gerardo Enrique</t>
  </si>
  <si>
    <t>Perez Gonzalez Reinaldo Andre</t>
  </si>
  <si>
    <t>Becerra Teran Maria Alejandra</t>
  </si>
  <si>
    <t>Mecias Nuñez Shirly Ygnacia</t>
  </si>
  <si>
    <t>Garcia Briceño Wuiston Andres</t>
  </si>
  <si>
    <t>Graterol Gonzalez Maria Ysela</t>
  </si>
  <si>
    <t>Briceño Salas Jose Leonardo</t>
  </si>
  <si>
    <t>Briceño Gonzalez Mirla Carolina</t>
  </si>
  <si>
    <t>Zambrano Rodriguez Yajaira Karina</t>
  </si>
  <si>
    <t>Montilla Mendoza Addy Coromoto</t>
  </si>
  <si>
    <t>Torres Villarreal Yenny del Carmen</t>
  </si>
  <si>
    <t>Gonzalez Simancas Yulimar del Valle</t>
  </si>
  <si>
    <t>Torres Alvarez Olga Josefina</t>
  </si>
  <si>
    <t>Ojeda Teran Julio Cesar</t>
  </si>
  <si>
    <t>Ramirez Manzanilla Jose Jesus</t>
  </si>
  <si>
    <t>Frias Aldana Giovanny Jacinto</t>
  </si>
  <si>
    <t>Olmos Linares Luis Alberto</t>
  </si>
  <si>
    <t>Barreto Manzanilla Yukeysi del Valle</t>
  </si>
  <si>
    <t>Torres Villarreal Lisbeth Carolina</t>
  </si>
  <si>
    <t>Isarra Materan Jose de La Paz</t>
  </si>
  <si>
    <t>Azuaje Espinoza Erick Enrique</t>
  </si>
  <si>
    <t>Castellanos Paredes Luis Gregorio</t>
  </si>
  <si>
    <t>Davila Sanchez Eduar Alexander</t>
  </si>
  <si>
    <t>Barrios Briceño Christian Xavier</t>
  </si>
  <si>
    <t>Rivero Lamus Ninoska del Valle</t>
  </si>
  <si>
    <t>Barreto Rivero Luis Diego</t>
  </si>
  <si>
    <t>Gonzalez Castellanos Yusberly Yohandri</t>
  </si>
  <si>
    <t>Rojas Carrillo Laureano Augusto</t>
  </si>
  <si>
    <t>Quintero Rangel Jose Arsenio</t>
  </si>
  <si>
    <t>Hernandez Gomez Carmen Elena</t>
  </si>
  <si>
    <t>ESPECIFICACION DE CARGO</t>
  </si>
  <si>
    <t xml:space="preserve">Directora General (E) </t>
  </si>
  <si>
    <t>Jefe (E) de la Direccion de Talento Humano</t>
  </si>
  <si>
    <t>Coordinador de Centro</t>
  </si>
  <si>
    <t>GUIA DE CENTRO I  (NOCTURNO)</t>
  </si>
  <si>
    <t>GUIA DE CENTRO II  (NOCTURNO)</t>
  </si>
  <si>
    <t xml:space="preserve">TABULADOR DE SUELDOS GOBERNACION </t>
  </si>
  <si>
    <t>EMPLEADOS</t>
  </si>
  <si>
    <t>GRUPOS O CLASES DE CARGOS</t>
  </si>
  <si>
    <t>I                      0-2 años</t>
  </si>
  <si>
    <t>II                              3-5 años</t>
  </si>
  <si>
    <t>III                    6-8 años</t>
  </si>
  <si>
    <t>IV                   9-11 años</t>
  </si>
  <si>
    <t>V                   12-14 años</t>
  </si>
  <si>
    <t>VI                 15-17 años</t>
  </si>
  <si>
    <t>VII                 18 años mas</t>
  </si>
  <si>
    <t>VII                    18 años mas</t>
  </si>
  <si>
    <t>PERSONAL ADMINISTRATIVO  O BACHILERES</t>
  </si>
  <si>
    <t>grados 1 al 11</t>
  </si>
  <si>
    <t xml:space="preserve">B I     </t>
  </si>
  <si>
    <t>B II</t>
  </si>
  <si>
    <t>B III</t>
  </si>
  <si>
    <t>PERSONAL TECNICO SUPERIOR UNIVERSITARIO</t>
  </si>
  <si>
    <t>grados 15 al 16</t>
  </si>
  <si>
    <t xml:space="preserve"> T I </t>
  </si>
  <si>
    <t>T II</t>
  </si>
  <si>
    <t>PERSONAL PROFESIONAL UNIVERSITARIO</t>
  </si>
  <si>
    <t>grados 17 en adelante</t>
  </si>
  <si>
    <t>P I</t>
  </si>
  <si>
    <t>PII</t>
  </si>
  <si>
    <t>maestrias-especialidades posgrados-doctorados</t>
  </si>
  <si>
    <t>PIII</t>
  </si>
  <si>
    <t>BNO NOCT</t>
  </si>
  <si>
    <t>NOCTURN</t>
  </si>
  <si>
    <t>TURNO</t>
  </si>
  <si>
    <t>Ramirez Ramirez Natali Gabriela</t>
  </si>
  <si>
    <t>Bastidas Rivera Franklin Enrique</t>
  </si>
  <si>
    <t>Ayudante de Servicios Generales</t>
  </si>
  <si>
    <t>Cocinera</t>
  </si>
  <si>
    <t xml:space="preserve">Vigilante  </t>
  </si>
  <si>
    <t>Mensajero</t>
  </si>
  <si>
    <t>Aseadora</t>
  </si>
  <si>
    <t>Ayudante de Almacen</t>
  </si>
  <si>
    <t>Ayudante Agropecuario</t>
  </si>
  <si>
    <t>Chofer De Transporte</t>
  </si>
  <si>
    <t>Cocinero</t>
  </si>
  <si>
    <t>Aseador</t>
  </si>
  <si>
    <t>Vigilante</t>
  </si>
  <si>
    <t>Chofer</t>
  </si>
  <si>
    <t>Ayudante De Almacen</t>
  </si>
  <si>
    <t>Ayud. Serv. De Cocina</t>
  </si>
  <si>
    <t xml:space="preserve">Cocinera </t>
  </si>
  <si>
    <t>Barroeta Cardozo Leonid Andrei</t>
  </si>
  <si>
    <t>SURTRAPPS</t>
  </si>
  <si>
    <t>SUODE</t>
  </si>
  <si>
    <t>Nº CUENTA</t>
  </si>
  <si>
    <t>01020369460000170309</t>
  </si>
  <si>
    <t>01020373230000439626</t>
  </si>
  <si>
    <t>01020373250000439639</t>
  </si>
  <si>
    <t>01020373220000457925</t>
  </si>
  <si>
    <t>01020494140100019952</t>
  </si>
  <si>
    <t>01020373250000677572</t>
  </si>
  <si>
    <t>01020373290000439024</t>
  </si>
  <si>
    <t>01020373200000441203</t>
  </si>
  <si>
    <t>01020373230000441232</t>
  </si>
  <si>
    <t>01020373250000441245</t>
  </si>
  <si>
    <t>01020373200000663269</t>
  </si>
  <si>
    <t>01020747950000338701</t>
  </si>
  <si>
    <t>01020373220000636076</t>
  </si>
  <si>
    <t>01020373210000439121</t>
  </si>
  <si>
    <t>01020373220100088447</t>
  </si>
  <si>
    <t>01020373210000627881</t>
  </si>
  <si>
    <t>01020373270000771465</t>
  </si>
  <si>
    <t>01020373260000438708</t>
  </si>
  <si>
    <t>01020373200000438737</t>
  </si>
  <si>
    <t>01020373250000442105</t>
  </si>
  <si>
    <t>01020373210000442231</t>
  </si>
  <si>
    <t>01020373240000442257</t>
  </si>
  <si>
    <t>01020373210000629274</t>
  </si>
  <si>
    <t>01020373200000573359</t>
  </si>
  <si>
    <t>01020494110100021350</t>
  </si>
  <si>
    <t>01020373240000917180</t>
  </si>
  <si>
    <t>01020373240000441481</t>
  </si>
  <si>
    <t>01020373210000441533</t>
  </si>
  <si>
    <t>01020373250001007549</t>
  </si>
  <si>
    <t>01020373210000632070</t>
  </si>
  <si>
    <t>01020373260000439969</t>
  </si>
  <si>
    <t>01020373290000645766</t>
  </si>
  <si>
    <t>01020373220000440039</t>
  </si>
  <si>
    <t>01020373280000440084</t>
  </si>
  <si>
    <t>01020373290000795425</t>
  </si>
  <si>
    <t>01020373220000534194</t>
  </si>
  <si>
    <t>01020373240000440136</t>
  </si>
  <si>
    <t>01020494190000306652</t>
  </si>
  <si>
    <t>01020373210000585499</t>
  </si>
  <si>
    <t>01020494180000215387</t>
  </si>
  <si>
    <t>01020373210000462826</t>
  </si>
  <si>
    <t>01020747950000378907</t>
  </si>
  <si>
    <t>01020373230000440369</t>
  </si>
  <si>
    <t>01020373210000440437</t>
  </si>
  <si>
    <t>01020369430000456395</t>
  </si>
  <si>
    <t>01020373290000704542</t>
  </si>
  <si>
    <t>01020589150000132185</t>
  </si>
  <si>
    <t>01020747910000502511</t>
  </si>
  <si>
    <t>01020103970000402006</t>
  </si>
  <si>
    <t>01020373220000439862</t>
  </si>
  <si>
    <t>01020493340100014013</t>
  </si>
  <si>
    <t>01020373220000626633</t>
  </si>
  <si>
    <t>01020494160100025880</t>
  </si>
  <si>
    <t>01020373210000457747</t>
  </si>
  <si>
    <t>01020373290000440819</t>
  </si>
  <si>
    <t>01020494180000228866</t>
  </si>
  <si>
    <t>01020373210000440835</t>
  </si>
  <si>
    <t>01020373260100101629</t>
  </si>
  <si>
    <t>01020373260000274263</t>
  </si>
  <si>
    <t>01020373260000440233</t>
  </si>
  <si>
    <t>01020373210000440275</t>
  </si>
  <si>
    <t>01020373200000441041</t>
  </si>
  <si>
    <t>01020747960000205931</t>
  </si>
  <si>
    <t>01020747950000258959</t>
  </si>
  <si>
    <t>01020373210000442477</t>
  </si>
  <si>
    <t>01020373290000785655</t>
  </si>
  <si>
    <t>01020373210000785668</t>
  </si>
  <si>
    <t>01020373260000442516</t>
  </si>
  <si>
    <t>01020373220000441630</t>
  </si>
  <si>
    <t>01020373280000525734</t>
  </si>
  <si>
    <t>01020373220000845155</t>
  </si>
  <si>
    <t>01020373230000441876</t>
  </si>
  <si>
    <t>01020261260000181699</t>
  </si>
  <si>
    <t>01020747980000545675</t>
  </si>
  <si>
    <t>01020494170000348238</t>
  </si>
  <si>
    <t>01020369410000550576</t>
  </si>
  <si>
    <t>01020373280000814869</t>
  </si>
  <si>
    <t>01020747950000559263</t>
  </si>
  <si>
    <t>01020369460000565008</t>
  </si>
  <si>
    <t>01020747900000537395</t>
  </si>
  <si>
    <t>01020369480000637842</t>
  </si>
  <si>
    <t>01020373280000573346</t>
  </si>
  <si>
    <t>01020373230000793906</t>
  </si>
  <si>
    <t>DIFERENCIA</t>
  </si>
  <si>
    <t>Aguial Carrillo Gregoria Coromoto</t>
  </si>
  <si>
    <t>01020373290000440013</t>
  </si>
  <si>
    <t>01020373220000438999</t>
  </si>
  <si>
    <t>01020373260000442189</t>
  </si>
  <si>
    <t>01020373290000440657</t>
  </si>
  <si>
    <t>01020345720000067289</t>
  </si>
  <si>
    <t>01020373210000440521</t>
  </si>
  <si>
    <t>01020369440000056960</t>
  </si>
  <si>
    <t>01020373200000439435</t>
  </si>
  <si>
    <t>01020373280000441669</t>
  </si>
  <si>
    <t>01020373250000478991</t>
  </si>
  <si>
    <t>01020494110000059129</t>
  </si>
  <si>
    <t>01020373200000925677</t>
  </si>
  <si>
    <t>01020373260000439244</t>
  </si>
  <si>
    <t>01020747950000327987</t>
  </si>
  <si>
    <t>01020369460001033238</t>
  </si>
  <si>
    <t>01020373240100092027</t>
  </si>
  <si>
    <t>01020373200000442299</t>
  </si>
  <si>
    <t>01020373220000439053</t>
  </si>
  <si>
    <t>01020493380000044516</t>
  </si>
  <si>
    <t>01020373270000678283</t>
  </si>
  <si>
    <t>01020118700000111203</t>
  </si>
  <si>
    <t>01020373220000439781</t>
  </si>
  <si>
    <t>Almazan Barragan Maria de los Angeles</t>
  </si>
  <si>
    <t>Mendoza Mendoza Mirian Del Milagro</t>
  </si>
  <si>
    <t>Montilla Macias Lucy Margarita</t>
  </si>
  <si>
    <t>01020876910000061829</t>
  </si>
  <si>
    <t>01020373280000439419</t>
  </si>
  <si>
    <t>01020369470000060626</t>
  </si>
  <si>
    <t>Abogado I</t>
  </si>
  <si>
    <t>Promotor Cultural I</t>
  </si>
  <si>
    <t>Jefe de Centro</t>
  </si>
  <si>
    <t>Asistente Administrativo III</t>
  </si>
  <si>
    <t>Asistente de Analista III</t>
  </si>
  <si>
    <t>Guia de Centro II</t>
  </si>
  <si>
    <t>Guia de Centro I</t>
  </si>
  <si>
    <t>Asistente Administrativo IV</t>
  </si>
  <si>
    <t>Tecnico Superior en Trabajo Social I</t>
  </si>
  <si>
    <t>Analista de Presupuesto III</t>
  </si>
  <si>
    <t>Tecnico Agropecuario III</t>
  </si>
  <si>
    <t>Ingeniero Industrial II</t>
  </si>
  <si>
    <t>Tutor Facilitador I</t>
  </si>
  <si>
    <t>Medico jefe I</t>
  </si>
  <si>
    <t>Tutor Facilitador II</t>
  </si>
  <si>
    <t>Secretaria Ejecutiva I</t>
  </si>
  <si>
    <t>Entrenador Deportivo I</t>
  </si>
  <si>
    <t>Supervisor de Servicios Generales IV</t>
  </si>
  <si>
    <t>Analista de Procesamiento de Datos I</t>
  </si>
  <si>
    <t>Asistente Administrativo I</t>
  </si>
  <si>
    <t>Asistente de Servicio Social</t>
  </si>
  <si>
    <t>Tutor Facilitador III</t>
  </si>
  <si>
    <t>Morillo Valero Ender Ramon</t>
  </si>
  <si>
    <t>Delegado de Prueba II</t>
  </si>
  <si>
    <t>Almacenista I</t>
  </si>
  <si>
    <t>Administrador IV</t>
  </si>
  <si>
    <t>Supervisor de Servicios Generales III</t>
  </si>
  <si>
    <t>Enfermera Jefe I</t>
  </si>
  <si>
    <t>Especialista en Informatica I</t>
  </si>
  <si>
    <t>Medico Especialista I</t>
  </si>
  <si>
    <t>Analista de Presupuesto Jefe</t>
  </si>
  <si>
    <t>Entrenador Deportivo IV</t>
  </si>
  <si>
    <t>Analista de Personal VI</t>
  </si>
  <si>
    <t>Administrador III</t>
  </si>
  <si>
    <t>Entrenador Deportivo V</t>
  </si>
  <si>
    <t>Técnico Superior en Trabajo Social II</t>
  </si>
  <si>
    <t>Planificador V</t>
  </si>
  <si>
    <t>Administrador I</t>
  </si>
  <si>
    <t>Tecnico Superior en Trabajo Social II</t>
  </si>
  <si>
    <t>Contador II</t>
  </si>
  <si>
    <t xml:space="preserve">Tecnico Superior en Trabajo Social I                 </t>
  </si>
  <si>
    <t xml:space="preserve">Coy de Dorante Sandra Liliana </t>
  </si>
  <si>
    <t>Trabajador Social III</t>
  </si>
  <si>
    <t>Analista de Personal V</t>
  </si>
  <si>
    <t>Trabajador Social II</t>
  </si>
  <si>
    <t>Auditor IV</t>
  </si>
  <si>
    <t>Instructor Agropecuario III</t>
  </si>
  <si>
    <t>Analista de Presupuesto IV</t>
  </si>
  <si>
    <t>Ingeniero Electricista II</t>
  </si>
  <si>
    <t>Analista de Personal I</t>
  </si>
  <si>
    <t>Tecnico en Reparacion y Mantenimiento I</t>
  </si>
  <si>
    <t>Psicologo I</t>
  </si>
  <si>
    <t>Planificador I</t>
  </si>
  <si>
    <t>Economo I</t>
  </si>
  <si>
    <t>Entrenador Deportivo II</t>
  </si>
  <si>
    <t>Asistente de Relaciones Publicas</t>
  </si>
  <si>
    <t>Psicologo II</t>
  </si>
  <si>
    <t>Asistente de servicio Social</t>
  </si>
  <si>
    <t>01020494120000043575</t>
  </si>
  <si>
    <t>01020373290000399740</t>
  </si>
  <si>
    <t>01020373250000439642</t>
  </si>
  <si>
    <t>01020373210000439684</t>
  </si>
  <si>
    <t>01020373250000439723</t>
  </si>
  <si>
    <t>01020427590000460213</t>
  </si>
  <si>
    <t>01020373290000438973</t>
  </si>
  <si>
    <t>01020373210000441287</t>
  </si>
  <si>
    <t>01020373210000441290</t>
  </si>
  <si>
    <t>01020373270000441342</t>
  </si>
  <si>
    <t>01020373210000441449</t>
  </si>
  <si>
    <t>01020373210000441452</t>
  </si>
  <si>
    <t>01020373240000440699</t>
  </si>
  <si>
    <t>01020373250000440709</t>
  </si>
  <si>
    <t>01020369460000055631</t>
  </si>
  <si>
    <t>01020373220000439134</t>
  </si>
  <si>
    <t>01020373200000439192</t>
  </si>
  <si>
    <t>01020373220000439215</t>
  </si>
  <si>
    <t>01020373240000439228</t>
  </si>
  <si>
    <t>01020373250000676955</t>
  </si>
  <si>
    <t>01020373280000439260</t>
  </si>
  <si>
    <t>01020373290000479961</t>
  </si>
  <si>
    <t>01020373290000539432</t>
  </si>
  <si>
    <t>01020373200000438656</t>
  </si>
  <si>
    <t>01020501840006794750</t>
  </si>
  <si>
    <t>01020373210000438672</t>
  </si>
  <si>
    <t>01020373250000438698</t>
  </si>
  <si>
    <t>01020373260000438711</t>
  </si>
  <si>
    <t>01020373280000908380</t>
  </si>
  <si>
    <t>01020373290000241267</t>
  </si>
  <si>
    <t>01020373270000442040</t>
  </si>
  <si>
    <t>01020373220000442079</t>
  </si>
  <si>
    <t>01020373220000442082</t>
  </si>
  <si>
    <t>01020373240000442095</t>
  </si>
  <si>
    <t>01020373230000232797</t>
  </si>
  <si>
    <t>01020373220000442244</t>
  </si>
  <si>
    <t>01020373240000442260</t>
  </si>
  <si>
    <t>01020346550106621985</t>
  </si>
  <si>
    <t>01020373210000442312</t>
  </si>
  <si>
    <t>01020373210000442309</t>
  </si>
  <si>
    <t>01020373220000442325</t>
  </si>
  <si>
    <t>01020373280000536121</t>
  </si>
  <si>
    <t>01020373240000678911</t>
  </si>
  <si>
    <t>01020747930000123398</t>
  </si>
  <si>
    <t>01020373270000441504</t>
  </si>
  <si>
    <t>01020373290000441517</t>
  </si>
  <si>
    <t>01020373290000441520</t>
  </si>
  <si>
    <t>01020373270000678607</t>
  </si>
  <si>
    <t>01020373260000441575</t>
  </si>
  <si>
    <t>01020373290000439914</t>
  </si>
  <si>
    <t>01020373220000439943</t>
  </si>
  <si>
    <t>01020373280000439985</t>
  </si>
  <si>
    <t>01020373290000553900</t>
  </si>
  <si>
    <t>01020373210000440026</t>
  </si>
  <si>
    <t>01020373220000440042</t>
  </si>
  <si>
    <t>01020494190100020863</t>
  </si>
  <si>
    <t>01020494110100027091</t>
  </si>
  <si>
    <t>01020373260000440149</t>
  </si>
  <si>
    <t>01020373210100087140</t>
  </si>
  <si>
    <t>01020373260000440152</t>
  </si>
  <si>
    <t>01020373240000102199</t>
  </si>
  <si>
    <t>01020373260000439406</t>
  </si>
  <si>
    <t>01020373210000439448</t>
  </si>
  <si>
    <t>01020373210000439451</t>
  </si>
  <si>
    <t>01020369420000374529</t>
  </si>
  <si>
    <t>01020369410100085388</t>
  </si>
  <si>
    <t>01020373290100099144</t>
  </si>
  <si>
    <t>01020373280000440408</t>
  </si>
  <si>
    <t>01020373250100082685</t>
  </si>
  <si>
    <t>01020373230000440453</t>
  </si>
  <si>
    <t>01020747920000279093</t>
  </si>
  <si>
    <t>01020373200000573362</t>
  </si>
  <si>
    <t>01020747950100000700</t>
  </si>
  <si>
    <t>01020373230000440534</t>
  </si>
  <si>
    <t>01020369430000056708</t>
  </si>
  <si>
    <t>01020373210000440602</t>
  </si>
  <si>
    <t>01020494100000117605</t>
  </si>
  <si>
    <t>01020373240000439794</t>
  </si>
  <si>
    <t>01020373250000439804</t>
  </si>
  <si>
    <t>01020373270000439817</t>
  </si>
  <si>
    <t>01020373210000439846</t>
  </si>
  <si>
    <t>01020494110000176662</t>
  </si>
  <si>
    <t>01020369400000057134</t>
  </si>
  <si>
    <t>01020494160100019464</t>
  </si>
  <si>
    <t>01020373260000608033</t>
  </si>
  <si>
    <t>01020373290000030960</t>
  </si>
  <si>
    <t>01020747990100002783</t>
  </si>
  <si>
    <t>01020373290000440822</t>
  </si>
  <si>
    <t>01020373240000440864</t>
  </si>
  <si>
    <t>01020373260000440877</t>
  </si>
  <si>
    <t>01020373290100097099</t>
  </si>
  <si>
    <t>01020373260000435811</t>
  </si>
  <si>
    <t>01020373240000483892</t>
  </si>
  <si>
    <t>01020373240000440945</t>
  </si>
  <si>
    <t>01020373260000441009</t>
  </si>
  <si>
    <t>01020373260000441012</t>
  </si>
  <si>
    <t>01020373280000441025</t>
  </si>
  <si>
    <t>01020373200000440990</t>
  </si>
  <si>
    <t>01020493370100014857</t>
  </si>
  <si>
    <t>01020373210000234339</t>
  </si>
  <si>
    <t>01020373210000440194</t>
  </si>
  <si>
    <t>01020373220000457763</t>
  </si>
  <si>
    <t>01020494180000329969</t>
  </si>
  <si>
    <t>01020373200000438575</t>
  </si>
  <si>
    <t>01020373260000439325</t>
  </si>
  <si>
    <t>01020373290000439752</t>
  </si>
  <si>
    <t>01020747920100003199</t>
  </si>
  <si>
    <t>01020373210100092331</t>
  </si>
  <si>
    <t>01020373240000634942</t>
  </si>
  <si>
    <t>01020494170000072627</t>
  </si>
  <si>
    <t>01020373240000442338</t>
  </si>
  <si>
    <t>01020494100000133948</t>
  </si>
  <si>
    <t>01020373220000686055</t>
  </si>
  <si>
    <t>01020373280000442370</t>
  </si>
  <si>
    <t>01020494150000238694</t>
  </si>
  <si>
    <t>01020747920000010236</t>
  </si>
  <si>
    <t>01020373230000462839</t>
  </si>
  <si>
    <t>01020369470000056821</t>
  </si>
  <si>
    <t>01020369460000427243</t>
  </si>
  <si>
    <t>01020373280000442451</t>
  </si>
  <si>
    <t>01020373200000442464</t>
  </si>
  <si>
    <t>01020373240000541323</t>
  </si>
  <si>
    <t>01020373230000442493</t>
  </si>
  <si>
    <t>01020373280000635912</t>
  </si>
  <si>
    <t>01020373210000665649</t>
  </si>
  <si>
    <t>01020373240000968498</t>
  </si>
  <si>
    <t>01020373260000525718</t>
  </si>
  <si>
    <t>01020373290000591014</t>
  </si>
  <si>
    <t>01020373200000442545</t>
  </si>
  <si>
    <t>01020373260000670919</t>
  </si>
  <si>
    <t>01020373210000442561</t>
  </si>
  <si>
    <t>01020369400000075679</t>
  </si>
  <si>
    <t>01020373220100097990</t>
  </si>
  <si>
    <t>01020747960000015370</t>
  </si>
  <si>
    <t>01020373260000442600</t>
  </si>
  <si>
    <t>01020373220000553926</t>
  </si>
  <si>
    <t>01020373250000671853</t>
  </si>
  <si>
    <t>01020494100100024354</t>
  </si>
  <si>
    <t>01020373220000849559</t>
  </si>
  <si>
    <t>01020494190000149110</t>
  </si>
  <si>
    <t>01020373280100092834</t>
  </si>
  <si>
    <t>01020747910000505657</t>
  </si>
  <si>
    <t>01020373230000536163</t>
  </si>
  <si>
    <t>01020373240100092366</t>
  </si>
  <si>
    <t>01020373280000308605</t>
  </si>
  <si>
    <t>01020494160000440149</t>
  </si>
  <si>
    <t>01020373200000441685</t>
  </si>
  <si>
    <t>01020373210000594095</t>
  </si>
  <si>
    <t>01020373230000787488</t>
  </si>
  <si>
    <t>01020493310000189934</t>
  </si>
  <si>
    <t>01020373220000660880</t>
  </si>
  <si>
    <t>01020373270000378596</t>
  </si>
  <si>
    <t>01020747990000214375</t>
  </si>
  <si>
    <t>01020373200000441766</t>
  </si>
  <si>
    <t>01020494140000224190</t>
  </si>
  <si>
    <t>01020493360000196927</t>
  </si>
  <si>
    <t>01020493390000326470</t>
  </si>
  <si>
    <t>01020747910000270144</t>
  </si>
  <si>
    <t>01020373290000652636</t>
  </si>
  <si>
    <t>01020501860002859343</t>
  </si>
  <si>
    <t>01020747920000079413</t>
  </si>
  <si>
    <t>01020369410000487843</t>
  </si>
  <si>
    <t>01020373210000102500</t>
  </si>
  <si>
    <t>01020373250000441083</t>
  </si>
  <si>
    <t>01020373270000957409</t>
  </si>
  <si>
    <t>01020747940000520519</t>
  </si>
  <si>
    <t>01020373230000787491</t>
  </si>
  <si>
    <t>01020373230000797096</t>
  </si>
  <si>
    <t>01020373230000441960</t>
  </si>
  <si>
    <t>01020373270000623364</t>
  </si>
  <si>
    <t>01020373200100101062</t>
  </si>
  <si>
    <t>01020747920000495848</t>
  </si>
  <si>
    <t>01020494180000240158</t>
  </si>
  <si>
    <t>01020373290000623377</t>
  </si>
  <si>
    <t>01020678260100005277</t>
  </si>
  <si>
    <t>01020369490000687261</t>
  </si>
  <si>
    <t>01020373290000674300</t>
  </si>
  <si>
    <t>01020493370100017998</t>
  </si>
  <si>
    <t>01020747980000531498</t>
  </si>
  <si>
    <t>01020747990000438164</t>
  </si>
  <si>
    <t>01020373280000915331</t>
  </si>
  <si>
    <t>01020747940100002455</t>
  </si>
  <si>
    <t>01020373220000704571</t>
  </si>
  <si>
    <t>01020373280000632203</t>
  </si>
  <si>
    <t>01020373240000704584</t>
  </si>
  <si>
    <t>01020865310000253527</t>
  </si>
  <si>
    <t>01020373260000797122</t>
  </si>
  <si>
    <t>01020747920100002151</t>
  </si>
  <si>
    <t>01020373290000806990</t>
  </si>
  <si>
    <t>01020373220000793896</t>
  </si>
  <si>
    <t>01020494170100027913</t>
  </si>
  <si>
    <t>01020373260100100853</t>
  </si>
  <si>
    <t>01020373290000623380</t>
  </si>
  <si>
    <t>01020493310100022258</t>
  </si>
  <si>
    <t>01020373230000817976</t>
  </si>
  <si>
    <t>P1   (0-2 AÑOS)</t>
  </si>
  <si>
    <t>B3III   (15-17 AÑOS)</t>
  </si>
  <si>
    <t>P2V    (18 EN ADELANTE)</t>
  </si>
  <si>
    <t>T2III   (12-14 AÑOS)</t>
  </si>
  <si>
    <t>P2IV   (15-17 AÑOS)</t>
  </si>
  <si>
    <t>T2IV   (15-17 AÑOS)</t>
  </si>
  <si>
    <t>T1   (0-2 AÑOS)</t>
  </si>
  <si>
    <t>B3IV   (18 EN ADELANTE)</t>
  </si>
  <si>
    <t>B3II   (12-14 AÑOS)</t>
  </si>
  <si>
    <t>B3I   (9-11 AÑOS)</t>
  </si>
  <si>
    <t>P2III   (12-14 AÑOS)</t>
  </si>
  <si>
    <t>P2   (3-5 AÑOS)</t>
  </si>
  <si>
    <t>T2   (3-5 AÑOS)</t>
  </si>
  <si>
    <t>P3    (0-2 AÑOS)</t>
  </si>
  <si>
    <t>B1   (0-2 AÑOS)</t>
  </si>
  <si>
    <t>T2V   (18 EN ADELANTE)</t>
  </si>
  <si>
    <t>T2II   (9-11 AÑOS)</t>
  </si>
  <si>
    <t xml:space="preserve">P2II   (9-11 AÑOS)  </t>
  </si>
  <si>
    <t>P3VI   (18 EN ADELANTE)</t>
  </si>
  <si>
    <t>P2I   (6-8 AÑOS)</t>
  </si>
  <si>
    <t>P3I     (3-5 AÑOS)</t>
  </si>
  <si>
    <t>B2   (3-5 AÑOS)</t>
  </si>
  <si>
    <t>T2I   (6-8 AÑOS)</t>
  </si>
  <si>
    <t>P3V    (15-17 AÑOS)</t>
  </si>
  <si>
    <t>B3   (6-8 AÑOS)</t>
  </si>
  <si>
    <t>P3II     (6-8 AÑOS)</t>
  </si>
  <si>
    <t>Administrador Jefe</t>
  </si>
  <si>
    <t>Ingeniero Agronomo III</t>
  </si>
  <si>
    <t>Abogado Jefe</t>
  </si>
  <si>
    <t>Fernandez Garcia Rafael Ramon</t>
  </si>
  <si>
    <t>01020747940000526241</t>
  </si>
  <si>
    <t>VACANTES EMPLEADOS</t>
  </si>
  <si>
    <t>PRIMAS MENSUALES</t>
  </si>
  <si>
    <t>TOTAL DE PRIMAS
MENSUAL</t>
  </si>
  <si>
    <t>SAREN</t>
  </si>
  <si>
    <t>TXT</t>
  </si>
  <si>
    <t>Monto total Fisicos</t>
  </si>
  <si>
    <t>1RA QUINCENA</t>
  </si>
  <si>
    <t>2DA QUINCENA</t>
  </si>
  <si>
    <t>DIAS FERIADOS LABORADOS</t>
  </si>
  <si>
    <r>
      <t xml:space="preserve">DIAS FERIADOS </t>
    </r>
    <r>
      <rPr>
        <b/>
        <sz val="12"/>
        <color rgb="FFFF0000"/>
        <rFont val="Arial"/>
        <family val="2"/>
      </rPr>
      <t>NO</t>
    </r>
    <r>
      <rPr>
        <b/>
        <sz val="12"/>
        <rFont val="Arial"/>
        <family val="2"/>
      </rPr>
      <t xml:space="preserve"> LABORADOS</t>
    </r>
  </si>
  <si>
    <t>TXT BONO NOCTURNO</t>
  </si>
  <si>
    <t>TXT CONTRIBUCION POR DISCAPACIDAD</t>
  </si>
  <si>
    <t>TXT VACACIONES</t>
  </si>
  <si>
    <t>APORTES + DEDUCCIONES</t>
  </si>
  <si>
    <t>TXT CESTA TICKET</t>
  </si>
  <si>
    <t>RESUMEN</t>
  </si>
  <si>
    <t>ALTO NIVEL</t>
  </si>
  <si>
    <t>TOTAL PERSONAL COMISION DE SERVICIO</t>
  </si>
  <si>
    <t>TOTAL PERSONAL ALTO NIVEL</t>
  </si>
  <si>
    <t>Bastidas Rivera Junior Antonio</t>
  </si>
  <si>
    <t>01020369410000923705</t>
  </si>
  <si>
    <t>01020373260001158317</t>
  </si>
  <si>
    <t>Rosales Ruiz Jesus Alberto</t>
  </si>
  <si>
    <t>01020494160000531485</t>
  </si>
  <si>
    <t>Briceño Valiente Yuverlis Evelin</t>
  </si>
  <si>
    <t>Fernandez Romero Numa Manuel</t>
  </si>
  <si>
    <t>01020373290000659053</t>
  </si>
  <si>
    <t>Briceño Aguilar Rebeca Andreina</t>
  </si>
  <si>
    <t xml:space="preserve">UBICACIÓN </t>
  </si>
  <si>
    <t>Direccion General</t>
  </si>
  <si>
    <t>Direccion de Administracion</t>
  </si>
  <si>
    <t>Direccion de Talento Humano</t>
  </si>
  <si>
    <t>Oficina De Consultoria Juridica</t>
  </si>
  <si>
    <t>Division compras y suministro (Direccion De Administracion)</t>
  </si>
  <si>
    <t>Division Servicios Gen. (Direccion De Administracion)</t>
  </si>
  <si>
    <t>Coord. del Programa Socio educativo / CARESA Valera</t>
  </si>
  <si>
    <t xml:space="preserve">Coord. del Programa Socio Educativo </t>
  </si>
  <si>
    <t>Coordinacion de Apoyo y Orientacion</t>
  </si>
  <si>
    <t>Direccion De Administracion</t>
  </si>
  <si>
    <t>Casa Hogar Niño Simon</t>
  </si>
  <si>
    <t>Coordinacion De Formacion, Adiestramiento Y Capacitacion</t>
  </si>
  <si>
    <t>CACNNA El Milagro</t>
  </si>
  <si>
    <t>Casa Hogar Maternal</t>
  </si>
  <si>
    <t>CREDNNA Pampan</t>
  </si>
  <si>
    <t>CREDNNA Valera</t>
  </si>
  <si>
    <t>CACNNA San Luis</t>
  </si>
  <si>
    <t>Centro de Responsabilidad Adolecentes Varones</t>
  </si>
  <si>
    <t>Coordinacion De Cultura, Deporte Y Recreacion</t>
  </si>
  <si>
    <t xml:space="preserve">Direccion De Planificacion Y Programas </t>
  </si>
  <si>
    <t>Direccion De Planificacion Y Programas</t>
  </si>
  <si>
    <t xml:space="preserve">Casa Hogar Adolescentes Hembras/ Barbarita de la Torre                              </t>
  </si>
  <si>
    <t>Casa Hogar Adolescentes Varones</t>
  </si>
  <si>
    <t>Direccion De Talento Humano</t>
  </si>
  <si>
    <t>Division De Compras Y Suministros (Direccion De Administracion)</t>
  </si>
  <si>
    <t>CREDNNA Betijoque</t>
  </si>
  <si>
    <t>Oficina De Auditoria Interna</t>
  </si>
  <si>
    <t>Coordinacion Programa Abrigo</t>
  </si>
  <si>
    <t>CACNNA Bocono</t>
  </si>
  <si>
    <t>Coordinacion De Nutricion Y Comedores</t>
  </si>
  <si>
    <t>Division De Servicios Generales (Direccion De Administracion)</t>
  </si>
  <si>
    <t>Direccion De Planificacion Y Programas - Programa Abrigo</t>
  </si>
  <si>
    <t>Centro de Responsabilidad Adolescentes Varones</t>
  </si>
  <si>
    <t xml:space="preserve">Casa Hogar Maternal                      </t>
  </si>
  <si>
    <t>Colocaciones Familiares</t>
  </si>
  <si>
    <t xml:space="preserve">Casa Hogar Maternal                 </t>
  </si>
  <si>
    <t>Division De Servicios Generales (Direcc. De Administracion)</t>
  </si>
  <si>
    <t>Coordinacion de Nutricion y Comedores</t>
  </si>
  <si>
    <t>Gobernación Socialista del Estado Trujillo</t>
  </si>
  <si>
    <t>Servicio Administrativo de Protección del Niño, Niña y Adolescente del Estado Trujillo</t>
  </si>
  <si>
    <t>Dirección de Talento Humano</t>
  </si>
  <si>
    <t>CEDULA DE</t>
  </si>
  <si>
    <t>N°</t>
  </si>
  <si>
    <t>HIJO(S)</t>
  </si>
  <si>
    <t>SEXO</t>
  </si>
  <si>
    <t>FECHA DE</t>
  </si>
  <si>
    <t>EDAD</t>
  </si>
  <si>
    <t>IDENTIDAD</t>
  </si>
  <si>
    <t>CARGOS</t>
  </si>
  <si>
    <t>APELLIDOS Y NOMBRES</t>
  </si>
  <si>
    <t>NACIMIENTO</t>
  </si>
  <si>
    <t>Garcia Viloria Roberto Alejandro</t>
  </si>
  <si>
    <t>Garcia Viloria Daniela Sabrina</t>
  </si>
  <si>
    <t>Viloria Marquez Angel</t>
  </si>
  <si>
    <t>Chacin Datica Fabiana Victoria</t>
  </si>
  <si>
    <t>Barrios Suarez Nhayelli Vanessa</t>
  </si>
  <si>
    <t>Barrios Suarez Natasha Valentina</t>
  </si>
  <si>
    <t>Sulbaran Abreu Alberlyn</t>
  </si>
  <si>
    <t xml:space="preserve">Valera Montilla Gabriel Josue </t>
  </si>
  <si>
    <t>Rojas Sanchez Maria Jose</t>
  </si>
  <si>
    <t>Rojas Sanchez Javier De Jesus</t>
  </si>
  <si>
    <t>Mendez Castillo Marien Gabriela</t>
  </si>
  <si>
    <t>Escalona Godoy Luis Alfonso</t>
  </si>
  <si>
    <t>Garcia Segovia Camila Valentina</t>
  </si>
  <si>
    <t>Hernandez Camacho Glaismar</t>
  </si>
  <si>
    <t>Osuna gonzalez Ricardo</t>
  </si>
  <si>
    <t>Moreno Gonzalez Marian</t>
  </si>
  <si>
    <t>SUSPENDIDA</t>
  </si>
  <si>
    <t>Viloria Mendez Victor Eduardo</t>
  </si>
  <si>
    <t>Viloria Mendez Vicmary Andreina</t>
  </si>
  <si>
    <t>Villegas G. Estefania del Carmen</t>
  </si>
  <si>
    <t>Romero Macias Juan Vicente</t>
  </si>
  <si>
    <t>Romero Macias Miranda Sofia</t>
  </si>
  <si>
    <t>Pirela Abreu Marlon</t>
  </si>
  <si>
    <t>SUSPENDIDA OCT 2021</t>
  </si>
  <si>
    <t>Abreu Rodriguez Franccesco</t>
  </si>
  <si>
    <t>Altuve Lopez Mariangel</t>
  </si>
  <si>
    <t>Altuve Lopez Lucia</t>
  </si>
  <si>
    <t>Aldana Zambrano Javier Alejandro</t>
  </si>
  <si>
    <t>Aldana Zambrano Matheo Josue</t>
  </si>
  <si>
    <t>Simancas Araujo Glorimar Lucia</t>
  </si>
  <si>
    <t>Simancas Araujo Cesar Roman</t>
  </si>
  <si>
    <t>Vergara Perez Victor Alejandro</t>
  </si>
  <si>
    <t>Vergara Perez Albert Halkinson</t>
  </si>
  <si>
    <t>Paredes Aguilar Fabian Helí</t>
  </si>
  <si>
    <t>Barrios Martinez Samanta Valentina</t>
  </si>
  <si>
    <t>Barrios Martinez Fabricio Sebastian</t>
  </si>
  <si>
    <t>Rendon Paredes Brayan</t>
  </si>
  <si>
    <t>Soto Franco Diego Alejandro</t>
  </si>
  <si>
    <t>Durante Coy Diego Alejandro</t>
  </si>
  <si>
    <t>Durante Coy Michelle Alessandra</t>
  </si>
  <si>
    <t>Valecillos Briceño Arianna Isabella</t>
  </si>
  <si>
    <t>Duarte Rivas Richard Emmanuel</t>
  </si>
  <si>
    <t>Chacon Alvarran Ismargy</t>
  </si>
  <si>
    <t>Chacon Alvarran Ariangy</t>
  </si>
  <si>
    <t>Paradas Briceño Victor Alonso</t>
  </si>
  <si>
    <t>Paradas Briceño Franklin Jose</t>
  </si>
  <si>
    <t>Briceño Villegas Diego Andres</t>
  </si>
  <si>
    <t>Briceño Villegas Sebastian Andres</t>
  </si>
  <si>
    <t>Sayago Gonzalez Kamila Katerine</t>
  </si>
  <si>
    <t>Sayago Gonzalez Claudia</t>
  </si>
  <si>
    <t>Torres Sifontes Nayily Dayana</t>
  </si>
  <si>
    <t>Torres Sifontes Yahir Alberto</t>
  </si>
  <si>
    <t>Torres Sifontes Yino Camilo</t>
  </si>
  <si>
    <t>Villegas Briceño Luis Enrique</t>
  </si>
  <si>
    <t>Villegas Briceño Dorianny</t>
  </si>
  <si>
    <t>Rendon Paredes Abrahan</t>
  </si>
  <si>
    <t>Hernandez Carmona Fernando</t>
  </si>
  <si>
    <t>Hernandez Carmona Maria F.</t>
  </si>
  <si>
    <t>Hernandez Carmona Yanelly</t>
  </si>
  <si>
    <t>Hernandez Carmona Maikol</t>
  </si>
  <si>
    <t>Godoy Gonzalez Joel David</t>
  </si>
  <si>
    <t>Godoy Gonzalez Ana Maria</t>
  </si>
  <si>
    <t>Torres Rincon Emily</t>
  </si>
  <si>
    <t>Torres Rincon Yeslany</t>
  </si>
  <si>
    <t>Rivera Rincon Adrian</t>
  </si>
  <si>
    <t>Mendoza Araujo Ariana Valeria</t>
  </si>
  <si>
    <t>Avila Lugo Arianny</t>
  </si>
  <si>
    <t>SUSPENDIDA OCT 22</t>
  </si>
  <si>
    <t>Avila Lugo Michell</t>
  </si>
  <si>
    <t>Briceño Perdomo Michelle</t>
  </si>
  <si>
    <t>Lezama Perdomo Angel G</t>
  </si>
  <si>
    <t>MOROCHOS</t>
  </si>
  <si>
    <t>Briceño Serrada Maria Victoria</t>
  </si>
  <si>
    <t>Mendoza Albarran Yemily Patricia</t>
  </si>
  <si>
    <t xml:space="preserve">Mendoza Albarran Emiyerlin </t>
  </si>
  <si>
    <t>Paredes Mejia Rainer Andres</t>
  </si>
  <si>
    <t>Matheus Briceño Cesar Miguel</t>
  </si>
  <si>
    <t>Ramirez Bastidas Diego Armando</t>
  </si>
  <si>
    <t>Ramirez Bastidas Veruzka</t>
  </si>
  <si>
    <t>Collantes Leon Jesus Alejandro</t>
  </si>
  <si>
    <t>Collantes Leon Victor Gabriel</t>
  </si>
  <si>
    <t>Collantes Leon Victoria Alejandra</t>
  </si>
  <si>
    <t>Delgado Carrizo Antonella</t>
  </si>
  <si>
    <t>Alvarez Carrizo Wuilkendery</t>
  </si>
  <si>
    <t>Briceño Urdaneta Katherin Valeria</t>
  </si>
  <si>
    <t>Briceño Urdaneta Jessika</t>
  </si>
  <si>
    <t>Briceño Urdaneta Maira</t>
  </si>
  <si>
    <t>Garcia Torres Wikleman</t>
  </si>
  <si>
    <t>Garcia Torres Wandaly</t>
  </si>
  <si>
    <t>Rivera Villarreal Santiago</t>
  </si>
  <si>
    <t>Rivera Villarreal Mathias</t>
  </si>
  <si>
    <t>Teran Briceño Yosmer</t>
  </si>
  <si>
    <t>Mendoza Briceño Joneiber</t>
  </si>
  <si>
    <t>Rangel Blanco Juan Diego</t>
  </si>
  <si>
    <t>Rangel Blanco Fabricio Alejandro</t>
  </si>
  <si>
    <t>Segovia Nieve Reinaldo Josué</t>
  </si>
  <si>
    <t>Blanco Pulido Joerly</t>
  </si>
  <si>
    <t>Blanco Pulido Eloy</t>
  </si>
  <si>
    <t>Blanco Pulido Joel</t>
  </si>
  <si>
    <t>Monsalve Lozada Isabella</t>
  </si>
  <si>
    <t>Pulido Villarreal Rebeca</t>
  </si>
  <si>
    <t>Paredes Villarreal Rubi</t>
  </si>
  <si>
    <t>Paredes Villarreal Mathias</t>
  </si>
  <si>
    <t>Abreu Gonzalez Diego Andres</t>
  </si>
  <si>
    <t>Hernandez Villarreal Stephany Yussield</t>
  </si>
  <si>
    <t>Rivero Quintero Elena Isabella</t>
  </si>
  <si>
    <t>Valera Gervasi Favian Andres</t>
  </si>
  <si>
    <t>Valera Gervasi Darilin Nathaly</t>
  </si>
  <si>
    <t>Carrizo Rodriguez Daneyquer David</t>
  </si>
  <si>
    <t>Carrizo Rodriguez Dangelver</t>
  </si>
  <si>
    <t>Villarreal Ramirez Rocio A.</t>
  </si>
  <si>
    <t>Mazz Uzcategui Adrian</t>
  </si>
  <si>
    <t>Urbina Uzcategui Diego</t>
  </si>
  <si>
    <t>Garcia Hernandez Dylan Mathias</t>
  </si>
  <si>
    <t>Castellanos Hernandez Monzerrath Valentina</t>
  </si>
  <si>
    <t>Cestari Valero Aquiles Ramses</t>
  </si>
  <si>
    <t>Mejia Mejia Maikel Javier</t>
  </si>
  <si>
    <t>Perez Mejia Mía Isabella</t>
  </si>
  <si>
    <t>Perez Mejia Marley Arami</t>
  </si>
  <si>
    <t>Ramirez Valero Jose Andres</t>
  </si>
  <si>
    <t>Lesel Villa Danismar</t>
  </si>
  <si>
    <t>Lesel Villa Nehemias</t>
  </si>
  <si>
    <t>Gualda Mejia Gabriela</t>
  </si>
  <si>
    <t>Gualda Mejia Ezequiel</t>
  </si>
  <si>
    <t>Berrios Morillo Abraham</t>
  </si>
  <si>
    <t>Berrios Morillo Barbara</t>
  </si>
  <si>
    <t>Villa Barrios Luciana</t>
  </si>
  <si>
    <t>Villa Barrios Luisany</t>
  </si>
  <si>
    <t>Silva Rivas Yoneiver</t>
  </si>
  <si>
    <t>Rivas Hurtado Yoxneider</t>
  </si>
  <si>
    <t>Viloria Medina Bianca Analie</t>
  </si>
  <si>
    <t>Ramirez Enderson Gabriel</t>
  </si>
  <si>
    <t>Quero Coello Eddianny S</t>
  </si>
  <si>
    <t>Fernandez Linares Nelmary Rashell</t>
  </si>
  <si>
    <t>Gil Guanda Isabella</t>
  </si>
  <si>
    <t>Valenzuela Graterol Elianny</t>
  </si>
  <si>
    <t>Valenzuela Graterol Aaron</t>
  </si>
  <si>
    <t>Daboin Molina Moises</t>
  </si>
  <si>
    <t>Daboin Molina Mia</t>
  </si>
  <si>
    <t>Vergara Segovia Kenyerver</t>
  </si>
  <si>
    <t>Rubio Briceño Salem Farid</t>
  </si>
  <si>
    <t>Valero Moreno Nathalia Valentina</t>
  </si>
  <si>
    <t>Rivero Gil Miguel A.</t>
  </si>
  <si>
    <t xml:space="preserve">Perez Silva Justino Javier </t>
  </si>
  <si>
    <t>DELDUCA ADRIANA DEL VALLE</t>
  </si>
  <si>
    <t>Albarran Delduca Luis Yonaiber</t>
  </si>
  <si>
    <t>Albarran Delduca Jose Angel</t>
  </si>
  <si>
    <t>RIVERO HERLUIS</t>
  </si>
  <si>
    <t>YARITZA FRIAS</t>
  </si>
  <si>
    <t>Paredes Frias Luis Alejandro</t>
  </si>
  <si>
    <t>Paredes Frias Luisana Ahyarit</t>
  </si>
  <si>
    <t>Aponte Briceño Richney Sthefanny</t>
  </si>
  <si>
    <t>Aponte Briceño Richard Alexander</t>
  </si>
  <si>
    <t>Aponte Briceño Ricardo Alfonso</t>
  </si>
  <si>
    <t>Aponte Briceño Ricney</t>
  </si>
  <si>
    <t>EBERTO OLMOS</t>
  </si>
  <si>
    <t>Olmos Parra Maria Ines</t>
  </si>
  <si>
    <t>Olmos Parra Diego Andres</t>
  </si>
  <si>
    <t>Frias Sulbaran Yhonairith</t>
  </si>
  <si>
    <t>COY ANDARA DARLIN GABRIELA</t>
  </si>
  <si>
    <t>COORDINADOR (E) DE PROGRAMA</t>
  </si>
  <si>
    <t>Duran Coy Wilder</t>
  </si>
  <si>
    <t>Suarez Urbina Zara Victoria</t>
  </si>
  <si>
    <t xml:space="preserve">                 República Bolivariana de Venezuela</t>
  </si>
  <si>
    <t>Fernadez Viloria Manuel Ignacio</t>
  </si>
  <si>
    <t>Ferndez Viloria Daymari Zayrith</t>
  </si>
  <si>
    <t>01020747990000341921</t>
  </si>
  <si>
    <t>Olivar Nava Robinson de Jesus</t>
  </si>
  <si>
    <t>Gutierrez Betania Belsally</t>
  </si>
  <si>
    <t>Villegas Gonzalez Santiago David</t>
  </si>
  <si>
    <t>01020279560000059585</t>
  </si>
  <si>
    <t>Valecillos Duran Brando Jose</t>
  </si>
  <si>
    <t>SUSPENDIDO</t>
  </si>
  <si>
    <t>TOTAL EMPLEADOS</t>
  </si>
  <si>
    <t>PERSONAL OBRERO</t>
  </si>
  <si>
    <t>RAMIREZ MANZANILLA JOSE JESUS</t>
  </si>
  <si>
    <t>RIVERA VIRGINIA DEL CARMEN</t>
  </si>
  <si>
    <t>TORRES VILLARREAL LISBETH</t>
  </si>
  <si>
    <t>CHINCHILLA PEREZ JEAN CARLOS</t>
  </si>
  <si>
    <t>RIVAS CARLOS LUIS</t>
  </si>
  <si>
    <t>TORRES VILLARREAL YENNY DEL C.</t>
  </si>
  <si>
    <t>BRICEÑO SALAS JOSE LEONARDO</t>
  </si>
  <si>
    <t>BRICEÑO GONZALEZ MIRLA CAROLINA</t>
  </si>
  <si>
    <t>BRICEÑO ALDANA YHON MARIO</t>
  </si>
  <si>
    <t>FRIAS ALDANA GIOVANNY JACINTO</t>
  </si>
  <si>
    <t xml:space="preserve">DORIS CARRIZO BLANCO </t>
  </si>
  <si>
    <t>FRIAS ALDANA YHONNY RAMON</t>
  </si>
  <si>
    <t>PEREZ MONTILLA WILLIAM JOSE</t>
  </si>
  <si>
    <t>Gutierrez Betania Belsaye</t>
  </si>
  <si>
    <t>AYUD. SERV. GENERALES</t>
  </si>
  <si>
    <t>ASEADORA</t>
  </si>
  <si>
    <t>COCINERA</t>
  </si>
  <si>
    <t>Ayud. Serv. Generales</t>
  </si>
  <si>
    <t>cocinero</t>
  </si>
  <si>
    <t>Olmos Rangel Albert</t>
  </si>
  <si>
    <t>Santiago Andara Nathalia Nicol</t>
  </si>
  <si>
    <t>Perez Azuaje Valeria Alexandra</t>
  </si>
  <si>
    <t>Perez Azuaje Lismar Paola</t>
  </si>
  <si>
    <t>Castellanos Landiñez Nathalia Carolina</t>
  </si>
  <si>
    <t>TOTAL OBREROS</t>
  </si>
  <si>
    <t>Rivas Briceño Thaylor Enrique</t>
  </si>
  <si>
    <t>Castellano Rivera Maria Antonina</t>
  </si>
  <si>
    <t>01020373290000101381</t>
  </si>
  <si>
    <t>Instructor De Formacion Empresarial</t>
  </si>
  <si>
    <t>Mendoza Mendoza Kelasky Kixuy</t>
  </si>
  <si>
    <t>01020373210000632229</t>
  </si>
  <si>
    <t>01020494170000556541</t>
  </si>
  <si>
    <t>Ramirez Torres Darwin Jose</t>
  </si>
  <si>
    <t>01020494170000536998</t>
  </si>
  <si>
    <t>Instructor De Formacion Emp.</t>
  </si>
  <si>
    <t>TOTAL COMISION DE SERVICIO</t>
  </si>
  <si>
    <t>TOTAL ALTO NIVEL</t>
  </si>
  <si>
    <t>Soto Lopez Rafael Maria</t>
  </si>
  <si>
    <t>TOTAL GENERAL</t>
  </si>
  <si>
    <t>Suspendia</t>
  </si>
  <si>
    <t>Suspendida</t>
  </si>
  <si>
    <t>No trajo papeles</t>
  </si>
  <si>
    <t>Suspendido</t>
  </si>
  <si>
    <t>01020369420000056300</t>
  </si>
  <si>
    <t>Soto Nuñez Gabriela Yamali</t>
  </si>
  <si>
    <t>Cruz Castellano Mathias Alejandro</t>
  </si>
  <si>
    <t>Mendoza Mendoza Thiago Alessandro</t>
  </si>
  <si>
    <t>Mendoza Osuna Zaida Liseth</t>
  </si>
  <si>
    <t>BONO ENERGENCIA</t>
  </si>
  <si>
    <t>SUELDO</t>
  </si>
  <si>
    <t>SE LE DESCUENTAN LOS SIGUIENTES CONCEPTOS A:</t>
  </si>
  <si>
    <t>OBR</t>
  </si>
  <si>
    <t>EMP</t>
  </si>
  <si>
    <t>CS</t>
  </si>
  <si>
    <t>Torres Santiago Eduardo David</t>
  </si>
  <si>
    <t>Gil Molina Maite Karina</t>
  </si>
  <si>
    <t>01020373240001215603</t>
  </si>
  <si>
    <t>Gil Molina Marciel Anyeline</t>
  </si>
  <si>
    <t>(Oct 2023)</t>
  </si>
  <si>
    <t>01020494160000442435</t>
  </si>
  <si>
    <t xml:space="preserve">Teran Araujo Marihangeli Nicoll </t>
  </si>
  <si>
    <t>01020373290000703200</t>
  </si>
  <si>
    <t>01020494130000428271</t>
  </si>
  <si>
    <t>DIAS DE VACACIONES</t>
  </si>
  <si>
    <t>DIAS DE AGUINALDOS</t>
  </si>
  <si>
    <t>ALICUOTA VACAC</t>
  </si>
  <si>
    <t>ALICUOTA AGUINALD</t>
  </si>
  <si>
    <t>CALCULO DE AGUINALDOS</t>
  </si>
  <si>
    <t>CALCULO TOTAL DE AGUINALDOS</t>
  </si>
  <si>
    <t>NO</t>
  </si>
  <si>
    <t>SI</t>
  </si>
  <si>
    <t>BONO</t>
  </si>
  <si>
    <t>REPÚBLICA BOLIVARIANA DE VENEZUELA</t>
  </si>
  <si>
    <t>GOBIERNO BOLIVARIANO DEL ESTADO TRUJILLO</t>
  </si>
  <si>
    <t xml:space="preserve">SERVICIO ADMINISTRATIVO DE PROTECCIÓN DEL NIÑO, </t>
  </si>
  <si>
    <t>NIÑA Y ADOLESCENTE</t>
  </si>
  <si>
    <t>DIRECCIÓN DE TALENTO HUMANO</t>
  </si>
  <si>
    <t>Aportes Patronales (F.A.O.V.)</t>
  </si>
  <si>
    <t>Cedula</t>
  </si>
  <si>
    <t>Nombres y Apellidos</t>
  </si>
  <si>
    <t>Cargo</t>
  </si>
  <si>
    <t>Fecha Ingreso</t>
  </si>
  <si>
    <t>F.A.O.V.</t>
  </si>
  <si>
    <t>ALTO NIVEL Y DIRECCION</t>
  </si>
  <si>
    <t>SUB TOTAL ALTO NIVEL</t>
  </si>
  <si>
    <t>Revisado por:</t>
  </si>
  <si>
    <t>Aprobado por:</t>
  </si>
  <si>
    <t>Abg.Lucy M. Montilla Macias</t>
  </si>
  <si>
    <t>My. Maria de los Angeles Almazan</t>
  </si>
  <si>
    <t>Jefe(E) Dirección Talento Humano</t>
  </si>
  <si>
    <t xml:space="preserve">Directora General </t>
  </si>
  <si>
    <t>SUB-TOTAL EMPLEADOS FIJOS</t>
  </si>
  <si>
    <t>SUB-TOTAL OBREROS FIJOS</t>
  </si>
  <si>
    <t>Total GENERAL</t>
  </si>
  <si>
    <t>SAPNNAET</t>
  </si>
  <si>
    <t>Aportes Patronales (S.S.O. - S.P.F.)</t>
  </si>
  <si>
    <t>S.P.F.</t>
  </si>
  <si>
    <t>Relación del personal afiliado al SUODE</t>
  </si>
  <si>
    <t>Cap. Maria de los Angeles Almazan</t>
  </si>
  <si>
    <t>Relación del personal afiliado al S.U.R.T.R.A.P.P.S.</t>
  </si>
  <si>
    <t>Aportes del Trabajador (F.A.O.V.)</t>
  </si>
  <si>
    <t>Aportes del Trabajador (S.S.O. - S.P.F.)</t>
  </si>
  <si>
    <t>DIAS FERIADOS NO LABORADOS</t>
  </si>
  <si>
    <t>TXT BECAS</t>
  </si>
  <si>
    <t>TXT BECAS + CONTRIBUCION POR DISCAPACIDAD</t>
  </si>
  <si>
    <t>ELABORADO POR:</t>
  </si>
  <si>
    <t>REVISADO POR:</t>
  </si>
  <si>
    <t>APROBADO POR:</t>
  </si>
  <si>
    <t>Abog. Lucy M. Montilla Macias</t>
  </si>
  <si>
    <t>My. Maria Almazan B.</t>
  </si>
  <si>
    <t>C.I. N° 15.827.671</t>
  </si>
  <si>
    <t>C.I. Nº 19.591.141</t>
  </si>
  <si>
    <t>Jefe (E) Dirección Talento Humano</t>
  </si>
  <si>
    <t>Directora General</t>
  </si>
  <si>
    <t>SUELDO BASE QUINCENAL</t>
  </si>
  <si>
    <t>PRIMA ANTIGÜEDAD QUINCENAL</t>
  </si>
  <si>
    <t>PRIMA TRANSPORTE QUINCENAL</t>
  </si>
  <si>
    <t>PRIMAS POR PROFESIONA-LIZACION QUINCENAL</t>
  </si>
  <si>
    <t>SUB TOTAL COMISION DE SERVICIO</t>
  </si>
  <si>
    <t>My. Maria de los A. Almazan B.</t>
  </si>
  <si>
    <t>PRIMAS POR PROFESIONALIZACION QUINCENAL</t>
  </si>
  <si>
    <t>SUNEP</t>
  </si>
  <si>
    <t>NOMINA</t>
  </si>
  <si>
    <t>MAQUETA</t>
  </si>
  <si>
    <t>TÉCNICO SUPERIOR UNIVERSITARIO</t>
  </si>
  <si>
    <t>PROFESIONAL</t>
  </si>
  <si>
    <t>MAGISTER</t>
  </si>
  <si>
    <t>DOCTORADO</t>
  </si>
  <si>
    <t xml:space="preserve">P3III    (9-11 AÑOS)    </t>
  </si>
  <si>
    <t>P3IV    (12-14 AÑOS)</t>
  </si>
  <si>
    <t>PI</t>
  </si>
  <si>
    <t>BI</t>
  </si>
  <si>
    <t>BI - II</t>
  </si>
  <si>
    <t>BI - III</t>
  </si>
  <si>
    <t>BI - IV</t>
  </si>
  <si>
    <t>BI - V</t>
  </si>
  <si>
    <t>BI - VI</t>
  </si>
  <si>
    <t>BI - VII</t>
  </si>
  <si>
    <t>BII</t>
  </si>
  <si>
    <t>BII - II</t>
  </si>
  <si>
    <t>BII - III</t>
  </si>
  <si>
    <t>BII - IV</t>
  </si>
  <si>
    <t>BII - V</t>
  </si>
  <si>
    <t>BII - VI</t>
  </si>
  <si>
    <t>BII - VII</t>
  </si>
  <si>
    <t>BIII</t>
  </si>
  <si>
    <t>BIII - II</t>
  </si>
  <si>
    <t>BIII - III</t>
  </si>
  <si>
    <t>BIII - IV</t>
  </si>
  <si>
    <t>BIII - V</t>
  </si>
  <si>
    <t>BIII - VI</t>
  </si>
  <si>
    <t>BIII - VII</t>
  </si>
  <si>
    <t>TI</t>
  </si>
  <si>
    <t>TI - II</t>
  </si>
  <si>
    <t>TI - III</t>
  </si>
  <si>
    <t>TI - IV</t>
  </si>
  <si>
    <t>TI - V</t>
  </si>
  <si>
    <t>TI - VI</t>
  </si>
  <si>
    <t>TI - VII</t>
  </si>
  <si>
    <t>TII</t>
  </si>
  <si>
    <t>TII - II</t>
  </si>
  <si>
    <t>TII - III</t>
  </si>
  <si>
    <t>TII - IV</t>
  </si>
  <si>
    <t>TII - V</t>
  </si>
  <si>
    <t>TII - VI</t>
  </si>
  <si>
    <t>TII - VII</t>
  </si>
  <si>
    <t>PI - II</t>
  </si>
  <si>
    <t>PI - III</t>
  </si>
  <si>
    <t>PI - IV</t>
  </si>
  <si>
    <t>PI - V</t>
  </si>
  <si>
    <t>PI - VI</t>
  </si>
  <si>
    <t>PI - VII</t>
  </si>
  <si>
    <t>PII - II</t>
  </si>
  <si>
    <t>PII - III</t>
  </si>
  <si>
    <t>PII - IV</t>
  </si>
  <si>
    <t>PII - V</t>
  </si>
  <si>
    <t>PII - VI</t>
  </si>
  <si>
    <t>PII - VII</t>
  </si>
  <si>
    <t>PIII - II</t>
  </si>
  <si>
    <t>PIII - III</t>
  </si>
  <si>
    <t>PIII - IV</t>
  </si>
  <si>
    <t>PIII - V</t>
  </si>
  <si>
    <t>PIII - VI</t>
  </si>
  <si>
    <t>PIII - VII</t>
  </si>
  <si>
    <t>GRADO (2) - MÁX</t>
  </si>
  <si>
    <t>GRADO (3) - MÁX</t>
  </si>
  <si>
    <t>GRADO (4) - MÁX</t>
  </si>
  <si>
    <t>GRADO (5) - MÁX</t>
  </si>
  <si>
    <t>GRADO (6) - MÁX</t>
  </si>
  <si>
    <t>GRADO (7) - MÁX</t>
  </si>
  <si>
    <t>GRADO (8) - MÁX</t>
  </si>
  <si>
    <t>GRADO (9) - MÁX</t>
  </si>
  <si>
    <t>GRADO (10) - MÁX</t>
  </si>
  <si>
    <t>JEFE DE DIVISIÓN</t>
  </si>
  <si>
    <t>COORDINADOR DE ÁREA</t>
  </si>
  <si>
    <t>GRADO
MAQUETA</t>
  </si>
  <si>
    <t>GRADO (1) - MIN</t>
  </si>
  <si>
    <t>BONO NOCTURNO
MAQUETA</t>
  </si>
  <si>
    <t>SSO</t>
  </si>
  <si>
    <t>PF</t>
  </si>
  <si>
    <t>FAOV</t>
  </si>
  <si>
    <t>AN</t>
  </si>
  <si>
    <t>SEXO
MAQUETA</t>
  </si>
  <si>
    <t>HIJOS DE 0 A 12</t>
  </si>
  <si>
    <t>Leon Artigas Jeancarli Carolina</t>
  </si>
  <si>
    <t>Leon Artigas Katherine Carolina</t>
  </si>
  <si>
    <t>MONTO A SOLICITAR      
(4 MES DE AGUINALDOS)</t>
  </si>
  <si>
    <t>Manzanilla Rincon Ema Lucia</t>
  </si>
  <si>
    <t>PRIMA ANTIG. QUINCENAL</t>
  </si>
  <si>
    <t>PRIMA TRANSP. QUINCENAL</t>
  </si>
  <si>
    <t>PRIMA ANTIGÜEDAD
1a QNA</t>
  </si>
  <si>
    <t>PRIMA ANTIGÜEDAD
2a QNA</t>
  </si>
  <si>
    <t>PRIMA TRANSPORTE
1a QNA</t>
  </si>
  <si>
    <t>PRIMA TRANSPORTE
2a QNA</t>
  </si>
  <si>
    <t>PRIMAS POR PROFESIONALIZACION
2a QNA</t>
  </si>
  <si>
    <t>PRIMAS POR PROFESIONALIZACION
1a QNA</t>
  </si>
  <si>
    <t>Jefe (E) de la Direccion de Planificacion y Programas / Administrador Jefe</t>
  </si>
  <si>
    <t>Jefe (E) de la Oficina Consultoria Juridica / Abogado Jefe</t>
  </si>
  <si>
    <t>Jefe (E) de la Division de Compras y Suministros / Administrador IV</t>
  </si>
  <si>
    <t>Jefe (E) de la Division de Servicios Generales / Asistente Administrativo III</t>
  </si>
  <si>
    <t>Coordinador (e) de Programa / Administrador Jefe</t>
  </si>
  <si>
    <t>Coordinador (e) de Programa / Guia de Centro II</t>
  </si>
  <si>
    <t>Coordinador (e) de Centro / Jefe de Centro</t>
  </si>
  <si>
    <t>Coordinador (e) de Centro / Guia de Centro II</t>
  </si>
  <si>
    <t>Coordinador (e) de Centro / Asistente Administrativo III</t>
  </si>
  <si>
    <t>Coordinador (e) de Centro / Analista de Presupuesto IV</t>
  </si>
  <si>
    <t>Recreador</t>
  </si>
  <si>
    <t>VACANTE RAC 2023</t>
  </si>
  <si>
    <t>VACANTE RAC 2024</t>
  </si>
  <si>
    <t>Secretario I</t>
  </si>
  <si>
    <t>Nutricionista I</t>
  </si>
  <si>
    <t>Hernandez Villarreal Jonas Jahir</t>
  </si>
  <si>
    <t>Rivera Hermes Edixon</t>
  </si>
  <si>
    <t>Rivera Vasquez Edixon Alexander</t>
  </si>
  <si>
    <t>Linares Prato Yraima Gregoria</t>
  </si>
  <si>
    <t>01020494190100024136</t>
  </si>
  <si>
    <t>Ruiz Olmos Diana Carolina</t>
  </si>
  <si>
    <t>01020373280000255677</t>
  </si>
  <si>
    <t>01020494110000293626</t>
  </si>
  <si>
    <t>Godoy Padilla Darcy Yaneth</t>
  </si>
  <si>
    <t>Viloria Ramirez Gerardo Rafel</t>
  </si>
  <si>
    <t>Sarache Ramirez Maryelis Stefani</t>
  </si>
  <si>
    <t>TOTAL ALTO NIVEL Y DIRECCION</t>
  </si>
  <si>
    <t>AÑOS DE SERVICIOS RECONO-CIDOS</t>
  </si>
  <si>
    <t>(03 Enero 2024) - CHA H</t>
  </si>
  <si>
    <t>01020373250000457705</t>
  </si>
  <si>
    <t>Vielma Viloria Dublasca del Valle</t>
  </si>
  <si>
    <t>Vielma Viloria Miguel Alejandro</t>
  </si>
  <si>
    <t>01020226450000078676</t>
  </si>
  <si>
    <t>01020494110100024997</t>
  </si>
  <si>
    <t>Meza Godoy Dairana Pierina</t>
  </si>
  <si>
    <t>Meza Godoy Ainara Guadalupe</t>
  </si>
  <si>
    <t>01020373280000417596</t>
  </si>
  <si>
    <t>Araujo Sarache Mairelys de los Angeles</t>
  </si>
  <si>
    <t>Araujo Sarache Mairet Sofia</t>
  </si>
  <si>
    <t>Olmos Aguana Abraham de Jesus</t>
  </si>
  <si>
    <t>VACANTE ALTO NIVEL</t>
  </si>
  <si>
    <t>ENCARGADOS EMPLEADOS</t>
  </si>
  <si>
    <t>VACANTES OBREROS</t>
  </si>
  <si>
    <t>NOTA: El ciudadano MORENO SILVA ALFREDY JOSE C.I. 24.565.372 se encuentra en Comisión de Servicio no remunerada en otro organismo</t>
  </si>
  <si>
    <t>TOTAL PERSONAL EN COMISION DE SERVICIO</t>
  </si>
  <si>
    <t>VACANTE 2023</t>
  </si>
  <si>
    <t>Godoy Mecias Isaias Ederson Javier</t>
  </si>
  <si>
    <t>Godoy Mecias Moises David</t>
  </si>
  <si>
    <t>Godoy Mecias Maria Elena Alejandra</t>
  </si>
  <si>
    <t>Tijera Vielma Aby Nazareth</t>
  </si>
  <si>
    <t>Rangel Carrizo Ildemaro Jose</t>
  </si>
  <si>
    <t>Araujo Castellanos Luis A</t>
  </si>
  <si>
    <t>Araujo Castellanos Carlos A.</t>
  </si>
  <si>
    <t>Ruiz Diaz Jesus Alberto</t>
  </si>
  <si>
    <t>Velazquez Campos Anyimar Victoria</t>
  </si>
  <si>
    <t>Rodriguez Cruz Daniel</t>
  </si>
  <si>
    <t>Barrios Olivar Andrea</t>
  </si>
  <si>
    <t>Ramirez Leal Gustavo</t>
  </si>
  <si>
    <t>Rendon Paredes Abraham</t>
  </si>
  <si>
    <t>Godoy Tronconis Juan David</t>
  </si>
  <si>
    <t>Rivas Quintero Rosangelys Thaylin</t>
  </si>
  <si>
    <t>Araujo Linares Roibert</t>
  </si>
  <si>
    <t>Gallardo Linares Dyland</t>
  </si>
  <si>
    <t>Andrade Moreno Jeancarlos</t>
  </si>
  <si>
    <t>Andrade Moreno Carlos Daniel</t>
  </si>
  <si>
    <t>Davila Montilla Nicol</t>
  </si>
  <si>
    <t>Davila Montilla Michell</t>
  </si>
  <si>
    <t>Davila Montilla Eva</t>
  </si>
  <si>
    <t>Araujo Moreno Neil Samuel</t>
  </si>
  <si>
    <t>Barreto Rivero Karla</t>
  </si>
  <si>
    <t>Barreto Rivero Jesus Lionel</t>
  </si>
  <si>
    <t>Carrillo Angel A.</t>
  </si>
  <si>
    <t>Carrillo Angelo A.</t>
  </si>
  <si>
    <t>Arellano Carrillo Alan</t>
  </si>
  <si>
    <t>Barreto Rivero Jose Luis</t>
  </si>
  <si>
    <t>Sulbaran Peña Mateo</t>
  </si>
  <si>
    <t>Colina Peña Luis Carlos</t>
  </si>
  <si>
    <t>Ortegano Materan Vivian V.</t>
  </si>
  <si>
    <t>Ortegano Materan Marco A.</t>
  </si>
  <si>
    <t>Angulo Materan Noha Valeria</t>
  </si>
  <si>
    <t>Linares Materan Leonel A.</t>
  </si>
  <si>
    <t>Arraiz Aponte Andrimar</t>
  </si>
  <si>
    <t>Uzcategui Briceño Yaimireth Andreina</t>
  </si>
  <si>
    <t>Uzcategui Briceño Jose Andres</t>
  </si>
  <si>
    <t>Uzcategui Briceño Felixmar</t>
  </si>
  <si>
    <t>Mora Torres Carla Valentina</t>
  </si>
  <si>
    <t>Mora Torres Carlos</t>
  </si>
  <si>
    <t>Hoyo Nuñez Sebastian</t>
  </si>
  <si>
    <t>Hoyo Nuñez Elierth</t>
  </si>
  <si>
    <t>Valero Godoy Jorge</t>
  </si>
  <si>
    <t>Quintero Marriaga Sebastian</t>
  </si>
  <si>
    <t>Quintero Marriaga Sherezade</t>
  </si>
  <si>
    <t>Quintero Marriaga Mia</t>
  </si>
  <si>
    <t>Perez Briceño Sabrina</t>
  </si>
  <si>
    <t>Perez Briceño Camila</t>
  </si>
  <si>
    <t>Plaza Quintero Miguel Angel</t>
  </si>
  <si>
    <t>Lamus Plaza Santiago</t>
  </si>
  <si>
    <t>Azyza Akyra Contreras Valero</t>
  </si>
  <si>
    <t>Mendoza Leal Mariana</t>
  </si>
  <si>
    <t>Cañizalez Leal Franchesco</t>
  </si>
  <si>
    <t>Santos Hernandez Greiner</t>
  </si>
  <si>
    <t>Mejia Uzcategui Derick</t>
  </si>
  <si>
    <t>Mejia Uzcategui Rossibet</t>
  </si>
  <si>
    <t>Carpio Suarez Isabella</t>
  </si>
  <si>
    <t>Briceño Mendez Santiago</t>
  </si>
  <si>
    <t>Mendez Giro Dylan Alejandro</t>
  </si>
  <si>
    <t>Vielma Viloria Mateo</t>
  </si>
  <si>
    <t>Polanco Balza Abrahan A.</t>
  </si>
  <si>
    <t>Polanco Balza Gabriel A</t>
  </si>
  <si>
    <t>Polanco Balza Emperatriz</t>
  </si>
  <si>
    <t>Balza Vetencourt Santiago</t>
  </si>
  <si>
    <t>Delgado Cabezas Rodrigo D.</t>
  </si>
  <si>
    <t>Rivas Ramirez Moises D.</t>
  </si>
  <si>
    <t>Briceño Moreno Lorismar Andreina</t>
  </si>
  <si>
    <t>Graterol Mendoza Jesus Andres</t>
  </si>
  <si>
    <t>Gutierrez Rivas Kerlin De Los Angeles</t>
  </si>
  <si>
    <t>Briceño Araujo Jhonangel</t>
  </si>
  <si>
    <t>Briceño Leal Jannsariuska</t>
  </si>
  <si>
    <t>Briceño Sheikenyilin</t>
  </si>
  <si>
    <t>Perez Rodriguez Ashly Sophia</t>
  </si>
  <si>
    <t>Perez Rodriguez Mariangel Patricia</t>
  </si>
  <si>
    <t>Carrizo Dorismar Katiuska</t>
  </si>
  <si>
    <t>Carrizo Emili Daniela</t>
  </si>
  <si>
    <t>Arroyo Contreras Jose Abraham</t>
  </si>
  <si>
    <t>Hernandez Rivera Elisbeth Del C.</t>
  </si>
  <si>
    <t>Segovia Umbria Cesar Luis</t>
  </si>
  <si>
    <t>Chinchilla Ana Maria</t>
  </si>
  <si>
    <t>Frias Sanchez Yulianny Yoximar</t>
  </si>
  <si>
    <t>Briceños Ramos Sebastian Leonardo</t>
  </si>
  <si>
    <t>Briceño Ramos Leoverlis Alejandra</t>
  </si>
  <si>
    <t>Briceño Ramos Kamila V.</t>
  </si>
  <si>
    <t>Fontana Briceño Luis Fernando</t>
  </si>
  <si>
    <t>Briceño Gonzalez Camila Valentina</t>
  </si>
  <si>
    <t>Linares Espnoza Jhoelvis Alexander</t>
  </si>
  <si>
    <t>Linares Espinoza Diosangely Germaric</t>
  </si>
  <si>
    <t>Linares Espinoza Diosmari Geraldine</t>
  </si>
  <si>
    <t xml:space="preserve">Mejia Ramirez Nicolle S. </t>
  </si>
  <si>
    <t>Mejia Ramirez Brayan Jose</t>
  </si>
  <si>
    <t>Mejia Ramirez Natalia Valentina</t>
  </si>
  <si>
    <t>Perez Montilla Adismar Yulibeth</t>
  </si>
  <si>
    <t>Perez Montilla Anyimar Yulibeth</t>
  </si>
  <si>
    <t>Briceño Montilla Alexandra Nicol</t>
  </si>
  <si>
    <t>Delgado Torres Jeikol Daniel</t>
  </si>
  <si>
    <t>Delgado Torres Dariannys V.</t>
  </si>
  <si>
    <t>Bastidas Villarreal Yalimar</t>
  </si>
  <si>
    <t>Bastidas Villarreal Franklin E.</t>
  </si>
  <si>
    <t>Ramirez Moreno Yahirianny</t>
  </si>
  <si>
    <t>Ramirez Moreno Maria Jose</t>
  </si>
  <si>
    <t>Ramirez Moreno Valeria</t>
  </si>
  <si>
    <t>Frias Yanelis Valentina</t>
  </si>
  <si>
    <t>Quintero Gonzalez Fernando Alonso</t>
  </si>
  <si>
    <t>Quintero Gonzalez Freiliana Alexandra</t>
  </si>
  <si>
    <t>Quintero Gonzalez Fiorela Katiuzca</t>
  </si>
  <si>
    <t>Quintero Gonzalez Maria Fernanda</t>
  </si>
  <si>
    <t>Quitero Gonzalez Fabian Andres</t>
  </si>
  <si>
    <t>Olmos Rangel Alberlis Daniela</t>
  </si>
  <si>
    <t>Bracamonte Torres Andrea Carolina</t>
  </si>
  <si>
    <t>Bracamonte Torres Eylimar Valeria</t>
  </si>
  <si>
    <t>Azuaje Perez Eileen Nicole</t>
  </si>
  <si>
    <t>Davila Materan Stheban</t>
  </si>
  <si>
    <t>Davila Materan Kihara Anthonella</t>
  </si>
  <si>
    <t>Isarra Salas Johangerly Diosymar</t>
  </si>
  <si>
    <t>Isarra Salas Christian Jose</t>
  </si>
  <si>
    <t>Isarra Barreto Jhosue Sebastian</t>
  </si>
  <si>
    <t>Isarra Salas Joselys Chrismar</t>
  </si>
  <si>
    <t>Isarra Ruiz Sofia Valentina</t>
  </si>
  <si>
    <t>Araujo Rivero Ninoska del Valle</t>
  </si>
  <si>
    <t>Araujo Rivero Oscarli Valentina</t>
  </si>
  <si>
    <t>Araujo Rivero Vairon Jose</t>
  </si>
  <si>
    <t>Frias Gonzalez Yanethlis Valentina</t>
  </si>
  <si>
    <t>Gutierrez Gutierrez Cristofer Alexander</t>
  </si>
  <si>
    <t>Gutierrez Gutierrez Analeticia</t>
  </si>
  <si>
    <t>Gonzalez Gutierrez Samantha Samadhi</t>
  </si>
  <si>
    <t>Cordova Rivero Gissel Sofia</t>
  </si>
  <si>
    <t xml:space="preserve">Casa Hogar Adolescentes Varones                            </t>
  </si>
  <si>
    <t>Coord. del Programa Socio educativo</t>
  </si>
  <si>
    <t xml:space="preserve">Casa Hogar Adolescentes Hembras/ Barbarita de la Torre  </t>
  </si>
  <si>
    <t>Segovia Segovia Freylu Margarita</t>
  </si>
  <si>
    <t xml:space="preserve">Casa Hogar Adolescentes Hembras/ Barbarita de la Torre </t>
  </si>
  <si>
    <t>01020747920100003901</t>
  </si>
  <si>
    <t>Mendez Segovia Emiliano David</t>
  </si>
  <si>
    <t>Lcda. Darcy Godoy</t>
  </si>
  <si>
    <t>C.I. N° 17.391.892</t>
  </si>
  <si>
    <t xml:space="preserve">Siliet Valera Karaly Saynamar </t>
  </si>
  <si>
    <t>(11 Abril 2024) - Casa Hogar Adolescente Varones</t>
  </si>
  <si>
    <t>N° Contacto</t>
  </si>
  <si>
    <t>Municipio</t>
  </si>
  <si>
    <t>Parroquia</t>
  </si>
  <si>
    <t>Centro Electoral</t>
  </si>
  <si>
    <t>0426-5704242</t>
  </si>
  <si>
    <t>TRUJILLO</t>
  </si>
  <si>
    <t>CRUZ CARRILLO</t>
  </si>
  <si>
    <t>ESCUELA BOLIVARIANA PADRE RASQUIN</t>
  </si>
  <si>
    <t>0414-7551703</t>
  </si>
  <si>
    <t>Motatan</t>
  </si>
  <si>
    <t>Jalisco</t>
  </si>
  <si>
    <t>Simoncito Brisas de Jalisco</t>
  </si>
  <si>
    <t>0414-7104651</t>
  </si>
  <si>
    <t xml:space="preserve">Valera </t>
  </si>
  <si>
    <t>La Beatriz</t>
  </si>
  <si>
    <t>MOTATAN</t>
  </si>
  <si>
    <t>0416/9722440</t>
  </si>
  <si>
    <t>VALERA</t>
  </si>
  <si>
    <t>0414-9782796</t>
  </si>
  <si>
    <t>RAFAEL RANGEL</t>
  </si>
  <si>
    <t>BETIJOQUE</t>
  </si>
  <si>
    <t>0412-0604206</t>
  </si>
  <si>
    <t>EL BAÑO</t>
  </si>
  <si>
    <t>0416-4421736</t>
  </si>
  <si>
    <t>PAMPANITO</t>
  </si>
  <si>
    <t xml:space="preserve">PAMPANITO </t>
  </si>
  <si>
    <t>COLEGIO SANTIAGO SÁNCHEZ</t>
  </si>
  <si>
    <t>0424-7825771</t>
  </si>
  <si>
    <t>0412-4094803</t>
  </si>
  <si>
    <t>SAN LUIS</t>
  </si>
  <si>
    <t>0424-7573558</t>
  </si>
  <si>
    <t>0414-6604149</t>
  </si>
  <si>
    <t>Valera</t>
  </si>
  <si>
    <t>0412-7924833</t>
  </si>
  <si>
    <t>LICEO HILARIO PIZANI ANSELMI</t>
  </si>
  <si>
    <t>0426-5626547</t>
  </si>
  <si>
    <t xml:space="preserve">ESCUQUE </t>
  </si>
  <si>
    <t>LA UNION</t>
  </si>
  <si>
    <t>ESCUELA NUMERO 1275 LAS CRUCES</t>
  </si>
  <si>
    <t>0424-7142947</t>
  </si>
  <si>
    <t>Rafael Rangel</t>
  </si>
  <si>
    <t>0412-1435240</t>
  </si>
  <si>
    <t xml:space="preserve">VALERA </t>
  </si>
  <si>
    <t xml:space="preserve">LA BEATRIZ </t>
  </si>
  <si>
    <t xml:space="preserve">JARDIN DE INFANCIA NUESTRA SEÑORA DE LA CANDELARIA </t>
  </si>
  <si>
    <t>0416-9762369</t>
  </si>
  <si>
    <t>MERCEDES DIAZ</t>
  </si>
  <si>
    <t>0426-2467147</t>
  </si>
  <si>
    <t>0414-7447075</t>
  </si>
  <si>
    <t xml:space="preserve">San Rafael de Carvajal </t>
  </si>
  <si>
    <t>Antonio Nicolas Briceño</t>
  </si>
  <si>
    <t>0416-7633764</t>
  </si>
  <si>
    <t>Pampanito</t>
  </si>
  <si>
    <t>U.B. Profesor Santiago Sanchez</t>
  </si>
  <si>
    <t>0424-7101644</t>
  </si>
  <si>
    <t xml:space="preserve">LICEO CIUDAD DE VALERA </t>
  </si>
  <si>
    <t>0424-7544053</t>
  </si>
  <si>
    <t>LA BEATRIZ</t>
  </si>
  <si>
    <t>JARDIN DE INFANCIA NUESTRA SEÑORA DE LA CANDELARIA</t>
  </si>
  <si>
    <t>0416-7706677</t>
  </si>
  <si>
    <t>PAMPAN</t>
  </si>
  <si>
    <t>ESCUELA BOLIVARIANA FRANCISCO DE SALES PÉREZ</t>
  </si>
  <si>
    <t>0414-1747087</t>
  </si>
  <si>
    <t xml:space="preserve">MERCEDES DIAS </t>
  </si>
  <si>
    <t>0416-7721843</t>
  </si>
  <si>
    <t xml:space="preserve">Bocono </t>
  </si>
  <si>
    <t>Bocono</t>
  </si>
  <si>
    <t>U.E Doctor Leonardo Ruiz Pineda</t>
  </si>
  <si>
    <t>0426-278100</t>
  </si>
  <si>
    <t>0426-7721544</t>
  </si>
  <si>
    <t>0412-0630235</t>
  </si>
  <si>
    <t>El Carmen</t>
  </si>
  <si>
    <t>0426-6707314</t>
  </si>
  <si>
    <t>San Luis</t>
  </si>
  <si>
    <t>0412-1043192</t>
  </si>
  <si>
    <t>0424-7083007</t>
  </si>
  <si>
    <t>0416-0973336</t>
  </si>
  <si>
    <t>0416-5277534</t>
  </si>
  <si>
    <t>JUAN IGNACIO MONTILLA</t>
  </si>
  <si>
    <t>UNIDAD EDUCATIVA EL CUMBE</t>
  </si>
  <si>
    <t>0416-7777883</t>
  </si>
  <si>
    <t>CARVAJAL</t>
  </si>
  <si>
    <t>CAMPO ALEGRE</t>
  </si>
  <si>
    <t>0424-7227046</t>
  </si>
  <si>
    <t>JOSE LEONARDO SUAREZ</t>
  </si>
  <si>
    <t>SAN RAFAEL CARVAJAL</t>
  </si>
  <si>
    <t>ANTONIO N BRICEÑO</t>
  </si>
  <si>
    <t>ESCUELA INTEGRAL BOLIVARIANA JULIO SÁNCHEZ VIVAS</t>
  </si>
  <si>
    <t>0416-3740837</t>
  </si>
  <si>
    <t>0424-7243582</t>
  </si>
  <si>
    <t>UNIDAD EDUCATIVA DR. JOSE GREGORIO HERNANDEZ</t>
  </si>
  <si>
    <t>0424-7067915</t>
  </si>
  <si>
    <t>0424-7004935</t>
  </si>
  <si>
    <t xml:space="preserve">JUAN IGNACIO MONTILLA </t>
  </si>
  <si>
    <t>0424-7266973</t>
  </si>
  <si>
    <t>SANTA RITA</t>
  </si>
  <si>
    <t>0424-7581844</t>
  </si>
  <si>
    <t>ESCUELA BOLIVARIANA LA LLANADA</t>
  </si>
  <si>
    <t>0412-0496562</t>
  </si>
  <si>
    <t>UNIDAD EDUCATIVA MONSEÑOR ARIAS BLANCO</t>
  </si>
  <si>
    <t>0426-9737646</t>
  </si>
  <si>
    <t xml:space="preserve">SAN RAFAEL DE CARVAJA </t>
  </si>
  <si>
    <t>ANTONIO NICOLAS BRICEÑO</t>
  </si>
  <si>
    <t>0414-7279732</t>
  </si>
  <si>
    <t>LA PUEBLITA</t>
  </si>
  <si>
    <t>LICEO EMIRO FUENMAYOR</t>
  </si>
  <si>
    <t>0424-7679732</t>
  </si>
  <si>
    <t>0426-7393666</t>
  </si>
  <si>
    <t>0424-7628375</t>
  </si>
  <si>
    <t xml:space="preserve">MERCEDES DIAZ </t>
  </si>
  <si>
    <t>UNIDAD EDUCATIVA RICARDO LABASTIDAS</t>
  </si>
  <si>
    <t>0424-7004243</t>
  </si>
  <si>
    <t xml:space="preserve">SANTA RITA </t>
  </si>
  <si>
    <t>0414-3716406</t>
  </si>
  <si>
    <t>0424-7454146</t>
  </si>
  <si>
    <t>UNIDAD EDUCATIVA BOLIVARIANA PRE-VOCACIONAL AGUA CLARA</t>
  </si>
  <si>
    <t>0414-7499962</t>
  </si>
  <si>
    <t xml:space="preserve">CAMPO ALEGRE </t>
  </si>
  <si>
    <t>0414-7307572</t>
  </si>
  <si>
    <t>0412-2136057</t>
  </si>
  <si>
    <t xml:space="preserve">SAN LUIS </t>
  </si>
  <si>
    <t>UNIVERSIDAD NACIONAL EXPERIMENTAL SIMÓN RODRIGUEZ</t>
  </si>
  <si>
    <t>0426-6973580</t>
  </si>
  <si>
    <t xml:space="preserve">PAMPAN </t>
  </si>
  <si>
    <t xml:space="preserve">FLOR DE PATRIA </t>
  </si>
  <si>
    <t>0426-1006349</t>
  </si>
  <si>
    <t xml:space="preserve">ESCUELA BOLIVARIANA ESPECIAL PAMPAN </t>
  </si>
  <si>
    <t>MERCEDEZ DIAZ</t>
  </si>
  <si>
    <t>0424 7012228</t>
  </si>
  <si>
    <t>0424 7052017</t>
  </si>
  <si>
    <t>0424-7264601</t>
  </si>
  <si>
    <t>Juan Ignacio Montilla</t>
  </si>
  <si>
    <t>0426 3218272</t>
  </si>
  <si>
    <t>FLOR DE PATRIA</t>
  </si>
  <si>
    <t>0414 9799031</t>
  </si>
  <si>
    <t>MENDOZA</t>
  </si>
  <si>
    <t>0414 0813287</t>
  </si>
  <si>
    <t xml:space="preserve">MATRIZ </t>
  </si>
  <si>
    <t>LICEO BOLIVARIANO  RAMON IGNACIO MENDEZ</t>
  </si>
  <si>
    <t>0424 7135203</t>
  </si>
  <si>
    <t>0414-7348796</t>
  </si>
  <si>
    <t>Carvajal</t>
  </si>
  <si>
    <t>Jose Leonardo Suarez</t>
  </si>
  <si>
    <t>ESCUQUE</t>
  </si>
  <si>
    <t>0424 7073850</t>
  </si>
  <si>
    <t>SABANA LIBRE</t>
  </si>
  <si>
    <t>Mercedes Diaz</t>
  </si>
  <si>
    <t>ESCUELA NACIONAL BOLIVARIANA CAJA DE AGUA</t>
  </si>
  <si>
    <t>0426-3631927</t>
  </si>
  <si>
    <t>Escuela Prevocacional Agua Clara</t>
  </si>
  <si>
    <t>0412-7609567</t>
  </si>
  <si>
    <t>LICEO HILARIO PISANI ALSEMI</t>
  </si>
  <si>
    <t>0416-6747489</t>
  </si>
  <si>
    <t>0414-0702129</t>
  </si>
  <si>
    <t xml:space="preserve">U.E. COLEGIO MADRE RAFOLS </t>
  </si>
  <si>
    <t>0424-7464205</t>
  </si>
  <si>
    <t>ESCUELA BOLIVARIANA MONSEÑOR LUCAS GUILLERMO CASTILLO</t>
  </si>
  <si>
    <t>0424-7074586</t>
  </si>
  <si>
    <t xml:space="preserve">LICEO BOLIAVARIANO RAFAEL BENITO PERDOMO </t>
  </si>
  <si>
    <t>0424-7361583</t>
  </si>
  <si>
    <t>0414-7002431</t>
  </si>
  <si>
    <t>0412-6554432</t>
  </si>
  <si>
    <t xml:space="preserve">ANTONIO NICOLAS BRICEÑO </t>
  </si>
  <si>
    <t>0414-7402090</t>
  </si>
  <si>
    <t>SAN RAFAEL DE CARVAJAL</t>
  </si>
  <si>
    <t>0424-7520590</t>
  </si>
  <si>
    <t>ESCUELA ROMULO GALLEGOS</t>
  </si>
  <si>
    <t>0414-7178328</t>
  </si>
  <si>
    <t>0424-7585663</t>
  </si>
  <si>
    <t>0424-7277351</t>
  </si>
  <si>
    <t>LICEO BOLIVARIANO JULIO SANCHEZ VIVAS</t>
  </si>
  <si>
    <t>0414-7008238</t>
  </si>
  <si>
    <t xml:space="preserve">LA CONCEPCIÓN </t>
  </si>
  <si>
    <t>0414-7343556</t>
  </si>
  <si>
    <t xml:space="preserve">ESCUELA CONCENTRADA SAN PABLO </t>
  </si>
  <si>
    <t>0424-7355590</t>
  </si>
  <si>
    <t>LICEO CULTURAL BOLIVARIANO MONSEÑOR JOSÉ HUMBERTO CONTRERAS</t>
  </si>
  <si>
    <t>0416-9027201</t>
  </si>
  <si>
    <t>0426-3694888</t>
  </si>
  <si>
    <t>0424-7303257</t>
  </si>
  <si>
    <t xml:space="preserve">LICEO BOLIVARIANO RAFAEL QUEVEDO URBINA </t>
  </si>
  <si>
    <t>0412-703806</t>
  </si>
  <si>
    <t>0424-7259805</t>
  </si>
  <si>
    <t>0424-7067958</t>
  </si>
  <si>
    <t xml:space="preserve">UNIDAD EDUCATIVA COLEGIO MADRE RAFOLS </t>
  </si>
  <si>
    <t>0412-2153445</t>
  </si>
  <si>
    <t>Juan I. Montilla</t>
  </si>
  <si>
    <t>0412-1136707</t>
  </si>
  <si>
    <t>La Betariz</t>
  </si>
  <si>
    <t>0426-3283848</t>
  </si>
  <si>
    <t>0424-7264403</t>
  </si>
  <si>
    <t>San Rafael de Carvajal</t>
  </si>
  <si>
    <t>0416-2777399</t>
  </si>
  <si>
    <t>Jardin de Infancia Nuestra Señora La Candelaria</t>
  </si>
  <si>
    <t>0424-7254610</t>
  </si>
  <si>
    <t>Pampan</t>
  </si>
  <si>
    <t>Flor de Patria</t>
  </si>
  <si>
    <t>0412-3967175</t>
  </si>
  <si>
    <t>0412-0262966</t>
  </si>
  <si>
    <t>0424-7111063</t>
  </si>
  <si>
    <t>0414-7354637</t>
  </si>
  <si>
    <t>0416-9789426</t>
  </si>
  <si>
    <t>UNIDAD EDUCATIVA NUESTRA SEÑORA DE LA CANDELARIA</t>
  </si>
  <si>
    <t>0412-7504508</t>
  </si>
  <si>
    <t>0412-6937054</t>
  </si>
  <si>
    <t>0414-9637216</t>
  </si>
  <si>
    <t>LICEO IGNACIO CARRASQUERO</t>
  </si>
  <si>
    <t>0424-7177781</t>
  </si>
  <si>
    <t>0414-9712010</t>
  </si>
  <si>
    <t>0414-7364481</t>
  </si>
  <si>
    <t>0416-0976440</t>
  </si>
  <si>
    <t>URDANETA</t>
  </si>
  <si>
    <t>JAJO</t>
  </si>
  <si>
    <t>0424-7529634</t>
  </si>
  <si>
    <t>0426-9591671</t>
  </si>
  <si>
    <t>0424-7055244</t>
  </si>
  <si>
    <t>0412-0974688</t>
  </si>
  <si>
    <t>Liceo Bolivariano Antonio 
Nicolas Briceño</t>
  </si>
  <si>
    <t>0424-7057295</t>
  </si>
  <si>
    <t>Mercedez Diaz</t>
  </si>
  <si>
    <t>0424-7742836</t>
  </si>
  <si>
    <t>0414-7171004</t>
  </si>
  <si>
    <t>Campo Alegre</t>
  </si>
  <si>
    <t>0424-7379514</t>
  </si>
  <si>
    <t>0426-3696188</t>
  </si>
  <si>
    <t>ESCUELA UNITARIA EL QUEBRADON</t>
  </si>
  <si>
    <t>0412-0608338</t>
  </si>
  <si>
    <t>0426-2759650</t>
  </si>
  <si>
    <t>0424-7261877</t>
  </si>
  <si>
    <t>0412-6692137</t>
  </si>
  <si>
    <t>0424-6223692</t>
  </si>
  <si>
    <t>0426-4167305</t>
  </si>
  <si>
    <t>UNIDAD EDUCATIVA RAFAEL QUEVEDO URBINA</t>
  </si>
  <si>
    <t>0414-0784698</t>
  </si>
  <si>
    <t>0426-4739427</t>
  </si>
  <si>
    <t>0424-9186198</t>
  </si>
  <si>
    <t>0426-5722714</t>
  </si>
  <si>
    <t>0426-2664489</t>
  </si>
  <si>
    <t>0412-1738152</t>
  </si>
  <si>
    <t>0416-7286054</t>
  </si>
  <si>
    <t>0414-7553890</t>
  </si>
  <si>
    <t>0424-7460153</t>
  </si>
  <si>
    <t>0416-5188414</t>
  </si>
  <si>
    <t>Mercedes Díaz</t>
  </si>
  <si>
    <t>0424-7546873</t>
  </si>
  <si>
    <t>Mendoza</t>
  </si>
  <si>
    <t>0414-7049993</t>
  </si>
  <si>
    <t>Liceo Bolivariano Ciudad de Valera</t>
  </si>
  <si>
    <t>0424-7226005</t>
  </si>
  <si>
    <t>0424-7489162</t>
  </si>
  <si>
    <t>0414-0821297</t>
  </si>
  <si>
    <t>JOSE G. HERNANDEZ</t>
  </si>
  <si>
    <t>ESCUELA BASICA LAS RURALES</t>
  </si>
  <si>
    <t>0424-7207247</t>
  </si>
  <si>
    <t>0414-3718957</t>
  </si>
  <si>
    <t>LIC EMIRO FUENMAYOR</t>
  </si>
  <si>
    <t>0416-7764668</t>
  </si>
  <si>
    <t>0414-0603252</t>
  </si>
  <si>
    <t>EL CEDRO</t>
  </si>
  <si>
    <t>UNIDAD EDUCATIVA FRANCISCA ARÉVALO</t>
  </si>
  <si>
    <t>ESCUELA BOLIVARIANA LA CANTARRANA</t>
  </si>
  <si>
    <t>CHIQUINQUIRA</t>
  </si>
  <si>
    <t>UNIDAD EDUCATIVA ROSARIO CARRILLO HEREDIA</t>
  </si>
  <si>
    <t>0426-7899488</t>
  </si>
  <si>
    <t>TRES ESQUINAS</t>
  </si>
  <si>
    <t>UNIDAD EDUCATIVA DOCTOR ANDRÉS LOMELLI ROSARIO</t>
  </si>
  <si>
    <t>0272-6781095</t>
  </si>
  <si>
    <t xml:space="preserve">PAMPÁN </t>
  </si>
  <si>
    <t>0414-7333253</t>
  </si>
  <si>
    <t>SOMINCITO LA MURALLA</t>
  </si>
  <si>
    <t>0416-4639295</t>
  </si>
  <si>
    <t>0426-8279679</t>
  </si>
  <si>
    <t>0414-7061142</t>
  </si>
  <si>
    <t>UNIDAD EDUCATIVA ELVIA MONTILLA DE SANTOS</t>
  </si>
  <si>
    <t>ESCUELA BOLIVARIANA DE EDUCACION ESPECIAL</t>
  </si>
  <si>
    <t>0426-8183627</t>
  </si>
  <si>
    <t>0424-7694677</t>
  </si>
  <si>
    <t>CENTRO RECREACIONAL Y DEPOTIVO PAMPÁN (PARQUE)</t>
  </si>
  <si>
    <t>0416-5339953</t>
  </si>
  <si>
    <t>0426-7791808</t>
  </si>
  <si>
    <t>0414-7458965</t>
  </si>
  <si>
    <t>CENTRO DE ATENCION INTEGRAL AL CIEGO Y DEFICIENTE VISUAL VALERA</t>
  </si>
  <si>
    <t>0412-0789717</t>
  </si>
  <si>
    <t>MATRIZ</t>
  </si>
  <si>
    <t>ESCUELA BOLIVARIANA ROSARIO ALMARZA</t>
  </si>
  <si>
    <t>0414-9787210</t>
  </si>
  <si>
    <t>COLEGIO SANTO TOMÁS DE AQUINO
(SALESIANOS)</t>
  </si>
  <si>
    <t>CENTRO DE EDUCACIÓN INICIAL REINA BARRETO DE MOLINA</t>
  </si>
  <si>
    <t>0426-5745806</t>
  </si>
  <si>
    <t>0416-1048153</t>
  </si>
  <si>
    <t>LICEO RAMON IGNACIO MENDEZ</t>
  </si>
  <si>
    <t>0426-5629815</t>
  </si>
  <si>
    <t>ESCUELA BOLIVARIANA SAN RAFAEL</t>
  </si>
  <si>
    <t>0412-6576013</t>
  </si>
  <si>
    <t>0424-7770162</t>
  </si>
  <si>
    <t>0424-7502659</t>
  </si>
  <si>
    <t>ESCUELA RURAL EL QUEBRADON</t>
  </si>
  <si>
    <t>0424-7216612</t>
  </si>
  <si>
    <t>CENTRO DE ATENCION INTEGRAL AL
 CIEGO Y DEFICIENTE VISUAL VALERA</t>
  </si>
  <si>
    <t>0424-5553862</t>
  </si>
  <si>
    <t>0426-4296943</t>
  </si>
  <si>
    <t>JALISCO</t>
  </si>
  <si>
    <t>UNIDAD EDUCATIVA PROFESOR SANTIAGO SANCHEZ</t>
  </si>
  <si>
    <t>0416-1839568</t>
  </si>
  <si>
    <t>0424-7671251</t>
  </si>
  <si>
    <t>LA CONCEPCION</t>
  </si>
  <si>
    <t>SEDE PRINCIPAL DE PROTECCIÓN CIVIL</t>
  </si>
  <si>
    <t>0414-3797274</t>
  </si>
  <si>
    <t>0424-7452626</t>
  </si>
  <si>
    <t>0424-7215888</t>
  </si>
  <si>
    <t>0272-2361968</t>
  </si>
  <si>
    <t>CRISTOBAL MENDOZA</t>
  </si>
  <si>
    <t>ESCUELA BOLIVARIANA CARRILLO GUERRA</t>
  </si>
  <si>
    <t>0424-7520289</t>
  </si>
  <si>
    <t>ESCUELA BOLIVARIANA MONSEÑOR
 LUCAS GUILLERMO CASTILLO</t>
  </si>
  <si>
    <t>0414-6291538</t>
  </si>
  <si>
    <t>0424-7827104</t>
  </si>
  <si>
    <t>0416-7619727</t>
  </si>
  <si>
    <t>CENTRO INTEGRAL BOLIVARIANO 
REINA BARRETO DE MOLINA</t>
  </si>
  <si>
    <t>0426-3476217</t>
  </si>
  <si>
    <t>0414-732569</t>
  </si>
  <si>
    <t>0412-5109103</t>
  </si>
  <si>
    <t>0426-2512096</t>
  </si>
  <si>
    <t>0412-3859115</t>
  </si>
  <si>
    <t>0424-7270188</t>
  </si>
  <si>
    <t>0424-7399107</t>
  </si>
  <si>
    <t>0416-7008391</t>
  </si>
  <si>
    <t>0416-0929947</t>
  </si>
  <si>
    <t>0426-4625474</t>
  </si>
  <si>
    <t>SUCRE</t>
  </si>
  <si>
    <t>VALMORE RODRIGUEZ</t>
  </si>
  <si>
    <t>COLEGIO MARISCAL ANTONIO JOSÉ DE SUCRE</t>
  </si>
  <si>
    <t>0412-1714374</t>
  </si>
  <si>
    <t>0424/5723496</t>
  </si>
  <si>
    <t>0424/7398679</t>
  </si>
  <si>
    <t>ESCUELA EL CUMBE</t>
  </si>
  <si>
    <t>0414-0361731</t>
  </si>
  <si>
    <t>0416/4706298</t>
  </si>
  <si>
    <t>0271-2317545</t>
  </si>
  <si>
    <t>UNIDAD EDUCATIVA ESTADAL RICARDO LABASTIDAS</t>
  </si>
  <si>
    <t>0414-9711243</t>
  </si>
  <si>
    <t>0426-1504898</t>
  </si>
  <si>
    <t>0424-7424387</t>
  </si>
  <si>
    <t>0426-3782446</t>
  </si>
  <si>
    <t>ESCUELA BOLIVARIANA ESTADO CARABOBO</t>
  </si>
  <si>
    <t>0426-1653521</t>
  </si>
  <si>
    <t>0426-2776212</t>
  </si>
  <si>
    <t>0426-7132275</t>
  </si>
  <si>
    <t>0412-0317482</t>
  </si>
  <si>
    <t>0412-6571263</t>
  </si>
  <si>
    <t>0416-7392713</t>
  </si>
  <si>
    <t>0414-7281344</t>
  </si>
  <si>
    <t>0414-7425499</t>
  </si>
  <si>
    <t>0271-2250697</t>
  </si>
  <si>
    <t>0424-7068746</t>
  </si>
  <si>
    <t>0424-7484876</t>
  </si>
  <si>
    <t>0424-7364368</t>
  </si>
  <si>
    <t>0416-1460612</t>
  </si>
  <si>
    <t>0414-1760443</t>
  </si>
  <si>
    <t>0426-0565406</t>
  </si>
  <si>
    <t>0414-7495243</t>
  </si>
  <si>
    <t>0424-1415968</t>
  </si>
  <si>
    <t>0424-7837147</t>
  </si>
  <si>
    <t>0416-5755106</t>
  </si>
  <si>
    <t>0426-4274455</t>
  </si>
  <si>
    <t>0416-6709442</t>
  </si>
  <si>
    <t>0424-3662813</t>
  </si>
  <si>
    <t>SIMONCITO BRISAS DE JALISCO</t>
  </si>
  <si>
    <t>0424-7070132</t>
  </si>
  <si>
    <t>0426-3312575</t>
  </si>
  <si>
    <t xml:space="preserve">TRUJILLO </t>
  </si>
  <si>
    <t xml:space="preserve">CHIQUINQUIRÁ </t>
  </si>
  <si>
    <t>0424-7202407</t>
  </si>
  <si>
    <t>0416-3734616</t>
  </si>
  <si>
    <t>0412-6888547</t>
  </si>
  <si>
    <t>0424-7149146</t>
  </si>
  <si>
    <t>0426-2559284</t>
  </si>
  <si>
    <t>0426-3667682</t>
  </si>
  <si>
    <t>0426-0470659</t>
  </si>
  <si>
    <t>ESCUELA BOLIVARIANA EL RECREO</t>
  </si>
  <si>
    <t>0426-8262470</t>
  </si>
  <si>
    <t>0424-7770224</t>
  </si>
  <si>
    <t>0426-3389506</t>
  </si>
  <si>
    <t>0416-9393582</t>
  </si>
  <si>
    <t>0414-0799359/   0416-4297414</t>
  </si>
  <si>
    <t>UNIVERSIDAD POLITÉCNICA TERRITORIAL DEL ESTADO TRUJILLO MARIO BRICEÑO IRAGORRY UPTT SEDE SAN LUIS</t>
  </si>
  <si>
    <t>0424-7654659</t>
  </si>
  <si>
    <t>0416-1387107</t>
  </si>
  <si>
    <t>0424-7155023</t>
  </si>
  <si>
    <t>BEATRIZ</t>
  </si>
  <si>
    <t>UE NUESTRA SEÑORA DE LA CANDELARIA</t>
  </si>
  <si>
    <t>0424-7840245</t>
  </si>
  <si>
    <t>0416-9742828</t>
  </si>
  <si>
    <t>0412-4246050</t>
  </si>
  <si>
    <t>0424-6978265</t>
  </si>
  <si>
    <t>0416-7876599</t>
  </si>
  <si>
    <t>0424-7044210</t>
  </si>
  <si>
    <t>0424-7130438</t>
  </si>
  <si>
    <t>0416-0820801</t>
  </si>
  <si>
    <t>0426-4696012</t>
  </si>
  <si>
    <t>0426-0363596</t>
  </si>
  <si>
    <t>Fray Ignacio Montilla</t>
  </si>
  <si>
    <t>0424-7023795</t>
  </si>
  <si>
    <t>Quintero Montilla Merly Paula</t>
  </si>
  <si>
    <t>01020747920000446570</t>
  </si>
  <si>
    <t>ESCUELA BOLIVARIANA LA HONDA</t>
  </si>
  <si>
    <t>01020327930000119917</t>
  </si>
  <si>
    <t>Viloria de Utrilla Arelis del Carmen</t>
  </si>
  <si>
    <t>Utrilla Viloria Matias Josue</t>
  </si>
  <si>
    <t>0424-7472331</t>
  </si>
  <si>
    <t>Mendoza Vieras Maria Elena</t>
  </si>
  <si>
    <t>0416-0777131</t>
  </si>
  <si>
    <t xml:space="preserve">GRADO DE INSTRUCCION </t>
  </si>
  <si>
    <t>ESCUELA BOLIVARIANA PASCUAL IGNACIO VILLASMIL</t>
  </si>
  <si>
    <t xml:space="preserve">MENDOZA </t>
  </si>
  <si>
    <t>LICEO BOLIVARIANO ANTONIO NICOLÁS BRICEÑO</t>
  </si>
  <si>
    <t>ESCUELA BOLIVARIANA PADRE ROSARIO</t>
  </si>
  <si>
    <t>ESCUELA CONCENTRADA LA CONCEPCIÓN</t>
  </si>
  <si>
    <t>ESCUELA ESTADAL CONCENTRADA SIN NÚMERO ALTO DE SAN JUAN</t>
  </si>
  <si>
    <t>ESCUELA CONCENTRADA SABANA DE CUBA</t>
  </si>
  <si>
    <t>CASA DE ALIMENTACION NUESTRA SEÑORA DE LOURDES</t>
  </si>
  <si>
    <t>UNIDAD ESCOLAR MEDIA LUNA</t>
  </si>
  <si>
    <t> ANTONIO N BRICEÑO</t>
  </si>
  <si>
    <t>ESCUELA CONCENTRADA SAN LUIS NER 365</t>
  </si>
  <si>
    <t>0412-0168191</t>
  </si>
  <si>
    <t>LICEO BOLIVARIANO HILARIO PIZANI ANSELMI</t>
  </si>
  <si>
    <t>LA QUEBRADA</t>
  </si>
  <si>
    <t>ESCUELA ESTADAL CONCENTRADA SIN NÚMERO LOMA DEL MEDIO</t>
  </si>
  <si>
    <t>SAN RAFEL CARVAJAL</t>
  </si>
  <si>
    <t>ESCUELA CONCENTRADA NACIONAL LA HOYADA</t>
  </si>
  <si>
    <t>ESCUELA BOLIVARIANA ESTEBAN RASQUIN</t>
  </si>
  <si>
    <t>UNIDAD EDUCATIVA MANUEL MARIA CARRASQUERO</t>
  </si>
  <si>
    <t>0271-2258164</t>
  </si>
  <si>
    <t>0416-8711190 0426-8261020</t>
  </si>
  <si>
    <t>0426-3113763 0424-7826540</t>
  </si>
  <si>
    <t>0412-0232443</t>
  </si>
  <si>
    <t>0426-3282556</t>
  </si>
  <si>
    <t>0416-1326939</t>
  </si>
  <si>
    <t>0416-8952032</t>
  </si>
  <si>
    <t>0416-4566469 0412-6828566</t>
  </si>
  <si>
    <t>0426-6499157</t>
  </si>
  <si>
    <t>0416-7729380 0412-0215133</t>
  </si>
  <si>
    <t>0424-7290292</t>
  </si>
  <si>
    <t>0424-7188163</t>
  </si>
  <si>
    <t>0424-7849955</t>
  </si>
  <si>
    <t>0412-9319053</t>
  </si>
  <si>
    <t>0414-7411152</t>
  </si>
  <si>
    <t>0416-0777173</t>
  </si>
  <si>
    <t>0416-1755408</t>
  </si>
  <si>
    <t>0424-7489638</t>
  </si>
  <si>
    <t>0424-7810737</t>
  </si>
  <si>
    <t>0416-2457305</t>
  </si>
  <si>
    <t>0414-7307312</t>
  </si>
  <si>
    <t>0412-9336578</t>
  </si>
  <si>
    <t>0414-7264772</t>
  </si>
  <si>
    <t>0414-7009271</t>
  </si>
  <si>
    <t>JARDÍN DE INFANCIA NUESTRA SEÑORA DE LA CANDELARIA</t>
  </si>
  <si>
    <t>UNIDAD EDUCATIVA ESTADAL ROMULO GALLEGOS</t>
  </si>
  <si>
    <t>COMPLEJO EDUCATIVAO ESTADAL JOSEFA ESPINOZA DEL GALLEGO</t>
  </si>
  <si>
    <t>RAFAEL CARVAJAL</t>
  </si>
  <si>
    <t>CENTRO DE EDUCACION INTEGRAL RAFAEL QUEVEDO URBINA</t>
  </si>
  <si>
    <t>UNIDAD EDUCATIVA COLEGIO MADRE RAFOLS</t>
  </si>
  <si>
    <t>0424-7836168</t>
  </si>
  <si>
    <t>0412-0798558</t>
  </si>
  <si>
    <t>0416-8978860</t>
  </si>
  <si>
    <t>0424-7479423</t>
  </si>
  <si>
    <t>UNIDAD EDUCATIVA SIMON BOLIVAR</t>
  </si>
  <si>
    <t>MONSEÑOR CARRILLO</t>
  </si>
  <si>
    <t>UNIDAD EDUCATIVA MARÍA BARTOLA BECERRA</t>
  </si>
  <si>
    <t>ESCUELA BOLIVARIANA PARA LA DIVERSIDAD FUNCIONAL INTELECTUAL FRAY IGNACIO ALVAREZ</t>
  </si>
  <si>
    <t>CASA DEL NIÑO Y ADOLESCENTE TRABAJADOR EL MILAGRO</t>
  </si>
  <si>
    <t>ESCUELA CONCENTRADA SAN PABLO</t>
  </si>
  <si>
    <t>MODULO DE SERVICIO FONDO COMUNAL SAN LUI</t>
  </si>
  <si>
    <t>LICEO BOLIVARIANO ANTONIO JOSÉ PACHECO</t>
  </si>
  <si>
    <t>0426-2664314</t>
  </si>
  <si>
    <t>0426-3577775</t>
  </si>
  <si>
    <t>UNIDAD EDUCATIVA SAN VICENTE DE PAÚL</t>
  </si>
  <si>
    <t>ESCUELA ESTADAL EL CACAO</t>
  </si>
  <si>
    <t>GRUPO ESCOLAR EDUARDO BLANCO</t>
  </si>
  <si>
    <t>CENTRO DE EDUCACION INTEGRAL RÓMULO GALLEGOS</t>
  </si>
  <si>
    <t>GRUPO ESCOLAR DIEGO BUSTILLOS</t>
  </si>
  <si>
    <t xml:space="preserve">Triviño De Bastidas Dioni De La Coromoto </t>
  </si>
  <si>
    <t>CENTRO INTEGRAL BOLIVARIANO REINA BARRETO DE MOLINA</t>
  </si>
  <si>
    <t>ESCUELA BOLIVARIANA ELOISA FONSECA</t>
  </si>
  <si>
    <t>CENTRO DE EDUCACION INICIAL BOLIVARIANO REINA BARRETO</t>
  </si>
  <si>
    <t>UNIDAD EDUCATIVA JOSÉ ANTONIO VELASCO</t>
  </si>
  <si>
    <t>UNIDAD EDUCATIVA NACIONAL PADRE BLANCO</t>
  </si>
  <si>
    <t>LICEO BOLIVARIANO ANDRES LOMELLI ROSARIO</t>
  </si>
  <si>
    <t>ESCUELA BOLIVARIANA FRANCISCO JAVIER URBINA</t>
  </si>
  <si>
    <t>UNIDAD EDUCATIVA SAN JOSÉ</t>
  </si>
  <si>
    <t xml:space="preserve">SAN RAFAEL CARVAJA </t>
  </si>
  <si>
    <t>SAN RAFAEL CARVAJAl</t>
  </si>
  <si>
    <t>UNIDAD EDUCATIVA ESTADAL EMIRO FUENMAYOR</t>
  </si>
  <si>
    <t>UNIDAD EDUCATIVA LAS MERCEDES</t>
  </si>
  <si>
    <t>MERCEDES DÍAZ</t>
  </si>
  <si>
    <t>PAMPANITO II</t>
  </si>
  <si>
    <t>ESCUELA BOLIVARIANA ALICIA PRIETI DE CALDERA</t>
  </si>
  <si>
    <t>SAN  RAFAEL CARVAJAL</t>
  </si>
  <si>
    <t>ESCUELA BOLIVARIANA JUAN IGNACIO MONTILLA</t>
  </si>
  <si>
    <t> LA PUEBLITA</t>
  </si>
  <si>
    <t>UNIDAD EDUCATIVA FRANCISCO DE MIRANDA</t>
  </si>
  <si>
    <t xml:space="preserve">SAN RAFAEL CARVAJAL </t>
  </si>
  <si>
    <t>0426-1780651</t>
  </si>
  <si>
    <t>INSTITUTO NACIONAL DE TIERRAS (INTI)</t>
  </si>
  <si>
    <t>San Rafael Carvajal</t>
  </si>
  <si>
    <t>BONO DIA DEL PADRE</t>
  </si>
  <si>
    <t>0424-7636281</t>
  </si>
  <si>
    <t>0424-7349587</t>
  </si>
  <si>
    <t>0271-2313902</t>
  </si>
  <si>
    <t>0416-4793489</t>
  </si>
  <si>
    <t>0414-7095339</t>
  </si>
  <si>
    <t>NO TIENE</t>
  </si>
  <si>
    <t>0414-0754524</t>
  </si>
  <si>
    <t>0426-3779437</t>
  </si>
  <si>
    <t>0424-7767703</t>
  </si>
  <si>
    <t>0414-9760860</t>
  </si>
  <si>
    <t>0416-8101311</t>
  </si>
  <si>
    <t>0414-7241977</t>
  </si>
  <si>
    <t>0414-9780233</t>
  </si>
  <si>
    <t>0416-3781367</t>
  </si>
  <si>
    <t>0412-5376792</t>
  </si>
  <si>
    <t>0412-4132997</t>
  </si>
  <si>
    <t>0426-4274141</t>
  </si>
  <si>
    <t>0424-7283964</t>
  </si>
  <si>
    <t>0424-7154183</t>
  </si>
  <si>
    <t>0414-7008032</t>
  </si>
  <si>
    <t>0414-5929363</t>
  </si>
  <si>
    <t>0416-2733136</t>
  </si>
  <si>
    <t>0424-7455474</t>
  </si>
  <si>
    <t>0412-7649039</t>
  </si>
  <si>
    <t>0424-7563625</t>
  </si>
  <si>
    <t>0426-2411709</t>
  </si>
  <si>
    <t>0416-1804428</t>
  </si>
  <si>
    <t>0414-7018579</t>
  </si>
  <si>
    <t>0416-1324419</t>
  </si>
  <si>
    <t>0424-7776632</t>
  </si>
  <si>
    <t>0412-9014449</t>
  </si>
  <si>
    <t>0424-7439592</t>
  </si>
  <si>
    <t>0416-1694654</t>
  </si>
  <si>
    <t>0424-7086531</t>
  </si>
  <si>
    <t>0412-3647315</t>
  </si>
  <si>
    <t>0412-6932491</t>
  </si>
  <si>
    <t>0414-9757064</t>
  </si>
  <si>
    <t>UNIDAD EDUCATIVA RURAL LA MATA</t>
  </si>
  <si>
    <t>UNIDAD EDUCATIVA NACIONAL SALOMÓN BRICEÑO GABALDON</t>
  </si>
  <si>
    <t>ESCUELA GRADUADA CUBITA</t>
  </si>
  <si>
    <t>ESCUELA CONCENTRADA RETOÑITOS EL PENCIL</t>
  </si>
  <si>
    <t>ESCUELA ESTADAL BISNACA NER 463</t>
  </si>
  <si>
    <t>01020373280000440411</t>
  </si>
  <si>
    <t>Gonzalez Mendoza Valentina Alexandra</t>
  </si>
  <si>
    <t>Gonzalez Mendoza Vanessa Alejandra</t>
  </si>
  <si>
    <t>Utrilla Viloria Airysmar Paola</t>
  </si>
  <si>
    <t>0426-2755203</t>
  </si>
  <si>
    <t>ESCUELA INTEGRAL BOLIVARIANA MARIA DOLORES ARAUJO</t>
  </si>
  <si>
    <t>ESCUELA BOLIVARIANA LA CABAÑA</t>
  </si>
  <si>
    <t>ESCUELA BOLIVARIANA CIUDAD DE VALERA</t>
  </si>
  <si>
    <t>UNIDAD EDUCATIVA ANTONIO NICOLÁS BRICEÑO</t>
  </si>
  <si>
    <t> IRIBARREN</t>
  </si>
  <si>
    <t>U.E.N. JOSE GIL FORTOUL</t>
  </si>
  <si>
    <t>LICEO BOLIVARIANO RAFAEL MARIA URRECHEAGA</t>
  </si>
  <si>
    <t>LICEO BOLIVARIANO RAFAEL RANGEL</t>
  </si>
  <si>
    <t>ESCUELA CONCENTRADA EL TURAGUAL</t>
  </si>
  <si>
    <t>BRIGADA DE RESCATE Y SALVAMENTO LA CEJITA 20</t>
  </si>
  <si>
    <t>ESCUELA NACIONAL CONCENTRADA BOLIVARIANA LAS TRAVESIAS</t>
  </si>
  <si>
    <t>CEI LAS ESPERANZAS</t>
  </si>
  <si>
    <t>LICEO BOLIVARIANO CIUDAD DE VALERA</t>
  </si>
  <si>
    <t>UNIDAD EDUCATIVA RURAL JOSE FELIX RIBAS</t>
  </si>
  <si>
    <t>ESCUELA CONCENTRADA EL COROZO</t>
  </si>
  <si>
    <t>ESCUELA BÁSICA BARRIO NUEVO</t>
  </si>
  <si>
    <t>LICEO BOLIVARIANO IGNACIO CARRASQUERO</t>
  </si>
  <si>
    <t>UNIDAD EDUCATIVA FE Y ALEGRÍA GONZALO SENIOR</t>
  </si>
  <si>
    <t>LICEO BOLVARIANO RAFAEL RANGEL</t>
  </si>
  <si>
    <t>ESCUELA BOLIVARIANA LA GIRA</t>
  </si>
  <si>
    <t> JUAN IGNACIO MONTILLA</t>
  </si>
  <si>
    <t>ESCUELA TÉCNICA ROBINSONIANA ZAMORANA PEDRO GARCÍA LEAL</t>
  </si>
  <si>
    <t>LICEO BOLIVARIANO PROFESOR ALFREDO RAMON DELGADO MEJIAS</t>
  </si>
  <si>
    <t>01020373290000806987</t>
  </si>
  <si>
    <t>Perez Gonzalez Maria Ines</t>
  </si>
  <si>
    <t>01020494150000542995</t>
  </si>
  <si>
    <t>0414-7241438 0416-4164474</t>
  </si>
  <si>
    <t>Olmos Perez Emma Lucia</t>
  </si>
  <si>
    <t>Barrozo Godoy Kellem Daniela</t>
  </si>
  <si>
    <t>01020373260001322570</t>
  </si>
  <si>
    <t>0424-7415976</t>
  </si>
  <si>
    <t>Barrozo Godoy Khloe Valentina</t>
  </si>
  <si>
    <t>Acosta Prieto Noyralith Violeta</t>
  </si>
  <si>
    <t>Valera Briceño Jesus Enrique</t>
  </si>
  <si>
    <t>01020373200001290961</t>
  </si>
  <si>
    <t>0414-7577714 0424-1361825</t>
  </si>
  <si>
    <t>Guiade Centro I</t>
  </si>
  <si>
    <t>Valera Urbina Jesus Daniel</t>
  </si>
  <si>
    <t>Valero Sulbaran Urquia Del Mar</t>
  </si>
  <si>
    <t>01020373210001331040</t>
  </si>
  <si>
    <t>0424-7048745 0424-7145209</t>
  </si>
  <si>
    <t>Mendoza Valero Ignacio David</t>
  </si>
  <si>
    <t>Villalobos Javier Jose</t>
  </si>
  <si>
    <t>01020747940000128267</t>
  </si>
  <si>
    <t>0424-6314833 0416-7281691</t>
  </si>
  <si>
    <t>SIMONSITO BRISAS DE JALISCO</t>
  </si>
  <si>
    <t xml:space="preserve">Entrenador Deportivo IV </t>
  </si>
  <si>
    <t>Villalobos Rojas Fabiana Valentina</t>
  </si>
  <si>
    <t>Ocanto Ramirez Maria Alejandra</t>
  </si>
  <si>
    <t>01020494150000449247</t>
  </si>
  <si>
    <t>0416-2625900 0412-7563750</t>
  </si>
  <si>
    <t xml:space="preserve">Ocanto Ramirez Maria Alejandra </t>
  </si>
  <si>
    <t>Briceño Ocanto Gabriel Alejandro</t>
  </si>
  <si>
    <t>Araujo Mendoza Mirelis Carolina</t>
  </si>
  <si>
    <t>01020373200001240254</t>
  </si>
  <si>
    <t>0416-4484387</t>
  </si>
  <si>
    <t xml:space="preserve">Araujo Mendoza Mirelis Carolina </t>
  </si>
  <si>
    <t>Montilla Araujo Marianny Valentina</t>
  </si>
  <si>
    <t>Venegas Azuaje Freddy Jose</t>
  </si>
  <si>
    <t>01020501820002859149</t>
  </si>
  <si>
    <t>0416-9475814 0424-7085037</t>
  </si>
  <si>
    <t>Colmenares Jorge Luis</t>
  </si>
  <si>
    <t>01020369440100086019</t>
  </si>
  <si>
    <t>0426-4637683</t>
  </si>
  <si>
    <t>Colmenares Andrade Jonas Adolfo</t>
  </si>
  <si>
    <t>Colmenares Andrade Janny Antonella</t>
  </si>
  <si>
    <t>Malpica Rivas Julio Enrique</t>
  </si>
  <si>
    <t>01020747950000526652</t>
  </si>
  <si>
    <t>0416-5337192</t>
  </si>
  <si>
    <t>ESCUELA BOLIVARIANA VIVIENDA RURAL</t>
  </si>
  <si>
    <t>UNIDAD EDUCATIVA RURAL JOSE FELIZ RIVAS</t>
  </si>
  <si>
    <t>UNIDAD EDUCATIVA LAS MERCEDEZ</t>
  </si>
  <si>
    <t>Guillen Mendoza Edgar Daniel</t>
  </si>
  <si>
    <t>Coord. del Programa Socio Educativo/ JEFE CRA</t>
  </si>
  <si>
    <t>01020446170000086312</t>
  </si>
  <si>
    <t xml:space="preserve">Coordinador de Programa </t>
  </si>
  <si>
    <t>0412-9962873</t>
  </si>
  <si>
    <t>ESCUELA BOLIVARIANA LA ENCOMIENDA</t>
  </si>
  <si>
    <t>MERCEDEZ DIAS</t>
  </si>
  <si>
    <t>01020373240000441562</t>
  </si>
  <si>
    <t>0412-0885545</t>
  </si>
  <si>
    <t>Vazquez Hernandez Doris Mercedes</t>
  </si>
  <si>
    <t>01020373230100096328</t>
  </si>
  <si>
    <t>Maldonado Vazquez Dylan Josue</t>
  </si>
  <si>
    <t>Maldonado vazquez Santiago David</t>
  </si>
  <si>
    <t>Rivas Briceño Nathaly Del Carmen</t>
  </si>
  <si>
    <t>01020747910000305006</t>
  </si>
  <si>
    <t xml:space="preserve">Tecnico Superior en Trabajo Social I   </t>
  </si>
  <si>
    <t>Paredes Rivas Fernanda Isabella</t>
  </si>
  <si>
    <t>Gonzalez De Briceño Yasmin Coromoto</t>
  </si>
  <si>
    <t>01020747960000378350</t>
  </si>
  <si>
    <t>Yepes Caceres Mervis Javier</t>
  </si>
  <si>
    <t>01020334140000261823</t>
  </si>
  <si>
    <t>Yepes Fernandez Isaias Javier</t>
  </si>
  <si>
    <t>Yepes Gil Rafael Josue</t>
  </si>
  <si>
    <t>0414-7308160</t>
  </si>
  <si>
    <t>0424-7586076</t>
  </si>
  <si>
    <t>0426-4614544</t>
  </si>
  <si>
    <t>ESCUELA BÁSICA LA CONCENTRADA LA BETICÓ</t>
  </si>
  <si>
    <t>0412-5372113</t>
  </si>
  <si>
    <t>Barrios De Di Fiore Jhulian Del Valle</t>
  </si>
  <si>
    <t xml:space="preserve">Daboin Piña Jesus Manuel </t>
  </si>
  <si>
    <t xml:space="preserve">(01 Agosto 2024) CREDNNA Pampan </t>
  </si>
  <si>
    <t>(31 Julio 2024)</t>
  </si>
  <si>
    <t>Godoy Suarez Nelson Jose</t>
  </si>
  <si>
    <t>01020457770000172721</t>
  </si>
  <si>
    <t>0424-7671025</t>
  </si>
  <si>
    <t>Godoy Quintero Valeria Lucia</t>
  </si>
  <si>
    <t>Godoy Blanco Emily Antonella</t>
  </si>
  <si>
    <t>Briceño Ana Beatriz</t>
  </si>
  <si>
    <t>01020373250001425383</t>
  </si>
  <si>
    <t>0424-7737146</t>
  </si>
  <si>
    <t>Briceño Briceño Sarahi Elesmar</t>
  </si>
  <si>
    <t>JENIFER VIELMA</t>
  </si>
  <si>
    <t>Coordinador de Programa (01-09-2024) CRAV VARONES</t>
  </si>
  <si>
    <t>Jefe (E) de la Oficina Auditiria Interna / Planificador I</t>
  </si>
  <si>
    <t>Viloria Albornoz Arelis Andreina</t>
  </si>
  <si>
    <t>01020494110000373119</t>
  </si>
  <si>
    <t>0424-4600587</t>
  </si>
  <si>
    <t>Abreu Viloria Owen Adam</t>
  </si>
  <si>
    <t>Contabilista III</t>
  </si>
  <si>
    <t>Linares Barreto Jorge Luis</t>
  </si>
  <si>
    <t>01020369430000174855</t>
  </si>
  <si>
    <t>BONO DIA DEL EMPLEADO PUBLICO</t>
  </si>
  <si>
    <t>Manzanilla Rodriguez Melanny Fabiola</t>
  </si>
  <si>
    <t>CREDNNA VALERA</t>
  </si>
  <si>
    <t>CACNNA EL MILAGRO</t>
  </si>
  <si>
    <t>EJEMPLO</t>
  </si>
  <si>
    <t>TIPO PERSONAL</t>
  </si>
  <si>
    <t>CÉDULA</t>
  </si>
  <si>
    <t>AÑOS DE SERVICIO</t>
  </si>
  <si>
    <t>SUELDO BASE MENSUAL</t>
  </si>
  <si>
    <t>PRIMA HIJO</t>
  </si>
  <si>
    <t>PRIMA DE TRANSPORTE</t>
  </si>
  <si>
    <t>PRIMA PROFESIONAL</t>
  </si>
  <si>
    <t>TOTAL PRIMAS</t>
  </si>
  <si>
    <t>SUELDO NORMAL</t>
  </si>
  <si>
    <t>BONO FIN DE AÑO (AGUINALDOS)</t>
  </si>
  <si>
    <t>CALCULO         (1 MESES)                   37,5 dias</t>
  </si>
  <si>
    <t>MONTO A SOLICITAR        (1 MES DE AGUINALDOS)</t>
  </si>
  <si>
    <t>DIRECTIVO</t>
  </si>
  <si>
    <t>LUIS LOPEZ</t>
  </si>
  <si>
    <t xml:space="preserve">EMPLEADO </t>
  </si>
  <si>
    <t>ROSA MENDEZ</t>
  </si>
  <si>
    <t>ANALISTA DE PERSONALII</t>
  </si>
  <si>
    <t>JOSE LUIS PEREZ</t>
  </si>
  <si>
    <t>125</t>
  </si>
  <si>
    <t>DAIVELIS PEÑA</t>
  </si>
  <si>
    <t>100</t>
  </si>
  <si>
    <t>FRACCIONADOS</t>
  </si>
  <si>
    <r>
      <rPr>
        <b/>
        <sz val="12"/>
        <color indexed="8"/>
        <rFont val="Calibri"/>
        <family val="2"/>
      </rPr>
      <t>150 dias</t>
    </r>
    <r>
      <rPr>
        <sz val="12"/>
        <color indexed="8"/>
        <rFont val="Calibri"/>
        <family val="2"/>
      </rPr>
      <t xml:space="preserve"> dividido en 4 partes</t>
    </r>
  </si>
  <si>
    <t> Alicuotas VACACIONES </t>
  </si>
  <si>
    <t>Alicuotas AGUINALDOS </t>
  </si>
  <si>
    <t>dias</t>
  </si>
  <si>
    <t>MES INGRESO</t>
  </si>
  <si>
    <t>MESES TRABAJADOS</t>
  </si>
  <si>
    <t>VACACIONES FRACCIONADOS</t>
  </si>
  <si>
    <t>AGUINALDOS FRACCIONADOS</t>
  </si>
  <si>
    <t>FORMULA DIAS VACACIONES FRACCIONADOS </t>
  </si>
  <si>
    <t>FORMULA DIAS AGUINALDOS  FRACCIONADOS </t>
  </si>
  <si>
    <t>180/12*MESES TRABAJADO</t>
  </si>
  <si>
    <t>150/12*MESES TRABAJADO</t>
  </si>
  <si>
    <t>alicuotas ejemplo poa</t>
  </si>
  <si>
    <t>((T12/30)*(120/12))</t>
  </si>
  <si>
    <t>VAC</t>
  </si>
  <si>
    <t>AGU</t>
  </si>
  <si>
    <t>(((SN))/30*180/12+(SN))/30*120</t>
  </si>
  <si>
    <t>Coordinador (e) de Centro / Administrador IV</t>
  </si>
  <si>
    <t>Saavedra Valera Oriana Andreina</t>
  </si>
  <si>
    <t>Garcia Saavedra Emily Milena</t>
  </si>
  <si>
    <t>Ing. Tulio Mendez</t>
  </si>
  <si>
    <t>C.I. N° 12.045.934</t>
  </si>
  <si>
    <t>Especialista en Informatica I         Analista de Personal I</t>
  </si>
  <si>
    <t>C.I. N° 12.045.934                         C.I. N° 17.391.892</t>
  </si>
  <si>
    <t>Ing. Tulio Mendez                           Lcda. Darcy Godoy</t>
  </si>
  <si>
    <t>Jefe (E) de la Direccion de Administracion / Administrador Jefe</t>
  </si>
  <si>
    <t>Montilla Rivas Victoria Guadalupe</t>
  </si>
  <si>
    <t>Manzanilla Juan Roberto Antonio</t>
  </si>
  <si>
    <t>01020494150000229946</t>
  </si>
  <si>
    <t>0414-9749557</t>
  </si>
  <si>
    <t>Manzanilla Moreno Geliahny Ryleet</t>
  </si>
  <si>
    <t>Manzanilla Cordero Daninyer Mathias</t>
  </si>
  <si>
    <t>Graterol Graterol Isidro Antonio</t>
  </si>
  <si>
    <t>01020758460000003573</t>
  </si>
  <si>
    <t>0414-7527558</t>
  </si>
  <si>
    <t>Graterol Vasquez Franleidys Isamar</t>
  </si>
  <si>
    <t>Graterol Teran Mathias Arturo</t>
  </si>
  <si>
    <t>Quiroga Valdes Nayla Carolina</t>
  </si>
  <si>
    <t>01020373250000084262</t>
  </si>
  <si>
    <t>0424-1448338</t>
  </si>
  <si>
    <t>Direccion De Atencion al Ciudadano</t>
  </si>
  <si>
    <t xml:space="preserve">Casa Hogar Adolescentes Hembras/ Barbarita de la Torre   </t>
  </si>
  <si>
    <t>BONO DIA DEL OBRERO</t>
  </si>
  <si>
    <t>Ruiz Vasquez Endri Ramon</t>
  </si>
  <si>
    <t>01020373260000240310</t>
  </si>
  <si>
    <t>0412-7826640</t>
  </si>
  <si>
    <t>Cordova Rivero Liseth Carolina</t>
  </si>
  <si>
    <t>01020369460000800815</t>
  </si>
  <si>
    <t>0414-0786235</t>
  </si>
  <si>
    <t>Albornoz Montilla Daniel Enrique</t>
  </si>
  <si>
    <t>01020373260001424287</t>
  </si>
  <si>
    <t>0412-6553234</t>
  </si>
  <si>
    <t>Viloria Garcia Kieny Keyvit</t>
  </si>
  <si>
    <t>01020747950000398851</t>
  </si>
  <si>
    <t>Viloria Mavares  Matheo Alessandro</t>
  </si>
  <si>
    <t>0426-4055071</t>
  </si>
  <si>
    <t>Ramirez Araujo Teresa Maria</t>
  </si>
  <si>
    <t>01020747950000203153</t>
  </si>
  <si>
    <t>0416-4689211</t>
  </si>
  <si>
    <t>Rojas Telles Lisbeth Josefina</t>
  </si>
  <si>
    <t>01020392960103938564</t>
  </si>
  <si>
    <t xml:space="preserve">Villalobos Rojas Fabiana Valentina </t>
  </si>
  <si>
    <t>0416-7281691</t>
  </si>
  <si>
    <t xml:space="preserve">Carvajal </t>
  </si>
  <si>
    <t>01020373290000068592</t>
  </si>
  <si>
    <t>Manzanilla Cabello Juan David</t>
  </si>
  <si>
    <t>0412-2130343</t>
  </si>
  <si>
    <t>Jerez Rangel Gleidy Andreina</t>
  </si>
  <si>
    <t>Pichardo Jerez Victoria de los Angeles</t>
  </si>
  <si>
    <t>Lucy</t>
  </si>
  <si>
    <t>Olmos</t>
  </si>
  <si>
    <t>Eberto</t>
  </si>
  <si>
    <t>Perez</t>
  </si>
  <si>
    <t>Darlin</t>
  </si>
  <si>
    <t>Soralis</t>
  </si>
  <si>
    <t>Frias</t>
  </si>
  <si>
    <t>Maria</t>
  </si>
  <si>
    <t>Edgar</t>
  </si>
  <si>
    <t>Rivero</t>
  </si>
  <si>
    <t>Rangel</t>
  </si>
  <si>
    <t>Ildemaro</t>
  </si>
  <si>
    <t>Aguial</t>
  </si>
  <si>
    <t>Gerardo</t>
  </si>
  <si>
    <t>Yaritza</t>
  </si>
  <si>
    <t>Delfin</t>
  </si>
  <si>
    <t>Jose</t>
  </si>
  <si>
    <t>Triviño</t>
  </si>
  <si>
    <t>Yely</t>
  </si>
  <si>
    <t>Bastidas</t>
  </si>
  <si>
    <t xml:space="preserve">Araujo </t>
  </si>
  <si>
    <t>Neida</t>
  </si>
  <si>
    <t>Mejia</t>
  </si>
  <si>
    <t>Aldana</t>
  </si>
  <si>
    <t>Aguana</t>
  </si>
  <si>
    <t>Yraida</t>
  </si>
  <si>
    <t>Duarte</t>
  </si>
  <si>
    <t>Saavedra</t>
  </si>
  <si>
    <t>Palma</t>
  </si>
  <si>
    <t>Marianela</t>
  </si>
  <si>
    <t>Torres</t>
  </si>
  <si>
    <t>Ruiz</t>
  </si>
  <si>
    <t>Briceño</t>
  </si>
  <si>
    <t>Graciela</t>
  </si>
  <si>
    <t>Yraima</t>
  </si>
  <si>
    <t>Cruz</t>
  </si>
  <si>
    <t>Luisa</t>
  </si>
  <si>
    <t>Contreras</t>
  </si>
  <si>
    <t>Yoleida</t>
  </si>
  <si>
    <t>Lisette</t>
  </si>
  <si>
    <t>Orlando</t>
  </si>
  <si>
    <t>Jannessy</t>
  </si>
  <si>
    <t>AGUINALDOS + BONO NAVIDEÑO</t>
  </si>
  <si>
    <t>Linares</t>
  </si>
  <si>
    <t>Montilla</t>
  </si>
  <si>
    <t>Denis</t>
  </si>
  <si>
    <t>Rojas</t>
  </si>
  <si>
    <t>Aponte</t>
  </si>
  <si>
    <t>Villegas</t>
  </si>
  <si>
    <t>Venegas</t>
  </si>
  <si>
    <t>Jenifer</t>
  </si>
  <si>
    <t>Diaz</t>
  </si>
  <si>
    <t>Mileyda</t>
  </si>
  <si>
    <t>Carrizo</t>
  </si>
  <si>
    <t>Yusneida</t>
  </si>
  <si>
    <t>Mireya</t>
  </si>
  <si>
    <t>Alba</t>
  </si>
  <si>
    <t>Helenmar</t>
  </si>
  <si>
    <t>Sarmiento</t>
  </si>
  <si>
    <t>Karem</t>
  </si>
  <si>
    <t>Martinez</t>
  </si>
  <si>
    <t>Rendon</t>
  </si>
  <si>
    <t>Ana</t>
  </si>
  <si>
    <t>Mariana</t>
  </si>
  <si>
    <t>Alvarran</t>
  </si>
  <si>
    <t>Mecias</t>
  </si>
  <si>
    <t>Shirly</t>
  </si>
  <si>
    <t>Villalobos</t>
  </si>
  <si>
    <t>Javier</t>
  </si>
  <si>
    <t>Delduca</t>
  </si>
  <si>
    <t>Gonzalez</t>
  </si>
  <si>
    <t>Mayulis</t>
  </si>
  <si>
    <t>Doris</t>
  </si>
  <si>
    <t>Zuly</t>
  </si>
  <si>
    <t>Yaneth</t>
  </si>
  <si>
    <t>Angela</t>
  </si>
  <si>
    <t>Elisaelith</t>
  </si>
  <si>
    <t>Arelis</t>
  </si>
  <si>
    <t>Carrillo</t>
  </si>
  <si>
    <t>Perdomo</t>
  </si>
  <si>
    <t>Nathaly</t>
  </si>
  <si>
    <t>Yonathan</t>
  </si>
  <si>
    <t>Sandra</t>
  </si>
  <si>
    <t>Matheus</t>
  </si>
  <si>
    <t>Aida</t>
  </si>
  <si>
    <t>Yelitza</t>
  </si>
  <si>
    <t>Rivas</t>
  </si>
  <si>
    <t>Albarran</t>
  </si>
  <si>
    <t>Serrada</t>
  </si>
  <si>
    <t>Valero</t>
  </si>
  <si>
    <t>Materan</t>
  </si>
  <si>
    <t>Peña</t>
  </si>
  <si>
    <t>Viloria</t>
  </si>
  <si>
    <t>Barreto</t>
  </si>
  <si>
    <t>Lugo</t>
  </si>
  <si>
    <t>Henry</t>
  </si>
  <si>
    <t>Gladys</t>
  </si>
  <si>
    <t>Urquia</t>
  </si>
  <si>
    <t>Vivian</t>
  </si>
  <si>
    <t>Alejandra</t>
  </si>
  <si>
    <t>Tahiyuani</t>
  </si>
  <si>
    <t>Yenny</t>
  </si>
  <si>
    <t>Lenismar</t>
  </si>
  <si>
    <t>Manzanilla</t>
  </si>
  <si>
    <t>Richard</t>
  </si>
  <si>
    <t>Leon</t>
  </si>
  <si>
    <t>Ceila</t>
  </si>
  <si>
    <t>Vielma</t>
  </si>
  <si>
    <t>Dublasca</t>
  </si>
  <si>
    <t>Rebeca</t>
  </si>
  <si>
    <t>Mary</t>
  </si>
  <si>
    <t>Urdaneta</t>
  </si>
  <si>
    <t>Katherine</t>
  </si>
  <si>
    <t>Lilibeth</t>
  </si>
  <si>
    <t>Godoy</t>
  </si>
  <si>
    <t>Darcy</t>
  </si>
  <si>
    <t>Yarelis</t>
  </si>
  <si>
    <t>Nuñez</t>
  </si>
  <si>
    <t>Colmenares</t>
  </si>
  <si>
    <t>Jorge</t>
  </si>
  <si>
    <t>Dani</t>
  </si>
  <si>
    <t>Rivera</t>
  </si>
  <si>
    <t>Christian</t>
  </si>
  <si>
    <t>Dayana</t>
  </si>
  <si>
    <t>Naibely</t>
  </si>
  <si>
    <t>Castellano</t>
  </si>
  <si>
    <t>Dianellys</t>
  </si>
  <si>
    <t>Jesus</t>
  </si>
  <si>
    <t>Blanco</t>
  </si>
  <si>
    <t>Beixy</t>
  </si>
  <si>
    <t>Nieve</t>
  </si>
  <si>
    <t>Glorys</t>
  </si>
  <si>
    <t>Pulido</t>
  </si>
  <si>
    <t>Joalina</t>
  </si>
  <si>
    <t>Serrano</t>
  </si>
  <si>
    <t>Ingrid</t>
  </si>
  <si>
    <t>Yepes</t>
  </si>
  <si>
    <t>Mervis</t>
  </si>
  <si>
    <t>Endri</t>
  </si>
  <si>
    <t>Lozada</t>
  </si>
  <si>
    <t>Daniela</t>
  </si>
  <si>
    <t>Anny</t>
  </si>
  <si>
    <t>Nelson</t>
  </si>
  <si>
    <t>Villarreal</t>
  </si>
  <si>
    <t>Yoriangela</t>
  </si>
  <si>
    <t>Abreu</t>
  </si>
  <si>
    <t>Gilmer</t>
  </si>
  <si>
    <t>Lusana</t>
  </si>
  <si>
    <t>Amenaida</t>
  </si>
  <si>
    <t>Quiroga</t>
  </si>
  <si>
    <t>Nayla</t>
  </si>
  <si>
    <t>Araujo</t>
  </si>
  <si>
    <t>Mirelis</t>
  </si>
  <si>
    <t>Quintero</t>
  </si>
  <si>
    <t>Ilse</t>
  </si>
  <si>
    <t>Peñaloza</t>
  </si>
  <si>
    <t>Eduardo</t>
  </si>
  <si>
    <t>Emilio</t>
  </si>
  <si>
    <t>Herluis</t>
  </si>
  <si>
    <t>Gervasi</t>
  </si>
  <si>
    <t>Solanye</t>
  </si>
  <si>
    <t>Ocanto</t>
  </si>
  <si>
    <t>Rodriguez</t>
  </si>
  <si>
    <t>Ramirez</t>
  </si>
  <si>
    <t>Rudys</t>
  </si>
  <si>
    <t>Uzcategui</t>
  </si>
  <si>
    <t>Madeley</t>
  </si>
  <si>
    <t>Gil</t>
  </si>
  <si>
    <t>Maite</t>
  </si>
  <si>
    <t>Morillo</t>
  </si>
  <si>
    <t>Plaza</t>
  </si>
  <si>
    <t>Orelis</t>
  </si>
  <si>
    <t>Hernandez</t>
  </si>
  <si>
    <t>Gleidys</t>
  </si>
  <si>
    <t>Zulay</t>
  </si>
  <si>
    <t>Katiusca</t>
  </si>
  <si>
    <t>Leal</t>
  </si>
  <si>
    <t>Fraineli</t>
  </si>
  <si>
    <t>Santos</t>
  </si>
  <si>
    <t>Greosmar</t>
  </si>
  <si>
    <t>Saray</t>
  </si>
  <si>
    <t>Aleidy</t>
  </si>
  <si>
    <t>Vazquez</t>
  </si>
  <si>
    <t>Villa</t>
  </si>
  <si>
    <t>Norbelys</t>
  </si>
  <si>
    <t>Suarez</t>
  </si>
  <si>
    <t>Betzabeth</t>
  </si>
  <si>
    <t>Sarache</t>
  </si>
  <si>
    <t>Maryelis</t>
  </si>
  <si>
    <t>Mendez</t>
  </si>
  <si>
    <t>Maryely</t>
  </si>
  <si>
    <t>Roberto</t>
  </si>
  <si>
    <t>Diana</t>
  </si>
  <si>
    <t>Yeniree</t>
  </si>
  <si>
    <t>Keila</t>
  </si>
  <si>
    <t>Jessica</t>
  </si>
  <si>
    <t>Urbina</t>
  </si>
  <si>
    <t>Tannessy</t>
  </si>
  <si>
    <t>Olivar</t>
  </si>
  <si>
    <t>Robinson</t>
  </si>
  <si>
    <t>Daiver</t>
  </si>
  <si>
    <t>Landkler</t>
  </si>
  <si>
    <t>Coy</t>
  </si>
  <si>
    <t>Barrios</t>
  </si>
  <si>
    <t>Geraldine</t>
  </si>
  <si>
    <t>Ilva</t>
  </si>
  <si>
    <t>Molina</t>
  </si>
  <si>
    <t>Orleidys</t>
  </si>
  <si>
    <t>Cordova</t>
  </si>
  <si>
    <t>Liseth</t>
  </si>
  <si>
    <t>Castellanos</t>
  </si>
  <si>
    <t>Luis</t>
  </si>
  <si>
    <t>Merly</t>
  </si>
  <si>
    <t>Moreno</t>
  </si>
  <si>
    <t>Alfredy</t>
  </si>
  <si>
    <t>Carmen</t>
  </si>
  <si>
    <t>Fernandez</t>
  </si>
  <si>
    <t>Rafael</t>
  </si>
  <si>
    <t>Coello</t>
  </si>
  <si>
    <t>Yormileidys</t>
  </si>
  <si>
    <t>Guanda</t>
  </si>
  <si>
    <t>Roxely</t>
  </si>
  <si>
    <t>Graterol</t>
  </si>
  <si>
    <t>Yoselyn</t>
  </si>
  <si>
    <t>Nava</t>
  </si>
  <si>
    <t>Oriana</t>
  </si>
  <si>
    <t>Balza</t>
  </si>
  <si>
    <t>Andara</t>
  </si>
  <si>
    <t>Marielena</t>
  </si>
  <si>
    <t>Numa</t>
  </si>
  <si>
    <t>Moncayo</t>
  </si>
  <si>
    <t>Ruddy</t>
  </si>
  <si>
    <t>Brayhan</t>
  </si>
  <si>
    <t>Segovia</t>
  </si>
  <si>
    <t>Freylu</t>
  </si>
  <si>
    <t>Genesis</t>
  </si>
  <si>
    <t>Delgado</t>
  </si>
  <si>
    <t>Rosa</t>
  </si>
  <si>
    <t>Lisbeira</t>
  </si>
  <si>
    <t>Rubio</t>
  </si>
  <si>
    <t>Barrozo</t>
  </si>
  <si>
    <t>Kellem</t>
  </si>
  <si>
    <t>Kelasky</t>
  </si>
  <si>
    <t>Darwin</t>
  </si>
  <si>
    <t>Andreina</t>
  </si>
  <si>
    <t>Josue</t>
  </si>
  <si>
    <t>Castillo</t>
  </si>
  <si>
    <t>Marianyeli</t>
  </si>
  <si>
    <t>Gonzalez de Sayago Damarys Coromoto</t>
  </si>
  <si>
    <t>Almazan</t>
  </si>
  <si>
    <t>Isabel</t>
  </si>
  <si>
    <t>Mirian</t>
  </si>
  <si>
    <t>Rojo</t>
  </si>
  <si>
    <t>Alexis</t>
  </si>
  <si>
    <t>Guillen</t>
  </si>
  <si>
    <t>Gregoria</t>
  </si>
  <si>
    <t>Campos</t>
  </si>
  <si>
    <t>Berrios</t>
  </si>
  <si>
    <t>Sulbaran</t>
  </si>
  <si>
    <t>Balestrini</t>
  </si>
  <si>
    <t>Aguilera</t>
  </si>
  <si>
    <t>Pacheco</t>
  </si>
  <si>
    <t>Simancas</t>
  </si>
  <si>
    <t>Sanchez</t>
  </si>
  <si>
    <t>Cardozo</t>
  </si>
  <si>
    <t>Garcia</t>
  </si>
  <si>
    <t>Artigas</t>
  </si>
  <si>
    <t>Marquez</t>
  </si>
  <si>
    <t>Santana</t>
  </si>
  <si>
    <t>Castro</t>
  </si>
  <si>
    <t>Angarita</t>
  </si>
  <si>
    <t>Soto</t>
  </si>
  <si>
    <t>Materano</t>
  </si>
  <si>
    <t>Chacin</t>
  </si>
  <si>
    <t>Sardi</t>
  </si>
  <si>
    <t>Teran</t>
  </si>
  <si>
    <t>Justo</t>
  </si>
  <si>
    <t>Alburguez</t>
  </si>
  <si>
    <t>Escalona</t>
  </si>
  <si>
    <t>Camacho</t>
  </si>
  <si>
    <t>Macias</t>
  </si>
  <si>
    <t>Altuve</t>
  </si>
  <si>
    <t>Zambrano</t>
  </si>
  <si>
    <t>Aguilar</t>
  </si>
  <si>
    <t>Yndriago</t>
  </si>
  <si>
    <t>Sifontes</t>
  </si>
  <si>
    <t>Paredes</t>
  </si>
  <si>
    <t>Carmona</t>
  </si>
  <si>
    <t>Rincon</t>
  </si>
  <si>
    <t>Carlos</t>
  </si>
  <si>
    <t>Dioni</t>
  </si>
  <si>
    <t>Nilda</t>
  </si>
  <si>
    <t>Adriana</t>
  </si>
  <si>
    <t>Ulises</t>
  </si>
  <si>
    <t>Delia</t>
  </si>
  <si>
    <t>Adolfo</t>
  </si>
  <si>
    <t>Bebsabeth</t>
  </si>
  <si>
    <t>Marcos</t>
  </si>
  <si>
    <t>Meris</t>
  </si>
  <si>
    <t>Alix</t>
  </si>
  <si>
    <t>Juan</t>
  </si>
  <si>
    <t>Alfredo</t>
  </si>
  <si>
    <t>Sonia</t>
  </si>
  <si>
    <t>Magalis</t>
  </si>
  <si>
    <t>Olga</t>
  </si>
  <si>
    <t>Omar</t>
  </si>
  <si>
    <t>Pedro</t>
  </si>
  <si>
    <t>Emma</t>
  </si>
  <si>
    <t>Deris</t>
  </si>
  <si>
    <t>Blanca</t>
  </si>
  <si>
    <t>Dulma</t>
  </si>
  <si>
    <t>Jacson</t>
  </si>
  <si>
    <t>Maribel</t>
  </si>
  <si>
    <t>Yanitza</t>
  </si>
  <si>
    <t>Sara</t>
  </si>
  <si>
    <t>Yanet</t>
  </si>
  <si>
    <t>Yanira</t>
  </si>
  <si>
    <t>Marcial</t>
  </si>
  <si>
    <t>Iris</t>
  </si>
  <si>
    <t>Morela</t>
  </si>
  <si>
    <t>Ender</t>
  </si>
  <si>
    <t>Eduard</t>
  </si>
  <si>
    <t>Modesto</t>
  </si>
  <si>
    <t>Gladis</t>
  </si>
  <si>
    <t>Martin</t>
  </si>
  <si>
    <t>Thaiz</t>
  </si>
  <si>
    <t>Neira</t>
  </si>
  <si>
    <t>Yasmin</t>
  </si>
  <si>
    <t>Tulio</t>
  </si>
  <si>
    <t>Milagros</t>
  </si>
  <si>
    <t>Lisbeth</t>
  </si>
  <si>
    <t>Trina</t>
  </si>
  <si>
    <t>Milangela</t>
  </si>
  <si>
    <t>Jaime</t>
  </si>
  <si>
    <t>Freddy</t>
  </si>
  <si>
    <t>Yokary</t>
  </si>
  <si>
    <t>Eva</t>
  </si>
  <si>
    <t>Karine</t>
  </si>
  <si>
    <t>Jenny</t>
  </si>
  <si>
    <t>Yorvis</t>
  </si>
  <si>
    <t>Belquis</t>
  </si>
  <si>
    <t>Heidy</t>
  </si>
  <si>
    <t>Jociany</t>
  </si>
  <si>
    <t>Deyanira</t>
  </si>
  <si>
    <t>Gerson</t>
  </si>
  <si>
    <t>Yeny</t>
  </si>
  <si>
    <t>Ismenia</t>
  </si>
  <si>
    <t>Rosmely</t>
  </si>
  <si>
    <t>Alexander</t>
  </si>
  <si>
    <t>Maraiby</t>
  </si>
  <si>
    <t>Sudney</t>
  </si>
  <si>
    <t>Mileide</t>
  </si>
  <si>
    <t>Damarys</t>
  </si>
  <si>
    <t>Lismiley</t>
  </si>
  <si>
    <t xml:space="preserve"> Nileidy</t>
  </si>
  <si>
    <t>Elio</t>
  </si>
  <si>
    <t>Zaida</t>
  </si>
  <si>
    <t>Marihangeli</t>
  </si>
  <si>
    <t>Jariana</t>
  </si>
  <si>
    <t>Salas</t>
  </si>
  <si>
    <t>Flores</t>
  </si>
  <si>
    <t>Santiago</t>
  </si>
  <si>
    <t>Toro</t>
  </si>
  <si>
    <t>Margi</t>
  </si>
  <si>
    <t>Alarcon</t>
  </si>
  <si>
    <t>Argenio</t>
  </si>
  <si>
    <t>Zoraida</t>
  </si>
  <si>
    <t>Alberto</t>
  </si>
  <si>
    <t>Gutierrez</t>
  </si>
  <si>
    <t>Vargas</t>
  </si>
  <si>
    <t>Lobo</t>
  </si>
  <si>
    <t>Luz</t>
  </si>
  <si>
    <t>Figueroa</t>
  </si>
  <si>
    <t>Yudith</t>
  </si>
  <si>
    <t>Milla</t>
  </si>
  <si>
    <t>Hidalgo</t>
  </si>
  <si>
    <t>Gloria</t>
  </si>
  <si>
    <t>Teresa</t>
  </si>
  <si>
    <t>Orangel</t>
  </si>
  <si>
    <t>Karina</t>
  </si>
  <si>
    <t>Eric</t>
  </si>
  <si>
    <t>Belkys</t>
  </si>
  <si>
    <t>Luque</t>
  </si>
  <si>
    <t>Rigoberto</t>
  </si>
  <si>
    <t>Bentancourt</t>
  </si>
  <si>
    <t>Magaly</t>
  </si>
  <si>
    <t>Amaya</t>
  </si>
  <si>
    <t>Barroeta</t>
  </si>
  <si>
    <t>Leonid</t>
  </si>
  <si>
    <t>Avila</t>
  </si>
  <si>
    <t>Rodolfo</t>
  </si>
  <si>
    <t>Oscar</t>
  </si>
  <si>
    <t>William</t>
  </si>
  <si>
    <t>Mereldes</t>
  </si>
  <si>
    <t>Zerpa</t>
  </si>
  <si>
    <t>Frank</t>
  </si>
  <si>
    <t>Yhon</t>
  </si>
  <si>
    <t>Malpica</t>
  </si>
  <si>
    <t>Julio</t>
  </si>
  <si>
    <t>Arroyo</t>
  </si>
  <si>
    <t>Williams</t>
  </si>
  <si>
    <t>Yosmer</t>
  </si>
  <si>
    <t>Wilmer</t>
  </si>
  <si>
    <t>Virginia</t>
  </si>
  <si>
    <t>Umbria</t>
  </si>
  <si>
    <t>Alexandra</t>
  </si>
  <si>
    <t>Jean</t>
  </si>
  <si>
    <t>Yhonny</t>
  </si>
  <si>
    <t>Chinchilla</t>
  </si>
  <si>
    <t>Reinaldo</t>
  </si>
  <si>
    <t>Becerra</t>
  </si>
  <si>
    <t>Hermes</t>
  </si>
  <si>
    <t>Wuiston</t>
  </si>
  <si>
    <t>Rosales</t>
  </si>
  <si>
    <t>Mirla</t>
  </si>
  <si>
    <t>Natali</t>
  </si>
  <si>
    <t>Addy</t>
  </si>
  <si>
    <t>Junior</t>
  </si>
  <si>
    <t>Yulimar</t>
  </si>
  <si>
    <t>Franklin</t>
  </si>
  <si>
    <t>Isidro</t>
  </si>
  <si>
    <t>Giovanny</t>
  </si>
  <si>
    <t>Isarra</t>
  </si>
  <si>
    <t>Azuaje</t>
  </si>
  <si>
    <t>Erick</t>
  </si>
  <si>
    <t>Albornoz</t>
  </si>
  <si>
    <t>Daniel</t>
  </si>
  <si>
    <t>Davila</t>
  </si>
  <si>
    <t>Eduar</t>
  </si>
  <si>
    <t>Ninoska</t>
  </si>
  <si>
    <t>Kieny</t>
  </si>
  <si>
    <t>Valecillos</t>
  </si>
  <si>
    <t>Brando</t>
  </si>
  <si>
    <t>Yusberly</t>
  </si>
  <si>
    <t>Laureano</t>
  </si>
  <si>
    <t>01020373250000448390</t>
  </si>
  <si>
    <t>Jerez</t>
  </si>
  <si>
    <t>Gleidy</t>
  </si>
  <si>
    <t>0412-7868415</t>
  </si>
  <si>
    <t>Educacion Inicial</t>
  </si>
  <si>
    <t>FAOV
1ER APELLIDO</t>
  </si>
  <si>
    <t>FAOV
1ER 
NOMBRE</t>
  </si>
  <si>
    <t>SUELDO COBRADO EN OTRA INSTITUCION  
MENSUAL</t>
  </si>
  <si>
    <t>PRIMA ANTIGÜEDAD MENSUAL</t>
  </si>
  <si>
    <t>PRIMA TRANSPORTE MENSUAL</t>
  </si>
  <si>
    <t>PRIMA DE HIJOS
MENSUAL</t>
  </si>
  <si>
    <t>PRIMAS POR PROFESIONA-LIZACION MENSUAL</t>
  </si>
  <si>
    <t>TOTAL 
AGUINALDOS + BONO NAVIDEÑO</t>
  </si>
  <si>
    <t>El monto de aguinaldos se le fracciona en 2 partes.</t>
  </si>
  <si>
    <t>Centro de Responsabilidad Adolescentes Hembras</t>
  </si>
  <si>
    <t>Pichardo Jerez Juan Diego</t>
  </si>
  <si>
    <t>(01 Oct 2024) -  TH</t>
  </si>
  <si>
    <t>Padilla Blanco Melany Marian</t>
  </si>
  <si>
    <t>01020373210001984497</t>
  </si>
  <si>
    <t>Padilla</t>
  </si>
  <si>
    <t>Melany</t>
  </si>
  <si>
    <t>0412-3963950</t>
  </si>
  <si>
    <t>BONO NAVIDAD</t>
  </si>
  <si>
    <t>Baptista Finol Violexy del Valle</t>
  </si>
  <si>
    <t>01020494140000237831</t>
  </si>
  <si>
    <t>Rengifo Baptista Edgar Alexander</t>
  </si>
  <si>
    <t>Marin Baptista Reichell Antonella</t>
  </si>
  <si>
    <t>Gonzalez Torres Klerwin Alfonso</t>
  </si>
  <si>
    <t>01020493350000176413</t>
  </si>
  <si>
    <t>Gonzalez Roman Iker Santiago</t>
  </si>
  <si>
    <t>4TO PAGO DE AGUINALDOS</t>
  </si>
  <si>
    <t>BONO JUGUETE</t>
  </si>
  <si>
    <t>Duarte de Bastidas Gladys Margarita</t>
  </si>
  <si>
    <t>Aguial Carrillo Deris Margarita</t>
  </si>
  <si>
    <t>Sardi Hernandez Gladis Josefina</t>
  </si>
  <si>
    <t>Aponte Matheus Richard Alexander</t>
  </si>
  <si>
    <t>Sarmiento Suarez Karem Yanira</t>
  </si>
  <si>
    <t>Reveron Araujo Andreina Oscarelis</t>
  </si>
  <si>
    <t>01020224800000243896</t>
  </si>
  <si>
    <t>Reveron</t>
  </si>
  <si>
    <t>0424-2737768</t>
  </si>
  <si>
    <t>Reveron Araujo Pablo De Jesus</t>
  </si>
  <si>
    <t>Rangel Maria Antonia</t>
  </si>
  <si>
    <t>01020589110000427654</t>
  </si>
  <si>
    <t>0426-1251090</t>
  </si>
  <si>
    <t>Acosta Rangel Alam Josue</t>
  </si>
  <si>
    <t>BONO DE JUGUETES</t>
  </si>
  <si>
    <t>Olmos Rodriguez Eberto de Jesus</t>
  </si>
  <si>
    <t>Gervasi de Valera Solanye Dairilyn</t>
  </si>
  <si>
    <t>Ingeniero en Sistema</t>
  </si>
  <si>
    <t>TOTAL RAC 2025</t>
  </si>
  <si>
    <t>RAC AN 2025</t>
  </si>
  <si>
    <t>RAC EMP 2025</t>
  </si>
  <si>
    <t>RAC OBR 2025</t>
  </si>
  <si>
    <t>Mendoza Mendoza Mirian del Milagro</t>
  </si>
  <si>
    <t>Coordinacion de Medicina</t>
  </si>
  <si>
    <t>Abogado II</t>
  </si>
  <si>
    <t>Secretaria Ejecutiva III</t>
  </si>
  <si>
    <t>Secretario Ejecutivo III</t>
  </si>
  <si>
    <t>Asistente Administrativo II</t>
  </si>
  <si>
    <t>Delegado de Prueba III</t>
  </si>
  <si>
    <t>Almacenista II</t>
  </si>
  <si>
    <t>Teran Torres Olga del Carmen</t>
  </si>
  <si>
    <t>Medico Especialista II</t>
  </si>
  <si>
    <t>Contador III</t>
  </si>
  <si>
    <t>Administrador II</t>
  </si>
  <si>
    <t>Entrenador Deportivo VI</t>
  </si>
  <si>
    <t>Ingeniero Electricista Jefe</t>
  </si>
  <si>
    <t>Analista de Personal IV</t>
  </si>
  <si>
    <t>Asistente Administrativo V</t>
  </si>
  <si>
    <t>Abogado III</t>
  </si>
  <si>
    <t>Analista de Procesamiento de Datos II</t>
  </si>
  <si>
    <t>Coordinador (e) de Programa / Ingeniero Agronomo IV</t>
  </si>
  <si>
    <t>Ingeniero Agronomo IV</t>
  </si>
  <si>
    <t>Valero Sanchez Zulay del Valle</t>
  </si>
  <si>
    <t>Economo II</t>
  </si>
  <si>
    <t>Economa II</t>
  </si>
  <si>
    <t>Coordinador (e) de Centro / Asistente Administrativo IV</t>
  </si>
  <si>
    <t>Albornoz Briceño Zaid Daniel</t>
  </si>
  <si>
    <t>Klerwin</t>
  </si>
  <si>
    <t>0412-131.58.01 
0412-572.36.76</t>
  </si>
  <si>
    <t>Coordinador de Programa</t>
  </si>
  <si>
    <t>CHAH</t>
  </si>
  <si>
    <t>CHN</t>
  </si>
  <si>
    <t>(31/12/24) Coordinacion De Formacion, Adiestramiento Y Capacitacion</t>
  </si>
  <si>
    <t>Auditor III</t>
  </si>
  <si>
    <t>Coordinador de (e) Programa / Entrenador Deportivo II</t>
  </si>
  <si>
    <t>Coordinador (e) de Programa / Abogado I</t>
  </si>
  <si>
    <t>2DA QNA</t>
  </si>
  <si>
    <t>TXT CONTRIBUCION - BECAS (BENEFICIOS APN)</t>
  </si>
</sst>
</file>

<file path=xl/styles.xml><?xml version="1.0" encoding="utf-8"?>
<styleSheet xmlns="http://schemas.openxmlformats.org/spreadsheetml/2006/main">
  <numFmts count="1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 * #,##0_ ;_ * \-#,##0_ ;_ * &quot;-&quot;_ ;_ @_ "/>
    <numFmt numFmtId="165" formatCode="_ * #,##0.00_ ;_ * \-#,##0.00_ ;_ * &quot;-&quot;??_ ;_ @_ "/>
    <numFmt numFmtId="166" formatCode="00"/>
    <numFmt numFmtId="167" formatCode="#,##0.00_ ;\-#,##0.00\ "/>
    <numFmt numFmtId="168" formatCode="0.00;[Red]0.00"/>
    <numFmt numFmtId="169" formatCode="_-* #,##0\ _€_-;\-* #,##0\ _€_-;_-* &quot;-&quot;??\ _€_-;_-@_-"/>
    <numFmt numFmtId="170" formatCode="dd/mm/yyyy;@"/>
    <numFmt numFmtId="171" formatCode="#,##0_ ;\-#,##0\ "/>
  </numFmts>
  <fonts count="144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indexed="8"/>
      <name val="Calibri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22"/>
      <color theme="1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color theme="0" tint="-0.14999847407452621"/>
      <name val="arial"/>
      <family val="2"/>
    </font>
    <font>
      <sz val="12"/>
      <color rgb="FFFF0000"/>
      <name val="Arial"/>
      <family val="2"/>
    </font>
    <font>
      <b/>
      <sz val="9"/>
      <color theme="0"/>
      <name val="Arial"/>
      <family val="2"/>
    </font>
    <font>
      <sz val="10"/>
      <color theme="0" tint="-0.1499984740745262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sz val="13"/>
      <color theme="1"/>
      <name val="arial"/>
      <family val="2"/>
    </font>
    <font>
      <sz val="7"/>
      <color theme="9" tint="0.79998168889431442"/>
      <name val="arial"/>
      <family val="2"/>
    </font>
    <font>
      <b/>
      <sz val="8"/>
      <color theme="0"/>
      <name val="Arial"/>
      <family val="2"/>
    </font>
    <font>
      <b/>
      <sz val="9"/>
      <color theme="9" tint="0.79998168889431442"/>
      <name val="arial"/>
      <family val="2"/>
    </font>
    <font>
      <b/>
      <sz val="14"/>
      <color theme="0" tint="-0.34998626667073579"/>
      <name val="Arial"/>
      <family val="2"/>
    </font>
    <font>
      <b/>
      <sz val="11"/>
      <color theme="1"/>
      <name val="Calibri"/>
      <family val="2"/>
      <scheme val="minor"/>
    </font>
    <font>
      <sz val="11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1"/>
    </font>
    <font>
      <b/>
      <sz val="13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0"/>
      <name val="MS Sans Serif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rgb="FF000000"/>
      <name val="Arial"/>
      <family val="2"/>
      <charset val="1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6"/>
      <color theme="1"/>
      <name val="Arial"/>
      <family val="2"/>
    </font>
    <font>
      <sz val="14"/>
      <name val="Calibri"/>
      <family val="2"/>
      <scheme val="minor"/>
    </font>
    <font>
      <sz val="9"/>
      <name val="Calibri"/>
      <family val="2"/>
    </font>
    <font>
      <sz val="20"/>
      <color theme="1"/>
      <name val="Arial"/>
      <family val="2"/>
    </font>
    <font>
      <sz val="16"/>
      <color theme="0" tint="-4.9989318521683403E-2"/>
      <name val="arial"/>
      <family val="2"/>
    </font>
    <font>
      <b/>
      <sz val="12"/>
      <color indexed="8"/>
      <name val="Arial"/>
      <family val="2"/>
    </font>
    <font>
      <sz val="8"/>
      <name val="Tahoma"/>
      <family val="2"/>
    </font>
    <font>
      <b/>
      <sz val="12"/>
      <color rgb="FFFF0000"/>
      <name val="Arial"/>
      <family val="2"/>
    </font>
    <font>
      <sz val="11"/>
      <color rgb="FF00B0F0"/>
      <name val="Calibri"/>
      <family val="2"/>
      <scheme val="minor"/>
    </font>
    <font>
      <sz val="12"/>
      <color theme="1"/>
      <name val="Tahoma"/>
      <family val="2"/>
    </font>
    <font>
      <sz val="12"/>
      <color theme="0"/>
      <name val="Arial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name val="Tahoma"/>
      <family val="2"/>
    </font>
    <font>
      <b/>
      <sz val="11"/>
      <name val="Arial"/>
      <family val="2"/>
    </font>
    <font>
      <sz val="11"/>
      <color rgb="FF000000"/>
      <name val="Calibri"/>
      <family val="2"/>
      <charset val="1"/>
    </font>
    <font>
      <sz val="16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name val="Tahoma"/>
      <family val="2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Arial"/>
      <family val="2"/>
    </font>
    <font>
      <sz val="8"/>
      <color theme="1"/>
      <name val="Tahoma"/>
      <family val="2"/>
    </font>
    <font>
      <b/>
      <sz val="7"/>
      <color theme="1"/>
      <name val="Tahoma"/>
      <family val="2"/>
    </font>
    <font>
      <b/>
      <sz val="14"/>
      <name val="Tahoma"/>
      <family val="2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2"/>
      <name val="Tahoma"/>
      <family val="2"/>
    </font>
    <font>
      <sz val="7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4"/>
      <color theme="3"/>
      <name val="Arial"/>
      <family val="2"/>
    </font>
    <font>
      <sz val="9"/>
      <color theme="0"/>
      <name val="Arial"/>
      <family val="2"/>
    </font>
    <font>
      <sz val="10"/>
      <color rgb="FFFF0000"/>
      <name val="Arial"/>
      <family val="2"/>
    </font>
    <font>
      <b/>
      <sz val="12"/>
      <color theme="1"/>
      <name val="Tahoma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u/>
      <sz val="11"/>
      <color theme="1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sz val="14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9999FF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CCCCFF"/>
      </patternFill>
    </fill>
    <fill>
      <patternFill patternType="solid">
        <fgColor rgb="FFFFFF00"/>
        <bgColor rgb="FFCCCCFF"/>
      </patternFill>
    </fill>
    <fill>
      <patternFill patternType="solid">
        <fgColor theme="5" tint="0.39997558519241921"/>
        <bgColor rgb="FF9999FF"/>
      </patternFill>
    </fill>
    <fill>
      <patternFill patternType="solid">
        <fgColor theme="4" tint="0.59999389629810485"/>
        <bgColor rgb="FFCCCCFF"/>
      </patternFill>
    </fill>
    <fill>
      <patternFill patternType="solid">
        <fgColor rgb="FFE6B9B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18">
    <xf numFmtId="0" fontId="0" fillId="0" borderId="0"/>
    <xf numFmtId="43" fontId="8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1" fillId="0" borderId="0"/>
    <xf numFmtId="0" fontId="9" fillId="0" borderId="0"/>
    <xf numFmtId="0" fontId="8" fillId="0" borderId="0"/>
    <xf numFmtId="43" fontId="53" fillId="0" borderId="0" applyFont="0" applyFill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58" fillId="21" borderId="0" applyNumberFormat="0" applyBorder="0" applyAlignment="0" applyProtection="0"/>
    <xf numFmtId="0" fontId="59" fillId="33" borderId="51" applyNumberFormat="0" applyAlignment="0" applyProtection="0"/>
    <xf numFmtId="0" fontId="60" fillId="34" borderId="52" applyNumberFormat="0" applyAlignment="0" applyProtection="0"/>
    <xf numFmtId="0" fontId="61" fillId="0" borderId="53" applyNumberFormat="0" applyFill="0" applyAlignment="0" applyProtection="0"/>
    <xf numFmtId="0" fontId="11" fillId="0" borderId="0" applyNumberFormat="0" applyFont="0" applyFill="0" applyBorder="0" applyAlignment="0" applyProtection="0"/>
    <xf numFmtId="0" fontId="62" fillId="0" borderId="0" applyNumberFormat="0" applyFill="0" applyBorder="0" applyAlignment="0" applyProtection="0"/>
    <xf numFmtId="0" fontId="57" fillId="35" borderId="0" applyNumberFormat="0" applyBorder="0" applyAlignment="0" applyProtection="0"/>
    <xf numFmtId="0" fontId="57" fillId="36" borderId="0" applyNumberFormat="0" applyBorder="0" applyAlignment="0" applyProtection="0"/>
    <xf numFmtId="0" fontId="57" fillId="37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8" borderId="0" applyNumberFormat="0" applyBorder="0" applyAlignment="0" applyProtection="0"/>
    <xf numFmtId="0" fontId="63" fillId="24" borderId="51" applyNumberFormat="0" applyAlignment="0" applyProtection="0"/>
    <xf numFmtId="44" fontId="9" fillId="0" borderId="0" applyFont="0" applyFill="0" applyBorder="0" applyAlignment="0" applyProtection="0"/>
    <xf numFmtId="0" fontId="11" fillId="0" borderId="0"/>
    <xf numFmtId="0" fontId="64" fillId="20" borderId="0" applyNumberFormat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5" fontId="65" fillId="0" borderId="0" applyFont="0" applyFill="0" applyBorder="0" applyAlignment="0" applyProtection="0"/>
    <xf numFmtId="165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6" fillId="3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11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40" borderId="54" applyNumberFormat="0" applyFont="0" applyAlignment="0" applyProtection="0"/>
    <xf numFmtId="0" fontId="67" fillId="33" borderId="55" applyNumberFormat="0" applyAlignment="0" applyProtection="0"/>
    <xf numFmtId="0" fontId="68" fillId="0" borderId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56" applyNumberFormat="0" applyFill="0" applyAlignment="0" applyProtection="0"/>
    <xf numFmtId="0" fontId="72" fillId="0" borderId="57" applyNumberFormat="0" applyFill="0" applyAlignment="0" applyProtection="0"/>
    <xf numFmtId="0" fontId="62" fillId="0" borderId="58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9" applyNumberFormat="0" applyFill="0" applyAlignment="0" applyProtection="0"/>
    <xf numFmtId="0" fontId="59" fillId="33" borderId="68" applyNumberFormat="0" applyAlignment="0" applyProtection="0"/>
    <xf numFmtId="0" fontId="63" fillId="24" borderId="68" applyNumberFormat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65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9" fillId="40" borderId="69" applyNumberFormat="0" applyFont="0" applyAlignment="0" applyProtection="0"/>
    <xf numFmtId="0" fontId="67" fillId="33" borderId="70" applyNumberFormat="0" applyAlignment="0" applyProtection="0"/>
    <xf numFmtId="0" fontId="74" fillId="0" borderId="71" applyNumberFormat="0" applyFill="0" applyAlignment="0" applyProtection="0"/>
    <xf numFmtId="0" fontId="94" fillId="0" borderId="0"/>
    <xf numFmtId="0" fontId="8" fillId="0" borderId="0"/>
    <xf numFmtId="0" fontId="9" fillId="0" borderId="0"/>
    <xf numFmtId="165" fontId="8" fillId="0" borderId="0" applyFont="0" applyFill="0" applyBorder="0" applyAlignment="0" applyProtection="0"/>
  </cellStyleXfs>
  <cellXfs count="1826">
    <xf numFmtId="0" fontId="0" fillId="0" borderId="0" xfId="0"/>
    <xf numFmtId="4" fontId="10" fillId="3" borderId="7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/>
    </xf>
    <xf numFmtId="0" fontId="12" fillId="4" borderId="18" xfId="0" applyFont="1" applyFill="1" applyBorder="1" applyAlignment="1">
      <alignment horizontal="left" vertical="center"/>
    </xf>
    <xf numFmtId="49" fontId="12" fillId="4" borderId="1" xfId="0" applyNumberFormat="1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49" fontId="12" fillId="4" borderId="9" xfId="0" applyNumberFormat="1" applyFont="1" applyFill="1" applyBorder="1" applyAlignment="1">
      <alignment horizontal="left" vertical="center"/>
    </xf>
    <xf numFmtId="0" fontId="12" fillId="4" borderId="1" xfId="0" applyNumberFormat="1" applyFont="1" applyFill="1" applyBorder="1" applyAlignment="1">
      <alignment horizontal="left" vertical="center"/>
    </xf>
    <xf numFmtId="49" fontId="12" fillId="4" borderId="9" xfId="0" quotePrefix="1" applyNumberFormat="1" applyFont="1" applyFill="1" applyBorder="1" applyAlignment="1">
      <alignment horizontal="left" vertical="center"/>
    </xf>
    <xf numFmtId="49" fontId="12" fillId="4" borderId="1" xfId="0" quotePrefix="1" applyNumberFormat="1" applyFont="1" applyFill="1" applyBorder="1" applyAlignment="1">
      <alignment horizontal="left" vertical="center"/>
    </xf>
    <xf numFmtId="1" fontId="12" fillId="4" borderId="18" xfId="0" applyNumberFormat="1" applyFont="1" applyFill="1" applyBorder="1" applyAlignment="1">
      <alignment horizontal="left" vertical="center"/>
    </xf>
    <xf numFmtId="1" fontId="12" fillId="4" borderId="1" xfId="0" applyNumberFormat="1" applyFont="1" applyFill="1" applyBorder="1" applyAlignment="1">
      <alignment horizontal="left" vertical="center"/>
    </xf>
    <xf numFmtId="49" fontId="12" fillId="4" borderId="0" xfId="0" applyNumberFormat="1" applyFont="1" applyFill="1" applyAlignment="1">
      <alignment horizontal="left" vertical="center"/>
    </xf>
    <xf numFmtId="0" fontId="17" fillId="2" borderId="6" xfId="0" applyFont="1" applyFill="1" applyBorder="1" applyAlignment="1">
      <alignment horizontal="center" vertical="center"/>
    </xf>
    <xf numFmtId="49" fontId="17" fillId="2" borderId="7" xfId="0" applyNumberFormat="1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49" fontId="17" fillId="2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7" fillId="4" borderId="0" xfId="0" applyNumberFormat="1" applyFont="1" applyFill="1" applyAlignment="1">
      <alignment horizontal="center"/>
    </xf>
    <xf numFmtId="0" fontId="7" fillId="4" borderId="0" xfId="1" applyNumberFormat="1" applyFont="1" applyFill="1" applyBorder="1" applyAlignment="1">
      <alignment horizontal="center"/>
    </xf>
    <xf numFmtId="0" fontId="19" fillId="4" borderId="0" xfId="0" applyFont="1" applyFill="1" applyAlignment="1">
      <alignment vertical="center"/>
    </xf>
    <xf numFmtId="14" fontId="16" fillId="2" borderId="8" xfId="0" applyNumberFormat="1" applyFont="1" applyFill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0" fontId="13" fillId="4" borderId="16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13" fillId="4" borderId="12" xfId="0" applyNumberFormat="1" applyFont="1" applyFill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7" fillId="4" borderId="18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/>
    </xf>
    <xf numFmtId="0" fontId="7" fillId="4" borderId="15" xfId="0" applyFont="1" applyFill="1" applyBorder="1" applyAlignment="1">
      <alignment horizontal="left" vertical="center"/>
    </xf>
    <xf numFmtId="9" fontId="7" fillId="4" borderId="19" xfId="0" applyNumberFormat="1" applyFont="1" applyFill="1" applyBorder="1" applyAlignment="1">
      <alignment horizontal="left" vertical="center"/>
    </xf>
    <xf numFmtId="0" fontId="7" fillId="4" borderId="19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left" vertical="center" wrapText="1"/>
    </xf>
    <xf numFmtId="10" fontId="7" fillId="4" borderId="1" xfId="0" applyNumberFormat="1" applyFont="1" applyFill="1" applyBorder="1" applyAlignment="1">
      <alignment horizontal="left" vertical="center"/>
    </xf>
    <xf numFmtId="10" fontId="13" fillId="4" borderId="1" xfId="0" applyNumberFormat="1" applyFont="1" applyFill="1" applyBorder="1" applyAlignment="1">
      <alignment horizontal="left" vertical="center"/>
    </xf>
    <xf numFmtId="0" fontId="13" fillId="4" borderId="12" xfId="0" applyFont="1" applyFill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/>
    </xf>
    <xf numFmtId="10" fontId="7" fillId="4" borderId="12" xfId="0" applyNumberFormat="1" applyFont="1" applyFill="1" applyBorder="1" applyAlignment="1">
      <alignment horizontal="left" vertical="center"/>
    </xf>
    <xf numFmtId="0" fontId="18" fillId="6" borderId="8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16" fillId="2" borderId="6" xfId="0" applyNumberFormat="1" applyFont="1" applyFill="1" applyBorder="1" applyAlignment="1">
      <alignment horizontal="center" vertical="center"/>
    </xf>
    <xf numFmtId="0" fontId="7" fillId="4" borderId="0" xfId="0" applyNumberFormat="1" applyFont="1" applyFill="1"/>
    <xf numFmtId="166" fontId="7" fillId="4" borderId="16" xfId="0" applyNumberFormat="1" applyFont="1" applyFill="1" applyBorder="1" applyAlignment="1">
      <alignment horizontal="center" vertical="center"/>
    </xf>
    <xf numFmtId="166" fontId="7" fillId="4" borderId="2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0" fontId="13" fillId="4" borderId="21" xfId="0" applyNumberFormat="1" applyFont="1" applyFill="1" applyBorder="1" applyAlignment="1">
      <alignment horizontal="left" vertical="center"/>
    </xf>
    <xf numFmtId="0" fontId="13" fillId="4" borderId="25" xfId="0" applyNumberFormat="1" applyFont="1" applyFill="1" applyBorder="1" applyAlignment="1">
      <alignment horizontal="left" vertical="center"/>
    </xf>
    <xf numFmtId="0" fontId="13" fillId="4" borderId="24" xfId="0" applyNumberFormat="1" applyFont="1" applyFill="1" applyBorder="1" applyAlignment="1">
      <alignment horizontal="left" vertical="center"/>
    </xf>
    <xf numFmtId="0" fontId="14" fillId="6" borderId="25" xfId="0" applyFont="1" applyFill="1" applyBorder="1" applyAlignment="1">
      <alignment horizontal="left" vertical="center"/>
    </xf>
    <xf numFmtId="0" fontId="14" fillId="6" borderId="25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 wrapText="1"/>
    </xf>
    <xf numFmtId="49" fontId="7" fillId="4" borderId="9" xfId="0" applyNumberFormat="1" applyFont="1" applyFill="1" applyBorder="1" applyAlignment="1">
      <alignment horizontal="left" vertical="center"/>
    </xf>
    <xf numFmtId="0" fontId="23" fillId="4" borderId="0" xfId="5" applyFont="1" applyFill="1" applyAlignment="1">
      <alignment horizontal="center" vertical="center"/>
    </xf>
    <xf numFmtId="0" fontId="23" fillId="4" borderId="0" xfId="5" applyFont="1" applyFill="1" applyAlignment="1">
      <alignment horizontal="center" vertical="center" wrapText="1"/>
    </xf>
    <xf numFmtId="43" fontId="23" fillId="4" borderId="0" xfId="1" applyFont="1" applyFill="1" applyAlignment="1">
      <alignment horizontal="center" vertical="center"/>
    </xf>
    <xf numFmtId="4" fontId="12" fillId="4" borderId="0" xfId="0" applyNumberFormat="1" applyFont="1" applyFill="1" applyAlignment="1">
      <alignment horizontal="center" vertical="center"/>
    </xf>
    <xf numFmtId="0" fontId="4" fillId="4" borderId="18" xfId="0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49" fontId="4" fillId="4" borderId="9" xfId="0" applyNumberFormat="1" applyFont="1" applyFill="1" applyBorder="1" applyAlignment="1">
      <alignment horizontal="left" vertical="center"/>
    </xf>
    <xf numFmtId="0" fontId="3" fillId="4" borderId="18" xfId="0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49" fontId="3" fillId="4" borderId="9" xfId="0" applyNumberFormat="1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left" vertical="center"/>
    </xf>
    <xf numFmtId="0" fontId="7" fillId="4" borderId="0" xfId="0" applyFont="1" applyFill="1" applyAlignme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1" fillId="0" borderId="22" xfId="0" applyFont="1" applyFill="1" applyBorder="1"/>
    <xf numFmtId="0" fontId="1" fillId="0" borderId="1" xfId="0" applyFont="1" applyFill="1" applyBorder="1"/>
    <xf numFmtId="0" fontId="1" fillId="0" borderId="12" xfId="0" applyFont="1" applyFill="1" applyBorder="1"/>
    <xf numFmtId="0" fontId="7" fillId="4" borderId="32" xfId="0" applyFont="1" applyFill="1" applyBorder="1" applyAlignment="1">
      <alignment horizontal="left" vertical="center"/>
    </xf>
    <xf numFmtId="0" fontId="1" fillId="4" borderId="33" xfId="0" applyFont="1" applyFill="1" applyBorder="1" applyAlignment="1">
      <alignment horizontal="left" vertical="center"/>
    </xf>
    <xf numFmtId="0" fontId="7" fillId="4" borderId="33" xfId="0" applyFont="1" applyFill="1" applyBorder="1" applyAlignment="1">
      <alignment horizontal="left" vertical="center"/>
    </xf>
    <xf numFmtId="0" fontId="21" fillId="8" borderId="30" xfId="0" applyFont="1" applyFill="1" applyBorder="1" applyAlignment="1">
      <alignment horizontal="center" vertical="center"/>
    </xf>
    <xf numFmtId="0" fontId="25" fillId="5" borderId="24" xfId="0" applyFont="1" applyFill="1" applyBorder="1" applyAlignment="1">
      <alignment horizontal="center" vertical="center"/>
    </xf>
    <xf numFmtId="4" fontId="28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16" xfId="0" applyFont="1" applyFill="1" applyBorder="1" applyAlignment="1">
      <alignment horizontal="left" vertical="center"/>
    </xf>
    <xf numFmtId="4" fontId="31" fillId="4" borderId="9" xfId="5" applyNumberFormat="1" applyFont="1" applyFill="1" applyBorder="1" applyAlignment="1">
      <alignment horizontal="center" vertical="center"/>
    </xf>
    <xf numFmtId="4" fontId="31" fillId="4" borderId="0" xfId="5" applyNumberFormat="1" applyFont="1" applyFill="1" applyAlignment="1">
      <alignment horizontal="center" vertical="center"/>
    </xf>
    <xf numFmtId="0" fontId="24" fillId="4" borderId="18" xfId="0" applyFont="1" applyFill="1" applyBorder="1" applyAlignment="1">
      <alignment horizontal="left" vertical="center"/>
    </xf>
    <xf numFmtId="0" fontId="23" fillId="4" borderId="18" xfId="0" applyFont="1" applyFill="1" applyBorder="1" applyAlignment="1">
      <alignment horizontal="left" vertical="center"/>
    </xf>
    <xf numFmtId="0" fontId="23" fillId="4" borderId="18" xfId="5" applyFont="1" applyFill="1" applyBorder="1" applyAlignment="1">
      <alignment horizontal="left" vertical="center"/>
    </xf>
    <xf numFmtId="0" fontId="23" fillId="4" borderId="15" xfId="5" applyFont="1" applyFill="1" applyBorder="1" applyAlignment="1">
      <alignment horizontal="left" vertical="center"/>
    </xf>
    <xf numFmtId="0" fontId="23" fillId="4" borderId="0" xfId="5" applyFont="1" applyFill="1" applyAlignment="1">
      <alignment horizontal="left" vertical="center"/>
    </xf>
    <xf numFmtId="4" fontId="31" fillId="4" borderId="9" xfId="5" applyNumberFormat="1" applyFont="1" applyFill="1" applyBorder="1" applyAlignment="1">
      <alignment horizontal="left" vertical="center"/>
    </xf>
    <xf numFmtId="4" fontId="31" fillId="4" borderId="20" xfId="5" applyNumberFormat="1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4" fontId="1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49" fontId="1" fillId="4" borderId="1" xfId="0" applyNumberFormat="1" applyFont="1" applyFill="1" applyBorder="1" applyAlignment="1">
      <alignment horizontal="left" vertical="center"/>
    </xf>
    <xf numFmtId="43" fontId="23" fillId="4" borderId="0" xfId="5" applyNumberFormat="1" applyFont="1" applyFill="1" applyAlignment="1">
      <alignment horizontal="center" vertical="center"/>
    </xf>
    <xf numFmtId="165" fontId="23" fillId="4" borderId="0" xfId="5" applyNumberFormat="1" applyFont="1" applyFill="1" applyAlignment="1">
      <alignment horizontal="center" vertical="center"/>
    </xf>
    <xf numFmtId="10" fontId="1" fillId="2" borderId="12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2" fontId="13" fillId="4" borderId="1" xfId="0" applyNumberFormat="1" applyFont="1" applyFill="1" applyBorder="1" applyAlignment="1">
      <alignment horizontal="left" vertical="center"/>
    </xf>
    <xf numFmtId="2" fontId="18" fillId="6" borderId="25" xfId="0" applyNumberFormat="1" applyFont="1" applyFill="1" applyBorder="1" applyAlignment="1">
      <alignment horizontal="center" vertical="center"/>
    </xf>
    <xf numFmtId="2" fontId="7" fillId="4" borderId="12" xfId="0" applyNumberFormat="1" applyFont="1" applyFill="1" applyBorder="1" applyAlignment="1">
      <alignment horizontal="left" vertical="center"/>
    </xf>
    <xf numFmtId="2" fontId="7" fillId="4" borderId="1" xfId="0" applyNumberFormat="1" applyFont="1" applyFill="1" applyBorder="1" applyAlignment="1">
      <alignment horizontal="left" vertical="center"/>
    </xf>
    <xf numFmtId="2" fontId="1" fillId="4" borderId="1" xfId="0" applyNumberFormat="1" applyFont="1" applyFill="1" applyBorder="1" applyAlignment="1">
      <alignment horizontal="left" vertical="center"/>
    </xf>
    <xf numFmtId="2" fontId="7" fillId="4" borderId="19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Alignment="1">
      <alignment horizontal="left" vertical="center"/>
    </xf>
    <xf numFmtId="2" fontId="10" fillId="6" borderId="28" xfId="0" applyNumberFormat="1" applyFont="1" applyFill="1" applyBorder="1" applyAlignment="1">
      <alignment horizontal="center" vertical="center"/>
    </xf>
    <xf numFmtId="167" fontId="26" fillId="9" borderId="1" xfId="1" applyNumberFormat="1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left" vertical="center"/>
    </xf>
    <xf numFmtId="1" fontId="1" fillId="4" borderId="14" xfId="0" applyNumberFormat="1" applyFont="1" applyFill="1" applyBorder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  <xf numFmtId="0" fontId="1" fillId="0" borderId="0" xfId="0" applyFont="1" applyFill="1" applyBorder="1"/>
    <xf numFmtId="0" fontId="15" fillId="4" borderId="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3" fontId="20" fillId="2" borderId="13" xfId="0" applyNumberFormat="1" applyFont="1" applyFill="1" applyBorder="1" applyAlignment="1" applyProtection="1">
      <alignment horizontal="center" vertical="center"/>
      <protection locked="0"/>
    </xf>
    <xf numFmtId="0" fontId="7" fillId="4" borderId="25" xfId="0" applyFont="1" applyFill="1" applyBorder="1" applyAlignment="1">
      <alignment horizontal="left" vertical="center"/>
    </xf>
    <xf numFmtId="10" fontId="10" fillId="4" borderId="12" xfId="0" applyNumberFormat="1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left" vertical="center"/>
    </xf>
    <xf numFmtId="0" fontId="35" fillId="4" borderId="0" xfId="0" applyFont="1" applyFill="1" applyAlignment="1">
      <alignment horizontal="left" vertical="center"/>
    </xf>
    <xf numFmtId="0" fontId="32" fillId="4" borderId="0" xfId="0" applyFont="1" applyFill="1" applyAlignment="1">
      <alignment horizontal="left" vertical="center"/>
    </xf>
    <xf numFmtId="4" fontId="10" fillId="3" borderId="7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4" fontId="14" fillId="3" borderId="7" xfId="0" applyNumberFormat="1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4" fontId="10" fillId="3" borderId="2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10" fillId="2" borderId="6" xfId="0" applyNumberFormat="1" applyFont="1" applyFill="1" applyBorder="1" applyAlignment="1">
      <alignment horizontal="center" vertical="center"/>
    </xf>
    <xf numFmtId="4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/>
    </xf>
    <xf numFmtId="2" fontId="1" fillId="10" borderId="1" xfId="0" applyNumberFormat="1" applyFont="1" applyFill="1" applyBorder="1" applyAlignment="1">
      <alignment horizontal="left" vertical="center"/>
    </xf>
    <xf numFmtId="0" fontId="2" fillId="10" borderId="1" xfId="0" applyNumberFormat="1" applyFont="1" applyFill="1" applyBorder="1" applyAlignment="1">
      <alignment horizontal="left" vertical="center"/>
    </xf>
    <xf numFmtId="43" fontId="1" fillId="4" borderId="9" xfId="1" applyFont="1" applyFill="1" applyBorder="1"/>
    <xf numFmtId="43" fontId="1" fillId="4" borderId="20" xfId="1" applyFont="1" applyFill="1" applyBorder="1"/>
    <xf numFmtId="14" fontId="10" fillId="3" borderId="7" xfId="0" applyNumberFormat="1" applyFont="1" applyFill="1" applyBorder="1" applyAlignment="1">
      <alignment horizontal="center" vertical="center" wrapText="1"/>
    </xf>
    <xf numFmtId="1" fontId="1" fillId="0" borderId="22" xfId="0" applyNumberFormat="1" applyFont="1" applyFill="1" applyBorder="1" applyAlignment="1">
      <alignment horizontal="center"/>
    </xf>
    <xf numFmtId="0" fontId="1" fillId="0" borderId="22" xfId="0" applyFont="1" applyFill="1" applyBorder="1" applyAlignment="1">
      <alignment horizontal="right"/>
    </xf>
    <xf numFmtId="1" fontId="1" fillId="0" borderId="1" xfId="0" applyNumberFormat="1" applyFont="1" applyFill="1" applyBorder="1" applyAlignment="1">
      <alignment horizontal="center"/>
    </xf>
    <xf numFmtId="1" fontId="1" fillId="0" borderId="12" xfId="0" applyNumberFormat="1" applyFont="1" applyFill="1" applyBorder="1" applyAlignment="1">
      <alignment horizontal="center"/>
    </xf>
    <xf numFmtId="0" fontId="1" fillId="0" borderId="12" xfId="0" applyNumberFormat="1" applyFont="1" applyFill="1" applyBorder="1"/>
    <xf numFmtId="0" fontId="1" fillId="0" borderId="1" xfId="0" applyNumberFormat="1" applyFont="1" applyFill="1" applyBorder="1" applyAlignment="1">
      <alignment horizontal="left"/>
    </xf>
    <xf numFmtId="4" fontId="12" fillId="4" borderId="0" xfId="0" applyNumberFormat="1" applyFont="1" applyFill="1" applyAlignment="1" applyProtection="1">
      <alignment horizontal="center" vertical="center"/>
      <protection locked="0"/>
    </xf>
    <xf numFmtId="2" fontId="12" fillId="4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horizontal="center" vertical="center"/>
      <protection locked="0"/>
    </xf>
    <xf numFmtId="4" fontId="10" fillId="3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3" borderId="27" xfId="0" applyNumberFormat="1" applyFont="1" applyFill="1" applyBorder="1" applyAlignment="1" applyProtection="1">
      <alignment horizontal="center" vertical="center" wrapText="1"/>
      <protection locked="0"/>
    </xf>
    <xf numFmtId="4" fontId="40" fillId="4" borderId="0" xfId="0" applyNumberFormat="1" applyFont="1" applyFill="1" applyAlignment="1" applyProtection="1">
      <alignment horizontal="center" vertical="center"/>
      <protection locked="0"/>
    </xf>
    <xf numFmtId="4" fontId="1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4" fontId="10" fillId="11" borderId="6" xfId="0" applyNumberFormat="1" applyFont="1" applyFill="1" applyBorder="1" applyAlignment="1" applyProtection="1">
      <alignment horizontal="center" vertical="center"/>
      <protection locked="0"/>
    </xf>
    <xf numFmtId="4" fontId="10" fillId="11" borderId="7" xfId="0" applyNumberFormat="1" applyFont="1" applyFill="1" applyBorder="1" applyAlignment="1" applyProtection="1">
      <alignment horizontal="center" vertical="center"/>
      <protection locked="0"/>
    </xf>
    <xf numFmtId="4" fontId="10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6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Border="1" applyAlignment="1" applyProtection="1">
      <alignment horizontal="center" vertical="center"/>
      <protection locked="0"/>
    </xf>
    <xf numFmtId="2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vertical="center"/>
      <protection locked="0"/>
    </xf>
    <xf numFmtId="0" fontId="23" fillId="4" borderId="5" xfId="0" applyFont="1" applyFill="1" applyBorder="1" applyAlignment="1" applyProtection="1">
      <alignment horizontal="center" vertical="center"/>
      <protection locked="0"/>
    </xf>
    <xf numFmtId="4" fontId="23" fillId="4" borderId="0" xfId="0" applyNumberFormat="1" applyFont="1" applyFill="1" applyBorder="1" applyAlignment="1" applyProtection="1">
      <alignment horizontal="center" vertical="center"/>
      <protection locked="0"/>
    </xf>
    <xf numFmtId="2" fontId="23" fillId="4" borderId="0" xfId="0" applyNumberFormat="1" applyFont="1" applyFill="1" applyBorder="1" applyAlignment="1" applyProtection="1">
      <alignment horizontal="center" vertical="center"/>
      <protection locked="0"/>
    </xf>
    <xf numFmtId="4" fontId="23" fillId="4" borderId="0" xfId="0" applyNumberFormat="1" applyFont="1" applyFill="1" applyAlignment="1" applyProtection="1">
      <alignment vertical="center"/>
      <protection locked="0"/>
    </xf>
    <xf numFmtId="0" fontId="23" fillId="4" borderId="0" xfId="0" applyFont="1" applyFill="1" applyAlignment="1" applyProtection="1">
      <alignment vertical="center"/>
      <protection locked="0"/>
    </xf>
    <xf numFmtId="0" fontId="23" fillId="4" borderId="0" xfId="0" applyFont="1" applyFill="1" applyAlignment="1" applyProtection="1">
      <alignment horizontal="center" vertical="center"/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4" fontId="20" fillId="3" borderId="25" xfId="0" applyNumberFormat="1" applyFont="1" applyFill="1" applyBorder="1" applyAlignment="1" applyProtection="1">
      <alignment horizontal="center" vertical="center"/>
      <protection locked="0"/>
    </xf>
    <xf numFmtId="3" fontId="20" fillId="3" borderId="25" xfId="0" applyNumberFormat="1" applyFont="1" applyFill="1" applyBorder="1" applyAlignment="1" applyProtection="1">
      <alignment horizontal="center" vertical="center"/>
      <protection locked="0"/>
    </xf>
    <xf numFmtId="0" fontId="38" fillId="11" borderId="11" xfId="0" applyFont="1" applyFill="1" applyBorder="1" applyAlignment="1" applyProtection="1">
      <alignment horizontal="center" vertical="center"/>
      <protection locked="0"/>
    </xf>
    <xf numFmtId="4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3" fontId="17" fillId="2" borderId="6" xfId="0" applyNumberFormat="1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 applyProtection="1">
      <alignment horizontal="center" vertical="center"/>
      <protection locked="0"/>
    </xf>
    <xf numFmtId="4" fontId="5" fillId="4" borderId="0" xfId="0" applyNumberFormat="1" applyFont="1" applyFill="1" applyAlignment="1" applyProtection="1">
      <alignment horizontal="center" vertical="center"/>
      <protection locked="0"/>
    </xf>
    <xf numFmtId="4" fontId="19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>
      <alignment horizontal="left" vertical="center"/>
    </xf>
    <xf numFmtId="3" fontId="38" fillId="2" borderId="2" xfId="0" applyNumberFormat="1" applyFont="1" applyFill="1" applyBorder="1" applyAlignment="1" applyProtection="1">
      <alignment horizontal="center" vertical="center"/>
    </xf>
    <xf numFmtId="3" fontId="38" fillId="2" borderId="1" xfId="0" applyNumberFormat="1" applyFont="1" applyFill="1" applyBorder="1" applyAlignment="1" applyProtection="1">
      <alignment horizontal="center" vertical="center"/>
    </xf>
    <xf numFmtId="43" fontId="7" fillId="4" borderId="1" xfId="1" applyFont="1" applyFill="1" applyBorder="1" applyAlignment="1">
      <alignment horizontal="left" vertical="center"/>
    </xf>
    <xf numFmtId="3" fontId="43" fillId="2" borderId="1" xfId="0" applyNumberFormat="1" applyFont="1" applyFill="1" applyBorder="1" applyAlignment="1" applyProtection="1">
      <alignment horizontal="center" vertical="center"/>
    </xf>
    <xf numFmtId="4" fontId="42" fillId="11" borderId="11" xfId="0" applyNumberFormat="1" applyFont="1" applyFill="1" applyBorder="1" applyAlignment="1" applyProtection="1">
      <alignment horizontal="center" vertical="center" wrapText="1"/>
      <protection locked="0"/>
    </xf>
    <xf numFmtId="2" fontId="41" fillId="11" borderId="4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34" fillId="11" borderId="11" xfId="0" applyNumberFormat="1" applyFont="1" applyFill="1" applyBorder="1" applyAlignment="1" applyProtection="1">
      <alignment horizontal="center" vertical="center" wrapText="1"/>
      <protection locked="0"/>
    </xf>
    <xf numFmtId="3" fontId="46" fillId="0" borderId="1" xfId="0" applyNumberFormat="1" applyFont="1" applyFill="1" applyBorder="1" applyAlignment="1" applyProtection="1">
      <alignment horizontal="center"/>
    </xf>
    <xf numFmtId="0" fontId="46" fillId="0" borderId="1" xfId="0" applyFont="1" applyFill="1" applyBorder="1" applyAlignment="1" applyProtection="1"/>
    <xf numFmtId="14" fontId="46" fillId="0" borderId="1" xfId="0" applyNumberFormat="1" applyFont="1" applyFill="1" applyBorder="1" applyAlignment="1" applyProtection="1">
      <alignment horizontal="center"/>
    </xf>
    <xf numFmtId="4" fontId="17" fillId="11" borderId="7" xfId="0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Font="1" applyFill="1" applyAlignment="1" applyProtection="1">
      <alignment vertical="center"/>
      <protection locked="0"/>
    </xf>
    <xf numFmtId="4" fontId="20" fillId="11" borderId="7" xfId="0" applyNumberFormat="1" applyFont="1" applyFill="1" applyBorder="1" applyAlignment="1" applyProtection="1">
      <alignment horizontal="center" vertical="center" wrapText="1"/>
      <protection locked="0"/>
    </xf>
    <xf numFmtId="0" fontId="20" fillId="4" borderId="0" xfId="0" applyFont="1" applyFill="1" applyBorder="1" applyAlignment="1" applyProtection="1">
      <alignment vertical="center"/>
      <protection locked="0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14" fontId="19" fillId="0" borderId="0" xfId="0" applyNumberFormat="1" applyFont="1" applyFill="1" applyAlignment="1">
      <alignment vertical="center"/>
    </xf>
    <xf numFmtId="0" fontId="10" fillId="0" borderId="0" xfId="0" applyFont="1" applyFill="1" applyBorder="1" applyAlignment="1"/>
    <xf numFmtId="14" fontId="1" fillId="0" borderId="0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0" fillId="0" borderId="22" xfId="0" applyFont="1" applyFill="1" applyBorder="1" applyAlignment="1">
      <alignment horizontal="center" vertical="center"/>
    </xf>
    <xf numFmtId="3" fontId="1" fillId="0" borderId="22" xfId="0" applyNumberFormat="1" applyFont="1" applyFill="1" applyBorder="1" applyAlignment="1"/>
    <xf numFmtId="14" fontId="1" fillId="0" borderId="22" xfId="0" applyNumberFormat="1" applyFont="1" applyFill="1" applyBorder="1"/>
    <xf numFmtId="4" fontId="1" fillId="0" borderId="22" xfId="0" applyNumberFormat="1" applyFont="1" applyFill="1" applyBorder="1" applyAlignment="1">
      <alignment horizontal="right" vertical="center"/>
    </xf>
    <xf numFmtId="3" fontId="1" fillId="0" borderId="1" xfId="0" applyNumberFormat="1" applyFont="1" applyFill="1" applyBorder="1" applyAlignment="1"/>
    <xf numFmtId="14" fontId="1" fillId="0" borderId="1" xfId="0" applyNumberFormat="1" applyFont="1" applyFill="1" applyBorder="1"/>
    <xf numFmtId="4" fontId="1" fillId="0" borderId="1" xfId="0" applyNumberFormat="1" applyFont="1" applyFill="1" applyBorder="1" applyAlignment="1">
      <alignment horizontal="right" vertical="center"/>
    </xf>
    <xf numFmtId="14" fontId="1" fillId="0" borderId="39" xfId="0" applyNumberFormat="1" applyFont="1" applyFill="1" applyBorder="1"/>
    <xf numFmtId="0" fontId="10" fillId="0" borderId="19" xfId="0" applyFont="1" applyFill="1" applyBorder="1" applyAlignment="1">
      <alignment horizontal="center" vertical="center"/>
    </xf>
    <xf numFmtId="3" fontId="1" fillId="0" borderId="19" xfId="0" applyNumberFormat="1" applyFont="1" applyFill="1" applyBorder="1" applyAlignment="1"/>
    <xf numFmtId="0" fontId="1" fillId="0" borderId="19" xfId="0" applyFont="1" applyFill="1" applyBorder="1"/>
    <xf numFmtId="14" fontId="1" fillId="0" borderId="19" xfId="0" applyNumberFormat="1" applyFont="1" applyFill="1" applyBorder="1"/>
    <xf numFmtId="1" fontId="1" fillId="0" borderId="19" xfId="0" applyNumberFormat="1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4" fontId="1" fillId="0" borderId="19" xfId="0" applyNumberFormat="1" applyFont="1" applyFill="1" applyBorder="1" applyAlignment="1">
      <alignment horizontal="right" vertic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Border="1" applyAlignment="1"/>
    <xf numFmtId="14" fontId="1" fillId="3" borderId="0" xfId="0" applyNumberFormat="1" applyFont="1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/>
    </xf>
    <xf numFmtId="0" fontId="1" fillId="0" borderId="22" xfId="0" applyNumberFormat="1" applyFont="1" applyFill="1" applyBorder="1"/>
    <xf numFmtId="4" fontId="1" fillId="0" borderId="12" xfId="0" applyNumberFormat="1" applyFont="1" applyFill="1" applyBorder="1" applyAlignment="1">
      <alignment horizontal="right" vertical="center"/>
    </xf>
    <xf numFmtId="14" fontId="1" fillId="0" borderId="12" xfId="0" applyNumberFormat="1" applyFont="1" applyFill="1" applyBorder="1"/>
    <xf numFmtId="0" fontId="1" fillId="0" borderId="1" xfId="0" applyFont="1" applyFill="1" applyBorder="1" applyAlignment="1" applyProtection="1"/>
    <xf numFmtId="0" fontId="1" fillId="3" borderId="29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22" xfId="0" applyNumberFormat="1" applyFont="1" applyFill="1" applyBorder="1" applyAlignment="1">
      <alignment horizontal="left"/>
    </xf>
    <xf numFmtId="166" fontId="13" fillId="0" borderId="22" xfId="0" quotePrefix="1" applyNumberFormat="1" applyFont="1" applyFill="1" applyBorder="1" applyAlignment="1">
      <alignment horizontal="center" vertical="center"/>
    </xf>
    <xf numFmtId="166" fontId="13" fillId="0" borderId="1" xfId="0" quotePrefix="1" applyNumberFormat="1" applyFont="1" applyFill="1" applyBorder="1" applyAlignment="1">
      <alignment horizontal="center" vertical="center"/>
    </xf>
    <xf numFmtId="0" fontId="48" fillId="0" borderId="1" xfId="0" applyFont="1" applyFill="1" applyBorder="1"/>
    <xf numFmtId="14" fontId="49" fillId="0" borderId="1" xfId="0" applyNumberFormat="1" applyFont="1" applyFill="1" applyBorder="1" applyAlignment="1">
      <alignment horizontal="right"/>
    </xf>
    <xf numFmtId="0" fontId="10" fillId="0" borderId="4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/>
    <xf numFmtId="0" fontId="1" fillId="0" borderId="0" xfId="0" applyFont="1" applyFill="1"/>
    <xf numFmtId="0" fontId="10" fillId="0" borderId="11" xfId="0" applyFont="1" applyFill="1" applyBorder="1" applyAlignment="1">
      <alignment horizontal="center" vertical="center"/>
    </xf>
    <xf numFmtId="14" fontId="1" fillId="0" borderId="0" xfId="0" applyNumberFormat="1" applyFont="1" applyFill="1"/>
    <xf numFmtId="4" fontId="1" fillId="8" borderId="0" xfId="0" applyNumberFormat="1" applyFont="1" applyFill="1" applyAlignment="1">
      <alignment horizontal="center" vertical="center"/>
    </xf>
    <xf numFmtId="4" fontId="1" fillId="15" borderId="0" xfId="0" applyNumberFormat="1" applyFont="1" applyFill="1" applyAlignment="1">
      <alignment horizontal="center" vertical="center"/>
    </xf>
    <xf numFmtId="4" fontId="10" fillId="3" borderId="7" xfId="0" applyNumberFormat="1" applyFont="1" applyFill="1" applyBorder="1" applyAlignment="1">
      <alignment vertical="center"/>
    </xf>
    <xf numFmtId="4" fontId="50" fillId="11" borderId="8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left" vertical="center" wrapText="1"/>
      <protection locked="0"/>
    </xf>
    <xf numFmtId="0" fontId="23" fillId="4" borderId="0" xfId="0" applyFont="1" applyFill="1" applyBorder="1" applyAlignment="1" applyProtection="1">
      <alignment horizontal="left" vertical="center" wrapText="1"/>
      <protection locked="0"/>
    </xf>
    <xf numFmtId="0" fontId="44" fillId="0" borderId="0" xfId="5" applyFont="1" applyFill="1" applyAlignment="1">
      <alignment horizontal="center" vertical="center"/>
    </xf>
    <xf numFmtId="0" fontId="44" fillId="0" borderId="0" xfId="5" applyFont="1" applyFill="1" applyAlignment="1">
      <alignment horizontal="center"/>
    </xf>
    <xf numFmtId="0" fontId="44" fillId="8" borderId="0" xfId="5" applyFont="1" applyFill="1" applyAlignment="1">
      <alignment horizontal="center"/>
    </xf>
    <xf numFmtId="0" fontId="44" fillId="4" borderId="0" xfId="5" applyFont="1" applyFill="1" applyAlignment="1">
      <alignment horizontal="center"/>
    </xf>
    <xf numFmtId="0" fontId="8" fillId="8" borderId="48" xfId="5" applyFill="1" applyBorder="1" applyAlignment="1">
      <alignment vertical="top"/>
    </xf>
    <xf numFmtId="0" fontId="8" fillId="0" borderId="0" xfId="5" applyFill="1"/>
    <xf numFmtId="0" fontId="51" fillId="0" borderId="0" xfId="5" applyFont="1" applyFill="1" applyBorder="1" applyAlignment="1"/>
    <xf numFmtId="0" fontId="52" fillId="0" borderId="0" xfId="5" applyFont="1" applyFill="1" applyBorder="1" applyAlignment="1"/>
    <xf numFmtId="0" fontId="51" fillId="0" borderId="0" xfId="5" applyFont="1" applyFill="1" applyBorder="1" applyAlignment="1">
      <alignment horizontal="center"/>
    </xf>
    <xf numFmtId="0" fontId="52" fillId="0" borderId="0" xfId="5" applyFont="1" applyFill="1" applyBorder="1" applyAlignment="1">
      <alignment horizontal="center"/>
    </xf>
    <xf numFmtId="15" fontId="20" fillId="17" borderId="49" xfId="5" applyNumberFormat="1" applyFont="1" applyFill="1" applyBorder="1" applyAlignment="1">
      <alignment horizontal="center" vertical="center" wrapText="1"/>
    </xf>
    <xf numFmtId="15" fontId="20" fillId="8" borderId="49" xfId="5" applyNumberFormat="1" applyFont="1" applyFill="1" applyBorder="1" applyAlignment="1">
      <alignment horizontal="center" vertical="center" wrapText="1"/>
    </xf>
    <xf numFmtId="15" fontId="20" fillId="16" borderId="49" xfId="5" applyNumberFormat="1" applyFont="1" applyFill="1" applyBorder="1" applyAlignment="1">
      <alignment horizontal="center" vertical="center" wrapText="1"/>
    </xf>
    <xf numFmtId="15" fontId="17" fillId="8" borderId="49" xfId="5" applyNumberFormat="1" applyFont="1" applyFill="1" applyBorder="1" applyAlignment="1">
      <alignment horizontal="center" vertical="center" wrapText="1"/>
    </xf>
    <xf numFmtId="0" fontId="8" fillId="0" borderId="0" xfId="5" applyFill="1" applyAlignment="1">
      <alignment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5" xfId="5" applyFont="1" applyFill="1" applyBorder="1" applyAlignment="1">
      <alignment horizontal="center" vertical="center" wrapText="1"/>
    </xf>
    <xf numFmtId="15" fontId="20" fillId="17" borderId="1" xfId="5" applyNumberFormat="1" applyFont="1" applyFill="1" applyBorder="1" applyAlignment="1">
      <alignment horizontal="center" vertical="center" wrapText="1"/>
    </xf>
    <xf numFmtId="15" fontId="20" fillId="8" borderId="1" xfId="5" applyNumberFormat="1" applyFont="1" applyFill="1" applyBorder="1" applyAlignment="1">
      <alignment horizontal="center" vertical="center" wrapText="1"/>
    </xf>
    <xf numFmtId="0" fontId="20" fillId="16" borderId="1" xfId="5" applyFont="1" applyFill="1" applyBorder="1" applyAlignment="1">
      <alignment horizontal="center" vertical="center" wrapText="1"/>
    </xf>
    <xf numFmtId="0" fontId="20" fillId="8" borderId="1" xfId="5" applyFont="1" applyFill="1" applyBorder="1" applyAlignment="1">
      <alignment horizontal="center" vertical="center" wrapText="1"/>
    </xf>
    <xf numFmtId="0" fontId="17" fillId="8" borderId="50" xfId="5" applyFont="1" applyFill="1" applyBorder="1" applyAlignment="1">
      <alignment horizontal="center" vertical="center" wrapText="1"/>
    </xf>
    <xf numFmtId="0" fontId="38" fillId="16" borderId="1" xfId="5" applyFont="1" applyFill="1" applyBorder="1" applyAlignment="1">
      <alignment horizontal="center" vertical="center" wrapText="1"/>
    </xf>
    <xf numFmtId="43" fontId="38" fillId="2" borderId="1" xfId="11" applyFont="1" applyFill="1" applyBorder="1" applyAlignment="1">
      <alignment horizontal="center" vertical="center"/>
    </xf>
    <xf numFmtId="43" fontId="38" fillId="8" borderId="1" xfId="11" applyFont="1" applyFill="1" applyBorder="1" applyAlignment="1">
      <alignment horizontal="center" vertical="center"/>
    </xf>
    <xf numFmtId="4" fontId="38" fillId="4" borderId="1" xfId="5" applyNumberFormat="1" applyFont="1" applyFill="1" applyBorder="1" applyAlignment="1">
      <alignment vertical="center"/>
    </xf>
    <xf numFmtId="4" fontId="38" fillId="8" borderId="1" xfId="5" applyNumberFormat="1" applyFont="1" applyFill="1" applyBorder="1" applyAlignment="1">
      <alignment vertical="center"/>
    </xf>
    <xf numFmtId="0" fontId="8" fillId="8" borderId="1" xfId="5" applyFill="1" applyBorder="1"/>
    <xf numFmtId="0" fontId="38" fillId="16" borderId="1" xfId="5" applyFont="1" applyFill="1" applyBorder="1" applyAlignment="1">
      <alignment horizontal="center" vertical="center"/>
    </xf>
    <xf numFmtId="4" fontId="17" fillId="8" borderId="1" xfId="5" applyNumberFormat="1" applyFont="1" applyFill="1" applyBorder="1" applyAlignment="1">
      <alignment vertical="center"/>
    </xf>
    <xf numFmtId="0" fontId="54" fillId="0" borderId="35" xfId="5" applyFont="1" applyFill="1" applyBorder="1" applyAlignment="1">
      <alignment horizontal="center" vertical="center" wrapText="1"/>
    </xf>
    <xf numFmtId="0" fontId="38" fillId="16" borderId="42" xfId="5" applyFont="1" applyFill="1" applyBorder="1" applyAlignment="1">
      <alignment horizontal="center" vertical="center"/>
    </xf>
    <xf numFmtId="43" fontId="38" fillId="2" borderId="12" xfId="11" applyFont="1" applyFill="1" applyBorder="1" applyAlignment="1">
      <alignment horizontal="center" vertical="center"/>
    </xf>
    <xf numFmtId="43" fontId="38" fillId="8" borderId="12" xfId="11" applyFont="1" applyFill="1" applyBorder="1" applyAlignment="1">
      <alignment horizontal="center" vertical="center"/>
    </xf>
    <xf numFmtId="4" fontId="17" fillId="8" borderId="35" xfId="5" applyNumberFormat="1" applyFont="1" applyFill="1" applyBorder="1" applyAlignment="1">
      <alignment vertical="center"/>
    </xf>
    <xf numFmtId="0" fontId="55" fillId="0" borderId="0" xfId="5" applyFont="1" applyFill="1" applyBorder="1" applyAlignment="1">
      <alignment horizontal="center" vertical="center"/>
    </xf>
    <xf numFmtId="4" fontId="56" fillId="0" borderId="0" xfId="5" applyNumberFormat="1" applyFont="1" applyFill="1" applyBorder="1" applyAlignment="1">
      <alignment vertical="center"/>
    </xf>
    <xf numFmtId="4" fontId="56" fillId="8" borderId="0" xfId="5" applyNumberFormat="1" applyFont="1" applyFill="1" applyBorder="1" applyAlignment="1">
      <alignment vertical="center"/>
    </xf>
    <xf numFmtId="4" fontId="56" fillId="0" borderId="0" xfId="5" applyNumberFormat="1" applyFont="1" applyFill="1" applyBorder="1"/>
    <xf numFmtId="4" fontId="56" fillId="8" borderId="0" xfId="5" applyNumberFormat="1" applyFont="1" applyFill="1" applyBorder="1"/>
    <xf numFmtId="4" fontId="56" fillId="4" borderId="0" xfId="5" applyNumberFormat="1" applyFont="1" applyFill="1" applyBorder="1"/>
    <xf numFmtId="0" fontId="8" fillId="8" borderId="48" xfId="5" applyFill="1" applyBorder="1"/>
    <xf numFmtId="0" fontId="8" fillId="4" borderId="0" xfId="5" applyFill="1"/>
    <xf numFmtId="0" fontId="8" fillId="8" borderId="0" xfId="5" applyFill="1"/>
    <xf numFmtId="0" fontId="31" fillId="4" borderId="37" xfId="5" applyFont="1" applyFill="1" applyBorder="1" applyAlignment="1">
      <alignment horizontal="center" vertical="center" wrapText="1"/>
    </xf>
    <xf numFmtId="0" fontId="31" fillId="4" borderId="37" xfId="5" applyFont="1" applyFill="1" applyBorder="1" applyAlignment="1">
      <alignment horizontal="center" vertical="center"/>
    </xf>
    <xf numFmtId="4" fontId="31" fillId="4" borderId="37" xfId="5" applyNumberFormat="1" applyFont="1" applyFill="1" applyBorder="1" applyAlignment="1">
      <alignment horizontal="center" vertical="center"/>
    </xf>
    <xf numFmtId="0" fontId="23" fillId="4" borderId="16" xfId="5" applyFont="1" applyFill="1" applyBorder="1" applyAlignment="1">
      <alignment horizontal="left" vertical="center"/>
    </xf>
    <xf numFmtId="167" fontId="26" fillId="9" borderId="12" xfId="1" applyNumberFormat="1" applyFont="1" applyFill="1" applyBorder="1" applyAlignment="1">
      <alignment horizontal="center" vertical="center"/>
    </xf>
    <xf numFmtId="4" fontId="31" fillId="4" borderId="21" xfId="5" applyNumberFormat="1" applyFont="1" applyFill="1" applyBorder="1" applyAlignment="1">
      <alignment horizontal="left" vertical="center"/>
    </xf>
    <xf numFmtId="0" fontId="23" fillId="4" borderId="17" xfId="5" applyFont="1" applyFill="1" applyBorder="1" applyAlignment="1">
      <alignment horizontal="left" vertical="center"/>
    </xf>
    <xf numFmtId="167" fontId="26" fillId="9" borderId="22" xfId="1" applyNumberFormat="1" applyFont="1" applyFill="1" applyBorder="1" applyAlignment="1">
      <alignment horizontal="center" vertical="center"/>
    </xf>
    <xf numFmtId="4" fontId="31" fillId="4" borderId="34" xfId="5" applyNumberFormat="1" applyFont="1" applyFill="1" applyBorder="1" applyAlignment="1">
      <alignment horizontal="center" vertical="center"/>
    </xf>
    <xf numFmtId="167" fontId="26" fillId="9" borderId="19" xfId="1" applyNumberFormat="1" applyFont="1" applyFill="1" applyBorder="1" applyAlignment="1">
      <alignment horizontal="center" vertical="center"/>
    </xf>
    <xf numFmtId="4" fontId="31" fillId="4" borderId="60" xfId="5" applyNumberFormat="1" applyFont="1" applyFill="1" applyBorder="1" applyAlignment="1">
      <alignment horizontal="center" vertical="center"/>
    </xf>
    <xf numFmtId="4" fontId="31" fillId="4" borderId="14" xfId="5" applyNumberFormat="1" applyFont="1" applyFill="1" applyBorder="1" applyAlignment="1">
      <alignment horizontal="center" vertical="center"/>
    </xf>
    <xf numFmtId="4" fontId="31" fillId="4" borderId="20" xfId="5" applyNumberFormat="1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left" vertical="center"/>
    </xf>
    <xf numFmtId="0" fontId="31" fillId="4" borderId="34" xfId="5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left" vertical="center"/>
    </xf>
    <xf numFmtId="0" fontId="31" fillId="4" borderId="60" xfId="5" applyFont="1" applyFill="1" applyBorder="1" applyAlignment="1">
      <alignment horizontal="center" vertical="center"/>
    </xf>
    <xf numFmtId="4" fontId="27" fillId="6" borderId="28" xfId="5" applyNumberFormat="1" applyFont="1" applyFill="1" applyBorder="1" applyAlignment="1">
      <alignment horizontal="center" vertical="center" wrapText="1"/>
    </xf>
    <xf numFmtId="2" fontId="16" fillId="6" borderId="27" xfId="0" applyNumberFormat="1" applyFont="1" applyFill="1" applyBorder="1" applyAlignment="1">
      <alignment horizontal="center" vertical="center"/>
    </xf>
    <xf numFmtId="49" fontId="24" fillId="4" borderId="15" xfId="0" applyNumberFormat="1" applyFont="1" applyFill="1" applyBorder="1" applyAlignment="1">
      <alignment horizontal="left" vertical="center"/>
    </xf>
    <xf numFmtId="0" fontId="36" fillId="4" borderId="0" xfId="5" applyFont="1" applyFill="1" applyAlignment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  <protection locked="0"/>
    </xf>
    <xf numFmtId="4" fontId="10" fillId="3" borderId="25" xfId="0" applyNumberFormat="1" applyFont="1" applyFill="1" applyBorder="1" applyAlignment="1" applyProtection="1">
      <alignment horizontal="center" vertical="center"/>
      <protection locked="0"/>
    </xf>
    <xf numFmtId="4" fontId="10" fillId="2" borderId="6" xfId="0" applyNumberFormat="1" applyFont="1" applyFill="1" applyBorder="1" applyAlignment="1" applyProtection="1">
      <alignment horizontal="center" vertical="center"/>
      <protection locked="0"/>
    </xf>
    <xf numFmtId="4" fontId="50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36" fillId="0" borderId="22" xfId="0" applyNumberFormat="1" applyFont="1" applyFill="1" applyBorder="1" applyAlignment="1" applyProtection="1">
      <alignment horizontal="center" vertical="center"/>
      <protection locked="0"/>
    </xf>
    <xf numFmtId="3" fontId="36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41" borderId="0" xfId="0" applyFont="1" applyFill="1" applyAlignment="1" applyProtection="1">
      <alignment horizontal="center" vertical="center"/>
      <protection locked="0"/>
    </xf>
    <xf numFmtId="4" fontId="79" fillId="4" borderId="0" xfId="0" applyNumberFormat="1" applyFont="1" applyFill="1" applyBorder="1" applyAlignment="1" applyProtection="1">
      <alignment horizontal="center" vertical="center"/>
      <protection locked="0"/>
    </xf>
    <xf numFmtId="0" fontId="80" fillId="8" borderId="1" xfId="0" applyFont="1" applyFill="1" applyBorder="1" applyAlignment="1">
      <alignment horizontal="center" vertical="center"/>
    </xf>
    <xf numFmtId="0" fontId="80" fillId="4" borderId="1" xfId="0" applyFont="1" applyFill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4" fontId="22" fillId="8" borderId="61" xfId="11" applyNumberFormat="1" applyFont="1" applyFill="1" applyBorder="1" applyAlignment="1">
      <alignment horizontal="center" vertical="center" wrapText="1"/>
    </xf>
    <xf numFmtId="4" fontId="82" fillId="8" borderId="61" xfId="11" applyNumberFormat="1" applyFont="1" applyFill="1" applyBorder="1" applyAlignment="1">
      <alignment horizontal="center" vertical="center" wrapText="1"/>
    </xf>
    <xf numFmtId="0" fontId="22" fillId="8" borderId="22" xfId="7" applyFont="1" applyFill="1" applyBorder="1" applyAlignment="1">
      <alignment horizontal="center" vertical="center" wrapText="1"/>
    </xf>
    <xf numFmtId="4" fontId="22" fillId="42" borderId="62" xfId="11" applyNumberFormat="1" applyFont="1" applyFill="1" applyBorder="1" applyAlignment="1">
      <alignment horizontal="center" vertical="center" wrapText="1"/>
    </xf>
    <xf numFmtId="4" fontId="22" fillId="12" borderId="61" xfId="11" applyNumberFormat="1" applyFont="1" applyFill="1" applyBorder="1" applyAlignment="1">
      <alignment horizontal="center" vertical="center" wrapText="1"/>
    </xf>
    <xf numFmtId="0" fontId="44" fillId="17" borderId="1" xfId="0" applyFont="1" applyFill="1" applyBorder="1"/>
    <xf numFmtId="3" fontId="0" fillId="0" borderId="0" xfId="0" applyNumberFormat="1"/>
    <xf numFmtId="3" fontId="44" fillId="17" borderId="1" xfId="0" applyNumberFormat="1" applyFont="1" applyFill="1" applyBorder="1"/>
    <xf numFmtId="3" fontId="44" fillId="17" borderId="33" xfId="0" applyNumberFormat="1" applyFont="1" applyFill="1" applyBorder="1"/>
    <xf numFmtId="0" fontId="44" fillId="17" borderId="33" xfId="0" applyFont="1" applyFill="1" applyBorder="1"/>
    <xf numFmtId="3" fontId="0" fillId="43" borderId="1" xfId="0" applyNumberFormat="1" applyFill="1" applyBorder="1"/>
    <xf numFmtId="0" fontId="0" fillId="43" borderId="1" xfId="0" applyFill="1" applyBorder="1"/>
    <xf numFmtId="0" fontId="44" fillId="43" borderId="1" xfId="0" applyFont="1" applyFill="1" applyBorder="1" applyAlignment="1">
      <alignment horizontal="center"/>
    </xf>
    <xf numFmtId="0" fontId="83" fillId="43" borderId="1" xfId="0" applyFont="1" applyFill="1" applyBorder="1"/>
    <xf numFmtId="0" fontId="0" fillId="0" borderId="0" xfId="0"/>
    <xf numFmtId="0" fontId="17" fillId="7" borderId="43" xfId="0" applyFont="1" applyFill="1" applyBorder="1" applyAlignment="1" applyProtection="1">
      <alignment vertical="center"/>
      <protection locked="0"/>
    </xf>
    <xf numFmtId="0" fontId="36" fillId="0" borderId="22" xfId="0" applyFont="1" applyFill="1" applyBorder="1" applyAlignment="1" applyProtection="1">
      <alignment horizontal="center" vertical="center"/>
      <protection locked="0"/>
    </xf>
    <xf numFmtId="4" fontId="36" fillId="0" borderId="41" xfId="0" applyNumberFormat="1" applyFont="1" applyFill="1" applyBorder="1" applyAlignment="1" applyProtection="1">
      <alignment horizontal="center" vertical="center"/>
      <protection locked="0"/>
    </xf>
    <xf numFmtId="4" fontId="36" fillId="2" borderId="41" xfId="0" applyNumberFormat="1" applyFont="1" applyFill="1" applyBorder="1" applyAlignment="1" applyProtection="1">
      <alignment horizontal="center" vertical="center"/>
    </xf>
    <xf numFmtId="4" fontId="36" fillId="14" borderId="41" xfId="0" applyNumberFormat="1" applyFont="1" applyFill="1" applyBorder="1" applyAlignment="1" applyProtection="1">
      <alignment horizontal="center" vertical="center"/>
      <protection locked="0"/>
    </xf>
    <xf numFmtId="3" fontId="0" fillId="43" borderId="63" xfId="0" applyNumberFormat="1" applyFill="1" applyBorder="1"/>
    <xf numFmtId="0" fontId="0" fillId="43" borderId="63" xfId="0" applyFill="1" applyBorder="1"/>
    <xf numFmtId="0" fontId="23" fillId="0" borderId="0" xfId="0" applyFont="1" applyFill="1" applyBorder="1" applyAlignment="1" applyProtection="1">
      <alignment vertical="center"/>
      <protection locked="0"/>
    </xf>
    <xf numFmtId="3" fontId="22" fillId="0" borderId="25" xfId="0" applyNumberFormat="1" applyFont="1" applyFill="1" applyBorder="1" applyAlignment="1" applyProtection="1">
      <alignment horizontal="center" vertical="center"/>
      <protection locked="0"/>
    </xf>
    <xf numFmtId="3" fontId="17" fillId="0" borderId="6" xfId="0" applyNumberFormat="1" applyFont="1" applyFill="1" applyBorder="1" applyAlignment="1" applyProtection="1">
      <alignment horizontal="center" vertical="center"/>
      <protection locked="0"/>
    </xf>
    <xf numFmtId="4" fontId="10" fillId="11" borderId="36" xfId="0" applyNumberFormat="1" applyFont="1" applyFill="1" applyBorder="1" applyAlignment="1" applyProtection="1">
      <alignment horizontal="center" vertical="center" wrapText="1"/>
      <protection locked="0"/>
    </xf>
    <xf numFmtId="0" fontId="0" fillId="43" borderId="1" xfId="0" applyFont="1" applyFill="1" applyBorder="1"/>
    <xf numFmtId="3" fontId="47" fillId="0" borderId="22" xfId="0" applyNumberFormat="1" applyFont="1" applyFill="1" applyBorder="1" applyAlignment="1" applyProtection="1">
      <alignment horizontal="center" vertical="center"/>
    </xf>
    <xf numFmtId="0" fontId="37" fillId="0" borderId="22" xfId="0" applyFont="1" applyFill="1" applyBorder="1" applyAlignment="1" applyProtection="1">
      <alignment vertical="center"/>
    </xf>
    <xf numFmtId="1" fontId="36" fillId="0" borderId="22" xfId="0" applyNumberFormat="1" applyFont="1" applyFill="1" applyBorder="1" applyAlignment="1" applyProtection="1">
      <alignment horizontal="center" vertical="center"/>
      <protection locked="0"/>
    </xf>
    <xf numFmtId="0" fontId="36" fillId="0" borderId="22" xfId="0" applyFont="1" applyFill="1" applyBorder="1" applyAlignment="1" applyProtection="1">
      <alignment vertical="center"/>
      <protection locked="0"/>
    </xf>
    <xf numFmtId="0" fontId="20" fillId="3" borderId="25" xfId="0" applyFont="1" applyFill="1" applyBorder="1" applyAlignment="1" applyProtection="1">
      <alignment horizontal="center" vertical="center"/>
      <protection locked="0"/>
    </xf>
    <xf numFmtId="4" fontId="22" fillId="3" borderId="25" xfId="0" applyNumberFormat="1" applyFont="1" applyFill="1" applyBorder="1" applyAlignment="1" applyProtection="1">
      <alignment horizontal="center" vertical="center"/>
      <protection locked="0"/>
    </xf>
    <xf numFmtId="4" fontId="22" fillId="0" borderId="25" xfId="0" applyNumberFormat="1" applyFont="1" applyFill="1" applyBorder="1" applyAlignment="1" applyProtection="1">
      <alignment horizontal="center" vertical="center"/>
      <protection locked="0"/>
    </xf>
    <xf numFmtId="4" fontId="14" fillId="3" borderId="25" xfId="0" applyNumberFormat="1" applyFont="1" applyFill="1" applyBorder="1" applyAlignment="1" applyProtection="1">
      <alignment horizontal="center" vertical="center"/>
      <protection locked="0"/>
    </xf>
    <xf numFmtId="4" fontId="22" fillId="3" borderId="24" xfId="0" applyNumberFormat="1" applyFont="1" applyFill="1" applyBorder="1" applyAlignment="1" applyProtection="1">
      <alignment horizontal="center" vertical="center"/>
      <protection locked="0"/>
    </xf>
    <xf numFmtId="0" fontId="36" fillId="0" borderId="63" xfId="0" applyFont="1" applyFill="1" applyBorder="1" applyAlignment="1" applyProtection="1">
      <alignment vertical="center"/>
      <protection locked="0"/>
    </xf>
    <xf numFmtId="0" fontId="36" fillId="0" borderId="19" xfId="0" applyFont="1" applyFill="1" applyBorder="1" applyAlignment="1" applyProtection="1">
      <alignment horizontal="center" vertical="center"/>
      <protection locked="0"/>
    </xf>
    <xf numFmtId="1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36" fillId="0" borderId="19" xfId="0" applyFont="1" applyFill="1" applyBorder="1" applyAlignment="1" applyProtection="1">
      <alignment vertical="center"/>
      <protection locked="0"/>
    </xf>
    <xf numFmtId="4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17" fillId="7" borderId="64" xfId="0" applyFont="1" applyFill="1" applyBorder="1" applyAlignment="1" applyProtection="1">
      <alignment vertical="center"/>
      <protection locked="0"/>
    </xf>
    <xf numFmtId="0" fontId="36" fillId="2" borderId="41" xfId="0" applyFont="1" applyFill="1" applyBorder="1" applyAlignment="1" applyProtection="1">
      <alignment horizontal="center" vertical="center"/>
      <protection locked="0"/>
    </xf>
    <xf numFmtId="0" fontId="36" fillId="0" borderId="41" xfId="0" applyFont="1" applyFill="1" applyBorder="1" applyAlignment="1" applyProtection="1">
      <alignment horizontal="center" vertical="center"/>
      <protection locked="0"/>
    </xf>
    <xf numFmtId="4" fontId="36" fillId="4" borderId="41" xfId="0" applyNumberFormat="1" applyFont="1" applyFill="1" applyBorder="1" applyAlignment="1" applyProtection="1">
      <alignment horizontal="center" vertical="center"/>
      <protection locked="0"/>
    </xf>
    <xf numFmtId="4" fontId="37" fillId="2" borderId="41" xfId="0" applyNumberFormat="1" applyFont="1" applyFill="1" applyBorder="1" applyAlignment="1" applyProtection="1">
      <alignment horizontal="center" vertical="center"/>
    </xf>
    <xf numFmtId="4" fontId="36" fillId="0" borderId="41" xfId="0" applyNumberFormat="1" applyFont="1" applyBorder="1" applyAlignment="1" applyProtection="1">
      <alignment horizontal="center" vertical="center"/>
      <protection locked="0"/>
    </xf>
    <xf numFmtId="3" fontId="36" fillId="0" borderId="41" xfId="0" applyNumberFormat="1" applyFont="1" applyBorder="1" applyAlignment="1" applyProtection="1">
      <alignment horizontal="center" vertical="center"/>
      <protection locked="0"/>
    </xf>
    <xf numFmtId="2" fontId="36" fillId="2" borderId="41" xfId="0" applyNumberFormat="1" applyFont="1" applyFill="1" applyBorder="1" applyAlignment="1" applyProtection="1">
      <alignment horizontal="center" vertical="center"/>
    </xf>
    <xf numFmtId="2" fontId="36" fillId="4" borderId="41" xfId="0" applyNumberFormat="1" applyFont="1" applyFill="1" applyBorder="1" applyAlignment="1" applyProtection="1">
      <alignment horizontal="center" vertical="center"/>
      <protection locked="0"/>
    </xf>
    <xf numFmtId="2" fontId="36" fillId="2" borderId="41" xfId="0" applyNumberFormat="1" applyFont="1" applyFill="1" applyBorder="1" applyAlignment="1" applyProtection="1">
      <alignment horizontal="center" vertical="center"/>
      <protection locked="0"/>
    </xf>
    <xf numFmtId="4" fontId="1" fillId="14" borderId="41" xfId="0" applyNumberFormat="1" applyFont="1" applyFill="1" applyBorder="1" applyAlignment="1" applyProtection="1">
      <alignment horizontal="center" vertical="center"/>
      <protection locked="0"/>
    </xf>
    <xf numFmtId="4" fontId="36" fillId="14" borderId="41" xfId="0" applyNumberFormat="1" applyFont="1" applyFill="1" applyBorder="1" applyAlignment="1" applyProtection="1">
      <alignment horizontal="center" vertical="center"/>
    </xf>
    <xf numFmtId="4" fontId="33" fillId="2" borderId="41" xfId="0" applyNumberFormat="1" applyFont="1" applyFill="1" applyBorder="1" applyAlignment="1" applyProtection="1">
      <alignment horizontal="center" vertical="center"/>
    </xf>
    <xf numFmtId="4" fontId="33" fillId="2" borderId="29" xfId="0" applyNumberFormat="1" applyFont="1" applyFill="1" applyBorder="1" applyAlignment="1" applyProtection="1">
      <alignment horizontal="center" vertical="center"/>
    </xf>
    <xf numFmtId="4" fontId="33" fillId="2" borderId="48" xfId="0" applyNumberFormat="1" applyFont="1" applyFill="1" applyBorder="1" applyAlignment="1" applyProtection="1">
      <alignment horizontal="center" vertical="center"/>
    </xf>
    <xf numFmtId="4" fontId="33" fillId="0" borderId="41" xfId="0" applyNumberFormat="1" applyFont="1" applyBorder="1" applyAlignment="1" applyProtection="1">
      <alignment horizontal="center" vertical="center"/>
      <protection locked="0"/>
    </xf>
    <xf numFmtId="4" fontId="20" fillId="13" borderId="66" xfId="0" applyNumberFormat="1" applyFont="1" applyFill="1" applyBorder="1" applyAlignment="1" applyProtection="1">
      <alignment horizontal="center" vertical="center"/>
      <protection locked="0"/>
    </xf>
    <xf numFmtId="0" fontId="20" fillId="3" borderId="12" xfId="0" applyFont="1" applyFill="1" applyBorder="1" applyAlignment="1" applyProtection="1">
      <alignment horizontal="center" vertical="center"/>
      <protection locked="0"/>
    </xf>
    <xf numFmtId="0" fontId="17" fillId="7" borderId="0" xfId="0" applyFont="1" applyFill="1" applyBorder="1" applyAlignment="1" applyProtection="1">
      <alignment vertical="center"/>
      <protection locked="0"/>
    </xf>
    <xf numFmtId="4" fontId="23" fillId="0" borderId="27" xfId="0" applyNumberFormat="1" applyFont="1" applyBorder="1" applyAlignment="1" applyProtection="1">
      <alignment horizontal="center" vertical="center"/>
      <protection locked="0"/>
    </xf>
    <xf numFmtId="0" fontId="20" fillId="3" borderId="42" xfId="0" applyFont="1" applyFill="1" applyBorder="1" applyAlignment="1" applyProtection="1">
      <alignment horizontal="center" vertical="center"/>
      <protection locked="0"/>
    </xf>
    <xf numFmtId="4" fontId="20" fillId="3" borderId="25" xfId="0" applyNumberFormat="1" applyFont="1" applyFill="1" applyBorder="1" applyAlignment="1" applyProtection="1">
      <alignment horizontal="center" vertical="center"/>
    </xf>
    <xf numFmtId="3" fontId="20" fillId="0" borderId="25" xfId="0" applyNumberFormat="1" applyFont="1" applyFill="1" applyBorder="1" applyAlignment="1" applyProtection="1">
      <alignment horizontal="center" vertical="center"/>
    </xf>
    <xf numFmtId="3" fontId="20" fillId="3" borderId="25" xfId="0" applyNumberFormat="1" applyFont="1" applyFill="1" applyBorder="1" applyAlignment="1" applyProtection="1">
      <alignment horizontal="center" vertical="center"/>
    </xf>
    <xf numFmtId="0" fontId="20" fillId="0" borderId="19" xfId="0" applyFont="1" applyFill="1" applyBorder="1" applyAlignment="1" applyProtection="1">
      <alignment horizontal="center" vertical="center"/>
      <protection locked="0"/>
    </xf>
    <xf numFmtId="3" fontId="36" fillId="0" borderId="19" xfId="0" applyNumberFormat="1" applyFont="1" applyFill="1" applyBorder="1" applyAlignment="1" applyProtection="1">
      <alignment horizontal="center" vertical="center"/>
      <protection locked="0"/>
    </xf>
    <xf numFmtId="166" fontId="37" fillId="0" borderId="22" xfId="0" quotePrefix="1" applyNumberFormat="1" applyFont="1" applyFill="1" applyBorder="1" applyAlignment="1" applyProtection="1">
      <alignment horizontal="center" vertical="center"/>
      <protection locked="0"/>
    </xf>
    <xf numFmtId="166" fontId="37" fillId="0" borderId="19" xfId="0" quotePrefix="1" applyNumberFormat="1" applyFont="1" applyFill="1" applyBorder="1" applyAlignment="1" applyProtection="1">
      <alignment horizontal="center" vertical="center"/>
      <protection locked="0"/>
    </xf>
    <xf numFmtId="0" fontId="17" fillId="7" borderId="13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4" fontId="36" fillId="0" borderId="22" xfId="0" applyNumberFormat="1" applyFont="1" applyFill="1" applyBorder="1" applyAlignment="1" applyProtection="1">
      <alignment horizontal="center" vertical="center"/>
      <protection locked="0"/>
    </xf>
    <xf numFmtId="14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Border="1" applyAlignment="1" applyProtection="1">
      <alignment horizontal="center" vertical="center"/>
      <protection locked="0"/>
    </xf>
    <xf numFmtId="14" fontId="19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2" xfId="0" applyBorder="1"/>
    <xf numFmtId="14" fontId="0" fillId="0" borderId="0" xfId="0" applyNumberFormat="1" applyAlignment="1">
      <alignment horizontal="center" vertical="center"/>
    </xf>
    <xf numFmtId="14" fontId="44" fillId="17" borderId="1" xfId="0" applyNumberFormat="1" applyFont="1" applyFill="1" applyBorder="1" applyAlignment="1">
      <alignment horizontal="center" vertical="center"/>
    </xf>
    <xf numFmtId="14" fontId="44" fillId="17" borderId="33" xfId="0" applyNumberFormat="1" applyFont="1" applyFill="1" applyBorder="1" applyAlignment="1">
      <alignment horizontal="center" vertical="center"/>
    </xf>
    <xf numFmtId="14" fontId="0" fillId="43" borderId="1" xfId="0" applyNumberFormat="1" applyFill="1" applyBorder="1" applyAlignment="1">
      <alignment horizontal="center" vertical="center"/>
    </xf>
    <xf numFmtId="14" fontId="0" fillId="43" borderId="63" xfId="0" applyNumberFormat="1" applyFill="1" applyBorder="1" applyAlignment="1">
      <alignment horizontal="center" vertical="center"/>
    </xf>
    <xf numFmtId="3" fontId="87" fillId="0" borderId="1" xfId="0" applyNumberFormat="1" applyFont="1" applyFill="1" applyBorder="1"/>
    <xf numFmtId="0" fontId="87" fillId="0" borderId="1" xfId="0" applyFont="1" applyFill="1" applyBorder="1"/>
    <xf numFmtId="14" fontId="87" fillId="0" borderId="1" xfId="0" applyNumberFormat="1" applyFont="1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0" fontId="87" fillId="0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87" fillId="0" borderId="63" xfId="0" applyNumberFormat="1" applyFont="1" applyFill="1" applyBorder="1"/>
    <xf numFmtId="0" fontId="87" fillId="0" borderId="63" xfId="0" applyFont="1" applyFill="1" applyBorder="1"/>
    <xf numFmtId="14" fontId="87" fillId="0" borderId="63" xfId="0" applyNumberFormat="1" applyFont="1" applyFill="1" applyBorder="1" applyAlignment="1">
      <alignment horizontal="center" vertical="center"/>
    </xf>
    <xf numFmtId="0" fontId="87" fillId="0" borderId="63" xfId="0" applyFont="1" applyFill="1" applyBorder="1" applyAlignment="1">
      <alignment horizontal="center" vertical="center"/>
    </xf>
    <xf numFmtId="0" fontId="0" fillId="43" borderId="63" xfId="0" applyFill="1" applyBorder="1" applyAlignment="1">
      <alignment horizontal="center" vertical="center"/>
    </xf>
    <xf numFmtId="4" fontId="20" fillId="0" borderId="9" xfId="0" applyNumberFormat="1" applyFont="1" applyFill="1" applyBorder="1" applyAlignment="1" applyProtection="1">
      <alignment horizontal="center" vertical="center"/>
      <protection locked="0"/>
    </xf>
    <xf numFmtId="0" fontId="87" fillId="0" borderId="1" xfId="0" applyFont="1" applyFill="1" applyBorder="1" applyAlignment="1">
      <alignment horizontal="left"/>
    </xf>
    <xf numFmtId="0" fontId="87" fillId="0" borderId="63" xfId="0" applyFont="1" applyFill="1" applyBorder="1" applyAlignment="1">
      <alignment horizontal="left"/>
    </xf>
    <xf numFmtId="0" fontId="44" fillId="17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3" fontId="90" fillId="8" borderId="1" xfId="0" applyNumberFormat="1" applyFont="1" applyFill="1" applyBorder="1"/>
    <xf numFmtId="0" fontId="89" fillId="8" borderId="1" xfId="0" applyFont="1" applyFill="1" applyBorder="1"/>
    <xf numFmtId="0" fontId="0" fillId="8" borderId="63" xfId="0" applyFill="1" applyBorder="1"/>
    <xf numFmtId="0" fontId="88" fillId="8" borderId="63" xfId="0" applyFont="1" applyFill="1" applyBorder="1" applyAlignment="1">
      <alignment horizontal="center"/>
    </xf>
    <xf numFmtId="0" fontId="89" fillId="8" borderId="2" xfId="0" applyFont="1" applyFill="1" applyBorder="1"/>
    <xf numFmtId="0" fontId="88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4" fillId="17" borderId="33" xfId="0" applyFont="1" applyFill="1" applyBorder="1" applyAlignment="1">
      <alignment horizontal="center"/>
    </xf>
    <xf numFmtId="0" fontId="0" fillId="43" borderId="1" xfId="0" applyFill="1" applyBorder="1" applyAlignment="1">
      <alignment horizontal="center"/>
    </xf>
    <xf numFmtId="0" fontId="0" fillId="43" borderId="63" xfId="0" applyFill="1" applyBorder="1" applyAlignment="1">
      <alignment horizontal="center"/>
    </xf>
    <xf numFmtId="0" fontId="0" fillId="17" borderId="1" xfId="0" applyFill="1" applyBorder="1"/>
    <xf numFmtId="0" fontId="0" fillId="43" borderId="63" xfId="0" applyFont="1" applyFill="1" applyBorder="1"/>
    <xf numFmtId="0" fontId="91" fillId="8" borderId="0" xfId="0" applyFont="1" applyFill="1"/>
    <xf numFmtId="0" fontId="91" fillId="8" borderId="0" xfId="0" applyFont="1" applyFill="1" applyAlignment="1">
      <alignment horizontal="center"/>
    </xf>
    <xf numFmtId="0" fontId="90" fillId="8" borderId="63" xfId="0" applyFont="1" applyFill="1" applyBorder="1"/>
    <xf numFmtId="0" fontId="0" fillId="8" borderId="63" xfId="0" applyFill="1" applyBorder="1" applyAlignment="1">
      <alignment horizontal="center" vertical="center"/>
    </xf>
    <xf numFmtId="14" fontId="0" fillId="8" borderId="63" xfId="0" applyNumberFormat="1" applyFill="1" applyBorder="1" applyAlignment="1">
      <alignment horizontal="center" vertical="center"/>
    </xf>
    <xf numFmtId="0" fontId="0" fillId="43" borderId="1" xfId="0" applyFont="1" applyFill="1" applyBorder="1" applyAlignment="1">
      <alignment horizontal="center"/>
    </xf>
    <xf numFmtId="0" fontId="36" fillId="0" borderId="23" xfId="0" applyFont="1" applyBorder="1" applyAlignment="1" applyProtection="1">
      <alignment horizontal="center" vertical="center"/>
      <protection locked="0"/>
    </xf>
    <xf numFmtId="0" fontId="20" fillId="3" borderId="25" xfId="0" applyFont="1" applyFill="1" applyBorder="1" applyAlignment="1" applyProtection="1">
      <alignment horizontal="left" vertical="center"/>
      <protection locked="0"/>
    </xf>
    <xf numFmtId="0" fontId="20" fillId="3" borderId="25" xfId="0" applyFont="1" applyFill="1" applyBorder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36" fillId="8" borderId="1" xfId="0" applyNumberFormat="1" applyFont="1" applyFill="1" applyBorder="1" applyAlignment="1" applyProtection="1">
      <alignment horizontal="right" vertical="center"/>
      <protection locked="0"/>
    </xf>
    <xf numFmtId="4" fontId="20" fillId="8" borderId="1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3" fontId="36" fillId="0" borderId="27" xfId="0" applyNumberFormat="1" applyFont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horizontal="center" vertical="center"/>
    </xf>
    <xf numFmtId="14" fontId="12" fillId="4" borderId="0" xfId="0" applyNumberFormat="1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left" vertical="center" wrapText="1"/>
      <protection locked="0"/>
    </xf>
    <xf numFmtId="0" fontId="12" fillId="0" borderId="0" xfId="0" applyFont="1" applyFill="1" applyAlignment="1" applyProtection="1">
      <alignment vertical="center"/>
      <protection locked="0"/>
    </xf>
    <xf numFmtId="0" fontId="12" fillId="4" borderId="0" xfId="0" applyFont="1" applyFill="1" applyBorder="1" applyAlignment="1" applyProtection="1">
      <alignment vertical="center"/>
      <protection locked="0"/>
    </xf>
    <xf numFmtId="0" fontId="1" fillId="4" borderId="0" xfId="0" applyFont="1" applyFill="1" applyAlignment="1" applyProtection="1">
      <alignment vertical="center"/>
      <protection locked="0"/>
    </xf>
    <xf numFmtId="14" fontId="85" fillId="4" borderId="0" xfId="0" applyNumberFormat="1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vertical="center"/>
      <protection locked="0"/>
    </xf>
    <xf numFmtId="0" fontId="39" fillId="11" borderId="37" xfId="0" applyFont="1" applyFill="1" applyBorder="1" applyAlignment="1" applyProtection="1">
      <alignment horizontal="center" vertical="center"/>
      <protection locked="0"/>
    </xf>
    <xf numFmtId="0" fontId="36" fillId="11" borderId="38" xfId="0" applyFont="1" applyFill="1" applyBorder="1" applyAlignment="1" applyProtection="1">
      <alignment vertical="center"/>
      <protection locked="0"/>
    </xf>
    <xf numFmtId="0" fontId="20" fillId="11" borderId="1" xfId="0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>
      <alignment horizontal="center" vertical="center"/>
      <protection locked="0"/>
    </xf>
    <xf numFmtId="0" fontId="75" fillId="11" borderId="1" xfId="0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vertical="center"/>
      <protection locked="0"/>
    </xf>
    <xf numFmtId="0" fontId="47" fillId="0" borderId="0" xfId="0" applyFont="1" applyFill="1" applyAlignment="1" applyProtection="1">
      <alignment vertical="center"/>
    </xf>
    <xf numFmtId="0" fontId="81" fillId="0" borderId="0" xfId="0" applyFont="1" applyFill="1" applyAlignment="1" applyProtection="1">
      <alignment vertical="center"/>
    </xf>
    <xf numFmtId="4" fontId="28" fillId="11" borderId="10" xfId="0" applyNumberFormat="1" applyFont="1" applyFill="1" applyBorder="1" applyAlignment="1" applyProtection="1">
      <alignment horizontal="center" vertical="center" textRotation="255" wrapText="1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14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4" fontId="36" fillId="4" borderId="1" xfId="0" applyNumberFormat="1" applyFont="1" applyFill="1" applyBorder="1" applyAlignment="1" applyProtection="1">
      <alignment vertical="center"/>
      <protection locked="0"/>
    </xf>
    <xf numFmtId="4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Font="1" applyFill="1" applyBorder="1" applyAlignment="1" applyProtection="1">
      <alignment horizontal="center" vertical="center"/>
      <protection locked="0"/>
    </xf>
    <xf numFmtId="2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vertical="center"/>
      <protection locked="0"/>
    </xf>
    <xf numFmtId="0" fontId="10" fillId="7" borderId="65" xfId="0" applyFont="1" applyFill="1" applyBorder="1" applyAlignment="1" applyProtection="1">
      <alignment horizontal="center" vertical="center"/>
      <protection locked="0"/>
    </xf>
    <xf numFmtId="0" fontId="37" fillId="0" borderId="41" xfId="0" applyFont="1" applyFill="1" applyBorder="1" applyAlignment="1" applyProtection="1">
      <alignment vertical="center"/>
    </xf>
    <xf numFmtId="14" fontId="36" fillId="0" borderId="41" xfId="0" applyNumberFormat="1" applyFont="1" applyFill="1" applyBorder="1" applyAlignment="1" applyProtection="1">
      <alignment horizontal="center" vertical="center"/>
      <protection locked="0"/>
    </xf>
    <xf numFmtId="1" fontId="36" fillId="2" borderId="41" xfId="0" applyNumberFormat="1" applyFont="1" applyFill="1" applyBorder="1" applyAlignment="1" applyProtection="1">
      <alignment horizontal="center" vertical="center"/>
    </xf>
    <xf numFmtId="1" fontId="36" fillId="0" borderId="41" xfId="0" applyNumberFormat="1" applyFont="1" applyFill="1" applyBorder="1" applyAlignment="1" applyProtection="1">
      <alignment horizontal="center" vertical="center"/>
      <protection locked="0"/>
    </xf>
    <xf numFmtId="1" fontId="33" fillId="4" borderId="41" xfId="0" applyNumberFormat="1" applyFont="1" applyFill="1" applyBorder="1" applyAlignment="1" applyProtection="1">
      <alignment horizontal="left" vertical="center"/>
      <protection locked="0"/>
    </xf>
    <xf numFmtId="1" fontId="36" fillId="4" borderId="41" xfId="0" applyNumberFormat="1" applyFont="1" applyFill="1" applyBorder="1" applyAlignment="1" applyProtection="1">
      <alignment horizontal="center" vertical="center"/>
      <protection locked="0"/>
    </xf>
    <xf numFmtId="0" fontId="36" fillId="0" borderId="41" xfId="0" applyFont="1" applyFill="1" applyBorder="1" applyAlignment="1" applyProtection="1">
      <alignment vertical="center"/>
      <protection locked="0"/>
    </xf>
    <xf numFmtId="0" fontId="36" fillId="0" borderId="18" xfId="0" applyFont="1" applyFill="1" applyBorder="1" applyAlignment="1" applyProtection="1">
      <alignment horizontal="center" vertical="center"/>
      <protection locked="0"/>
    </xf>
    <xf numFmtId="4" fontId="36" fillId="0" borderId="1" xfId="0" applyNumberFormat="1" applyFont="1" applyFill="1" applyBorder="1" applyAlignment="1" applyProtection="1">
      <alignment vertical="center"/>
      <protection locked="0"/>
    </xf>
    <xf numFmtId="4" fontId="36" fillId="0" borderId="1" xfId="0" applyNumberFormat="1" applyFont="1" applyFill="1" applyBorder="1" applyAlignment="1" applyProtection="1">
      <alignment horizontal="center" vertical="center"/>
      <protection locked="0"/>
    </xf>
    <xf numFmtId="0" fontId="36" fillId="0" borderId="1" xfId="0" applyFont="1" applyFill="1" applyBorder="1" applyAlignment="1" applyProtection="1">
      <alignment horizontal="center" vertical="center"/>
      <protection locked="0"/>
    </xf>
    <xf numFmtId="4" fontId="12" fillId="0" borderId="0" xfId="0" applyNumberFormat="1" applyFont="1" applyFill="1" applyAlignment="1" applyProtection="1">
      <alignment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3" borderId="31" xfId="0" applyFont="1" applyFill="1" applyBorder="1" applyAlignment="1" applyProtection="1">
      <alignment horizontal="left" vertical="center"/>
      <protection locked="0"/>
    </xf>
    <xf numFmtId="0" fontId="20" fillId="3" borderId="31" xfId="0" applyFont="1" applyFill="1" applyBorder="1" applyAlignment="1" applyProtection="1">
      <alignment vertical="center"/>
      <protection locked="0"/>
    </xf>
    <xf numFmtId="0" fontId="20" fillId="3" borderId="31" xfId="0" applyFont="1" applyFill="1" applyBorder="1" applyAlignment="1" applyProtection="1">
      <alignment horizontal="center" vertical="center"/>
      <protection locked="0"/>
    </xf>
    <xf numFmtId="0" fontId="20" fillId="3" borderId="31" xfId="0" applyFont="1" applyFill="1" applyBorder="1" applyAlignment="1" applyProtection="1">
      <alignment horizontal="left" vertical="center" wrapText="1"/>
      <protection locked="0"/>
    </xf>
    <xf numFmtId="4" fontId="12" fillId="4" borderId="0" xfId="0" applyNumberFormat="1" applyFont="1" applyFill="1" applyBorder="1" applyAlignment="1" applyProtection="1">
      <alignment vertical="center"/>
      <protection locked="0"/>
    </xf>
    <xf numFmtId="4" fontId="12" fillId="0" borderId="0" xfId="0" applyNumberFormat="1" applyFont="1" applyFill="1" applyBorder="1" applyAlignment="1" applyProtection="1">
      <alignment vertical="center"/>
      <protection locked="0"/>
    </xf>
    <xf numFmtId="0" fontId="36" fillId="41" borderId="18" xfId="0" applyFont="1" applyFill="1" applyBorder="1" applyAlignment="1" applyProtection="1">
      <alignment horizontal="center" vertical="center"/>
      <protection locked="0"/>
    </xf>
    <xf numFmtId="4" fontId="12" fillId="41" borderId="0" xfId="0" applyNumberFormat="1" applyFont="1" applyFill="1" applyBorder="1" applyAlignment="1" applyProtection="1">
      <alignment vertical="center"/>
      <protection locked="0"/>
    </xf>
    <xf numFmtId="4" fontId="12" fillId="41" borderId="0" xfId="0" applyNumberFormat="1" applyFont="1" applyFill="1" applyAlignment="1" applyProtection="1">
      <alignment vertical="center"/>
      <protection locked="0"/>
    </xf>
    <xf numFmtId="0" fontId="12" fillId="41" borderId="0" xfId="0" applyFont="1" applyFill="1" applyAlignment="1" applyProtection="1">
      <alignment vertical="center"/>
      <protection locked="0"/>
    </xf>
    <xf numFmtId="0" fontId="36" fillId="0" borderId="29" xfId="0" applyFont="1" applyBorder="1" applyAlignment="1" applyProtection="1">
      <alignment horizontal="center" vertical="center"/>
      <protection locked="0"/>
    </xf>
    <xf numFmtId="0" fontId="20" fillId="3" borderId="45" xfId="0" applyFont="1" applyFill="1" applyBorder="1" applyAlignment="1" applyProtection="1">
      <alignment horizontal="left" vertical="center"/>
      <protection locked="0"/>
    </xf>
    <xf numFmtId="0" fontId="20" fillId="3" borderId="44" xfId="0" applyFont="1" applyFill="1" applyBorder="1" applyAlignment="1" applyProtection="1">
      <alignment vertical="center"/>
      <protection locked="0"/>
    </xf>
    <xf numFmtId="0" fontId="20" fillId="3" borderId="44" xfId="0" applyFont="1" applyFill="1" applyBorder="1" applyAlignment="1" applyProtection="1">
      <alignment horizontal="center" vertical="center"/>
      <protection locked="0"/>
    </xf>
    <xf numFmtId="0" fontId="49" fillId="3" borderId="12" xfId="0" applyFont="1" applyFill="1" applyBorder="1" applyAlignment="1" applyProtection="1">
      <alignment horizontal="left" vertical="center"/>
    </xf>
    <xf numFmtId="0" fontId="20" fillId="3" borderId="44" xfId="0" applyFont="1" applyFill="1" applyBorder="1" applyAlignment="1" applyProtection="1">
      <alignment horizontal="left" vertical="center" wrapText="1"/>
      <protection locked="0"/>
    </xf>
    <xf numFmtId="4" fontId="36" fillId="8" borderId="1" xfId="0" applyNumberFormat="1" applyFont="1" applyFill="1" applyBorder="1" applyAlignment="1" applyProtection="1">
      <alignment vertical="center"/>
      <protection locked="0"/>
    </xf>
    <xf numFmtId="4" fontId="36" fillId="8" borderId="1" xfId="0" applyNumberFormat="1" applyFont="1" applyFill="1" applyBorder="1" applyAlignment="1" applyProtection="1">
      <alignment horizontal="center" vertical="center"/>
      <protection locked="0"/>
    </xf>
    <xf numFmtId="0" fontId="17" fillId="7" borderId="5" xfId="0" applyFont="1" applyFill="1" applyBorder="1" applyAlignment="1" applyProtection="1">
      <alignment vertical="center"/>
      <protection locked="0"/>
    </xf>
    <xf numFmtId="0" fontId="17" fillId="7" borderId="65" xfId="0" applyFont="1" applyFill="1" applyBorder="1" applyAlignment="1" applyProtection="1">
      <alignment horizontal="center" vertical="center"/>
      <protection locked="0"/>
    </xf>
    <xf numFmtId="0" fontId="36" fillId="0" borderId="22" xfId="0" applyNumberFormat="1" applyFont="1" applyFill="1" applyBorder="1" applyAlignment="1" applyProtection="1">
      <alignment horizontal="left" vertical="center"/>
      <protection locked="0"/>
    </xf>
    <xf numFmtId="0" fontId="36" fillId="0" borderId="19" xfId="0" applyNumberFormat="1" applyFont="1" applyFill="1" applyBorder="1" applyAlignment="1" applyProtection="1">
      <alignment horizontal="left" vertical="center"/>
      <protection locked="0"/>
    </xf>
    <xf numFmtId="0" fontId="36" fillId="0" borderId="0" xfId="0" applyFont="1" applyBorder="1" applyAlignment="1" applyProtection="1">
      <alignment horizontal="center" vertical="center"/>
      <protection locked="0"/>
    </xf>
    <xf numFmtId="0" fontId="20" fillId="3" borderId="12" xfId="0" applyFont="1" applyFill="1" applyBorder="1" applyAlignment="1" applyProtection="1">
      <alignment horizontal="left" vertical="center"/>
      <protection locked="0"/>
    </xf>
    <xf numFmtId="0" fontId="20" fillId="3" borderId="12" xfId="0" applyFont="1" applyFill="1" applyBorder="1" applyAlignment="1" applyProtection="1">
      <alignment vertical="center"/>
      <protection locked="0"/>
    </xf>
    <xf numFmtId="0" fontId="20" fillId="3" borderId="12" xfId="0" applyFont="1" applyFill="1" applyBorder="1" applyAlignment="1" applyProtection="1">
      <alignment horizontal="left" vertical="center" wrapText="1"/>
      <protection locked="0"/>
    </xf>
    <xf numFmtId="0" fontId="17" fillId="2" borderId="2" xfId="0" applyFont="1" applyFill="1" applyBorder="1" applyAlignment="1" applyProtection="1">
      <alignment horizontal="center" vertical="center"/>
      <protection locked="0"/>
    </xf>
    <xf numFmtId="0" fontId="20" fillId="2" borderId="3" xfId="0" applyFont="1" applyFill="1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left" vertical="center" wrapText="1"/>
      <protection locked="0"/>
    </xf>
    <xf numFmtId="4" fontId="23" fillId="4" borderId="0" xfId="0" applyNumberFormat="1" applyFont="1" applyFill="1" applyAlignment="1" applyProtection="1">
      <alignment horizontal="center" vertical="center"/>
      <protection locked="0"/>
    </xf>
    <xf numFmtId="4" fontId="38" fillId="8" borderId="1" xfId="0" applyNumberFormat="1" applyFont="1" applyFill="1" applyBorder="1" applyAlignment="1" applyProtection="1">
      <alignment vertical="center"/>
      <protection locked="0"/>
    </xf>
    <xf numFmtId="4" fontId="38" fillId="8" borderId="1" xfId="0" applyNumberFormat="1" applyFont="1" applyFill="1" applyBorder="1" applyAlignment="1" applyProtection="1">
      <alignment horizontal="center" vertical="center"/>
      <protection locked="0"/>
    </xf>
    <xf numFmtId="0" fontId="45" fillId="41" borderId="0" xfId="0" applyFont="1" applyFill="1" applyAlignment="1" applyProtection="1">
      <alignment horizontal="left" vertical="center"/>
    </xf>
    <xf numFmtId="0" fontId="46" fillId="41" borderId="0" xfId="0" applyFont="1" applyFill="1" applyAlignment="1" applyProtection="1">
      <alignment horizontal="center" vertical="center"/>
    </xf>
    <xf numFmtId="0" fontId="37" fillId="41" borderId="0" xfId="0" applyFont="1" applyFill="1" applyAlignment="1" applyProtection="1">
      <alignment vertical="center"/>
    </xf>
    <xf numFmtId="0" fontId="36" fillId="41" borderId="0" xfId="0" applyFont="1" applyFill="1" applyAlignment="1" applyProtection="1">
      <alignment horizontal="center" vertical="center"/>
      <protection locked="0"/>
    </xf>
    <xf numFmtId="0" fontId="12" fillId="4" borderId="43" xfId="0" applyFont="1" applyFill="1" applyBorder="1" applyAlignment="1" applyProtection="1">
      <alignment horizontal="center" vertical="center"/>
      <protection locked="0"/>
    </xf>
    <xf numFmtId="0" fontId="76" fillId="0" borderId="5" xfId="0" applyFont="1" applyFill="1" applyBorder="1" applyAlignment="1" applyProtection="1">
      <alignment vertical="center"/>
    </xf>
    <xf numFmtId="0" fontId="86" fillId="4" borderId="5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14" fontId="12" fillId="4" borderId="13" xfId="0" applyNumberFormat="1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Border="1" applyAlignment="1" applyProtection="1">
      <alignment vertical="center"/>
      <protection locked="0"/>
    </xf>
    <xf numFmtId="0" fontId="36" fillId="4" borderId="0" xfId="0" applyFont="1" applyFill="1" applyBorder="1" applyAlignment="1" applyProtection="1">
      <alignment horizontal="center" vertical="center"/>
      <protection locked="0"/>
    </xf>
    <xf numFmtId="14" fontId="12" fillId="4" borderId="65" xfId="0" applyNumberFormat="1" applyFont="1" applyFill="1" applyBorder="1" applyAlignment="1" applyProtection="1">
      <alignment horizontal="center" vertical="center"/>
      <protection locked="0"/>
    </xf>
    <xf numFmtId="0" fontId="86" fillId="4" borderId="64" xfId="0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horizontal="center" vertical="center"/>
    </xf>
    <xf numFmtId="0" fontId="12" fillId="4" borderId="42" xfId="0" applyFont="1" applyFill="1" applyBorder="1" applyAlignment="1" applyProtection="1">
      <alignment horizontal="center" vertical="center"/>
      <protection locked="0"/>
    </xf>
    <xf numFmtId="0" fontId="12" fillId="4" borderId="31" xfId="0" applyFont="1" applyFill="1" applyBorder="1" applyAlignment="1" applyProtection="1">
      <alignment vertical="center"/>
      <protection locked="0"/>
    </xf>
    <xf numFmtId="0" fontId="12" fillId="4" borderId="31" xfId="0" applyFont="1" applyFill="1" applyBorder="1" applyAlignment="1" applyProtection="1">
      <alignment horizontal="center" vertical="center"/>
      <protection locked="0"/>
    </xf>
    <xf numFmtId="14" fontId="12" fillId="4" borderId="40" xfId="0" applyNumberFormat="1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vertical="center"/>
    </xf>
    <xf numFmtId="0" fontId="76" fillId="0" borderId="31" xfId="0" applyFont="1" applyFill="1" applyBorder="1" applyAlignment="1" applyProtection="1">
      <alignment vertical="center"/>
    </xf>
    <xf numFmtId="0" fontId="78" fillId="4" borderId="43" xfId="0" applyFont="1" applyFill="1" applyBorder="1" applyAlignment="1" applyProtection="1">
      <alignment horizontal="center" vertical="center"/>
      <protection locked="0"/>
    </xf>
    <xf numFmtId="0" fontId="36" fillId="4" borderId="5" xfId="0" applyFont="1" applyFill="1" applyBorder="1" applyAlignment="1" applyProtection="1">
      <alignment vertical="center"/>
      <protection locked="0"/>
    </xf>
    <xf numFmtId="0" fontId="36" fillId="4" borderId="13" xfId="0" applyFont="1" applyFill="1" applyBorder="1" applyAlignment="1" applyProtection="1">
      <alignment horizontal="center" vertical="center"/>
      <protection locked="0"/>
    </xf>
    <xf numFmtId="0" fontId="36" fillId="4" borderId="31" xfId="0" applyFont="1" applyFill="1" applyBorder="1" applyAlignment="1" applyProtection="1">
      <alignment vertical="center"/>
      <protection locked="0"/>
    </xf>
    <xf numFmtId="0" fontId="36" fillId="4" borderId="40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36" fillId="4" borderId="0" xfId="0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 wrapText="1"/>
    </xf>
    <xf numFmtId="0" fontId="12" fillId="0" borderId="0" xfId="0" applyFont="1" applyFill="1" applyAlignment="1">
      <alignment vertical="center"/>
    </xf>
    <xf numFmtId="4" fontId="12" fillId="4" borderId="0" xfId="0" applyNumberFormat="1" applyFont="1" applyFill="1" applyAlignment="1">
      <alignment vertical="center"/>
    </xf>
    <xf numFmtId="0" fontId="1" fillId="4" borderId="63" xfId="0" applyFont="1" applyFill="1" applyBorder="1" applyAlignment="1">
      <alignment horizontal="left" vertical="center"/>
    </xf>
    <xf numFmtId="0" fontId="1" fillId="8" borderId="63" xfId="0" applyFont="1" applyFill="1" applyBorder="1" applyAlignment="1">
      <alignment horizontal="left" vertical="center"/>
    </xf>
    <xf numFmtId="43" fontId="1" fillId="8" borderId="1" xfId="1" applyFont="1" applyFill="1" applyBorder="1" applyAlignment="1">
      <alignment horizontal="left" vertical="center"/>
    </xf>
    <xf numFmtId="0" fontId="7" fillId="4" borderId="63" xfId="0" applyFont="1" applyFill="1" applyBorder="1" applyAlignment="1">
      <alignment horizontal="left" vertical="center"/>
    </xf>
    <xf numFmtId="0" fontId="10" fillId="4" borderId="63" xfId="0" applyFont="1" applyFill="1" applyBorder="1" applyAlignment="1">
      <alignment horizontal="left" vertical="center"/>
    </xf>
    <xf numFmtId="0" fontId="10" fillId="4" borderId="63" xfId="0" applyFont="1" applyFill="1" applyBorder="1" applyAlignment="1">
      <alignment horizontal="left" vertical="center" wrapText="1"/>
    </xf>
    <xf numFmtId="4" fontId="16" fillId="2" borderId="11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7" fillId="6" borderId="6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Border="1" applyAlignment="1" applyProtection="1">
      <alignment horizontal="center" vertical="center"/>
    </xf>
    <xf numFmtId="4" fontId="22" fillId="3" borderId="25" xfId="0" applyNumberFormat="1" applyFont="1" applyFill="1" applyBorder="1" applyAlignment="1" applyProtection="1">
      <alignment horizontal="center" vertical="center"/>
    </xf>
    <xf numFmtId="4" fontId="36" fillId="0" borderId="41" xfId="0" applyNumberFormat="1" applyFont="1" applyBorder="1" applyAlignment="1" applyProtection="1">
      <alignment horizontal="center" vertical="center"/>
    </xf>
    <xf numFmtId="4" fontId="23" fillId="0" borderId="27" xfId="0" applyNumberFormat="1" applyFont="1" applyBorder="1" applyAlignment="1" applyProtection="1">
      <alignment horizontal="center" vertical="center"/>
    </xf>
    <xf numFmtId="4" fontId="23" fillId="0" borderId="0" xfId="0" applyNumberFormat="1" applyFont="1" applyBorder="1" applyAlignment="1" applyProtection="1">
      <alignment horizontal="center" vertical="center"/>
    </xf>
    <xf numFmtId="4" fontId="23" fillId="4" borderId="0" xfId="0" applyNumberFormat="1" applyFont="1" applyFill="1" applyBorder="1" applyAlignment="1" applyProtection="1">
      <alignment horizontal="center" vertical="center"/>
    </xf>
    <xf numFmtId="0" fontId="12" fillId="4" borderId="0" xfId="0" applyFont="1" applyFill="1" applyAlignment="1" applyProtection="1">
      <alignment horizontal="center" vertical="center"/>
    </xf>
    <xf numFmtId="4" fontId="17" fillId="6" borderId="6" xfId="0" applyNumberFormat="1" applyFont="1" applyFill="1" applyBorder="1" applyAlignment="1" applyProtection="1">
      <alignment horizontal="center" vertical="center"/>
    </xf>
    <xf numFmtId="0" fontId="92" fillId="42" borderId="11" xfId="0" applyFont="1" applyFill="1" applyBorder="1" applyAlignment="1" applyProtection="1">
      <alignment horizontal="center" vertical="center" wrapText="1"/>
    </xf>
    <xf numFmtId="0" fontId="0" fillId="0" borderId="0" xfId="0" applyFill="1"/>
    <xf numFmtId="4" fontId="22" fillId="3" borderId="61" xfId="11" applyNumberFormat="1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0" fontId="8" fillId="0" borderId="0" xfId="115"/>
    <xf numFmtId="0" fontId="98" fillId="0" borderId="0" xfId="115" applyFont="1" applyFill="1" applyBorder="1" applyAlignment="1">
      <alignment horizontal="center" vertical="center" wrapText="1"/>
    </xf>
    <xf numFmtId="0" fontId="52" fillId="0" borderId="0" xfId="115" applyFont="1"/>
    <xf numFmtId="0" fontId="100" fillId="0" borderId="7" xfId="0" applyFont="1" applyFill="1" applyBorder="1" applyAlignment="1" applyProtection="1">
      <alignment horizontal="right"/>
    </xf>
    <xf numFmtId="4" fontId="8" fillId="0" borderId="0" xfId="115" applyNumberFormat="1" applyFill="1" applyBorder="1"/>
    <xf numFmtId="4" fontId="8" fillId="0" borderId="0" xfId="115" applyNumberFormat="1"/>
    <xf numFmtId="0" fontId="8" fillId="0" borderId="0" xfId="115" applyBorder="1" applyAlignment="1">
      <alignment horizontal="center"/>
    </xf>
    <xf numFmtId="0" fontId="100" fillId="0" borderId="0" xfId="0" applyFont="1" applyFill="1" applyBorder="1" applyAlignment="1" applyProtection="1">
      <alignment horizontal="right"/>
    </xf>
    <xf numFmtId="3" fontId="8" fillId="0" borderId="0" xfId="115" applyNumberFormat="1" applyBorder="1"/>
    <xf numFmtId="4" fontId="44" fillId="0" borderId="0" xfId="115" applyNumberFormat="1" applyFont="1" applyBorder="1"/>
    <xf numFmtId="0" fontId="101" fillId="0" borderId="0" xfId="115" applyFont="1" applyAlignment="1">
      <alignment horizontal="center"/>
    </xf>
    <xf numFmtId="0" fontId="100" fillId="0" borderId="0" xfId="116" applyFont="1" applyFill="1" applyAlignment="1" applyProtection="1">
      <alignment horizontal="center"/>
    </xf>
    <xf numFmtId="0" fontId="20" fillId="0" borderId="7" xfId="0" applyFont="1" applyFill="1" applyBorder="1" applyAlignment="1" applyProtection="1">
      <alignment horizontal="right"/>
      <protection locked="0"/>
    </xf>
    <xf numFmtId="0" fontId="20" fillId="0" borderId="0" xfId="0" applyFont="1" applyFill="1" applyBorder="1" applyAlignment="1" applyProtection="1">
      <alignment horizontal="right"/>
      <protection locked="0"/>
    </xf>
    <xf numFmtId="0" fontId="102" fillId="0" borderId="0" xfId="115" applyFont="1" applyAlignment="1">
      <alignment horizontal="right"/>
    </xf>
    <xf numFmtId="4" fontId="44" fillId="0" borderId="0" xfId="115" applyNumberFormat="1" applyFont="1" applyFill="1" applyBorder="1"/>
    <xf numFmtId="14" fontId="102" fillId="0" borderId="0" xfId="115" applyNumberFormat="1" applyFont="1" applyAlignment="1">
      <alignment horizontal="right"/>
    </xf>
    <xf numFmtId="0" fontId="52" fillId="0" borderId="44" xfId="115" applyFont="1" applyBorder="1"/>
    <xf numFmtId="3" fontId="8" fillId="0" borderId="44" xfId="115" applyNumberFormat="1" applyBorder="1"/>
    <xf numFmtId="14" fontId="8" fillId="0" borderId="44" xfId="115" applyNumberFormat="1" applyBorder="1"/>
    <xf numFmtId="4" fontId="8" fillId="0" borderId="44" xfId="115" applyNumberFormat="1" applyBorder="1"/>
    <xf numFmtId="14" fontId="8" fillId="0" borderId="0" xfId="115" applyNumberFormat="1" applyBorder="1"/>
    <xf numFmtId="0" fontId="8" fillId="0" borderId="45" xfId="115" applyBorder="1" applyAlignment="1">
      <alignment horizontal="center"/>
    </xf>
    <xf numFmtId="0" fontId="8" fillId="0" borderId="44" xfId="115" applyBorder="1"/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Protection="1">
      <protection locked="0"/>
    </xf>
    <xf numFmtId="0" fontId="50" fillId="0" borderId="0" xfId="0" applyFont="1" applyFill="1" applyAlignment="1" applyProtection="1">
      <alignment horizontal="center"/>
    </xf>
    <xf numFmtId="0" fontId="36" fillId="0" borderId="0" xfId="0" applyFont="1" applyFill="1" applyProtection="1">
      <protection locked="0"/>
    </xf>
    <xf numFmtId="14" fontId="1" fillId="0" borderId="0" xfId="0" applyNumberFormat="1" applyFont="1" applyFill="1" applyAlignment="1" applyProtection="1">
      <alignment horizontal="left"/>
      <protection locked="0"/>
    </xf>
    <xf numFmtId="4" fontId="1" fillId="0" borderId="0" xfId="0" applyNumberFormat="1" applyFont="1" applyFill="1" applyAlignment="1" applyProtection="1">
      <alignment horizontal="center" vertical="center"/>
      <protection locked="0"/>
    </xf>
    <xf numFmtId="4" fontId="1" fillId="0" borderId="0" xfId="0" applyNumberFormat="1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38" fillId="0" borderId="0" xfId="0" applyFont="1" applyFill="1" applyAlignment="1" applyProtection="1">
      <protection locked="0"/>
    </xf>
    <xf numFmtId="0" fontId="38" fillId="0" borderId="0" xfId="0" applyFont="1" applyFill="1" applyAlignment="1" applyProtection="1">
      <alignment horizontal="center"/>
      <protection locked="0"/>
    </xf>
    <xf numFmtId="169" fontId="103" fillId="0" borderId="0" xfId="1" applyNumberFormat="1" applyFont="1" applyFill="1" applyAlignment="1" applyProtection="1">
      <alignment horizontal="left"/>
      <protection locked="0"/>
    </xf>
    <xf numFmtId="0" fontId="20" fillId="0" borderId="0" xfId="0" applyFont="1" applyFill="1" applyAlignment="1" applyProtection="1">
      <protection locked="0"/>
    </xf>
    <xf numFmtId="0" fontId="84" fillId="0" borderId="0" xfId="0" applyFont="1" applyFill="1" applyProtection="1"/>
    <xf numFmtId="0" fontId="19" fillId="0" borderId="0" xfId="0" applyFont="1" applyFill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alignment vertical="center"/>
      <protection locked="0"/>
    </xf>
    <xf numFmtId="0" fontId="36" fillId="0" borderId="0" xfId="0" applyFont="1" applyFill="1" applyAlignment="1" applyProtection="1">
      <alignment vertical="center"/>
      <protection locked="0"/>
    </xf>
    <xf numFmtId="14" fontId="19" fillId="0" borderId="0" xfId="0" applyNumberFormat="1" applyFont="1" applyFill="1" applyAlignment="1" applyProtection="1">
      <alignment horizontal="left" vertical="center"/>
      <protection locked="0"/>
    </xf>
    <xf numFmtId="3" fontId="50" fillId="0" borderId="0" xfId="0" applyNumberFormat="1" applyFont="1" applyFill="1" applyBorder="1" applyAlignment="1" applyProtection="1">
      <alignment horizontal="center" vertical="center"/>
      <protection locked="0"/>
    </xf>
    <xf numFmtId="3" fontId="20" fillId="0" borderId="13" xfId="0" applyNumberFormat="1" applyFont="1" applyFill="1" applyBorder="1" applyAlignment="1" applyProtection="1">
      <alignment horizontal="center" vertical="center"/>
      <protection locked="0"/>
    </xf>
    <xf numFmtId="3" fontId="50" fillId="0" borderId="13" xfId="0" applyNumberFormat="1" applyFont="1" applyFill="1" applyBorder="1" applyAlignment="1" applyProtection="1">
      <alignment horizontal="center" vertical="center"/>
      <protection locked="0"/>
    </xf>
    <xf numFmtId="0" fontId="104" fillId="0" borderId="0" xfId="0" applyFont="1" applyFill="1" applyProtection="1"/>
    <xf numFmtId="0" fontId="20" fillId="0" borderId="67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19" fillId="0" borderId="0" xfId="0" applyFont="1" applyFill="1" applyBorder="1" applyAlignment="1" applyProtection="1">
      <alignment vertical="center"/>
      <protection locked="0"/>
    </xf>
    <xf numFmtId="4" fontId="10" fillId="0" borderId="6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11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49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61" xfId="11" applyNumberFormat="1" applyFont="1" applyFill="1" applyBorder="1" applyAlignment="1">
      <alignment horizontal="center" vertical="center" wrapText="1"/>
    </xf>
    <xf numFmtId="0" fontId="105" fillId="0" borderId="11" xfId="0" applyFont="1" applyFill="1" applyBorder="1" applyAlignment="1" applyProtection="1">
      <alignment horizontal="center" vertical="center" wrapText="1"/>
    </xf>
    <xf numFmtId="0" fontId="20" fillId="0" borderId="22" xfId="7" applyFont="1" applyFill="1" applyBorder="1" applyAlignment="1">
      <alignment horizontal="center" vertical="center" wrapText="1"/>
    </xf>
    <xf numFmtId="0" fontId="20" fillId="0" borderId="74" xfId="7" applyFont="1" applyFill="1" applyBorder="1" applyAlignment="1">
      <alignment horizontal="center" vertical="center" wrapText="1"/>
    </xf>
    <xf numFmtId="4" fontId="20" fillId="0" borderId="62" xfId="11" applyNumberFormat="1" applyFont="1" applyFill="1" applyBorder="1" applyAlignment="1">
      <alignment horizontal="center" vertical="center" wrapText="1"/>
    </xf>
    <xf numFmtId="0" fontId="36" fillId="0" borderId="75" xfId="0" applyFont="1" applyFill="1" applyBorder="1" applyAlignment="1" applyProtection="1">
      <alignment horizontal="center"/>
      <protection locked="0"/>
    </xf>
    <xf numFmtId="0" fontId="106" fillId="0" borderId="17" xfId="0" applyFont="1" applyFill="1" applyBorder="1" applyAlignment="1" applyProtection="1">
      <alignment horizontal="left" vertical="center"/>
    </xf>
    <xf numFmtId="3" fontId="84" fillId="0" borderId="22" xfId="0" applyNumberFormat="1" applyFont="1" applyFill="1" applyBorder="1" applyAlignment="1" applyProtection="1">
      <alignment horizontal="center"/>
    </xf>
    <xf numFmtId="0" fontId="36" fillId="0" borderId="22" xfId="0" applyFont="1" applyFill="1" applyBorder="1" applyAlignment="1" applyProtection="1"/>
    <xf numFmtId="0" fontId="36" fillId="0" borderId="22" xfId="0" applyFont="1" applyFill="1" applyBorder="1" applyAlignment="1" applyProtection="1">
      <alignment horizontal="center"/>
      <protection locked="0"/>
    </xf>
    <xf numFmtId="14" fontId="36" fillId="0" borderId="22" xfId="0" applyNumberFormat="1" applyFont="1" applyFill="1" applyBorder="1" applyProtection="1">
      <protection locked="0"/>
    </xf>
    <xf numFmtId="14" fontId="36" fillId="0" borderId="22" xfId="0" applyNumberFormat="1" applyFont="1" applyFill="1" applyBorder="1" applyAlignment="1" applyProtection="1">
      <alignment horizontal="left"/>
      <protection locked="0"/>
    </xf>
    <xf numFmtId="1" fontId="36" fillId="0" borderId="22" xfId="0" applyNumberFormat="1" applyFont="1" applyFill="1" applyBorder="1" applyAlignment="1" applyProtection="1">
      <alignment horizontal="center"/>
    </xf>
    <xf numFmtId="1" fontId="36" fillId="0" borderId="22" xfId="0" applyNumberFormat="1" applyFont="1" applyFill="1" applyBorder="1" applyAlignment="1" applyProtection="1">
      <alignment horizontal="center"/>
      <protection locked="0"/>
    </xf>
    <xf numFmtId="4" fontId="20" fillId="0" borderId="22" xfId="0" applyNumberFormat="1" applyFont="1" applyFill="1" applyBorder="1" applyAlignment="1" applyProtection="1">
      <alignment horizontal="center" vertical="center"/>
      <protection locked="0"/>
    </xf>
    <xf numFmtId="4" fontId="20" fillId="0" borderId="14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protection locked="0"/>
    </xf>
    <xf numFmtId="0" fontId="20" fillId="0" borderId="7" xfId="0" applyFont="1" applyFill="1" applyBorder="1" applyAlignment="1" applyProtection="1">
      <alignment horizontal="left"/>
      <protection locked="0"/>
    </xf>
    <xf numFmtId="4" fontId="20" fillId="0" borderId="7" xfId="0" applyNumberFormat="1" applyFont="1" applyFill="1" applyBorder="1" applyAlignment="1" applyProtection="1">
      <alignment horizontal="center" vertical="center"/>
      <protection locked="0"/>
    </xf>
    <xf numFmtId="4" fontId="20" fillId="0" borderId="8" xfId="0" applyNumberFormat="1" applyFont="1" applyFill="1" applyBorder="1" applyAlignment="1" applyProtection="1">
      <alignment horizontal="center" vertical="center"/>
      <protection locked="0"/>
    </xf>
    <xf numFmtId="4" fontId="20" fillId="0" borderId="10" xfId="0" applyNumberFormat="1" applyFont="1" applyFill="1" applyBorder="1" applyAlignment="1" applyProtection="1">
      <alignment horizontal="center" vertical="center"/>
      <protection locked="0"/>
    </xf>
    <xf numFmtId="4" fontId="10" fillId="0" borderId="0" xfId="0" applyNumberFormat="1" applyFont="1" applyFill="1" applyBorder="1" applyProtection="1">
      <protection locked="0"/>
    </xf>
    <xf numFmtId="0" fontId="17" fillId="0" borderId="2" xfId="0" applyFont="1" applyFill="1" applyBorder="1" applyAlignment="1" applyProtection="1">
      <alignment vertical="center"/>
      <protection locked="0"/>
    </xf>
    <xf numFmtId="0" fontId="17" fillId="0" borderId="22" xfId="0" applyFont="1" applyFill="1" applyBorder="1" applyAlignment="1" applyProtection="1">
      <alignment vertical="center"/>
      <protection locked="0"/>
    </xf>
    <xf numFmtId="0" fontId="20" fillId="0" borderId="22" xfId="0" applyFont="1" applyFill="1" applyBorder="1" applyAlignment="1" applyProtection="1">
      <alignment vertical="center"/>
      <protection locked="0"/>
    </xf>
    <xf numFmtId="0" fontId="17" fillId="0" borderId="22" xfId="0" applyFont="1" applyFill="1" applyBorder="1" applyAlignment="1" applyProtection="1">
      <alignment horizontal="center" vertical="center"/>
      <protection locked="0"/>
    </xf>
    <xf numFmtId="14" fontId="23" fillId="0" borderId="22" xfId="0" applyNumberFormat="1" applyFont="1" applyFill="1" applyBorder="1" applyAlignment="1" applyProtection="1">
      <alignment horizontal="left" vertical="center"/>
      <protection locked="0"/>
    </xf>
    <xf numFmtId="0" fontId="23" fillId="0" borderId="22" xfId="0" applyFont="1" applyFill="1" applyBorder="1" applyAlignment="1" applyProtection="1">
      <alignment horizontal="center" vertical="center"/>
      <protection locked="0"/>
    </xf>
    <xf numFmtId="4" fontId="23" fillId="0" borderId="22" xfId="0" applyNumberFormat="1" applyFont="1" applyFill="1" applyBorder="1" applyAlignment="1" applyProtection="1">
      <alignment horizontal="center" vertical="center"/>
      <protection locked="0"/>
    </xf>
    <xf numFmtId="4" fontId="23" fillId="0" borderId="14" xfId="0" applyNumberFormat="1" applyFont="1" applyFill="1" applyBorder="1" applyAlignment="1" applyProtection="1">
      <alignment vertical="center"/>
      <protection locked="0"/>
    </xf>
    <xf numFmtId="4" fontId="23" fillId="0" borderId="0" xfId="0" applyNumberFormat="1" applyFont="1" applyFill="1" applyAlignment="1" applyProtection="1">
      <alignment vertical="center"/>
      <protection locked="0"/>
    </xf>
    <xf numFmtId="0" fontId="23" fillId="0" borderId="0" xfId="0" applyFont="1" applyFill="1" applyAlignment="1" applyProtection="1">
      <alignment vertical="center"/>
      <protection locked="0"/>
    </xf>
    <xf numFmtId="0" fontId="36" fillId="0" borderId="29" xfId="0" applyFont="1" applyFill="1" applyBorder="1" applyAlignment="1" applyProtection="1">
      <alignment horizontal="center"/>
      <protection locked="0"/>
    </xf>
    <xf numFmtId="4" fontId="20" fillId="0" borderId="7" xfId="0" applyNumberFormat="1" applyFont="1" applyFill="1" applyBorder="1" applyAlignment="1" applyProtection="1">
      <alignment horizontal="center" vertical="center"/>
    </xf>
    <xf numFmtId="4" fontId="20" fillId="0" borderId="8" xfId="0" applyNumberFormat="1" applyFont="1" applyFill="1" applyBorder="1" applyAlignment="1" applyProtection="1">
      <alignment horizontal="center" vertical="center"/>
    </xf>
    <xf numFmtId="4" fontId="20" fillId="0" borderId="10" xfId="0" applyNumberFormat="1" applyFont="1" applyFill="1" applyBorder="1" applyAlignment="1" applyProtection="1">
      <alignment horizontal="center" vertical="center"/>
    </xf>
    <xf numFmtId="4" fontId="1" fillId="0" borderId="0" xfId="0" applyNumberFormat="1" applyFont="1" applyFill="1" applyBorder="1" applyProtection="1">
      <protection locked="0"/>
    </xf>
    <xf numFmtId="0" fontId="17" fillId="0" borderId="2" xfId="0" applyFont="1" applyFill="1" applyBorder="1" applyAlignment="1" applyProtection="1">
      <protection locked="0"/>
    </xf>
    <xf numFmtId="0" fontId="17" fillId="0" borderId="65" xfId="0" applyFont="1" applyFill="1" applyBorder="1" applyAlignment="1" applyProtection="1">
      <protection locked="0"/>
    </xf>
    <xf numFmtId="0" fontId="20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14" fontId="23" fillId="0" borderId="0" xfId="0" applyNumberFormat="1" applyFont="1" applyFill="1" applyBorder="1" applyAlignment="1" applyProtection="1">
      <alignment horizontal="left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4" fontId="23" fillId="0" borderId="0" xfId="0" applyNumberFormat="1" applyFont="1" applyFill="1" applyBorder="1" applyAlignment="1" applyProtection="1">
      <alignment horizontal="center" vertical="center"/>
      <protection locked="0"/>
    </xf>
    <xf numFmtId="4" fontId="23" fillId="0" borderId="0" xfId="0" applyNumberFormat="1" applyFont="1" applyFill="1" applyProtection="1">
      <protection locked="0"/>
    </xf>
    <xf numFmtId="0" fontId="23" fillId="0" borderId="0" xfId="0" applyFont="1" applyFill="1" applyProtection="1">
      <protection locked="0"/>
    </xf>
    <xf numFmtId="0" fontId="36" fillId="0" borderId="0" xfId="0" applyFont="1" applyFill="1" applyBorder="1" applyAlignment="1" applyProtection="1">
      <alignment horizontal="center"/>
      <protection locked="0"/>
    </xf>
    <xf numFmtId="4" fontId="20" fillId="0" borderId="3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0" fontId="23" fillId="0" borderId="0" xfId="0" applyFont="1" applyFill="1" applyAlignment="1" applyProtection="1">
      <alignment horizontal="center"/>
      <protection locked="0"/>
    </xf>
    <xf numFmtId="0" fontId="38" fillId="0" borderId="11" xfId="0" applyFont="1" applyFill="1" applyBorder="1" applyAlignment="1" applyProtection="1">
      <alignment horizontal="center" vertical="center"/>
      <protection locked="0"/>
    </xf>
    <xf numFmtId="0" fontId="17" fillId="0" borderId="2" xfId="0" applyFont="1" applyFill="1" applyBorder="1" applyAlignment="1" applyProtection="1">
      <alignment horizontal="center"/>
      <protection locked="0"/>
    </xf>
    <xf numFmtId="0" fontId="20" fillId="0" borderId="3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4" fontId="20" fillId="0" borderId="6" xfId="0" applyNumberFormat="1" applyFont="1" applyFill="1" applyBorder="1" applyAlignment="1" applyProtection="1">
      <alignment horizontal="center" vertical="center"/>
      <protection locked="0"/>
    </xf>
    <xf numFmtId="4" fontId="17" fillId="0" borderId="6" xfId="0" applyNumberFormat="1" applyFont="1" applyFill="1" applyBorder="1" applyAlignment="1" applyProtection="1">
      <alignment horizontal="center" vertical="center"/>
      <protection locked="0"/>
    </xf>
    <xf numFmtId="4" fontId="23" fillId="0" borderId="0" xfId="0" applyNumberFormat="1" applyFont="1" applyFill="1" applyAlignment="1" applyProtection="1">
      <alignment horizontal="center"/>
      <protection locked="0"/>
    </xf>
    <xf numFmtId="43" fontId="38" fillId="0" borderId="0" xfId="1" applyFont="1" applyFill="1" applyBorder="1" applyAlignment="1" applyProtection="1">
      <alignment horizontal="left"/>
      <protection locked="0"/>
    </xf>
    <xf numFmtId="0" fontId="107" fillId="0" borderId="0" xfId="0" applyFont="1" applyFill="1" applyAlignment="1" applyProtection="1">
      <alignment horizontal="left"/>
    </xf>
    <xf numFmtId="0" fontId="108" fillId="0" borderId="0" xfId="0" applyFont="1" applyFill="1" applyAlignment="1" applyProtection="1">
      <alignment horizontal="left"/>
    </xf>
    <xf numFmtId="0" fontId="36" fillId="0" borderId="0" xfId="0" applyFont="1" applyFill="1" applyProtection="1"/>
    <xf numFmtId="0" fontId="47" fillId="0" borderId="0" xfId="0" applyFont="1" applyFill="1" applyAlignment="1" applyProtection="1">
      <alignment horizontal="center"/>
    </xf>
    <xf numFmtId="0" fontId="109" fillId="0" borderId="0" xfId="0" applyFont="1" applyFill="1" applyAlignment="1" applyProtection="1">
      <alignment horizontal="left"/>
    </xf>
    <xf numFmtId="0" fontId="47" fillId="0" borderId="0" xfId="0" applyFont="1" applyFill="1" applyProtection="1"/>
    <xf numFmtId="0" fontId="109" fillId="0" borderId="0" xfId="0" applyFont="1" applyFill="1" applyAlignment="1" applyProtection="1"/>
    <xf numFmtId="0" fontId="46" fillId="0" borderId="0" xfId="0" applyFont="1" applyFill="1" applyAlignment="1" applyProtection="1">
      <alignment horizontal="left"/>
    </xf>
    <xf numFmtId="4" fontId="47" fillId="0" borderId="0" xfId="0" applyNumberFormat="1" applyFont="1" applyFill="1" applyProtection="1"/>
    <xf numFmtId="0" fontId="47" fillId="0" borderId="0" xfId="0" applyFont="1" applyFill="1" applyAlignment="1" applyProtection="1">
      <alignment horizontal="left"/>
    </xf>
    <xf numFmtId="0" fontId="109" fillId="0" borderId="0" xfId="0" applyFont="1" applyFill="1" applyBorder="1" applyAlignment="1" applyProtection="1">
      <alignment horizontal="center"/>
    </xf>
    <xf numFmtId="0" fontId="109" fillId="0" borderId="0" xfId="0" applyFont="1" applyFill="1" applyBorder="1" applyAlignment="1" applyProtection="1"/>
    <xf numFmtId="0" fontId="46" fillId="0" borderId="0" xfId="0" applyFont="1" applyFill="1" applyProtection="1"/>
    <xf numFmtId="0" fontId="109" fillId="0" borderId="0" xfId="0" applyFont="1" applyFill="1" applyProtection="1"/>
    <xf numFmtId="0" fontId="109" fillId="0" borderId="0" xfId="0" applyFont="1" applyFill="1" applyAlignment="1">
      <alignment horizontal="left"/>
    </xf>
    <xf numFmtId="0" fontId="109" fillId="0" borderId="0" xfId="0" applyFont="1" applyFill="1" applyAlignment="1" applyProtection="1">
      <alignment horizontal="center"/>
    </xf>
    <xf numFmtId="0" fontId="109" fillId="0" borderId="0" xfId="0" applyFont="1" applyFill="1" applyAlignment="1"/>
    <xf numFmtId="0" fontId="36" fillId="0" borderId="0" xfId="0" applyFont="1" applyFill="1"/>
    <xf numFmtId="14" fontId="1" fillId="0" borderId="0" xfId="0" applyNumberFormat="1" applyFont="1" applyFill="1" applyAlignment="1">
      <alignment horizontal="left"/>
    </xf>
    <xf numFmtId="4" fontId="1" fillId="0" borderId="0" xfId="0" applyNumberFormat="1" applyFont="1" applyFill="1" applyAlignment="1">
      <alignment horizontal="center" vertical="center"/>
    </xf>
    <xf numFmtId="4" fontId="1" fillId="0" borderId="0" xfId="0" applyNumberFormat="1" applyFont="1" applyFill="1"/>
    <xf numFmtId="2" fontId="1" fillId="0" borderId="0" xfId="0" applyNumberFormat="1" applyFont="1" applyFill="1" applyAlignment="1" applyProtection="1">
      <alignment horizontal="center" vertical="center"/>
      <protection locked="0"/>
    </xf>
    <xf numFmtId="4" fontId="110" fillId="0" borderId="0" xfId="0" applyNumberFormat="1" applyFont="1" applyFill="1" applyAlignment="1" applyProtection="1">
      <alignment horizontal="center" vertical="center"/>
      <protection locked="0"/>
    </xf>
    <xf numFmtId="2" fontId="10" fillId="0" borderId="2" xfId="0" applyNumberFormat="1" applyFont="1" applyFill="1" applyBorder="1" applyAlignment="1" applyProtection="1">
      <alignment vertical="center"/>
      <protection locked="0"/>
    </xf>
    <xf numFmtId="2" fontId="16" fillId="0" borderId="3" xfId="0" applyNumberFormat="1" applyFont="1" applyFill="1" applyBorder="1" applyAlignment="1" applyProtection="1">
      <alignment vertical="center"/>
      <protection locked="0"/>
    </xf>
    <xf numFmtId="2" fontId="16" fillId="0" borderId="4" xfId="0" applyNumberFormat="1" applyFont="1" applyFill="1" applyBorder="1" applyAlignment="1" applyProtection="1">
      <alignment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" fontId="95" fillId="0" borderId="0" xfId="0" applyNumberFormat="1" applyFont="1" applyFill="1" applyBorder="1" applyAlignment="1" applyProtection="1">
      <alignment horizontal="center" vertical="center"/>
      <protection locked="0"/>
    </xf>
    <xf numFmtId="4" fontId="17" fillId="0" borderId="31" xfId="0" applyNumberFormat="1" applyFont="1" applyFill="1" applyBorder="1" applyAlignment="1" applyProtection="1">
      <alignment horizontal="center" vertical="center"/>
      <protection locked="0"/>
    </xf>
    <xf numFmtId="4" fontId="1" fillId="0" borderId="31" xfId="0" applyNumberFormat="1" applyFont="1" applyFill="1" applyBorder="1" applyAlignment="1" applyProtection="1">
      <alignment horizontal="center" vertical="center"/>
      <protection locked="0"/>
    </xf>
    <xf numFmtId="3" fontId="50" fillId="0" borderId="31" xfId="0" applyNumberFormat="1" applyFont="1" applyFill="1" applyBorder="1" applyAlignment="1" applyProtection="1">
      <alignment horizontal="center" vertical="center"/>
      <protection locked="0"/>
    </xf>
    <xf numFmtId="4" fontId="1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26" xfId="0" applyNumberFormat="1" applyFont="1" applyFill="1" applyBorder="1" applyAlignment="1" applyProtection="1">
      <alignment horizontal="center" vertical="center" wrapText="1"/>
      <protection locked="0"/>
    </xf>
    <xf numFmtId="2" fontId="10" fillId="0" borderId="41" xfId="0" applyNumberFormat="1" applyFont="1" applyFill="1" applyBorder="1" applyAlignment="1" applyProtection="1">
      <alignment horizontal="center" vertical="center" wrapText="1"/>
      <protection locked="0"/>
    </xf>
    <xf numFmtId="2" fontId="10" fillId="0" borderId="29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49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49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protection locked="0"/>
    </xf>
    <xf numFmtId="0" fontId="106" fillId="0" borderId="16" xfId="0" applyFont="1" applyFill="1" applyBorder="1" applyAlignment="1" applyProtection="1">
      <alignment horizontal="left" vertical="center"/>
    </xf>
    <xf numFmtId="0" fontId="10" fillId="0" borderId="22" xfId="0" applyFont="1" applyFill="1" applyBorder="1" applyAlignment="1" applyProtection="1">
      <protection locked="0"/>
    </xf>
    <xf numFmtId="0" fontId="20" fillId="0" borderId="22" xfId="0" applyFont="1" applyFill="1" applyBorder="1" applyAlignment="1" applyProtection="1"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14" fontId="1" fillId="0" borderId="22" xfId="0" applyNumberFormat="1" applyFont="1" applyFill="1" applyBorder="1" applyAlignment="1" applyProtection="1">
      <alignment horizontal="left"/>
      <protection locked="0"/>
    </xf>
    <xf numFmtId="0" fontId="1" fillId="0" borderId="22" xfId="0" applyFont="1" applyFill="1" applyBorder="1" applyAlignment="1" applyProtection="1">
      <alignment horizontal="center"/>
      <protection locked="0"/>
    </xf>
    <xf numFmtId="0" fontId="1" fillId="0" borderId="22" xfId="0" applyFont="1" applyFill="1" applyBorder="1" applyProtection="1">
      <protection locked="0"/>
    </xf>
    <xf numFmtId="0" fontId="1" fillId="0" borderId="22" xfId="0" applyFont="1" applyFill="1" applyBorder="1" applyAlignment="1" applyProtection="1">
      <alignment horizontal="center" vertical="center"/>
      <protection locked="0"/>
    </xf>
    <xf numFmtId="4" fontId="1" fillId="0" borderId="22" xfId="0" applyNumberFormat="1" applyFont="1" applyFill="1" applyBorder="1" applyAlignment="1" applyProtection="1">
      <alignment horizontal="center" vertical="center"/>
      <protection locked="0"/>
    </xf>
    <xf numFmtId="2" fontId="1" fillId="0" borderId="22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4" fontId="1" fillId="0" borderId="12" xfId="0" applyNumberFormat="1" applyFont="1" applyFill="1" applyBorder="1" applyAlignment="1" applyProtection="1">
      <alignment horizontal="center" vertical="center"/>
      <protection locked="0"/>
    </xf>
    <xf numFmtId="0" fontId="36" fillId="0" borderId="46" xfId="0" applyFont="1" applyFill="1" applyBorder="1" applyAlignment="1" applyProtection="1">
      <alignment horizontal="center"/>
      <protection locked="0"/>
    </xf>
    <xf numFmtId="0" fontId="20" fillId="0" borderId="18" xfId="0" applyFont="1" applyFill="1" applyBorder="1" applyAlignment="1" applyProtection="1">
      <alignment horizontal="center" vertical="center"/>
      <protection locked="0"/>
    </xf>
    <xf numFmtId="3" fontId="84" fillId="0" borderId="7" xfId="0" applyNumberFormat="1" applyFont="1" applyFill="1" applyBorder="1" applyAlignment="1" applyProtection="1">
      <alignment horizontal="center"/>
    </xf>
    <xf numFmtId="0" fontId="36" fillId="0" borderId="7" xfId="0" applyFont="1" applyFill="1" applyBorder="1" applyAlignment="1" applyProtection="1"/>
    <xf numFmtId="0" fontId="36" fillId="0" borderId="7" xfId="0" applyFont="1" applyFill="1" applyBorder="1" applyAlignment="1" applyProtection="1">
      <alignment horizontal="center"/>
      <protection locked="0"/>
    </xf>
    <xf numFmtId="14" fontId="36" fillId="0" borderId="7" xfId="0" applyNumberFormat="1" applyFont="1" applyFill="1" applyBorder="1" applyProtection="1">
      <protection locked="0"/>
    </xf>
    <xf numFmtId="1" fontId="36" fillId="0" borderId="7" xfId="0" applyNumberFormat="1" applyFont="1" applyFill="1" applyBorder="1" applyAlignment="1" applyProtection="1">
      <alignment horizontal="center"/>
    </xf>
    <xf numFmtId="1" fontId="36" fillId="0" borderId="7" xfId="0" applyNumberFormat="1" applyFont="1" applyFill="1" applyBorder="1" applyAlignment="1" applyProtection="1">
      <alignment horizontal="center"/>
      <protection locked="0"/>
    </xf>
    <xf numFmtId="0" fontId="20" fillId="0" borderId="5" xfId="0" applyFont="1" applyFill="1" applyBorder="1" applyAlignment="1" applyProtection="1">
      <alignment horizontal="center" vertical="center"/>
      <protection locked="0"/>
    </xf>
    <xf numFmtId="3" fontId="84" fillId="0" borderId="5" xfId="0" applyNumberFormat="1" applyFont="1" applyFill="1" applyBorder="1" applyAlignment="1" applyProtection="1">
      <alignment horizontal="center"/>
    </xf>
    <xf numFmtId="0" fontId="36" fillId="0" borderId="5" xfId="0" applyFont="1" applyFill="1" applyBorder="1" applyAlignment="1" applyProtection="1"/>
    <xf numFmtId="0" fontId="36" fillId="0" borderId="5" xfId="0" applyFont="1" applyFill="1" applyBorder="1" applyAlignment="1" applyProtection="1">
      <alignment horizontal="center"/>
      <protection locked="0"/>
    </xf>
    <xf numFmtId="14" fontId="36" fillId="0" borderId="5" xfId="0" applyNumberFormat="1" applyFont="1" applyFill="1" applyBorder="1" applyProtection="1">
      <protection locked="0"/>
    </xf>
    <xf numFmtId="14" fontId="36" fillId="0" borderId="5" xfId="0" applyNumberFormat="1" applyFont="1" applyFill="1" applyBorder="1" applyAlignment="1" applyProtection="1">
      <alignment horizontal="left"/>
      <protection locked="0"/>
    </xf>
    <xf numFmtId="1" fontId="36" fillId="0" borderId="5" xfId="0" applyNumberFormat="1" applyFont="1" applyFill="1" applyBorder="1" applyAlignment="1" applyProtection="1">
      <alignment horizontal="center"/>
    </xf>
    <xf numFmtId="1" fontId="36" fillId="0" borderId="5" xfId="0" applyNumberFormat="1" applyFont="1" applyFill="1" applyBorder="1" applyAlignment="1" applyProtection="1">
      <alignment horizontal="center"/>
      <protection locked="0"/>
    </xf>
    <xf numFmtId="0" fontId="100" fillId="0" borderId="5" xfId="0" applyFont="1" applyFill="1" applyBorder="1" applyAlignment="1" applyProtection="1">
      <alignment horizontal="right"/>
    </xf>
    <xf numFmtId="1" fontId="36" fillId="0" borderId="5" xfId="0" applyNumberFormat="1" applyFont="1" applyFill="1" applyBorder="1" applyAlignment="1" applyProtection="1">
      <alignment horizontal="left"/>
      <protection locked="0"/>
    </xf>
    <xf numFmtId="0" fontId="36" fillId="0" borderId="5" xfId="0" applyFont="1" applyFill="1" applyBorder="1" applyProtection="1">
      <protection locked="0"/>
    </xf>
    <xf numFmtId="4" fontId="20" fillId="0" borderId="5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3" fontId="84" fillId="0" borderId="0" xfId="0" applyNumberFormat="1" applyFont="1" applyFill="1" applyBorder="1" applyAlignment="1" applyProtection="1">
      <alignment horizontal="center"/>
    </xf>
    <xf numFmtId="0" fontId="36" fillId="0" borderId="0" xfId="0" applyFont="1" applyFill="1" applyBorder="1" applyAlignment="1" applyProtection="1"/>
    <xf numFmtId="14" fontId="36" fillId="0" borderId="0" xfId="0" applyNumberFormat="1" applyFont="1" applyFill="1" applyBorder="1" applyProtection="1">
      <protection locked="0"/>
    </xf>
    <xf numFmtId="14" fontId="36" fillId="0" borderId="0" xfId="0" applyNumberFormat="1" applyFont="1" applyFill="1" applyBorder="1" applyAlignment="1" applyProtection="1">
      <alignment horizontal="left"/>
      <protection locked="0"/>
    </xf>
    <xf numFmtId="1" fontId="36" fillId="0" borderId="0" xfId="0" applyNumberFormat="1" applyFont="1" applyFill="1" applyBorder="1" applyAlignment="1" applyProtection="1">
      <alignment horizontal="center"/>
    </xf>
    <xf numFmtId="1" fontId="36" fillId="0" borderId="0" xfId="0" applyNumberFormat="1" applyFont="1" applyFill="1" applyBorder="1" applyAlignment="1" applyProtection="1">
      <alignment horizontal="center"/>
      <protection locked="0"/>
    </xf>
    <xf numFmtId="1" fontId="36" fillId="0" borderId="0" xfId="0" applyNumberFormat="1" applyFont="1" applyFill="1" applyBorder="1" applyAlignment="1" applyProtection="1">
      <alignment horizontal="left"/>
      <protection locked="0"/>
    </xf>
    <xf numFmtId="0" fontId="36" fillId="0" borderId="0" xfId="0" applyFont="1" applyFill="1" applyBorder="1" applyProtection="1">
      <protection locked="0"/>
    </xf>
    <xf numFmtId="4" fontId="20" fillId="0" borderId="0" xfId="0" applyNumberFormat="1" applyFont="1" applyFill="1" applyBorder="1" applyAlignment="1" applyProtection="1">
      <alignment horizontal="center" vertical="center"/>
    </xf>
    <xf numFmtId="3" fontId="84" fillId="0" borderId="12" xfId="0" applyNumberFormat="1" applyFont="1" applyFill="1" applyBorder="1" applyAlignment="1" applyProtection="1">
      <alignment horizontal="center"/>
    </xf>
    <xf numFmtId="0" fontId="36" fillId="0" borderId="12" xfId="0" applyFont="1" applyFill="1" applyBorder="1" applyAlignment="1" applyProtection="1"/>
    <xf numFmtId="0" fontId="36" fillId="0" borderId="12" xfId="0" applyFont="1" applyFill="1" applyBorder="1" applyAlignment="1" applyProtection="1">
      <alignment horizontal="center"/>
      <protection locked="0"/>
    </xf>
    <xf numFmtId="14" fontId="36" fillId="0" borderId="12" xfId="0" applyNumberFormat="1" applyFont="1" applyFill="1" applyBorder="1" applyProtection="1">
      <protection locked="0"/>
    </xf>
    <xf numFmtId="14" fontId="36" fillId="0" borderId="12" xfId="0" applyNumberFormat="1" applyFont="1" applyFill="1" applyBorder="1" applyAlignment="1" applyProtection="1">
      <alignment horizontal="left"/>
      <protection locked="0"/>
    </xf>
    <xf numFmtId="1" fontId="36" fillId="0" borderId="12" xfId="0" applyNumberFormat="1" applyFont="1" applyFill="1" applyBorder="1" applyAlignment="1" applyProtection="1">
      <alignment horizontal="center"/>
    </xf>
    <xf numFmtId="1" fontId="36" fillId="0" borderId="12" xfId="0" applyNumberFormat="1" applyFont="1" applyFill="1" applyBorder="1" applyAlignment="1" applyProtection="1">
      <alignment horizontal="center"/>
      <protection locked="0"/>
    </xf>
    <xf numFmtId="1" fontId="36" fillId="0" borderId="12" xfId="0" applyNumberFormat="1" applyFont="1" applyFill="1" applyBorder="1" applyAlignment="1" applyProtection="1">
      <alignment horizontal="left"/>
      <protection locked="0"/>
    </xf>
    <xf numFmtId="0" fontId="36" fillId="0" borderId="12" xfId="0" applyFont="1" applyFill="1" applyBorder="1" applyProtection="1">
      <protection locked="0"/>
    </xf>
    <xf numFmtId="4" fontId="36" fillId="0" borderId="12" xfId="0" applyNumberFormat="1" applyFont="1" applyFill="1" applyBorder="1" applyAlignment="1" applyProtection="1">
      <alignment horizontal="center" vertical="center"/>
    </xf>
    <xf numFmtId="4" fontId="36" fillId="0" borderId="12" xfId="0" applyNumberFormat="1" applyFont="1" applyFill="1" applyBorder="1" applyAlignment="1" applyProtection="1">
      <alignment horizontal="center" vertical="center"/>
      <protection locked="0"/>
    </xf>
    <xf numFmtId="2" fontId="36" fillId="0" borderId="12" xfId="0" applyNumberFormat="1" applyFont="1" applyFill="1" applyBorder="1" applyAlignment="1" applyProtection="1">
      <alignment horizontal="center" vertical="center"/>
    </xf>
    <xf numFmtId="2" fontId="36" fillId="0" borderId="12" xfId="0" applyNumberFormat="1" applyFont="1" applyFill="1" applyBorder="1" applyAlignment="1" applyProtection="1">
      <alignment horizontal="center" vertical="center"/>
      <protection locked="0"/>
    </xf>
    <xf numFmtId="4" fontId="20" fillId="0" borderId="77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 applyProtection="1">
      <protection locked="0"/>
    </xf>
    <xf numFmtId="0" fontId="20" fillId="0" borderId="5" xfId="0" applyFont="1" applyFill="1" applyBorder="1" applyAlignment="1" applyProtection="1">
      <alignment horizontal="left"/>
      <protection locked="0"/>
    </xf>
    <xf numFmtId="4" fontId="20" fillId="0" borderId="5" xfId="0" applyNumberFormat="1" applyFont="1" applyFill="1" applyBorder="1" applyAlignment="1" applyProtection="1">
      <alignment horizontal="center" vertical="center"/>
      <protection locked="0"/>
    </xf>
    <xf numFmtId="4" fontId="20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22" xfId="0" applyFont="1" applyFill="1" applyBorder="1" applyAlignment="1" applyProtection="1">
      <alignment vertical="center"/>
      <protection locked="0"/>
    </xf>
    <xf numFmtId="2" fontId="23" fillId="0" borderId="22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left"/>
      <protection locked="0"/>
    </xf>
    <xf numFmtId="0" fontId="111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Protection="1"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2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/>
      <protection locked="0"/>
    </xf>
    <xf numFmtId="4" fontId="109" fillId="0" borderId="0" xfId="0" applyNumberFormat="1" applyFont="1" applyFill="1" applyProtection="1"/>
    <xf numFmtId="4" fontId="92" fillId="0" borderId="0" xfId="0" applyNumberFormat="1" applyFont="1" applyFill="1" applyProtection="1"/>
    <xf numFmtId="0" fontId="109" fillId="0" borderId="0" xfId="0" applyFont="1" applyFill="1" applyBorder="1" applyAlignment="1" applyProtection="1">
      <alignment horizontal="left"/>
    </xf>
    <xf numFmtId="2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 applyProtection="1">
      <protection locked="0"/>
    </xf>
    <xf numFmtId="4" fontId="34" fillId="0" borderId="0" xfId="0" applyNumberFormat="1" applyFont="1" applyFill="1" applyBorder="1" applyAlignment="1" applyProtection="1">
      <alignment horizontal="center" vertical="center" wrapText="1"/>
      <protection locked="0"/>
    </xf>
    <xf numFmtId="3" fontId="112" fillId="0" borderId="0" xfId="0" applyNumberFormat="1" applyFont="1" applyFill="1" applyBorder="1" applyAlignment="1" applyProtection="1">
      <alignment horizontal="center" vertical="center"/>
    </xf>
    <xf numFmtId="3" fontId="113" fillId="0" borderId="0" xfId="0" applyNumberFormat="1" applyFont="1" applyFill="1" applyBorder="1" applyAlignment="1" applyProtection="1">
      <alignment horizontal="center" vertical="center"/>
    </xf>
    <xf numFmtId="4" fontId="114" fillId="0" borderId="0" xfId="0" applyNumberFormat="1" applyFont="1" applyFill="1" applyBorder="1" applyAlignment="1" applyProtection="1">
      <alignment horizontal="center" vertical="center"/>
      <protection locked="0"/>
    </xf>
    <xf numFmtId="14" fontId="19" fillId="0" borderId="0" xfId="0" applyNumberFormat="1" applyFont="1" applyFill="1" applyAlignment="1" applyProtection="1">
      <alignment vertical="center"/>
      <protection locked="0"/>
    </xf>
    <xf numFmtId="4" fontId="19" fillId="0" borderId="78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79" xfId="0" applyNumberFormat="1" applyFont="1" applyFill="1" applyBorder="1" applyAlignment="1" applyProtection="1">
      <alignment horizontal="center" vertical="center" wrapText="1"/>
      <protection locked="0"/>
    </xf>
    <xf numFmtId="4" fontId="27" fillId="0" borderId="49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22" xfId="0" applyNumberFormat="1" applyFont="1" applyFill="1" applyBorder="1" applyAlignment="1" applyProtection="1">
      <protection locked="0"/>
    </xf>
    <xf numFmtId="0" fontId="1" fillId="0" borderId="14" xfId="0" applyFont="1" applyFill="1" applyBorder="1" applyProtection="1">
      <protection locked="0"/>
    </xf>
    <xf numFmtId="14" fontId="36" fillId="0" borderId="7" xfId="0" applyNumberFormat="1" applyFont="1" applyFill="1" applyBorder="1" applyAlignment="1" applyProtection="1">
      <protection locked="0"/>
    </xf>
    <xf numFmtId="14" fontId="36" fillId="0" borderId="22" xfId="0" applyNumberFormat="1" applyFont="1" applyFill="1" applyBorder="1" applyAlignment="1" applyProtection="1">
      <protection locked="0"/>
    </xf>
    <xf numFmtId="4" fontId="36" fillId="0" borderId="22" xfId="0" applyNumberFormat="1" applyFont="1" applyFill="1" applyBorder="1" applyAlignment="1" applyProtection="1">
      <alignment horizontal="center" vertical="center"/>
    </xf>
    <xf numFmtId="14" fontId="23" fillId="0" borderId="22" xfId="0" applyNumberFormat="1" applyFont="1" applyFill="1" applyBorder="1" applyAlignment="1" applyProtection="1">
      <alignment vertical="center"/>
      <protection locked="0"/>
    </xf>
    <xf numFmtId="14" fontId="23" fillId="0" borderId="0" xfId="0" applyNumberFormat="1" applyFont="1" applyFill="1" applyBorder="1" applyAlignment="1" applyProtection="1">
      <protection locked="0"/>
    </xf>
    <xf numFmtId="0" fontId="1" fillId="0" borderId="0" xfId="0" applyFont="1" applyFill="1" applyAlignment="1" applyProtection="1">
      <protection locked="0"/>
    </xf>
    <xf numFmtId="0" fontId="17" fillId="0" borderId="3" xfId="0" applyFont="1" applyFill="1" applyBorder="1" applyAlignment="1" applyProtection="1">
      <protection locked="0"/>
    </xf>
    <xf numFmtId="14" fontId="1" fillId="0" borderId="0" xfId="0" applyNumberFormat="1" applyFont="1" applyFill="1" applyAlignment="1"/>
    <xf numFmtId="4" fontId="34" fillId="0" borderId="0" xfId="0" applyNumberFormat="1" applyFont="1" applyFill="1" applyBorder="1" applyAlignment="1" applyProtection="1">
      <alignment vertical="center"/>
      <protection locked="0"/>
    </xf>
    <xf numFmtId="4" fontId="10" fillId="0" borderId="2" xfId="0" applyNumberFormat="1" applyFont="1" applyFill="1" applyBorder="1" applyAlignment="1" applyProtection="1">
      <alignment horizontal="center" vertical="center"/>
      <protection locked="0"/>
    </xf>
    <xf numFmtId="4" fontId="10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Fill="1" applyBorder="1" applyAlignment="1" applyProtection="1">
      <protection locked="0"/>
    </xf>
    <xf numFmtId="0" fontId="20" fillId="0" borderId="12" xfId="0" applyFont="1" applyFill="1" applyBorder="1" applyAlignment="1" applyProtection="1"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14" fontId="1" fillId="0" borderId="12" xfId="0" applyNumberFormat="1" applyFont="1" applyFill="1" applyBorder="1" applyAlignment="1" applyProtection="1">
      <alignment horizontal="left"/>
      <protection locked="0"/>
    </xf>
    <xf numFmtId="0" fontId="1" fillId="0" borderId="12" xfId="0" applyFont="1" applyFill="1" applyBorder="1" applyAlignment="1" applyProtection="1">
      <alignment horizontal="center"/>
      <protection locked="0"/>
    </xf>
    <xf numFmtId="0" fontId="1" fillId="0" borderId="12" xfId="0" applyFont="1" applyFill="1" applyBorder="1" applyProtection="1">
      <protection locked="0"/>
    </xf>
    <xf numFmtId="0" fontId="1" fillId="0" borderId="45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Protection="1">
      <protection locked="0"/>
    </xf>
    <xf numFmtId="4" fontId="36" fillId="0" borderId="9" xfId="0" applyNumberFormat="1" applyFont="1" applyFill="1" applyBorder="1" applyAlignment="1" applyProtection="1">
      <alignment horizontal="center" vertical="center"/>
      <protection locked="0"/>
    </xf>
    <xf numFmtId="1" fontId="36" fillId="0" borderId="22" xfId="0" applyNumberFormat="1" applyFont="1" applyFill="1" applyBorder="1" applyAlignment="1" applyProtection="1">
      <alignment horizontal="left"/>
      <protection locked="0"/>
    </xf>
    <xf numFmtId="0" fontId="36" fillId="0" borderId="22" xfId="0" applyFont="1" applyFill="1" applyBorder="1" applyProtection="1">
      <protection locked="0"/>
    </xf>
    <xf numFmtId="4" fontId="36" fillId="0" borderId="34" xfId="0" applyNumberFormat="1" applyFont="1" applyFill="1" applyBorder="1" applyAlignment="1" applyProtection="1">
      <alignment horizontal="center" vertical="center"/>
      <protection locked="0"/>
    </xf>
    <xf numFmtId="0" fontId="17" fillId="0" borderId="12" xfId="0" applyFont="1" applyFill="1" applyBorder="1" applyAlignment="1" applyProtection="1">
      <alignment vertical="center"/>
      <protection locked="0"/>
    </xf>
    <xf numFmtId="0" fontId="20" fillId="0" borderId="12" xfId="0" applyFont="1" applyFill="1" applyBorder="1" applyAlignment="1" applyProtection="1">
      <alignment vertical="center"/>
      <protection locked="0"/>
    </xf>
    <xf numFmtId="0" fontId="17" fillId="0" borderId="12" xfId="0" applyFont="1" applyFill="1" applyBorder="1" applyAlignment="1" applyProtection="1">
      <alignment horizontal="center" vertical="center"/>
      <protection locked="0"/>
    </xf>
    <xf numFmtId="14" fontId="23" fillId="0" borderId="12" xfId="0" applyNumberFormat="1" applyFont="1" applyFill="1" applyBorder="1" applyAlignment="1" applyProtection="1">
      <alignment horizontal="left" vertical="center"/>
      <protection locked="0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12" xfId="0" applyFont="1" applyFill="1" applyBorder="1" applyAlignment="1" applyProtection="1">
      <alignment vertical="center"/>
      <protection locked="0"/>
    </xf>
    <xf numFmtId="4" fontId="23" fillId="0" borderId="12" xfId="0" applyNumberFormat="1" applyFont="1" applyFill="1" applyBorder="1" applyAlignment="1" applyProtection="1">
      <alignment horizontal="center" vertical="center"/>
      <protection locked="0"/>
    </xf>
    <xf numFmtId="0" fontId="23" fillId="0" borderId="45" xfId="0" applyFont="1" applyFill="1" applyBorder="1" applyAlignment="1" applyProtection="1">
      <alignment horizontal="center" vertical="center"/>
      <protection locked="0"/>
    </xf>
    <xf numFmtId="4" fontId="23" fillId="0" borderId="21" xfId="0" applyNumberFormat="1" applyFont="1" applyFill="1" applyBorder="1" applyAlignment="1" applyProtection="1">
      <alignment vertical="center"/>
      <protection locked="0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4" fontId="20" fillId="0" borderId="19" xfId="0" applyNumberFormat="1" applyFont="1" applyFill="1" applyBorder="1" applyAlignment="1" applyProtection="1">
      <alignment horizontal="center" vertical="center"/>
      <protection locked="0"/>
    </xf>
    <xf numFmtId="3" fontId="20" fillId="0" borderId="4" xfId="0" applyNumberFormat="1" applyFont="1" applyFill="1" applyBorder="1" applyAlignment="1" applyProtection="1">
      <alignment horizontal="center" vertical="center"/>
      <protection locked="0"/>
    </xf>
    <xf numFmtId="2" fontId="10" fillId="0" borderId="11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00" fillId="0" borderId="36" xfId="0" applyFont="1" applyFill="1" applyBorder="1" applyAlignment="1" applyProtection="1">
      <alignment horizontal="right"/>
    </xf>
    <xf numFmtId="4" fontId="8" fillId="0" borderId="67" xfId="115" applyNumberFormat="1" applyBorder="1"/>
    <xf numFmtId="4" fontId="44" fillId="0" borderId="11" xfId="115" applyNumberFormat="1" applyFont="1" applyBorder="1"/>
    <xf numFmtId="4" fontId="101" fillId="0" borderId="11" xfId="115" applyNumberFormat="1" applyFont="1" applyBorder="1"/>
    <xf numFmtId="0" fontId="8" fillId="0" borderId="6" xfId="115" applyBorder="1" applyAlignment="1">
      <alignment horizontal="center"/>
    </xf>
    <xf numFmtId="3" fontId="8" fillId="0" borderId="7" xfId="115" applyNumberFormat="1" applyBorder="1"/>
    <xf numFmtId="3" fontId="44" fillId="0" borderId="7" xfId="115" applyNumberFormat="1" applyFont="1" applyBorder="1" applyAlignment="1">
      <alignment horizontal="right"/>
    </xf>
    <xf numFmtId="0" fontId="20" fillId="0" borderId="36" xfId="0" applyFont="1" applyFill="1" applyBorder="1" applyAlignment="1" applyProtection="1">
      <alignment horizontal="right"/>
      <protection locked="0"/>
    </xf>
    <xf numFmtId="4" fontId="101" fillId="0" borderId="4" xfId="115" applyNumberFormat="1" applyFont="1" applyBorder="1"/>
    <xf numFmtId="0" fontId="44" fillId="0" borderId="0" xfId="0" applyFont="1"/>
    <xf numFmtId="4" fontId="10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/>
    <xf numFmtId="0" fontId="0" fillId="44" borderId="0" xfId="0" applyFill="1" applyAlignment="1">
      <alignment horizontal="center" vertical="center" wrapText="1"/>
    </xf>
    <xf numFmtId="0" fontId="44" fillId="44" borderId="0" xfId="0" applyFont="1" applyFill="1" applyAlignment="1">
      <alignment horizontal="center" vertical="center" wrapText="1"/>
    </xf>
    <xf numFmtId="0" fontId="0" fillId="43" borderId="73" xfId="0" applyFill="1" applyBorder="1"/>
    <xf numFmtId="4" fontId="93" fillId="0" borderId="8" xfId="0" applyNumberFormat="1" applyFont="1" applyFill="1" applyBorder="1" applyAlignment="1" applyProtection="1">
      <alignment horizontal="center" vertical="center" wrapText="1"/>
      <protection locked="0"/>
    </xf>
    <xf numFmtId="4" fontId="9" fillId="0" borderId="7" xfId="0" applyNumberFormat="1" applyFont="1" applyFill="1" applyBorder="1" applyAlignment="1" applyProtection="1">
      <alignment horizontal="center" vertical="center" wrapText="1"/>
      <protection locked="0"/>
    </xf>
    <xf numFmtId="3" fontId="0" fillId="43" borderId="81" xfId="0" applyNumberFormat="1" applyFill="1" applyBorder="1"/>
    <xf numFmtId="0" fontId="0" fillId="43" borderId="81" xfId="0" applyFont="1" applyFill="1" applyBorder="1"/>
    <xf numFmtId="0" fontId="0" fillId="43" borderId="81" xfId="0" applyFill="1" applyBorder="1"/>
    <xf numFmtId="0" fontId="0" fillId="43" borderId="81" xfId="0" applyFill="1" applyBorder="1" applyAlignment="1">
      <alignment horizontal="center"/>
    </xf>
    <xf numFmtId="0" fontId="0" fillId="43" borderId="81" xfId="0" applyFill="1" applyBorder="1" applyAlignment="1">
      <alignment horizontal="center" vertical="center"/>
    </xf>
    <xf numFmtId="14" fontId="0" fillId="43" borderId="81" xfId="0" applyNumberFormat="1" applyFill="1" applyBorder="1" applyAlignment="1">
      <alignment horizontal="center" vertical="center"/>
    </xf>
    <xf numFmtId="0" fontId="0" fillId="43" borderId="63" xfId="0" applyFont="1" applyFill="1" applyBorder="1" applyAlignment="1">
      <alignment horizontal="center"/>
    </xf>
    <xf numFmtId="0" fontId="0" fillId="43" borderId="73" xfId="0" applyFont="1" applyFill="1" applyBorder="1" applyAlignment="1">
      <alignment horizontal="center"/>
    </xf>
    <xf numFmtId="0" fontId="87" fillId="0" borderId="1" xfId="0" applyFont="1" applyFill="1" applyBorder="1" applyAlignment="1">
      <alignment horizontal="center"/>
    </xf>
    <xf numFmtId="0" fontId="87" fillId="0" borderId="0" xfId="0" applyFont="1" applyAlignment="1">
      <alignment horizontal="center"/>
    </xf>
    <xf numFmtId="0" fontId="87" fillId="0" borderId="63" xfId="0" applyFont="1" applyFill="1" applyBorder="1" applyAlignment="1">
      <alignment horizontal="center"/>
    </xf>
    <xf numFmtId="3" fontId="36" fillId="0" borderId="0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Fill="1" applyBorder="1" applyAlignment="1" applyProtection="1">
      <alignment vertical="center"/>
      <protection locked="0"/>
    </xf>
    <xf numFmtId="0" fontId="36" fillId="0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left" vertical="center" wrapText="1"/>
      <protection locked="0"/>
    </xf>
    <xf numFmtId="4" fontId="12" fillId="0" borderId="0" xfId="0" applyNumberFormat="1" applyFont="1" applyFill="1" applyAlignment="1" applyProtection="1">
      <alignment horizontal="center" vertical="center"/>
      <protection locked="0"/>
    </xf>
    <xf numFmtId="2" fontId="12" fillId="0" borderId="0" xfId="0" applyNumberFormat="1" applyFont="1" applyFill="1" applyAlignment="1" applyProtection="1">
      <alignment horizontal="center" vertical="center"/>
      <protection locked="0"/>
    </xf>
    <xf numFmtId="0" fontId="49" fillId="0" borderId="0" xfId="0" applyFont="1" applyFill="1" applyBorder="1" applyAlignment="1">
      <alignment horizontal="left" vertical="center"/>
    </xf>
    <xf numFmtId="3" fontId="49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vertical="center"/>
    </xf>
    <xf numFmtId="3" fontId="87" fillId="0" borderId="82" xfId="0" applyNumberFormat="1" applyFont="1" applyFill="1" applyBorder="1"/>
    <xf numFmtId="0" fontId="87" fillId="0" borderId="82" xfId="0" applyFont="1" applyFill="1" applyBorder="1"/>
    <xf numFmtId="0" fontId="87" fillId="0" borderId="82" xfId="0" applyFont="1" applyFill="1" applyBorder="1" applyAlignment="1">
      <alignment horizontal="center"/>
    </xf>
    <xf numFmtId="0" fontId="87" fillId="0" borderId="82" xfId="0" applyFont="1" applyFill="1" applyBorder="1" applyAlignment="1">
      <alignment horizontal="center" vertical="center"/>
    </xf>
    <xf numFmtId="14" fontId="87" fillId="0" borderId="82" xfId="0" applyNumberFormat="1" applyFont="1" applyFill="1" applyBorder="1" applyAlignment="1">
      <alignment horizontal="center" vertical="center"/>
    </xf>
    <xf numFmtId="0" fontId="36" fillId="45" borderId="18" xfId="0" applyFont="1" applyFill="1" applyBorder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vertical="center"/>
      <protection locked="0"/>
    </xf>
    <xf numFmtId="4" fontId="36" fillId="45" borderId="1" xfId="0" applyNumberFormat="1" applyFont="1" applyFill="1" applyBorder="1" applyAlignment="1" applyProtection="1">
      <alignment vertical="center"/>
      <protection locked="0"/>
    </xf>
    <xf numFmtId="4" fontId="36" fillId="45" borderId="1" xfId="0" applyNumberFormat="1" applyFont="1" applyFill="1" applyBorder="1" applyAlignment="1" applyProtection="1">
      <alignment horizontal="center" vertical="center"/>
      <protection locked="0"/>
    </xf>
    <xf numFmtId="0" fontId="36" fillId="45" borderId="1" xfId="0" applyFont="1" applyFill="1" applyBorder="1" applyAlignment="1" applyProtection="1">
      <alignment horizontal="center" vertical="center"/>
      <protection locked="0"/>
    </xf>
    <xf numFmtId="2" fontId="36" fillId="45" borderId="1" xfId="0" applyNumberFormat="1" applyFont="1" applyFill="1" applyBorder="1" applyAlignment="1" applyProtection="1">
      <alignment horizontal="center" vertical="center"/>
      <protection locked="0"/>
    </xf>
    <xf numFmtId="4" fontId="12" fillId="45" borderId="0" xfId="0" applyNumberFormat="1" applyFont="1" applyFill="1" applyAlignment="1" applyProtection="1">
      <alignment vertical="center"/>
      <protection locked="0"/>
    </xf>
    <xf numFmtId="0" fontId="0" fillId="43" borderId="83" xfId="0" applyFill="1" applyBorder="1"/>
    <xf numFmtId="0" fontId="0" fillId="43" borderId="83" xfId="0" applyFont="1" applyFill="1" applyBorder="1" applyAlignment="1">
      <alignment horizontal="center"/>
    </xf>
    <xf numFmtId="4" fontId="12" fillId="45" borderId="0" xfId="0" applyNumberFormat="1" applyFont="1" applyFill="1" applyBorder="1" applyAlignment="1" applyProtection="1">
      <alignment vertical="center"/>
      <protection locked="0"/>
    </xf>
    <xf numFmtId="0" fontId="97" fillId="0" borderId="0" xfId="115" applyFont="1" applyAlignment="1">
      <alignment horizontal="center" wrapText="1"/>
    </xf>
    <xf numFmtId="0" fontId="96" fillId="0" borderId="0" xfId="115" applyFont="1" applyAlignment="1">
      <alignment horizontal="center" wrapText="1"/>
    </xf>
    <xf numFmtId="0" fontId="1" fillId="0" borderId="0" xfId="0" applyFont="1" applyFill="1" applyAlignment="1" applyProtection="1">
      <alignment horizontal="center"/>
      <protection locked="0"/>
    </xf>
    <xf numFmtId="4" fontId="17" fillId="0" borderId="2" xfId="0" applyNumberFormat="1" applyFont="1" applyFill="1" applyBorder="1" applyAlignment="1" applyProtection="1">
      <alignment horizontal="center" vertical="center"/>
      <protection locked="0"/>
    </xf>
    <xf numFmtId="4" fontId="17" fillId="0" borderId="3" xfId="0" applyNumberFormat="1" applyFont="1" applyFill="1" applyBorder="1" applyAlignment="1" applyProtection="1">
      <alignment horizontal="center" vertical="center"/>
      <protection locked="0"/>
    </xf>
    <xf numFmtId="4" fontId="17" fillId="0" borderId="4" xfId="0" applyNumberFormat="1" applyFont="1" applyFill="1" applyBorder="1" applyAlignment="1" applyProtection="1">
      <alignment horizontal="center" vertic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98" fillId="2" borderId="84" xfId="115" applyFont="1" applyFill="1" applyBorder="1" applyAlignment="1">
      <alignment horizontal="center" vertical="center" wrapText="1"/>
    </xf>
    <xf numFmtId="0" fontId="99" fillId="2" borderId="84" xfId="115" applyFont="1" applyFill="1" applyBorder="1" applyAlignment="1">
      <alignment horizontal="center" vertical="center" wrapText="1"/>
    </xf>
    <xf numFmtId="3" fontId="8" fillId="0" borderId="84" xfId="115" applyNumberFormat="1" applyBorder="1"/>
    <xf numFmtId="4" fontId="44" fillId="0" borderId="84" xfId="115" applyNumberFormat="1" applyFont="1" applyBorder="1"/>
    <xf numFmtId="0" fontId="8" fillId="0" borderId="84" xfId="115" applyBorder="1" applyAlignment="1">
      <alignment horizontal="center"/>
    </xf>
    <xf numFmtId="14" fontId="8" fillId="0" borderId="84" xfId="115" applyNumberFormat="1" applyBorder="1"/>
    <xf numFmtId="4" fontId="8" fillId="0" borderId="84" xfId="115" applyNumberFormat="1" applyBorder="1"/>
    <xf numFmtId="3" fontId="8" fillId="0" borderId="85" xfId="115" applyNumberFormat="1" applyBorder="1"/>
    <xf numFmtId="4" fontId="44" fillId="0" borderId="85" xfId="115" applyNumberFormat="1" applyFont="1" applyBorder="1"/>
    <xf numFmtId="0" fontId="8" fillId="0" borderId="86" xfId="115" applyBorder="1" applyAlignment="1">
      <alignment horizontal="center"/>
    </xf>
    <xf numFmtId="3" fontId="8" fillId="0" borderId="87" xfId="115" applyNumberFormat="1" applyBorder="1"/>
    <xf numFmtId="0" fontId="8" fillId="0" borderId="87" xfId="115" applyBorder="1"/>
    <xf numFmtId="14" fontId="8" fillId="0" borderId="87" xfId="115" applyNumberFormat="1" applyBorder="1"/>
    <xf numFmtId="4" fontId="8" fillId="0" borderId="87" xfId="115" applyNumberFormat="1" applyBorder="1"/>
    <xf numFmtId="0" fontId="8" fillId="2" borderId="86" xfId="115" applyFill="1" applyBorder="1"/>
    <xf numFmtId="3" fontId="8" fillId="2" borderId="87" xfId="115" applyNumberFormat="1" applyFill="1" applyBorder="1"/>
    <xf numFmtId="0" fontId="8" fillId="2" borderId="87" xfId="115" applyFill="1" applyBorder="1"/>
    <xf numFmtId="4" fontId="51" fillId="2" borderId="84" xfId="115" applyNumberFormat="1" applyFont="1" applyFill="1" applyBorder="1"/>
    <xf numFmtId="3" fontId="44" fillId="0" borderId="84" xfId="115" applyNumberFormat="1" applyFont="1" applyBorder="1" applyAlignment="1">
      <alignment horizontal="right"/>
    </xf>
    <xf numFmtId="0" fontId="44" fillId="2" borderId="87" xfId="115" applyFont="1" applyFill="1" applyBorder="1" applyAlignment="1">
      <alignment horizontal="right"/>
    </xf>
    <xf numFmtId="0" fontId="8" fillId="0" borderId="88" xfId="115" applyBorder="1" applyAlignment="1">
      <alignment horizontal="center"/>
    </xf>
    <xf numFmtId="0" fontId="8" fillId="0" borderId="85" xfId="115" applyBorder="1"/>
    <xf numFmtId="14" fontId="8" fillId="0" borderId="85" xfId="115" applyNumberFormat="1" applyBorder="1"/>
    <xf numFmtId="4" fontId="8" fillId="0" borderId="85" xfId="115" applyNumberFormat="1" applyBorder="1"/>
    <xf numFmtId="0" fontId="39" fillId="0" borderId="86" xfId="0" applyFont="1" applyFill="1" applyBorder="1" applyAlignment="1" applyProtection="1">
      <protection locked="0"/>
    </xf>
    <xf numFmtId="0" fontId="36" fillId="0" borderId="89" xfId="0" applyFont="1" applyFill="1" applyBorder="1" applyAlignment="1" applyProtection="1">
      <protection locked="0"/>
    </xf>
    <xf numFmtId="0" fontId="20" fillId="0" borderId="84" xfId="0" applyFont="1" applyFill="1" applyBorder="1" applyAlignment="1" applyProtection="1">
      <alignment horizontal="center"/>
      <protection locked="0"/>
    </xf>
    <xf numFmtId="0" fontId="20" fillId="0" borderId="84" xfId="0" applyFont="1" applyFill="1" applyBorder="1" applyAlignment="1">
      <alignment horizontal="center" vertical="center"/>
    </xf>
    <xf numFmtId="4" fontId="20" fillId="0" borderId="90" xfId="0" applyNumberFormat="1" applyFont="1" applyFill="1" applyBorder="1" applyAlignment="1" applyProtection="1">
      <alignment horizontal="center" vertical="center"/>
      <protection locked="0"/>
    </xf>
    <xf numFmtId="4" fontId="36" fillId="0" borderId="84" xfId="0" applyNumberFormat="1" applyFont="1" applyFill="1" applyBorder="1" applyProtection="1">
      <protection locked="0"/>
    </xf>
    <xf numFmtId="4" fontId="36" fillId="0" borderId="84" xfId="0" applyNumberFormat="1" applyFont="1" applyFill="1" applyBorder="1" applyAlignment="1" applyProtection="1">
      <alignment horizontal="center"/>
      <protection locked="0"/>
    </xf>
    <xf numFmtId="0" fontId="36" fillId="0" borderId="84" xfId="0" applyFont="1" applyFill="1" applyBorder="1" applyAlignment="1" applyProtection="1">
      <alignment horizontal="center"/>
      <protection locked="0"/>
    </xf>
    <xf numFmtId="2" fontId="36" fillId="0" borderId="84" xfId="0" applyNumberFormat="1" applyFont="1" applyFill="1" applyBorder="1" applyAlignment="1" applyProtection="1">
      <alignment horizontal="center"/>
      <protection locked="0"/>
    </xf>
    <xf numFmtId="3" fontId="84" fillId="0" borderId="84" xfId="0" applyNumberFormat="1" applyFont="1" applyFill="1" applyBorder="1" applyAlignment="1" applyProtection="1">
      <alignment horizontal="center"/>
    </xf>
    <xf numFmtId="0" fontId="36" fillId="0" borderId="84" xfId="0" applyFont="1" applyFill="1" applyBorder="1" applyAlignment="1" applyProtection="1"/>
    <xf numFmtId="14" fontId="36" fillId="0" borderId="84" xfId="0" applyNumberFormat="1" applyFont="1" applyFill="1" applyBorder="1" applyProtection="1">
      <protection locked="0"/>
    </xf>
    <xf numFmtId="14" fontId="36" fillId="0" borderId="84" xfId="0" applyNumberFormat="1" applyFont="1" applyFill="1" applyBorder="1" applyAlignment="1" applyProtection="1">
      <alignment horizontal="center" vertical="center"/>
      <protection locked="0"/>
    </xf>
    <xf numFmtId="1" fontId="36" fillId="0" borderId="84" xfId="0" applyNumberFormat="1" applyFont="1" applyFill="1" applyBorder="1" applyAlignment="1" applyProtection="1">
      <alignment horizontal="center"/>
    </xf>
    <xf numFmtId="1" fontId="36" fillId="0" borderId="84" xfId="0" applyNumberFormat="1" applyFont="1" applyFill="1" applyBorder="1" applyAlignment="1" applyProtection="1">
      <alignment horizontal="center"/>
      <protection locked="0"/>
    </xf>
    <xf numFmtId="4" fontId="36" fillId="0" borderId="84" xfId="0" applyNumberFormat="1" applyFont="1" applyFill="1" applyBorder="1" applyAlignment="1" applyProtection="1">
      <alignment horizontal="center" vertical="center"/>
      <protection locked="0"/>
    </xf>
    <xf numFmtId="4" fontId="20" fillId="0" borderId="84" xfId="0" applyNumberFormat="1" applyFont="1" applyFill="1" applyBorder="1" applyAlignment="1" applyProtection="1">
      <alignment horizontal="center"/>
      <protection locked="0"/>
    </xf>
    <xf numFmtId="4" fontId="20" fillId="0" borderId="84" xfId="0" applyNumberFormat="1" applyFont="1" applyFill="1" applyBorder="1" applyProtection="1">
      <protection locked="0"/>
    </xf>
    <xf numFmtId="4" fontId="38" fillId="0" borderId="84" xfId="0" applyNumberFormat="1" applyFont="1" applyFill="1" applyBorder="1" applyProtection="1">
      <protection locked="0"/>
    </xf>
    <xf numFmtId="4" fontId="38" fillId="0" borderId="84" xfId="0" applyNumberFormat="1" applyFont="1" applyFill="1" applyBorder="1" applyAlignment="1" applyProtection="1">
      <alignment horizontal="center"/>
      <protection locked="0"/>
    </xf>
    <xf numFmtId="0" fontId="36" fillId="0" borderId="86" xfId="0" applyFont="1" applyFill="1" applyBorder="1" applyAlignment="1" applyProtection="1">
      <protection locked="0"/>
    </xf>
    <xf numFmtId="3" fontId="84" fillId="0" borderId="84" xfId="0" applyNumberFormat="1" applyFont="1" applyFill="1" applyBorder="1" applyAlignment="1" applyProtection="1">
      <alignment horizontal="center" vertical="center"/>
    </xf>
    <xf numFmtId="0" fontId="36" fillId="0" borderId="84" xfId="0" applyFont="1" applyFill="1" applyBorder="1" applyAlignment="1" applyProtection="1">
      <alignment vertical="center"/>
    </xf>
    <xf numFmtId="0" fontId="36" fillId="0" borderId="84" xfId="0" applyFont="1" applyFill="1" applyBorder="1" applyAlignment="1" applyProtection="1">
      <alignment horizontal="center" vertical="center"/>
      <protection locked="0"/>
    </xf>
    <xf numFmtId="14" fontId="36" fillId="0" borderId="84" xfId="0" applyNumberFormat="1" applyFont="1" applyFill="1" applyBorder="1" applyAlignment="1" applyProtection="1">
      <alignment vertical="center"/>
      <protection locked="0"/>
    </xf>
    <xf numFmtId="1" fontId="36" fillId="0" borderId="84" xfId="0" applyNumberFormat="1" applyFont="1" applyFill="1" applyBorder="1" applyAlignment="1" applyProtection="1">
      <alignment horizontal="center" vertical="center"/>
    </xf>
    <xf numFmtId="1" fontId="36" fillId="0" borderId="84" xfId="0" applyNumberFormat="1" applyFont="1" applyFill="1" applyBorder="1" applyAlignment="1" applyProtection="1">
      <alignment horizontal="center" vertical="center"/>
      <protection locked="0"/>
    </xf>
    <xf numFmtId="0" fontId="36" fillId="0" borderId="84" xfId="0" applyFont="1" applyFill="1" applyBorder="1" applyAlignment="1" applyProtection="1">
      <alignment vertical="center"/>
      <protection locked="0"/>
    </xf>
    <xf numFmtId="4" fontId="36" fillId="0" borderId="84" xfId="0" applyNumberFormat="1" applyFont="1" applyFill="1" applyBorder="1" applyAlignment="1" applyProtection="1">
      <alignment horizontal="center" vertical="center"/>
    </xf>
    <xf numFmtId="4" fontId="36" fillId="0" borderId="90" xfId="0" applyNumberFormat="1" applyFont="1" applyFill="1" applyBorder="1" applyAlignment="1" applyProtection="1">
      <alignment horizontal="center" vertical="center"/>
      <protection locked="0"/>
    </xf>
    <xf numFmtId="14" fontId="36" fillId="0" borderId="84" xfId="0" applyNumberFormat="1" applyFont="1" applyFill="1" applyBorder="1" applyAlignment="1" applyProtection="1">
      <alignment horizontal="center"/>
      <protection locked="0"/>
    </xf>
    <xf numFmtId="0" fontId="36" fillId="0" borderId="84" xfId="0" applyFont="1" applyFill="1" applyBorder="1" applyProtection="1"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36" fillId="0" borderId="84" xfId="0" applyNumberFormat="1" applyFont="1" applyFill="1" applyBorder="1" applyAlignment="1" applyProtection="1">
      <protection locked="0"/>
    </xf>
    <xf numFmtId="4" fontId="20" fillId="0" borderId="84" xfId="0" applyNumberFormat="1" applyFont="1" applyFill="1" applyBorder="1" applyAlignment="1" applyProtection="1">
      <alignment horizontal="center" vertical="center"/>
      <protection locked="0"/>
    </xf>
    <xf numFmtId="14" fontId="36" fillId="0" borderId="84" xfId="0" applyNumberFormat="1" applyFont="1" applyFill="1" applyBorder="1" applyAlignment="1" applyProtection="1">
      <alignment horizontal="right"/>
    </xf>
    <xf numFmtId="14" fontId="36" fillId="0" borderId="84" xfId="0" applyNumberFormat="1" applyFont="1" applyFill="1" applyBorder="1" applyAlignment="1" applyProtection="1">
      <alignment horizontal="center"/>
    </xf>
    <xf numFmtId="0" fontId="106" fillId="0" borderId="79" xfId="0" applyFont="1" applyFill="1" applyBorder="1" applyAlignment="1" applyProtection="1">
      <alignment horizontal="left" vertical="center"/>
    </xf>
    <xf numFmtId="3" fontId="36" fillId="0" borderId="84" xfId="0" applyNumberFormat="1" applyFont="1" applyFill="1" applyBorder="1" applyAlignment="1" applyProtection="1">
      <alignment horizontal="right"/>
      <protection locked="0"/>
    </xf>
    <xf numFmtId="0" fontId="36" fillId="0" borderId="84" xfId="0" applyNumberFormat="1" applyFont="1" applyFill="1" applyBorder="1" applyAlignment="1" applyProtection="1">
      <alignment horizontal="left"/>
      <protection locked="0"/>
    </xf>
    <xf numFmtId="14" fontId="36" fillId="0" borderId="84" xfId="0" applyNumberFormat="1" applyFont="1" applyFill="1" applyBorder="1" applyAlignment="1" applyProtection="1">
      <alignment horizontal="right"/>
      <protection locked="0"/>
    </xf>
    <xf numFmtId="0" fontId="1" fillId="4" borderId="0" xfId="0" applyFont="1" applyFill="1" applyAlignment="1" applyProtection="1">
      <alignment horizontal="left" vertical="center"/>
      <protection locked="0"/>
    </xf>
    <xf numFmtId="3" fontId="0" fillId="43" borderId="91" xfId="0" applyNumberFormat="1" applyFill="1" applyBorder="1"/>
    <xf numFmtId="0" fontId="0" fillId="43" borderId="91" xfId="0" applyFill="1" applyBorder="1"/>
    <xf numFmtId="0" fontId="0" fillId="43" borderId="91" xfId="0" applyFill="1" applyBorder="1" applyAlignment="1">
      <alignment horizontal="center"/>
    </xf>
    <xf numFmtId="0" fontId="0" fillId="43" borderId="91" xfId="0" applyFill="1" applyBorder="1" applyAlignment="1">
      <alignment horizontal="center" vertical="center"/>
    </xf>
    <xf numFmtId="14" fontId="0" fillId="43" borderId="91" xfId="0" applyNumberFormat="1" applyFill="1" applyBorder="1" applyAlignment="1">
      <alignment horizontal="center" vertical="center"/>
    </xf>
    <xf numFmtId="3" fontId="0" fillId="43" borderId="92" xfId="0" applyNumberFormat="1" applyFill="1" applyBorder="1"/>
    <xf numFmtId="0" fontId="0" fillId="43" borderId="92" xfId="0" applyFill="1" applyBorder="1"/>
    <xf numFmtId="0" fontId="0" fillId="43" borderId="92" xfId="0" applyFont="1" applyFill="1" applyBorder="1" applyAlignment="1">
      <alignment horizontal="center"/>
    </xf>
    <xf numFmtId="0" fontId="0" fillId="43" borderId="92" xfId="0" applyFill="1" applyBorder="1" applyAlignment="1">
      <alignment horizontal="center" vertical="center"/>
    </xf>
    <xf numFmtId="14" fontId="0" fillId="43" borderId="92" xfId="0" applyNumberFormat="1" applyFill="1" applyBorder="1" applyAlignment="1">
      <alignment horizontal="center" vertical="center"/>
    </xf>
    <xf numFmtId="3" fontId="0" fillId="43" borderId="93" xfId="0" applyNumberFormat="1" applyFill="1" applyBorder="1"/>
    <xf numFmtId="0" fontId="0" fillId="43" borderId="93" xfId="0" applyFill="1" applyBorder="1"/>
    <xf numFmtId="0" fontId="0" fillId="43" borderId="93" xfId="0" applyFont="1" applyFill="1" applyBorder="1" applyAlignment="1">
      <alignment horizontal="center"/>
    </xf>
    <xf numFmtId="0" fontId="0" fillId="43" borderId="93" xfId="0" applyFill="1" applyBorder="1" applyAlignment="1">
      <alignment horizontal="center" vertical="center"/>
    </xf>
    <xf numFmtId="14" fontId="0" fillId="43" borderId="93" xfId="0" applyNumberFormat="1" applyFill="1" applyBorder="1" applyAlignment="1">
      <alignment horizontal="center" vertical="center"/>
    </xf>
    <xf numFmtId="3" fontId="36" fillId="0" borderId="94" xfId="0" applyNumberFormat="1" applyFont="1" applyFill="1" applyBorder="1" applyAlignment="1" applyProtection="1">
      <alignment horizontal="center" vertical="center"/>
      <protection locked="0"/>
    </xf>
    <xf numFmtId="0" fontId="76" fillId="0" borderId="17" xfId="0" applyFont="1" applyFill="1" applyBorder="1" applyAlignment="1" applyProtection="1">
      <alignment horizontal="center" vertical="center"/>
    </xf>
    <xf numFmtId="3" fontId="36" fillId="4" borderId="22" xfId="0" applyNumberFormat="1" applyFont="1" applyFill="1" applyBorder="1" applyAlignment="1" applyProtection="1">
      <alignment horizontal="center" vertical="center"/>
      <protection locked="0"/>
    </xf>
    <xf numFmtId="0" fontId="36" fillId="45" borderId="22" xfId="0" applyFont="1" applyFill="1" applyBorder="1" applyAlignment="1" applyProtection="1">
      <alignment vertical="center"/>
      <protection locked="0"/>
    </xf>
    <xf numFmtId="0" fontId="76" fillId="0" borderId="18" xfId="0" applyFont="1" applyFill="1" applyBorder="1" applyAlignment="1" applyProtection="1">
      <alignment horizontal="center" vertical="center"/>
    </xf>
    <xf numFmtId="3" fontId="36" fillId="4" borderId="94" xfId="0" applyNumberFormat="1" applyFont="1" applyFill="1" applyBorder="1" applyAlignment="1" applyProtection="1">
      <alignment horizontal="center" vertical="center"/>
      <protection locked="0"/>
    </xf>
    <xf numFmtId="0" fontId="36" fillId="45" borderId="94" xfId="0" applyFont="1" applyFill="1" applyBorder="1" applyAlignment="1" applyProtection="1">
      <alignment vertical="center"/>
      <protection locked="0"/>
    </xf>
    <xf numFmtId="0" fontId="36" fillId="4" borderId="95" xfId="0" applyFont="1" applyFill="1" applyBorder="1" applyAlignment="1" applyProtection="1">
      <alignment vertical="center"/>
      <protection locked="0"/>
    </xf>
    <xf numFmtId="3" fontId="36" fillId="4" borderId="19" xfId="0" applyNumberFormat="1" applyFont="1" applyFill="1" applyBorder="1" applyAlignment="1" applyProtection="1">
      <alignment horizontal="center" vertical="center"/>
      <protection locked="0"/>
    </xf>
    <xf numFmtId="0" fontId="36" fillId="45" borderId="19" xfId="0" applyFont="1" applyFill="1" applyBorder="1" applyAlignment="1" applyProtection="1">
      <alignment vertical="center"/>
      <protection locked="0"/>
    </xf>
    <xf numFmtId="0" fontId="36" fillId="4" borderId="60" xfId="0" applyFont="1" applyFill="1" applyBorder="1" applyAlignment="1" applyProtection="1">
      <alignment vertical="center"/>
      <protection locked="0"/>
    </xf>
    <xf numFmtId="0" fontId="36" fillId="4" borderId="34" xfId="0" applyFont="1" applyFill="1" applyBorder="1" applyAlignment="1" applyProtection="1">
      <alignment vertical="center"/>
      <protection locked="0"/>
    </xf>
    <xf numFmtId="0" fontId="36" fillId="0" borderId="94" xfId="0" applyFont="1" applyFill="1" applyBorder="1" applyAlignment="1" applyProtection="1">
      <alignment vertical="center"/>
      <protection locked="0"/>
    </xf>
    <xf numFmtId="0" fontId="36" fillId="0" borderId="95" xfId="0" applyFont="1" applyFill="1" applyBorder="1" applyAlignment="1" applyProtection="1">
      <alignment vertical="center"/>
      <protection locked="0"/>
    </xf>
    <xf numFmtId="0" fontId="36" fillId="0" borderId="95" xfId="0" applyFont="1" applyFill="1" applyBorder="1" applyAlignment="1" applyProtection="1">
      <alignment horizontal="left" vertical="center"/>
      <protection locked="0"/>
    </xf>
    <xf numFmtId="0" fontId="23" fillId="4" borderId="63" xfId="0" applyFont="1" applyFill="1" applyBorder="1" applyAlignment="1" applyProtection="1">
      <alignment vertical="center"/>
      <protection locked="0"/>
    </xf>
    <xf numFmtId="0" fontId="23" fillId="4" borderId="81" xfId="0" applyFont="1" applyFill="1" applyBorder="1" applyAlignment="1" applyProtection="1">
      <alignment horizontal="center" vertical="center"/>
      <protection locked="0"/>
    </xf>
    <xf numFmtId="3" fontId="23" fillId="4" borderId="81" xfId="0" applyNumberFormat="1" applyFont="1" applyFill="1" applyBorder="1" applyAlignment="1" applyProtection="1">
      <alignment horizontal="center" vertical="center"/>
      <protection locked="0"/>
    </xf>
    <xf numFmtId="0" fontId="23" fillId="4" borderId="95" xfId="0" applyFont="1" applyFill="1" applyBorder="1" applyAlignment="1" applyProtection="1">
      <alignment vertical="center"/>
      <protection locked="0"/>
    </xf>
    <xf numFmtId="0" fontId="23" fillId="4" borderId="98" xfId="0" applyFont="1" applyFill="1" applyBorder="1" applyAlignment="1" applyProtection="1">
      <alignment horizontal="center" vertical="center"/>
      <protection locked="0"/>
    </xf>
    <xf numFmtId="14" fontId="23" fillId="4" borderId="96" xfId="0" applyNumberFormat="1" applyFont="1" applyFill="1" applyBorder="1" applyAlignment="1" applyProtection="1">
      <alignment horizontal="center" vertical="center"/>
      <protection locked="0"/>
    </xf>
    <xf numFmtId="0" fontId="86" fillId="4" borderId="5" xfId="0" applyFont="1" applyFill="1" applyBorder="1" applyAlignment="1" applyProtection="1">
      <alignment horizontal="left" vertical="center"/>
      <protection locked="0"/>
    </xf>
    <xf numFmtId="0" fontId="12" fillId="4" borderId="74" xfId="0" applyFont="1" applyFill="1" applyBorder="1" applyAlignment="1" applyProtection="1">
      <alignment horizontal="center" vertical="center"/>
      <protection locked="0"/>
    </xf>
    <xf numFmtId="14" fontId="12" fillId="4" borderId="47" xfId="0" applyNumberFormat="1" applyFont="1" applyFill="1" applyBorder="1" applyAlignment="1" applyProtection="1">
      <alignment horizontal="center" vertical="center"/>
      <protection locked="0"/>
    </xf>
    <xf numFmtId="0" fontId="12" fillId="4" borderId="98" xfId="0" applyFont="1" applyFill="1" applyBorder="1" applyAlignment="1" applyProtection="1">
      <alignment horizontal="center" vertical="center"/>
      <protection locked="0"/>
    </xf>
    <xf numFmtId="14" fontId="12" fillId="4" borderId="96" xfId="0" applyNumberFormat="1" applyFont="1" applyFill="1" applyBorder="1" applyAlignment="1" applyProtection="1">
      <alignment horizontal="center" vertical="center"/>
      <protection locked="0"/>
    </xf>
    <xf numFmtId="0" fontId="12" fillId="4" borderId="98" xfId="0" applyFont="1" applyFill="1" applyBorder="1" applyAlignment="1" applyProtection="1">
      <alignment vertical="center"/>
      <protection locked="0"/>
    </xf>
    <xf numFmtId="0" fontId="12" fillId="4" borderId="99" xfId="0" applyFont="1" applyFill="1" applyBorder="1" applyAlignment="1" applyProtection="1">
      <alignment vertical="center"/>
      <protection locked="0"/>
    </xf>
    <xf numFmtId="14" fontId="12" fillId="4" borderId="97" xfId="0" applyNumberFormat="1" applyFont="1" applyFill="1" applyBorder="1" applyAlignment="1" applyProtection="1">
      <alignment horizontal="center" vertical="center"/>
      <protection locked="0"/>
    </xf>
    <xf numFmtId="0" fontId="36" fillId="4" borderId="74" xfId="0" applyFont="1" applyFill="1" applyBorder="1" applyAlignment="1" applyProtection="1">
      <alignment horizontal="center" vertical="center"/>
      <protection locked="0"/>
    </xf>
    <xf numFmtId="0" fontId="36" fillId="4" borderId="98" xfId="0" applyFont="1" applyFill="1" applyBorder="1" applyAlignment="1" applyProtection="1">
      <alignment horizontal="center" vertical="center"/>
      <protection locked="0"/>
    </xf>
    <xf numFmtId="0" fontId="36" fillId="4" borderId="98" xfId="0" applyFont="1" applyFill="1" applyBorder="1" applyAlignment="1" applyProtection="1">
      <alignment vertical="center"/>
      <protection locked="0"/>
    </xf>
    <xf numFmtId="0" fontId="36" fillId="4" borderId="99" xfId="0" applyFont="1" applyFill="1" applyBorder="1" applyAlignment="1" applyProtection="1">
      <alignment vertical="center"/>
      <protection locked="0"/>
    </xf>
    <xf numFmtId="0" fontId="36" fillId="0" borderId="98" xfId="0" applyFont="1" applyFill="1" applyBorder="1" applyAlignment="1" applyProtection="1">
      <alignment vertical="center"/>
      <protection locked="0"/>
    </xf>
    <xf numFmtId="0" fontId="36" fillId="0" borderId="98" xfId="0" applyFont="1" applyFill="1" applyBorder="1" applyAlignment="1" applyProtection="1">
      <alignment horizontal="left" vertical="center"/>
      <protection locked="0"/>
    </xf>
    <xf numFmtId="0" fontId="12" fillId="4" borderId="98" xfId="0" applyFont="1" applyFill="1" applyBorder="1" applyAlignment="1">
      <alignment horizontal="center" vertical="center"/>
    </xf>
    <xf numFmtId="0" fontId="36" fillId="4" borderId="5" xfId="0" applyFont="1" applyFill="1" applyBorder="1" applyAlignment="1" applyProtection="1">
      <alignment horizontal="center" vertical="center"/>
      <protection locked="0"/>
    </xf>
    <xf numFmtId="0" fontId="86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36" fillId="0" borderId="0" xfId="0" applyFont="1" applyFill="1" applyBorder="1" applyAlignment="1" applyProtection="1">
      <alignment horizontal="center" vertical="center"/>
      <protection locked="0"/>
    </xf>
    <xf numFmtId="0" fontId="12" fillId="4" borderId="101" xfId="0" applyFont="1" applyFill="1" applyBorder="1" applyAlignment="1" applyProtection="1">
      <alignment horizontal="center" vertical="center"/>
      <protection locked="0"/>
    </xf>
    <xf numFmtId="0" fontId="76" fillId="0" borderId="102" xfId="0" applyFont="1" applyFill="1" applyBorder="1" applyAlignment="1" applyProtection="1">
      <alignment vertical="center"/>
    </xf>
    <xf numFmtId="0" fontId="12" fillId="4" borderId="102" xfId="0" applyFont="1" applyFill="1" applyBorder="1" applyAlignment="1" applyProtection="1">
      <alignment horizontal="center" vertical="center"/>
      <protection locked="0"/>
    </xf>
    <xf numFmtId="0" fontId="36" fillId="4" borderId="102" xfId="0" applyFont="1" applyFill="1" applyBorder="1" applyAlignment="1" applyProtection="1">
      <alignment vertical="center"/>
      <protection locked="0"/>
    </xf>
    <xf numFmtId="0" fontId="12" fillId="4" borderId="102" xfId="0" applyFont="1" applyFill="1" applyBorder="1" applyAlignment="1" applyProtection="1">
      <alignment vertical="center"/>
      <protection locked="0"/>
    </xf>
    <xf numFmtId="0" fontId="36" fillId="4" borderId="102" xfId="0" applyFont="1" applyFill="1" applyBorder="1" applyAlignment="1" applyProtection="1">
      <alignment horizontal="center" vertical="center"/>
      <protection locked="0"/>
    </xf>
    <xf numFmtId="14" fontId="12" fillId="4" borderId="103" xfId="0" applyNumberFormat="1" applyFont="1" applyFill="1" applyBorder="1" applyAlignment="1" applyProtection="1">
      <alignment horizontal="center" vertical="center"/>
      <protection locked="0"/>
    </xf>
    <xf numFmtId="0" fontId="86" fillId="4" borderId="3" xfId="0" applyFont="1" applyFill="1" applyBorder="1" applyAlignment="1" applyProtection="1">
      <alignment horizontal="left" vertical="center"/>
      <protection locked="0"/>
    </xf>
    <xf numFmtId="0" fontId="86" fillId="4" borderId="3" xfId="0" applyFont="1" applyFill="1" applyBorder="1" applyAlignment="1" applyProtection="1">
      <alignment horizontal="center" vertical="center"/>
      <protection locked="0"/>
    </xf>
    <xf numFmtId="0" fontId="12" fillId="0" borderId="64" xfId="0" applyFont="1" applyFill="1" applyBorder="1" applyAlignment="1" applyProtection="1">
      <alignment horizontal="center" vertical="center"/>
      <protection locked="0"/>
    </xf>
    <xf numFmtId="14" fontId="12" fillId="0" borderId="65" xfId="0" applyNumberFormat="1" applyFont="1" applyFill="1" applyBorder="1" applyAlignment="1" applyProtection="1">
      <alignment horizontal="center" vertical="center"/>
      <protection locked="0"/>
    </xf>
    <xf numFmtId="0" fontId="86" fillId="0" borderId="64" xfId="0" applyFont="1" applyFill="1" applyBorder="1" applyAlignment="1" applyProtection="1">
      <alignment horizontal="center" vertical="center"/>
      <protection locked="0"/>
    </xf>
    <xf numFmtId="0" fontId="12" fillId="0" borderId="42" xfId="0" applyFont="1" applyFill="1" applyBorder="1" applyAlignment="1" applyProtection="1">
      <alignment horizontal="center" vertical="center"/>
      <protection locked="0"/>
    </xf>
    <xf numFmtId="3" fontId="49" fillId="0" borderId="31" xfId="0" applyNumberFormat="1" applyFont="1" applyFill="1" applyBorder="1" applyAlignment="1">
      <alignment horizontal="center" vertical="center"/>
    </xf>
    <xf numFmtId="0" fontId="36" fillId="0" borderId="31" xfId="0" applyFont="1" applyFill="1" applyBorder="1" applyAlignment="1" applyProtection="1">
      <alignment vertical="center"/>
      <protection locked="0"/>
    </xf>
    <xf numFmtId="0" fontId="12" fillId="0" borderId="31" xfId="0" applyFont="1" applyFill="1" applyBorder="1" applyAlignment="1" applyProtection="1">
      <alignment vertical="center"/>
      <protection locked="0"/>
    </xf>
    <xf numFmtId="0" fontId="12" fillId="0" borderId="31" xfId="0" applyFont="1" applyFill="1" applyBorder="1" applyAlignment="1" applyProtection="1">
      <alignment horizontal="center" vertical="center"/>
      <protection locked="0"/>
    </xf>
    <xf numFmtId="14" fontId="12" fillId="0" borderId="40" xfId="0" applyNumberFormat="1" applyFont="1" applyFill="1" applyBorder="1" applyAlignment="1" applyProtection="1">
      <alignment horizontal="center" vertical="center"/>
      <protection locked="0"/>
    </xf>
    <xf numFmtId="0" fontId="36" fillId="0" borderId="31" xfId="0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horizontal="left" vertical="center"/>
    </xf>
    <xf numFmtId="0" fontId="76" fillId="0" borderId="31" xfId="0" applyFont="1" applyFill="1" applyBorder="1" applyAlignment="1" applyProtection="1">
      <alignment horizontal="left" vertical="center"/>
    </xf>
    <xf numFmtId="3" fontId="116" fillId="0" borderId="36" xfId="0" applyNumberFormat="1" applyFont="1" applyFill="1" applyBorder="1" applyAlignment="1" applyProtection="1">
      <alignment horizontal="left" vertical="center"/>
    </xf>
    <xf numFmtId="0" fontId="36" fillId="0" borderId="3" xfId="0" applyFont="1" applyFill="1" applyBorder="1" applyAlignment="1" applyProtection="1">
      <alignment vertical="center"/>
    </xf>
    <xf numFmtId="0" fontId="36" fillId="0" borderId="3" xfId="0" applyFont="1" applyFill="1" applyBorder="1" applyAlignment="1" applyProtection="1">
      <alignment horizontal="center" vertical="center"/>
      <protection locked="0"/>
    </xf>
    <xf numFmtId="14" fontId="36" fillId="0" borderId="3" xfId="0" applyNumberFormat="1" applyFont="1" applyFill="1" applyBorder="1" applyAlignment="1" applyProtection="1">
      <alignment vertical="center"/>
      <protection locked="0"/>
    </xf>
    <xf numFmtId="14" fontId="36" fillId="0" borderId="3" xfId="0" applyNumberFormat="1" applyFont="1" applyFill="1" applyBorder="1" applyAlignment="1" applyProtection="1">
      <alignment horizontal="left" vertical="center"/>
      <protection locked="0"/>
    </xf>
    <xf numFmtId="1" fontId="36" fillId="0" borderId="3" xfId="0" applyNumberFormat="1" applyFont="1" applyFill="1" applyBorder="1" applyAlignment="1" applyProtection="1">
      <alignment horizontal="center" vertical="center"/>
    </xf>
    <xf numFmtId="1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100" fillId="0" borderId="3" xfId="0" applyFont="1" applyFill="1" applyBorder="1" applyAlignment="1" applyProtection="1">
      <alignment horizontal="right" vertical="center"/>
    </xf>
    <xf numFmtId="1" fontId="36" fillId="0" borderId="3" xfId="0" applyNumberFormat="1" applyFont="1" applyFill="1" applyBorder="1" applyAlignment="1" applyProtection="1">
      <alignment horizontal="left" vertical="center"/>
      <protection locked="0"/>
    </xf>
    <xf numFmtId="1" fontId="36" fillId="0" borderId="3" xfId="0" applyNumberFormat="1" applyFont="1" applyFill="1" applyBorder="1" applyAlignment="1" applyProtection="1">
      <alignment horizontal="center" vertical="center"/>
      <protection locked="0"/>
    </xf>
    <xf numFmtId="0" fontId="36" fillId="0" borderId="10" xfId="0" applyFont="1" applyFill="1" applyBorder="1" applyAlignment="1" applyProtection="1">
      <alignment vertical="center"/>
      <protection locked="0"/>
    </xf>
    <xf numFmtId="0" fontId="20" fillId="0" borderId="60" xfId="0" applyFont="1" applyFill="1" applyBorder="1" applyAlignment="1" applyProtection="1">
      <alignment horizontal="left" vertical="center"/>
      <protection locked="0"/>
    </xf>
    <xf numFmtId="0" fontId="20" fillId="0" borderId="99" xfId="0" applyFont="1" applyFill="1" applyBorder="1" applyAlignment="1" applyProtection="1">
      <protection locked="0"/>
    </xf>
    <xf numFmtId="0" fontId="20" fillId="0" borderId="99" xfId="0" applyFont="1" applyFill="1" applyBorder="1" applyAlignment="1" applyProtection="1">
      <alignment horizontal="left"/>
      <protection locked="0"/>
    </xf>
    <xf numFmtId="0" fontId="20" fillId="0" borderId="80" xfId="0" applyFont="1" applyFill="1" applyBorder="1" applyAlignment="1" applyProtection="1">
      <protection locked="0"/>
    </xf>
    <xf numFmtId="0" fontId="20" fillId="0" borderId="3" xfId="0" applyFont="1" applyFill="1" applyBorder="1" applyAlignment="1" applyProtection="1">
      <protection locked="0"/>
    </xf>
    <xf numFmtId="0" fontId="20" fillId="0" borderId="3" xfId="0" applyFont="1" applyFill="1" applyBorder="1" applyAlignment="1" applyProtection="1">
      <alignment horizontal="left"/>
      <protection locked="0"/>
    </xf>
    <xf numFmtId="0" fontId="100" fillId="0" borderId="3" xfId="0" applyFont="1" applyFill="1" applyBorder="1" applyAlignment="1" applyProtection="1">
      <alignment horizontal="right"/>
    </xf>
    <xf numFmtId="0" fontId="20" fillId="0" borderId="10" xfId="0" applyFont="1" applyFill="1" applyBorder="1" applyAlignment="1" applyProtection="1">
      <protection locked="0"/>
    </xf>
    <xf numFmtId="0" fontId="20" fillId="0" borderId="36" xfId="0" applyFont="1" applyFill="1" applyBorder="1" applyAlignment="1" applyProtection="1">
      <alignment vertical="center"/>
      <protection locked="0"/>
    </xf>
    <xf numFmtId="0" fontId="111" fillId="0" borderId="10" xfId="0" applyFont="1" applyFill="1" applyBorder="1" applyAlignment="1" applyProtection="1">
      <alignment horizontal="left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0" fontId="38" fillId="0" borderId="2" xfId="0" applyFont="1" applyFill="1" applyBorder="1" applyAlignment="1" applyProtection="1">
      <alignment horizontal="left" vertical="center"/>
      <protection locked="0"/>
    </xf>
    <xf numFmtId="0" fontId="20" fillId="0" borderId="26" xfId="0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Protection="1">
      <protection locked="0"/>
    </xf>
    <xf numFmtId="4" fontId="36" fillId="0" borderId="0" xfId="0" applyNumberFormat="1" applyFont="1" applyFill="1" applyBorder="1" applyAlignment="1" applyProtection="1">
      <alignment horizontal="center"/>
      <protection locked="0"/>
    </xf>
    <xf numFmtId="4" fontId="36" fillId="0" borderId="0" xfId="0" applyNumberFormat="1" applyFont="1" applyFill="1" applyBorder="1" applyProtection="1">
      <protection locked="0"/>
    </xf>
    <xf numFmtId="4" fontId="20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0" borderId="28" xfId="0" applyNumberFormat="1" applyFont="1" applyFill="1" applyBorder="1" applyAlignment="1" applyProtection="1">
      <alignment horizontal="center" vertic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Protection="1">
      <protection locked="0"/>
    </xf>
    <xf numFmtId="0" fontId="20" fillId="0" borderId="2" xfId="0" applyFont="1" applyFill="1" applyBorder="1" applyAlignment="1" applyProtection="1">
      <alignment horizontal="center" vertical="center"/>
      <protection locked="0"/>
    </xf>
    <xf numFmtId="4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0" borderId="36" xfId="0" applyFont="1" applyFill="1" applyBorder="1" applyAlignment="1" applyProtection="1">
      <protection locked="0"/>
    </xf>
    <xf numFmtId="0" fontId="20" fillId="0" borderId="36" xfId="0" applyFont="1" applyFill="1" applyBorder="1" applyAlignment="1" applyProtection="1">
      <alignment horizontal="left"/>
      <protection locked="0"/>
    </xf>
    <xf numFmtId="0" fontId="20" fillId="0" borderId="36" xfId="0" applyFont="1" applyFill="1" applyBorder="1" applyAlignment="1" applyProtection="1">
      <alignment horizontal="left" vertical="center"/>
      <protection locked="0"/>
    </xf>
    <xf numFmtId="0" fontId="36" fillId="0" borderId="3" xfId="0" applyFont="1" applyFill="1" applyBorder="1" applyAlignment="1" applyProtection="1"/>
    <xf numFmtId="0" fontId="36" fillId="0" borderId="3" xfId="0" applyFont="1" applyFill="1" applyBorder="1" applyAlignment="1" applyProtection="1">
      <alignment horizontal="center"/>
      <protection locked="0"/>
    </xf>
    <xf numFmtId="14" fontId="36" fillId="0" borderId="3" xfId="0" applyNumberFormat="1" applyFont="1" applyFill="1" applyBorder="1" applyProtection="1">
      <protection locked="0"/>
    </xf>
    <xf numFmtId="14" fontId="36" fillId="0" borderId="3" xfId="0" applyNumberFormat="1" applyFont="1" applyFill="1" applyBorder="1" applyAlignment="1" applyProtection="1">
      <alignment horizontal="left"/>
      <protection locked="0"/>
    </xf>
    <xf numFmtId="1" fontId="36" fillId="0" borderId="3" xfId="0" applyNumberFormat="1" applyFont="1" applyFill="1" applyBorder="1" applyAlignment="1" applyProtection="1">
      <alignment horizontal="center"/>
    </xf>
    <xf numFmtId="1" fontId="36" fillId="0" borderId="3" xfId="0" applyNumberFormat="1" applyFont="1" applyFill="1" applyBorder="1" applyAlignment="1" applyProtection="1">
      <alignment horizontal="center"/>
      <protection locked="0"/>
    </xf>
    <xf numFmtId="1" fontId="36" fillId="0" borderId="3" xfId="0" applyNumberFormat="1" applyFont="1" applyFill="1" applyBorder="1" applyAlignment="1" applyProtection="1">
      <alignment horizontal="left"/>
      <protection locked="0"/>
    </xf>
    <xf numFmtId="0" fontId="20" fillId="0" borderId="10" xfId="0" applyFont="1" applyFill="1" applyBorder="1" applyAlignment="1" applyProtection="1">
      <alignment horizontal="right" vertical="center"/>
      <protection locked="0"/>
    </xf>
    <xf numFmtId="0" fontId="20" fillId="0" borderId="36" xfId="0" applyFont="1" applyFill="1" applyBorder="1" applyAlignment="1" applyProtection="1">
      <alignment horizontal="left" vertical="center"/>
    </xf>
    <xf numFmtId="0" fontId="20" fillId="0" borderId="10" xfId="0" applyFont="1" applyFill="1" applyBorder="1" applyAlignment="1" applyProtection="1">
      <alignment horizontal="right" vertical="center"/>
    </xf>
    <xf numFmtId="0" fontId="38" fillId="0" borderId="3" xfId="0" applyFont="1" applyFill="1" applyBorder="1" applyAlignment="1" applyProtection="1">
      <alignment horizontal="left" vertical="center"/>
      <protection locked="0"/>
    </xf>
    <xf numFmtId="0" fontId="36" fillId="0" borderId="11" xfId="0" applyFont="1" applyFill="1" applyBorder="1" applyAlignment="1" applyProtection="1">
      <alignment horizontal="center" vertical="center"/>
      <protection locked="0"/>
    </xf>
    <xf numFmtId="0" fontId="109" fillId="0" borderId="7" xfId="0" applyFont="1" applyFill="1" applyBorder="1" applyAlignment="1" applyProtection="1">
      <alignment horizontal="right"/>
    </xf>
    <xf numFmtId="0" fontId="38" fillId="0" borderId="3" xfId="0" applyFont="1" applyFill="1" applyBorder="1" applyAlignment="1" applyProtection="1">
      <alignment horizontal="left"/>
      <protection locked="0"/>
    </xf>
    <xf numFmtId="0" fontId="8" fillId="0" borderId="84" xfId="115" applyBorder="1" applyAlignment="1">
      <alignment horizontal="center" vertical="center"/>
    </xf>
    <xf numFmtId="3" fontId="8" fillId="0" borderId="84" xfId="115" applyNumberFormat="1" applyBorder="1" applyAlignment="1">
      <alignment vertical="center"/>
    </xf>
    <xf numFmtId="14" fontId="8" fillId="0" borderId="84" xfId="115" applyNumberFormat="1" applyBorder="1" applyAlignment="1">
      <alignment vertical="center"/>
    </xf>
    <xf numFmtId="4" fontId="8" fillId="0" borderId="84" xfId="115" applyNumberFormat="1" applyBorder="1" applyAlignment="1">
      <alignment vertical="center"/>
    </xf>
    <xf numFmtId="3" fontId="84" fillId="0" borderId="94" xfId="0" applyNumberFormat="1" applyFont="1" applyFill="1" applyBorder="1" applyAlignment="1" applyProtection="1">
      <alignment horizontal="center"/>
    </xf>
    <xf numFmtId="0" fontId="36" fillId="0" borderId="94" xfId="0" applyFont="1" applyFill="1" applyBorder="1" applyAlignment="1" applyProtection="1"/>
    <xf numFmtId="0" fontId="36" fillId="0" borderId="94" xfId="0" applyFont="1" applyFill="1" applyBorder="1" applyAlignment="1" applyProtection="1">
      <alignment horizontal="center"/>
      <protection locked="0"/>
    </xf>
    <xf numFmtId="1" fontId="36" fillId="0" borderId="94" xfId="0" applyNumberFormat="1" applyFont="1" applyFill="1" applyBorder="1" applyAlignment="1" applyProtection="1">
      <alignment horizontal="center"/>
    </xf>
    <xf numFmtId="1" fontId="36" fillId="0" borderId="94" xfId="0" applyNumberFormat="1" applyFont="1" applyFill="1" applyBorder="1" applyAlignment="1" applyProtection="1">
      <alignment horizontal="center"/>
      <protection locked="0"/>
    </xf>
    <xf numFmtId="4" fontId="36" fillId="0" borderId="94" xfId="0" applyNumberFormat="1" applyFont="1" applyFill="1" applyBorder="1" applyAlignment="1" applyProtection="1">
      <alignment horizontal="center" vertical="center"/>
    </xf>
    <xf numFmtId="4" fontId="36" fillId="0" borderId="94" xfId="0" applyNumberFormat="1" applyFont="1" applyFill="1" applyBorder="1" applyAlignment="1" applyProtection="1">
      <alignment horizontal="center" vertical="center"/>
      <protection locked="0"/>
    </xf>
    <xf numFmtId="4" fontId="36" fillId="0" borderId="104" xfId="0" applyNumberFormat="1" applyFont="1" applyFill="1" applyBorder="1" applyAlignment="1" applyProtection="1">
      <alignment horizontal="center" vertical="center"/>
      <protection locked="0"/>
    </xf>
    <xf numFmtId="14" fontId="36" fillId="0" borderId="94" xfId="0" applyNumberFormat="1" applyFont="1" applyFill="1" applyBorder="1" applyProtection="1">
      <protection locked="0"/>
    </xf>
    <xf numFmtId="14" fontId="36" fillId="0" borderId="94" xfId="0" applyNumberFormat="1" applyFont="1" applyFill="1" applyBorder="1" applyAlignment="1" applyProtection="1">
      <protection locked="0"/>
    </xf>
    <xf numFmtId="4" fontId="20" fillId="0" borderId="94" xfId="0" applyNumberFormat="1" applyFont="1" applyFill="1" applyBorder="1" applyAlignment="1" applyProtection="1">
      <alignment horizontal="center" vertical="center"/>
      <protection locked="0"/>
    </xf>
    <xf numFmtId="4" fontId="20" fillId="0" borderId="104" xfId="0" applyNumberFormat="1" applyFont="1" applyFill="1" applyBorder="1" applyAlignment="1" applyProtection="1">
      <alignment horizontal="center" vertical="center"/>
      <protection locked="0"/>
    </xf>
    <xf numFmtId="4" fontId="20" fillId="0" borderId="96" xfId="0" applyNumberFormat="1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Alignment="1" applyProtection="1">
      <alignment horizontal="center"/>
      <protection locked="0"/>
    </xf>
    <xf numFmtId="2" fontId="36" fillId="0" borderId="94" xfId="0" applyNumberFormat="1" applyFont="1" applyFill="1" applyBorder="1" applyAlignment="1" applyProtection="1">
      <alignment horizontal="center"/>
      <protection locked="0"/>
    </xf>
    <xf numFmtId="0" fontId="36" fillId="0" borderId="100" xfId="0" applyFont="1" applyFill="1" applyBorder="1" applyAlignment="1" applyProtection="1">
      <alignment horizontal="center"/>
      <protection locked="0"/>
    </xf>
    <xf numFmtId="14" fontId="36" fillId="0" borderId="94" xfId="0" applyNumberFormat="1" applyFont="1" applyFill="1" applyBorder="1" applyAlignment="1" applyProtection="1">
      <alignment horizontal="center" vertical="center"/>
      <protection locked="0"/>
    </xf>
    <xf numFmtId="3" fontId="8" fillId="0" borderId="94" xfId="115" applyNumberFormat="1" applyBorder="1"/>
    <xf numFmtId="4" fontId="8" fillId="0" borderId="94" xfId="115" applyNumberFormat="1" applyBorder="1"/>
    <xf numFmtId="3" fontId="0" fillId="43" borderId="94" xfId="0" applyNumberFormat="1" applyFill="1" applyBorder="1"/>
    <xf numFmtId="0" fontId="0" fillId="43" borderId="94" xfId="0" applyFill="1" applyBorder="1"/>
    <xf numFmtId="0" fontId="0" fillId="43" borderId="94" xfId="0" applyFont="1" applyFill="1" applyBorder="1" applyAlignment="1">
      <alignment horizontal="center"/>
    </xf>
    <xf numFmtId="0" fontId="0" fillId="43" borderId="94" xfId="0" applyFill="1" applyBorder="1" applyAlignment="1">
      <alignment horizontal="center" vertical="center"/>
    </xf>
    <xf numFmtId="14" fontId="0" fillId="43" borderId="94" xfId="0" applyNumberFormat="1" applyFill="1" applyBorder="1" applyAlignment="1">
      <alignment horizontal="center" vertical="center"/>
    </xf>
    <xf numFmtId="0" fontId="87" fillId="0" borderId="94" xfId="0" applyFont="1" applyFill="1" applyBorder="1"/>
    <xf numFmtId="0" fontId="87" fillId="0" borderId="94" xfId="0" applyFont="1" applyFill="1" applyBorder="1" applyAlignment="1">
      <alignment horizontal="center"/>
    </xf>
    <xf numFmtId="14" fontId="87" fillId="0" borderId="94" xfId="0" applyNumberFormat="1" applyFont="1" applyFill="1" applyBorder="1" applyAlignment="1">
      <alignment horizontal="center" vertical="center"/>
    </xf>
    <xf numFmtId="0" fontId="0" fillId="0" borderId="94" xfId="0" applyFill="1" applyBorder="1"/>
    <xf numFmtId="0" fontId="0" fillId="0" borderId="94" xfId="0" applyFill="1" applyBorder="1" applyAlignment="1">
      <alignment horizontal="center"/>
    </xf>
    <xf numFmtId="0" fontId="0" fillId="0" borderId="94" xfId="0" applyFill="1" applyBorder="1" applyAlignment="1">
      <alignment horizontal="center" vertical="center"/>
    </xf>
    <xf numFmtId="14" fontId="0" fillId="0" borderId="94" xfId="0" applyNumberFormat="1" applyFill="1" applyBorder="1" applyAlignment="1">
      <alignment horizontal="center" vertical="center"/>
    </xf>
    <xf numFmtId="1" fontId="36" fillId="0" borderId="22" xfId="0" applyNumberFormat="1" applyFont="1" applyFill="1" applyBorder="1" applyAlignment="1" applyProtection="1">
      <alignment horizontal="left" vertical="center" wrapText="1"/>
    </xf>
    <xf numFmtId="1" fontId="36" fillId="0" borderId="94" xfId="0" applyNumberFormat="1" applyFont="1" applyFill="1" applyBorder="1" applyAlignment="1" applyProtection="1">
      <alignment horizontal="center" vertical="center"/>
      <protection locked="0"/>
    </xf>
    <xf numFmtId="3" fontId="1" fillId="0" borderId="94" xfId="0" applyNumberFormat="1" applyFont="1" applyFill="1" applyBorder="1" applyAlignment="1" applyProtection="1">
      <alignment horizontal="center" vertical="center"/>
      <protection locked="0"/>
    </xf>
    <xf numFmtId="4" fontId="12" fillId="3" borderId="0" xfId="0" applyNumberFormat="1" applyFont="1" applyFill="1" applyAlignment="1" applyProtection="1">
      <alignment vertical="center"/>
      <protection locked="0"/>
    </xf>
    <xf numFmtId="0" fontId="36" fillId="0" borderId="94" xfId="0" applyFont="1" applyFill="1" applyBorder="1" applyAlignment="1" applyProtection="1">
      <alignment horizontal="center" vertical="center"/>
      <protection locked="0"/>
    </xf>
    <xf numFmtId="0" fontId="36" fillId="0" borderId="105" xfId="0" applyFont="1" applyFill="1" applyBorder="1" applyAlignment="1" applyProtection="1">
      <alignment horizontal="center"/>
      <protection locked="0"/>
    </xf>
    <xf numFmtId="3" fontId="84" fillId="0" borderId="94" xfId="0" applyNumberFormat="1" applyFont="1" applyFill="1" applyBorder="1" applyAlignment="1" applyProtection="1">
      <alignment horizontal="center" vertical="center"/>
    </xf>
    <xf numFmtId="0" fontId="36" fillId="0" borderId="94" xfId="0" applyFont="1" applyFill="1" applyBorder="1" applyAlignment="1" applyProtection="1">
      <alignment vertical="center"/>
    </xf>
    <xf numFmtId="14" fontId="36" fillId="0" borderId="94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center" vertical="center"/>
    </xf>
    <xf numFmtId="4" fontId="12" fillId="17" borderId="0" xfId="0" applyNumberFormat="1" applyFont="1" applyFill="1" applyAlignment="1" applyProtection="1">
      <alignment vertical="center"/>
      <protection locked="0"/>
    </xf>
    <xf numFmtId="4" fontId="1" fillId="0" borderId="0" xfId="0" quotePrefix="1" applyNumberFormat="1" applyFont="1" applyFill="1" applyAlignment="1" applyProtection="1">
      <alignment vertical="center"/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1" fillId="0" borderId="0" xfId="0" quotePrefix="1" applyFont="1" applyFill="1" applyAlignment="1" applyProtection="1">
      <alignment vertical="center"/>
      <protection locked="0"/>
    </xf>
    <xf numFmtId="4" fontId="12" fillId="0" borderId="0" xfId="0" applyNumberFormat="1" applyFont="1" applyFill="1" applyAlignment="1">
      <alignment vertical="center"/>
    </xf>
    <xf numFmtId="1" fontId="36" fillId="0" borderId="94" xfId="0" applyNumberFormat="1" applyFont="1" applyFill="1" applyBorder="1" applyAlignment="1" applyProtection="1">
      <alignment horizontal="left" vertical="center" wrapText="1"/>
    </xf>
    <xf numFmtId="0" fontId="37" fillId="0" borderId="94" xfId="0" applyFont="1" applyFill="1" applyBorder="1" applyAlignment="1" applyProtection="1">
      <alignment horizontal="center" vertical="center"/>
      <protection locked="0"/>
    </xf>
    <xf numFmtId="2" fontId="36" fillId="0" borderId="94" xfId="0" applyNumberFormat="1" applyFont="1" applyFill="1" applyBorder="1" applyAlignment="1" applyProtection="1">
      <alignment horizontal="center" vertical="center"/>
    </xf>
    <xf numFmtId="3" fontId="47" fillId="0" borderId="94" xfId="0" applyNumberFormat="1" applyFont="1" applyFill="1" applyBorder="1" applyAlignment="1" applyProtection="1">
      <alignment horizontal="center" vertical="center"/>
    </xf>
    <xf numFmtId="0" fontId="37" fillId="0" borderId="94" xfId="0" applyFont="1" applyFill="1" applyBorder="1" applyAlignment="1" applyProtection="1">
      <alignment vertical="center"/>
    </xf>
    <xf numFmtId="14" fontId="37" fillId="0" borderId="94" xfId="0" applyNumberFormat="1" applyFont="1" applyFill="1" applyBorder="1" applyAlignment="1" applyProtection="1">
      <alignment horizontal="center" vertical="center"/>
    </xf>
    <xf numFmtId="1" fontId="36" fillId="0" borderId="94" xfId="0" quotePrefix="1" applyNumberFormat="1" applyFont="1" applyFill="1" applyBorder="1" applyAlignment="1" applyProtection="1">
      <alignment horizontal="center" vertical="center"/>
      <protection locked="0"/>
    </xf>
    <xf numFmtId="0" fontId="117" fillId="0" borderId="0" xfId="0" applyFont="1"/>
    <xf numFmtId="4" fontId="1" fillId="0" borderId="0" xfId="0" applyNumberFormat="1" applyFont="1" applyFill="1" applyAlignment="1" applyProtection="1">
      <alignment vertical="center"/>
      <protection locked="0"/>
    </xf>
    <xf numFmtId="0" fontId="117" fillId="0" borderId="0" xfId="0" applyFont="1" applyFill="1"/>
    <xf numFmtId="4" fontId="17" fillId="0" borderId="102" xfId="0" applyNumberFormat="1" applyFont="1" applyFill="1" applyBorder="1" applyAlignment="1" applyProtection="1">
      <alignment horizontal="center" vertical="center"/>
      <protection locked="0"/>
    </xf>
    <xf numFmtId="0" fontId="87" fillId="0" borderId="94" xfId="0" applyFont="1" applyFill="1" applyBorder="1" applyAlignment="1">
      <alignment horizontal="center" vertical="center"/>
    </xf>
    <xf numFmtId="0" fontId="8" fillId="0" borderId="94" xfId="115" applyBorder="1" applyAlignment="1">
      <alignment horizontal="center"/>
    </xf>
    <xf numFmtId="14" fontId="8" fillId="0" borderId="41" xfId="115" applyNumberFormat="1" applyBorder="1"/>
    <xf numFmtId="4" fontId="8" fillId="0" borderId="0" xfId="115" applyNumberFormat="1" applyBorder="1" applyAlignment="1">
      <alignment horizontal="center"/>
    </xf>
    <xf numFmtId="4" fontId="1" fillId="0" borderId="94" xfId="0" applyNumberFormat="1" applyFont="1" applyFill="1" applyBorder="1" applyAlignment="1" applyProtection="1">
      <alignment vertical="center"/>
      <protection locked="0"/>
    </xf>
    <xf numFmtId="0" fontId="36" fillId="11" borderId="18" xfId="0" applyFont="1" applyFill="1" applyBorder="1" applyAlignment="1" applyProtection="1">
      <alignment horizontal="center" vertical="center"/>
      <protection locked="0"/>
    </xf>
    <xf numFmtId="4" fontId="12" fillId="11" borderId="0" xfId="0" applyNumberFormat="1" applyFont="1" applyFill="1" applyAlignment="1" applyProtection="1">
      <alignment vertical="center"/>
      <protection locked="0"/>
    </xf>
    <xf numFmtId="4" fontId="12" fillId="11" borderId="0" xfId="0" applyNumberFormat="1" applyFont="1" applyFill="1" applyBorder="1" applyAlignment="1" applyProtection="1">
      <alignment vertical="center"/>
      <protection locked="0"/>
    </xf>
    <xf numFmtId="4" fontId="36" fillId="11" borderId="1" xfId="0" applyNumberFormat="1" applyFont="1" applyFill="1" applyBorder="1" applyAlignment="1" applyProtection="1">
      <alignment vertical="center"/>
      <protection locked="0"/>
    </xf>
    <xf numFmtId="4" fontId="36" fillId="11" borderId="1" xfId="0" applyNumberFormat="1" applyFont="1" applyFill="1" applyBorder="1" applyAlignment="1" applyProtection="1">
      <alignment horizontal="center" vertical="center"/>
      <protection locked="0"/>
    </xf>
    <xf numFmtId="0" fontId="36" fillId="11" borderId="1" xfId="0" applyFont="1" applyFill="1" applyBorder="1" applyAlignment="1" applyProtection="1">
      <alignment horizontal="center" vertical="center"/>
      <protection locked="0"/>
    </xf>
    <xf numFmtId="2" fontId="36" fillId="11" borderId="1" xfId="0" applyNumberFormat="1" applyFont="1" applyFill="1" applyBorder="1" applyAlignment="1" applyProtection="1">
      <alignment horizontal="center" vertical="center"/>
      <protection locked="0"/>
    </xf>
    <xf numFmtId="4" fontId="1" fillId="11" borderId="0" xfId="0" applyNumberFormat="1" applyFont="1" applyFill="1" applyAlignment="1" applyProtection="1">
      <alignment vertical="center"/>
      <protection locked="0"/>
    </xf>
    <xf numFmtId="0" fontId="12" fillId="11" borderId="0" xfId="0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11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14" fontId="20" fillId="0" borderId="84" xfId="0" applyNumberFormat="1" applyFont="1" applyFill="1" applyBorder="1" applyProtection="1">
      <protection locked="0"/>
    </xf>
    <xf numFmtId="0" fontId="20" fillId="0" borderId="7" xfId="0" applyFont="1" applyFill="1" applyBorder="1" applyAlignment="1" applyProtection="1">
      <alignment horizontal="center"/>
      <protection locked="0"/>
    </xf>
    <xf numFmtId="3" fontId="116" fillId="0" borderId="95" xfId="0" applyNumberFormat="1" applyFont="1" applyFill="1" applyBorder="1" applyAlignment="1" applyProtection="1">
      <alignment horizontal="center"/>
    </xf>
    <xf numFmtId="3" fontId="116" fillId="0" borderId="89" xfId="0" applyNumberFormat="1" applyFont="1" applyFill="1" applyBorder="1" applyAlignment="1" applyProtection="1">
      <alignment horizont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18" fillId="0" borderId="0" xfId="0" applyFont="1" applyFill="1"/>
    <xf numFmtId="14" fontId="20" fillId="0" borderId="95" xfId="0" applyNumberFormat="1" applyFont="1" applyFill="1" applyBorder="1" applyAlignment="1" applyProtection="1">
      <alignment vertical="center"/>
      <protection locked="0"/>
    </xf>
    <xf numFmtId="14" fontId="20" fillId="0" borderId="98" xfId="0" applyNumberFormat="1" applyFont="1" applyFill="1" applyBorder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3" fontId="23" fillId="4" borderId="94" xfId="0" applyNumberFormat="1" applyFont="1" applyFill="1" applyBorder="1" applyAlignment="1" applyProtection="1">
      <alignment horizontal="center" vertical="center"/>
      <protection locked="0"/>
    </xf>
    <xf numFmtId="0" fontId="23" fillId="4" borderId="94" xfId="0" applyFont="1" applyFill="1" applyBorder="1" applyAlignment="1" applyProtection="1">
      <alignment vertical="center"/>
      <protection locked="0"/>
    </xf>
    <xf numFmtId="0" fontId="36" fillId="46" borderId="18" xfId="0" applyFont="1" applyFill="1" applyBorder="1" applyAlignment="1" applyProtection="1">
      <alignment horizontal="center" vertical="center"/>
      <protection locked="0"/>
    </xf>
    <xf numFmtId="4" fontId="12" fillId="46" borderId="0" xfId="0" applyNumberFormat="1" applyFont="1" applyFill="1" applyAlignment="1" applyProtection="1">
      <alignment vertical="center"/>
      <protection locked="0"/>
    </xf>
    <xf numFmtId="0" fontId="12" fillId="46" borderId="0" xfId="0" applyFont="1" applyFill="1" applyAlignment="1" applyProtection="1">
      <alignment vertical="center"/>
      <protection locked="0"/>
    </xf>
    <xf numFmtId="4" fontId="36" fillId="46" borderId="1" xfId="0" applyNumberFormat="1" applyFont="1" applyFill="1" applyBorder="1" applyAlignment="1" applyProtection="1">
      <alignment vertical="center"/>
      <protection locked="0"/>
    </xf>
    <xf numFmtId="4" fontId="36" fillId="46" borderId="1" xfId="0" applyNumberFormat="1" applyFont="1" applyFill="1" applyBorder="1" applyAlignment="1" applyProtection="1">
      <alignment horizontal="center" vertical="center"/>
      <protection locked="0"/>
    </xf>
    <xf numFmtId="0" fontId="36" fillId="4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93" fillId="0" borderId="0" xfId="0" applyNumberFormat="1" applyFont="1" applyFill="1" applyBorder="1" applyAlignment="1" applyProtection="1">
      <alignment horizontal="center" vertical="center" wrapText="1"/>
    </xf>
    <xf numFmtId="0" fontId="121" fillId="47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NumberFormat="1" applyFont="1" applyBorder="1" applyAlignment="1" applyProtection="1">
      <alignment horizontal="center" vertical="center"/>
    </xf>
    <xf numFmtId="0" fontId="93" fillId="48" borderId="2" xfId="114" applyNumberFormat="1" applyFont="1" applyFill="1" applyBorder="1" applyAlignment="1" applyProtection="1">
      <alignment horizontal="center" vertical="center" wrapText="1"/>
      <protection locked="0"/>
    </xf>
    <xf numFmtId="0" fontId="93" fillId="49" borderId="2" xfId="114" applyNumberFormat="1" applyFont="1" applyFill="1" applyBorder="1" applyAlignment="1" applyProtection="1">
      <alignment horizontal="center" vertical="center" wrapText="1"/>
      <protection locked="0"/>
    </xf>
    <xf numFmtId="0" fontId="93" fillId="49" borderId="7" xfId="114" applyNumberFormat="1" applyFont="1" applyFill="1" applyBorder="1" applyAlignment="1" applyProtection="1">
      <alignment horizontal="center" vertical="center" wrapText="1"/>
      <protection locked="0"/>
    </xf>
    <xf numFmtId="0" fontId="122" fillId="50" borderId="7" xfId="114" applyNumberFormat="1" applyFont="1" applyFill="1" applyBorder="1" applyAlignment="1" applyProtection="1">
      <alignment horizontal="center" vertical="center" wrapText="1" shrinkToFit="1"/>
      <protection locked="0"/>
    </xf>
    <xf numFmtId="0" fontId="93" fillId="49" borderId="7" xfId="114" applyNumberFormat="1" applyFont="1" applyFill="1" applyBorder="1" applyAlignment="1" applyProtection="1">
      <alignment horizontal="center" vertical="center" wrapText="1" shrinkToFit="1"/>
      <protection locked="0"/>
    </xf>
    <xf numFmtId="0" fontId="93" fillId="51" borderId="7" xfId="0" applyNumberFormat="1" applyFont="1" applyFill="1" applyBorder="1" applyAlignment="1" applyProtection="1">
      <alignment horizontal="center" vertical="center" wrapText="1"/>
      <protection locked="0"/>
    </xf>
    <xf numFmtId="0" fontId="93" fillId="51" borderId="94" xfId="0" applyNumberFormat="1" applyFont="1" applyFill="1" applyBorder="1" applyAlignment="1" applyProtection="1">
      <alignment horizontal="center" vertical="center" wrapText="1"/>
      <protection locked="0"/>
    </xf>
    <xf numFmtId="0" fontId="17" fillId="47" borderId="27" xfId="0" applyNumberFormat="1" applyFont="1" applyFill="1" applyBorder="1" applyAlignment="1" applyProtection="1">
      <alignment horizontal="center" vertical="center" wrapText="1"/>
      <protection locked="0"/>
    </xf>
    <xf numFmtId="0" fontId="123" fillId="52" borderId="94" xfId="114" applyNumberFormat="1" applyFont="1" applyFill="1" applyBorder="1" applyAlignment="1" applyProtection="1">
      <alignment horizontal="center" vertical="center" wrapText="1"/>
      <protection locked="0"/>
    </xf>
    <xf numFmtId="0" fontId="123" fillId="50" borderId="106" xfId="114" applyNumberFormat="1" applyFont="1" applyFill="1" applyBorder="1" applyAlignment="1" applyProtection="1">
      <alignment horizontal="center" vertical="center" wrapText="1"/>
      <protection locked="0"/>
    </xf>
    <xf numFmtId="0" fontId="20" fillId="47" borderId="7" xfId="0" applyNumberFormat="1" applyFont="1" applyFill="1" applyBorder="1" applyAlignment="1" applyProtection="1">
      <alignment horizontal="center" vertical="center" wrapText="1"/>
      <protection locked="0"/>
    </xf>
    <xf numFmtId="0" fontId="93" fillId="49" borderId="8" xfId="114" applyNumberFormat="1" applyFont="1" applyFill="1" applyBorder="1" applyAlignment="1" applyProtection="1">
      <alignment horizontal="center" vertical="center" wrapText="1"/>
      <protection locked="0"/>
    </xf>
    <xf numFmtId="0" fontId="38" fillId="48" borderId="72" xfId="114" applyNumberFormat="1" applyFont="1" applyFill="1" applyBorder="1" applyAlignment="1" applyProtection="1">
      <alignment horizontal="center" vertical="center" wrapText="1"/>
      <protection locked="0"/>
    </xf>
    <xf numFmtId="0" fontId="86" fillId="0" borderId="22" xfId="0" applyNumberFormat="1" applyFont="1" applyBorder="1" applyAlignment="1" applyProtection="1">
      <alignment horizontal="center" vertical="center" wrapText="1"/>
      <protection locked="0"/>
    </xf>
    <xf numFmtId="3" fontId="86" fillId="0" borderId="22" xfId="0" applyNumberFormat="1" applyFont="1" applyBorder="1" applyAlignment="1" applyProtection="1">
      <alignment horizontal="center" vertical="center" wrapText="1"/>
      <protection locked="0"/>
    </xf>
    <xf numFmtId="0" fontId="86" fillId="0" borderId="22" xfId="0" applyNumberFormat="1" applyFont="1" applyBorder="1" applyAlignment="1" applyProtection="1">
      <alignment horizontal="center" vertical="center" wrapText="1"/>
    </xf>
    <xf numFmtId="170" fontId="38" fillId="0" borderId="22" xfId="0" applyNumberFormat="1" applyFont="1" applyBorder="1" applyAlignment="1" applyProtection="1">
      <alignment horizontal="center" vertical="center" wrapText="1"/>
    </xf>
    <xf numFmtId="1" fontId="86" fillId="0" borderId="22" xfId="117" applyNumberFormat="1" applyFont="1" applyBorder="1" applyAlignment="1" applyProtection="1">
      <alignment horizontal="center" vertical="center" wrapText="1"/>
    </xf>
    <xf numFmtId="4" fontId="124" fillId="0" borderId="22" xfId="0" applyNumberFormat="1" applyFont="1" applyBorder="1" applyAlignment="1" applyProtection="1">
      <alignment horizontal="center" vertical="center" wrapText="1"/>
    </xf>
    <xf numFmtId="4" fontId="124" fillId="0" borderId="12" xfId="0" applyNumberFormat="1" applyFont="1" applyBorder="1" applyAlignment="1" applyProtection="1">
      <alignment horizontal="center" vertical="center" wrapText="1"/>
    </xf>
    <xf numFmtId="165" fontId="95" fillId="5" borderId="12" xfId="117" applyFont="1" applyFill="1" applyBorder="1" applyAlignment="1" applyProtection="1">
      <alignment horizontal="center" vertical="center" wrapText="1"/>
    </xf>
    <xf numFmtId="165" fontId="95" fillId="0" borderId="12" xfId="117" applyFont="1" applyBorder="1" applyAlignment="1" applyProtection="1">
      <alignment horizontal="center" vertical="center" wrapText="1"/>
    </xf>
    <xf numFmtId="165" fontId="125" fillId="5" borderId="94" xfId="117" applyFont="1" applyFill="1" applyBorder="1" applyAlignment="1">
      <alignment vertical="center"/>
    </xf>
    <xf numFmtId="171" fontId="126" fillId="0" borderId="94" xfId="117" applyNumberFormat="1" applyFont="1" applyBorder="1" applyAlignment="1">
      <alignment horizontal="center" vertical="center"/>
    </xf>
    <xf numFmtId="49" fontId="126" fillId="0" borderId="94" xfId="117" applyNumberFormat="1" applyFont="1" applyBorder="1" applyAlignment="1">
      <alignment horizontal="center" vertical="center"/>
    </xf>
    <xf numFmtId="165" fontId="126" fillId="0" borderId="45" xfId="117" applyFont="1" applyBorder="1" applyAlignment="1">
      <alignment vertical="center"/>
    </xf>
    <xf numFmtId="4" fontId="127" fillId="4" borderId="22" xfId="0" applyNumberFormat="1" applyFont="1" applyFill="1" applyBorder="1" applyAlignment="1" applyProtection="1">
      <alignment horizontal="center" vertical="center" wrapText="1"/>
    </xf>
    <xf numFmtId="0" fontId="128" fillId="0" borderId="0" xfId="0" applyFont="1"/>
    <xf numFmtId="43" fontId="128" fillId="0" borderId="0" xfId="0" applyNumberFormat="1" applyFont="1"/>
    <xf numFmtId="0" fontId="129" fillId="48" borderId="50" xfId="114" applyNumberFormat="1" applyFont="1" applyFill="1" applyBorder="1" applyAlignment="1" applyProtection="1">
      <alignment horizontal="center" vertical="center" wrapText="1"/>
      <protection locked="0"/>
    </xf>
    <xf numFmtId="0" fontId="130" fillId="0" borderId="7" xfId="0" applyNumberFormat="1" applyFont="1" applyBorder="1" applyAlignment="1" applyProtection="1">
      <alignment horizontal="center" vertical="center" wrapText="1"/>
      <protection locked="0"/>
    </xf>
    <xf numFmtId="3" fontId="130" fillId="0" borderId="7" xfId="0" applyNumberFormat="1" applyFont="1" applyBorder="1" applyAlignment="1" applyProtection="1">
      <alignment horizontal="center" vertical="center" wrapText="1"/>
      <protection locked="0"/>
    </xf>
    <xf numFmtId="0" fontId="86" fillId="0" borderId="7" xfId="0" applyNumberFormat="1" applyFont="1" applyBorder="1" applyAlignment="1" applyProtection="1">
      <alignment horizontal="center" vertical="center" wrapText="1"/>
    </xf>
    <xf numFmtId="170" fontId="38" fillId="0" borderId="7" xfId="0" applyNumberFormat="1" applyFont="1" applyBorder="1" applyAlignment="1" applyProtection="1">
      <alignment horizontal="center" vertical="center" wrapText="1"/>
    </xf>
    <xf numFmtId="1" fontId="130" fillId="0" borderId="22" xfId="117" applyNumberFormat="1" applyFont="1" applyBorder="1" applyAlignment="1" applyProtection="1">
      <alignment horizontal="center" vertical="center" wrapText="1"/>
    </xf>
    <xf numFmtId="0" fontId="130" fillId="0" borderId="10" xfId="0" applyNumberFormat="1" applyFont="1" applyBorder="1" applyAlignment="1" applyProtection="1">
      <alignment horizontal="center" vertical="center" wrapText="1"/>
      <protection locked="0"/>
    </xf>
    <xf numFmtId="4" fontId="124" fillId="0" borderId="27" xfId="0" applyNumberFormat="1" applyFont="1" applyBorder="1" applyAlignment="1" applyProtection="1">
      <alignment horizontal="center" vertical="center" wrapText="1"/>
    </xf>
    <xf numFmtId="0" fontId="86" fillId="0" borderId="10" xfId="0" applyNumberFormat="1" applyFont="1" applyBorder="1" applyAlignment="1" applyProtection="1">
      <alignment horizontal="center" vertical="center" wrapText="1"/>
      <protection locked="0"/>
    </xf>
    <xf numFmtId="3" fontId="86" fillId="0" borderId="7" xfId="0" applyNumberFormat="1" applyFont="1" applyBorder="1" applyAlignment="1" applyProtection="1">
      <alignment horizontal="center" vertical="center" wrapText="1"/>
      <protection locked="0"/>
    </xf>
    <xf numFmtId="0" fontId="86" fillId="0" borderId="7" xfId="0" applyNumberFormat="1" applyFont="1" applyBorder="1" applyAlignment="1" applyProtection="1">
      <alignment horizontal="center" vertical="center" wrapText="1"/>
      <protection locked="0"/>
    </xf>
    <xf numFmtId="170" fontId="131" fillId="8" borderId="7" xfId="0" applyNumberFormat="1" applyFont="1" applyFill="1" applyBorder="1" applyAlignment="1" applyProtection="1">
      <alignment horizontal="center" vertical="center" wrapText="1"/>
    </xf>
    <xf numFmtId="4" fontId="124" fillId="0" borderId="94" xfId="0" applyNumberFormat="1" applyFont="1" applyBorder="1" applyAlignment="1" applyProtection="1">
      <alignment horizontal="center" vertical="center" wrapText="1"/>
    </xf>
    <xf numFmtId="171" fontId="126" fillId="8" borderId="94" xfId="117" applyNumberFormat="1" applyFont="1" applyFill="1" applyBorder="1" applyAlignment="1">
      <alignment horizontal="center" vertical="center"/>
    </xf>
    <xf numFmtId="49" fontId="126" fillId="8" borderId="94" xfId="117" applyNumberFormat="1" applyFont="1" applyFill="1" applyBorder="1" applyAlignment="1">
      <alignment horizontal="center" vertical="center"/>
    </xf>
    <xf numFmtId="0" fontId="126" fillId="0" borderId="0" xfId="0" applyFont="1"/>
    <xf numFmtId="167" fontId="127" fillId="49" borderId="107" xfId="117" applyNumberFormat="1" applyFont="1" applyFill="1" applyBorder="1" applyAlignment="1" applyProtection="1">
      <alignment horizontal="center" vertical="center" wrapText="1"/>
      <protection locked="0"/>
    </xf>
    <xf numFmtId="167" fontId="75" fillId="49" borderId="7" xfId="117" applyNumberFormat="1" applyFont="1" applyFill="1" applyBorder="1" applyAlignment="1" applyProtection="1">
      <alignment horizontal="center" vertical="center" wrapText="1"/>
      <protection locked="0"/>
    </xf>
    <xf numFmtId="165" fontId="8" fillId="0" borderId="0" xfId="117" applyFont="1"/>
    <xf numFmtId="0" fontId="124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2" fillId="4" borderId="0" xfId="0" applyNumberFormat="1" applyFont="1" applyFill="1" applyBorder="1" applyAlignment="1" applyProtection="1">
      <alignment horizontal="center" vertical="center" wrapText="1"/>
      <protection locked="0"/>
    </xf>
    <xf numFmtId="167" fontId="127" fillId="49" borderId="6" xfId="117" applyNumberFormat="1" applyFont="1" applyFill="1" applyBorder="1" applyAlignment="1" applyProtection="1">
      <alignment horizontal="center" vertical="center" wrapText="1"/>
      <protection locked="0"/>
    </xf>
    <xf numFmtId="167" fontId="75" fillId="49" borderId="6" xfId="117" applyNumberFormat="1" applyFont="1" applyFill="1" applyBorder="1" applyAlignment="1" applyProtection="1">
      <alignment horizontal="center" vertical="center" wrapText="1"/>
      <protection locked="0"/>
    </xf>
    <xf numFmtId="0" fontId="44" fillId="8" borderId="94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0" fontId="52" fillId="0" borderId="0" xfId="0" applyFont="1"/>
    <xf numFmtId="0" fontId="136" fillId="0" borderId="0" xfId="0" applyFont="1" applyFill="1" applyBorder="1" applyAlignment="1">
      <alignment horizontal="center"/>
    </xf>
    <xf numFmtId="0" fontId="52" fillId="8" borderId="94" xfId="0" applyFont="1" applyFill="1" applyBorder="1"/>
    <xf numFmtId="0" fontId="52" fillId="8" borderId="0" xfId="0" applyFont="1" applyFill="1"/>
    <xf numFmtId="0" fontId="137" fillId="53" borderId="35" xfId="0" applyFont="1" applyFill="1" applyBorder="1" applyAlignment="1">
      <alignment horizontal="center" wrapText="1"/>
    </xf>
    <xf numFmtId="0" fontId="137" fillId="53" borderId="103" xfId="0" applyFont="1" applyFill="1" applyBorder="1" applyAlignment="1">
      <alignment horizontal="center" wrapText="1"/>
    </xf>
    <xf numFmtId="0" fontId="137" fillId="8" borderId="103" xfId="0" applyFont="1" applyFill="1" applyBorder="1" applyAlignment="1">
      <alignment horizontal="center" wrapText="1"/>
    </xf>
    <xf numFmtId="0" fontId="137" fillId="0" borderId="0" xfId="0" applyFont="1" applyFill="1" applyBorder="1" applyAlignment="1">
      <alignment horizontal="center" wrapText="1"/>
    </xf>
    <xf numFmtId="0" fontId="139" fillId="54" borderId="35" xfId="0" applyFont="1" applyFill="1" applyBorder="1"/>
    <xf numFmtId="0" fontId="140" fillId="0" borderId="103" xfId="0" applyFont="1" applyBorder="1" applyAlignment="1">
      <alignment horizontal="center"/>
    </xf>
    <xf numFmtId="0" fontId="120" fillId="0" borderId="0" xfId="0" applyFont="1"/>
    <xf numFmtId="0" fontId="140" fillId="0" borderId="0" xfId="0" applyFont="1" applyFill="1" applyBorder="1" applyAlignment="1">
      <alignment horizontal="center"/>
    </xf>
    <xf numFmtId="0" fontId="120" fillId="0" borderId="0" xfId="0" applyFont="1" applyFill="1"/>
    <xf numFmtId="0" fontId="141" fillId="0" borderId="0" xfId="0" applyFont="1"/>
    <xf numFmtId="0" fontId="140" fillId="0" borderId="0" xfId="0" applyFont="1" applyBorder="1" applyAlignment="1">
      <alignment horizontal="center"/>
    </xf>
    <xf numFmtId="0" fontId="119" fillId="0" borderId="0" xfId="0" applyFont="1"/>
    <xf numFmtId="165" fontId="141" fillId="0" borderId="0" xfId="117" applyFont="1"/>
    <xf numFmtId="43" fontId="141" fillId="0" borderId="0" xfId="0" applyNumberFormat="1" applyFont="1"/>
    <xf numFmtId="0" fontId="0" fillId="0" borderId="94" xfId="0" applyBorder="1"/>
    <xf numFmtId="0" fontId="52" fillId="0" borderId="94" xfId="0" applyFont="1" applyBorder="1"/>
    <xf numFmtId="165" fontId="52" fillId="0" borderId="94" xfId="117" applyFont="1" applyBorder="1"/>
    <xf numFmtId="3" fontId="87" fillId="0" borderId="94" xfId="0" applyNumberFormat="1" applyFont="1" applyFill="1" applyBorder="1"/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6" borderId="0" xfId="0" applyFont="1" applyFill="1" applyAlignment="1" applyProtection="1">
      <alignment horizontal="center" vertical="center"/>
      <protection locked="0"/>
    </xf>
    <xf numFmtId="0" fontId="0" fillId="43" borderId="94" xfId="0" applyFill="1" applyBorder="1" applyAlignment="1">
      <alignment horizontal="center"/>
    </xf>
    <xf numFmtId="0" fontId="0" fillId="43" borderId="94" xfId="0" applyFont="1" applyFill="1" applyBorder="1"/>
    <xf numFmtId="4" fontId="12" fillId="46" borderId="0" xfId="0" applyNumberFormat="1" applyFont="1" applyFill="1" applyBorder="1" applyAlignment="1" applyProtection="1">
      <alignment vertical="center"/>
      <protection locked="0"/>
    </xf>
    <xf numFmtId="4" fontId="1" fillId="46" borderId="0" xfId="0" applyNumberFormat="1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36" fillId="4" borderId="94" xfId="0" applyFont="1" applyFill="1" applyBorder="1" applyAlignment="1" applyProtection="1">
      <alignment vertical="center"/>
      <protection locked="0"/>
    </xf>
    <xf numFmtId="0" fontId="36" fillId="4" borderId="95" xfId="0" applyFont="1" applyFill="1" applyBorder="1" applyAlignment="1" applyProtection="1">
      <alignment horizontal="left" vertical="center"/>
      <protection locked="0"/>
    </xf>
    <xf numFmtId="0" fontId="36" fillId="4" borderId="98" xfId="0" applyFont="1" applyFill="1" applyBorder="1" applyAlignment="1" applyProtection="1">
      <alignment horizontal="left" vertical="center"/>
      <protection locked="0"/>
    </xf>
    <xf numFmtId="0" fontId="36" fillId="4" borderId="19" xfId="0" applyFont="1" applyFill="1" applyBorder="1" applyAlignment="1" applyProtection="1">
      <alignment vertical="center"/>
      <protection locked="0"/>
    </xf>
    <xf numFmtId="0" fontId="36" fillId="4" borderId="60" xfId="0" applyFont="1" applyFill="1" applyBorder="1" applyAlignment="1" applyProtection="1">
      <alignment horizontal="left" vertical="center"/>
      <protection locked="0"/>
    </xf>
    <xf numFmtId="0" fontId="36" fillId="4" borderId="99" xfId="0" applyFont="1" applyFill="1" applyBorder="1" applyAlignment="1" applyProtection="1">
      <alignment horizontal="left" vertical="center"/>
      <protection locked="0"/>
    </xf>
    <xf numFmtId="0" fontId="12" fillId="4" borderId="99" xfId="0" applyFont="1" applyFill="1" applyBorder="1" applyAlignment="1">
      <alignment horizontal="center" vertical="center"/>
    </xf>
    <xf numFmtId="0" fontId="86" fillId="4" borderId="43" xfId="0" applyFont="1" applyFill="1" applyBorder="1" applyAlignment="1" applyProtection="1">
      <alignment horizontal="left" vertical="center"/>
      <protection locked="0"/>
    </xf>
    <xf numFmtId="0" fontId="36" fillId="0" borderId="94" xfId="0" applyNumberFormat="1" applyFont="1" applyFill="1" applyBorder="1" applyAlignment="1" applyProtection="1">
      <alignment horizontal="left" vertical="center"/>
      <protection locked="0"/>
    </xf>
    <xf numFmtId="4" fontId="10" fillId="2" borderId="43" xfId="0" applyNumberFormat="1" applyFont="1" applyFill="1" applyBorder="1" applyAlignment="1" applyProtection="1">
      <alignment vertical="center"/>
      <protection locked="0"/>
    </xf>
    <xf numFmtId="4" fontId="10" fillId="2" borderId="13" xfId="0" applyNumberFormat="1" applyFont="1" applyFill="1" applyBorder="1" applyAlignment="1" applyProtection="1">
      <alignment vertical="center"/>
      <protection locked="0"/>
    </xf>
    <xf numFmtId="2" fontId="10" fillId="11" borderId="43" xfId="0" applyNumberFormat="1" applyFont="1" applyFill="1" applyBorder="1" applyAlignment="1" applyProtection="1">
      <alignment vertical="center"/>
      <protection locked="0"/>
    </xf>
    <xf numFmtId="2" fontId="10" fillId="11" borderId="5" xfId="0" applyNumberFormat="1" applyFont="1" applyFill="1" applyBorder="1" applyAlignment="1" applyProtection="1">
      <alignment vertical="center"/>
      <protection locked="0"/>
    </xf>
    <xf numFmtId="2" fontId="16" fillId="11" borderId="5" xfId="0" applyNumberFormat="1" applyFont="1" applyFill="1" applyBorder="1" applyAlignment="1" applyProtection="1">
      <alignment vertical="center"/>
      <protection locked="0"/>
    </xf>
    <xf numFmtId="2" fontId="16" fillId="11" borderId="13" xfId="0" applyNumberFormat="1" applyFont="1" applyFill="1" applyBorder="1" applyAlignment="1" applyProtection="1">
      <alignment vertical="center"/>
      <protection locked="0"/>
    </xf>
    <xf numFmtId="3" fontId="16" fillId="12" borderId="49" xfId="0" applyNumberFormat="1" applyFont="1" applyFill="1" applyBorder="1" applyAlignment="1" applyProtection="1">
      <alignment horizontal="center" vertical="center"/>
      <protection locked="0"/>
    </xf>
    <xf numFmtId="4" fontId="17" fillId="2" borderId="43" xfId="0" applyNumberFormat="1" applyFont="1" applyFill="1" applyBorder="1" applyAlignment="1" applyProtection="1">
      <alignment horizontal="center" vertical="center"/>
      <protection locked="0"/>
    </xf>
    <xf numFmtId="4" fontId="17" fillId="2" borderId="5" xfId="0" applyNumberFormat="1" applyFont="1" applyFill="1" applyBorder="1" applyAlignment="1" applyProtection="1">
      <alignment horizontal="center" vertical="center"/>
      <protection locked="0"/>
    </xf>
    <xf numFmtId="4" fontId="17" fillId="2" borderId="13" xfId="0" applyNumberFormat="1" applyFont="1" applyFill="1" applyBorder="1" applyAlignment="1" applyProtection="1">
      <alignment horizontal="center" vertical="center"/>
      <protection locked="0"/>
    </xf>
    <xf numFmtId="4" fontId="20" fillId="2" borderId="26" xfId="0" applyNumberFormat="1" applyFont="1" applyFill="1" applyBorder="1" applyAlignment="1" applyProtection="1">
      <alignment horizontal="left" vertical="center"/>
      <protection locked="0"/>
    </xf>
    <xf numFmtId="4" fontId="20" fillId="2" borderId="5" xfId="0" applyNumberFormat="1" applyFont="1" applyFill="1" applyBorder="1" applyAlignment="1" applyProtection="1">
      <alignment horizontal="left" vertical="center"/>
      <protection locked="0"/>
    </xf>
    <xf numFmtId="4" fontId="20" fillId="2" borderId="13" xfId="0" applyNumberFormat="1" applyFont="1" applyFill="1" applyBorder="1" applyAlignment="1" applyProtection="1">
      <alignment horizontal="left" vertical="center"/>
      <protection locked="0"/>
    </xf>
    <xf numFmtId="3" fontId="20" fillId="2" borderId="49" xfId="0" applyNumberFormat="1" applyFont="1" applyFill="1" applyBorder="1" applyAlignment="1" applyProtection="1">
      <alignment horizontal="center" vertical="center"/>
      <protection locked="0"/>
    </xf>
    <xf numFmtId="4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2" borderId="6" xfId="0" applyNumberFormat="1" applyFont="1" applyFill="1" applyBorder="1" applyAlignment="1" applyProtection="1">
      <alignment horizontal="center" vertical="center" wrapText="1"/>
      <protection locked="0"/>
    </xf>
    <xf numFmtId="4" fontId="19" fillId="2" borderId="8" xfId="0" applyNumberFormat="1" applyFont="1" applyFill="1" applyBorder="1" applyAlignment="1" applyProtection="1">
      <alignment horizontal="center" vertical="center" wrapText="1"/>
      <protection locked="0"/>
    </xf>
    <xf numFmtId="2" fontId="1" fillId="11" borderId="7" xfId="0" applyNumberFormat="1" applyFont="1" applyFill="1" applyBorder="1" applyAlignment="1" applyProtection="1">
      <alignment horizontal="center" vertical="center" wrapText="1"/>
      <protection locked="0"/>
    </xf>
    <xf numFmtId="2" fontId="41" fillId="11" borderId="11" xfId="0" applyNumberFormat="1" applyFont="1" applyFill="1" applyBorder="1" applyAlignment="1" applyProtection="1">
      <alignment horizontal="center" vertical="center" wrapText="1"/>
      <protection locked="0"/>
    </xf>
    <xf numFmtId="2" fontId="1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6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7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8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6" xfId="0" applyNumberFormat="1" applyFont="1" applyFill="1" applyBorder="1" applyAlignment="1" applyProtection="1">
      <alignment horizontal="center" vertical="center" wrapText="1"/>
      <protection locked="0"/>
    </xf>
    <xf numFmtId="3" fontId="36" fillId="4" borderId="67" xfId="0" applyNumberFormat="1" applyFont="1" applyFill="1" applyBorder="1" applyAlignment="1" applyProtection="1">
      <alignment horizontal="center" vertical="center"/>
      <protection locked="0"/>
    </xf>
    <xf numFmtId="0" fontId="36" fillId="4" borderId="67" xfId="0" applyFont="1" applyFill="1" applyBorder="1" applyAlignment="1" applyProtection="1">
      <alignment vertical="center"/>
      <protection locked="0"/>
    </xf>
    <xf numFmtId="0" fontId="36" fillId="4" borderId="109" xfId="0" applyFont="1" applyFill="1" applyBorder="1" applyAlignment="1" applyProtection="1">
      <alignment horizontal="left" vertical="center"/>
      <protection locked="0"/>
    </xf>
    <xf numFmtId="0" fontId="36" fillId="4" borderId="110" xfId="0" applyFont="1" applyFill="1" applyBorder="1" applyAlignment="1" applyProtection="1">
      <alignment horizontal="left" vertical="center"/>
      <protection locked="0"/>
    </xf>
    <xf numFmtId="0" fontId="12" fillId="4" borderId="110" xfId="0" applyFont="1" applyFill="1" applyBorder="1" applyAlignment="1">
      <alignment horizontal="center" vertical="center"/>
    </xf>
    <xf numFmtId="14" fontId="12" fillId="4" borderId="111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20" fillId="45" borderId="94" xfId="0" applyNumberFormat="1" applyFont="1" applyFill="1" applyBorder="1" applyAlignment="1" applyProtection="1">
      <alignment horizontal="center" vertical="center"/>
      <protection locked="0"/>
    </xf>
    <xf numFmtId="4" fontId="20" fillId="11" borderId="94" xfId="0" applyNumberFormat="1" applyFont="1" applyFill="1" applyBorder="1" applyAlignment="1" applyProtection="1">
      <alignment horizontal="center" vertical="center"/>
      <protection locked="0"/>
    </xf>
    <xf numFmtId="4" fontId="20" fillId="46" borderId="94" xfId="0" applyNumberFormat="1" applyFont="1" applyFill="1" applyBorder="1" applyAlignment="1" applyProtection="1">
      <alignment horizontal="center" vertical="center"/>
      <protection locked="0"/>
    </xf>
    <xf numFmtId="4" fontId="36" fillId="45" borderId="94" xfId="0" applyNumberFormat="1" applyFont="1" applyFill="1" applyBorder="1" applyAlignment="1" applyProtection="1">
      <alignment horizontal="center" vertical="center"/>
      <protection locked="0"/>
    </xf>
    <xf numFmtId="4" fontId="36" fillId="11" borderId="94" xfId="0" applyNumberFormat="1" applyFont="1" applyFill="1" applyBorder="1" applyAlignment="1" applyProtection="1">
      <alignment horizontal="center" vertical="center"/>
      <protection locked="0"/>
    </xf>
    <xf numFmtId="4" fontId="36" fillId="46" borderId="94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3" fontId="47" fillId="0" borderId="19" xfId="0" applyNumberFormat="1" applyFont="1" applyFill="1" applyBorder="1" applyAlignment="1" applyProtection="1">
      <alignment horizontal="center" vertical="center"/>
    </xf>
    <xf numFmtId="0" fontId="37" fillId="0" borderId="19" xfId="0" applyFont="1" applyFill="1" applyBorder="1" applyAlignment="1" applyProtection="1">
      <alignment vertical="center"/>
    </xf>
    <xf numFmtId="4" fontId="36" fillId="0" borderId="19" xfId="0" applyNumberFormat="1" applyFont="1" applyFill="1" applyBorder="1" applyAlignment="1" applyProtection="1">
      <alignment horizontal="center" vertical="center"/>
    </xf>
    <xf numFmtId="0" fontId="20" fillId="0" borderId="94" xfId="0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center" vertical="center"/>
    </xf>
    <xf numFmtId="0" fontId="115" fillId="0" borderId="94" xfId="0" applyFont="1" applyFill="1" applyBorder="1" applyAlignment="1" applyProtection="1">
      <alignment horizontal="left" vertical="center" wrapText="1"/>
    </xf>
    <xf numFmtId="4" fontId="37" fillId="0" borderId="94" xfId="0" applyNumberFormat="1" applyFont="1" applyFill="1" applyBorder="1" applyAlignment="1" applyProtection="1">
      <alignment horizontal="center" vertical="center"/>
    </xf>
    <xf numFmtId="2" fontId="36" fillId="0" borderId="94" xfId="0" applyNumberFormat="1" applyFont="1" applyFill="1" applyBorder="1" applyAlignment="1" applyProtection="1">
      <alignment horizontal="center" vertical="center"/>
      <protection locked="0"/>
    </xf>
    <xf numFmtId="4" fontId="33" fillId="0" borderId="94" xfId="0" applyNumberFormat="1" applyFont="1" applyFill="1" applyBorder="1" applyAlignment="1" applyProtection="1">
      <alignment horizontal="center" vertical="center"/>
    </xf>
    <xf numFmtId="4" fontId="33" fillId="0" borderId="94" xfId="0" applyNumberFormat="1" applyFont="1" applyFill="1" applyBorder="1" applyAlignment="1" applyProtection="1">
      <alignment horizontal="center" vertical="center"/>
      <protection locked="0"/>
    </xf>
    <xf numFmtId="4" fontId="82" fillId="0" borderId="94" xfId="0" applyNumberFormat="1" applyFont="1" applyFill="1" applyBorder="1" applyAlignment="1" applyProtection="1">
      <alignment horizontal="center" vertical="center"/>
      <protection locked="0"/>
    </xf>
    <xf numFmtId="0" fontId="36" fillId="2" borderId="94" xfId="0" applyFont="1" applyFill="1" applyBorder="1" applyAlignment="1" applyProtection="1">
      <alignment horizontal="center" vertical="center"/>
    </xf>
    <xf numFmtId="4" fontId="36" fillId="2" borderId="94" xfId="0" applyNumberFormat="1" applyFont="1" applyFill="1" applyBorder="1" applyAlignment="1" applyProtection="1">
      <alignment horizontal="center" vertical="center"/>
    </xf>
    <xf numFmtId="0" fontId="9" fillId="0" borderId="94" xfId="0" applyFont="1" applyFill="1" applyBorder="1" applyAlignment="1" applyProtection="1">
      <alignment horizontal="left" vertical="center" wrapText="1"/>
    </xf>
    <xf numFmtId="0" fontId="19" fillId="2" borderId="94" xfId="0" applyFont="1" applyFill="1" applyBorder="1" applyAlignment="1" applyProtection="1">
      <alignment horizontal="left" vertical="center" wrapText="1"/>
    </xf>
    <xf numFmtId="1" fontId="36" fillId="0" borderId="94" xfId="0" applyNumberFormat="1" applyFont="1" applyFill="1" applyBorder="1" applyAlignment="1" applyProtection="1">
      <alignment horizontal="left" vertical="center"/>
    </xf>
    <xf numFmtId="0" fontId="19" fillId="0" borderId="94" xfId="0" applyFont="1" applyFill="1" applyBorder="1" applyAlignment="1" applyProtection="1">
      <alignment horizontal="left" vertical="center" wrapText="1"/>
    </xf>
    <xf numFmtId="0" fontId="20" fillId="45" borderId="94" xfId="0" applyFont="1" applyFill="1" applyBorder="1" applyAlignment="1" applyProtection="1">
      <alignment horizontal="center" vertical="center"/>
      <protection locked="0"/>
    </xf>
    <xf numFmtId="3" fontId="47" fillId="45" borderId="94" xfId="0" applyNumberFormat="1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vertical="center"/>
    </xf>
    <xf numFmtId="0" fontId="36" fillId="45" borderId="94" xfId="0" applyFont="1" applyFill="1" applyBorder="1" applyAlignment="1" applyProtection="1">
      <alignment horizontal="center" vertical="center"/>
      <protection locked="0"/>
    </xf>
    <xf numFmtId="14" fontId="36" fillId="45" borderId="94" xfId="0" applyNumberFormat="1" applyFont="1" applyFill="1" applyBorder="1" applyAlignment="1" applyProtection="1">
      <alignment horizontal="center" vertical="center"/>
      <protection locked="0"/>
    </xf>
    <xf numFmtId="1" fontId="36" fillId="45" borderId="94" xfId="0" applyNumberFormat="1" applyFont="1" applyFill="1" applyBorder="1" applyAlignment="1" applyProtection="1">
      <alignment horizontal="center" vertical="center"/>
    </xf>
    <xf numFmtId="1" fontId="36" fillId="45" borderId="94" xfId="0" applyNumberFormat="1" applyFont="1" applyFill="1" applyBorder="1" applyAlignment="1" applyProtection="1">
      <alignment horizontal="center" vertical="center"/>
      <protection locked="0"/>
    </xf>
    <xf numFmtId="1" fontId="36" fillId="45" borderId="94" xfId="0" applyNumberFormat="1" applyFont="1" applyFill="1" applyBorder="1" applyAlignment="1" applyProtection="1">
      <alignment horizontal="left" vertical="center" wrapText="1"/>
    </xf>
    <xf numFmtId="0" fontId="9" fillId="45" borderId="94" xfId="0" applyFont="1" applyFill="1" applyBorder="1" applyAlignment="1" applyProtection="1">
      <alignment horizontal="left" vertical="center" wrapText="1"/>
    </xf>
    <xf numFmtId="0" fontId="36" fillId="45" borderId="94" xfId="0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horizontal="center" vertical="center"/>
      <protection locked="0"/>
    </xf>
    <xf numFmtId="4" fontId="36" fillId="45" borderId="94" xfId="0" applyNumberFormat="1" applyFont="1" applyFill="1" applyBorder="1" applyAlignment="1" applyProtection="1">
      <alignment horizontal="center" vertical="center"/>
    </xf>
    <xf numFmtId="3" fontId="36" fillId="45" borderId="94" xfId="0" applyNumberFormat="1" applyFont="1" applyFill="1" applyBorder="1" applyAlignment="1" applyProtection="1">
      <alignment horizontal="center" vertical="center"/>
      <protection locked="0"/>
    </xf>
    <xf numFmtId="2" fontId="36" fillId="45" borderId="94" xfId="0" applyNumberFormat="1" applyFont="1" applyFill="1" applyBorder="1" applyAlignment="1" applyProtection="1">
      <alignment horizontal="center" vertical="center"/>
    </xf>
    <xf numFmtId="2" fontId="36" fillId="45" borderId="94" xfId="0" applyNumberFormat="1" applyFont="1" applyFill="1" applyBorder="1" applyAlignment="1" applyProtection="1">
      <alignment horizontal="center" vertical="center"/>
      <protection locked="0"/>
    </xf>
    <xf numFmtId="3" fontId="1" fillId="45" borderId="94" xfId="0" applyNumberFormat="1" applyFont="1" applyFill="1" applyBorder="1" applyAlignment="1" applyProtection="1">
      <alignment horizontal="center" vertical="center"/>
      <protection locked="0"/>
    </xf>
    <xf numFmtId="4" fontId="33" fillId="45" borderId="94" xfId="0" applyNumberFormat="1" applyFont="1" applyFill="1" applyBorder="1" applyAlignment="1" applyProtection="1">
      <alignment horizontal="center" vertical="center"/>
      <protection locked="0"/>
    </xf>
    <xf numFmtId="4" fontId="82" fillId="45" borderId="94" xfId="0" applyNumberFormat="1" applyFont="1" applyFill="1" applyBorder="1" applyAlignment="1" applyProtection="1">
      <alignment horizontal="center" vertical="center"/>
      <protection locked="0"/>
    </xf>
    <xf numFmtId="4" fontId="20" fillId="45" borderId="104" xfId="0" applyNumberFormat="1" applyFont="1" applyFill="1" applyBorder="1" applyAlignment="1" applyProtection="1">
      <alignment horizontal="center" vertical="center"/>
      <protection locked="0"/>
    </xf>
    <xf numFmtId="14" fontId="37" fillId="45" borderId="94" xfId="0" applyNumberFormat="1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horizontal="left" vertical="center" wrapText="1"/>
    </xf>
    <xf numFmtId="0" fontId="20" fillId="11" borderId="94" xfId="0" applyFont="1" applyFill="1" applyBorder="1" applyAlignment="1" applyProtection="1">
      <alignment horizontal="center" vertical="center"/>
      <protection locked="0"/>
    </xf>
    <xf numFmtId="3" fontId="47" fillId="11" borderId="94" xfId="0" applyNumberFormat="1" applyFont="1" applyFill="1" applyBorder="1" applyAlignment="1" applyProtection="1">
      <alignment horizontal="center" vertical="center"/>
    </xf>
    <xf numFmtId="0" fontId="37" fillId="11" borderId="94" xfId="0" applyFont="1" applyFill="1" applyBorder="1" applyAlignment="1" applyProtection="1">
      <alignment vertical="center"/>
    </xf>
    <xf numFmtId="0" fontId="36" fillId="11" borderId="94" xfId="0" applyFont="1" applyFill="1" applyBorder="1" applyAlignment="1" applyProtection="1">
      <alignment horizontal="center" vertical="center"/>
      <protection locked="0"/>
    </xf>
    <xf numFmtId="14" fontId="37" fillId="11" borderId="94" xfId="0" applyNumberFormat="1" applyFont="1" applyFill="1" applyBorder="1" applyAlignment="1" applyProtection="1">
      <alignment horizontal="center" vertical="center"/>
    </xf>
    <xf numFmtId="1" fontId="36" fillId="11" borderId="94" xfId="0" applyNumberFormat="1" applyFont="1" applyFill="1" applyBorder="1" applyAlignment="1" applyProtection="1">
      <alignment horizontal="center" vertical="center"/>
    </xf>
    <xf numFmtId="1" fontId="36" fillId="11" borderId="94" xfId="0" applyNumberFormat="1" applyFont="1" applyFill="1" applyBorder="1" applyAlignment="1" applyProtection="1">
      <alignment horizontal="center" vertical="center"/>
      <protection locked="0"/>
    </xf>
    <xf numFmtId="1" fontId="36" fillId="11" borderId="94" xfId="0" applyNumberFormat="1" applyFont="1" applyFill="1" applyBorder="1" applyAlignment="1" applyProtection="1">
      <alignment horizontal="left" vertical="center" wrapText="1"/>
    </xf>
    <xf numFmtId="0" fontId="36" fillId="11" borderId="94" xfId="0" applyFont="1" applyFill="1" applyBorder="1" applyAlignment="1" applyProtection="1">
      <alignment vertical="center"/>
      <protection locked="0"/>
    </xf>
    <xf numFmtId="0" fontId="36" fillId="11" borderId="94" xfId="0" applyFont="1" applyFill="1" applyBorder="1" applyAlignment="1" applyProtection="1">
      <alignment horizontal="center" vertical="center"/>
    </xf>
    <xf numFmtId="0" fontId="19" fillId="11" borderId="94" xfId="0" applyFont="1" applyFill="1" applyBorder="1" applyAlignment="1" applyProtection="1">
      <alignment horizontal="left" vertical="center" wrapText="1"/>
    </xf>
    <xf numFmtId="0" fontId="37" fillId="11" borderId="94" xfId="0" applyFont="1" applyFill="1" applyBorder="1" applyAlignment="1" applyProtection="1">
      <alignment horizontal="center" vertical="center"/>
      <protection locked="0"/>
    </xf>
    <xf numFmtId="4" fontId="36" fillId="11" borderId="94" xfId="0" applyNumberFormat="1" applyFont="1" applyFill="1" applyBorder="1" applyAlignment="1" applyProtection="1">
      <alignment horizontal="center" vertical="center"/>
    </xf>
    <xf numFmtId="3" fontId="36" fillId="11" borderId="94" xfId="0" applyNumberFormat="1" applyFont="1" applyFill="1" applyBorder="1" applyAlignment="1" applyProtection="1">
      <alignment horizontal="center" vertical="center"/>
      <protection locked="0"/>
    </xf>
    <xf numFmtId="2" fontId="36" fillId="11" borderId="94" xfId="0" applyNumberFormat="1" applyFont="1" applyFill="1" applyBorder="1" applyAlignment="1" applyProtection="1">
      <alignment horizontal="center" vertical="center"/>
    </xf>
    <xf numFmtId="2" fontId="36" fillId="11" borderId="94" xfId="0" applyNumberFormat="1" applyFont="1" applyFill="1" applyBorder="1" applyAlignment="1" applyProtection="1">
      <alignment horizontal="center" vertical="center"/>
      <protection locked="0"/>
    </xf>
    <xf numFmtId="3" fontId="1" fillId="11" borderId="94" xfId="0" applyNumberFormat="1" applyFont="1" applyFill="1" applyBorder="1" applyAlignment="1" applyProtection="1">
      <alignment horizontal="center" vertical="center"/>
      <protection locked="0"/>
    </xf>
    <xf numFmtId="4" fontId="33" fillId="11" borderId="94" xfId="0" applyNumberFormat="1" applyFont="1" applyFill="1" applyBorder="1" applyAlignment="1" applyProtection="1">
      <alignment horizontal="center" vertical="center"/>
      <protection locked="0"/>
    </xf>
    <xf numFmtId="4" fontId="82" fillId="11" borderId="94" xfId="0" applyNumberFormat="1" applyFont="1" applyFill="1" applyBorder="1" applyAlignment="1" applyProtection="1">
      <alignment horizontal="center" vertical="center"/>
      <protection locked="0"/>
    </xf>
    <xf numFmtId="4" fontId="20" fillId="11" borderId="104" xfId="0" applyNumberFormat="1" applyFont="1" applyFill="1" applyBorder="1" applyAlignment="1" applyProtection="1">
      <alignment horizontal="center" vertical="center"/>
      <protection locked="0"/>
    </xf>
    <xf numFmtId="4" fontId="37" fillId="45" borderId="94" xfId="0" applyNumberFormat="1" applyFont="1" applyFill="1" applyBorder="1" applyAlignment="1" applyProtection="1">
      <alignment horizontal="center" vertical="center"/>
    </xf>
    <xf numFmtId="0" fontId="36" fillId="45" borderId="94" xfId="0" applyFont="1" applyFill="1" applyBorder="1" applyAlignment="1" applyProtection="1">
      <alignment vertical="center"/>
    </xf>
    <xf numFmtId="1" fontId="36" fillId="0" borderId="94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left" vertical="center"/>
      <protection locked="0"/>
    </xf>
    <xf numFmtId="0" fontId="20" fillId="46" borderId="94" xfId="0" applyFont="1" applyFill="1" applyBorder="1" applyAlignment="1" applyProtection="1">
      <alignment horizontal="center" vertical="center"/>
      <protection locked="0"/>
    </xf>
    <xf numFmtId="3" fontId="47" fillId="46" borderId="94" xfId="0" applyNumberFormat="1" applyFont="1" applyFill="1" applyBorder="1" applyAlignment="1" applyProtection="1">
      <alignment horizontal="center" vertical="center"/>
    </xf>
    <xf numFmtId="0" fontId="37" fillId="46" borderId="94" xfId="0" applyFont="1" applyFill="1" applyBorder="1" applyAlignment="1" applyProtection="1">
      <alignment vertical="center"/>
    </xf>
    <xf numFmtId="0" fontId="36" fillId="46" borderId="94" xfId="0" applyFont="1" applyFill="1" applyBorder="1" applyAlignment="1" applyProtection="1">
      <alignment horizontal="center" vertical="center"/>
      <protection locked="0"/>
    </xf>
    <xf numFmtId="14" fontId="37" fillId="46" borderId="94" xfId="0" applyNumberFormat="1" applyFont="1" applyFill="1" applyBorder="1" applyAlignment="1" applyProtection="1">
      <alignment horizontal="center" vertical="center"/>
    </xf>
    <xf numFmtId="1" fontId="36" fillId="46" borderId="94" xfId="0" applyNumberFormat="1" applyFont="1" applyFill="1" applyBorder="1" applyAlignment="1" applyProtection="1">
      <alignment horizontal="center" vertical="center"/>
    </xf>
    <xf numFmtId="1" fontId="36" fillId="46" borderId="94" xfId="0" applyNumberFormat="1" applyFont="1" applyFill="1" applyBorder="1" applyAlignment="1" applyProtection="1">
      <alignment horizontal="center" vertical="center"/>
      <protection locked="0"/>
    </xf>
    <xf numFmtId="1" fontId="36" fillId="46" borderId="94" xfId="0" applyNumberFormat="1" applyFont="1" applyFill="1" applyBorder="1" applyAlignment="1" applyProtection="1">
      <alignment horizontal="left" vertical="center" wrapText="1"/>
    </xf>
    <xf numFmtId="0" fontId="36" fillId="46" borderId="94" xfId="0" applyFont="1" applyFill="1" applyBorder="1" applyAlignment="1" applyProtection="1">
      <alignment vertical="center"/>
      <protection locked="0"/>
    </xf>
    <xf numFmtId="0" fontId="36" fillId="46" borderId="94" xfId="0" applyFont="1" applyFill="1" applyBorder="1" applyAlignment="1" applyProtection="1">
      <alignment horizontal="center" vertical="center"/>
    </xf>
    <xf numFmtId="0" fontId="19" fillId="46" borderId="94" xfId="0" applyFont="1" applyFill="1" applyBorder="1" applyAlignment="1" applyProtection="1">
      <alignment horizontal="left" vertical="center" wrapText="1"/>
    </xf>
    <xf numFmtId="0" fontId="37" fillId="46" borderId="94" xfId="0" applyFont="1" applyFill="1" applyBorder="1" applyAlignment="1" applyProtection="1">
      <alignment horizontal="center" vertical="center"/>
      <protection locked="0"/>
    </xf>
    <xf numFmtId="4" fontId="36" fillId="46" borderId="94" xfId="0" applyNumberFormat="1" applyFont="1" applyFill="1" applyBorder="1" applyAlignment="1" applyProtection="1">
      <alignment horizontal="center" vertical="center"/>
    </xf>
    <xf numFmtId="3" fontId="36" fillId="46" borderId="94" xfId="0" applyNumberFormat="1" applyFont="1" applyFill="1" applyBorder="1" applyAlignment="1" applyProtection="1">
      <alignment horizontal="center" vertical="center"/>
      <protection locked="0"/>
    </xf>
    <xf numFmtId="2" fontId="36" fillId="46" borderId="94" xfId="0" applyNumberFormat="1" applyFont="1" applyFill="1" applyBorder="1" applyAlignment="1" applyProtection="1">
      <alignment horizontal="center" vertical="center"/>
    </xf>
    <xf numFmtId="2" fontId="36" fillId="46" borderId="94" xfId="0" applyNumberFormat="1" applyFont="1" applyFill="1" applyBorder="1" applyAlignment="1" applyProtection="1">
      <alignment horizontal="center" vertical="center"/>
      <protection locked="0"/>
    </xf>
    <xf numFmtId="3" fontId="1" fillId="46" borderId="94" xfId="0" applyNumberFormat="1" applyFont="1" applyFill="1" applyBorder="1" applyAlignment="1" applyProtection="1">
      <alignment horizontal="center" vertical="center"/>
      <protection locked="0"/>
    </xf>
    <xf numFmtId="4" fontId="33" fillId="46" borderId="94" xfId="0" applyNumberFormat="1" applyFont="1" applyFill="1" applyBorder="1" applyAlignment="1" applyProtection="1">
      <alignment horizontal="center" vertical="center"/>
      <protection locked="0"/>
    </xf>
    <xf numFmtId="4" fontId="82" fillId="46" borderId="94" xfId="0" applyNumberFormat="1" applyFont="1" applyFill="1" applyBorder="1" applyAlignment="1" applyProtection="1">
      <alignment horizontal="center" vertical="center"/>
      <protection locked="0"/>
    </xf>
    <xf numFmtId="4" fontId="20" fillId="46" borderId="104" xfId="0" applyNumberFormat="1" applyFont="1" applyFill="1" applyBorder="1" applyAlignment="1" applyProtection="1">
      <alignment horizontal="center" vertical="center"/>
      <protection locked="0"/>
    </xf>
    <xf numFmtId="0" fontId="19" fillId="0" borderId="94" xfId="0" applyFont="1" applyFill="1" applyBorder="1" applyAlignment="1" applyProtection="1">
      <alignment horizontal="center" vertical="center" wrapText="1"/>
    </xf>
    <xf numFmtId="4" fontId="20" fillId="45" borderId="94" xfId="0" applyNumberFormat="1" applyFont="1" applyFill="1" applyBorder="1" applyAlignment="1" applyProtection="1">
      <alignment horizontal="center" vertical="center"/>
    </xf>
    <xf numFmtId="0" fontId="20" fillId="41" borderId="94" xfId="0" applyFont="1" applyFill="1" applyBorder="1" applyAlignment="1" applyProtection="1">
      <alignment horizontal="center" vertical="center"/>
      <protection locked="0"/>
    </xf>
    <xf numFmtId="3" fontId="47" fillId="41" borderId="94" xfId="0" applyNumberFormat="1" applyFont="1" applyFill="1" applyBorder="1" applyAlignment="1" applyProtection="1">
      <alignment horizontal="center" vertical="center"/>
    </xf>
    <xf numFmtId="0" fontId="37" fillId="41" borderId="94" xfId="0" applyFont="1" applyFill="1" applyBorder="1" applyAlignment="1" applyProtection="1">
      <alignment vertical="center"/>
    </xf>
    <xf numFmtId="0" fontId="36" fillId="41" borderId="94" xfId="0" applyFont="1" applyFill="1" applyBorder="1" applyAlignment="1" applyProtection="1">
      <alignment horizontal="center" vertical="center"/>
      <protection locked="0"/>
    </xf>
    <xf numFmtId="14" fontId="37" fillId="41" borderId="94" xfId="0" applyNumberFormat="1" applyFont="1" applyFill="1" applyBorder="1" applyAlignment="1" applyProtection="1">
      <alignment horizontal="center" vertical="center"/>
    </xf>
    <xf numFmtId="1" fontId="36" fillId="41" borderId="94" xfId="0" applyNumberFormat="1" applyFont="1" applyFill="1" applyBorder="1" applyAlignment="1" applyProtection="1">
      <alignment horizontal="center" vertical="center"/>
    </xf>
    <xf numFmtId="1" fontId="36" fillId="41" borderId="94" xfId="0" applyNumberFormat="1" applyFont="1" applyFill="1" applyBorder="1" applyAlignment="1" applyProtection="1">
      <alignment horizontal="center" vertical="center"/>
      <protection locked="0"/>
    </xf>
    <xf numFmtId="1" fontId="36" fillId="41" borderId="94" xfId="0" applyNumberFormat="1" applyFont="1" applyFill="1" applyBorder="1" applyAlignment="1" applyProtection="1">
      <alignment horizontal="left" vertical="center" wrapText="1"/>
    </xf>
    <xf numFmtId="0" fontId="36" fillId="41" borderId="94" xfId="0" applyFont="1" applyFill="1" applyBorder="1" applyAlignment="1" applyProtection="1">
      <alignment vertical="center"/>
      <protection locked="0"/>
    </xf>
    <xf numFmtId="0" fontId="37" fillId="41" borderId="94" xfId="0" applyFont="1" applyFill="1" applyBorder="1" applyAlignment="1" applyProtection="1">
      <alignment horizontal="center" vertical="center"/>
      <protection locked="0"/>
    </xf>
    <xf numFmtId="4" fontId="36" fillId="41" borderId="94" xfId="0" applyNumberFormat="1" applyFont="1" applyFill="1" applyBorder="1" applyAlignment="1" applyProtection="1">
      <alignment horizontal="center" vertical="center"/>
    </xf>
    <xf numFmtId="4" fontId="36" fillId="41" borderId="94" xfId="0" applyNumberFormat="1" applyFont="1" applyFill="1" applyBorder="1" applyAlignment="1" applyProtection="1">
      <alignment horizontal="center" vertical="center"/>
      <protection locked="0"/>
    </xf>
    <xf numFmtId="2" fontId="36" fillId="41" borderId="94" xfId="0" applyNumberFormat="1" applyFont="1" applyFill="1" applyBorder="1" applyAlignment="1" applyProtection="1">
      <alignment horizontal="center" vertical="center"/>
    </xf>
    <xf numFmtId="3" fontId="36" fillId="41" borderId="94" xfId="0" applyNumberFormat="1" applyFont="1" applyFill="1" applyBorder="1" applyAlignment="1" applyProtection="1">
      <alignment horizontal="center" vertical="center"/>
      <protection locked="0"/>
    </xf>
    <xf numFmtId="2" fontId="36" fillId="41" borderId="94" xfId="0" applyNumberFormat="1" applyFont="1" applyFill="1" applyBorder="1" applyAlignment="1" applyProtection="1">
      <alignment horizontal="center" vertical="center"/>
      <protection locked="0"/>
    </xf>
    <xf numFmtId="3" fontId="1" fillId="41" borderId="94" xfId="0" applyNumberFormat="1" applyFont="1" applyFill="1" applyBorder="1" applyAlignment="1" applyProtection="1">
      <alignment horizontal="center" vertical="center"/>
      <protection locked="0"/>
    </xf>
    <xf numFmtId="4" fontId="20" fillId="41" borderId="94" xfId="0" applyNumberFormat="1" applyFont="1" applyFill="1" applyBorder="1" applyAlignment="1" applyProtection="1">
      <alignment horizontal="center" vertical="center"/>
      <protection locked="0"/>
    </xf>
    <xf numFmtId="3" fontId="47" fillId="0" borderId="94" xfId="0" applyNumberFormat="1" applyFont="1" applyFill="1" applyBorder="1" applyAlignment="1" applyProtection="1">
      <alignment horizontal="center" vertical="center" wrapText="1"/>
    </xf>
    <xf numFmtId="0" fontId="36" fillId="11" borderId="15" xfId="0" applyFont="1" applyFill="1" applyBorder="1" applyAlignment="1" applyProtection="1">
      <alignment horizontal="center" vertical="center"/>
      <protection locked="0"/>
    </xf>
    <xf numFmtId="0" fontId="20" fillId="11" borderId="19" xfId="0" applyFont="1" applyFill="1" applyBorder="1" applyAlignment="1" applyProtection="1">
      <alignment horizontal="center" vertical="center"/>
      <protection locked="0"/>
    </xf>
    <xf numFmtId="3" fontId="47" fillId="11" borderId="19" xfId="0" applyNumberFormat="1" applyFont="1" applyFill="1" applyBorder="1" applyAlignment="1" applyProtection="1">
      <alignment horizontal="center" vertical="center"/>
    </xf>
    <xf numFmtId="0" fontId="37" fillId="11" borderId="19" xfId="0" applyFont="1" applyFill="1" applyBorder="1" applyAlignment="1" applyProtection="1">
      <alignment vertical="center"/>
    </xf>
    <xf numFmtId="0" fontId="36" fillId="11" borderId="19" xfId="0" applyFont="1" applyFill="1" applyBorder="1" applyAlignment="1" applyProtection="1">
      <alignment horizontal="center" vertical="center"/>
      <protection locked="0"/>
    </xf>
    <xf numFmtId="14" fontId="37" fillId="11" borderId="19" xfId="0" applyNumberFormat="1" applyFont="1" applyFill="1" applyBorder="1" applyAlignment="1" applyProtection="1">
      <alignment horizontal="center" vertical="center"/>
    </xf>
    <xf numFmtId="1" fontId="36" fillId="11" borderId="19" xfId="0" applyNumberFormat="1" applyFont="1" applyFill="1" applyBorder="1" applyAlignment="1" applyProtection="1">
      <alignment horizontal="center" vertical="center"/>
    </xf>
    <xf numFmtId="1" fontId="36" fillId="11" borderId="19" xfId="0" applyNumberFormat="1" applyFont="1" applyFill="1" applyBorder="1" applyAlignment="1" applyProtection="1">
      <alignment horizontal="center" vertical="center"/>
      <protection locked="0"/>
    </xf>
    <xf numFmtId="1" fontId="36" fillId="11" borderId="19" xfId="0" applyNumberFormat="1" applyFont="1" applyFill="1" applyBorder="1" applyAlignment="1" applyProtection="1">
      <alignment horizontal="left" vertical="center" wrapText="1"/>
    </xf>
    <xf numFmtId="0" fontId="36" fillId="11" borderId="19" xfId="0" applyFont="1" applyFill="1" applyBorder="1" applyAlignment="1" applyProtection="1">
      <alignment vertical="center"/>
      <protection locked="0"/>
    </xf>
    <xf numFmtId="0" fontId="36" fillId="11" borderId="19" xfId="0" applyFont="1" applyFill="1" applyBorder="1" applyAlignment="1" applyProtection="1">
      <alignment horizontal="center" vertical="center"/>
    </xf>
    <xf numFmtId="0" fontId="19" fillId="11" borderId="19" xfId="0" applyFont="1" applyFill="1" applyBorder="1" applyAlignment="1" applyProtection="1">
      <alignment horizontal="left" vertical="center" wrapText="1"/>
    </xf>
    <xf numFmtId="0" fontId="37" fillId="11" borderId="19" xfId="0" applyFont="1" applyFill="1" applyBorder="1" applyAlignment="1" applyProtection="1">
      <alignment horizontal="center" vertical="center"/>
      <protection locked="0"/>
    </xf>
    <xf numFmtId="4" fontId="36" fillId="11" borderId="19" xfId="0" applyNumberFormat="1" applyFont="1" applyFill="1" applyBorder="1" applyAlignment="1" applyProtection="1">
      <alignment horizontal="center" vertical="center"/>
    </xf>
    <xf numFmtId="4" fontId="36" fillId="11" borderId="19" xfId="0" applyNumberFormat="1" applyFont="1" applyFill="1" applyBorder="1" applyAlignment="1" applyProtection="1">
      <alignment horizontal="center" vertical="center"/>
      <protection locked="0"/>
    </xf>
    <xf numFmtId="3" fontId="36" fillId="11" borderId="19" xfId="0" applyNumberFormat="1" applyFont="1" applyFill="1" applyBorder="1" applyAlignment="1" applyProtection="1">
      <alignment horizontal="center" vertical="center"/>
      <protection locked="0"/>
    </xf>
    <xf numFmtId="2" fontId="36" fillId="11" borderId="19" xfId="0" applyNumberFormat="1" applyFont="1" applyFill="1" applyBorder="1" applyAlignment="1" applyProtection="1">
      <alignment horizontal="center" vertical="center"/>
    </xf>
    <xf numFmtId="2" fontId="36" fillId="11" borderId="19" xfId="0" applyNumberFormat="1" applyFont="1" applyFill="1" applyBorder="1" applyAlignment="1" applyProtection="1">
      <alignment horizontal="center" vertical="center"/>
      <protection locked="0"/>
    </xf>
    <xf numFmtId="3" fontId="1" fillId="11" borderId="19" xfId="0" applyNumberFormat="1" applyFont="1" applyFill="1" applyBorder="1" applyAlignment="1" applyProtection="1">
      <alignment horizontal="center" vertical="center"/>
      <protection locked="0"/>
    </xf>
    <xf numFmtId="4" fontId="33" fillId="11" borderId="19" xfId="0" applyNumberFormat="1" applyFont="1" applyFill="1" applyBorder="1" applyAlignment="1" applyProtection="1">
      <alignment horizontal="center" vertical="center"/>
      <protection locked="0"/>
    </xf>
    <xf numFmtId="4" fontId="20" fillId="11" borderId="19" xfId="0" applyNumberFormat="1" applyFont="1" applyFill="1" applyBorder="1" applyAlignment="1" applyProtection="1">
      <alignment horizontal="center" vertical="center"/>
      <protection locked="0"/>
    </xf>
    <xf numFmtId="4" fontId="82" fillId="11" borderId="19" xfId="0" applyNumberFormat="1" applyFont="1" applyFill="1" applyBorder="1" applyAlignment="1" applyProtection="1">
      <alignment horizontal="center" vertical="center"/>
      <protection locked="0"/>
    </xf>
    <xf numFmtId="4" fontId="20" fillId="3" borderId="19" xfId="0" applyNumberFormat="1" applyFont="1" applyFill="1" applyBorder="1" applyAlignment="1" applyProtection="1">
      <alignment horizontal="center" vertical="center"/>
      <protection locked="0"/>
    </xf>
    <xf numFmtId="4" fontId="20" fillId="3" borderId="20" xfId="0" applyNumberFormat="1" applyFont="1" applyFill="1" applyBorder="1" applyAlignment="1" applyProtection="1">
      <alignment horizontal="center" vertical="center"/>
      <protection locked="0"/>
    </xf>
    <xf numFmtId="166" fontId="37" fillId="0" borderId="94" xfId="0" quotePrefix="1" applyNumberFormat="1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left" vertical="center" wrapText="1"/>
    </xf>
    <xf numFmtId="0" fontId="36" fillId="0" borderId="94" xfId="0" applyFont="1" applyFill="1" applyBorder="1" applyAlignment="1" applyProtection="1">
      <alignment horizontal="right" vertical="center"/>
    </xf>
    <xf numFmtId="0" fontId="36" fillId="0" borderId="17" xfId="0" applyFont="1" applyFill="1" applyBorder="1" applyAlignment="1" applyProtection="1">
      <alignment horizontal="center" vertical="center"/>
      <protection locked="0"/>
    </xf>
    <xf numFmtId="1" fontId="36" fillId="0" borderId="22" xfId="0" applyNumberFormat="1" applyFont="1" applyFill="1" applyBorder="1" applyAlignment="1" applyProtection="1">
      <alignment horizontal="center" vertical="center"/>
    </xf>
    <xf numFmtId="0" fontId="36" fillId="0" borderId="22" xfId="0" applyFont="1" applyFill="1" applyBorder="1" applyAlignment="1" applyProtection="1">
      <alignment horizontal="center" vertical="center"/>
    </xf>
    <xf numFmtId="0" fontId="19" fillId="0" borderId="22" xfId="0" applyFont="1" applyFill="1" applyBorder="1" applyAlignment="1" applyProtection="1">
      <alignment horizontal="left" vertical="center" wrapText="1"/>
      <protection locked="0"/>
    </xf>
    <xf numFmtId="4" fontId="37" fillId="0" borderId="22" xfId="0" applyNumberFormat="1" applyFont="1" applyFill="1" applyBorder="1" applyAlignment="1" applyProtection="1">
      <alignment horizontal="center" vertical="center"/>
    </xf>
    <xf numFmtId="2" fontId="36" fillId="0" borderId="22" xfId="0" applyNumberFormat="1" applyFont="1" applyFill="1" applyBorder="1" applyAlignment="1" applyProtection="1">
      <alignment horizontal="center" vertical="center"/>
    </xf>
    <xf numFmtId="2" fontId="36" fillId="0" borderId="22" xfId="0" applyNumberFormat="1" applyFont="1" applyFill="1" applyBorder="1" applyAlignment="1" applyProtection="1">
      <alignment horizontal="center" vertical="center"/>
      <protection locked="0"/>
    </xf>
    <xf numFmtId="3" fontId="1" fillId="0" borderId="22" xfId="0" applyNumberFormat="1" applyFont="1" applyFill="1" applyBorder="1" applyAlignment="1" applyProtection="1">
      <alignment horizontal="center" vertical="center"/>
      <protection locked="0"/>
    </xf>
    <xf numFmtId="4" fontId="33" fillId="0" borderId="22" xfId="0" applyNumberFormat="1" applyFont="1" applyFill="1" applyBorder="1" applyAlignment="1" applyProtection="1">
      <alignment horizontal="center" vertical="center"/>
    </xf>
    <xf numFmtId="4" fontId="33" fillId="0" borderId="22" xfId="0" applyNumberFormat="1" applyFont="1" applyFill="1" applyBorder="1" applyAlignment="1" applyProtection="1">
      <alignment horizontal="center" vertical="center"/>
      <protection locked="0"/>
    </xf>
    <xf numFmtId="4" fontId="82" fillId="0" borderId="22" xfId="0" applyNumberFormat="1" applyFont="1" applyFill="1" applyBorder="1" applyAlignment="1" applyProtection="1">
      <alignment horizontal="center" vertical="center"/>
      <protection locked="0"/>
    </xf>
    <xf numFmtId="0" fontId="36" fillId="0" borderId="15" xfId="0" applyFont="1" applyFill="1" applyBorder="1" applyAlignment="1" applyProtection="1">
      <alignment horizontal="center" vertical="center"/>
      <protection locked="0"/>
    </xf>
    <xf numFmtId="1" fontId="36" fillId="0" borderId="19" xfId="0" applyNumberFormat="1" applyFont="1" applyFill="1" applyBorder="1" applyAlignment="1" applyProtection="1">
      <alignment horizontal="center" vertical="center"/>
    </xf>
    <xf numFmtId="1" fontId="36" fillId="0" borderId="19" xfId="0" applyNumberFormat="1" applyFont="1" applyFill="1" applyBorder="1" applyAlignment="1" applyProtection="1">
      <alignment horizontal="left" vertical="center" wrapText="1"/>
    </xf>
    <xf numFmtId="0" fontId="36" fillId="0" borderId="19" xfId="0" applyFont="1" applyFill="1" applyBorder="1" applyAlignment="1" applyProtection="1">
      <alignment horizontal="center" vertical="center"/>
    </xf>
    <xf numFmtId="0" fontId="19" fillId="0" borderId="19" xfId="0" applyFont="1" applyFill="1" applyBorder="1" applyAlignment="1" applyProtection="1">
      <alignment horizontal="left" vertical="center" wrapText="1"/>
    </xf>
    <xf numFmtId="4" fontId="37" fillId="0" borderId="19" xfId="0" applyNumberFormat="1" applyFont="1" applyFill="1" applyBorder="1" applyAlignment="1" applyProtection="1">
      <alignment horizontal="center" vertical="center"/>
    </xf>
    <xf numFmtId="2" fontId="36" fillId="0" borderId="19" xfId="0" applyNumberFormat="1" applyFont="1" applyFill="1" applyBorder="1" applyAlignment="1" applyProtection="1">
      <alignment horizontal="center" vertical="center"/>
    </xf>
    <xf numFmtId="2" fontId="36" fillId="0" borderId="19" xfId="0" applyNumberFormat="1" applyFont="1" applyFill="1" applyBorder="1" applyAlignment="1" applyProtection="1">
      <alignment horizontal="center" vertical="center"/>
      <protection locked="0"/>
    </xf>
    <xf numFmtId="3" fontId="1" fillId="0" borderId="19" xfId="0" applyNumberFormat="1" applyFont="1" applyFill="1" applyBorder="1" applyAlignment="1" applyProtection="1">
      <alignment horizontal="center" vertical="center"/>
      <protection locked="0"/>
    </xf>
    <xf numFmtId="4" fontId="33" fillId="0" borderId="19" xfId="0" applyNumberFormat="1" applyFont="1" applyFill="1" applyBorder="1" applyAlignment="1" applyProtection="1">
      <alignment horizontal="center" vertical="center"/>
    </xf>
    <xf numFmtId="4" fontId="33" fillId="0" borderId="19" xfId="0" applyNumberFormat="1" applyFont="1" applyFill="1" applyBorder="1" applyAlignment="1" applyProtection="1">
      <alignment horizontal="center" vertical="center"/>
      <protection locked="0"/>
    </xf>
    <xf numFmtId="4" fontId="82" fillId="0" borderId="19" xfId="0" applyNumberFormat="1" applyFont="1" applyFill="1" applyBorder="1" applyAlignment="1" applyProtection="1">
      <alignment horizontal="center" vertical="center"/>
      <protection locked="0"/>
    </xf>
    <xf numFmtId="4" fontId="20" fillId="0" borderId="20" xfId="0" applyNumberFormat="1" applyFont="1" applyFill="1" applyBorder="1" applyAlignment="1" applyProtection="1">
      <alignment horizontal="center" vertical="center"/>
      <protection locked="0"/>
    </xf>
    <xf numFmtId="0" fontId="115" fillId="0" borderId="22" xfId="0" applyFont="1" applyFill="1" applyBorder="1" applyAlignment="1" applyProtection="1">
      <alignment horizontal="left" vertical="center" wrapText="1"/>
    </xf>
    <xf numFmtId="4" fontId="20" fillId="0" borderId="94" xfId="0" applyNumberFormat="1" applyFont="1" applyFill="1" applyBorder="1" applyAlignment="1" applyProtection="1">
      <alignment horizontal="center" vertical="center"/>
    </xf>
    <xf numFmtId="0" fontId="115" fillId="0" borderId="19" xfId="0" applyFont="1" applyFill="1" applyBorder="1" applyAlignment="1" applyProtection="1">
      <alignment horizontal="left" vertical="center" wrapText="1"/>
    </xf>
    <xf numFmtId="0" fontId="36" fillId="0" borderId="22" xfId="0" applyFont="1" applyFill="1" applyBorder="1" applyAlignment="1" applyProtection="1">
      <alignment horizontal="left" vertical="center" wrapText="1"/>
    </xf>
    <xf numFmtId="0" fontId="36" fillId="0" borderId="19" xfId="0" applyFont="1" applyFill="1" applyBorder="1" applyAlignment="1" applyProtection="1">
      <alignment horizontal="left" vertical="center" wrapText="1"/>
    </xf>
    <xf numFmtId="4" fontId="33" fillId="41" borderId="94" xfId="0" applyNumberFormat="1" applyFont="1" applyFill="1" applyBorder="1" applyAlignment="1" applyProtection="1">
      <alignment horizontal="center" vertical="center"/>
      <protection locked="0"/>
    </xf>
    <xf numFmtId="4" fontId="82" fillId="41" borderId="94" xfId="0" applyNumberFormat="1" applyFont="1" applyFill="1" applyBorder="1" applyAlignment="1" applyProtection="1">
      <alignment horizontal="center" vertical="center"/>
      <protection locked="0"/>
    </xf>
    <xf numFmtId="4" fontId="20" fillId="41" borderId="104" xfId="0" applyNumberFormat="1" applyFont="1" applyFill="1" applyBorder="1" applyAlignment="1" applyProtection="1">
      <alignment horizontal="center" vertical="center"/>
      <protection locked="0"/>
    </xf>
    <xf numFmtId="4" fontId="36" fillId="41" borderId="1" xfId="0" applyNumberFormat="1" applyFont="1" applyFill="1" applyBorder="1" applyAlignment="1" applyProtection="1">
      <alignment vertical="center"/>
      <protection locked="0"/>
    </xf>
    <xf numFmtId="4" fontId="36" fillId="41" borderId="1" xfId="0" applyNumberFormat="1" applyFont="1" applyFill="1" applyBorder="1" applyAlignment="1" applyProtection="1">
      <alignment horizontal="center" vertical="center"/>
      <protection locked="0"/>
    </xf>
    <xf numFmtId="0" fontId="36" fillId="41" borderId="1" xfId="0" applyFont="1" applyFill="1" applyBorder="1" applyAlignment="1" applyProtection="1">
      <alignment horizontal="center" vertical="center"/>
      <protection locked="0"/>
    </xf>
    <xf numFmtId="4" fontId="1" fillId="41" borderId="0" xfId="0" applyNumberFormat="1" applyFont="1" applyFill="1" applyAlignment="1" applyProtection="1">
      <alignment vertical="center"/>
      <protection locked="0"/>
    </xf>
    <xf numFmtId="3" fontId="36" fillId="3" borderId="94" xfId="0" applyNumberFormat="1" applyFont="1" applyFill="1" applyBorder="1" applyAlignment="1" applyProtection="1">
      <alignment horizontal="center" vertical="center"/>
      <protection locked="0"/>
    </xf>
    <xf numFmtId="0" fontId="87" fillId="0" borderId="94" xfId="0" applyFont="1" applyFill="1" applyBorder="1" applyAlignment="1">
      <alignment horizontal="left"/>
    </xf>
    <xf numFmtId="4" fontId="36" fillId="4" borderId="0" xfId="0" applyNumberFormat="1" applyFont="1" applyFill="1" applyBorder="1" applyAlignment="1" applyProtection="1">
      <alignment horizontal="center" vertical="center"/>
      <protection locked="0"/>
    </xf>
    <xf numFmtId="4" fontId="20" fillId="8" borderId="0" xfId="0" applyNumberFormat="1" applyFont="1" applyFill="1" applyBorder="1" applyAlignment="1" applyProtection="1">
      <alignment horizontal="center" vertical="center"/>
      <protection locked="0"/>
    </xf>
    <xf numFmtId="4" fontId="36" fillId="0" borderId="0" xfId="0" applyNumberFormat="1" applyFont="1" applyFill="1" applyBorder="1" applyAlignment="1" applyProtection="1">
      <alignment horizontal="center" vertical="center"/>
      <protection locked="0"/>
    </xf>
    <xf numFmtId="4" fontId="36" fillId="45" borderId="0" xfId="0" applyNumberFormat="1" applyFont="1" applyFill="1" applyBorder="1" applyAlignment="1" applyProtection="1">
      <alignment horizontal="center" vertical="center"/>
      <protection locked="0"/>
    </xf>
    <xf numFmtId="4" fontId="36" fillId="11" borderId="0" xfId="0" applyNumberFormat="1" applyFont="1" applyFill="1" applyBorder="1" applyAlignment="1" applyProtection="1">
      <alignment horizontal="center" vertical="center"/>
      <protection locked="0"/>
    </xf>
    <xf numFmtId="4" fontId="36" fillId="46" borderId="0" xfId="0" applyNumberFormat="1" applyFont="1" applyFill="1" applyBorder="1" applyAlignment="1" applyProtection="1">
      <alignment horizontal="center" vertical="center"/>
      <protection locked="0"/>
    </xf>
    <xf numFmtId="4" fontId="36" fillId="41" borderId="0" xfId="0" applyNumberFormat="1" applyFont="1" applyFill="1" applyBorder="1" applyAlignment="1" applyProtection="1">
      <alignment horizontal="center" vertical="center"/>
      <protection locked="0"/>
    </xf>
    <xf numFmtId="4" fontId="36" fillId="8" borderId="0" xfId="0" applyNumberFormat="1" applyFont="1" applyFill="1" applyBorder="1" applyAlignment="1" applyProtection="1">
      <alignment vertical="center"/>
      <protection locked="0"/>
    </xf>
    <xf numFmtId="4" fontId="36" fillId="8" borderId="0" xfId="0" applyNumberFormat="1" applyFont="1" applyFill="1" applyBorder="1" applyAlignment="1" applyProtection="1">
      <alignment horizontal="center" vertical="center"/>
      <protection locked="0"/>
    </xf>
    <xf numFmtId="4" fontId="38" fillId="8" borderId="0" xfId="0" applyNumberFormat="1" applyFont="1" applyFill="1" applyBorder="1" applyAlignment="1" applyProtection="1">
      <alignment vertical="center"/>
      <protection locked="0"/>
    </xf>
    <xf numFmtId="4" fontId="22" fillId="0" borderId="0" xfId="11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 applyProtection="1">
      <alignment horizontal="center" vertical="center"/>
      <protection locked="0"/>
    </xf>
    <xf numFmtId="4" fontId="22" fillId="46" borderId="89" xfId="11" applyNumberFormat="1" applyFont="1" applyFill="1" applyBorder="1" applyAlignment="1">
      <alignment horizontal="center" vertical="center" wrapText="1"/>
    </xf>
    <xf numFmtId="4" fontId="22" fillId="46" borderId="94" xfId="11" applyNumberFormat="1" applyFont="1" applyFill="1" applyBorder="1" applyAlignment="1">
      <alignment horizontal="center" vertical="center" wrapText="1"/>
    </xf>
    <xf numFmtId="0" fontId="1" fillId="0" borderId="29" xfId="0" applyFont="1" applyFill="1" applyBorder="1" applyProtection="1">
      <protection locked="0"/>
    </xf>
    <xf numFmtId="2" fontId="16" fillId="0" borderId="102" xfId="0" applyNumberFormat="1" applyFont="1" applyFill="1" applyBorder="1" applyAlignment="1" applyProtection="1">
      <alignment vertical="center"/>
      <protection locked="0"/>
    </xf>
    <xf numFmtId="3" fontId="50" fillId="0" borderId="102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14" fontId="36" fillId="0" borderId="94" xfId="0" applyNumberFormat="1" applyFont="1" applyFill="1" applyBorder="1" applyAlignment="1" applyProtection="1">
      <alignment horizontal="center"/>
      <protection locked="0"/>
    </xf>
    <xf numFmtId="0" fontId="36" fillId="0" borderId="94" xfId="0" applyFont="1" applyFill="1" applyBorder="1" applyProtection="1">
      <protection locked="0"/>
    </xf>
    <xf numFmtId="14" fontId="36" fillId="0" borderId="7" xfId="0" applyNumberFormat="1" applyFont="1" applyFill="1" applyBorder="1" applyAlignment="1" applyProtection="1">
      <alignment horizontal="left"/>
      <protection locked="0"/>
    </xf>
    <xf numFmtId="1" fontId="36" fillId="0" borderId="7" xfId="0" applyNumberFormat="1" applyFont="1" applyFill="1" applyBorder="1" applyAlignment="1" applyProtection="1">
      <alignment horizontal="left"/>
      <protection locked="0"/>
    </xf>
    <xf numFmtId="0" fontId="36" fillId="0" borderId="7" xfId="0" applyFont="1" applyFill="1" applyBorder="1" applyProtection="1">
      <protection locked="0"/>
    </xf>
    <xf numFmtId="2" fontId="36" fillId="0" borderId="44" xfId="0" applyNumberFormat="1" applyFont="1" applyFill="1" applyBorder="1" applyAlignment="1" applyProtection="1">
      <alignment horizontal="center" vertical="center"/>
      <protection locked="0"/>
    </xf>
    <xf numFmtId="0" fontId="111" fillId="0" borderId="7" xfId="0" applyFont="1" applyFill="1" applyBorder="1" applyAlignment="1" applyProtection="1">
      <alignment horizontal="left"/>
    </xf>
    <xf numFmtId="4" fontId="20" fillId="0" borderId="112" xfId="0" applyNumberFormat="1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horizontal="left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4" fontId="15" fillId="0" borderId="0" xfId="0" applyNumberFormat="1" applyFont="1" applyFill="1" applyAlignment="1" applyProtection="1">
      <alignment vertical="center"/>
      <protection locked="0"/>
    </xf>
    <xf numFmtId="3" fontId="36" fillId="55" borderId="94" xfId="0" applyNumberFormat="1" applyFont="1" applyFill="1" applyBorder="1" applyAlignment="1" applyProtection="1">
      <alignment horizontal="center" vertical="center"/>
      <protection locked="0"/>
    </xf>
    <xf numFmtId="3" fontId="37" fillId="55" borderId="94" xfId="0" applyNumberFormat="1" applyFont="1" applyFill="1" applyBorder="1" applyAlignment="1" applyProtection="1">
      <alignment horizontal="center" vertical="center"/>
      <protection locked="0"/>
    </xf>
    <xf numFmtId="2" fontId="37" fillId="55" borderId="94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3" fontId="36" fillId="55" borderId="19" xfId="0" applyNumberFormat="1" applyFont="1" applyFill="1" applyBorder="1" applyAlignment="1" applyProtection="1">
      <alignment horizontal="center" vertical="center"/>
      <protection locked="0"/>
    </xf>
    <xf numFmtId="3" fontId="0" fillId="55" borderId="1" xfId="0" applyNumberFormat="1" applyFill="1" applyBorder="1"/>
    <xf numFmtId="0" fontId="0" fillId="55" borderId="1" xfId="0" applyFill="1" applyBorder="1"/>
    <xf numFmtId="0" fontId="0" fillId="55" borderId="1" xfId="0" applyFont="1" applyFill="1" applyBorder="1" applyAlignment="1">
      <alignment horizontal="center"/>
    </xf>
    <xf numFmtId="0" fontId="0" fillId="55" borderId="1" xfId="0" applyFill="1" applyBorder="1" applyAlignment="1">
      <alignment horizontal="center" vertical="center"/>
    </xf>
    <xf numFmtId="14" fontId="0" fillId="55" borderId="1" xfId="0" applyNumberFormat="1" applyFill="1" applyBorder="1" applyAlignment="1">
      <alignment horizontal="center" vertical="center"/>
    </xf>
    <xf numFmtId="0" fontId="0" fillId="55" borderId="0" xfId="0" applyFill="1"/>
    <xf numFmtId="0" fontId="12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4" borderId="0" xfId="0" applyFont="1" applyFill="1" applyAlignment="1" applyProtection="1">
      <alignment horizontal="center" vertical="center"/>
      <protection locked="0"/>
    </xf>
    <xf numFmtId="4" fontId="36" fillId="0" borderId="67" xfId="0" applyNumberFormat="1" applyFont="1" applyFill="1" applyBorder="1" applyAlignment="1" applyProtection="1">
      <alignment horizontal="center" vertical="center"/>
      <protection locked="0"/>
    </xf>
    <xf numFmtId="0" fontId="36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>
      <alignment horizontal="center"/>
    </xf>
    <xf numFmtId="0" fontId="36" fillId="0" borderId="94" xfId="0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36" fillId="0" borderId="34" xfId="0" applyFont="1" applyFill="1" applyBorder="1" applyAlignment="1" applyProtection="1">
      <alignment vertical="center"/>
      <protection locked="0"/>
    </xf>
    <xf numFmtId="0" fontId="36" fillId="0" borderId="74" xfId="0" applyFont="1" applyFill="1" applyBorder="1" applyAlignment="1" applyProtection="1">
      <alignment vertical="center"/>
      <protection locked="0"/>
    </xf>
    <xf numFmtId="0" fontId="12" fillId="0" borderId="74" xfId="0" applyFont="1" applyFill="1" applyBorder="1" applyAlignment="1" applyProtection="1">
      <alignment horizontal="center" vertical="center"/>
      <protection locked="0"/>
    </xf>
    <xf numFmtId="14" fontId="12" fillId="0" borderId="47" xfId="0" applyNumberFormat="1" applyFont="1" applyFill="1" applyBorder="1" applyAlignment="1" applyProtection="1">
      <alignment horizontal="center" vertical="center"/>
      <protection locked="0"/>
    </xf>
    <xf numFmtId="1" fontId="36" fillId="0" borderId="94" xfId="0" applyNumberFormat="1" applyFont="1" applyFill="1" applyBorder="1" applyAlignment="1" applyProtection="1"/>
    <xf numFmtId="2" fontId="36" fillId="3" borderId="1" xfId="0" applyNumberFormat="1" applyFont="1" applyFill="1" applyBorder="1" applyAlignment="1" applyProtection="1">
      <alignment horizontal="center" vertical="center"/>
      <protection locked="0"/>
    </xf>
    <xf numFmtId="2" fontId="36" fillId="56" borderId="1" xfId="0" applyNumberFormat="1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1" fontId="12" fillId="4" borderId="0" xfId="0" applyNumberFormat="1" applyFont="1" applyFill="1" applyAlignment="1" applyProtection="1">
      <alignment vertical="center"/>
      <protection locked="0"/>
    </xf>
    <xf numFmtId="2" fontId="36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ill="1" applyBorder="1"/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center"/>
    </xf>
    <xf numFmtId="4" fontId="0" fillId="8" borderId="63" xfId="0" applyNumberFormat="1" applyFill="1" applyBorder="1" applyAlignment="1">
      <alignment horizontal="left"/>
    </xf>
    <xf numFmtId="3" fontId="0" fillId="0" borderId="0" xfId="0" applyNumberFormat="1" applyAlignment="1">
      <alignment horizontal="left"/>
    </xf>
    <xf numFmtId="0" fontId="36" fillId="57" borderId="18" xfId="0" applyFont="1" applyFill="1" applyBorder="1" applyAlignment="1" applyProtection="1">
      <alignment horizontal="center" vertical="center"/>
      <protection locked="0"/>
    </xf>
    <xf numFmtId="0" fontId="20" fillId="57" borderId="94" xfId="0" applyFont="1" applyFill="1" applyBorder="1" applyAlignment="1" applyProtection="1">
      <alignment horizontal="center" vertical="center"/>
      <protection locked="0"/>
    </xf>
    <xf numFmtId="3" fontId="47" fillId="57" borderId="94" xfId="0" applyNumberFormat="1" applyFont="1" applyFill="1" applyBorder="1" applyAlignment="1" applyProtection="1">
      <alignment horizontal="center" vertical="center"/>
    </xf>
    <xf numFmtId="0" fontId="37" fillId="57" borderId="94" xfId="0" applyFont="1" applyFill="1" applyBorder="1" applyAlignment="1" applyProtection="1">
      <alignment vertical="center"/>
    </xf>
    <xf numFmtId="0" fontId="36" fillId="57" borderId="94" xfId="0" applyFont="1" applyFill="1" applyBorder="1" applyAlignment="1" applyProtection="1">
      <alignment horizontal="center" vertical="center"/>
      <protection locked="0"/>
    </xf>
    <xf numFmtId="14" fontId="37" fillId="57" borderId="94" xfId="0" applyNumberFormat="1" applyFont="1" applyFill="1" applyBorder="1" applyAlignment="1" applyProtection="1">
      <alignment horizontal="center" vertical="center"/>
    </xf>
    <xf numFmtId="1" fontId="36" fillId="57" borderId="94" xfId="0" applyNumberFormat="1" applyFont="1" applyFill="1" applyBorder="1" applyAlignment="1" applyProtection="1">
      <alignment horizontal="center" vertical="center"/>
    </xf>
    <xf numFmtId="1" fontId="36" fillId="57" borderId="94" xfId="0" applyNumberFormat="1" applyFont="1" applyFill="1" applyBorder="1" applyAlignment="1" applyProtection="1">
      <alignment horizontal="center" vertical="center"/>
      <protection locked="0"/>
    </xf>
    <xf numFmtId="1" fontId="36" fillId="57" borderId="94" xfId="0" applyNumberFormat="1" applyFont="1" applyFill="1" applyBorder="1" applyAlignment="1" applyProtection="1">
      <alignment horizontal="left" vertical="center" wrapText="1"/>
    </xf>
    <xf numFmtId="0" fontId="36" fillId="57" borderId="94" xfId="0" applyFont="1" applyFill="1" applyBorder="1" applyAlignment="1" applyProtection="1">
      <alignment vertical="center"/>
      <protection locked="0"/>
    </xf>
    <xf numFmtId="0" fontId="36" fillId="57" borderId="94" xfId="0" applyFont="1" applyFill="1" applyBorder="1" applyAlignment="1" applyProtection="1">
      <alignment horizontal="center" vertical="center"/>
    </xf>
    <xf numFmtId="0" fontId="19" fillId="57" borderId="94" xfId="0" applyFont="1" applyFill="1" applyBorder="1" applyAlignment="1" applyProtection="1">
      <alignment horizontal="left" vertical="center" wrapText="1"/>
    </xf>
    <xf numFmtId="0" fontId="37" fillId="57" borderId="94" xfId="0" applyFont="1" applyFill="1" applyBorder="1" applyAlignment="1" applyProtection="1">
      <alignment horizontal="center" vertical="center"/>
      <protection locked="0"/>
    </xf>
    <xf numFmtId="4" fontId="36" fillId="57" borderId="94" xfId="0" applyNumberFormat="1" applyFont="1" applyFill="1" applyBorder="1" applyAlignment="1" applyProtection="1">
      <alignment horizontal="center" vertical="center"/>
    </xf>
    <xf numFmtId="4" fontId="36" fillId="57" borderId="94" xfId="0" applyNumberFormat="1" applyFont="1" applyFill="1" applyBorder="1" applyAlignment="1" applyProtection="1">
      <alignment horizontal="center" vertical="center"/>
      <protection locked="0"/>
    </xf>
    <xf numFmtId="3" fontId="36" fillId="57" borderId="94" xfId="0" applyNumberFormat="1" applyFont="1" applyFill="1" applyBorder="1" applyAlignment="1" applyProtection="1">
      <alignment horizontal="center" vertical="center"/>
      <protection locked="0"/>
    </xf>
    <xf numFmtId="2" fontId="36" fillId="57" borderId="94" xfId="0" applyNumberFormat="1" applyFont="1" applyFill="1" applyBorder="1" applyAlignment="1" applyProtection="1">
      <alignment horizontal="center" vertical="center"/>
    </xf>
    <xf numFmtId="2" fontId="36" fillId="57" borderId="94" xfId="0" applyNumberFormat="1" applyFont="1" applyFill="1" applyBorder="1" applyAlignment="1" applyProtection="1">
      <alignment horizontal="center" vertical="center"/>
      <protection locked="0"/>
    </xf>
    <xf numFmtId="3" fontId="1" fillId="57" borderId="94" xfId="0" applyNumberFormat="1" applyFont="1" applyFill="1" applyBorder="1" applyAlignment="1" applyProtection="1">
      <alignment horizontal="center" vertical="center"/>
      <protection locked="0"/>
    </xf>
    <xf numFmtId="4" fontId="33" fillId="57" borderId="94" xfId="0" applyNumberFormat="1" applyFont="1" applyFill="1" applyBorder="1" applyAlignment="1" applyProtection="1">
      <alignment horizontal="center" vertical="center"/>
      <protection locked="0"/>
    </xf>
    <xf numFmtId="4" fontId="20" fillId="57" borderId="94" xfId="0" applyNumberFormat="1" applyFont="1" applyFill="1" applyBorder="1" applyAlignment="1" applyProtection="1">
      <alignment horizontal="center" vertical="center"/>
      <protection locked="0"/>
    </xf>
    <xf numFmtId="4" fontId="82" fillId="57" borderId="94" xfId="0" applyNumberFormat="1" applyFont="1" applyFill="1" applyBorder="1" applyAlignment="1" applyProtection="1">
      <alignment horizontal="center" vertical="center"/>
      <protection locked="0"/>
    </xf>
    <xf numFmtId="4" fontId="20" fillId="57" borderId="104" xfId="0" applyNumberFormat="1" applyFont="1" applyFill="1" applyBorder="1" applyAlignment="1" applyProtection="1">
      <alignment horizontal="center" vertical="center"/>
      <protection locked="0"/>
    </xf>
    <xf numFmtId="4" fontId="12" fillId="57" borderId="0" xfId="0" applyNumberFormat="1" applyFont="1" applyFill="1" applyAlignment="1" applyProtection="1">
      <alignment vertical="center"/>
      <protection locked="0"/>
    </xf>
    <xf numFmtId="4" fontId="12" fillId="57" borderId="0" xfId="0" applyNumberFormat="1" applyFont="1" applyFill="1" applyBorder="1" applyAlignment="1" applyProtection="1">
      <alignment vertical="center"/>
      <protection locked="0"/>
    </xf>
    <xf numFmtId="4" fontId="36" fillId="57" borderId="1" xfId="0" applyNumberFormat="1" applyFont="1" applyFill="1" applyBorder="1" applyAlignment="1" applyProtection="1">
      <alignment vertical="center"/>
      <protection locked="0"/>
    </xf>
    <xf numFmtId="4" fontId="36" fillId="57" borderId="1" xfId="0" applyNumberFormat="1" applyFont="1" applyFill="1" applyBorder="1" applyAlignment="1" applyProtection="1">
      <alignment horizontal="center" vertical="center"/>
      <protection locked="0"/>
    </xf>
    <xf numFmtId="0" fontId="36" fillId="57" borderId="1" xfId="0" applyFont="1" applyFill="1" applyBorder="1" applyAlignment="1" applyProtection="1">
      <alignment horizontal="center" vertical="center"/>
      <protection locked="0"/>
    </xf>
    <xf numFmtId="2" fontId="36" fillId="57" borderId="1" xfId="0" applyNumberFormat="1" applyFont="1" applyFill="1" applyBorder="1" applyAlignment="1" applyProtection="1">
      <alignment horizontal="center" vertical="center"/>
      <protection locked="0"/>
    </xf>
    <xf numFmtId="4" fontId="36" fillId="57" borderId="0" xfId="0" applyNumberFormat="1" applyFont="1" applyFill="1" applyBorder="1" applyAlignment="1" applyProtection="1">
      <alignment horizontal="center" vertical="center"/>
      <protection locked="0"/>
    </xf>
    <xf numFmtId="0" fontId="12" fillId="57" borderId="0" xfId="0" applyFont="1" applyFill="1" applyAlignment="1" applyProtection="1">
      <alignment vertical="center"/>
      <protection locked="0"/>
    </xf>
    <xf numFmtId="0" fontId="12" fillId="57" borderId="0" xfId="0" applyFont="1" applyFill="1" applyAlignment="1" applyProtection="1">
      <alignment horizontal="center" vertical="center"/>
      <protection locked="0"/>
    </xf>
    <xf numFmtId="0" fontId="12" fillId="57" borderId="0" xfId="0" applyFont="1" applyFill="1" applyAlignment="1" applyProtection="1">
      <alignment horizontal="center" vertical="center"/>
      <protection locked="0"/>
    </xf>
    <xf numFmtId="4" fontId="1" fillId="57" borderId="0" xfId="0" applyNumberFormat="1" applyFont="1" applyFill="1" applyAlignment="1" applyProtection="1">
      <alignment vertical="center"/>
      <protection locked="0"/>
    </xf>
    <xf numFmtId="0" fontId="36" fillId="57" borderId="94" xfId="0" applyFont="1" applyFill="1" applyBorder="1" applyAlignment="1" applyProtection="1">
      <alignment vertical="center"/>
    </xf>
    <xf numFmtId="1" fontId="36" fillId="57" borderId="94" xfId="0" quotePrefix="1" applyNumberFormat="1" applyFont="1" applyFill="1" applyBorder="1" applyAlignment="1" applyProtection="1">
      <alignment horizontal="center" vertical="center"/>
      <protection locked="0"/>
    </xf>
    <xf numFmtId="14" fontId="36" fillId="57" borderId="94" xfId="0" applyNumberFormat="1" applyFont="1" applyFill="1" applyBorder="1" applyAlignment="1" applyProtection="1">
      <alignment horizontal="center" vertical="center"/>
      <protection locked="0"/>
    </xf>
    <xf numFmtId="0" fontId="9" fillId="57" borderId="94" xfId="0" applyFont="1" applyFill="1" applyBorder="1" applyAlignment="1" applyProtection="1">
      <alignment horizontal="left" vertical="center" wrapText="1"/>
    </xf>
    <xf numFmtId="0" fontId="1" fillId="57" borderId="0" xfId="0" applyFont="1" applyFill="1" applyAlignment="1" applyProtection="1">
      <alignment vertical="center"/>
      <protection locked="0"/>
    </xf>
    <xf numFmtId="0" fontId="12" fillId="57" borderId="0" xfId="0" applyFont="1" applyFill="1" applyAlignment="1" applyProtection="1">
      <alignment horizontal="center" vertical="center"/>
      <protection locked="0"/>
    </xf>
    <xf numFmtId="0" fontId="117" fillId="57" borderId="0" xfId="0" applyFont="1" applyFill="1"/>
    <xf numFmtId="3" fontId="37" fillId="57" borderId="94" xfId="0" applyNumberFormat="1" applyFont="1" applyFill="1" applyBorder="1" applyAlignment="1" applyProtection="1">
      <alignment horizontal="center" vertical="center"/>
      <protection locked="0"/>
    </xf>
    <xf numFmtId="1" fontId="36" fillId="57" borderId="94" xfId="0" applyNumberFormat="1" applyFont="1" applyFill="1" applyBorder="1" applyAlignment="1" applyProtection="1">
      <alignment horizontal="left" vertical="center"/>
    </xf>
    <xf numFmtId="2" fontId="37" fillId="57" borderId="94" xfId="0" applyNumberFormat="1" applyFont="1" applyFill="1" applyBorder="1" applyAlignment="1" applyProtection="1">
      <alignment horizontal="center" vertical="center"/>
      <protection locked="0"/>
    </xf>
    <xf numFmtId="0" fontId="36" fillId="57" borderId="94" xfId="0" applyNumberFormat="1" applyFont="1" applyFill="1" applyBorder="1" applyAlignment="1" applyProtection="1">
      <alignment horizontal="left" vertical="center"/>
      <protection locked="0"/>
    </xf>
    <xf numFmtId="0" fontId="36" fillId="57" borderId="94" xfId="0" applyFont="1" applyFill="1" applyBorder="1" applyAlignment="1" applyProtection="1">
      <alignment horizontal="left" vertical="center" wrapText="1"/>
    </xf>
    <xf numFmtId="166" fontId="37" fillId="57" borderId="94" xfId="0" quotePrefix="1" applyNumberFormat="1" applyFont="1" applyFill="1" applyBorder="1" applyAlignment="1" applyProtection="1">
      <alignment horizontal="center" vertical="center"/>
      <protection locked="0"/>
    </xf>
    <xf numFmtId="4" fontId="1" fillId="0" borderId="0" xfId="0" applyNumberFormat="1" applyFont="1" applyFill="1" applyAlignment="1" applyProtection="1">
      <alignment vertical="center" wrapText="1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23" fillId="4" borderId="94" xfId="0" applyFont="1" applyFill="1" applyBorder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left" vertical="center"/>
      <protection locked="0"/>
    </xf>
    <xf numFmtId="0" fontId="1" fillId="4" borderId="64" xfId="0" applyFont="1" applyFill="1" applyBorder="1" applyAlignment="1" applyProtection="1">
      <alignment horizontal="center" vertical="center"/>
      <protection locked="0"/>
    </xf>
    <xf numFmtId="0" fontId="12" fillId="57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horizontal="right" vertical="center"/>
      <protection locked="0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0" fontId="1" fillId="4" borderId="0" xfId="0" applyFont="1" applyFill="1" applyAlignment="1" applyProtection="1">
      <alignment horizontal="right" vertical="center"/>
      <protection locked="0"/>
    </xf>
    <xf numFmtId="0" fontId="12" fillId="4" borderId="0" xfId="0" applyFont="1" applyFill="1" applyAlignment="1" applyProtection="1">
      <alignment horizontal="right" vertical="center"/>
      <protection locked="0"/>
    </xf>
    <xf numFmtId="4" fontId="1" fillId="4" borderId="0" xfId="0" applyNumberFormat="1" applyFont="1" applyFill="1" applyAlignment="1" applyProtection="1">
      <alignment horizontal="right" vertical="center"/>
      <protection locked="0"/>
    </xf>
    <xf numFmtId="0" fontId="80" fillId="8" borderId="33" xfId="0" applyFont="1" applyFill="1" applyBorder="1" applyAlignment="1">
      <alignment horizontal="center" vertical="center"/>
    </xf>
    <xf numFmtId="0" fontId="12" fillId="57" borderId="0" xfId="0" applyFont="1" applyFill="1" applyAlignment="1" applyProtection="1">
      <alignment horizontal="center" vertical="center"/>
      <protection locked="0"/>
    </xf>
    <xf numFmtId="0" fontId="36" fillId="57" borderId="17" xfId="0" applyFont="1" applyFill="1" applyBorder="1" applyAlignment="1" applyProtection="1">
      <alignment horizontal="center" vertical="center"/>
      <protection locked="0"/>
    </xf>
    <xf numFmtId="0" fontId="20" fillId="57" borderId="22" xfId="0" applyFont="1" applyFill="1" applyBorder="1" applyAlignment="1" applyProtection="1">
      <alignment horizontal="center" vertical="center"/>
      <protection locked="0"/>
    </xf>
    <xf numFmtId="3" fontId="47" fillId="57" borderId="22" xfId="0" applyNumberFormat="1" applyFont="1" applyFill="1" applyBorder="1" applyAlignment="1" applyProtection="1">
      <alignment horizontal="center" vertical="center"/>
    </xf>
    <xf numFmtId="0" fontId="37" fillId="57" borderId="22" xfId="0" applyFont="1" applyFill="1" applyBorder="1" applyAlignment="1" applyProtection="1">
      <alignment vertical="center"/>
    </xf>
    <xf numFmtId="0" fontId="36" fillId="57" borderId="22" xfId="0" applyFont="1" applyFill="1" applyBorder="1" applyAlignment="1" applyProtection="1">
      <alignment horizontal="center" vertical="center"/>
      <protection locked="0"/>
    </xf>
    <xf numFmtId="14" fontId="37" fillId="57" borderId="22" xfId="0" applyNumberFormat="1" applyFont="1" applyFill="1" applyBorder="1" applyAlignment="1" applyProtection="1">
      <alignment horizontal="center" vertical="center"/>
    </xf>
    <xf numFmtId="1" fontId="36" fillId="57" borderId="22" xfId="0" applyNumberFormat="1" applyFont="1" applyFill="1" applyBorder="1" applyAlignment="1" applyProtection="1">
      <alignment horizontal="center" vertical="center"/>
    </xf>
    <xf numFmtId="1" fontId="36" fillId="57" borderId="22" xfId="0" applyNumberFormat="1" applyFont="1" applyFill="1" applyBorder="1" applyAlignment="1" applyProtection="1">
      <alignment horizontal="center" vertical="center"/>
      <protection locked="0"/>
    </xf>
    <xf numFmtId="1" fontId="36" fillId="57" borderId="22" xfId="0" applyNumberFormat="1" applyFont="1" applyFill="1" applyBorder="1" applyAlignment="1" applyProtection="1">
      <alignment horizontal="left" vertical="center" wrapText="1"/>
    </xf>
    <xf numFmtId="0" fontId="36" fillId="57" borderId="22" xfId="0" applyFont="1" applyFill="1" applyBorder="1" applyAlignment="1" applyProtection="1">
      <alignment vertical="center"/>
      <protection locked="0"/>
    </xf>
    <xf numFmtId="0" fontId="36" fillId="57" borderId="22" xfId="0" applyFont="1" applyFill="1" applyBorder="1" applyAlignment="1" applyProtection="1">
      <alignment horizontal="center" vertical="center"/>
    </xf>
    <xf numFmtId="0" fontId="19" fillId="57" borderId="22" xfId="0" applyFont="1" applyFill="1" applyBorder="1" applyAlignment="1" applyProtection="1">
      <alignment horizontal="left" vertical="center" wrapText="1"/>
    </xf>
    <xf numFmtId="0" fontId="37" fillId="57" borderId="22" xfId="0" applyFont="1" applyFill="1" applyBorder="1" applyAlignment="1" applyProtection="1">
      <alignment horizontal="center" vertical="center"/>
      <protection locked="0"/>
    </xf>
    <xf numFmtId="4" fontId="36" fillId="57" borderId="22" xfId="0" applyNumberFormat="1" applyFont="1" applyFill="1" applyBorder="1" applyAlignment="1" applyProtection="1">
      <alignment horizontal="center" vertical="center"/>
    </xf>
    <xf numFmtId="4" fontId="36" fillId="57" borderId="22" xfId="0" applyNumberFormat="1" applyFont="1" applyFill="1" applyBorder="1" applyAlignment="1" applyProtection="1">
      <alignment horizontal="center" vertical="center"/>
      <protection locked="0"/>
    </xf>
    <xf numFmtId="3" fontId="36" fillId="57" borderId="22" xfId="0" applyNumberFormat="1" applyFont="1" applyFill="1" applyBorder="1" applyAlignment="1" applyProtection="1">
      <alignment horizontal="center" vertical="center"/>
      <protection locked="0"/>
    </xf>
    <xf numFmtId="2" fontId="36" fillId="57" borderId="22" xfId="0" applyNumberFormat="1" applyFont="1" applyFill="1" applyBorder="1" applyAlignment="1" applyProtection="1">
      <alignment horizontal="center" vertical="center"/>
    </xf>
    <xf numFmtId="2" fontId="36" fillId="57" borderId="22" xfId="0" applyNumberFormat="1" applyFont="1" applyFill="1" applyBorder="1" applyAlignment="1" applyProtection="1">
      <alignment horizontal="center" vertical="center"/>
      <protection locked="0"/>
    </xf>
    <xf numFmtId="3" fontId="1" fillId="57" borderId="22" xfId="0" applyNumberFormat="1" applyFont="1" applyFill="1" applyBorder="1" applyAlignment="1" applyProtection="1">
      <alignment horizontal="center" vertical="center"/>
      <protection locked="0"/>
    </xf>
    <xf numFmtId="4" fontId="33" fillId="57" borderId="22" xfId="0" applyNumberFormat="1" applyFont="1" applyFill="1" applyBorder="1" applyAlignment="1" applyProtection="1">
      <alignment horizontal="center" vertical="center"/>
      <protection locked="0"/>
    </xf>
    <xf numFmtId="4" fontId="20" fillId="57" borderId="22" xfId="0" applyNumberFormat="1" applyFont="1" applyFill="1" applyBorder="1" applyAlignment="1" applyProtection="1">
      <alignment horizontal="center" vertical="center"/>
      <protection locked="0"/>
    </xf>
    <xf numFmtId="4" fontId="82" fillId="57" borderId="22" xfId="0" applyNumberFormat="1" applyFont="1" applyFill="1" applyBorder="1" applyAlignment="1" applyProtection="1">
      <alignment horizontal="center" vertical="center"/>
      <protection locked="0"/>
    </xf>
    <xf numFmtId="4" fontId="20" fillId="57" borderId="14" xfId="0" applyNumberFormat="1" applyFont="1" applyFill="1" applyBorder="1" applyAlignment="1" applyProtection="1">
      <alignment horizontal="center" vertical="center"/>
      <protection locked="0"/>
    </xf>
    <xf numFmtId="4" fontId="36" fillId="4" borderId="1" xfId="0" applyNumberFormat="1" applyFont="1" applyFill="1" applyBorder="1" applyAlignment="1" applyProtection="1">
      <alignment horizontal="right" vertical="center"/>
      <protection locked="0"/>
    </xf>
    <xf numFmtId="4" fontId="36" fillId="0" borderId="1" xfId="0" applyNumberFormat="1" applyFont="1" applyFill="1" applyBorder="1" applyAlignment="1" applyProtection="1">
      <alignment horizontal="right" vertical="center"/>
      <protection locked="0"/>
    </xf>
    <xf numFmtId="4" fontId="36" fillId="57" borderId="1" xfId="0" applyNumberFormat="1" applyFont="1" applyFill="1" applyBorder="1" applyAlignment="1" applyProtection="1">
      <alignment horizontal="right" vertical="center"/>
      <protection locked="0"/>
    </xf>
    <xf numFmtId="4" fontId="36" fillId="45" borderId="1" xfId="0" applyNumberFormat="1" applyFont="1" applyFill="1" applyBorder="1" applyAlignment="1" applyProtection="1">
      <alignment horizontal="right" vertical="center"/>
      <protection locked="0"/>
    </xf>
    <xf numFmtId="4" fontId="36" fillId="11" borderId="1" xfId="0" applyNumberFormat="1" applyFont="1" applyFill="1" applyBorder="1" applyAlignment="1" applyProtection="1">
      <alignment horizontal="right" vertical="center"/>
      <protection locked="0"/>
    </xf>
    <xf numFmtId="4" fontId="36" fillId="46" borderId="1" xfId="0" applyNumberFormat="1" applyFont="1" applyFill="1" applyBorder="1" applyAlignment="1" applyProtection="1">
      <alignment horizontal="right" vertical="center"/>
      <protection locked="0"/>
    </xf>
    <xf numFmtId="4" fontId="36" fillId="41" borderId="1" xfId="0" applyNumberFormat="1" applyFont="1" applyFill="1" applyBorder="1" applyAlignment="1" applyProtection="1">
      <alignment horizontal="right" vertical="center"/>
      <protection locked="0"/>
    </xf>
    <xf numFmtId="0" fontId="97" fillId="0" borderId="0" xfId="115" applyFont="1" applyAlignment="1">
      <alignment horizontal="center" wrapText="1"/>
    </xf>
    <xf numFmtId="0" fontId="96" fillId="0" borderId="0" xfId="115" applyFont="1" applyAlignment="1">
      <alignment horizontal="center" wrapText="1"/>
    </xf>
    <xf numFmtId="0" fontId="36" fillId="0" borderId="94" xfId="0" applyFont="1" applyFill="1" applyBorder="1" applyAlignment="1" applyProtection="1">
      <alignment horizontal="left"/>
      <protection locked="0"/>
    </xf>
    <xf numFmtId="4" fontId="10" fillId="0" borderId="36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0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84" fillId="0" borderId="86" xfId="0" applyFont="1" applyFill="1" applyBorder="1" applyAlignment="1" applyProtection="1">
      <alignment horizontal="center"/>
    </xf>
    <xf numFmtId="0" fontId="84" fillId="0" borderId="87" xfId="0" applyFont="1" applyFill="1" applyBorder="1" applyAlignment="1" applyProtection="1">
      <alignment horizontal="center"/>
    </xf>
    <xf numFmtId="0" fontId="84" fillId="0" borderId="89" xfId="0" applyFont="1" applyFill="1" applyBorder="1" applyAlignment="1" applyProtection="1">
      <alignment horizontal="center"/>
    </xf>
    <xf numFmtId="0" fontId="20" fillId="0" borderId="84" xfId="0" applyFont="1" applyFill="1" applyBorder="1" applyAlignment="1">
      <alignment horizontal="center"/>
    </xf>
    <xf numFmtId="43" fontId="38" fillId="0" borderId="86" xfId="1" applyFont="1" applyFill="1" applyBorder="1" applyAlignment="1" applyProtection="1">
      <alignment horizontal="left"/>
      <protection locked="0"/>
    </xf>
    <xf numFmtId="43" fontId="38" fillId="0" borderId="89" xfId="1" applyFont="1" applyFill="1" applyBorder="1" applyAlignment="1" applyProtection="1">
      <alignment horizontal="left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39" fillId="0" borderId="86" xfId="0" applyFont="1" applyFill="1" applyBorder="1" applyAlignment="1" applyProtection="1">
      <alignment horizontal="center"/>
      <protection locked="0"/>
    </xf>
    <xf numFmtId="0" fontId="39" fillId="0" borderId="87" xfId="0" applyFont="1" applyFill="1" applyBorder="1" applyAlignment="1" applyProtection="1">
      <alignment horizontal="center"/>
      <protection locked="0"/>
    </xf>
    <xf numFmtId="0" fontId="39" fillId="0" borderId="89" xfId="0" applyFont="1" applyFill="1" applyBorder="1" applyAlignment="1" applyProtection="1">
      <alignment horizontal="center"/>
      <protection locked="0"/>
    </xf>
    <xf numFmtId="4" fontId="17" fillId="0" borderId="2" xfId="0" applyNumberFormat="1" applyFont="1" applyFill="1" applyBorder="1" applyAlignment="1" applyProtection="1">
      <alignment horizontal="center" vertical="center"/>
      <protection locked="0"/>
    </xf>
    <xf numFmtId="4" fontId="17" fillId="0" borderId="3" xfId="0" applyNumberFormat="1" applyFont="1" applyFill="1" applyBorder="1" applyAlignment="1" applyProtection="1">
      <alignment horizontal="center" vertical="center"/>
      <protection locked="0"/>
    </xf>
    <xf numFmtId="4" fontId="17" fillId="0" borderId="4" xfId="0" applyNumberFormat="1" applyFont="1" applyFill="1" applyBorder="1" applyAlignment="1" applyProtection="1">
      <alignment horizontal="center" vertic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5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57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11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46" borderId="0" xfId="0" applyFont="1" applyFill="1" applyAlignment="1" applyProtection="1">
      <alignment horizontal="center" vertical="center"/>
      <protection locked="0"/>
    </xf>
    <xf numFmtId="0" fontId="47" fillId="7" borderId="95" xfId="0" applyFont="1" applyFill="1" applyBorder="1" applyAlignment="1" applyProtection="1">
      <alignment horizontal="center" vertical="center"/>
    </xf>
    <xf numFmtId="0" fontId="47" fillId="7" borderId="98" xfId="0" applyFont="1" applyFill="1" applyBorder="1" applyAlignment="1" applyProtection="1">
      <alignment horizontal="center" vertical="center"/>
    </xf>
    <xf numFmtId="0" fontId="47" fillId="7" borderId="89" xfId="0" applyFont="1" applyFill="1" applyBorder="1" applyAlignment="1" applyProtection="1">
      <alignment horizontal="center" vertical="center"/>
    </xf>
    <xf numFmtId="0" fontId="80" fillId="42" borderId="95" xfId="0" applyFont="1" applyFill="1" applyBorder="1" applyAlignment="1">
      <alignment horizontal="center" vertical="center"/>
    </xf>
    <xf numFmtId="0" fontId="80" fillId="42" borderId="98" xfId="0" applyFont="1" applyFill="1" applyBorder="1" applyAlignment="1">
      <alignment horizontal="center" vertical="center"/>
    </xf>
    <xf numFmtId="0" fontId="16" fillId="2" borderId="43" xfId="0" applyFont="1" applyFill="1" applyBorder="1" applyAlignment="1" applyProtection="1">
      <alignment horizontal="center" vertical="center"/>
      <protection locked="0"/>
    </xf>
    <xf numFmtId="0" fontId="16" fillId="2" borderId="5" xfId="0" applyFont="1" applyFill="1" applyBorder="1" applyAlignment="1" applyProtection="1">
      <alignment horizontal="center" vertical="center"/>
      <protection locked="0"/>
    </xf>
    <xf numFmtId="0" fontId="16" fillId="2" borderId="13" xfId="0" applyFont="1" applyFill="1" applyBorder="1" applyAlignment="1" applyProtection="1">
      <alignment horizontal="center" vertical="center"/>
      <protection locked="0"/>
    </xf>
    <xf numFmtId="4" fontId="10" fillId="2" borderId="76" xfId="0" applyNumberFormat="1" applyFont="1" applyFill="1" applyBorder="1" applyAlignment="1" applyProtection="1">
      <alignment horizontal="center" vertical="center" wrapText="1"/>
      <protection locked="0"/>
    </xf>
    <xf numFmtId="4" fontId="10" fillId="2" borderId="50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17" fillId="8" borderId="43" xfId="0" applyNumberFormat="1" applyFont="1" applyFill="1" applyBorder="1" applyAlignment="1" applyProtection="1">
      <alignment horizontal="center" vertical="center"/>
      <protection locked="0"/>
    </xf>
    <xf numFmtId="4" fontId="17" fillId="8" borderId="5" xfId="0" applyNumberFormat="1" applyFont="1" applyFill="1" applyBorder="1" applyAlignment="1" applyProtection="1">
      <alignment horizontal="center" vertical="center"/>
      <protection locked="0"/>
    </xf>
    <xf numFmtId="4" fontId="17" fillId="8" borderId="13" xfId="0" applyNumberFormat="1" applyFont="1" applyFill="1" applyBorder="1" applyAlignment="1" applyProtection="1">
      <alignment horizontal="center" vertical="center"/>
      <protection locked="0"/>
    </xf>
    <xf numFmtId="4" fontId="10" fillId="11" borderId="2" xfId="0" applyNumberFormat="1" applyFont="1" applyFill="1" applyBorder="1" applyAlignment="1" applyProtection="1">
      <alignment horizontal="center" vertical="center" wrapText="1"/>
      <protection locked="0"/>
    </xf>
    <xf numFmtId="4" fontId="10" fillId="11" borderId="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64" xfId="0" applyFont="1" applyFill="1" applyBorder="1" applyAlignment="1" applyProtection="1">
      <alignment horizontal="center" vertical="center"/>
      <protection locked="0"/>
    </xf>
    <xf numFmtId="0" fontId="12" fillId="41" borderId="0" xfId="0" applyFont="1" applyFill="1" applyAlignment="1" applyProtection="1">
      <alignment horizontal="center" vertical="center"/>
      <protection locked="0"/>
    </xf>
    <xf numFmtId="0" fontId="138" fillId="0" borderId="0" xfId="0" applyFont="1" applyAlignment="1">
      <alignment horizontal="center"/>
    </xf>
    <xf numFmtId="0" fontId="141" fillId="0" borderId="0" xfId="0" applyFont="1" applyAlignment="1">
      <alignment horizontal="center"/>
    </xf>
    <xf numFmtId="0" fontId="142" fillId="53" borderId="2" xfId="0" applyFont="1" applyFill="1" applyBorder="1" applyAlignment="1">
      <alignment horizontal="center" wrapText="1"/>
    </xf>
    <xf numFmtId="0" fontId="142" fillId="53" borderId="4" xfId="0" applyFont="1" applyFill="1" applyBorder="1" applyAlignment="1">
      <alignment horizontal="center" wrapText="1"/>
    </xf>
    <xf numFmtId="0" fontId="142" fillId="53" borderId="108" xfId="0" applyFont="1" applyFill="1" applyBorder="1" applyAlignment="1">
      <alignment horizontal="center" wrapText="1"/>
    </xf>
    <xf numFmtId="0" fontId="143" fillId="0" borderId="2" xfId="0" applyFont="1" applyBorder="1" applyAlignment="1">
      <alignment horizontal="center" wrapText="1"/>
    </xf>
    <xf numFmtId="0" fontId="143" fillId="0" borderId="4" xfId="0" applyFont="1" applyBorder="1" applyAlignment="1">
      <alignment horizontal="center" wrapText="1"/>
    </xf>
    <xf numFmtId="0" fontId="120" fillId="8" borderId="94" xfId="0" applyFont="1" applyFill="1" applyBorder="1" applyAlignment="1">
      <alignment horizontal="center"/>
    </xf>
    <xf numFmtId="0" fontId="44" fillId="8" borderId="94" xfId="0" applyFont="1" applyFill="1" applyBorder="1" applyAlignment="1">
      <alignment horizontal="center"/>
    </xf>
    <xf numFmtId="0" fontId="133" fillId="0" borderId="94" xfId="0" applyFont="1" applyFill="1" applyBorder="1" applyAlignment="1">
      <alignment horizontal="center"/>
    </xf>
    <xf numFmtId="0" fontId="136" fillId="0" borderId="101" xfId="0" applyFont="1" applyBorder="1" applyAlignment="1">
      <alignment horizontal="center"/>
    </xf>
    <xf numFmtId="0" fontId="136" fillId="0" borderId="102" xfId="0" applyFont="1" applyBorder="1" applyAlignment="1">
      <alignment horizontal="center"/>
    </xf>
    <xf numFmtId="0" fontId="136" fillId="0" borderId="103" xfId="0" applyFont="1" applyBorder="1" applyAlignment="1">
      <alignment horizontal="center"/>
    </xf>
    <xf numFmtId="3" fontId="88" fillId="8" borderId="2" xfId="0" applyNumberFormat="1" applyFont="1" applyFill="1" applyBorder="1" applyAlignment="1">
      <alignment horizontal="center"/>
    </xf>
    <xf numFmtId="3" fontId="88" fillId="8" borderId="3" xfId="0" applyNumberFormat="1" applyFont="1" applyFill="1" applyBorder="1" applyAlignment="1">
      <alignment horizontal="center"/>
    </xf>
    <xf numFmtId="3" fontId="88" fillId="8" borderId="4" xfId="0" applyNumberFormat="1" applyFont="1" applyFill="1" applyBorder="1" applyAlignment="1">
      <alignment horizontal="center"/>
    </xf>
    <xf numFmtId="0" fontId="44" fillId="17" borderId="29" xfId="0" applyFont="1" applyFill="1" applyBorder="1" applyAlignment="1">
      <alignment horizontal="center" vertical="center"/>
    </xf>
    <xf numFmtId="0" fontId="44" fillId="17" borderId="0" xfId="0" applyFont="1" applyFill="1" applyBorder="1" applyAlignment="1">
      <alignment horizontal="center" vertical="center"/>
    </xf>
    <xf numFmtId="0" fontId="44" fillId="17" borderId="45" xfId="0" applyFont="1" applyFill="1" applyBorder="1" applyAlignment="1">
      <alignment horizontal="center" vertical="center"/>
    </xf>
    <xf numFmtId="0" fontId="44" fillId="17" borderId="4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4" fillId="17" borderId="33" xfId="0" applyFont="1" applyFill="1" applyBorder="1" applyAlignment="1">
      <alignment horizontal="center" vertical="center"/>
    </xf>
    <xf numFmtId="0" fontId="44" fillId="17" borderId="41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44" fillId="0" borderId="0" xfId="0" applyFont="1" applyAlignment="1">
      <alignment horizontal="center"/>
    </xf>
    <xf numFmtId="0" fontId="18" fillId="6" borderId="36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0" fontId="16" fillId="6" borderId="26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0" fontId="16" fillId="6" borderId="28" xfId="0" applyFont="1" applyFill="1" applyBorder="1" applyAlignment="1">
      <alignment horizontal="center" vertical="center"/>
    </xf>
    <xf numFmtId="0" fontId="36" fillId="8" borderId="14" xfId="5" applyFont="1" applyFill="1" applyBorder="1" applyAlignment="1">
      <alignment horizontal="center" vertical="center" textRotation="90" wrapText="1"/>
    </xf>
    <xf numFmtId="0" fontId="36" fillId="8" borderId="9" xfId="5" applyFont="1" applyFill="1" applyBorder="1" applyAlignment="1">
      <alignment horizontal="center" vertical="center" textRotation="90" wrapText="1"/>
    </xf>
    <xf numFmtId="0" fontId="36" fillId="8" borderId="20" xfId="5" applyFont="1" applyFill="1" applyBorder="1" applyAlignment="1">
      <alignment horizontal="center" vertical="center" textRotation="90" wrapText="1"/>
    </xf>
    <xf numFmtId="0" fontId="16" fillId="5" borderId="6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3" borderId="31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43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38" fillId="0" borderId="33" xfId="5" applyFont="1" applyFill="1" applyBorder="1" applyAlignment="1">
      <alignment horizontal="center" vertical="center" wrapText="1"/>
    </xf>
    <xf numFmtId="0" fontId="38" fillId="0" borderId="12" xfId="5" applyFont="1" applyFill="1" applyBorder="1" applyAlignment="1">
      <alignment horizontal="center" vertical="center" wrapText="1"/>
    </xf>
    <xf numFmtId="0" fontId="20" fillId="16" borderId="43" xfId="5" applyFont="1" applyFill="1" applyBorder="1" applyAlignment="1">
      <alignment horizontal="center" vertical="center" wrapText="1"/>
    </xf>
    <xf numFmtId="0" fontId="20" fillId="16" borderId="13" xfId="5" applyFont="1" applyFill="1" applyBorder="1" applyAlignment="1">
      <alignment horizontal="center" vertical="center" wrapText="1"/>
    </xf>
    <xf numFmtId="0" fontId="38" fillId="18" borderId="43" xfId="5" applyFont="1" applyFill="1" applyBorder="1" applyAlignment="1">
      <alignment horizontal="center" vertical="center" wrapText="1"/>
    </xf>
    <xf numFmtId="0" fontId="38" fillId="18" borderId="5" xfId="5" applyFont="1" applyFill="1" applyBorder="1" applyAlignment="1">
      <alignment horizontal="center" vertical="center" wrapText="1"/>
    </xf>
    <xf numFmtId="0" fontId="38" fillId="18" borderId="0" xfId="5" applyFont="1" applyFill="1" applyBorder="1" applyAlignment="1">
      <alignment horizontal="center" vertical="center" wrapText="1"/>
    </xf>
    <xf numFmtId="0" fontId="38" fillId="18" borderId="50" xfId="5" applyFont="1" applyFill="1" applyBorder="1" applyAlignment="1">
      <alignment horizontal="center" vertical="center" wrapText="1"/>
    </xf>
    <xf numFmtId="0" fontId="38" fillId="0" borderId="41" xfId="5" applyFont="1" applyFill="1" applyBorder="1" applyAlignment="1">
      <alignment horizontal="center" vertical="center" wrapText="1"/>
    </xf>
    <xf numFmtId="0" fontId="38" fillId="18" borderId="1" xfId="5" applyFont="1" applyFill="1" applyBorder="1" applyAlignment="1">
      <alignment horizontal="center" vertical="center"/>
    </xf>
  </cellXfs>
  <cellStyles count="118">
    <cellStyle name="20% - Énfasis1 2" xfId="12"/>
    <cellStyle name="20% - Énfasis2 2" xfId="13"/>
    <cellStyle name="20% - Énfasis3 2" xfId="14"/>
    <cellStyle name="20% - Énfasis4 2" xfId="15"/>
    <cellStyle name="20% - Énfasis5 2" xfId="16"/>
    <cellStyle name="20% - Énfasis6 2" xfId="17"/>
    <cellStyle name="40% - Énfasis1 2" xfId="18"/>
    <cellStyle name="40% - Énfasis2 2" xfId="19"/>
    <cellStyle name="40% - Énfasis3 2" xfId="20"/>
    <cellStyle name="40% - Énfasis4 2" xfId="21"/>
    <cellStyle name="40% - Énfasis5 2" xfId="22"/>
    <cellStyle name="40% - Énfasis6 2" xfId="23"/>
    <cellStyle name="60% - Énfasis1 2" xfId="24"/>
    <cellStyle name="60% - Énfasis2 2" xfId="25"/>
    <cellStyle name="60% - Énfasis3 2" xfId="26"/>
    <cellStyle name="60% - Énfasis4 2" xfId="27"/>
    <cellStyle name="60% - Énfasis5 2" xfId="28"/>
    <cellStyle name="60% - Énfasis6 2" xfId="29"/>
    <cellStyle name="Buena 2" xfId="30"/>
    <cellStyle name="Cálculo 2" xfId="31"/>
    <cellStyle name="Cálculo 2 2" xfId="103"/>
    <cellStyle name="Celda de comprobación 2" xfId="32"/>
    <cellStyle name="Celda vinculada 2" xfId="33"/>
    <cellStyle name="Default" xfId="34"/>
    <cellStyle name="Encabezado 4 2" xfId="35"/>
    <cellStyle name="Énfasis1 2" xfId="36"/>
    <cellStyle name="Énfasis2 2" xfId="37"/>
    <cellStyle name="Énfasis3 2" xfId="38"/>
    <cellStyle name="Énfasis4 2" xfId="39"/>
    <cellStyle name="Énfasis5 2" xfId="40"/>
    <cellStyle name="Énfasis6 2" xfId="41"/>
    <cellStyle name="Entrada 2" xfId="42"/>
    <cellStyle name="Entrada 2 2" xfId="104"/>
    <cellStyle name="Euro" xfId="43"/>
    <cellStyle name="Excel Built-in Normal" xfId="44"/>
    <cellStyle name="Incorrecto 2" xfId="45"/>
    <cellStyle name="Millares" xfId="1" builtinId="3"/>
    <cellStyle name="Millares [0] 2" xfId="46"/>
    <cellStyle name="Millares [0] 2 2" xfId="47"/>
    <cellStyle name="Millares [0] 2 2 2" xfId="106"/>
    <cellStyle name="Millares [0] 2 3" xfId="105"/>
    <cellStyle name="Millares [0] 3" xfId="48"/>
    <cellStyle name="Millares [0] 3 2" xfId="49"/>
    <cellStyle name="Millares [0] 3 2 2" xfId="108"/>
    <cellStyle name="Millares [0] 3 3" xfId="107"/>
    <cellStyle name="Millares 2" xfId="11"/>
    <cellStyle name="Millares 2 2" xfId="117"/>
    <cellStyle name="Millares 3" xfId="50"/>
    <cellStyle name="Millares 4" xfId="51"/>
    <cellStyle name="Millares 5" xfId="52"/>
    <cellStyle name="Millares 6" xfId="53"/>
    <cellStyle name="Millares 6 2" xfId="109"/>
    <cellStyle name="Millares 7" xfId="54"/>
    <cellStyle name="Millares 7 2" xfId="110"/>
    <cellStyle name="Millares 8" xfId="55"/>
    <cellStyle name="Neutral 2" xfId="56"/>
    <cellStyle name="Normal" xfId="0" builtinId="0"/>
    <cellStyle name="Normal 10" xfId="57"/>
    <cellStyle name="Normal 11" xfId="5"/>
    <cellStyle name="Normal 11 2" xfId="6"/>
    <cellStyle name="Normal 11 3" xfId="58"/>
    <cellStyle name="Normal 12" xfId="59"/>
    <cellStyle name="Normal 13" xfId="116"/>
    <cellStyle name="Normal 2" xfId="60"/>
    <cellStyle name="Normal 2 2" xfId="7"/>
    <cellStyle name="Normal 2 2 10" xfId="61"/>
    <cellStyle name="Normal 2 2 10 2" xfId="62"/>
    <cellStyle name="Normal 2 2 11" xfId="63"/>
    <cellStyle name="Normal 2 2 12" xfId="64"/>
    <cellStyle name="Normal 2 2 12 2" xfId="65"/>
    <cellStyle name="Normal 2 2 2" xfId="66"/>
    <cellStyle name="Normal 2 2 2 2" xfId="67"/>
    <cellStyle name="Normal 2 2 3" xfId="68"/>
    <cellStyle name="Normal 2 2 3 2" xfId="69"/>
    <cellStyle name="Normal 2 2 4" xfId="70"/>
    <cellStyle name="Normal 2 2 5" xfId="71"/>
    <cellStyle name="Normal 2 2 5 2" xfId="72"/>
    <cellStyle name="Normal 2 2 6" xfId="73"/>
    <cellStyle name="Normal 2 2 6 2" xfId="74"/>
    <cellStyle name="Normal 2 2 6 3" xfId="75"/>
    <cellStyle name="Normal 2 2 7" xfId="76"/>
    <cellStyle name="Normal 2 2 8" xfId="77"/>
    <cellStyle name="Normal 2 2 9" xfId="78"/>
    <cellStyle name="Normal 2 3" xfId="79"/>
    <cellStyle name="Normal 2 3 2" xfId="80"/>
    <cellStyle name="Normal 2 3 2 2" xfId="81"/>
    <cellStyle name="Normal 2 4" xfId="82"/>
    <cellStyle name="Normal 2 5" xfId="3"/>
    <cellStyle name="Normal 2 6" xfId="4"/>
    <cellStyle name="Normal 2 7" xfId="2"/>
    <cellStyle name="Normal 2 8" xfId="114"/>
    <cellStyle name="Normal 2_Hoja2" xfId="83"/>
    <cellStyle name="Normal 3" xfId="84"/>
    <cellStyle name="Normal 3 3" xfId="115"/>
    <cellStyle name="Normal 4" xfId="85"/>
    <cellStyle name="Normal 4 14" xfId="10"/>
    <cellStyle name="Normal 4 2" xfId="86"/>
    <cellStyle name="Normal 4 2 2" xfId="87"/>
    <cellStyle name="Normal 4_REVISION NOMINA 2013 EMAO" xfId="8"/>
    <cellStyle name="Normal 5" xfId="88"/>
    <cellStyle name="Normal 6" xfId="89"/>
    <cellStyle name="Normal 7" xfId="9"/>
    <cellStyle name="Normal 8" xfId="90"/>
    <cellStyle name="Normal 9" xfId="91"/>
    <cellStyle name="Normal 9 2" xfId="92"/>
    <cellStyle name="Notas 2" xfId="93"/>
    <cellStyle name="Notas 2 2" xfId="111"/>
    <cellStyle name="Salida 2" xfId="94"/>
    <cellStyle name="Salida 2 2" xfId="112"/>
    <cellStyle name="TableStyleLight1" xfId="95"/>
    <cellStyle name="Texto de advertencia 2" xfId="96"/>
    <cellStyle name="Texto explicativo 2" xfId="97"/>
    <cellStyle name="Título 1 2" xfId="98"/>
    <cellStyle name="Título 2 2" xfId="99"/>
    <cellStyle name="Título 3 2" xfId="100"/>
    <cellStyle name="Título 4" xfId="101"/>
    <cellStyle name="Total 2" xfId="102"/>
    <cellStyle name="Total 2 2" xfId="113"/>
  </cellStyles>
  <dxfs count="2">
    <dxf>
      <font>
        <b/>
        <i val="0"/>
        <color rgb="FFC00000"/>
      </font>
      <fill>
        <patternFill>
          <bgColor rgb="FF002060"/>
        </patternFill>
      </fill>
    </dxf>
    <dxf>
      <font>
        <b/>
        <i val="0"/>
        <color rgb="FFFF000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0" defaultTableStyle="TableStyleMedium9" defaultPivotStyle="PivotStyleLight16"/>
  <colors>
    <mruColors>
      <color rgb="FFFF5050"/>
      <color rgb="FF66FF66"/>
      <color rgb="FFE4E4E4"/>
      <color rgb="FFE0E0E0"/>
      <color rgb="FFEEEEEE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externalLink" Target="externalLinks/externalLink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externalLink" Target="externalLinks/externalLink12.xml"/><Relationship Id="rId43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653861</xdr:colOff>
      <xdr:row>0</xdr:row>
      <xdr:rowOff>31376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62650" y="31376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246530</xdr:colOff>
      <xdr:row>0</xdr:row>
      <xdr:rowOff>168089</xdr:rowOff>
    </xdr:from>
    <xdr:to>
      <xdr:col>2</xdr:col>
      <xdr:colOff>537884</xdr:colOff>
      <xdr:row>5</xdr:row>
      <xdr:rowOff>33618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246530" y="168089"/>
          <a:ext cx="1396254" cy="8180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653861</xdr:colOff>
      <xdr:row>0</xdr:row>
      <xdr:rowOff>31376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62650" y="31376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25</xdr:col>
      <xdr:colOff>261938</xdr:colOff>
      <xdr:row>0</xdr:row>
      <xdr:rowOff>130969</xdr:rowOff>
    </xdr:from>
    <xdr:to>
      <xdr:col>27</xdr:col>
      <xdr:colOff>762000</xdr:colOff>
      <xdr:row>6</xdr:row>
      <xdr:rowOff>273844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7330738" y="130969"/>
          <a:ext cx="2776537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961160</xdr:colOff>
      <xdr:row>7</xdr:row>
      <xdr:rowOff>120370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6643" cy="829261"/>
        </a:xfrm>
        <a:prstGeom prst="rect">
          <a:avLst/>
        </a:prstGeom>
      </xdr:spPr>
    </xdr:pic>
    <xdr:clientData/>
  </xdr:twoCellAnchor>
  <xdr:twoCellAnchor>
    <xdr:from>
      <xdr:col>10</xdr:col>
      <xdr:colOff>17318</xdr:colOff>
      <xdr:row>4</xdr:row>
      <xdr:rowOff>181841</xdr:rowOff>
    </xdr:from>
    <xdr:to>
      <xdr:col>11</xdr:col>
      <xdr:colOff>964927</xdr:colOff>
      <xdr:row>7</xdr:row>
      <xdr:rowOff>33618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170718" y="467591"/>
          <a:ext cx="1623884" cy="7090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0</xdr:row>
      <xdr:rowOff>130969</xdr:rowOff>
    </xdr:from>
    <xdr:to>
      <xdr:col>28</xdr:col>
      <xdr:colOff>826383</xdr:colOff>
      <xdr:row>6</xdr:row>
      <xdr:rowOff>163286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9716750" y="130969"/>
          <a:ext cx="826383" cy="6990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305667</xdr:colOff>
      <xdr:row>4</xdr:row>
      <xdr:rowOff>148359</xdr:rowOff>
    </xdr:from>
    <xdr:to>
      <xdr:col>2</xdr:col>
      <xdr:colOff>1114138</xdr:colOff>
      <xdr:row>7</xdr:row>
      <xdr:rowOff>120370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221" cy="829261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0</xdr:row>
      <xdr:rowOff>259773</xdr:rowOff>
    </xdr:from>
    <xdr:to>
      <xdr:col>19</xdr:col>
      <xdr:colOff>783167</xdr:colOff>
      <xdr:row>6</xdr:row>
      <xdr:rowOff>137309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506575" y="259773"/>
          <a:ext cx="1840442" cy="5442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24</xdr:col>
      <xdr:colOff>74084</xdr:colOff>
      <xdr:row>0</xdr:row>
      <xdr:rowOff>74084</xdr:rowOff>
    </xdr:from>
    <xdr:to>
      <xdr:col>28</xdr:col>
      <xdr:colOff>0</xdr:colOff>
      <xdr:row>6</xdr:row>
      <xdr:rowOff>163288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6276109" y="74084"/>
          <a:ext cx="1735666" cy="7559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63212</xdr:colOff>
      <xdr:row>4</xdr:row>
      <xdr:rowOff>122382</xdr:rowOff>
    </xdr:from>
    <xdr:to>
      <xdr:col>2</xdr:col>
      <xdr:colOff>338666</xdr:colOff>
      <xdr:row>7</xdr:row>
      <xdr:rowOff>85734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r="5058"/>
        <a:stretch>
          <a:fillRect/>
        </a:stretch>
      </xdr:blipFill>
      <xdr:spPr>
        <a:xfrm>
          <a:off x="63212" y="979632"/>
          <a:ext cx="1884121" cy="831185"/>
        </a:xfrm>
        <a:prstGeom prst="rect">
          <a:avLst/>
        </a:prstGeom>
      </xdr:spPr>
    </xdr:pic>
    <xdr:clientData/>
  </xdr:twoCellAnchor>
  <xdr:twoCellAnchor>
    <xdr:from>
      <xdr:col>78</xdr:col>
      <xdr:colOff>585107</xdr:colOff>
      <xdr:row>1</xdr:row>
      <xdr:rowOff>13607</xdr:rowOff>
    </xdr:from>
    <xdr:to>
      <xdr:col>80</xdr:col>
      <xdr:colOff>826383</xdr:colOff>
      <xdr:row>6</xdr:row>
      <xdr:rowOff>163286</xdr:rowOff>
    </xdr:to>
    <xdr:pic>
      <xdr:nvPicPr>
        <xdr:cNvPr id="4" name="Imagen 3" descr="Logos definitivo sapnaet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1000821" y="299357"/>
          <a:ext cx="2119062" cy="11157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443593</xdr:colOff>
      <xdr:row>36</xdr:row>
      <xdr:rowOff>81642</xdr:rowOff>
    </xdr:from>
    <xdr:to>
      <xdr:col>12</xdr:col>
      <xdr:colOff>650875</xdr:colOff>
      <xdr:row>63</xdr:row>
      <xdr:rowOff>152400</xdr:rowOff>
    </xdr:to>
    <xdr:sp macro="" textlink="">
      <xdr:nvSpPr>
        <xdr:cNvPr id="2" name="1 CuadroTexto"/>
        <xdr:cNvSpPr txBox="1"/>
      </xdr:nvSpPr>
      <xdr:spPr>
        <a:xfrm>
          <a:off x="443593" y="14645367"/>
          <a:ext cx="12542157" cy="55381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LES ENVIO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UN MODELO 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DE FORMULA PARA: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CALCULO DE BONO DE AGUINALDOS.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LOS CUADROS CON LAS ALICUOTAS DE VACACIONES Y AGUINALDOS FRACCIONADOS.( PARA TRABAJADORES QUE TIENEN MENOS DE UN AÑO LABORADO) .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   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NOTA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:  CUANDO LA PERSONA INGRESA A TRABAJAR APARTIR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DEL </a:t>
          </a:r>
          <a:r>
            <a:rPr lang="es-ES" sz="1600" b="1" i="0" u="sng" baseline="0">
              <a:solidFill>
                <a:srgbClr val="FF0000"/>
              </a:solidFill>
              <a:latin typeface="+mn-lt"/>
              <a:ea typeface="+mn-ea"/>
              <a:cs typeface="+mn-cs"/>
            </a:rPr>
            <a:t>DIA 03 DEL MES EN ADELANTE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; SE TOMA LA ALICUOTA FRACCIONADA DEL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MES SIGUIENTE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                                                            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    EJEMPLO: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 SI INGRESO 03/04/2023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TOMA LA ALICUOTA DEL MES SIGUIENTE OSEA DE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MAYO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FORMULA PARA EL CALCULO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 </a:t>
          </a:r>
        </a:p>
        <a:p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20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ES" sz="2000" b="1" i="0">
              <a:solidFill>
                <a:schemeClr val="dk1"/>
              </a:solidFill>
              <a:latin typeface="+mn-lt"/>
              <a:ea typeface="+mn-ea"/>
              <a:cs typeface="+mn-cs"/>
            </a:rPr>
            <a:t>=(((sueldnormal))/30*180/12+(sueldnormal))/30*150 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EL TOTAL SE DIVIDE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ENTRE 4 PARA CALCULAR 1 MES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         (Que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serian 37,5 dias)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SI SE 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SOLICITAN 2 MESES  DE AGUINALDOS;  LA PUEDEN DIVIDIR ENTRE 2 .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400"/>
            </a:lnSpc>
          </a:pPr>
          <a:endParaRPr lang="es-ES" sz="16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714375</xdr:colOff>
      <xdr:row>4</xdr:row>
      <xdr:rowOff>75454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76375" cy="827929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0</xdr:row>
      <xdr:rowOff>0</xdr:rowOff>
    </xdr:from>
    <xdr:to>
      <xdr:col>9</xdr:col>
      <xdr:colOff>219075</xdr:colOff>
      <xdr:row>4</xdr:row>
      <xdr:rowOff>171450</xdr:rowOff>
    </xdr:to>
    <xdr:pic>
      <xdr:nvPicPr>
        <xdr:cNvPr id="3" name="Imagen 3" descr="Logos definitivo sapnaet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410825" y="0"/>
          <a:ext cx="1447800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714375</xdr:colOff>
      <xdr:row>4</xdr:row>
      <xdr:rowOff>75454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76375" cy="827929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0</xdr:row>
      <xdr:rowOff>0</xdr:rowOff>
    </xdr:from>
    <xdr:to>
      <xdr:col>9</xdr:col>
      <xdr:colOff>219075</xdr:colOff>
      <xdr:row>4</xdr:row>
      <xdr:rowOff>171450</xdr:rowOff>
    </xdr:to>
    <xdr:pic>
      <xdr:nvPicPr>
        <xdr:cNvPr id="3" name="Imagen 3" descr="Logos definitivo sapnaet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572875" y="0"/>
          <a:ext cx="17811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MAQUETAS%202023\11%20NOVIEMBRE%202023\11-%20%20DEFINITIVA%20Maqueta%20SAPNNAET%20NOVIEMBRE%20PARA%20ENVIAR%20A%20INSTITUT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11%20NOVIEMBRE%202024\SAPNNAET%20AGUINALDO%20SEPTIEMBRE%20202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SOLICITUD%20DE%20RECURSOS\06%20JUNIO%202023\SAPNNAET%20JUNIO%2020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SOLICITUD%20DE%20RECURSOS\10%20OCTUBRE%202023\SAPNNAET%20OCTUBRE%202023%20aguinaldo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2022\tabuladores%20MARZO%202022\2011\CUENTASPERSONAL\lote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11%20NOVIEMBRE%202024\TEXTILES%20SEPTIEMBRE%20202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IngridWin8\Downloads\MODELO%20FORMATO\2022\OFICIOS\Users\Asistente%201%20RRHH\Documents\NOMINAS\IMET%202018\GOBERNACI&#211;N\09%20SEPTIEMBRE\SEGUNDA%20QUINCENA\NOMINA%202DA.SEPTIEMBR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Asistente%201%20RRHH\Documents\NOMINAS\IMET%202018\GOBERNACI&#211;N\09%20SEPTIEMBRE\SEGUNDA%20QUINCENA\NOMINA%202DA.SEPTIEMBR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ODELO%20FORMATO\2022\OFICIOS\Users\Asistente%201%20RRHH\Documents\NOMINAS\IMET%202018\GOBERNACI&#211;N\09%20SEPTIEMBRE\SEGUNDA%20QUINCENA\NOMINA%202DA.SEPTIEMBRE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21032024\NOMINAS%202024\05%20MAYO%202024\NOMINA%20MAYO%202024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2022\tabuladores%20MARZO%202022\RAC%202021%20ESPOTRU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2011\CUENTASPERSONAL\lote11\11LOT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IngridWin8\Downloads\MODELO%20FORMATO\2022\OFICIOS\POA%202018%20INST\POA%20EMPL%20DESP%20GOB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POA%202018%20INST\POA%20EMPL%20DESP%20GOB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ODELO%20FORMATO\2022\OFICIOS\POA%202018%20INST\POA%20EMPL%20DESP%20GOB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06%20JUNIO%202024\NOMINA%20JUNIO%202024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obernación - Alcaldía"/>
      <sheetName val="CONSOLIDADO"/>
      <sheetName val="FRECUENCIA - GOB  ALC"/>
      <sheetName val="Hoja2"/>
      <sheetName val="Hoja1"/>
      <sheetName val="CALCULOS - ADMINISTRATIV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ELECCIÓN POPULAR</v>
          </cell>
          <cell r="C1" t="str">
            <v>COORDINADOR DE ÁREA</v>
          </cell>
        </row>
        <row r="2">
          <cell r="B2" t="str">
            <v>LNR (99)</v>
          </cell>
          <cell r="C2" t="str">
            <v>JEFE DE DIVISIÓN</v>
          </cell>
        </row>
        <row r="3">
          <cell r="B3" t="str">
            <v>MÁXIMA AUTORIDAD ÓRGANOS/ENTES</v>
          </cell>
          <cell r="C3" t="str">
            <v>DIRECTOR DE LÍNEA</v>
          </cell>
          <cell r="D3" t="str">
            <v>BI</v>
          </cell>
          <cell r="E3" t="str">
            <v>GRADO (1) - MIN</v>
          </cell>
        </row>
        <row r="4">
          <cell r="B4" t="str">
            <v>EMPLEADO/A FIJO</v>
          </cell>
          <cell r="C4" t="str">
            <v>DIRECTOR GENERAL</v>
          </cell>
          <cell r="D4" t="str">
            <v>BI - II</v>
          </cell>
          <cell r="E4" t="str">
            <v>GRADO (1) - MÁX</v>
          </cell>
        </row>
        <row r="5">
          <cell r="B5" t="str">
            <v>CONTRATADO/A</v>
          </cell>
          <cell r="C5" t="str">
            <v>ALCALDE/SA</v>
          </cell>
          <cell r="D5" t="str">
            <v>BI - III</v>
          </cell>
          <cell r="E5" t="str">
            <v>GRADO (2) - MIN</v>
          </cell>
        </row>
        <row r="6">
          <cell r="B6" t="str">
            <v>OBRERO FIJO</v>
          </cell>
          <cell r="C6" t="str">
            <v>GOBERNADOR/A</v>
          </cell>
          <cell r="D6" t="str">
            <v>BI - IV</v>
          </cell>
          <cell r="E6" t="str">
            <v>GRADO (2) - MÁX</v>
          </cell>
        </row>
        <row r="7">
          <cell r="B7" t="str">
            <v>OBRERO CONTRATADO</v>
          </cell>
          <cell r="C7" t="str">
            <v>CONCEJAL / LEGISLADOR</v>
          </cell>
          <cell r="D7" t="str">
            <v>BI - V</v>
          </cell>
          <cell r="E7" t="str">
            <v>GRADO (3) - MIN</v>
          </cell>
        </row>
        <row r="8">
          <cell r="B8" t="str">
            <v>HONORARIOS PROFESIONALES</v>
          </cell>
          <cell r="C8" t="str">
            <v>SINDICO / PROCURADOR</v>
          </cell>
          <cell r="D8" t="str">
            <v>BI - VI</v>
          </cell>
          <cell r="E8" t="str">
            <v>GRADO (3) - MÁX</v>
          </cell>
        </row>
        <row r="9">
          <cell r="B9" t="str">
            <v>PERSONAL ROTATIVO</v>
          </cell>
          <cell r="C9" t="str">
            <v>PRESIDENTE/A</v>
          </cell>
          <cell r="D9" t="str">
            <v>BI - VII</v>
          </cell>
          <cell r="E9" t="str">
            <v>GRADO (4) - MIN</v>
          </cell>
        </row>
        <row r="10">
          <cell r="B10" t="str">
            <v>ALTO NIVEL JUBILADO/A</v>
          </cell>
          <cell r="C10" t="str">
            <v>CONTRALOR/A</v>
          </cell>
          <cell r="D10" t="str">
            <v>BII</v>
          </cell>
          <cell r="E10" t="str">
            <v>GRADO (4) - MÁX</v>
          </cell>
        </row>
        <row r="11">
          <cell r="B11" t="str">
            <v>EMPLEADO/A JUBILADO/A</v>
          </cell>
          <cell r="D11" t="str">
            <v>BII - II</v>
          </cell>
          <cell r="E11" t="str">
            <v>GRADO (5) - MIN</v>
          </cell>
        </row>
        <row r="12">
          <cell r="B12" t="str">
            <v>OBRERO JUBILADO/A</v>
          </cell>
          <cell r="D12" t="str">
            <v>BII - III</v>
          </cell>
          <cell r="E12" t="str">
            <v>GRADO (5) - MÁX</v>
          </cell>
        </row>
        <row r="13">
          <cell r="B13" t="str">
            <v>ALTO NIVEL PENSIONADO/A</v>
          </cell>
          <cell r="D13" t="str">
            <v>BII - IV</v>
          </cell>
          <cell r="E13" t="str">
            <v>GRADO (6) - MIN</v>
          </cell>
        </row>
        <row r="14">
          <cell r="B14" t="str">
            <v>EMPLEADO/A PENSIONADO/A</v>
          </cell>
          <cell r="D14" t="str">
            <v>BII - V</v>
          </cell>
          <cell r="E14" t="str">
            <v>GRADO (6) - MÁX</v>
          </cell>
        </row>
        <row r="15">
          <cell r="B15" t="str">
            <v>OBRERO PENSIONADO/A</v>
          </cell>
          <cell r="C15" t="str">
            <v>COORDINADOR DE ÁREA</v>
          </cell>
          <cell r="D15" t="str">
            <v>BII - VI</v>
          </cell>
          <cell r="E15" t="str">
            <v>GRADO (7) - MIN</v>
          </cell>
        </row>
        <row r="16">
          <cell r="C16" t="str">
            <v>JEFE DE DIVISIÓN</v>
          </cell>
          <cell r="D16" t="str">
            <v>BII - VII</v>
          </cell>
          <cell r="E16" t="str">
            <v>GRADO (7) - MÁX</v>
          </cell>
        </row>
        <row r="17">
          <cell r="C17" t="str">
            <v>DIRECTOR DE LÍNEA</v>
          </cell>
          <cell r="D17" t="str">
            <v>BIII</v>
          </cell>
          <cell r="E17" t="str">
            <v>GRADO (8) - MIN</v>
          </cell>
        </row>
        <row r="18">
          <cell r="C18" t="str">
            <v>DIRECTOR GENERAL</v>
          </cell>
          <cell r="D18" t="str">
            <v>BIII - II</v>
          </cell>
          <cell r="E18" t="str">
            <v>GRADO (8) - MÁX</v>
          </cell>
        </row>
        <row r="19">
          <cell r="C19" t="str">
            <v>CONCEJAL / LEGISLADOR</v>
          </cell>
          <cell r="D19" t="str">
            <v>BIII - III</v>
          </cell>
          <cell r="E19" t="str">
            <v>GRADO (9) - MIN</v>
          </cell>
        </row>
        <row r="20">
          <cell r="C20" t="str">
            <v>SINDICO / PROCURADOR</v>
          </cell>
          <cell r="D20" t="str">
            <v>BIII - IV</v>
          </cell>
          <cell r="E20" t="str">
            <v>GRADO (9) - MÁX</v>
          </cell>
        </row>
        <row r="21">
          <cell r="C21" t="str">
            <v>PRESIDENTE/A</v>
          </cell>
          <cell r="D21" t="str">
            <v>BIII - V</v>
          </cell>
          <cell r="E21" t="str">
            <v>GRADO (10) - MIN</v>
          </cell>
        </row>
        <row r="22">
          <cell r="C22" t="str">
            <v>CONTRALOR/A</v>
          </cell>
          <cell r="D22" t="str">
            <v>BIII - VI</v>
          </cell>
          <cell r="E22" t="str">
            <v>GRADO (10) - MÁX</v>
          </cell>
        </row>
        <row r="23">
          <cell r="D23" t="str">
            <v>BIII - VII</v>
          </cell>
        </row>
        <row r="24">
          <cell r="D24" t="str">
            <v>TI</v>
          </cell>
          <cell r="E24" t="str">
            <v>ROTATIVO</v>
          </cell>
        </row>
        <row r="25">
          <cell r="D25" t="str">
            <v>TI - II</v>
          </cell>
          <cell r="E25" t="str">
            <v>BI</v>
          </cell>
        </row>
        <row r="26">
          <cell r="D26" t="str">
            <v>TI - III</v>
          </cell>
          <cell r="E26" t="str">
            <v>BII</v>
          </cell>
        </row>
        <row r="27">
          <cell r="D27" t="str">
            <v>TI - IV</v>
          </cell>
          <cell r="E27" t="str">
            <v>BIII</v>
          </cell>
        </row>
        <row r="28">
          <cell r="D28" t="str">
            <v>TI - V</v>
          </cell>
          <cell r="E28" t="str">
            <v>TI</v>
          </cell>
        </row>
        <row r="29">
          <cell r="D29" t="str">
            <v>TI - VI</v>
          </cell>
          <cell r="E29" t="str">
            <v>TII</v>
          </cell>
        </row>
        <row r="30">
          <cell r="D30" t="str">
            <v>TI - VII</v>
          </cell>
          <cell r="E30" t="str">
            <v>PI</v>
          </cell>
        </row>
        <row r="31">
          <cell r="D31" t="str">
            <v>TII</v>
          </cell>
          <cell r="E31" t="str">
            <v>PII</v>
          </cell>
        </row>
        <row r="32">
          <cell r="D32" t="str">
            <v>TII - II</v>
          </cell>
          <cell r="E32" t="str">
            <v>PIII</v>
          </cell>
        </row>
        <row r="33">
          <cell r="D33" t="str">
            <v>TII - III</v>
          </cell>
        </row>
        <row r="34">
          <cell r="D34" t="str">
            <v>TII - IV</v>
          </cell>
          <cell r="E34" t="str">
            <v>HP I</v>
          </cell>
        </row>
        <row r="35">
          <cell r="D35" t="str">
            <v>TII - V</v>
          </cell>
          <cell r="E35" t="str">
            <v>HP II</v>
          </cell>
        </row>
        <row r="36">
          <cell r="D36" t="str">
            <v>TII - VI</v>
          </cell>
          <cell r="E36" t="str">
            <v>HP III</v>
          </cell>
        </row>
        <row r="37">
          <cell r="D37" t="str">
            <v>TII - VII</v>
          </cell>
        </row>
        <row r="38">
          <cell r="D38" t="str">
            <v>PI</v>
          </cell>
        </row>
        <row r="39">
          <cell r="D39" t="str">
            <v>PI - II</v>
          </cell>
        </row>
        <row r="40">
          <cell r="D40" t="str">
            <v>PI - III</v>
          </cell>
        </row>
        <row r="41">
          <cell r="D41" t="str">
            <v>PI - IV</v>
          </cell>
        </row>
        <row r="42">
          <cell r="D42" t="str">
            <v>PI - V</v>
          </cell>
        </row>
        <row r="43">
          <cell r="D43" t="str">
            <v>PI - VI</v>
          </cell>
        </row>
        <row r="44">
          <cell r="D44" t="str">
            <v>PI - VII</v>
          </cell>
        </row>
        <row r="45">
          <cell r="D45" t="str">
            <v>PII</v>
          </cell>
        </row>
        <row r="46">
          <cell r="D46" t="str">
            <v>PII - II</v>
          </cell>
        </row>
        <row r="47">
          <cell r="D47" t="str">
            <v>PII - III</v>
          </cell>
        </row>
        <row r="48">
          <cell r="D48" t="str">
            <v>PII - IV</v>
          </cell>
        </row>
        <row r="49">
          <cell r="D49" t="str">
            <v>PII - V</v>
          </cell>
        </row>
        <row r="50">
          <cell r="D50" t="str">
            <v>PII - VI</v>
          </cell>
        </row>
        <row r="51">
          <cell r="D51" t="str">
            <v>PII - VII</v>
          </cell>
        </row>
        <row r="52">
          <cell r="D52" t="str">
            <v>PIII</v>
          </cell>
        </row>
        <row r="53">
          <cell r="D53" t="str">
            <v>PIII - II</v>
          </cell>
        </row>
        <row r="54">
          <cell r="D54" t="str">
            <v>PIII - III</v>
          </cell>
        </row>
        <row r="55">
          <cell r="D55" t="str">
            <v>PIII - IV</v>
          </cell>
        </row>
        <row r="56">
          <cell r="D56" t="str">
            <v>PIII - V</v>
          </cell>
        </row>
        <row r="57">
          <cell r="D57" t="str">
            <v>PIII - VI</v>
          </cell>
        </row>
        <row r="58">
          <cell r="D58" t="str">
            <v>PIII - VII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NOMINA"/>
      <sheetName val="EJEMPLO CALCULO AGUINALDOS NUEV"/>
      <sheetName val="CONCEPTOS Y PARAMETROS"/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HIJOS 12 AÑOS"/>
      <sheetName val="HIJOS "/>
      <sheetName val="Hoja1"/>
      <sheetName val="TAB EMP"/>
      <sheetName val="TAB OBR"/>
      <sheetName val="CARGOS"/>
      <sheetName val="CARGOS POA"/>
      <sheetName val="TAB EMP (2)"/>
      <sheetName val="Varios"/>
      <sheetName val="Hoja2"/>
    </sheetNames>
    <sheetDataSet>
      <sheetData sheetId="0"/>
      <sheetData sheetId="1"/>
      <sheetData sheetId="2"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RAC"/>
      <sheetName val="CONCEPTOS Y PARAMETROS"/>
      <sheetName val="TAB EMP"/>
      <sheetName val="TAB OBR"/>
      <sheetName val="CARGOS"/>
      <sheetName val="CARGOS POA"/>
      <sheetName val="TAB EMP (2)"/>
      <sheetName val="HIJO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1000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2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3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14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Agui"/>
      <sheetName val="Imprimir CT"/>
      <sheetName val="Imprimir 2a"/>
      <sheetName val="Aportes"/>
      <sheetName val="Imprimir 1ra"/>
      <sheetName val="RAC"/>
      <sheetName val="EJEMPLO CALCULO AGUINALDOS"/>
      <sheetName val="CONCEPTOS Y PARAMETROS"/>
      <sheetName val="TAB EMP"/>
      <sheetName val="TAB OBR"/>
      <sheetName val="HIJOS 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1389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4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5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16"/>
      <sheetData sheetId="17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LISTAS"/>
    </sheetNames>
    <sheetDataSet>
      <sheetData sheetId="0" refreshError="1">
        <row r="1">
          <cell r="A1" t="str">
            <v>TITULO UNIVERSITARIO</v>
          </cell>
        </row>
        <row r="2">
          <cell r="A2" t="str">
            <v xml:space="preserve">EDUCACION MEDIA </v>
          </cell>
        </row>
        <row r="3">
          <cell r="A3" t="str">
            <v>EDUCACION PRIMARIA</v>
          </cell>
        </row>
        <row r="4">
          <cell r="A4" t="str">
            <v xml:space="preserve">EDUCACION TECNICA </v>
          </cell>
        </row>
        <row r="5">
          <cell r="A5" t="str">
            <v xml:space="preserve">TECNICO SUPERIOR UNIVERSITARIO </v>
          </cell>
        </row>
        <row r="6">
          <cell r="A6" t="str">
            <v xml:space="preserve">TITULO UNIVERSITARIO </v>
          </cell>
        </row>
        <row r="9">
          <cell r="A9" t="str">
            <v>AVENIDA</v>
          </cell>
          <cell r="C9" t="str">
            <v xml:space="preserve">ADMINISTRADOR </v>
          </cell>
        </row>
        <row r="10">
          <cell r="A10" t="str">
            <v>CALLE</v>
          </cell>
          <cell r="C10" t="str">
            <v xml:space="preserve">ASIST ADMINISTRATIVO </v>
          </cell>
        </row>
        <row r="11">
          <cell r="A11" t="str">
            <v xml:space="preserve">CALLEJON </v>
          </cell>
          <cell r="C11" t="str">
            <v xml:space="preserve">ASISTENTE </v>
          </cell>
        </row>
        <row r="12">
          <cell r="A12" t="str">
            <v xml:space="preserve">CAMINO </v>
          </cell>
          <cell r="C12" t="str">
            <v xml:space="preserve">CHOFER </v>
          </cell>
        </row>
        <row r="13">
          <cell r="A13" t="str">
            <v>CARRETERA</v>
          </cell>
          <cell r="C13" t="str">
            <v xml:space="preserve">DOCENTE </v>
          </cell>
        </row>
        <row r="14">
          <cell r="A14" t="str">
            <v>ESQUINA</v>
          </cell>
          <cell r="C14" t="str">
            <v>ELECTRICISTA</v>
          </cell>
        </row>
        <row r="15">
          <cell r="A15" t="str">
            <v>VIA</v>
          </cell>
          <cell r="C15" t="str">
            <v xml:space="preserve">OBRERO </v>
          </cell>
        </row>
        <row r="16">
          <cell r="A16" t="str">
            <v>VEREDA</v>
          </cell>
          <cell r="C16" t="str">
            <v xml:space="preserve">ANALISTA </v>
          </cell>
        </row>
        <row r="17">
          <cell r="C17" t="str">
            <v>FUNCIONARIO</v>
          </cell>
        </row>
        <row r="18">
          <cell r="C18" t="str">
            <v xml:space="preserve">INGENIERO </v>
          </cell>
        </row>
        <row r="19">
          <cell r="C19" t="str">
            <v>OPERADOR</v>
          </cell>
        </row>
        <row r="20">
          <cell r="A20" t="str">
            <v xml:space="preserve">MUNICIPIO </v>
          </cell>
          <cell r="C20" t="str">
            <v xml:space="preserve">RECEPCIONISTA </v>
          </cell>
        </row>
        <row r="21">
          <cell r="A21" t="str">
            <v xml:space="preserve">SECTOR </v>
          </cell>
        </row>
        <row r="22">
          <cell r="A22" t="str">
            <v>URBANIZACION</v>
          </cell>
        </row>
        <row r="23">
          <cell r="A23" t="str">
            <v xml:space="preserve">ZONA </v>
          </cell>
        </row>
        <row r="26">
          <cell r="A26" t="str">
            <v xml:space="preserve">ADMINISTRADOR </v>
          </cell>
        </row>
        <row r="27">
          <cell r="A27" t="str">
            <v xml:space="preserve">ESTUDIANTE </v>
          </cell>
        </row>
        <row r="28">
          <cell r="A28" t="str">
            <v xml:space="preserve">INGENIERO </v>
          </cell>
        </row>
        <row r="29">
          <cell r="A29" t="str">
            <v xml:space="preserve">MEDICO </v>
          </cell>
        </row>
        <row r="30">
          <cell r="A30" t="str">
            <v xml:space="preserve">OTROS </v>
          </cell>
        </row>
        <row r="31">
          <cell r="A31" t="str">
            <v>ECONOMISTA</v>
          </cell>
        </row>
        <row r="32">
          <cell r="A32" t="str">
            <v xml:space="preserve">ABOGADO </v>
          </cell>
        </row>
        <row r="33">
          <cell r="A33" t="str">
            <v>ELECTRICISTA</v>
          </cell>
        </row>
        <row r="34">
          <cell r="A34" t="str">
            <v xml:space="preserve">LICENCIADO </v>
          </cell>
        </row>
        <row r="35">
          <cell r="A35" t="str">
            <v xml:space="preserve">MECANICO </v>
          </cell>
        </row>
        <row r="36">
          <cell r="A36" t="str">
            <v xml:space="preserve">SECRETARIA </v>
          </cell>
        </row>
        <row r="37">
          <cell r="A37" t="str">
            <v xml:space="preserve">OFICINISTA </v>
          </cell>
        </row>
        <row r="38">
          <cell r="A38" t="str">
            <v xml:space="preserve">CONTADOR PUBLICO 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RAC"/>
      <sheetName val="EJEMPLO CALCULO AGUINALDOS NUEV"/>
      <sheetName val="Hoja1"/>
      <sheetName val="CONCEPTOS Y PARAMETROS"/>
      <sheetName val="POA (2024)"/>
      <sheetName val="TAB EMP"/>
      <sheetName val="TAB OBR"/>
      <sheetName val="CARGOS"/>
    </sheetNames>
    <sheetDataSet>
      <sheetData sheetId="0">
        <row r="8">
          <cell r="DF8" t="str">
            <v>V</v>
          </cell>
          <cell r="DG8" t="str">
            <v>F</v>
          </cell>
        </row>
        <row r="9">
          <cell r="DA9">
            <v>0</v>
          </cell>
          <cell r="DF9" t="str">
            <v>E</v>
          </cell>
          <cell r="DG9" t="str">
            <v>M</v>
          </cell>
        </row>
        <row r="10">
          <cell r="DA10">
            <v>1</v>
          </cell>
        </row>
        <row r="11">
          <cell r="DA11">
            <v>2</v>
          </cell>
        </row>
      </sheetData>
      <sheetData sheetId="1"/>
      <sheetData sheetId="2"/>
      <sheetData sheetId="3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101">
          <cell r="A101">
            <v>0</v>
          </cell>
        </row>
        <row r="102">
          <cell r="A102">
            <v>1466</v>
          </cell>
        </row>
      </sheetData>
      <sheetData sheetId="4"/>
      <sheetData sheetId="5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6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7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II</v>
          </cell>
        </row>
        <row r="1139">
          <cell r="A1139" t="str">
            <v>GUITARRA</v>
          </cell>
        </row>
        <row r="1140">
          <cell r="A1140" t="str">
            <v>HABILITADO I</v>
          </cell>
        </row>
        <row r="1141">
          <cell r="A1141" t="str">
            <v>HABILITADO II</v>
          </cell>
        </row>
        <row r="1142">
          <cell r="A1142" t="str">
            <v>HABILITADO III</v>
          </cell>
        </row>
        <row r="1143">
          <cell r="A1143" t="str">
            <v>HABILITADO IV</v>
          </cell>
        </row>
        <row r="1144">
          <cell r="A1144" t="str">
            <v>HABILITADO JEFE</v>
          </cell>
        </row>
        <row r="1145">
          <cell r="A1145" t="str">
            <v>HIDROGRAFO I</v>
          </cell>
        </row>
        <row r="1146">
          <cell r="A1146" t="str">
            <v>HIDROGRAFO II</v>
          </cell>
        </row>
        <row r="1147">
          <cell r="A1147" t="str">
            <v>HIDROGRAFO JEFE</v>
          </cell>
        </row>
        <row r="1148">
          <cell r="A1148" t="str">
            <v>HIDROMETEOROLOGISTA I</v>
          </cell>
        </row>
        <row r="1149">
          <cell r="A1149" t="str">
            <v>HIDROMETEOROLOGISTA II</v>
          </cell>
        </row>
        <row r="1150">
          <cell r="A1150" t="str">
            <v>HIDROMETEOROLOGISTA III</v>
          </cell>
        </row>
        <row r="1151">
          <cell r="A1151" t="str">
            <v>HIGIENISTA DENTAL I</v>
          </cell>
        </row>
        <row r="1152">
          <cell r="A1152" t="str">
            <v>HIGIENISTA DENTAL II</v>
          </cell>
        </row>
        <row r="1153">
          <cell r="A1153" t="str">
            <v>INFORMADOR DE AEROPUERTO I</v>
          </cell>
        </row>
        <row r="1154">
          <cell r="A1154" t="str">
            <v>INFORMADOR DE AEROPUERTO II</v>
          </cell>
        </row>
        <row r="1155">
          <cell r="A1155" t="str">
            <v>INFORMADOR TURISTICO  I</v>
          </cell>
        </row>
        <row r="1156">
          <cell r="A1156" t="str">
            <v>INFORMADOR TURISTICO I</v>
          </cell>
        </row>
        <row r="1157">
          <cell r="A1157" t="str">
            <v>INFORMADOR TURISTICO II</v>
          </cell>
        </row>
        <row r="1158">
          <cell r="A1158" t="str">
            <v>INFORMADOR TURISTICO III</v>
          </cell>
        </row>
        <row r="1159">
          <cell r="A1159" t="str">
            <v>INFORMADOR TURISTICO IV</v>
          </cell>
        </row>
        <row r="1160">
          <cell r="A1160" t="str">
            <v>INFORMADOR TURISTICO JEFE</v>
          </cell>
        </row>
        <row r="1161">
          <cell r="A1161" t="str">
            <v>INGENIERO AERONAUTICO I</v>
          </cell>
        </row>
        <row r="1162">
          <cell r="A1162" t="str">
            <v>INGENIERO AERONAUTICO II</v>
          </cell>
        </row>
        <row r="1163">
          <cell r="A1163" t="str">
            <v>INGENIERO AGRICOLA I</v>
          </cell>
        </row>
        <row r="1164">
          <cell r="A1164" t="str">
            <v>INGENIERO AGRICOLA II</v>
          </cell>
        </row>
        <row r="1165">
          <cell r="A1165" t="str">
            <v>INGENIERO AGRICOLA III</v>
          </cell>
        </row>
        <row r="1166">
          <cell r="A1166" t="str">
            <v>INGENIERO AGRICOLA IV</v>
          </cell>
        </row>
        <row r="1167">
          <cell r="A1167" t="str">
            <v>INGENIERO AGRICOLA V</v>
          </cell>
        </row>
        <row r="1168">
          <cell r="A1168" t="str">
            <v>INGENIERO AGRONOMO I</v>
          </cell>
        </row>
        <row r="1169">
          <cell r="A1169" t="str">
            <v>INGENIERO AGRONOMO II</v>
          </cell>
        </row>
        <row r="1170">
          <cell r="A1170" t="str">
            <v>INGENIERO AGRONOMO III</v>
          </cell>
        </row>
        <row r="1171">
          <cell r="A1171" t="str">
            <v>INGENIERO AGRONOMO IV</v>
          </cell>
        </row>
        <row r="1172">
          <cell r="A1172" t="str">
            <v>INGENIERO AGRONOMO JEFE</v>
          </cell>
        </row>
        <row r="1173">
          <cell r="A1173" t="str">
            <v>INGENIERO AGRONOMO V</v>
          </cell>
        </row>
        <row r="1174">
          <cell r="A1174" t="str">
            <v>INGENIERO CIVIL I</v>
          </cell>
        </row>
        <row r="1175">
          <cell r="A1175" t="str">
            <v>INGENIERO CIVIL II</v>
          </cell>
        </row>
        <row r="1176">
          <cell r="A1176" t="str">
            <v>INGENIERO CIVIL III</v>
          </cell>
        </row>
        <row r="1177">
          <cell r="A1177" t="str">
            <v>INGENIERO CIVIL JEFE I</v>
          </cell>
        </row>
        <row r="1178">
          <cell r="A1178" t="str">
            <v>INGENIERO CIVIL JEFE II</v>
          </cell>
        </row>
        <row r="1179">
          <cell r="A1179" t="str">
            <v>INGENIERO CIVIL JEFE III</v>
          </cell>
        </row>
        <row r="1180">
          <cell r="A1180" t="str">
            <v>INGENIERO DE GAS I</v>
          </cell>
        </row>
        <row r="1181">
          <cell r="A1181" t="str">
            <v>INGENIERO DE MINA I</v>
          </cell>
        </row>
        <row r="1182">
          <cell r="A1182" t="str">
            <v>INGENIERO DE MINAS II</v>
          </cell>
        </row>
        <row r="1183">
          <cell r="A1183" t="str">
            <v>INGENIERO DE MINAS III</v>
          </cell>
        </row>
        <row r="1184">
          <cell r="A1184" t="str">
            <v>INGENIERO DE MINAS JEFE I</v>
          </cell>
        </row>
        <row r="1185">
          <cell r="A1185" t="str">
            <v>INGENIERO DE MINAS JEFE II</v>
          </cell>
        </row>
        <row r="1186">
          <cell r="A1186" t="str">
            <v>INGENIERO ELECTRICISTA I</v>
          </cell>
        </row>
        <row r="1187">
          <cell r="A1187" t="str">
            <v>INGENIERO ELECTRICISTA II</v>
          </cell>
        </row>
        <row r="1188">
          <cell r="A1188" t="str">
            <v>INGENIERO ELECTRICISTA III</v>
          </cell>
        </row>
        <row r="1189">
          <cell r="A1189" t="str">
            <v>INGENIERO ELECTRICISTA JEFE</v>
          </cell>
        </row>
        <row r="1190">
          <cell r="A1190" t="str">
            <v>INGENIERO EN AGROSISTEMAS I</v>
          </cell>
        </row>
        <row r="1191">
          <cell r="A1191" t="str">
            <v>INGENIERO EN CONSTRUCCION CIVIL I</v>
          </cell>
        </row>
        <row r="1192">
          <cell r="A1192" t="str">
            <v>INGENIERO EN CONSTRUCCION CIVIL II</v>
          </cell>
        </row>
        <row r="1193">
          <cell r="A1193" t="str">
            <v>INGENIERO EN CONSTRUCCION CIVIL III</v>
          </cell>
        </row>
        <row r="1194">
          <cell r="A1194" t="str">
            <v>INGENIERO EN INFORMATICA I</v>
          </cell>
        </row>
        <row r="1195">
          <cell r="A1195" t="str">
            <v>INGENIERO EN TELECOMUNICACIONES II</v>
          </cell>
        </row>
        <row r="1196">
          <cell r="A1196" t="str">
            <v>INGENIERO FORESTAL I</v>
          </cell>
        </row>
        <row r="1197">
          <cell r="A1197" t="str">
            <v>INGENIERO FORESTAL II</v>
          </cell>
        </row>
        <row r="1198">
          <cell r="A1198" t="str">
            <v>INGENIERO FORESTAL III</v>
          </cell>
        </row>
        <row r="1199">
          <cell r="A1199" t="str">
            <v>INGENIERO FORESTAL JEFE I</v>
          </cell>
        </row>
        <row r="1200">
          <cell r="A1200" t="str">
            <v>INGENIERO FORESTAL JEFE II</v>
          </cell>
        </row>
        <row r="1201">
          <cell r="A1201" t="str">
            <v>INGENIERO GEODESTA I</v>
          </cell>
        </row>
        <row r="1202">
          <cell r="A1202" t="str">
            <v>INGENIERO GEODESTA II</v>
          </cell>
        </row>
        <row r="1203">
          <cell r="A1203" t="str">
            <v>INGENIERO GEODESTA III</v>
          </cell>
        </row>
        <row r="1204">
          <cell r="A1204" t="str">
            <v>INGENIERO GEODESTA JEFE I</v>
          </cell>
        </row>
        <row r="1205">
          <cell r="A1205" t="str">
            <v>INGENIERO GEODESTA JEFE II</v>
          </cell>
        </row>
        <row r="1206">
          <cell r="A1206" t="str">
            <v>INGENIERO HIDROMETEOROLISTA JEFE I</v>
          </cell>
        </row>
        <row r="1207">
          <cell r="A1207" t="str">
            <v>INGENIERO HIDROMETEOROLISTA JEFE II</v>
          </cell>
        </row>
        <row r="1208">
          <cell r="A1208" t="str">
            <v>INGENIERO HIDROMETEOROLOGISTA I</v>
          </cell>
        </row>
        <row r="1209">
          <cell r="A1209" t="str">
            <v>INGENIERO HIDROMETEOROLOSTA II</v>
          </cell>
        </row>
        <row r="1210">
          <cell r="A1210" t="str">
            <v>INGENIERO HIROMETEROLOGISTA III</v>
          </cell>
        </row>
        <row r="1211">
          <cell r="A1211" t="str">
            <v>INGENIERO INDUSTRIAL I</v>
          </cell>
        </row>
        <row r="1212">
          <cell r="A1212" t="str">
            <v>INGENIERO INDUSTRIAL II</v>
          </cell>
        </row>
        <row r="1213">
          <cell r="A1213" t="str">
            <v>INGENIERO INDUSTRIAL III</v>
          </cell>
        </row>
        <row r="1214">
          <cell r="A1214" t="str">
            <v>INGENIERO INDUSTRIAL IV</v>
          </cell>
        </row>
        <row r="1215">
          <cell r="A1215" t="str">
            <v>INGENIERO MECANICO I</v>
          </cell>
        </row>
        <row r="1216">
          <cell r="A1216" t="str">
            <v>INGENIERO MECANICO II</v>
          </cell>
        </row>
        <row r="1217">
          <cell r="A1217" t="str">
            <v>INGENIERO MECANICO III</v>
          </cell>
        </row>
        <row r="1218">
          <cell r="A1218" t="str">
            <v>INGENIERO MECANICO JEFE</v>
          </cell>
        </row>
        <row r="1219">
          <cell r="A1219" t="str">
            <v>INGENIERO METALURGICO</v>
          </cell>
        </row>
        <row r="1220">
          <cell r="A1220" t="str">
            <v>INGENIERO NAVAL I</v>
          </cell>
        </row>
        <row r="1221">
          <cell r="A1221" t="str">
            <v>INGENIERO NAVAL II</v>
          </cell>
        </row>
        <row r="1222">
          <cell r="A1222" t="str">
            <v>INGENIERO NAVAL III</v>
          </cell>
        </row>
        <row r="1223">
          <cell r="A1223" t="str">
            <v>INGENIERO NAVAL JEFE</v>
          </cell>
        </row>
        <row r="1224">
          <cell r="A1224" t="str">
            <v>INGENIERO NUCLEAR I</v>
          </cell>
        </row>
        <row r="1225">
          <cell r="A1225" t="str">
            <v>INGENIERO NUCLEAR II</v>
          </cell>
        </row>
        <row r="1226">
          <cell r="A1226" t="str">
            <v>INGENIERO NUCLEAR III</v>
          </cell>
        </row>
        <row r="1227">
          <cell r="A1227" t="str">
            <v>INGENIERO NUCLEAR JEFE</v>
          </cell>
        </row>
        <row r="1228">
          <cell r="A1228" t="str">
            <v>INGENIERO PETROLERO I</v>
          </cell>
        </row>
        <row r="1229">
          <cell r="A1229" t="str">
            <v>INGENIERO PETROLERO II</v>
          </cell>
        </row>
        <row r="1230">
          <cell r="A1230" t="str">
            <v>INGENIERO PETROLERO III</v>
          </cell>
        </row>
        <row r="1231">
          <cell r="A1231" t="str">
            <v>INGENIERO PETROLERO JEFE I</v>
          </cell>
        </row>
        <row r="1232">
          <cell r="A1232" t="str">
            <v>INGENIERO PETROLERO JEFE II</v>
          </cell>
        </row>
        <row r="1233">
          <cell r="A1233" t="str">
            <v>INGENIERO QUIMICO I</v>
          </cell>
        </row>
        <row r="1234">
          <cell r="A1234" t="str">
            <v>INGENIERO QUIMICO II</v>
          </cell>
        </row>
        <row r="1235">
          <cell r="A1235" t="str">
            <v>INGENIERO QUIMICO III</v>
          </cell>
        </row>
        <row r="1236">
          <cell r="A1236" t="str">
            <v>INGENIERO QUIMICO JEFE I</v>
          </cell>
        </row>
        <row r="1237">
          <cell r="A1237" t="str">
            <v>INGENIERO QUMICO JEFE II</v>
          </cell>
        </row>
        <row r="1238">
          <cell r="A1238" t="str">
            <v>INGENIERO SANITARIO I</v>
          </cell>
        </row>
        <row r="1239">
          <cell r="A1239" t="str">
            <v>INGENIERO SANITARIO II</v>
          </cell>
        </row>
        <row r="1240">
          <cell r="A1240" t="str">
            <v>INGENIERO SANITARIO III</v>
          </cell>
        </row>
        <row r="1241">
          <cell r="A1241" t="str">
            <v>INGENIERO SANITARIO JEFE I</v>
          </cell>
        </row>
        <row r="1242">
          <cell r="A1242" t="str">
            <v>INGENIERO SANITARIO JEFE II</v>
          </cell>
        </row>
        <row r="1243">
          <cell r="A1243" t="str">
            <v>INGENIERO SANITARIO JEFE III</v>
          </cell>
        </row>
        <row r="1244">
          <cell r="A1244" t="str">
            <v>INPECTOR DE MAQUINARIAS I</v>
          </cell>
        </row>
        <row r="1245">
          <cell r="A1245" t="str">
            <v>INSP. NACIONAL DE REGIST Y NOTARIAS III</v>
          </cell>
        </row>
        <row r="1246">
          <cell r="A1246" t="str">
            <v>INSP. NACIONAL DE REGIST. Y NOTARIAS II</v>
          </cell>
        </row>
        <row r="1247">
          <cell r="A1247" t="str">
            <v>INSPEC NACIONAL DE REG. Y NOTARIAS JEFE</v>
          </cell>
        </row>
        <row r="1248">
          <cell r="A1248" t="str">
            <v>INSPEC.  RELACIONES CON EL SEGURO SOCIAL</v>
          </cell>
        </row>
        <row r="1249">
          <cell r="A1249" t="str">
            <v>INSPEC. NACIONAL DE REGISTROS Y NOTARIAS</v>
          </cell>
        </row>
        <row r="1250">
          <cell r="A1250" t="str">
            <v>INSPEC. RELACIONES SEGURO SOCIAL II</v>
          </cell>
        </row>
        <row r="1251">
          <cell r="A1251" t="str">
            <v>INSPECTOR</v>
          </cell>
        </row>
        <row r="1252">
          <cell r="A1252" t="str">
            <v>INSPECTOR ADMINISTRATIVO I</v>
          </cell>
        </row>
        <row r="1253">
          <cell r="A1253" t="str">
            <v>INSPECTOR ADMINISTRATIVO III</v>
          </cell>
        </row>
        <row r="1254">
          <cell r="A1254" t="str">
            <v>INSPECTOR ADMINISTRATIVO IV</v>
          </cell>
        </row>
        <row r="1255">
          <cell r="A1255" t="str">
            <v>INSPECTOR ADMINISTRATIVO JEFE</v>
          </cell>
        </row>
        <row r="1256">
          <cell r="A1256" t="str">
            <v>INSPECTOR AMDINISTRATIVO II</v>
          </cell>
        </row>
        <row r="1257">
          <cell r="A1257" t="str">
            <v>INSPECTOR AUX. DE OBRAS DE INGENIERIA</v>
          </cell>
        </row>
        <row r="1258">
          <cell r="A1258" t="str">
            <v>INSPECTOR DE AEROPUERTOS</v>
          </cell>
        </row>
        <row r="1259">
          <cell r="A1259" t="str">
            <v>INSPECTOR DE DERIVADOS HIDROCARBUROS I</v>
          </cell>
        </row>
        <row r="1260">
          <cell r="A1260" t="str">
            <v>INSPECTOR DE DERIVADOS HIDROCARBUROS II</v>
          </cell>
        </row>
        <row r="1261">
          <cell r="A1261" t="str">
            <v>INSPECTOR DE INMUEBLES</v>
          </cell>
        </row>
        <row r="1262">
          <cell r="A1262" t="str">
            <v>INSPECTOR DE MAQUINARIAS II</v>
          </cell>
        </row>
        <row r="1263">
          <cell r="A1263" t="str">
            <v>INSPECTOR DE MECANICA DE AVIACION I</v>
          </cell>
        </row>
        <row r="1264">
          <cell r="A1264" t="str">
            <v>INSPECTOR DE MECANICA DE AVIACION II</v>
          </cell>
        </row>
        <row r="1265">
          <cell r="A1265" t="str">
            <v>INSPECTOR DE MECANICA DE AVIACION III</v>
          </cell>
        </row>
        <row r="1266">
          <cell r="A1266" t="str">
            <v>INSPECTOR DE OBRAS DE INGENIERIA I</v>
          </cell>
        </row>
        <row r="1267">
          <cell r="A1267" t="str">
            <v>INSPECTOR DE OBRAS DE INGENIERIA II</v>
          </cell>
        </row>
        <row r="1268">
          <cell r="A1268" t="str">
            <v>INSPECTOR DE OBRAS DE INGENIERIA III</v>
          </cell>
        </row>
        <row r="1269">
          <cell r="A1269" t="str">
            <v>INSPECTOR DE PRISIONES</v>
          </cell>
        </row>
        <row r="1270">
          <cell r="A1270" t="str">
            <v>INSPECTOR DE PRISIONES JEFE</v>
          </cell>
        </row>
        <row r="1271">
          <cell r="A1271" t="str">
            <v>INSPECTOR DE PUERTOS</v>
          </cell>
        </row>
        <row r="1272">
          <cell r="A1272" t="str">
            <v>INSPECTOR DE RENTAS I</v>
          </cell>
        </row>
        <row r="1273">
          <cell r="A1273" t="str">
            <v>INSPECTOR DE RENTAS II</v>
          </cell>
        </row>
        <row r="1274">
          <cell r="A1274" t="str">
            <v>INSPECTOR DE RENTAS JEFE</v>
          </cell>
        </row>
        <row r="1275">
          <cell r="A1275" t="str">
            <v>INSPECTOR DE SALID PUBLICA III</v>
          </cell>
        </row>
        <row r="1276">
          <cell r="A1276" t="str">
            <v>INSPECTOR DE SALUD PUBLICA I</v>
          </cell>
        </row>
        <row r="1277">
          <cell r="A1277" t="str">
            <v>INSPECTOR DE SALUD PUBLICA II</v>
          </cell>
        </row>
        <row r="1278">
          <cell r="A1278" t="str">
            <v>INSPECTOR DE SALUD PUBLICA IV</v>
          </cell>
        </row>
        <row r="1279">
          <cell r="A1279" t="str">
            <v>INSPECTOR DE SEGURIDAD INDUSTRIAL</v>
          </cell>
        </row>
        <row r="1280">
          <cell r="A1280" t="str">
            <v>INSPECTOR DE SEGURIDAD INDUSTRIAL II</v>
          </cell>
        </row>
        <row r="1281">
          <cell r="A1281" t="str">
            <v>INSPECTOR DE SEGURIDAD INDUSTRIAL III</v>
          </cell>
        </row>
        <row r="1282">
          <cell r="A1282" t="str">
            <v>INSPECTOR DE SEGURIDAD INDUSTRIAL IV</v>
          </cell>
        </row>
        <row r="1283">
          <cell r="A1283" t="str">
            <v>INSPECTOR DE SEGUROS COMERCIALES I</v>
          </cell>
        </row>
        <row r="1284">
          <cell r="A1284" t="str">
            <v>INSPECTOR DE SEGUROS COMERCIALES II</v>
          </cell>
        </row>
        <row r="1285">
          <cell r="A1285" t="str">
            <v>INSPECTOR DE SEGUROS COMERIALES JEFE</v>
          </cell>
        </row>
        <row r="1286">
          <cell r="A1286" t="str">
            <v>INSPECTOR DE SEUGROS COMERCIALES III</v>
          </cell>
        </row>
        <row r="1287">
          <cell r="A1287" t="str">
            <v>INSPECTOR DE TELECOMUNICACIONES I</v>
          </cell>
        </row>
        <row r="1288">
          <cell r="A1288" t="str">
            <v>INSPECTOR DE TELECOMUNICACIONES II</v>
          </cell>
        </row>
        <row r="1289">
          <cell r="A1289" t="str">
            <v>INSPECTOR DE TELECOMUNICACIONES III</v>
          </cell>
        </row>
        <row r="1290">
          <cell r="A1290" t="str">
            <v>INSPECTOR DE TRABAJO I</v>
          </cell>
        </row>
        <row r="1291">
          <cell r="A1291" t="str">
            <v>INSPECTOR DE TRABAJO II</v>
          </cell>
        </row>
        <row r="1292">
          <cell r="A1292" t="str">
            <v>INSPECTOR DE TRABAJO III</v>
          </cell>
        </row>
        <row r="1293">
          <cell r="A1293" t="str">
            <v>INSPECTOR DE TRABAJO IV</v>
          </cell>
        </row>
        <row r="1294">
          <cell r="A1294" t="str">
            <v>INSPECTOR DE TRABAJO V</v>
          </cell>
        </row>
        <row r="1295">
          <cell r="A1295" t="str">
            <v>INSPECTOR DE TRANSPORTE I</v>
          </cell>
        </row>
        <row r="1296">
          <cell r="A1296" t="str">
            <v>INSPECTOR DE TRANSPORTE II</v>
          </cell>
        </row>
        <row r="1297">
          <cell r="A1297" t="str">
            <v>INSPECTOR DE ZONAS MARITIMAS</v>
          </cell>
        </row>
        <row r="1298">
          <cell r="A1298" t="str">
            <v>INSPECTOR ELECTRICISTA</v>
          </cell>
        </row>
        <row r="1299">
          <cell r="A1299" t="str">
            <v>INSPECTOR GENERAL DE HACIENDA I</v>
          </cell>
        </row>
        <row r="1300">
          <cell r="A1300" t="str">
            <v>INSPECTOR GENERAL DE HACIENDA II</v>
          </cell>
        </row>
        <row r="1301">
          <cell r="A1301" t="str">
            <v>INSPECTOR GENERAL DE HACIENDA III</v>
          </cell>
        </row>
        <row r="1302">
          <cell r="A1302" t="str">
            <v>INSPECTOR GENERAL DE HACIENDA IV</v>
          </cell>
        </row>
        <row r="1303">
          <cell r="A1303" t="str">
            <v>INSPECTOR IDENTIFICACION Y EXTRANJERIA</v>
          </cell>
        </row>
        <row r="1304">
          <cell r="A1304" t="str">
            <v>INSPECTOR JEFE</v>
          </cell>
        </row>
        <row r="1305">
          <cell r="A1305" t="str">
            <v>INSPECTOR TURISTICO I</v>
          </cell>
        </row>
        <row r="1306">
          <cell r="A1306" t="str">
            <v>INSPECTOR TURISTICO II</v>
          </cell>
        </row>
        <row r="1307">
          <cell r="A1307" t="str">
            <v>INSPECTOR TURISTICO III</v>
          </cell>
        </row>
        <row r="1308">
          <cell r="A1308" t="str">
            <v>INSPECTOR TURISTICO IV</v>
          </cell>
        </row>
        <row r="1309">
          <cell r="A1309" t="str">
            <v>INSPECTOR TURISTICO JEFE I</v>
          </cell>
        </row>
        <row r="1310">
          <cell r="A1310" t="str">
            <v>INSPECTOR TURISTICO JEFE II</v>
          </cell>
        </row>
        <row r="1311">
          <cell r="A1311" t="str">
            <v>INST. ARTES MANUALES N.G.</v>
          </cell>
        </row>
        <row r="1312">
          <cell r="A1312" t="str">
            <v>INST. B. Y DANZAS 77 III</v>
          </cell>
        </row>
        <row r="1313">
          <cell r="A1313" t="str">
            <v>INST. CORTE Y CONF. 77 III</v>
          </cell>
        </row>
        <row r="1314">
          <cell r="A1314" t="str">
            <v>INST. MUSICAL 77 IV</v>
          </cell>
        </row>
        <row r="1315">
          <cell r="A1315" t="str">
            <v>INST. MUSICAL N.G.</v>
          </cell>
        </row>
        <row r="1316">
          <cell r="A1316" t="str">
            <v>INST. TEATRO Y TITERES N.G.</v>
          </cell>
        </row>
        <row r="1317">
          <cell r="A1317" t="str">
            <v>INST.BALLET Y DANZAS N.G.</v>
          </cell>
        </row>
        <row r="1318">
          <cell r="A1318" t="str">
            <v>INST.BORDADO A MAQUINA N.G.</v>
          </cell>
        </row>
        <row r="1319">
          <cell r="A1319" t="str">
            <v>INST.CERAMICA Y ESC. N.G.</v>
          </cell>
        </row>
        <row r="1320">
          <cell r="A1320" t="str">
            <v>INST.CORT.Y CONFECC. N.G.</v>
          </cell>
        </row>
        <row r="1321">
          <cell r="A1321" t="str">
            <v>INST.CORTE Y CONF. 77 VI</v>
          </cell>
        </row>
        <row r="1322">
          <cell r="A1322" t="str">
            <v>INST.DANZAS FOLKLORICAS N.G.</v>
          </cell>
        </row>
        <row r="1323">
          <cell r="A1323" t="str">
            <v>INST.DANZAS III N.G.</v>
          </cell>
        </row>
        <row r="1324">
          <cell r="A1324" t="str">
            <v>INST.DE PELUQUERIA N.G.</v>
          </cell>
        </row>
        <row r="1325">
          <cell r="A1325" t="str">
            <v>INST.DIBUJO INFANTIL N.G.</v>
          </cell>
        </row>
        <row r="1326">
          <cell r="A1326" t="str">
            <v>INST.MANUALIDADES N.G.</v>
          </cell>
        </row>
        <row r="1327">
          <cell r="A1327" t="str">
            <v>INST.PINTURA 77 III</v>
          </cell>
        </row>
        <row r="1328">
          <cell r="A1328" t="str">
            <v>INST.PINTURA Y D. N.G.</v>
          </cell>
        </row>
        <row r="1329">
          <cell r="A1329" t="str">
            <v>INST.PINTURA Y DIB. VI 139</v>
          </cell>
        </row>
        <row r="1330">
          <cell r="A1330" t="str">
            <v>INST.REPOSTERIA C. N.G.</v>
          </cell>
        </row>
        <row r="1331">
          <cell r="A1331" t="str">
            <v>INST.TEATRO-TITERES 139 III</v>
          </cell>
        </row>
        <row r="1332">
          <cell r="A1332" t="str">
            <v>INST.TEJIDO E HILADO 77 IV</v>
          </cell>
        </row>
        <row r="1333">
          <cell r="A1333" t="str">
            <v>INSTRC. DE ALFABETIZACION Y EDUC. BASICA</v>
          </cell>
        </row>
        <row r="1334">
          <cell r="A1334" t="str">
            <v>INSTRC. FORMACION PROF. EN EL AREA COMER</v>
          </cell>
        </row>
        <row r="1335">
          <cell r="A1335" t="str">
            <v>INSTRUC FORMACION PROF, ART,Y SERV.</v>
          </cell>
        </row>
        <row r="1336">
          <cell r="A1336" t="str">
            <v>INSTRUCTOR</v>
          </cell>
        </row>
        <row r="1337">
          <cell r="A1337" t="str">
            <v>INSTRUCTOR AGROPECUARIO I</v>
          </cell>
        </row>
        <row r="1338">
          <cell r="A1338" t="str">
            <v>INSTRUCTOR AGROPECUARIO III</v>
          </cell>
        </row>
        <row r="1339">
          <cell r="A1339" t="str">
            <v>INSTRUCTOR AGROPECUARIO JEFE I</v>
          </cell>
        </row>
        <row r="1340">
          <cell r="A1340" t="str">
            <v>INSTRUCTOR AGROPECURIO JEFE II</v>
          </cell>
        </row>
        <row r="1341">
          <cell r="A1341" t="str">
            <v>INSTRUCTOR DE ENFERMERIA</v>
          </cell>
        </row>
        <row r="1342">
          <cell r="A1342" t="str">
            <v>INSTRUCTOR DE ERONAUTICA CIVIL</v>
          </cell>
        </row>
        <row r="1343">
          <cell r="A1343" t="str">
            <v>INSTRUCTOR DE FORM. PROFESIONAL EN EL AREA DE OFICINA</v>
          </cell>
        </row>
        <row r="1344">
          <cell r="A1344" t="str">
            <v>INSTRUCTOR DE FORMACION EMPRESARIA II</v>
          </cell>
        </row>
        <row r="1345">
          <cell r="A1345" t="str">
            <v>INSTRUCTOR DE FORMACION EMPRESARIAL</v>
          </cell>
        </row>
        <row r="1346">
          <cell r="A1346" t="str">
            <v>INSTRUCTOR DE FORMACION EMPRESARIAL III</v>
          </cell>
        </row>
        <row r="1347">
          <cell r="A1347" t="str">
            <v>INSTRUCTOR DE MANUALIDADES TCVD</v>
          </cell>
        </row>
        <row r="1348">
          <cell r="A1348" t="str">
            <v>INSTRUCTOR DE PRE-ESCOLAR</v>
          </cell>
        </row>
        <row r="1349">
          <cell r="A1349" t="str">
            <v>INSTRUCTOR DE TECNICAS NAUTICAS</v>
          </cell>
        </row>
        <row r="1350">
          <cell r="A1350" t="str">
            <v>INSTRUCTOR DE TECNICAS NAUTICAS JEFE</v>
          </cell>
        </row>
        <row r="1351">
          <cell r="A1351" t="str">
            <v>INSTRUCTOR ECONOMIA DOMESTICA</v>
          </cell>
        </row>
        <row r="1352">
          <cell r="A1352" t="str">
            <v>INSTRUCTOR I</v>
          </cell>
        </row>
        <row r="1353">
          <cell r="A1353" t="str">
            <v>INSTRUCTOR I   139</v>
          </cell>
        </row>
        <row r="1354">
          <cell r="A1354" t="str">
            <v>INSTRUCTOR I   77</v>
          </cell>
        </row>
        <row r="1355">
          <cell r="A1355" t="str">
            <v>INSTRUCTOR I   N.G.</v>
          </cell>
        </row>
        <row r="1356">
          <cell r="A1356" t="str">
            <v>INSTRUCTOR I (16 HORAS) / DIREC.  BAND (16 HORAS)</v>
          </cell>
        </row>
        <row r="1357">
          <cell r="A1357" t="str">
            <v>INSTRUCTOR I (16HRS) Y DOC NG (33.33HRS.)</v>
          </cell>
        </row>
        <row r="1358">
          <cell r="A1358" t="str">
            <v>INSTRUCTOR I Y III NG (16 H)</v>
          </cell>
        </row>
        <row r="1359">
          <cell r="A1359" t="str">
            <v>INSTRUCTOR II  139</v>
          </cell>
        </row>
        <row r="1360">
          <cell r="A1360" t="str">
            <v>INSTRUCTOR II  77</v>
          </cell>
        </row>
        <row r="1361">
          <cell r="A1361" t="str">
            <v>INSTRUCTOR II  N.G.</v>
          </cell>
        </row>
        <row r="1362">
          <cell r="A1362" t="str">
            <v>INSTRUCTOR III 139</v>
          </cell>
        </row>
        <row r="1363">
          <cell r="A1363" t="str">
            <v>INSTRUCTOR III 77</v>
          </cell>
        </row>
        <row r="1364">
          <cell r="A1364" t="str">
            <v>INSTRUCTOR III N.G.</v>
          </cell>
        </row>
        <row r="1365">
          <cell r="A1365" t="str">
            <v>INSTRUCTOR III NG (33,33 HORAS) Y DOCENTE BASICO 16 TSE TCVD I (04 HR)</v>
          </cell>
        </row>
        <row r="1366">
          <cell r="A1366" t="str">
            <v>INSTRUCTOR III NG (33,33 HORAS) Y ENTRENADOR DEPORTIVO (33,33 HORAS)</v>
          </cell>
        </row>
        <row r="1367">
          <cell r="A1367" t="str">
            <v>INSTRUCTOR III NG (33,33) Y DOCENTE BASICA NG TCVNMA (16 HORAS)</v>
          </cell>
        </row>
        <row r="1368">
          <cell r="A1368" t="str">
            <v>INSTRUCTOR INSTRUMENTAL DE VUELO</v>
          </cell>
        </row>
        <row r="1369">
          <cell r="A1369" t="str">
            <v>INSTRUCTOR IV  139</v>
          </cell>
        </row>
        <row r="1370">
          <cell r="A1370" t="str">
            <v>INSTRUCTOR IV  77</v>
          </cell>
        </row>
        <row r="1371">
          <cell r="A1371" t="str">
            <v>INSTRUCTOR MANUALIDADES I</v>
          </cell>
        </row>
        <row r="1372">
          <cell r="A1372" t="str">
            <v>INSTRUCTOR MANUALIDADES II</v>
          </cell>
        </row>
        <row r="1373">
          <cell r="A1373" t="str">
            <v>INSTRUCTOR MANUALIDADES III</v>
          </cell>
        </row>
        <row r="1374">
          <cell r="A1374" t="str">
            <v>INSTRUCTOR MARROQUINERIA</v>
          </cell>
        </row>
        <row r="1375">
          <cell r="A1375" t="str">
            <v>INSTRUCTOR MUSICAL</v>
          </cell>
        </row>
        <row r="1376">
          <cell r="A1376" t="str">
            <v>INSTRUCTOR MUSICAL Y DOCENTE IV AULA</v>
          </cell>
        </row>
        <row r="1377">
          <cell r="A1377" t="str">
            <v>INSTRUCTOR N.G TCVD</v>
          </cell>
        </row>
        <row r="1378">
          <cell r="A1378" t="str">
            <v>INSTRUCTOR V   139</v>
          </cell>
        </row>
        <row r="1379">
          <cell r="A1379" t="str">
            <v>INSTRUCTOR V   77</v>
          </cell>
        </row>
        <row r="1380">
          <cell r="A1380" t="str">
            <v>INSTRUCTOR VI  139</v>
          </cell>
        </row>
        <row r="1381">
          <cell r="A1381" t="str">
            <v>INSTRUCTOR VI  77</v>
          </cell>
        </row>
        <row r="1382">
          <cell r="A1382" t="str">
            <v>INSTRUCTORA DE COCINA Y ARTE CULINARIA</v>
          </cell>
        </row>
        <row r="1383">
          <cell r="A1383" t="str">
            <v>INSTRUCTORA III NG (16 HORAS) Y DOCENTE BASICA NG 1-6 TCVNM (33,33 HORAS)</v>
          </cell>
        </row>
        <row r="1384">
          <cell r="A1384" t="str">
            <v>INSTRUMENTO I</v>
          </cell>
        </row>
        <row r="1385">
          <cell r="A1385" t="str">
            <v>INSTRUMENTO II</v>
          </cell>
        </row>
        <row r="1386">
          <cell r="A1386" t="str">
            <v>INSTRUMENTO III</v>
          </cell>
        </row>
        <row r="1387">
          <cell r="A1387" t="str">
            <v>INSTURCTOR AGROPECUARIO II</v>
          </cell>
        </row>
        <row r="1388">
          <cell r="A1388" t="str">
            <v>INTENDENTE DE HOSPITAL I</v>
          </cell>
        </row>
        <row r="1389">
          <cell r="A1389" t="str">
            <v>INTENDENTE DE HOSPITAL II</v>
          </cell>
        </row>
        <row r="1390">
          <cell r="A1390" t="str">
            <v>INTENDENTE DE HOSPITAL III</v>
          </cell>
        </row>
        <row r="1391">
          <cell r="A1391" t="str">
            <v>INTENDENTE DE HOSPITAL IV</v>
          </cell>
        </row>
        <row r="1392">
          <cell r="A1392" t="str">
            <v>INTENDENTE DE HOSPITAL V</v>
          </cell>
        </row>
        <row r="1393">
          <cell r="A1393" t="str">
            <v>INTERVENTOR DE ADUANAS II</v>
          </cell>
        </row>
        <row r="1394">
          <cell r="A1394" t="str">
            <v>INTERVENTOR DE ADUANAS III</v>
          </cell>
        </row>
        <row r="1395">
          <cell r="A1395" t="str">
            <v>INTERVENTOR DE ADUNAS I</v>
          </cell>
        </row>
        <row r="1396">
          <cell r="A1396" t="str">
            <v>INTRUCTOR DEPORTIVO</v>
          </cell>
        </row>
        <row r="1397">
          <cell r="A1397" t="str">
            <v>INVESTIGADOR DE MUSEO I</v>
          </cell>
        </row>
        <row r="1398">
          <cell r="A1398" t="str">
            <v>INVESTIGADOR DE MUSEO II</v>
          </cell>
        </row>
        <row r="1399">
          <cell r="A1399" t="str">
            <v>INVESTIGADOR DE MUSEO III</v>
          </cell>
        </row>
        <row r="1400">
          <cell r="A1400" t="str">
            <v>INVESTIGADOR EN ADIESTRAMIENTO</v>
          </cell>
        </row>
        <row r="1401">
          <cell r="A1401" t="str">
            <v>INVESTIGADOR I</v>
          </cell>
        </row>
        <row r="1402">
          <cell r="A1402" t="str">
            <v>INVESTIGADOR II</v>
          </cell>
        </row>
        <row r="1403">
          <cell r="A1403" t="str">
            <v>INVESTIGADOR III</v>
          </cell>
        </row>
        <row r="1404">
          <cell r="A1404" t="str">
            <v>INVESTIGADOR IV</v>
          </cell>
        </row>
        <row r="1405">
          <cell r="A1405" t="str">
            <v>INVESTIGADOR JEFE</v>
          </cell>
        </row>
        <row r="1406">
          <cell r="A1406" t="str">
            <v>INVESTIGADOR SOCIAL I</v>
          </cell>
        </row>
        <row r="1407">
          <cell r="A1407" t="str">
            <v>INVESTIGADOR SOCIAL II</v>
          </cell>
        </row>
        <row r="1408">
          <cell r="A1408" t="str">
            <v>INVESTIGADOR SOCIAL III</v>
          </cell>
        </row>
        <row r="1409">
          <cell r="A1409" t="str">
            <v>INVESTIGADOR SOCIAL JEFE</v>
          </cell>
        </row>
        <row r="1410">
          <cell r="A1410" t="str">
            <v>INVESTIGADOR V</v>
          </cell>
        </row>
        <row r="1411">
          <cell r="A1411" t="str">
            <v>JEE DE SERVICIOS PORTUARIOS I</v>
          </cell>
        </row>
        <row r="1412">
          <cell r="A1412" t="str">
            <v>JEFE CAPITAN DE PUERTO</v>
          </cell>
        </row>
        <row r="1413">
          <cell r="A1413" t="str">
            <v>JEFE CENTRO ATENCION POR ABANDONO</v>
          </cell>
        </row>
        <row r="1414">
          <cell r="A1414" t="str">
            <v>JEFE CENTRO ATENCION POR TRATAMIENTO</v>
          </cell>
        </row>
        <row r="1415">
          <cell r="A1415" t="str">
            <v>JEFE CENTRO AUDIOVISUAL</v>
          </cell>
        </row>
        <row r="1416">
          <cell r="A1416" t="str">
            <v>JEFE CENTRO DE PREVENCION</v>
          </cell>
        </row>
        <row r="1417">
          <cell r="A1417" t="str">
            <v>JEFE CENTRO INDIGENISTA II</v>
          </cell>
        </row>
        <row r="1418">
          <cell r="A1418" t="str">
            <v>JEFE CENTRO INDIGENITA I</v>
          </cell>
        </row>
        <row r="1419">
          <cell r="A1419" t="str">
            <v>JEFE DE AEROPUERTO I</v>
          </cell>
        </row>
        <row r="1420">
          <cell r="A1420" t="str">
            <v>JEFE DE AEROPUERTO II</v>
          </cell>
        </row>
        <row r="1421">
          <cell r="A1421" t="str">
            <v>JEFE DE AEROPUERTO III</v>
          </cell>
        </row>
        <row r="1422">
          <cell r="A1422" t="str">
            <v>JEFE DE AEROPUERTO IV</v>
          </cell>
        </row>
        <row r="1423">
          <cell r="A1423" t="str">
            <v>JEFE DE AEROPUERTO V</v>
          </cell>
        </row>
        <row r="1424">
          <cell r="A1424" t="str">
            <v>JEFE DE ARTE Y FOLKLORE</v>
          </cell>
        </row>
        <row r="1425">
          <cell r="A1425" t="str">
            <v>JEFE DE CONTROL DE MAQUINAS</v>
          </cell>
        </row>
        <row r="1426">
          <cell r="A1426" t="str">
            <v>JEFE DE DEPARTAMENTO</v>
          </cell>
        </row>
        <row r="1427">
          <cell r="A1427" t="str">
            <v>JEFE DE DIVISION</v>
          </cell>
        </row>
        <row r="1428">
          <cell r="A1428" t="str">
            <v>JEFE DE DIVISION ADMINISTRATIVO</v>
          </cell>
        </row>
        <row r="1429">
          <cell r="A1429" t="str">
            <v>JEFE DE EJECUCION Y CONTROL DE PRESUPUES</v>
          </cell>
        </row>
        <row r="1430">
          <cell r="A1430" t="str">
            <v>JEFE DE INFORMATICA I</v>
          </cell>
        </row>
        <row r="1431">
          <cell r="A1431" t="str">
            <v>JEFE DE INFORMATICA II</v>
          </cell>
        </row>
        <row r="1432">
          <cell r="A1432" t="str">
            <v>JEFE DE INFORMATICA III</v>
          </cell>
        </row>
        <row r="1433">
          <cell r="A1433" t="str">
            <v>JEFE DE LABORATORIO DE AEROFOTOGRAFIA</v>
          </cell>
        </row>
        <row r="1434">
          <cell r="A1434" t="str">
            <v>JEFE DE MAQUINAS I</v>
          </cell>
        </row>
        <row r="1435">
          <cell r="A1435" t="str">
            <v>JEFE DE MAQUINAS II</v>
          </cell>
        </row>
        <row r="1436">
          <cell r="A1436" t="str">
            <v>JEFE DE OBREROS</v>
          </cell>
        </row>
        <row r="1437">
          <cell r="A1437" t="str">
            <v>JEFE DE OFICINA</v>
          </cell>
        </row>
        <row r="1438">
          <cell r="A1438" t="str">
            <v>JEFE DE PABELLON DE FERIAS</v>
          </cell>
        </row>
        <row r="1439">
          <cell r="A1439" t="str">
            <v>JEFE DE PRE-ESCOLAR</v>
          </cell>
        </row>
        <row r="1440">
          <cell r="A1440" t="str">
            <v>JEFE DE RELACIONES PUBLICAS I</v>
          </cell>
        </row>
        <row r="1441">
          <cell r="A1441" t="str">
            <v>JEFE DE RELACIONES PUBLICAS II</v>
          </cell>
        </row>
        <row r="1442">
          <cell r="A1442" t="str">
            <v>JEFE DE RELACIONES PUBLICAS III</v>
          </cell>
        </row>
        <row r="1443">
          <cell r="A1443" t="str">
            <v>JEFE DE SECCION</v>
          </cell>
        </row>
        <row r="1444">
          <cell r="A1444" t="str">
            <v>JEFE DE SERVICIOS PORTUARIOS II</v>
          </cell>
        </row>
        <row r="1445">
          <cell r="A1445" t="str">
            <v>JEFE DE SERVICIOS PORTUARIOS III</v>
          </cell>
        </row>
        <row r="1446">
          <cell r="A1446" t="str">
            <v>JEFE DE SERVICIOS PORTUARIOS IV</v>
          </cell>
        </row>
        <row r="1447">
          <cell r="A1447" t="str">
            <v>JEFE DE TRANSPORTE AUTOMOTOR I</v>
          </cell>
        </row>
        <row r="1448">
          <cell r="A1448" t="str">
            <v>JEFE DE TRANSPORTE AUTONOMOR III</v>
          </cell>
        </row>
        <row r="1449">
          <cell r="A1449" t="str">
            <v>JEFE DE TRASPORTE AUTOMOTOR II</v>
          </cell>
        </row>
        <row r="1450">
          <cell r="A1450" t="str">
            <v>JEFE DE UNIDAD</v>
          </cell>
        </row>
        <row r="1451">
          <cell r="A1451" t="str">
            <v>JEFE DE ZONA</v>
          </cell>
        </row>
        <row r="1452">
          <cell r="A1452" t="str">
            <v>JEFE DE ZONA DE SANEAMIENTO AMBIENTAL</v>
          </cell>
        </row>
        <row r="1453">
          <cell r="A1453" t="str">
            <v>JEFE ESTACION DE PILOTO</v>
          </cell>
        </row>
        <row r="1454">
          <cell r="A1454" t="str">
            <v>JEFE SECCION DE RENDICION DE CUENTAS</v>
          </cell>
        </row>
        <row r="1455">
          <cell r="A1455" t="str">
            <v>JEFE TECNICO AMDINISTRATIVO</v>
          </cell>
        </row>
        <row r="1456">
          <cell r="A1456" t="str">
            <v>LABORATORISTA CINEMATOGRAFICO</v>
          </cell>
        </row>
        <row r="1457">
          <cell r="A1457" t="str">
            <v>LABORATORISTA I</v>
          </cell>
        </row>
        <row r="1458">
          <cell r="A1458" t="str">
            <v>LABORATORISTA II</v>
          </cell>
        </row>
        <row r="1459">
          <cell r="A1459" t="str">
            <v>LABORATORISTA III</v>
          </cell>
        </row>
        <row r="1460">
          <cell r="A1460" t="str">
            <v>LCDO(A) EN GESTION AMBIENTAL</v>
          </cell>
        </row>
        <row r="1461">
          <cell r="A1461" t="str">
            <v>LCDO(A) EN GESTION SOCIAL</v>
          </cell>
        </row>
        <row r="1462">
          <cell r="A1462" t="str">
            <v>LENGUAJE MUSICAL</v>
          </cell>
        </row>
        <row r="1463">
          <cell r="A1463" t="str">
            <v>LIBRETISTA DE RADIO</v>
          </cell>
        </row>
        <row r="1464">
          <cell r="A1464" t="str">
            <v>LIQUIDADOR DE HIDROCARBUROS I</v>
          </cell>
        </row>
        <row r="1465">
          <cell r="A1465" t="str">
            <v>LIQUIDADOR DE HIDROCARBUROS II</v>
          </cell>
        </row>
        <row r="1466">
          <cell r="A1466" t="str">
            <v>LIQUIDADOR DE HIDROCARBUROS III</v>
          </cell>
        </row>
        <row r="1467">
          <cell r="A1467" t="str">
            <v>LIQUIDADOR DE HIDROCARBUROS JEFE</v>
          </cell>
        </row>
        <row r="1468">
          <cell r="A1468" t="str">
            <v>LIQUIDADOR I</v>
          </cell>
        </row>
        <row r="1469">
          <cell r="A1469" t="str">
            <v>LIQUIDADOR II</v>
          </cell>
        </row>
        <row r="1470">
          <cell r="A1470" t="str">
            <v>LIQUIDADOR III</v>
          </cell>
        </row>
        <row r="1471">
          <cell r="A1471" t="str">
            <v>LIQUIDADOR JEFE</v>
          </cell>
        </row>
        <row r="1472">
          <cell r="A1472" t="str">
            <v>LOCUTOR I</v>
          </cell>
        </row>
        <row r="1473">
          <cell r="A1473" t="str">
            <v>LOCUTOR II</v>
          </cell>
        </row>
        <row r="1474">
          <cell r="A1474" t="str">
            <v>MAESTRA (33.33 HORAS) Y PROF. PH GR (20 HORAS)</v>
          </cell>
        </row>
        <row r="1475">
          <cell r="A1475" t="str">
            <v>MAESTRA ALFABETIZADORA</v>
          </cell>
        </row>
        <row r="1476">
          <cell r="A1476" t="str">
            <v>MAESTRA BIBLIOTECARIA</v>
          </cell>
        </row>
        <row r="1477">
          <cell r="A1477" t="str">
            <v>MAESTRA COORDINADORA</v>
          </cell>
        </row>
        <row r="1478">
          <cell r="A1478" t="str">
            <v>MAESTRA N§ 10</v>
          </cell>
        </row>
        <row r="1479">
          <cell r="A1479" t="str">
            <v>MAESTRA N§ 2</v>
          </cell>
        </row>
        <row r="1480">
          <cell r="A1480" t="str">
            <v>MAESTRA NORMALISTA</v>
          </cell>
        </row>
        <row r="1481">
          <cell r="A1481" t="str">
            <v>MAESTRA TIPO A</v>
          </cell>
        </row>
        <row r="1482">
          <cell r="A1482" t="str">
            <v>MAESTRO TCVDNMA</v>
          </cell>
        </row>
        <row r="1483">
          <cell r="A1483" t="str">
            <v>MAESTRO(A)</v>
          </cell>
        </row>
        <row r="1484">
          <cell r="A1484" t="str">
            <v>MANDOLINA</v>
          </cell>
        </row>
        <row r="1485">
          <cell r="A1485" t="str">
            <v>MAQUETISTA I</v>
          </cell>
        </row>
        <row r="1486">
          <cell r="A1486" t="str">
            <v>MAQUETISTA II</v>
          </cell>
        </row>
        <row r="1487">
          <cell r="A1487" t="str">
            <v>MAQUILLADOR</v>
          </cell>
        </row>
        <row r="1488">
          <cell r="A1488" t="str">
            <v>MAQUINISTA DE REMOLCADOR</v>
          </cell>
        </row>
        <row r="1489">
          <cell r="A1489" t="str">
            <v>MAQUINISTA DE TRANSPORTE NAVAL</v>
          </cell>
        </row>
        <row r="1490">
          <cell r="A1490" t="str">
            <v>MATEMATICO I</v>
          </cell>
        </row>
        <row r="1491">
          <cell r="A1491" t="str">
            <v>MATEMATICO II</v>
          </cell>
        </row>
        <row r="1492">
          <cell r="A1492" t="str">
            <v>MAYOR (BOMBERO)</v>
          </cell>
        </row>
        <row r="1493">
          <cell r="A1493" t="str">
            <v>MECANOGRAFA(O) II</v>
          </cell>
        </row>
        <row r="1494">
          <cell r="A1494" t="str">
            <v>MEDICO DE SALUD PUBLICA I</v>
          </cell>
        </row>
        <row r="1495">
          <cell r="A1495" t="str">
            <v>MEDICO DE SALUD PUBLICA II</v>
          </cell>
        </row>
        <row r="1496">
          <cell r="A1496" t="str">
            <v>MEDICO DE SALUD PUBLICA III</v>
          </cell>
        </row>
        <row r="1497">
          <cell r="A1497" t="str">
            <v>MEDICO DE SALUD PUBLICA JEFE</v>
          </cell>
        </row>
        <row r="1498">
          <cell r="A1498" t="str">
            <v>MEDICO DE SALUD PUBLICA JEFE II</v>
          </cell>
        </row>
        <row r="1499">
          <cell r="A1499" t="str">
            <v>MEDICO DE SALUD PUBLICA JEFE III</v>
          </cell>
        </row>
        <row r="1500">
          <cell r="A1500" t="str">
            <v>MEDICO DIRECTOR DE HOSPITAL I</v>
          </cell>
        </row>
        <row r="1501">
          <cell r="A1501" t="str">
            <v>MEDICO DIRECTOR DE HOSPITAL II</v>
          </cell>
        </row>
        <row r="1502">
          <cell r="A1502" t="str">
            <v>MEDICO DIRECTOR DE HOSPITAL III</v>
          </cell>
        </row>
        <row r="1503">
          <cell r="A1503" t="str">
            <v>MEDICO DIRECTOR DE HOSPITAL IV</v>
          </cell>
        </row>
        <row r="1504">
          <cell r="A1504" t="str">
            <v>MEDICO ESPECIALISTA I</v>
          </cell>
        </row>
        <row r="1505">
          <cell r="A1505" t="str">
            <v>MEDICO ESPECIALISTA II</v>
          </cell>
        </row>
        <row r="1506">
          <cell r="A1506" t="str">
            <v>MEDICO I</v>
          </cell>
        </row>
        <row r="1507">
          <cell r="A1507" t="str">
            <v>MEDICO II</v>
          </cell>
        </row>
        <row r="1508">
          <cell r="A1508" t="str">
            <v>MEDICO INTERNO</v>
          </cell>
        </row>
        <row r="1509">
          <cell r="A1509" t="str">
            <v>MEDICO JEFE I</v>
          </cell>
        </row>
        <row r="1510">
          <cell r="A1510" t="str">
            <v>MEDICO JEFE II</v>
          </cell>
        </row>
        <row r="1511">
          <cell r="A1511" t="str">
            <v>MEDICO JEFE III</v>
          </cell>
        </row>
        <row r="1512">
          <cell r="A1512" t="str">
            <v>MEDICO JEFE IV</v>
          </cell>
        </row>
        <row r="1513">
          <cell r="A1513" t="str">
            <v>MEDICO RESIDENTE</v>
          </cell>
        </row>
        <row r="1514">
          <cell r="A1514" t="str">
            <v>MEDICO VETERINARIO I</v>
          </cell>
        </row>
        <row r="1515">
          <cell r="A1515" t="str">
            <v>MEDICO VETERINARIO II</v>
          </cell>
        </row>
        <row r="1516">
          <cell r="A1516" t="str">
            <v>MEDICO VETERINARIO III</v>
          </cell>
        </row>
        <row r="1517">
          <cell r="A1517" t="str">
            <v>MEDICO VETERINARIO JEFE I</v>
          </cell>
        </row>
        <row r="1518">
          <cell r="A1518" t="str">
            <v>MEDICO VETERINARIO JEFE II</v>
          </cell>
        </row>
        <row r="1519">
          <cell r="A1519" t="str">
            <v>METROLOGO I</v>
          </cell>
        </row>
        <row r="1520">
          <cell r="A1520" t="str">
            <v>METROLOGO II</v>
          </cell>
        </row>
        <row r="1521">
          <cell r="A1521" t="str">
            <v>METROLOGO III</v>
          </cell>
        </row>
        <row r="1522">
          <cell r="A1522" t="str">
            <v>METROLOGO JEFE I</v>
          </cell>
        </row>
        <row r="1523">
          <cell r="A1523" t="str">
            <v>METROLOGO JEFE II</v>
          </cell>
        </row>
        <row r="1524">
          <cell r="A1524" t="str">
            <v>MICROBIOLOGO I</v>
          </cell>
        </row>
        <row r="1525">
          <cell r="A1525" t="str">
            <v>MICROBIOLOGO II</v>
          </cell>
        </row>
        <row r="1526">
          <cell r="A1526" t="str">
            <v>MICROBIOLOGO III</v>
          </cell>
        </row>
        <row r="1527">
          <cell r="A1527" t="str">
            <v>MICROBIOLOGO JEFE</v>
          </cell>
        </row>
        <row r="1528">
          <cell r="A1528" t="str">
            <v>MICROFILMADOR I</v>
          </cell>
        </row>
        <row r="1529">
          <cell r="A1529" t="str">
            <v>MICROFILMADOR II</v>
          </cell>
        </row>
        <row r="1530">
          <cell r="A1530" t="str">
            <v>MICROFILMADOR III</v>
          </cell>
        </row>
        <row r="1531">
          <cell r="A1531" t="str">
            <v>MICROFILMADOR IV</v>
          </cell>
        </row>
        <row r="1532">
          <cell r="A1532" t="str">
            <v>MUSEOGRAFO I</v>
          </cell>
        </row>
        <row r="1533">
          <cell r="A1533" t="str">
            <v>MUSEOGRAFO II</v>
          </cell>
        </row>
        <row r="1534">
          <cell r="A1534" t="str">
            <v>MUSEOGRAFO III</v>
          </cell>
        </row>
        <row r="1535">
          <cell r="A1535" t="str">
            <v>MUSEOLOGO</v>
          </cell>
        </row>
        <row r="1536">
          <cell r="A1536" t="str">
            <v>MUSEOLOGO II</v>
          </cell>
        </row>
        <row r="1537">
          <cell r="A1537" t="str">
            <v>MUSEOLOGO III</v>
          </cell>
        </row>
        <row r="1538">
          <cell r="A1538" t="str">
            <v>MUSEOLOGO IV</v>
          </cell>
        </row>
        <row r="1539">
          <cell r="A1539" t="str">
            <v>OBOE</v>
          </cell>
        </row>
        <row r="1540">
          <cell r="A1540" t="str">
            <v>OBOE</v>
          </cell>
        </row>
        <row r="1541">
          <cell r="A1541" t="str">
            <v>OBOE 1</v>
          </cell>
        </row>
        <row r="1542">
          <cell r="A1542" t="str">
            <v>OBOE 2</v>
          </cell>
        </row>
        <row r="1543">
          <cell r="A1543" t="str">
            <v>OBSERVADOR DE RADIO Y TV I</v>
          </cell>
        </row>
        <row r="1544">
          <cell r="A1544" t="str">
            <v>OBSERVADOR DE RADIO Y TV II</v>
          </cell>
        </row>
        <row r="1545">
          <cell r="A1545" t="str">
            <v>ODONTOLO II</v>
          </cell>
        </row>
        <row r="1546">
          <cell r="A1546" t="str">
            <v>ODONTOLOGO I</v>
          </cell>
        </row>
        <row r="1547">
          <cell r="A1547" t="str">
            <v>ODONTOLOGO III</v>
          </cell>
        </row>
        <row r="1548">
          <cell r="A1548" t="str">
            <v>ODONTOLOGO JEFE I</v>
          </cell>
        </row>
        <row r="1549">
          <cell r="A1549" t="str">
            <v>ODONTOLOGO JEFE II</v>
          </cell>
        </row>
        <row r="1550">
          <cell r="A1550" t="str">
            <v>OFICIAL</v>
          </cell>
        </row>
        <row r="1551">
          <cell r="A1551" t="str">
            <v>OFICIAL (GRADO 0)</v>
          </cell>
        </row>
        <row r="1552">
          <cell r="A1552" t="str">
            <v>OFICIAL (GRADO 1)</v>
          </cell>
        </row>
        <row r="1553">
          <cell r="A1553" t="str">
            <v>OFICIAL (GRADO 2)</v>
          </cell>
        </row>
        <row r="1554">
          <cell r="A1554" t="str">
            <v>OFICIAL AGREGADO</v>
          </cell>
        </row>
        <row r="1555">
          <cell r="A1555" t="str">
            <v>OFICIAL AGREGADO (GRADO 0)</v>
          </cell>
        </row>
        <row r="1556">
          <cell r="A1556" t="str">
            <v>OFICIAL AGREGADO (GRADO 1)</v>
          </cell>
        </row>
        <row r="1557">
          <cell r="A1557" t="str">
            <v>OFICIAL AGREGADO (GRADO 2)</v>
          </cell>
        </row>
        <row r="1558">
          <cell r="A1558" t="str">
            <v>OFICIAL DE BUSQUEDA Y SALVAMENTO I</v>
          </cell>
        </row>
        <row r="1559">
          <cell r="A1559" t="str">
            <v>OFICIAL DE BUSQUEDA Y SALVAMENTO II</v>
          </cell>
        </row>
        <row r="1560">
          <cell r="A1560" t="str">
            <v>OFICIAL DE BUSQUEDA Y SALVAMENTO III</v>
          </cell>
        </row>
        <row r="1561">
          <cell r="A1561" t="str">
            <v>OFICIAL DE BUSQUEDA Y SALVAMENTO IV</v>
          </cell>
        </row>
        <row r="1562">
          <cell r="A1562" t="str">
            <v>OFICIAL DE MAQUINAS I</v>
          </cell>
        </row>
        <row r="1563">
          <cell r="A1563" t="str">
            <v>OFICIAL DE MAQUINAS II</v>
          </cell>
        </row>
        <row r="1564">
          <cell r="A1564" t="str">
            <v>OFICIAL DE MAQUINAS III</v>
          </cell>
        </row>
        <row r="1565">
          <cell r="A1565" t="str">
            <v>OFICIAL DE MARINA I</v>
          </cell>
        </row>
        <row r="1566">
          <cell r="A1566" t="str">
            <v>OFICIAL DE MARINA II</v>
          </cell>
        </row>
        <row r="1567">
          <cell r="A1567" t="str">
            <v>OFICIAL DE MARINA III</v>
          </cell>
        </row>
        <row r="1568">
          <cell r="A1568" t="str">
            <v>OFICIAL DE MARINA IV</v>
          </cell>
        </row>
        <row r="1569">
          <cell r="A1569" t="str">
            <v>OFICIAL DE MARINA JEFE I</v>
          </cell>
        </row>
        <row r="1570">
          <cell r="A1570" t="str">
            <v>OFICIAL DE MARINA JEFE II</v>
          </cell>
        </row>
        <row r="1571">
          <cell r="A1571" t="str">
            <v>OFICIAL DE MARINA JEFE III</v>
          </cell>
        </row>
        <row r="1572">
          <cell r="A1572" t="str">
            <v>OFICIAL DE NAVEGACION I</v>
          </cell>
        </row>
        <row r="1573">
          <cell r="A1573" t="str">
            <v>OFICIAL DE NAVEGACION II</v>
          </cell>
        </row>
        <row r="1574">
          <cell r="A1574" t="str">
            <v>OFICIAL DE NAVEGACION III</v>
          </cell>
        </row>
        <row r="1575">
          <cell r="A1575" t="str">
            <v>OFICIAL JEFE</v>
          </cell>
        </row>
        <row r="1576">
          <cell r="A1576" t="str">
            <v>OFICIAL JEFE (GRADO 0)</v>
          </cell>
        </row>
        <row r="1577">
          <cell r="A1577" t="str">
            <v>OFICIAL JEFE (GRADO 1)</v>
          </cell>
        </row>
        <row r="1578">
          <cell r="A1578" t="str">
            <v>OFICIAL JEFE (GRADO 2)</v>
          </cell>
        </row>
        <row r="1579">
          <cell r="A1579" t="str">
            <v>OPERADOR DE EQUIPOS DE COMPUTACION I</v>
          </cell>
        </row>
        <row r="1580">
          <cell r="A1580" t="str">
            <v>OPERADOR DE EQUIPOS DE COMPUTACION II</v>
          </cell>
        </row>
        <row r="1581">
          <cell r="A1581" t="str">
            <v>OPERADOR DE EQUIPOS DE COMPUTACION III</v>
          </cell>
        </row>
        <row r="1582">
          <cell r="A1582" t="str">
            <v>OPERADOR DE EQUIPOS DE TV Y/O CINE</v>
          </cell>
        </row>
        <row r="1583">
          <cell r="A1583" t="str">
            <v>OPERADOR DE QUPOS DE DRAGADO</v>
          </cell>
        </row>
        <row r="1584">
          <cell r="A1584" t="str">
            <v>OPERADOR DE REPRODUCCION I</v>
          </cell>
        </row>
        <row r="1585">
          <cell r="A1585" t="str">
            <v>OPERADOR DE SOPORTE TECNICO</v>
          </cell>
        </row>
        <row r="1586">
          <cell r="A1586" t="str">
            <v>OPERADOR DE TELECOMUNICACIONES AERO. I</v>
          </cell>
        </row>
        <row r="1587">
          <cell r="A1587" t="str">
            <v>OPERADOR DE TELECOMUNICACIONES AERON. II</v>
          </cell>
        </row>
        <row r="1588">
          <cell r="A1588" t="str">
            <v>OPERADOR DE TELECOMUNICACIONES I</v>
          </cell>
        </row>
        <row r="1589">
          <cell r="A1589" t="str">
            <v>OPERADOR DE TELECOMUNICACIONES II</v>
          </cell>
        </row>
        <row r="1590">
          <cell r="A1590" t="str">
            <v>OPERADOR DE TELECOMUNICACIONES III</v>
          </cell>
        </row>
        <row r="1591">
          <cell r="A1591" t="str">
            <v>OPERADOR DE TELECOMUNICACIONES IV</v>
          </cell>
        </row>
        <row r="1592">
          <cell r="A1592" t="str">
            <v>OPERADOR DE TELECOMUNICACIONES JEFE</v>
          </cell>
        </row>
        <row r="1593">
          <cell r="A1593" t="str">
            <v>OPERADOR TELECOMUNICACIONES AER. JEFE I</v>
          </cell>
        </row>
        <row r="1594">
          <cell r="A1594" t="str">
            <v>OPERADOR TELECOMUNICACIONES AERON. III</v>
          </cell>
        </row>
        <row r="1595">
          <cell r="A1595" t="str">
            <v>OPERADOR TELECOMUNICACIONES AERON. IV</v>
          </cell>
        </row>
        <row r="1596">
          <cell r="A1596" t="str">
            <v>OPERADOR TELECOMUNICACIONES AERON. V</v>
          </cell>
        </row>
        <row r="1597">
          <cell r="A1597" t="str">
            <v>OPERADOR TELECOMUNICAICONES AER. JEFE II</v>
          </cell>
        </row>
        <row r="1598">
          <cell r="A1598" t="str">
            <v>OPERADOR TELECOMUNICAICONES AERON.VI</v>
          </cell>
        </row>
        <row r="1599">
          <cell r="A1599" t="str">
            <v>ORDENANZA  I</v>
          </cell>
        </row>
        <row r="1600">
          <cell r="A1600" t="str">
            <v>ORDENANZA II</v>
          </cell>
        </row>
        <row r="1601">
          <cell r="A1601" t="str">
            <v>ORDENANZA III</v>
          </cell>
        </row>
        <row r="1602">
          <cell r="A1602" t="str">
            <v>PALEONTOLOGO</v>
          </cell>
        </row>
        <row r="1603">
          <cell r="A1603" t="str">
            <v>PATRON DE LANCHA</v>
          </cell>
        </row>
        <row r="1604">
          <cell r="A1604" t="str">
            <v>PERCUSION</v>
          </cell>
        </row>
        <row r="1605">
          <cell r="A1605" t="str">
            <v>PERITO FORESTAL  III</v>
          </cell>
        </row>
        <row r="1606">
          <cell r="A1606" t="str">
            <v>PERITO FORESTAL I</v>
          </cell>
        </row>
        <row r="1607">
          <cell r="A1607" t="str">
            <v>PERITO FORESTAL II</v>
          </cell>
        </row>
        <row r="1608">
          <cell r="A1608" t="str">
            <v>PERITO FORESTAL JEFE I</v>
          </cell>
        </row>
        <row r="1609">
          <cell r="A1609" t="str">
            <v>PERITO FORESTAL JEFE II</v>
          </cell>
        </row>
        <row r="1610">
          <cell r="A1610" t="str">
            <v>PERITO NAVAL</v>
          </cell>
        </row>
        <row r="1611">
          <cell r="A1611" t="str">
            <v>PERSONAL ADMINISTRATIVO NO CLASIFICADO</v>
          </cell>
        </row>
        <row r="1612">
          <cell r="A1612" t="str">
            <v>PIANO COMPLEMENTARIO</v>
          </cell>
        </row>
        <row r="1613">
          <cell r="A1613" t="str">
            <v>PIANO COMPLEMENTARIO</v>
          </cell>
        </row>
        <row r="1614">
          <cell r="A1614" t="str">
            <v>PILOTO DE BUSQUEDA Y SALVAMENTO I</v>
          </cell>
        </row>
        <row r="1615">
          <cell r="A1615" t="str">
            <v>PILOTO DE BUSQUEDA Y SALVAMENTO II</v>
          </cell>
        </row>
        <row r="1616">
          <cell r="A1616" t="str">
            <v>PILOTO DE BUSQUEDA Y SALVAMENTO III</v>
          </cell>
        </row>
        <row r="1617">
          <cell r="A1617" t="str">
            <v>PILOTO DE BUSQUEDA Y SALVAMENTO IV</v>
          </cell>
        </row>
        <row r="1618">
          <cell r="A1618" t="str">
            <v>PILOTO DE HELICOPTERO BUSQUD. Y SALV.III</v>
          </cell>
        </row>
        <row r="1619">
          <cell r="A1619" t="str">
            <v>PILOTO DE HELICOPTERO BUSQUEDA Y SALV II</v>
          </cell>
        </row>
        <row r="1620">
          <cell r="A1620" t="str">
            <v>PILOTO DE HELICOPTERO DE BUSQUEDA Y SALV</v>
          </cell>
        </row>
        <row r="1621">
          <cell r="A1621" t="str">
            <v>PILOTO INSPECTOR DE VUELO I</v>
          </cell>
        </row>
        <row r="1622">
          <cell r="A1622" t="str">
            <v>PILOTO INSPECTOR DE VUELO II</v>
          </cell>
        </row>
        <row r="1623">
          <cell r="A1623" t="str">
            <v>PILOTO INSTRUCTOR DE VUELO II</v>
          </cell>
        </row>
        <row r="1624">
          <cell r="A1624" t="str">
            <v>PILOTO INSTRUCTOR DE VUELO III</v>
          </cell>
        </row>
        <row r="1625">
          <cell r="A1625" t="str">
            <v>PILOTO INSTRUCTOR DE VUELO JEFE</v>
          </cell>
        </row>
        <row r="1626">
          <cell r="A1626" t="str">
            <v>PILOTO JEFE</v>
          </cell>
        </row>
        <row r="1627">
          <cell r="A1627" t="str">
            <v>PILOTO JEFE DE OPERACIONES</v>
          </cell>
        </row>
        <row r="1628">
          <cell r="A1628" t="str">
            <v>PILOTO OFICIAL DE LA MARINA MERCANTE</v>
          </cell>
        </row>
        <row r="1629">
          <cell r="A1629" t="str">
            <v>PLANIFICADOR CENTRAL EN FORMACION</v>
          </cell>
        </row>
        <row r="1630">
          <cell r="A1630" t="str">
            <v>PLANIFICADOR CENTRAL I</v>
          </cell>
        </row>
        <row r="1631">
          <cell r="A1631" t="str">
            <v>PLANIFICADOR CENTRAL II</v>
          </cell>
        </row>
        <row r="1632">
          <cell r="A1632" t="str">
            <v>PLANIFICADOR CENTRAL III</v>
          </cell>
        </row>
        <row r="1633">
          <cell r="A1633" t="str">
            <v>PLANIFICADOR CENTRAL IV</v>
          </cell>
        </row>
        <row r="1634">
          <cell r="A1634" t="str">
            <v>PLANIFICADOR CENTRAL JEFE</v>
          </cell>
        </row>
        <row r="1635">
          <cell r="A1635" t="str">
            <v>PLANIFICADOR I</v>
          </cell>
        </row>
        <row r="1636">
          <cell r="A1636" t="str">
            <v>PLANIFICADOR II</v>
          </cell>
        </row>
        <row r="1637">
          <cell r="A1637" t="str">
            <v>PLANIFICADOR III</v>
          </cell>
        </row>
        <row r="1638">
          <cell r="A1638" t="str">
            <v>PLANIFICADOR IV</v>
          </cell>
        </row>
        <row r="1639">
          <cell r="A1639" t="str">
            <v>PLANIFICADOR JEFE</v>
          </cell>
        </row>
        <row r="1640">
          <cell r="A1640" t="str">
            <v>PLANIFICADOR V</v>
          </cell>
        </row>
        <row r="1641">
          <cell r="A1641" t="str">
            <v>PRECEPTOR</v>
          </cell>
        </row>
        <row r="1642">
          <cell r="A1642" t="str">
            <v>PREFECTO DE MUNICIPIO</v>
          </cell>
        </row>
        <row r="1643">
          <cell r="A1643" t="str">
            <v>PREFECTO DE PARROQUIA</v>
          </cell>
        </row>
        <row r="1644">
          <cell r="A1644" t="str">
            <v>PRESIDENTE</v>
          </cell>
        </row>
        <row r="1645">
          <cell r="A1645" t="str">
            <v>PRIMER OFICIAL DE JET I</v>
          </cell>
        </row>
        <row r="1646">
          <cell r="A1646" t="str">
            <v>PRIMER OFICIAL DE JET II</v>
          </cell>
        </row>
        <row r="1647">
          <cell r="A1647" t="str">
            <v>PRIMER OFICIAL DE TURBO</v>
          </cell>
        </row>
        <row r="1648">
          <cell r="A1648" t="str">
            <v>PROCURADOR DE TRABAJADORES</v>
          </cell>
        </row>
        <row r="1649">
          <cell r="A1649" t="str">
            <v>PRODUCTOR DE RADIO</v>
          </cell>
        </row>
        <row r="1650">
          <cell r="A1650" t="str">
            <v>PROF DE CUATRO</v>
          </cell>
        </row>
        <row r="1651">
          <cell r="A1651" t="str">
            <v>PROF. ARMONIA COMPLEMENTARIA</v>
          </cell>
        </row>
        <row r="1652">
          <cell r="A1652" t="str">
            <v>PROF. BALLET Y DANZAS</v>
          </cell>
        </row>
        <row r="1653">
          <cell r="A1653" t="str">
            <v>PROF. CERAMICA N.G.</v>
          </cell>
        </row>
        <row r="1654">
          <cell r="A1654" t="str">
            <v>PROF. CLARINETE II  77</v>
          </cell>
        </row>
        <row r="1655">
          <cell r="A1655" t="str">
            <v>PROF. CLARINETE N.G.</v>
          </cell>
        </row>
        <row r="1656">
          <cell r="A1656" t="str">
            <v>PROF. CLARINETE VI</v>
          </cell>
        </row>
        <row r="1657">
          <cell r="A1657" t="str">
            <v>PROF. CORNO I</v>
          </cell>
        </row>
        <row r="1658">
          <cell r="A1658" t="str">
            <v>PROF. CORTE Y CONF. 77  IV</v>
          </cell>
        </row>
        <row r="1659">
          <cell r="A1659" t="str">
            <v>PROF. DE PIANO  IV  139</v>
          </cell>
        </row>
        <row r="1660">
          <cell r="A1660" t="str">
            <v>PROF. DE PIANO III  77</v>
          </cell>
        </row>
        <row r="1661">
          <cell r="A1661" t="str">
            <v>PROF. DIB. Y DEC. G.III 77</v>
          </cell>
        </row>
        <row r="1662">
          <cell r="A1662" t="str">
            <v>PROF. DIBUJO Y DEC. VI 77</v>
          </cell>
        </row>
        <row r="1663">
          <cell r="A1663" t="str">
            <v>PROF. ESCULTURA N.G.</v>
          </cell>
        </row>
        <row r="1664">
          <cell r="A1664" t="str">
            <v>PROF. FLAUTA</v>
          </cell>
        </row>
        <row r="1665">
          <cell r="A1665" t="str">
            <v>PROF. FORMACION CORAL</v>
          </cell>
        </row>
        <row r="1666">
          <cell r="A1666" t="str">
            <v>PROF. FOTOGRAFIA  VI  139</v>
          </cell>
        </row>
        <row r="1667">
          <cell r="A1667" t="str">
            <v>PROF. GUITARRA VI 139</v>
          </cell>
        </row>
        <row r="1668">
          <cell r="A1668" t="str">
            <v>PROF. HIST. MUSICA VI  139</v>
          </cell>
        </row>
        <row r="1669">
          <cell r="A1669" t="str">
            <v>PROF. HISTORIA DEL A.IV 77</v>
          </cell>
        </row>
        <row r="1670">
          <cell r="A1670" t="str">
            <v>PROF. HISTORIA DEL A.VI 77</v>
          </cell>
        </row>
        <row r="1671">
          <cell r="A1671" t="str">
            <v>PROF. HISTORIA EST.III 77</v>
          </cell>
        </row>
        <row r="1672">
          <cell r="A1672" t="str">
            <v>PROF. HISTORIA ESTETICA</v>
          </cell>
        </row>
        <row r="1673">
          <cell r="A1673" t="str">
            <v>PROF. HORAS DE BASICA(2746HRAS)</v>
          </cell>
        </row>
        <row r="1674">
          <cell r="A1674" t="str">
            <v>PROF. HORAS EDUC MEDIA(1373 HRAS)</v>
          </cell>
        </row>
        <row r="1675">
          <cell r="A1675" t="str">
            <v>PROF. KINDER MUSICAL N.G.</v>
          </cell>
        </row>
        <row r="1676">
          <cell r="A1676" t="str">
            <v>PROF. KINDER MUSICAL VI 77</v>
          </cell>
        </row>
        <row r="1677">
          <cell r="A1677" t="str">
            <v>PROF. LANG. PLASTICO I 77</v>
          </cell>
        </row>
        <row r="1678">
          <cell r="A1678" t="str">
            <v>PROF. MANUALIDADES 77 II</v>
          </cell>
        </row>
        <row r="1679">
          <cell r="A1679" t="str">
            <v>PROF. MANUALIDADES III 77</v>
          </cell>
        </row>
        <row r="1680">
          <cell r="A1680" t="str">
            <v>PROF. MUSICA POP. VI   77</v>
          </cell>
        </row>
        <row r="1681">
          <cell r="A1681" t="str">
            <v>PROF. OBOE</v>
          </cell>
        </row>
        <row r="1682">
          <cell r="A1682" t="str">
            <v>PROF. PIANO COMPLEMENTARIO</v>
          </cell>
        </row>
        <row r="1683">
          <cell r="A1683" t="str">
            <v>PROF. PIANO PRINCIPAL III 77</v>
          </cell>
        </row>
        <row r="1684">
          <cell r="A1684" t="str">
            <v>PROF. PINTURA INFAN. V 77</v>
          </cell>
        </row>
        <row r="1685">
          <cell r="A1685" t="str">
            <v>PROF. PINTURA Y DIBUJO</v>
          </cell>
        </row>
        <row r="1686">
          <cell r="A1686" t="str">
            <v>PROF. RECURSOS AUDIO N.G</v>
          </cell>
        </row>
        <row r="1687">
          <cell r="A1687" t="str">
            <v>PROF. TEORIA Y SOLFEO</v>
          </cell>
        </row>
        <row r="1688">
          <cell r="A1688" t="str">
            <v>PROF. TROMPETA N.G.</v>
          </cell>
        </row>
        <row r="1689">
          <cell r="A1689" t="str">
            <v>PROF. VIOLA III 77</v>
          </cell>
        </row>
        <row r="1690">
          <cell r="A1690" t="str">
            <v>PROF. VIOLIN III 77</v>
          </cell>
        </row>
        <row r="1691">
          <cell r="A1691" t="str">
            <v>PROF. VIOLONCELLO III 77</v>
          </cell>
        </row>
        <row r="1692">
          <cell r="A1692" t="str">
            <v>PROF.CERAMICA ARTISTICA N.G.</v>
          </cell>
        </row>
        <row r="1693">
          <cell r="A1693" t="str">
            <v>PROF.TEATRO N.G.</v>
          </cell>
        </row>
        <row r="1694">
          <cell r="A1694" t="str">
            <v>PROFESOR DE CONTRABAJO</v>
          </cell>
        </row>
        <row r="1695">
          <cell r="A1695" t="str">
            <v>PROFESOR DE ESCULTURA Y ARTES GRAFICAS Y DOCENTE AULA MEDIA PROFESIONAL NG</v>
          </cell>
        </row>
        <row r="1696">
          <cell r="A1696" t="str">
            <v>PROFESOR DE MANUALIDADES</v>
          </cell>
        </row>
        <row r="1697">
          <cell r="A1697" t="str">
            <v>PROFESOR DE MUSICA</v>
          </cell>
        </row>
        <row r="1698">
          <cell r="A1698" t="str">
            <v>PROFESOR DE VIOLA N.G.</v>
          </cell>
        </row>
        <row r="1699">
          <cell r="A1699" t="str">
            <v>PROFESOR DE VIOLIN N.G.</v>
          </cell>
        </row>
        <row r="1700">
          <cell r="A1700" t="str">
            <v>PROFESOR I TID</v>
          </cell>
        </row>
        <row r="1701">
          <cell r="A1701" t="str">
            <v>PROFESOR POR HORA (24 HORAS)</v>
          </cell>
        </row>
        <row r="1702">
          <cell r="A1702" t="str">
            <v>PROFESOR(A) DE CORTE Y CONFECCIÓN</v>
          </cell>
        </row>
        <row r="1703">
          <cell r="A1703" t="str">
            <v>PROFESORA DE CORTE Y COSTURA Y DIRECTORA DE LA ESCUELA ANDRES ELOY BLANCO</v>
          </cell>
        </row>
        <row r="1704">
          <cell r="A1704" t="str">
            <v>PROFESORA DE MECANOGRAFIA</v>
          </cell>
        </row>
        <row r="1705">
          <cell r="A1705" t="str">
            <v>PROFESORA DE PINTURA INFANTIL, PROFESORA DE EDUCACION ARTISTICA Y COORDINADORA DOCENTE.</v>
          </cell>
        </row>
        <row r="1706">
          <cell r="A1706" t="str">
            <v>PROFESORA DE PINTURA Y DIBUJO (06 HORAS) Y DOCENTE IV COORDINADOR (24 HORAS)</v>
          </cell>
        </row>
        <row r="1707">
          <cell r="A1707" t="str">
            <v>PROFESORA NOCTURNA (NACIONAL) Y COORDINADORA DOCENTE VI</v>
          </cell>
        </row>
        <row r="1708">
          <cell r="A1708" t="str">
            <v>PROGRAMADOR DE FORMACION PROFES. JEFE</v>
          </cell>
        </row>
        <row r="1709">
          <cell r="A1709" t="str">
            <v>PROGRAMADOR DE FORMACION PROFESIONAL</v>
          </cell>
        </row>
        <row r="1710">
          <cell r="A1710" t="str">
            <v>PROGRAMADOR I</v>
          </cell>
        </row>
        <row r="1711">
          <cell r="A1711" t="str">
            <v>PROGRAMADOR II</v>
          </cell>
        </row>
        <row r="1712">
          <cell r="A1712" t="str">
            <v>PROGRAMADOR III</v>
          </cell>
        </row>
        <row r="1713">
          <cell r="A1713" t="str">
            <v>PROGRAMADOR IV</v>
          </cell>
        </row>
        <row r="1714">
          <cell r="A1714" t="str">
            <v>PROGRAMADOR V</v>
          </cell>
        </row>
        <row r="1715">
          <cell r="A1715" t="str">
            <v>PROMOTOR  SOCIAL I</v>
          </cell>
        </row>
        <row r="1716">
          <cell r="A1716" t="str">
            <v>PROMOTOR CULTURAL I</v>
          </cell>
        </row>
        <row r="1717">
          <cell r="A1717" t="str">
            <v>PROMOTOR CULTURAL II</v>
          </cell>
        </row>
        <row r="1718">
          <cell r="A1718" t="str">
            <v>PROMOTOR DE BIENESTAR SOCIAL</v>
          </cell>
        </row>
        <row r="1719">
          <cell r="A1719" t="str">
            <v>PROMOTOR DE CURSOS</v>
          </cell>
        </row>
        <row r="1720">
          <cell r="A1720" t="str">
            <v>PROMOTOR DE EXPORTACIONES I</v>
          </cell>
        </row>
        <row r="1721">
          <cell r="A1721" t="str">
            <v>PROMOTOR DE EXPORTACIONES II</v>
          </cell>
        </row>
        <row r="1722">
          <cell r="A1722" t="str">
            <v>PROMOTOR DE EXPORTACIONES III</v>
          </cell>
        </row>
        <row r="1723">
          <cell r="A1723" t="str">
            <v>PROMOTOR DE EXPORTACIONES JEFE</v>
          </cell>
        </row>
        <row r="1724">
          <cell r="A1724" t="str">
            <v>PROMOTOR DEPORTIVO</v>
          </cell>
        </row>
        <row r="1725">
          <cell r="A1725" t="str">
            <v>PROMOTOR RURAL</v>
          </cell>
        </row>
        <row r="1726">
          <cell r="A1726" t="str">
            <v>PROMOTOR TURISTICO I</v>
          </cell>
        </row>
        <row r="1727">
          <cell r="A1727" t="str">
            <v>PROMOTOR TURISTICO II</v>
          </cell>
        </row>
        <row r="1728">
          <cell r="A1728" t="str">
            <v>PROMOTOR TURISTICO III</v>
          </cell>
        </row>
        <row r="1729">
          <cell r="A1729" t="str">
            <v>PROMOTOR TURISTICO IV</v>
          </cell>
        </row>
        <row r="1730">
          <cell r="A1730" t="str">
            <v>PROMOTOR TURISTICO JEFE</v>
          </cell>
        </row>
        <row r="1731">
          <cell r="A1731" t="str">
            <v>PROYECTISTA DE PABELLON DE FERIAS</v>
          </cell>
        </row>
        <row r="1732">
          <cell r="A1732" t="str">
            <v>PSICOLOGO I</v>
          </cell>
        </row>
        <row r="1733">
          <cell r="A1733" t="str">
            <v>PSICOLOGO II</v>
          </cell>
        </row>
        <row r="1734">
          <cell r="A1734" t="str">
            <v>PSICOLOGO III</v>
          </cell>
        </row>
        <row r="1735">
          <cell r="A1735" t="str">
            <v>PSICOLOGO JEFE</v>
          </cell>
        </row>
        <row r="1736">
          <cell r="A1736" t="str">
            <v>PSICOPEDAGOGO</v>
          </cell>
        </row>
        <row r="1737">
          <cell r="A1737" t="str">
            <v>PUERICULTORA</v>
          </cell>
        </row>
        <row r="1738">
          <cell r="A1738" t="str">
            <v>QUIMICO I</v>
          </cell>
        </row>
        <row r="1739">
          <cell r="A1739" t="str">
            <v>QUIMICO II</v>
          </cell>
        </row>
        <row r="1740">
          <cell r="A1740" t="str">
            <v>QUIMICO III</v>
          </cell>
        </row>
        <row r="1741">
          <cell r="A1741" t="str">
            <v>QUIMICO JEFE I</v>
          </cell>
        </row>
        <row r="1742">
          <cell r="A1742" t="str">
            <v>QUIMICO JEFE II</v>
          </cell>
        </row>
        <row r="1743">
          <cell r="A1743" t="str">
            <v>RADIO OPERADOR DE CRIPTOGRAFO I</v>
          </cell>
        </row>
        <row r="1744">
          <cell r="A1744" t="str">
            <v>RADIO OPERADOR DE CRIPTOGRAFO II</v>
          </cell>
        </row>
        <row r="1745">
          <cell r="A1745" t="str">
            <v>RADIO OPERADOR DE CRIPTOGRAFO JEFE</v>
          </cell>
        </row>
        <row r="1746">
          <cell r="A1746" t="str">
            <v>RADIOTELEFONISTA</v>
          </cell>
        </row>
        <row r="1747">
          <cell r="A1747" t="str">
            <v>RECEPCIONISTA</v>
          </cell>
        </row>
        <row r="1748">
          <cell r="A1748" t="str">
            <v>REDOBLANTE 1</v>
          </cell>
        </row>
        <row r="1749">
          <cell r="A1749" t="str">
            <v>REGISTRADOR DE BIENES Y MATERIAS I</v>
          </cell>
        </row>
        <row r="1750">
          <cell r="A1750" t="str">
            <v>REGISTRADOR DE BIENES Y MATERIAS II</v>
          </cell>
        </row>
        <row r="1751">
          <cell r="A1751" t="str">
            <v>REGISTRADOR DE BIENES Y MATERIAS III</v>
          </cell>
        </row>
        <row r="1752">
          <cell r="A1752" t="str">
            <v>REGISTRADOR DE BIENES Y MATERIAS IV</v>
          </cell>
        </row>
        <row r="1753">
          <cell r="A1753" t="str">
            <v>REGISTRADOR DE BIENES Y MATERIAS V</v>
          </cell>
        </row>
        <row r="1754">
          <cell r="A1754" t="str">
            <v>REGISTRADOR DE MUSEO</v>
          </cell>
        </row>
        <row r="1755">
          <cell r="A1755" t="str">
            <v>RESTAURADOR I</v>
          </cell>
        </row>
        <row r="1756">
          <cell r="A1756" t="str">
            <v>RESTAURADOR II</v>
          </cell>
        </row>
        <row r="1757">
          <cell r="A1757" t="str">
            <v>RESTAURADOR III</v>
          </cell>
        </row>
        <row r="1758">
          <cell r="A1758" t="str">
            <v>RESTAURADOR JEFE</v>
          </cell>
        </row>
        <row r="1759">
          <cell r="A1759" t="str">
            <v>REVISOR DE CONTRALORIA I</v>
          </cell>
        </row>
        <row r="1760">
          <cell r="A1760" t="str">
            <v>REVISOR DE CONTRALORIA II</v>
          </cell>
        </row>
        <row r="1761">
          <cell r="A1761" t="str">
            <v>REVISOR DE CONTRALORIA III</v>
          </cell>
        </row>
        <row r="1762">
          <cell r="A1762" t="str">
            <v>REVISOR DE CONTRALORIA IV</v>
          </cell>
        </row>
        <row r="1763">
          <cell r="A1763" t="str">
            <v>REVISOR DE CONTRALORIA V</v>
          </cell>
        </row>
        <row r="1764">
          <cell r="A1764" t="str">
            <v>SARGENTO 1RA</v>
          </cell>
        </row>
        <row r="1765">
          <cell r="A1765" t="str">
            <v>SARGENTO 1RO (BOMBERO)</v>
          </cell>
        </row>
        <row r="1766">
          <cell r="A1766" t="str">
            <v>SARGENTO 2DA</v>
          </cell>
        </row>
        <row r="1767">
          <cell r="A1767" t="str">
            <v>SARGENTO 2DO (BOMBERO)</v>
          </cell>
        </row>
        <row r="1768">
          <cell r="A1768" t="str">
            <v>SARGENTO AYUDANTE (BOMBERO)</v>
          </cell>
        </row>
        <row r="1769">
          <cell r="A1769" t="str">
            <v>SARGENTO MAYOR</v>
          </cell>
        </row>
        <row r="1770">
          <cell r="A1770" t="str">
            <v>SAXO ALTO 1</v>
          </cell>
        </row>
        <row r="1771">
          <cell r="A1771" t="str">
            <v>SAXO ALTO 2</v>
          </cell>
        </row>
        <row r="1772">
          <cell r="A1772" t="str">
            <v>SAXO TENOR</v>
          </cell>
        </row>
        <row r="1773">
          <cell r="A1773" t="str">
            <v>SAXO-BARITONO</v>
          </cell>
        </row>
        <row r="1774">
          <cell r="A1774" t="str">
            <v>SECRETARIA EJECUTIVA [SUB DIRECTORA]</v>
          </cell>
        </row>
        <row r="1775">
          <cell r="A1775" t="str">
            <v>SECRETARIA GRAL. ENCARGADA</v>
          </cell>
        </row>
        <row r="1776">
          <cell r="A1776" t="str">
            <v>SECRETARIO (A) PRIVADO (A)</v>
          </cell>
        </row>
        <row r="1777">
          <cell r="A1777" t="str">
            <v>SECRETARIO BILINGUE I</v>
          </cell>
        </row>
        <row r="1778">
          <cell r="A1778" t="str">
            <v>SECRETARIO BILINGUE II</v>
          </cell>
        </row>
        <row r="1779">
          <cell r="A1779" t="str">
            <v>SECRETARIO DE DESPACHO</v>
          </cell>
        </row>
        <row r="1780">
          <cell r="A1780" t="str">
            <v>SECRETARIO EJECUTIVO DEL COMITE SUPERIOR DEL G.E.P.D.T</v>
          </cell>
        </row>
        <row r="1781">
          <cell r="A1781" t="str">
            <v>SECRETARIO EJECUTIVO I</v>
          </cell>
        </row>
        <row r="1782">
          <cell r="A1782" t="str">
            <v>SECRETARIO EJECUTIVO II</v>
          </cell>
        </row>
        <row r="1783">
          <cell r="A1783" t="str">
            <v>SECRETARIO EJECUTIVO III</v>
          </cell>
        </row>
        <row r="1784">
          <cell r="A1784" t="str">
            <v>SECRETARIO GRAL .DE GOBIERNO</v>
          </cell>
        </row>
        <row r="1785">
          <cell r="A1785" t="str">
            <v>SECRETARIO I</v>
          </cell>
        </row>
        <row r="1786">
          <cell r="A1786" t="str">
            <v>SECRETARIO II</v>
          </cell>
        </row>
        <row r="1787">
          <cell r="A1787" t="str">
            <v>SECRETARIO III</v>
          </cell>
        </row>
        <row r="1788">
          <cell r="A1788" t="str">
            <v>SECRETARIO(A) DE DESPACHO</v>
          </cell>
        </row>
        <row r="1789">
          <cell r="A1789" t="str">
            <v>SIN CARGO</v>
          </cell>
        </row>
        <row r="1790">
          <cell r="A1790" t="str">
            <v>SOCIOLOG JEFE</v>
          </cell>
        </row>
        <row r="1791">
          <cell r="A1791" t="str">
            <v>SOCIOLOGO I</v>
          </cell>
        </row>
        <row r="1792">
          <cell r="A1792" t="str">
            <v>SOCIOLOGO II</v>
          </cell>
        </row>
        <row r="1793">
          <cell r="A1793" t="str">
            <v>SOCIOLOGO III</v>
          </cell>
        </row>
        <row r="1794">
          <cell r="A1794" t="str">
            <v>SOLISTA</v>
          </cell>
        </row>
        <row r="1795">
          <cell r="A1795" t="str">
            <v>SOPLADOR DE VIDRIO I</v>
          </cell>
        </row>
        <row r="1796">
          <cell r="A1796" t="str">
            <v>SOPLADOR DE VIDRIO II</v>
          </cell>
        </row>
        <row r="1797">
          <cell r="A1797" t="str">
            <v>SOPLADOR DE VIDRIO JEFE</v>
          </cell>
        </row>
        <row r="1798">
          <cell r="A1798" t="str">
            <v>SUB COMISARIO</v>
          </cell>
        </row>
        <row r="1799">
          <cell r="A1799" t="str">
            <v>SUB DIRECTOR DE ORQUESTA</v>
          </cell>
        </row>
        <row r="1800">
          <cell r="A1800" t="str">
            <v>SUB DIRECTOR N.G.</v>
          </cell>
        </row>
        <row r="1801">
          <cell r="A1801" t="str">
            <v>SUB DIRECTOR VI 139</v>
          </cell>
        </row>
        <row r="1802">
          <cell r="A1802" t="str">
            <v>SUB DIRECTOR Y PROFESOR DE MANUALIDADES</v>
          </cell>
        </row>
        <row r="1803">
          <cell r="A1803" t="str">
            <v>SUB DIRECTORA (36 HORAS) Y DIRECTORA (20 HORAS)</v>
          </cell>
        </row>
        <row r="1804">
          <cell r="A1804" t="str">
            <v>SUB INSPECTOR</v>
          </cell>
        </row>
        <row r="1805">
          <cell r="A1805" t="str">
            <v>SUB INSPECTOR GENERAL DE HACIENDA</v>
          </cell>
        </row>
        <row r="1806">
          <cell r="A1806" t="str">
            <v>SUBDIR. (36 HORAS) PROF. DE PIANO Y KINDER MUSICAL (26 HORAS)</v>
          </cell>
        </row>
        <row r="1807">
          <cell r="A1807" t="str">
            <v>SUB-DIRECTOR</v>
          </cell>
        </row>
        <row r="1808">
          <cell r="A1808" t="str">
            <v>SUB-DIRECTOR (35 HORAS)  NG Y CLARINETE</v>
          </cell>
        </row>
        <row r="1809">
          <cell r="A1809" t="str">
            <v>SUB-DIRECTOR Y MAESTRO TCVDNMA</v>
          </cell>
        </row>
        <row r="1810">
          <cell r="A1810" t="str">
            <v>SUBTENIENTE (BOMBERO)</v>
          </cell>
        </row>
        <row r="1811">
          <cell r="A1811" t="str">
            <v>SUPERVISOR</v>
          </cell>
        </row>
        <row r="1812">
          <cell r="A1812" t="str">
            <v>SUPERVISOR (GRADO 0)</v>
          </cell>
        </row>
        <row r="1813">
          <cell r="A1813" t="str">
            <v>SUPERVISOR (GRADO 1)</v>
          </cell>
        </row>
        <row r="1814">
          <cell r="A1814" t="str">
            <v>SUPERVISOR (GRADO 2)</v>
          </cell>
        </row>
        <row r="1815">
          <cell r="A1815" t="str">
            <v>SUPERVISOR AGREGADO</v>
          </cell>
        </row>
        <row r="1816">
          <cell r="A1816" t="str">
            <v>SUPERVISOR AGREGADO (GRADO 0)</v>
          </cell>
        </row>
        <row r="1817">
          <cell r="A1817" t="str">
            <v>SUPERVISOR AGREGADO (GRADO 1)</v>
          </cell>
        </row>
        <row r="1818">
          <cell r="A1818" t="str">
            <v>SUPERVISOR AGREGADO (GRADO 2)</v>
          </cell>
        </row>
        <row r="1819">
          <cell r="A1819" t="str">
            <v>SUPERVISOR ALFABETIZACION Y EDUC BAS III</v>
          </cell>
        </row>
        <row r="1820">
          <cell r="A1820" t="str">
            <v>SUPERVISOR ALFABETIZACION Y EDUC BAS. I</v>
          </cell>
        </row>
        <row r="1821">
          <cell r="A1821" t="str">
            <v>SUPERVISOR ALFABETIZACION Y EDUC.BAS II</v>
          </cell>
        </row>
        <row r="1822">
          <cell r="A1822" t="str">
            <v>SUPERVISOR AUTOGRAFISTA</v>
          </cell>
        </row>
        <row r="1823">
          <cell r="A1823" t="str">
            <v>SUPERVISOR DE ALMACEN</v>
          </cell>
        </row>
        <row r="1824">
          <cell r="A1824" t="str">
            <v>SUPERVISOR DE APRENDIZAJE I</v>
          </cell>
        </row>
        <row r="1825">
          <cell r="A1825" t="str">
            <v>SUPERVISOR DE APRENDIZAJE II</v>
          </cell>
        </row>
        <row r="1826">
          <cell r="A1826" t="str">
            <v>SUPERVISOR DE APRENDIZAJE III</v>
          </cell>
        </row>
        <row r="1827">
          <cell r="A1827" t="str">
            <v>SUPERVISOR DE APRENDIZAJE IV</v>
          </cell>
        </row>
        <row r="1828">
          <cell r="A1828" t="str">
            <v>SUPERVISOR DE ASTILLEROS I</v>
          </cell>
        </row>
        <row r="1829">
          <cell r="A1829" t="str">
            <v>SUPERVISOR DE ASTILLEROS II</v>
          </cell>
        </row>
        <row r="1830">
          <cell r="A1830" t="str">
            <v>SUPERVISOR DE CAPORALES</v>
          </cell>
        </row>
        <row r="1831">
          <cell r="A1831" t="str">
            <v>SUPERVISOR DE COLECTORES</v>
          </cell>
        </row>
        <row r="1832">
          <cell r="A1832" t="str">
            <v>SUPERVISOR DE CONSERVACION AUTOM. I</v>
          </cell>
        </row>
        <row r="1833">
          <cell r="A1833" t="str">
            <v>SUPERVISOR DE CONSERVACION AUTOMOTORA II</v>
          </cell>
        </row>
        <row r="1834">
          <cell r="A1834" t="str">
            <v>SUPERVISOR DE CREDITOS AGROPECUARIO II</v>
          </cell>
        </row>
        <row r="1835">
          <cell r="A1835" t="str">
            <v>SUPERVISOR DE CREDITOS AGROPECUARIOS I</v>
          </cell>
        </row>
        <row r="1836">
          <cell r="A1836" t="str">
            <v>SUPERVISOR DE CREDITOS AGROPECUARIOS III</v>
          </cell>
        </row>
        <row r="1837">
          <cell r="A1837" t="str">
            <v>SUPERVISOR DE EQUIPOS DE DRAGADO</v>
          </cell>
        </row>
        <row r="1838">
          <cell r="A1838" t="str">
            <v>SUPERVISOR DE EXTENSION I</v>
          </cell>
        </row>
        <row r="1839">
          <cell r="A1839" t="str">
            <v>SUPERVISOR DE EXTENSION II</v>
          </cell>
        </row>
        <row r="1840">
          <cell r="A1840" t="str">
            <v>SUPERVISOR DE INSPECTORES DE INMUEBLES</v>
          </cell>
        </row>
        <row r="1841">
          <cell r="A1841" t="str">
            <v>SUPERVISOR DE INSTRUCCION A DISTANCIA I</v>
          </cell>
        </row>
        <row r="1842">
          <cell r="A1842" t="str">
            <v>SUPERVISOR DE INSTRUCCION A DISTANCIA II</v>
          </cell>
        </row>
        <row r="1843">
          <cell r="A1843" t="str">
            <v>SUPERVISOR DE INSTRUCCION A DISTANCIA III</v>
          </cell>
        </row>
        <row r="1844">
          <cell r="A1844" t="str">
            <v>SUPERVISOR DE MANTENIMIENTO DE PARQUES I</v>
          </cell>
        </row>
        <row r="1845">
          <cell r="A1845" t="str">
            <v>SUPERVISOR DE MANTENIMIENTO DE PARQUES II</v>
          </cell>
        </row>
        <row r="1846">
          <cell r="A1846" t="str">
            <v>SUPERVISOR DE MANTENIMIENTO DE PARQUES III</v>
          </cell>
        </row>
        <row r="1847">
          <cell r="A1847" t="str">
            <v>SUPERVISOR DE MANTENIMIENTO DE PARQUES IV</v>
          </cell>
        </row>
        <row r="1848">
          <cell r="A1848" t="str">
            <v>SUPERVISOR DE MECANICOS AUTOMOTORES I</v>
          </cell>
        </row>
        <row r="1849">
          <cell r="A1849" t="str">
            <v>SUPERVISOR DE MECANICOS AUTOMOTORES II</v>
          </cell>
        </row>
        <row r="1850">
          <cell r="A1850" t="str">
            <v>SUPERVISOR DE OBRAS PUBLICAS</v>
          </cell>
        </row>
        <row r="1851">
          <cell r="A1851" t="str">
            <v>SUPERVISOR DE OBRAS SANITARIAS</v>
          </cell>
        </row>
        <row r="1852">
          <cell r="A1852" t="str">
            <v>SUPERVISOR DE PRODUCCION I</v>
          </cell>
        </row>
        <row r="1853">
          <cell r="A1853" t="str">
            <v>SUPERVISOR DE PRODUCCION II</v>
          </cell>
        </row>
        <row r="1854">
          <cell r="A1854" t="str">
            <v>SUPERVISOR DE PROGRAMACION</v>
          </cell>
        </row>
        <row r="1855">
          <cell r="A1855" t="str">
            <v>SUPERVISOR DE REPRODUCCION II</v>
          </cell>
        </row>
        <row r="1856">
          <cell r="A1856" t="str">
            <v>SUPERVISOR DE SERVICIOS GENERAL IV</v>
          </cell>
        </row>
        <row r="1857">
          <cell r="A1857" t="str">
            <v>SUPERVISOR DE SERVICIOS GENERALES I</v>
          </cell>
        </row>
        <row r="1858">
          <cell r="A1858" t="str">
            <v>SUPERVISOR DE SERVICIOS GENERALES II</v>
          </cell>
        </row>
        <row r="1859">
          <cell r="A1859" t="str">
            <v>SUPERVISOR DE SERVICIOS GENERALES III</v>
          </cell>
        </row>
        <row r="1860">
          <cell r="A1860" t="str">
            <v>SUPERVISOR DE TALLER DE IMPRENTA I</v>
          </cell>
        </row>
        <row r="1861">
          <cell r="A1861" t="str">
            <v>SUPERVISOR DE TALLER DE IMPRENTA II</v>
          </cell>
        </row>
        <row r="1862">
          <cell r="A1862" t="str">
            <v>SUPERVISOR DE TALLER DE IMPRENTA III</v>
          </cell>
        </row>
        <row r="1863">
          <cell r="A1863" t="str">
            <v>SUPERVISOR DE TELEFONISTA</v>
          </cell>
        </row>
        <row r="1864">
          <cell r="A1864" t="str">
            <v>SUPERVISOR DOCENTE</v>
          </cell>
        </row>
        <row r="1865">
          <cell r="A1865" t="str">
            <v>SUPERVISOR DOCENTE JEFE</v>
          </cell>
        </row>
        <row r="1866">
          <cell r="A1866" t="str">
            <v>SUPERVISOR FISCAL DE COTIZACIONES</v>
          </cell>
        </row>
        <row r="1867">
          <cell r="A1867" t="str">
            <v>SUPERVISOR FISCAL JEFE</v>
          </cell>
        </row>
        <row r="1868">
          <cell r="A1868" t="str">
            <v>SUPERVISOR I</v>
          </cell>
        </row>
        <row r="1869">
          <cell r="A1869" t="str">
            <v>SUPERVISOR I (171)</v>
          </cell>
        </row>
        <row r="1870">
          <cell r="A1870" t="str">
            <v>SUPERVISOR II Y MAESTRO PH GR NOCTURNO</v>
          </cell>
        </row>
        <row r="1871">
          <cell r="A1871" t="str">
            <v>SUPERVISOR JEFE</v>
          </cell>
        </row>
        <row r="1872">
          <cell r="A1872" t="str">
            <v>SUPERVISOR JEFE (GRADO 0)</v>
          </cell>
        </row>
        <row r="1873">
          <cell r="A1873" t="str">
            <v>SUPERVISOR JEFE (GRADO 1)</v>
          </cell>
        </row>
        <row r="1874">
          <cell r="A1874" t="str">
            <v>SUPERVISOR JEFE (GRADO 2)</v>
          </cell>
        </row>
        <row r="1875">
          <cell r="A1875" t="str">
            <v>SUPERVISOR OPERADOR EQUIPOS DE COMPUTACION</v>
          </cell>
        </row>
        <row r="1876">
          <cell r="A1876" t="str">
            <v>SUPERVISORA III</v>
          </cell>
        </row>
        <row r="1877">
          <cell r="A1877" t="str">
            <v>TAXIDERMISTA</v>
          </cell>
        </row>
        <row r="1878">
          <cell r="A1878" t="str">
            <v>TEC EN RADIOCOMUNICACIONES AERON. JEFE</v>
          </cell>
        </row>
        <row r="1879">
          <cell r="A1879" t="str">
            <v>TEC. EN DOTACION DE EQUIPOS DE HOSPITAL</v>
          </cell>
        </row>
        <row r="1880">
          <cell r="A1880" t="str">
            <v>TEC. EN FABRICACION DE CUCHILLAS DE DIAM</v>
          </cell>
        </row>
        <row r="1881">
          <cell r="A1881" t="str">
            <v>TEC. EN RADIOCOMUNICACIONES AER.JEFE II</v>
          </cell>
        </row>
        <row r="1882">
          <cell r="A1882" t="str">
            <v>TEC. EN RADIOCOMUNICACIONES AERON. I</v>
          </cell>
        </row>
        <row r="1883">
          <cell r="A1883" t="str">
            <v>TEC. EN RADIOCOMUNICACIONES AERONA. II</v>
          </cell>
        </row>
        <row r="1884">
          <cell r="A1884" t="str">
            <v>TEC. EN RADIOCOMUNICACIONES AERONAU. IV</v>
          </cell>
        </row>
        <row r="1885">
          <cell r="A1885" t="str">
            <v>TEC. EN RADIOCOMUNICACIONES AERONAU. V</v>
          </cell>
        </row>
        <row r="1886">
          <cell r="A1886" t="str">
            <v>TEC. EN RADIOCOMUNICACIONES AERONAU. VI</v>
          </cell>
        </row>
        <row r="1887">
          <cell r="A1887" t="str">
            <v>TEC. EN RADIOCOMUNICAICONES AERONA. III</v>
          </cell>
        </row>
        <row r="1888">
          <cell r="A1888" t="str">
            <v>TEC. FABRICACION CUCHILLA DIAMANTE IV</v>
          </cell>
        </row>
        <row r="1889">
          <cell r="A1889" t="str">
            <v>TEC. FABRICACION CUCHILLAS DIAMANTES II</v>
          </cell>
        </row>
        <row r="1890">
          <cell r="A1890" t="str">
            <v>TEC. FABRICACION CUCHILLAS DIAMANTES III</v>
          </cell>
        </row>
        <row r="1891">
          <cell r="A1891" t="str">
            <v>TECNICO AERNAUTICO II</v>
          </cell>
        </row>
        <row r="1892">
          <cell r="A1892" t="str">
            <v>TECNICO AERONAUTICO I</v>
          </cell>
        </row>
        <row r="1893">
          <cell r="A1893" t="str">
            <v>TECNICO AERONAUTICO JEFE</v>
          </cell>
        </row>
        <row r="1894">
          <cell r="A1894" t="str">
            <v>TECNICO AGROPECUARIO I</v>
          </cell>
        </row>
        <row r="1895">
          <cell r="A1895" t="str">
            <v>TECNICO AGROPECUARIO II</v>
          </cell>
        </row>
        <row r="1896">
          <cell r="A1896" t="str">
            <v>TECNICO AGROPECUARIO III</v>
          </cell>
        </row>
        <row r="1897">
          <cell r="A1897" t="str">
            <v>TECNICO AGROPECUARIO IV</v>
          </cell>
        </row>
        <row r="1898">
          <cell r="A1898" t="str">
            <v>TECNICO AGROPECUARIO JEFE</v>
          </cell>
        </row>
        <row r="1899">
          <cell r="A1899" t="str">
            <v>TECNICO ARANCELARIO I</v>
          </cell>
        </row>
        <row r="1900">
          <cell r="A1900" t="str">
            <v>TECNICO ARANCELARIO JEFE</v>
          </cell>
        </row>
        <row r="1901">
          <cell r="A1901" t="str">
            <v>TECNICO ARANGELARIO II</v>
          </cell>
        </row>
        <row r="1902">
          <cell r="A1902" t="str">
            <v>TECNICO DE ASTILLEROS</v>
          </cell>
        </row>
        <row r="1903">
          <cell r="A1903" t="str">
            <v>TECNICO DE BALIZAMIENTO</v>
          </cell>
        </row>
        <row r="1904">
          <cell r="A1904" t="str">
            <v>TECNICO DE BALIZAMIENTO JEFE</v>
          </cell>
        </row>
        <row r="1905">
          <cell r="A1905" t="str">
            <v>TECNICO DE EQUIPOS MEDICOS I</v>
          </cell>
        </row>
        <row r="1906">
          <cell r="A1906" t="str">
            <v>TECNICO DE EQUIPOS MEDICOS II</v>
          </cell>
        </row>
        <row r="1907">
          <cell r="A1907" t="str">
            <v>TECNICO DE EQUIPOS MEDICOS III</v>
          </cell>
        </row>
        <row r="1908">
          <cell r="A1908" t="str">
            <v>TECNICO DE IDENTIDICACION I</v>
          </cell>
        </row>
        <row r="1909">
          <cell r="A1909" t="str">
            <v>TECNICO DE IDENTIFICACION II</v>
          </cell>
        </row>
        <row r="1910">
          <cell r="A1910" t="str">
            <v>TECNICO DE IDENTIFICACION III</v>
          </cell>
        </row>
        <row r="1911">
          <cell r="A1911" t="str">
            <v>TECNICO DE REGISTRO Y EST. DE SALUD I</v>
          </cell>
        </row>
        <row r="1912">
          <cell r="A1912" t="str">
            <v>TECNICO DE REGISTRO Y EST. DE SALUD II</v>
          </cell>
        </row>
        <row r="1913">
          <cell r="A1913" t="str">
            <v>TECNICO DE REGISTRO Y ESTAD DE SALUD III</v>
          </cell>
        </row>
        <row r="1914">
          <cell r="A1914" t="str">
            <v>TECNICO DE REGISTRO Y ESTAD DE SALUD IV</v>
          </cell>
        </row>
        <row r="1915">
          <cell r="A1915" t="str">
            <v>TECNICO DE REPARACION Y MANTENIMIENTO I</v>
          </cell>
        </row>
        <row r="1916">
          <cell r="A1916" t="str">
            <v>TECNICO DE REPARACION Y MANTENIMIENTO II</v>
          </cell>
        </row>
        <row r="1917">
          <cell r="A1917" t="str">
            <v>TECNICO DE REPARACION Y MANTENIMIENTO III</v>
          </cell>
        </row>
        <row r="1918">
          <cell r="A1918" t="str">
            <v>TECNICO EN AGROALIMENTARIA</v>
          </cell>
        </row>
        <row r="1919">
          <cell r="A1919" t="str">
            <v>TECNICO EN DRAGADO I</v>
          </cell>
        </row>
        <row r="1920">
          <cell r="A1920" t="str">
            <v>TECNICO EN DRAGADO II</v>
          </cell>
        </row>
        <row r="1921">
          <cell r="A1921" t="str">
            <v>TECNICO EN DRAGADO III</v>
          </cell>
        </row>
        <row r="1922">
          <cell r="A1922" t="str">
            <v>TECNICO EN GEOLOGIA Y MINAS I</v>
          </cell>
        </row>
        <row r="1923">
          <cell r="A1923" t="str">
            <v>TECNICO EN GEOLOGIA Y MINAS II</v>
          </cell>
        </row>
        <row r="1924">
          <cell r="A1924" t="str">
            <v>TECNICO EN GEOLOGIA Y MINAS III</v>
          </cell>
        </row>
        <row r="1925">
          <cell r="A1925" t="str">
            <v>TECNICO EN GERONTOLOGIA</v>
          </cell>
        </row>
        <row r="1926">
          <cell r="A1926" t="str">
            <v>TECNICO EN INFORMACION AERONAUTICA I</v>
          </cell>
        </row>
        <row r="1927">
          <cell r="A1927" t="str">
            <v>TECNICO EN INFORMACION AERONAUTICA II</v>
          </cell>
        </row>
        <row r="1928">
          <cell r="A1928" t="str">
            <v>TECNICO EN INFORMACION AERONAUTICA III</v>
          </cell>
        </row>
        <row r="1929">
          <cell r="A1929" t="str">
            <v>TECNICO EN INFORMACION AERONAUTICA IV</v>
          </cell>
        </row>
        <row r="1930">
          <cell r="A1930" t="str">
            <v>TECNICO EN INFORMACION AERONAUTICA JEFE</v>
          </cell>
        </row>
        <row r="1931">
          <cell r="A1931" t="str">
            <v>TECNICO EN INFORMACION AERONAUTICA V</v>
          </cell>
        </row>
        <row r="1932">
          <cell r="A1932" t="str">
            <v>TECNICO EN METROLOGIA I</v>
          </cell>
        </row>
        <row r="1933">
          <cell r="A1933" t="str">
            <v>TECNICO EN METROLOGIA II</v>
          </cell>
        </row>
        <row r="1934">
          <cell r="A1934" t="str">
            <v>TECNICO EN METROLOGIA III</v>
          </cell>
        </row>
        <row r="1935">
          <cell r="A1935" t="str">
            <v>TECNICO EN ORTEIS Y/O PROTESIS</v>
          </cell>
        </row>
        <row r="1936">
          <cell r="A1936" t="str">
            <v>TECNICO EN PETROLEO I</v>
          </cell>
        </row>
        <row r="1937">
          <cell r="A1937" t="str">
            <v>TECNICO EN PETROLEO II</v>
          </cell>
        </row>
        <row r="1938">
          <cell r="A1938" t="str">
            <v>TECNICO EN PETROLEO III</v>
          </cell>
        </row>
        <row r="1939">
          <cell r="A1939" t="str">
            <v>TECNICO EN TELECOMUNICACIONES I</v>
          </cell>
        </row>
        <row r="1940">
          <cell r="A1940" t="str">
            <v>TECNICO EN TELECOMUNICACIONES II</v>
          </cell>
        </row>
        <row r="1941">
          <cell r="A1941" t="str">
            <v>TECNICO EN TELECOMUNICACIONES III</v>
          </cell>
        </row>
        <row r="1942">
          <cell r="A1942" t="str">
            <v>TECNICO EN TELECOMUNICACIONES IV</v>
          </cell>
        </row>
        <row r="1943">
          <cell r="A1943" t="str">
            <v>TECNICO EN TELECOMUNICACIONES JEFE I</v>
          </cell>
        </row>
        <row r="1944">
          <cell r="A1944" t="str">
            <v>TECNICO EN TELECOMUNICACIONES JEFE II</v>
          </cell>
        </row>
        <row r="1945">
          <cell r="A1945" t="str">
            <v>TECNICO EN TELECOMUNICACIONES JEFE III</v>
          </cell>
        </row>
        <row r="1946">
          <cell r="A1946" t="str">
            <v>TECNICO EN TELECOMUNICACIONES V</v>
          </cell>
        </row>
        <row r="1947">
          <cell r="A1947" t="str">
            <v>TECNICO EN TELECOMUNICACIONES VI</v>
          </cell>
        </row>
        <row r="1948">
          <cell r="A1948" t="str">
            <v>TECNICO HISTOLOGO</v>
          </cell>
        </row>
        <row r="1949">
          <cell r="A1949" t="str">
            <v>TECNICO NORMALIZADOR I</v>
          </cell>
        </row>
        <row r="1950">
          <cell r="A1950" t="str">
            <v>TECNICO NORMALIZADOR II</v>
          </cell>
        </row>
        <row r="1951">
          <cell r="A1951" t="str">
            <v>TECNICO NORMALIZADOR III</v>
          </cell>
        </row>
        <row r="1952">
          <cell r="A1952" t="str">
            <v>TECNICO PORTUARIO I</v>
          </cell>
        </row>
        <row r="1953">
          <cell r="A1953" t="str">
            <v>TECNICO PORTUARIO II</v>
          </cell>
        </row>
        <row r="1954">
          <cell r="A1954" t="str">
            <v>TECNICO PORTUARIO JEFE</v>
          </cell>
        </row>
        <row r="1955">
          <cell r="A1955" t="str">
            <v>TECNICO QUIMICO I</v>
          </cell>
        </row>
        <row r="1956">
          <cell r="A1956" t="str">
            <v>TECNICO QUIMICO II</v>
          </cell>
        </row>
        <row r="1957">
          <cell r="A1957" t="str">
            <v>TECNICO QUIMICO III</v>
          </cell>
        </row>
        <row r="1958">
          <cell r="A1958" t="str">
            <v>TECNICO QUIMICO IV</v>
          </cell>
        </row>
        <row r="1959">
          <cell r="A1959" t="str">
            <v>TECNICO RADIOLOGO I</v>
          </cell>
        </row>
        <row r="1960">
          <cell r="A1960" t="str">
            <v>TECNICO RADIOLOGO II</v>
          </cell>
        </row>
        <row r="1961">
          <cell r="A1961" t="str">
            <v>TECNICO RADIOLOGO III</v>
          </cell>
        </row>
        <row r="1962">
          <cell r="A1962" t="str">
            <v>TECNICO SUPERIOR AGRICULTOR</v>
          </cell>
        </row>
        <row r="1963">
          <cell r="A1963" t="str">
            <v>TECNICO SUPERIOR EN TRABAJO SOCIAL I</v>
          </cell>
        </row>
        <row r="1964">
          <cell r="A1964" t="str">
            <v>TECNICO SUPERIOR EN TRABAJO SOCIAL II</v>
          </cell>
        </row>
        <row r="1965">
          <cell r="A1965" t="str">
            <v>TECNICO SUPERIOR III 77 TID</v>
          </cell>
        </row>
        <row r="1966">
          <cell r="A1966" t="str">
            <v>TECNICO SUPERIOR PESQUERO</v>
          </cell>
        </row>
        <row r="1967">
          <cell r="A1967" t="str">
            <v>TECNICO VALORADOR I</v>
          </cell>
        </row>
        <row r="1968">
          <cell r="A1968" t="str">
            <v>TECNICO VALORADOR II</v>
          </cell>
        </row>
        <row r="1969">
          <cell r="A1969" t="str">
            <v>TECNICO VALORADOR III</v>
          </cell>
        </row>
        <row r="1970">
          <cell r="A1970" t="str">
            <v>TECNICO VALORADOR JEFE</v>
          </cell>
        </row>
        <row r="1971">
          <cell r="A1971" t="str">
            <v>TELEFONISTA</v>
          </cell>
        </row>
        <row r="1972">
          <cell r="A1972" t="str">
            <v>TENIENTE (BOMBERO)</v>
          </cell>
        </row>
        <row r="1973">
          <cell r="A1973" t="str">
            <v>TENIENTE CORONEL (BOMBERO)</v>
          </cell>
        </row>
        <row r="1974">
          <cell r="A1974" t="str">
            <v>TERAPEUTA OCUPACIONAL I</v>
          </cell>
        </row>
        <row r="1975">
          <cell r="A1975" t="str">
            <v>TERAPEUTA OCUPACIONAL II</v>
          </cell>
        </row>
        <row r="1976">
          <cell r="A1976" t="str">
            <v>TERAPEUTA OCUPACIONAL III</v>
          </cell>
        </row>
        <row r="1977">
          <cell r="A1977" t="str">
            <v>TERAPEUTA OCUPACIONAL IV</v>
          </cell>
        </row>
        <row r="1978">
          <cell r="A1978" t="str">
            <v>TERAPISTA DE LENGUAJE I</v>
          </cell>
        </row>
        <row r="1979">
          <cell r="A1979" t="str">
            <v>TERAPISTA DE LENGUAJE II</v>
          </cell>
        </row>
        <row r="1980">
          <cell r="A1980" t="str">
            <v>TESORERO(A) GENERAL DEL ESTADO</v>
          </cell>
        </row>
        <row r="1981">
          <cell r="A1981" t="str">
            <v>TIMBAL 1</v>
          </cell>
        </row>
        <row r="1982">
          <cell r="A1982" t="str">
            <v>TOPOGRAFO CARTOGRAFICO I</v>
          </cell>
        </row>
        <row r="1983">
          <cell r="A1983" t="str">
            <v>TOPOGRAFO CARTOGRAFICO II</v>
          </cell>
        </row>
        <row r="1984">
          <cell r="A1984" t="str">
            <v>TOPOGRAFO CARTOGRAFICO JEFE</v>
          </cell>
        </row>
        <row r="1985">
          <cell r="A1985" t="str">
            <v>TOPOGRAFO I</v>
          </cell>
        </row>
        <row r="1986">
          <cell r="A1986" t="str">
            <v>TOPOGRAFO II</v>
          </cell>
        </row>
        <row r="1987">
          <cell r="A1987" t="str">
            <v>TRABAJADOR SOCIAL I</v>
          </cell>
        </row>
        <row r="1988">
          <cell r="A1988" t="str">
            <v>TRABAJADOR SOCIAL II</v>
          </cell>
        </row>
        <row r="1989">
          <cell r="A1989" t="str">
            <v>TRABAJADOR SOCIAL III</v>
          </cell>
        </row>
        <row r="1990">
          <cell r="A1990" t="str">
            <v>TRABAJADOR SOCIAL IV</v>
          </cell>
        </row>
        <row r="1991">
          <cell r="A1991" t="str">
            <v>TRADUCTOR I</v>
          </cell>
        </row>
        <row r="1992">
          <cell r="A1992" t="str">
            <v>TRADUCTOR II</v>
          </cell>
        </row>
        <row r="1993">
          <cell r="A1993" t="str">
            <v>TRADUCTOR III</v>
          </cell>
        </row>
        <row r="1994">
          <cell r="A1994" t="str">
            <v>TRADUCTOR MULTILINGUE II</v>
          </cell>
        </row>
        <row r="1995">
          <cell r="A1995" t="str">
            <v>TRADUCTOR MULTILUNGUE I</v>
          </cell>
        </row>
        <row r="1996">
          <cell r="A1996" t="str">
            <v>TRAMITADOR DE ASUNTOS DE ADUANA I</v>
          </cell>
        </row>
        <row r="1997">
          <cell r="A1997" t="str">
            <v>TRAMITADOR DE ASUNTOS DE ADUANA II</v>
          </cell>
        </row>
        <row r="1998">
          <cell r="A1998" t="str">
            <v>TRAMITADOR DE ASUNTOS DE ADUANA JEFE</v>
          </cell>
        </row>
        <row r="1999">
          <cell r="A1999" t="str">
            <v>TROMBON 1</v>
          </cell>
        </row>
        <row r="2000">
          <cell r="A2000" t="str">
            <v>TROMBON 2</v>
          </cell>
        </row>
        <row r="2001">
          <cell r="A2001" t="str">
            <v>TROMBON 3</v>
          </cell>
        </row>
        <row r="2002">
          <cell r="A2002" t="str">
            <v>TROMPETA 1</v>
          </cell>
        </row>
        <row r="2003">
          <cell r="A2003" t="str">
            <v>TROMPETA 2</v>
          </cell>
        </row>
        <row r="2004">
          <cell r="A2004" t="str">
            <v>TROMPETA 3</v>
          </cell>
        </row>
        <row r="2005">
          <cell r="A2005" t="str">
            <v>TROMPETA SOLISTA</v>
          </cell>
        </row>
        <row r="2006">
          <cell r="A2006" t="str">
            <v>TUBA 1</v>
          </cell>
        </row>
        <row r="2007">
          <cell r="A2007" t="str">
            <v>TUBA 2</v>
          </cell>
        </row>
        <row r="2008">
          <cell r="A2008" t="str">
            <v>TUTOR FACILITADOR I</v>
          </cell>
        </row>
        <row r="2009">
          <cell r="A2009" t="str">
            <v>TUTOR FACILITADOR II</v>
          </cell>
        </row>
        <row r="2010">
          <cell r="A2010" t="str">
            <v>TUTOR FACILITADOR III</v>
          </cell>
        </row>
        <row r="2011">
          <cell r="A2011" t="str">
            <v>URBANISTA I</v>
          </cell>
        </row>
        <row r="2012">
          <cell r="A2012" t="str">
            <v>URBANISTA II</v>
          </cell>
        </row>
        <row r="2013">
          <cell r="A2013" t="str">
            <v>URBANISTA III</v>
          </cell>
        </row>
        <row r="2014">
          <cell r="A2014" t="str">
            <v>URBANISTA JEFE</v>
          </cell>
        </row>
        <row r="2015">
          <cell r="A2015" t="str">
            <v>VICEPRESIDENTE</v>
          </cell>
        </row>
        <row r="2016">
          <cell r="A2016" t="str">
            <v>VIOLA</v>
          </cell>
        </row>
        <row r="2017">
          <cell r="A2017" t="str">
            <v>VIOLIN</v>
          </cell>
        </row>
        <row r="2018">
          <cell r="A2018" t="str">
            <v>VIOLIN 1</v>
          </cell>
        </row>
        <row r="2019">
          <cell r="A2019" t="str">
            <v>VIOLINCILLO</v>
          </cell>
        </row>
        <row r="2020">
          <cell r="A2020" t="str">
            <v>VIOLONCELLO</v>
          </cell>
        </row>
        <row r="2021">
          <cell r="A2021" t="str">
            <v>VIOLONCHELO</v>
          </cell>
        </row>
        <row r="2022">
          <cell r="A2022" t="str">
            <v>ZOOLOGO I</v>
          </cell>
        </row>
        <row r="2023">
          <cell r="A2023" t="str">
            <v>ZOOLOGO II</v>
          </cell>
        </row>
        <row r="2024">
          <cell r="A2024" t="str">
            <v>ZOOTECNISTA I</v>
          </cell>
        </row>
        <row r="2025">
          <cell r="A2025" t="str">
            <v>ZOOTECNISTA II</v>
          </cell>
        </row>
        <row r="2026">
          <cell r="A2026" t="str">
            <v>ZOOTECNISTA III</v>
          </cell>
        </row>
        <row r="2027">
          <cell r="A2027" t="str">
            <v>ZOOTECNISTA IV</v>
          </cell>
        </row>
        <row r="2028">
          <cell r="A2028" t="str">
            <v>ZOOTECNISTA JEFE</v>
          </cell>
        </row>
        <row r="2029">
          <cell r="A2029" t="str">
            <v>ZOOTECNISTA V</v>
          </cell>
        </row>
        <row r="2030">
          <cell r="A2030">
            <v>0</v>
          </cell>
        </row>
        <row r="2031">
          <cell r="A2031" t="str">
            <v>ACARREADOR</v>
          </cell>
        </row>
        <row r="2032">
          <cell r="A2032" t="str">
            <v>ALBAÑIL</v>
          </cell>
        </row>
        <row r="2033">
          <cell r="A2033" t="str">
            <v>ARMADOR DE PUERTOS</v>
          </cell>
        </row>
        <row r="2034">
          <cell r="A2034" t="str">
            <v>ASCENSORISTA</v>
          </cell>
        </row>
        <row r="2035">
          <cell r="A2035" t="str">
            <v>ASEADOR</v>
          </cell>
        </row>
        <row r="2036">
          <cell r="A2036" t="str">
            <v>ASEADOR AREAS PUBLICAS</v>
          </cell>
        </row>
        <row r="2037">
          <cell r="A2037" t="str">
            <v>ASEADOR DE MATERIALES DE LABORATORIO</v>
          </cell>
        </row>
        <row r="2038">
          <cell r="A2038" t="str">
            <v>AUXILIAR DE AUTOPSIA</v>
          </cell>
        </row>
        <row r="2039">
          <cell r="A2039" t="str">
            <v>AUXILIAR DE CRISTALERIA</v>
          </cell>
        </row>
        <row r="2040">
          <cell r="A2040" t="str">
            <v>AUXILIAR DE ENFERMERIA</v>
          </cell>
        </row>
        <row r="2041">
          <cell r="A2041" t="str">
            <v>AUXILIAR DE FARMACIA</v>
          </cell>
        </row>
        <row r="2042">
          <cell r="A2042" t="str">
            <v>AUXILIAR DE LABORATORIO</v>
          </cell>
        </row>
        <row r="2043">
          <cell r="A2043" t="str">
            <v>AUXILIAR DE MEZCLAS PRODUCTOS FARMACEUTICOS</v>
          </cell>
        </row>
        <row r="2044">
          <cell r="A2044" t="str">
            <v>AUXILIAR DE NUTRICION</v>
          </cell>
        </row>
        <row r="2045">
          <cell r="A2045" t="str">
            <v>AUXILIAR DE ODONTOLOGIA</v>
          </cell>
        </row>
        <row r="2046">
          <cell r="A2046" t="str">
            <v>AUXILIAR DE PRUEBAS PRODUCTOS FARMACEUTICOS</v>
          </cell>
        </row>
        <row r="2047">
          <cell r="A2047" t="str">
            <v>AUXILIAR DE RAYOS X</v>
          </cell>
        </row>
        <row r="2048">
          <cell r="A2048" t="str">
            <v>AUXILIAR DE SERVICIOS DE OFICINA</v>
          </cell>
        </row>
        <row r="2049">
          <cell r="A2049" t="str">
            <v>AUXILIAR DE SERVICIOS DE TREN</v>
          </cell>
        </row>
        <row r="2050">
          <cell r="A2050" t="str">
            <v>AUXILIAR DE TELECOMUNICACIONES</v>
          </cell>
        </row>
        <row r="2051">
          <cell r="A2051" t="str">
            <v>AUXILIAR DE VETERINARIA</v>
          </cell>
        </row>
        <row r="2052">
          <cell r="A2052" t="str">
            <v>AYUDANTE AGROPECUARIO</v>
          </cell>
        </row>
        <row r="2053">
          <cell r="A2053" t="str">
            <v>AYUDANTE BARMAN</v>
          </cell>
        </row>
        <row r="2054">
          <cell r="A2054" t="str">
            <v>AYUDANTE DE ALBAÑIL</v>
          </cell>
        </row>
        <row r="2055">
          <cell r="A2055" t="str">
            <v>AYUDANTE DE ALMACEN</v>
          </cell>
        </row>
        <row r="2056">
          <cell r="A2056" t="str">
            <v>AYUDANTE DE ARTES GRAFICAS</v>
          </cell>
        </row>
        <row r="2057">
          <cell r="A2057" t="str">
            <v>AYUDANTE DE AULA</v>
          </cell>
        </row>
        <row r="2058">
          <cell r="A2058" t="str">
            <v>AYUDANTE DE CARGA</v>
          </cell>
        </row>
        <row r="2059">
          <cell r="A2059" t="str">
            <v>AYUDANTE DE CARPINTERIA</v>
          </cell>
        </row>
        <row r="2060">
          <cell r="A2060" t="str">
            <v>AYUDANTE DE COSTURA</v>
          </cell>
        </row>
        <row r="2061">
          <cell r="A2061" t="str">
            <v>AYUDANTE DE INSTALADOR DE ANTENA</v>
          </cell>
        </row>
        <row r="2062">
          <cell r="A2062" t="str">
            <v>AYUDANTE DE LABORATORIO GEONALITICO</v>
          </cell>
        </row>
        <row r="2063">
          <cell r="A2063" t="str">
            <v>AYUDANTE DE MAQUINARIA</v>
          </cell>
        </row>
        <row r="2064">
          <cell r="A2064" t="str">
            <v>AYUDANTE DE MECANICO</v>
          </cell>
        </row>
        <row r="2065">
          <cell r="A2065" t="str">
            <v>AYUDANTE DE OPERACIONES FERROVIARIAS</v>
          </cell>
        </row>
        <row r="2066">
          <cell r="A2066" t="str">
            <v>AYUDANTE DE PANADEROS Y PASTELERO</v>
          </cell>
        </row>
        <row r="2067">
          <cell r="A2067" t="str">
            <v>AYUDANTE DE SERV. DE PUERTO Y AEROPUERTO</v>
          </cell>
        </row>
        <row r="2068">
          <cell r="A2068" t="str">
            <v>AYUDANTE DE SERVICIOS DE COCINA</v>
          </cell>
        </row>
        <row r="2069">
          <cell r="A2069" t="str">
            <v>AYUDANTE DE SERVICIOS GENERALES</v>
          </cell>
        </row>
        <row r="2070">
          <cell r="A2070" t="str">
            <v>AYUDANTE DE TOPOGRAFIA</v>
          </cell>
        </row>
        <row r="2071">
          <cell r="A2071" t="str">
            <v>AYUDANTE INSPECTOR</v>
          </cell>
        </row>
        <row r="2072">
          <cell r="A2072" t="str">
            <v>AYUDANTE MANTENIMIENTO DE VIAS TERRESTRE</v>
          </cell>
        </row>
        <row r="2073">
          <cell r="A2073" t="str">
            <v>AYUDANTE MANTENIMIENTO VIAS FERROVIARIAS</v>
          </cell>
        </row>
        <row r="2074">
          <cell r="A2074" t="str">
            <v>AYUDANTE POSTAL TELEGRAFICO</v>
          </cell>
        </row>
        <row r="2075">
          <cell r="A2075" t="str">
            <v>BARBERO</v>
          </cell>
        </row>
        <row r="2076">
          <cell r="A2076" t="str">
            <v>BARMAN</v>
          </cell>
        </row>
        <row r="2077">
          <cell r="A2077" t="str">
            <v>BOTONES</v>
          </cell>
        </row>
        <row r="2078">
          <cell r="A2078" t="str">
            <v>BUZO</v>
          </cell>
        </row>
        <row r="2079">
          <cell r="A2079" t="str">
            <v>CAJISTA</v>
          </cell>
        </row>
        <row r="2080">
          <cell r="A2080" t="str">
            <v>CAMARERA</v>
          </cell>
        </row>
        <row r="2081">
          <cell r="A2081" t="str">
            <v>CAMILLERO</v>
          </cell>
        </row>
        <row r="2082">
          <cell r="A2082" t="str">
            <v>CAPITAN DE MESONEROS</v>
          </cell>
        </row>
        <row r="2083">
          <cell r="A2083" t="str">
            <v>CAPORAL DE EQUIPOS</v>
          </cell>
        </row>
        <row r="2084">
          <cell r="A2084" t="str">
            <v>CARNICERO</v>
          </cell>
        </row>
        <row r="2085">
          <cell r="A2085" t="str">
            <v>CARPINTERO</v>
          </cell>
        </row>
        <row r="2086">
          <cell r="A2086" t="str">
            <v>CERRAJERO</v>
          </cell>
        </row>
        <row r="2087">
          <cell r="A2087" t="str">
            <v>CHOFER</v>
          </cell>
        </row>
        <row r="2088">
          <cell r="A2088" t="str">
            <v>CHOFER DE CARGA</v>
          </cell>
        </row>
        <row r="2089">
          <cell r="A2089" t="str">
            <v>CHOFER DE CISTERNA</v>
          </cell>
        </row>
        <row r="2090">
          <cell r="A2090" t="str">
            <v>CHOFER DE TRANSPORTE</v>
          </cell>
        </row>
        <row r="2091">
          <cell r="A2091" t="str">
            <v>CLASIFICADOR DE FRUTOS</v>
          </cell>
        </row>
        <row r="2092">
          <cell r="A2092" t="str">
            <v>CLASIFICADOS POSTAL TELEGRAFICO</v>
          </cell>
        </row>
        <row r="2093">
          <cell r="A2093" t="str">
            <v>COCINERO</v>
          </cell>
        </row>
        <row r="2094">
          <cell r="A2094" t="str">
            <v>CONSERJE</v>
          </cell>
        </row>
        <row r="2095">
          <cell r="A2095" t="str">
            <v>CONTRAMAESTRE</v>
          </cell>
        </row>
        <row r="2096">
          <cell r="A2096" t="str">
            <v>CONTROL ASIST, MEDICAS</v>
          </cell>
        </row>
        <row r="2097">
          <cell r="A2097" t="str">
            <v>COORDINADOR DE MAQUINARIA PESADA</v>
          </cell>
        </row>
        <row r="2098">
          <cell r="A2098" t="str">
            <v>COSTURERA</v>
          </cell>
        </row>
        <row r="2099">
          <cell r="A2099" t="str">
            <v>CUIDADOR DE ANIMALES</v>
          </cell>
        </row>
        <row r="2100">
          <cell r="A2100" t="str">
            <v>DEPOSITARIO</v>
          </cell>
        </row>
        <row r="2101">
          <cell r="A2101" t="str">
            <v>DESPACHADOR DE COMBUSTIBLE</v>
          </cell>
        </row>
        <row r="2102">
          <cell r="A2102" t="str">
            <v>DESPACHADOR DE MERCANCIA</v>
          </cell>
        </row>
        <row r="2103">
          <cell r="A2103" t="str">
            <v>DESPENSERO</v>
          </cell>
        </row>
        <row r="2104">
          <cell r="A2104" t="str">
            <v>ELECTRICISTA DE ALTA TENSION</v>
          </cell>
        </row>
        <row r="2105">
          <cell r="A2105" t="str">
            <v>ELECTROMECANICO</v>
          </cell>
        </row>
        <row r="2106">
          <cell r="A2106" t="str">
            <v>EMBALADOR</v>
          </cell>
        </row>
        <row r="2107">
          <cell r="A2107" t="str">
            <v>ESCOLTA</v>
          </cell>
        </row>
        <row r="2108">
          <cell r="A2108" t="str">
            <v>ESPESORISTA</v>
          </cell>
        </row>
        <row r="2109">
          <cell r="A2109" t="str">
            <v>FISCAL DE MATADERO</v>
          </cell>
        </row>
        <row r="2110">
          <cell r="A2110" t="str">
            <v>FISCAL I  (OBREROS)</v>
          </cell>
        </row>
        <row r="2111">
          <cell r="A2111" t="str">
            <v>FISCAL II (OBREROS)</v>
          </cell>
        </row>
        <row r="2112">
          <cell r="A2112" t="str">
            <v>FOTOGRABADOR PLANCHISTA</v>
          </cell>
        </row>
        <row r="2113">
          <cell r="A2113" t="str">
            <v>FUMIGADOR</v>
          </cell>
        </row>
        <row r="2114">
          <cell r="A2114" t="str">
            <v>GUARDA BARRERA</v>
          </cell>
        </row>
        <row r="2115">
          <cell r="A2115" t="str">
            <v>GUARDAPARQUES</v>
          </cell>
        </row>
        <row r="2116">
          <cell r="A2116" t="str">
            <v>GUARDAPARQUEZ</v>
          </cell>
        </row>
        <row r="2117">
          <cell r="A2117" t="str">
            <v>GUIA VACACIONISTA</v>
          </cell>
        </row>
        <row r="2118">
          <cell r="A2118" t="str">
            <v>GUILLOTINERO</v>
          </cell>
        </row>
        <row r="2119">
          <cell r="A2119" t="str">
            <v>HERRERO</v>
          </cell>
        </row>
        <row r="2120">
          <cell r="A2120" t="str">
            <v>INCINERADOR</v>
          </cell>
        </row>
        <row r="2121">
          <cell r="A2121" t="str">
            <v>INSPECTOR AUXILIAR DE OBRAS</v>
          </cell>
        </row>
        <row r="2122">
          <cell r="A2122" t="str">
            <v>INSPECTOR AUXILIAR DE OPERACIONES DE AREAS PUBLICAS</v>
          </cell>
        </row>
        <row r="2123">
          <cell r="A2123" t="str">
            <v>INSTALADOR DE ANTENA</v>
          </cell>
        </row>
        <row r="2124">
          <cell r="A2124" t="str">
            <v>JARDINERO</v>
          </cell>
        </row>
        <row r="2125">
          <cell r="A2125" t="str">
            <v>JEFE DE OBRERO</v>
          </cell>
        </row>
        <row r="2126">
          <cell r="A2126" t="str">
            <v>JEFE DE SERVICIO (SALUD)</v>
          </cell>
        </row>
        <row r="2127">
          <cell r="A2127" t="str">
            <v>LATONERO Y PINTOR</v>
          </cell>
        </row>
        <row r="2128">
          <cell r="A2128" t="str">
            <v>LAVADOR Y ENGRASADOR</v>
          </cell>
        </row>
        <row r="2129">
          <cell r="A2129" t="str">
            <v>LAVANDERO</v>
          </cell>
        </row>
        <row r="2130">
          <cell r="A2130" t="str">
            <v>LENCERO</v>
          </cell>
        </row>
        <row r="2131">
          <cell r="A2131" t="str">
            <v>LINOTIPISTA</v>
          </cell>
        </row>
        <row r="2132">
          <cell r="A2132" t="str">
            <v>MAITRE</v>
          </cell>
        </row>
        <row r="2133">
          <cell r="A2133" t="str">
            <v>MANIPULADOR DE FRUTOS</v>
          </cell>
        </row>
        <row r="2134">
          <cell r="A2134" t="str">
            <v>MAQUINISTA</v>
          </cell>
        </row>
        <row r="2135">
          <cell r="A2135" t="str">
            <v>MARINERO</v>
          </cell>
        </row>
        <row r="2136">
          <cell r="A2136" t="str">
            <v>MECANICO AUTOMOTRIZ</v>
          </cell>
        </row>
        <row r="2137">
          <cell r="A2137" t="str">
            <v>MECANICO DE AVIACION</v>
          </cell>
        </row>
        <row r="2138">
          <cell r="A2138" t="str">
            <v>MECANICO DE BOBLIWG</v>
          </cell>
        </row>
        <row r="2139">
          <cell r="A2139" t="str">
            <v>MECANICO DE BOGIS FERROVIARIO</v>
          </cell>
        </row>
        <row r="2140">
          <cell r="A2140" t="str">
            <v>MECANICO DE MOTO</v>
          </cell>
        </row>
        <row r="2141">
          <cell r="A2141" t="str">
            <v>MECANICO DE MOTORES DIESEL</v>
          </cell>
        </row>
        <row r="2142">
          <cell r="A2142" t="str">
            <v>MECANICO DE REFRIGERACION</v>
          </cell>
        </row>
        <row r="2143">
          <cell r="A2143" t="str">
            <v>MECANICO SISTEMA NEUMATICO FERROVIARIO</v>
          </cell>
        </row>
        <row r="2144">
          <cell r="A2144" t="str">
            <v>MENSAJERO</v>
          </cell>
        </row>
        <row r="2145">
          <cell r="A2145" t="str">
            <v>MENSAJERO MOTORIZADO</v>
          </cell>
        </row>
        <row r="2146">
          <cell r="A2146" t="str">
            <v>MESONERO</v>
          </cell>
        </row>
        <row r="2147">
          <cell r="A2147" t="str">
            <v>MODISTO</v>
          </cell>
        </row>
        <row r="2148">
          <cell r="A2148" t="str">
            <v>NIÑERA</v>
          </cell>
        </row>
        <row r="2149">
          <cell r="A2149" t="str">
            <v>OBRERO DE MANTENIMIENTO</v>
          </cell>
        </row>
        <row r="2150">
          <cell r="A2150" t="str">
            <v>OBRERO NO CLASIFICADO</v>
          </cell>
        </row>
        <row r="2151">
          <cell r="A2151" t="str">
            <v>OPERADOR DE CALDERA</v>
          </cell>
        </row>
        <row r="2152">
          <cell r="A2152" t="str">
            <v>OPERADOR DE MAQUINARIA PESADA</v>
          </cell>
        </row>
        <row r="2153">
          <cell r="A2153" t="str">
            <v>OPERADOR DE PRENSA DE IMPRESION</v>
          </cell>
        </row>
        <row r="2154">
          <cell r="A2154" t="str">
            <v>OPERADOR DE SALAS MOVILES</v>
          </cell>
        </row>
        <row r="2155">
          <cell r="A2155" t="str">
            <v>OPERADOR DE SONIDO</v>
          </cell>
        </row>
        <row r="2156">
          <cell r="A2156" t="str">
            <v>OPERADOR FERROVIARIO DE MANTENIMIENTO</v>
          </cell>
        </row>
        <row r="2157">
          <cell r="A2157" t="str">
            <v>OPERADOR MAQUINARIA DE VIA FERREA</v>
          </cell>
        </row>
        <row r="2158">
          <cell r="A2158" t="str">
            <v>OPERARIO COMPAGINACION Y ENCUADERNACION</v>
          </cell>
        </row>
        <row r="2159">
          <cell r="A2159" t="str">
            <v>OPERARIO DE ACUEDUCTO</v>
          </cell>
        </row>
        <row r="2160">
          <cell r="A2160" t="str">
            <v>OPERARIO DE EQUIPO DE TELECOMUNICACION</v>
          </cell>
        </row>
        <row r="2161">
          <cell r="A2161" t="str">
            <v>OPERARIO DE FARO</v>
          </cell>
        </row>
        <row r="2162">
          <cell r="A2162" t="str">
            <v>OPERARIO DE MAQUINA FOTOCOPIADORA</v>
          </cell>
        </row>
        <row r="2163">
          <cell r="A2163" t="str">
            <v>OPERARIO DE MAQUINA LIVIANA</v>
          </cell>
        </row>
        <row r="2164">
          <cell r="A2164" t="str">
            <v>OPERARIO DE PISCINA</v>
          </cell>
        </row>
        <row r="2165">
          <cell r="A2165" t="str">
            <v>OPERARIO DE PLANTA HIDROELECTRICA</v>
          </cell>
        </row>
        <row r="2166">
          <cell r="A2166" t="str">
            <v>OPERARIO MANTENIMIENTO VIAS TERRESTRES</v>
          </cell>
        </row>
        <row r="2167">
          <cell r="A2167" t="str">
            <v>OPERARIO MAQUINA PRODUCCION FARMACEUTICA</v>
          </cell>
        </row>
        <row r="2168">
          <cell r="A2168" t="str">
            <v>PAGADOR</v>
          </cell>
        </row>
        <row r="2169">
          <cell r="A2169" t="str">
            <v>PANADERO</v>
          </cell>
        </row>
        <row r="2170">
          <cell r="A2170" t="str">
            <v>PASTELERO</v>
          </cell>
        </row>
        <row r="2171">
          <cell r="A2171" t="str">
            <v>PESCADOR</v>
          </cell>
        </row>
        <row r="2172">
          <cell r="A2172" t="str">
            <v>PINTOR</v>
          </cell>
        </row>
        <row r="2173">
          <cell r="A2173" t="str">
            <v>PLANCHADOR</v>
          </cell>
        </row>
        <row r="2174">
          <cell r="A2174" t="str">
            <v>PLOMERO</v>
          </cell>
        </row>
        <row r="2175">
          <cell r="A2175" t="str">
            <v>PORTERO</v>
          </cell>
        </row>
        <row r="2176">
          <cell r="A2176" t="str">
            <v>PRACTICO FLUVIAL</v>
          </cell>
        </row>
        <row r="2177">
          <cell r="A2177" t="str">
            <v>RAPARADOR DE BICICLETA</v>
          </cell>
        </row>
        <row r="2178">
          <cell r="A2178" t="str">
            <v>RASTRILLERO</v>
          </cell>
        </row>
        <row r="2179">
          <cell r="A2179" t="str">
            <v>RECEPTOR INFORMADOR</v>
          </cell>
        </row>
        <row r="2180">
          <cell r="A2180" t="str">
            <v>REPARADOR DE MQUINA DE OFICINA</v>
          </cell>
        </row>
        <row r="2181">
          <cell r="A2181" t="str">
            <v>REPARADOR DE NEUMATICO</v>
          </cell>
        </row>
        <row r="2182">
          <cell r="A2182" t="str">
            <v>REPARADOR DE PARACAIDAS</v>
          </cell>
        </row>
        <row r="2183">
          <cell r="A2183" t="str">
            <v>REPARADOR DE RADIADOR</v>
          </cell>
        </row>
        <row r="2184">
          <cell r="A2184" t="str">
            <v>REPARTIDOR DE ALIMENTOS</v>
          </cell>
        </row>
        <row r="2185">
          <cell r="A2185" t="str">
            <v>REPARTIDOR POSTAL TELEGRAFICO</v>
          </cell>
        </row>
        <row r="2186">
          <cell r="A2186" t="str">
            <v>SALVAVIDAS</v>
          </cell>
        </row>
        <row r="2187">
          <cell r="A2187" t="str">
            <v>SOLDADOR</v>
          </cell>
        </row>
        <row r="2188">
          <cell r="A2188" t="str">
            <v>SUPERV. MANTENIMIENTO VIAS FERROVIARIA</v>
          </cell>
        </row>
        <row r="2189">
          <cell r="A2189" t="str">
            <v>SUPERVISOR ASISTENCIAL</v>
          </cell>
        </row>
        <row r="2190">
          <cell r="A2190" t="str">
            <v>SUPERVISOR DE ARMADOR DE PUENTES</v>
          </cell>
        </row>
        <row r="2191">
          <cell r="A2191" t="str">
            <v>SUPERVISOR DE ASCENSORISTAS</v>
          </cell>
        </row>
        <row r="2192">
          <cell r="A2192" t="str">
            <v>SUPERVISOR DE AUXILIAR DE VETERINARIA</v>
          </cell>
        </row>
        <row r="2193">
          <cell r="A2193" t="str">
            <v>SUPERVISOR DE CAMARERAS</v>
          </cell>
        </row>
        <row r="2194">
          <cell r="A2194" t="str">
            <v>SUPERVISOR DE CAMIONES CISTERNA</v>
          </cell>
        </row>
        <row r="2195">
          <cell r="A2195" t="str">
            <v>SUPERVISOR DE COCINA</v>
          </cell>
        </row>
        <row r="2196">
          <cell r="A2196" t="str">
            <v>SUPERVISOR DE FUMIGACION</v>
          </cell>
        </row>
        <row r="2197">
          <cell r="A2197" t="str">
            <v>SUPERVISOR DE MANTENIMIENTO DE AREAS PUBLICAS</v>
          </cell>
        </row>
        <row r="2198">
          <cell r="A2198" t="str">
            <v>SUPERVISOR DE MANTENIMIENTO I (OPE)</v>
          </cell>
        </row>
        <row r="2199">
          <cell r="A2199" t="str">
            <v>SUPERVISOR DE PLANTA HIDROELECTRICA</v>
          </cell>
        </row>
        <row r="2200">
          <cell r="A2200" t="str">
            <v>SUPERVISOR DE SEGURIDAD</v>
          </cell>
        </row>
        <row r="2201">
          <cell r="A2201" t="str">
            <v>SUPERVISOR DE SERVICIOS DE REPROD. E IMP</v>
          </cell>
        </row>
        <row r="2202">
          <cell r="A2202" t="str">
            <v>SUPERVISOR DE SERVICIOS ESPECIALIZADOS</v>
          </cell>
        </row>
        <row r="2203">
          <cell r="A2203" t="str">
            <v>SUPERVISOR DE SERVICIOS INTERNOS</v>
          </cell>
        </row>
        <row r="2204">
          <cell r="A2204" t="str">
            <v>SUPERVISOR DE VIGILANCIA</v>
          </cell>
        </row>
        <row r="2205">
          <cell r="A2205" t="str">
            <v>SUPERVISOR DE VIVEROS</v>
          </cell>
        </row>
        <row r="2206">
          <cell r="A2206" t="str">
            <v>SUPERVISOR DE ZONA (OPE)</v>
          </cell>
        </row>
        <row r="2207">
          <cell r="A2207" t="str">
            <v>SUPERVISOR EMPAQUE Y ENVASE PROD. FARM.</v>
          </cell>
        </row>
        <row r="2208">
          <cell r="A2208" t="str">
            <v>SUPERVISOR OPERACIONES FERROVIARIAS</v>
          </cell>
        </row>
        <row r="2209">
          <cell r="A2209" t="str">
            <v>TALABARTERO</v>
          </cell>
        </row>
        <row r="2210">
          <cell r="A2210" t="str">
            <v>TAPICERO</v>
          </cell>
        </row>
        <row r="2211">
          <cell r="A2211" t="str">
            <v>TAQUILLERO</v>
          </cell>
        </row>
        <row r="2212">
          <cell r="A2212" t="str">
            <v>TIMONEL DE EMBARCACION</v>
          </cell>
        </row>
        <row r="2213">
          <cell r="A2213" t="str">
            <v>TORNERO</v>
          </cell>
        </row>
        <row r="2214">
          <cell r="A2214" t="str">
            <v>VIGILANTE</v>
          </cell>
        </row>
        <row r="2215">
          <cell r="A2215" t="str">
            <v>VIGILANTE NOCTURNO</v>
          </cell>
        </row>
        <row r="2216">
          <cell r="A2216" t="str">
            <v>ZAPATERO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NOMINA"/>
      <sheetName val="HIJOS "/>
      <sheetName val="Hoja1"/>
      <sheetName val="CONCEPTOS Y PARAMETROS"/>
      <sheetName val="TAB EMP"/>
      <sheetName val="TAB OBR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RAC"/>
      <sheetName val="CARGOS"/>
      <sheetName val="TAB EMP"/>
      <sheetName val="TAB OBR"/>
      <sheetName val="CONCEPTOS Y PARAMETROS"/>
    </sheetNames>
    <sheetDataSet>
      <sheetData sheetId="0"/>
      <sheetData sheetId="1"/>
      <sheetData sheetId="2">
        <row r="2">
          <cell r="A2" t="str">
            <v>B1</v>
          </cell>
        </row>
        <row r="3">
          <cell r="A3" t="str">
            <v>B2</v>
          </cell>
        </row>
        <row r="4">
          <cell r="A4" t="str">
            <v>B3</v>
          </cell>
        </row>
        <row r="5">
          <cell r="A5" t="str">
            <v>B3I</v>
          </cell>
        </row>
        <row r="6">
          <cell r="A6" t="str">
            <v>B3II</v>
          </cell>
        </row>
        <row r="7">
          <cell r="A7" t="str">
            <v>B3III</v>
          </cell>
        </row>
        <row r="8">
          <cell r="A8" t="str">
            <v>B3IV</v>
          </cell>
        </row>
        <row r="9">
          <cell r="A9" t="str">
            <v>T1</v>
          </cell>
        </row>
        <row r="10">
          <cell r="A10" t="str">
            <v>T2</v>
          </cell>
        </row>
        <row r="11">
          <cell r="A11" t="str">
            <v>T2I</v>
          </cell>
        </row>
        <row r="12">
          <cell r="A12" t="str">
            <v>T2II</v>
          </cell>
        </row>
        <row r="13">
          <cell r="A13" t="str">
            <v>T2III</v>
          </cell>
        </row>
        <row r="14">
          <cell r="A14" t="str">
            <v>T2IV</v>
          </cell>
        </row>
        <row r="15">
          <cell r="A15" t="str">
            <v>T2V</v>
          </cell>
        </row>
        <row r="16">
          <cell r="A16" t="str">
            <v>P1</v>
          </cell>
        </row>
        <row r="17">
          <cell r="A17" t="str">
            <v>P2</v>
          </cell>
        </row>
        <row r="18">
          <cell r="A18" t="str">
            <v>P2I</v>
          </cell>
        </row>
        <row r="19">
          <cell r="A19" t="str">
            <v>P2II</v>
          </cell>
        </row>
        <row r="20">
          <cell r="A20" t="str">
            <v>P2III</v>
          </cell>
        </row>
        <row r="21">
          <cell r="A21" t="str">
            <v>P2IV</v>
          </cell>
        </row>
        <row r="22">
          <cell r="A22" t="str">
            <v>P2V</v>
          </cell>
        </row>
        <row r="23">
          <cell r="A23" t="str">
            <v>P3</v>
          </cell>
        </row>
        <row r="24">
          <cell r="A24" t="str">
            <v>P3I</v>
          </cell>
        </row>
        <row r="25">
          <cell r="A25" t="str">
            <v>P3II</v>
          </cell>
        </row>
        <row r="26">
          <cell r="A26" t="str">
            <v>P3III</v>
          </cell>
        </row>
        <row r="27">
          <cell r="A27" t="str">
            <v>P3IV</v>
          </cell>
        </row>
        <row r="28">
          <cell r="A28" t="str">
            <v>P3V</v>
          </cell>
        </row>
        <row r="29">
          <cell r="A29" t="str">
            <v>P3VI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3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LISTAS"/>
      <sheetName val="lote11"/>
      <sheetName val="gob. de trujillo"/>
    </sheetNames>
    <sheetDataSet>
      <sheetData sheetId="0">
        <row r="1">
          <cell r="A1" t="str">
            <v>TITULO UNIVERSITARIO</v>
          </cell>
        </row>
        <row r="26">
          <cell r="A26" t="str">
            <v xml:space="preserve">ADMINISTRADOR </v>
          </cell>
        </row>
        <row r="27">
          <cell r="A27" t="str">
            <v xml:space="preserve">ESTUDIANTE </v>
          </cell>
        </row>
        <row r="28">
          <cell r="A28" t="str">
            <v xml:space="preserve">INGENIERO </v>
          </cell>
        </row>
        <row r="29">
          <cell r="A29" t="str">
            <v xml:space="preserve">MEDICO </v>
          </cell>
        </row>
        <row r="30">
          <cell r="A30" t="str">
            <v xml:space="preserve">OTROS </v>
          </cell>
        </row>
        <row r="31">
          <cell r="A31" t="str">
            <v>ECONOMISTA</v>
          </cell>
        </row>
        <row r="32">
          <cell r="A32" t="str">
            <v xml:space="preserve">ABOGADO </v>
          </cell>
        </row>
        <row r="33">
          <cell r="A33" t="str">
            <v>ELECTRICISTA</v>
          </cell>
        </row>
        <row r="34">
          <cell r="A34" t="str">
            <v xml:space="preserve">LICENCIADO </v>
          </cell>
        </row>
        <row r="35">
          <cell r="A35" t="str">
            <v xml:space="preserve">MECANICO </v>
          </cell>
        </row>
        <row r="36">
          <cell r="A36" t="str">
            <v xml:space="preserve">SECRETARIA </v>
          </cell>
        </row>
        <row r="37">
          <cell r="A37" t="str">
            <v xml:space="preserve">OFICINISTA </v>
          </cell>
        </row>
        <row r="38">
          <cell r="A38" t="str">
            <v xml:space="preserve">CONTADOR PUBLICO </v>
          </cell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NOMINA"/>
      <sheetName val="HIJOS "/>
      <sheetName val="Hoja1"/>
      <sheetName val="CONCEPTOS Y PARAMETROS"/>
      <sheetName val="TAB EMP"/>
      <sheetName val="TAB OBR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J1" t="str">
            <v>CANT. LUNES-MES</v>
          </cell>
          <cell r="K1">
            <v>0</v>
          </cell>
        </row>
        <row r="2">
          <cell r="J2" t="str">
            <v>MES</v>
          </cell>
          <cell r="K2" t="str">
            <v>MES</v>
          </cell>
        </row>
        <row r="3">
          <cell r="J3" t="str">
            <v>ENERO</v>
          </cell>
          <cell r="K3">
            <v>1</v>
          </cell>
        </row>
        <row r="4">
          <cell r="J4" t="str">
            <v>FEBRERO</v>
          </cell>
          <cell r="K4">
            <v>2</v>
          </cell>
        </row>
        <row r="5">
          <cell r="J5" t="str">
            <v>MARZO</v>
          </cell>
          <cell r="K5">
            <v>3</v>
          </cell>
        </row>
        <row r="6">
          <cell r="J6" t="str">
            <v>ABRIL</v>
          </cell>
          <cell r="K6">
            <v>4</v>
          </cell>
        </row>
        <row r="7">
          <cell r="J7" t="str">
            <v>MAYO</v>
          </cell>
          <cell r="K7">
            <v>5</v>
          </cell>
        </row>
        <row r="8">
          <cell r="J8" t="str">
            <v>JUNIO</v>
          </cell>
          <cell r="K8">
            <v>6</v>
          </cell>
        </row>
        <row r="9">
          <cell r="J9" t="str">
            <v>JULIO</v>
          </cell>
          <cell r="K9">
            <v>7</v>
          </cell>
        </row>
        <row r="10">
          <cell r="J10" t="str">
            <v>AGOSTO</v>
          </cell>
          <cell r="K10">
            <v>8</v>
          </cell>
        </row>
        <row r="11">
          <cell r="J11" t="str">
            <v>SEPTIEMBRE</v>
          </cell>
          <cell r="K11">
            <v>9</v>
          </cell>
        </row>
        <row r="12">
          <cell r="J12" t="str">
            <v>OCTUBRE</v>
          </cell>
          <cell r="K12">
            <v>10</v>
          </cell>
        </row>
        <row r="13">
          <cell r="J13" t="str">
            <v>NOVIEMBRE</v>
          </cell>
          <cell r="K13">
            <v>11</v>
          </cell>
        </row>
        <row r="14">
          <cell r="J14" t="str">
            <v>DICIEMBRE</v>
          </cell>
          <cell r="K14">
            <v>12</v>
          </cell>
        </row>
        <row r="15">
          <cell r="J15">
            <v>0</v>
          </cell>
          <cell r="K15">
            <v>0</v>
          </cell>
        </row>
        <row r="16">
          <cell r="J16">
            <v>0</v>
          </cell>
          <cell r="K16">
            <v>0</v>
          </cell>
        </row>
        <row r="17">
          <cell r="J17">
            <v>0</v>
          </cell>
          <cell r="K17">
            <v>0</v>
          </cell>
        </row>
        <row r="18">
          <cell r="J18">
            <v>0</v>
          </cell>
          <cell r="K18">
            <v>0</v>
          </cell>
        </row>
        <row r="19">
          <cell r="J19">
            <v>0</v>
          </cell>
          <cell r="K19">
            <v>0</v>
          </cell>
        </row>
        <row r="20">
          <cell r="J20">
            <v>0</v>
          </cell>
          <cell r="K20">
            <v>0</v>
          </cell>
        </row>
        <row r="21">
          <cell r="J21">
            <v>0</v>
          </cell>
          <cell r="K21">
            <v>0</v>
          </cell>
        </row>
        <row r="22">
          <cell r="J22">
            <v>0</v>
          </cell>
          <cell r="K22">
            <v>0</v>
          </cell>
        </row>
        <row r="23">
          <cell r="J23">
            <v>0</v>
          </cell>
          <cell r="K23">
            <v>0</v>
          </cell>
        </row>
        <row r="24">
          <cell r="J24">
            <v>0</v>
          </cell>
          <cell r="K24">
            <v>0</v>
          </cell>
        </row>
        <row r="25">
          <cell r="J25">
            <v>0</v>
          </cell>
          <cell r="K25">
            <v>0</v>
          </cell>
        </row>
        <row r="26">
          <cell r="J26">
            <v>0</v>
          </cell>
          <cell r="K26">
            <v>0</v>
          </cell>
        </row>
        <row r="27">
          <cell r="J27">
            <v>0</v>
          </cell>
          <cell r="K27">
            <v>0</v>
          </cell>
        </row>
        <row r="28">
          <cell r="J28">
            <v>0</v>
          </cell>
          <cell r="K28">
            <v>0</v>
          </cell>
        </row>
        <row r="29">
          <cell r="J29">
            <v>0</v>
          </cell>
          <cell r="K29">
            <v>0</v>
          </cell>
        </row>
        <row r="30">
          <cell r="J30">
            <v>0</v>
          </cell>
          <cell r="K30">
            <v>0</v>
          </cell>
        </row>
        <row r="31">
          <cell r="J31">
            <v>0</v>
          </cell>
          <cell r="K31">
            <v>0</v>
          </cell>
        </row>
        <row r="32">
          <cell r="J32">
            <v>0</v>
          </cell>
          <cell r="K32">
            <v>0</v>
          </cell>
        </row>
        <row r="33">
          <cell r="J33">
            <v>0</v>
          </cell>
          <cell r="K33">
            <v>0</v>
          </cell>
        </row>
        <row r="34">
          <cell r="J34">
            <v>0</v>
          </cell>
          <cell r="K34">
            <v>0</v>
          </cell>
        </row>
        <row r="35">
          <cell r="J35">
            <v>0</v>
          </cell>
          <cell r="K35">
            <v>0</v>
          </cell>
        </row>
        <row r="36">
          <cell r="J36">
            <v>0</v>
          </cell>
          <cell r="K36">
            <v>0</v>
          </cell>
        </row>
        <row r="37">
          <cell r="J37">
            <v>0</v>
          </cell>
          <cell r="K37">
            <v>0</v>
          </cell>
        </row>
        <row r="38">
          <cell r="J38">
            <v>0</v>
          </cell>
          <cell r="K38">
            <v>0</v>
          </cell>
        </row>
        <row r="39">
          <cell r="J39">
            <v>0</v>
          </cell>
          <cell r="K39">
            <v>0</v>
          </cell>
        </row>
        <row r="40">
          <cell r="J40">
            <v>0</v>
          </cell>
          <cell r="K40">
            <v>0</v>
          </cell>
        </row>
        <row r="41">
          <cell r="J41">
            <v>0</v>
          </cell>
          <cell r="K41">
            <v>0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427"/>
  <sheetViews>
    <sheetView topLeftCell="A220" zoomScaleSheetLayoutView="85" workbookViewId="0">
      <selection activeCell="D226" sqref="D226"/>
    </sheetView>
  </sheetViews>
  <sheetFormatPr baseColWidth="10" defaultRowHeight="15"/>
  <cols>
    <col min="1" max="1" width="5.140625" style="604" customWidth="1"/>
    <col min="2" max="2" width="11.42578125" style="604"/>
    <col min="3" max="3" width="36.140625" style="604" customWidth="1"/>
    <col min="4" max="4" width="36.7109375" style="604" customWidth="1"/>
    <col min="5" max="5" width="10.85546875" style="604" customWidth="1"/>
    <col min="6" max="6" width="13" style="604" bestFit="1" customWidth="1"/>
    <col min="7" max="7" width="13.42578125" style="604" bestFit="1" customWidth="1"/>
    <col min="8" max="8" width="12.7109375" style="604" bestFit="1" customWidth="1"/>
    <col min="9" max="16384" width="11.42578125" style="604"/>
  </cols>
  <sheetData>
    <row r="1" spans="1:11" ht="15" customHeight="1">
      <c r="A1" s="1719" t="s">
        <v>5829</v>
      </c>
      <c r="B1" s="1719"/>
      <c r="C1" s="1719"/>
      <c r="D1" s="1719"/>
      <c r="E1" s="1719"/>
      <c r="F1" s="1719"/>
      <c r="G1" s="940"/>
    </row>
    <row r="2" spans="1:11" ht="15" customHeight="1">
      <c r="A2" s="1719" t="s">
        <v>5828</v>
      </c>
      <c r="B2" s="1719"/>
      <c r="C2" s="1719"/>
      <c r="D2" s="1719"/>
      <c r="E2" s="1719"/>
      <c r="F2" s="1719"/>
      <c r="G2" s="940"/>
    </row>
    <row r="3" spans="1:11" ht="15" customHeight="1">
      <c r="A3" s="1719" t="s">
        <v>5829</v>
      </c>
      <c r="B3" s="1719"/>
      <c r="C3" s="1719"/>
      <c r="D3" s="1719"/>
      <c r="E3" s="1719"/>
      <c r="F3" s="1719"/>
      <c r="G3" s="940"/>
    </row>
    <row r="4" spans="1:11" ht="15" customHeight="1">
      <c r="A4" s="1719" t="s">
        <v>5830</v>
      </c>
      <c r="B4" s="1719"/>
      <c r="C4" s="1719"/>
      <c r="D4" s="1719"/>
      <c r="E4" s="1719"/>
      <c r="F4" s="1719"/>
      <c r="G4" s="940"/>
    </row>
    <row r="5" spans="1:11" ht="15" customHeight="1">
      <c r="A5" s="1719" t="s">
        <v>5829</v>
      </c>
      <c r="B5" s="1719"/>
      <c r="C5" s="1719"/>
      <c r="D5" s="1719"/>
      <c r="E5" s="1719"/>
      <c r="F5" s="1719"/>
      <c r="G5" s="940"/>
    </row>
    <row r="6" spans="1:11">
      <c r="A6" s="1719" t="s">
        <v>5831</v>
      </c>
      <c r="B6" s="1719"/>
      <c r="C6" s="1719"/>
      <c r="D6" s="1719"/>
      <c r="E6" s="1719"/>
      <c r="F6" s="1719"/>
      <c r="G6" s="940"/>
    </row>
    <row r="8" spans="1:11" ht="20.25" customHeight="1">
      <c r="A8" s="1718" t="s">
        <v>5832</v>
      </c>
      <c r="B8" s="1718"/>
      <c r="C8" s="1718"/>
      <c r="D8" s="1718"/>
      <c r="E8" s="1718"/>
      <c r="F8" s="1718"/>
      <c r="G8" s="939"/>
    </row>
    <row r="9" spans="1:11" ht="18.75" customHeight="1">
      <c r="A9" s="1718" t="str">
        <f>+"Correspondiente al  mes de "&amp;NOMINA!F9&amp;" "&amp;NOMINA!H9</f>
        <v>Correspondiente al  mes de ENERO 2025</v>
      </c>
      <c r="B9" s="1718"/>
      <c r="C9" s="1718"/>
      <c r="D9" s="1718"/>
      <c r="E9" s="1718"/>
      <c r="F9" s="1718"/>
      <c r="G9" s="939"/>
    </row>
    <row r="11" spans="1:11" ht="26.25" thickBot="1">
      <c r="A11" s="947" t="s">
        <v>5571</v>
      </c>
      <c r="B11" s="947" t="s">
        <v>5833</v>
      </c>
      <c r="C11" s="947" t="s">
        <v>5834</v>
      </c>
      <c r="D11" s="947" t="s">
        <v>5835</v>
      </c>
      <c r="E11" s="948" t="s">
        <v>5836</v>
      </c>
      <c r="F11" s="947" t="s">
        <v>5837</v>
      </c>
      <c r="G11" s="605"/>
    </row>
    <row r="12" spans="1:11" ht="25.5" customHeight="1" thickBot="1">
      <c r="A12" s="606" t="s">
        <v>5838</v>
      </c>
      <c r="B12" s="949"/>
      <c r="C12" s="949"/>
      <c r="D12" s="949"/>
      <c r="E12" s="607"/>
      <c r="F12" s="950"/>
      <c r="G12" s="608"/>
      <c r="H12" s="609"/>
      <c r="I12" s="609"/>
      <c r="J12" s="609"/>
      <c r="K12" s="609"/>
    </row>
    <row r="13" spans="1:11" ht="15.75" customHeight="1">
      <c r="A13" s="951">
        <v>1</v>
      </c>
      <c r="B13" s="949">
        <f>+NOMINA!C17</f>
        <v>11894534</v>
      </c>
      <c r="C13" s="949" t="str">
        <f>+NOMINA!D17</f>
        <v>Olmos Rodriguez Eberto de Jesus</v>
      </c>
      <c r="D13" s="949" t="str">
        <f>+NOMINA!O17</f>
        <v>JEFE DE DEPARTAMENTO</v>
      </c>
      <c r="E13" s="952">
        <f>+NOMINA!H17</f>
        <v>40909</v>
      </c>
      <c r="F13" s="953">
        <f>+NOMINA!BT17</f>
        <v>15.04</v>
      </c>
      <c r="G13" s="608"/>
      <c r="H13" s="609"/>
      <c r="I13" s="609"/>
      <c r="J13" s="609"/>
      <c r="K13" s="609"/>
    </row>
    <row r="14" spans="1:11" ht="15.75" customHeight="1">
      <c r="A14" s="951">
        <f>+A13+1</f>
        <v>2</v>
      </c>
      <c r="B14" s="949">
        <f>+NOMINA!C18</f>
        <v>12458942</v>
      </c>
      <c r="C14" s="949" t="str">
        <f>+NOMINA!D18</f>
        <v>Mendoza Mendoza Mirian del Milagro</v>
      </c>
      <c r="D14" s="949" t="str">
        <f>+NOMINA!O18</f>
        <v>JEFE DE DEPARTAMENTO</v>
      </c>
      <c r="E14" s="952">
        <f>+NOMINA!H18</f>
        <v>44424</v>
      </c>
      <c r="F14" s="953">
        <f>+NOMINA!BT18</f>
        <v>15.62</v>
      </c>
      <c r="G14" s="608"/>
      <c r="H14" s="609"/>
      <c r="I14" s="609"/>
      <c r="J14" s="609"/>
      <c r="K14" s="609"/>
    </row>
    <row r="15" spans="1:11" ht="15.75" customHeight="1">
      <c r="A15" s="951">
        <f t="shared" ref="A15:A36" si="0">+A14+1</f>
        <v>3</v>
      </c>
      <c r="B15" s="949">
        <f>+NOMINA!C19</f>
        <v>8719807</v>
      </c>
      <c r="C15" s="949" t="str">
        <f>+NOMINA!D19</f>
        <v>Perez Saavedra Isabel Teresa</v>
      </c>
      <c r="D15" s="949" t="str">
        <f>+NOMINA!O19</f>
        <v>JEFE DE DEPARTAMENTO</v>
      </c>
      <c r="E15" s="952">
        <f>+NOMINA!H19</f>
        <v>39874</v>
      </c>
      <c r="F15" s="953">
        <f>+NOMINA!BT19</f>
        <v>14.54</v>
      </c>
      <c r="G15" s="608"/>
      <c r="H15" s="609"/>
      <c r="I15" s="609"/>
      <c r="J15" s="609"/>
      <c r="K15" s="609"/>
    </row>
    <row r="16" spans="1:11" ht="15.75" customHeight="1">
      <c r="A16" s="951">
        <f t="shared" si="0"/>
        <v>4</v>
      </c>
      <c r="B16" s="949">
        <f>+NOMINA!C20</f>
        <v>10404528</v>
      </c>
      <c r="C16" s="949" t="str">
        <f>+NOMINA!D20</f>
        <v>Perez Castellano Javier Horacio</v>
      </c>
      <c r="D16" s="949" t="str">
        <f>+NOMINA!O20</f>
        <v>JEFE DE DEPARTAMENTO</v>
      </c>
      <c r="E16" s="952">
        <f>+NOMINA!H20</f>
        <v>37622</v>
      </c>
      <c r="F16" s="953">
        <f>+NOMINA!BT20</f>
        <v>15.32</v>
      </c>
      <c r="G16" s="608"/>
      <c r="H16" s="609"/>
      <c r="I16" s="609"/>
      <c r="J16" s="609"/>
      <c r="K16" s="609"/>
    </row>
    <row r="17" spans="1:11" ht="15.75" customHeight="1">
      <c r="A17" s="951">
        <f t="shared" si="0"/>
        <v>5</v>
      </c>
      <c r="B17" s="949">
        <f>+NOMINA!C21</f>
        <v>9311822</v>
      </c>
      <c r="C17" s="949" t="str">
        <f>+NOMINA!D21</f>
        <v>Rojo Sanchez Alexis O.</v>
      </c>
      <c r="D17" s="949" t="str">
        <f>+NOMINA!O21</f>
        <v>JEFE DE DEPARTAMENTO</v>
      </c>
      <c r="E17" s="952">
        <f>+NOMINA!H21</f>
        <v>37662</v>
      </c>
      <c r="F17" s="953">
        <f>+NOMINA!BT21</f>
        <v>11.88</v>
      </c>
      <c r="G17" s="608"/>
      <c r="H17" s="609"/>
      <c r="I17" s="609"/>
      <c r="J17" s="609"/>
      <c r="K17" s="609"/>
    </row>
    <row r="18" spans="1:11" ht="15.75" customHeight="1">
      <c r="A18" s="951">
        <f t="shared" si="0"/>
        <v>6</v>
      </c>
      <c r="B18" s="949">
        <f>+NOMINA!C22</f>
        <v>21592108</v>
      </c>
      <c r="C18" s="949" t="str">
        <f>+NOMINA!D22</f>
        <v>Coy Andara Darlin Gabriela</v>
      </c>
      <c r="D18" s="949" t="str">
        <f>+NOMINA!O22</f>
        <v>JEFE DE DEPARTAMENTO</v>
      </c>
      <c r="E18" s="952">
        <f>+NOMINA!H22</f>
        <v>43024</v>
      </c>
      <c r="F18" s="953">
        <f>+NOMINA!BT22</f>
        <v>12.78</v>
      </c>
      <c r="G18" s="608"/>
      <c r="H18" s="609"/>
      <c r="I18" s="609"/>
      <c r="J18" s="609"/>
      <c r="K18" s="609"/>
    </row>
    <row r="19" spans="1:11" ht="15.75" customHeight="1">
      <c r="A19" s="951">
        <f t="shared" si="0"/>
        <v>7</v>
      </c>
      <c r="B19" s="949">
        <f>+NOMINA!C23</f>
        <v>13206767</v>
      </c>
      <c r="C19" s="949" t="str">
        <f>+NOMINA!D23</f>
        <v>Bastidas Guerra Soralis del Valle</v>
      </c>
      <c r="D19" s="949" t="str">
        <f>+NOMINA!O23</f>
        <v>COORDINADOR DE PROGRAMA (SAPNNAET)</v>
      </c>
      <c r="E19" s="952">
        <f>+NOMINA!H23</f>
        <v>44713</v>
      </c>
      <c r="F19" s="953">
        <f>+NOMINA!BT23</f>
        <v>12.12</v>
      </c>
      <c r="G19" s="608"/>
      <c r="H19" s="609"/>
      <c r="I19" s="609"/>
      <c r="J19" s="609"/>
      <c r="K19" s="609"/>
    </row>
    <row r="20" spans="1:11" ht="15.75" customHeight="1">
      <c r="A20" s="951">
        <f t="shared" si="0"/>
        <v>8</v>
      </c>
      <c r="B20" s="949">
        <f>+NOMINA!C24</f>
        <v>13462933</v>
      </c>
      <c r="C20" s="949" t="str">
        <f>+NOMINA!D24</f>
        <v>Frias Aldana Maria Yaritza</v>
      </c>
      <c r="D20" s="949" t="str">
        <f>+NOMINA!O24</f>
        <v>COORDINADOR DE PROGRAMA (SAPNNAET)</v>
      </c>
      <c r="E20" s="952">
        <f>+NOMINA!H24</f>
        <v>39454</v>
      </c>
      <c r="F20" s="953">
        <f>+NOMINA!BT24</f>
        <v>14.28</v>
      </c>
      <c r="G20" s="608"/>
      <c r="H20" s="609"/>
      <c r="I20" s="609"/>
      <c r="J20" s="609"/>
      <c r="K20" s="609"/>
    </row>
    <row r="21" spans="1:11" ht="15.75" customHeight="1">
      <c r="A21" s="951">
        <f t="shared" si="0"/>
        <v>9</v>
      </c>
      <c r="B21" s="949">
        <f>+NOMINA!C25</f>
        <v>11315315</v>
      </c>
      <c r="C21" s="949" t="str">
        <f>+NOMINA!D25</f>
        <v>Guillen Mendoza Edgar Daniel</v>
      </c>
      <c r="D21" s="949" t="str">
        <f>+NOMINA!O25</f>
        <v>COORDINADOR DE PROGRAMA (SAPNNAET)</v>
      </c>
      <c r="E21" s="952">
        <f>+NOMINA!H25</f>
        <v>45505</v>
      </c>
      <c r="F21" s="953">
        <f>+NOMINA!BT25</f>
        <v>9.56</v>
      </c>
      <c r="G21" s="608"/>
      <c r="H21" s="609"/>
      <c r="I21" s="609"/>
      <c r="J21" s="609"/>
      <c r="K21" s="609"/>
    </row>
    <row r="22" spans="1:11" ht="15.75" customHeight="1">
      <c r="A22" s="951">
        <f t="shared" si="0"/>
        <v>10</v>
      </c>
      <c r="B22" s="949">
        <f>+NOMINA!C26</f>
        <v>12542413</v>
      </c>
      <c r="C22" s="949" t="str">
        <f>+NOMINA!D26</f>
        <v>Aponte Matheus Richard Alexander</v>
      </c>
      <c r="D22" s="949" t="str">
        <f>+NOMINA!O26</f>
        <v>COORDINADOR DE PROGRAMA (SAPNNAET)</v>
      </c>
      <c r="E22" s="952">
        <f>+NOMINA!H26</f>
        <v>36434</v>
      </c>
      <c r="F22" s="953">
        <f>+NOMINA!BT26</f>
        <v>11.64</v>
      </c>
      <c r="G22" s="608"/>
      <c r="H22" s="609"/>
      <c r="I22" s="609"/>
      <c r="J22" s="609"/>
      <c r="K22" s="609"/>
    </row>
    <row r="23" spans="1:11" ht="15.75" customHeight="1">
      <c r="A23" s="951">
        <f t="shared" si="0"/>
        <v>11</v>
      </c>
      <c r="B23" s="949">
        <f>+NOMINA!C27</f>
        <v>18457406</v>
      </c>
      <c r="C23" s="949" t="str">
        <f>+NOMINA!D27</f>
        <v>Rivero Zambrano Herluis Jose</v>
      </c>
      <c r="D23" s="949" t="str">
        <f>+NOMINA!O27</f>
        <v>COORDINADOR DE PROGRAMA (SAPNNAET)</v>
      </c>
      <c r="E23" s="952">
        <f>+NOMINA!H27</f>
        <v>41548</v>
      </c>
      <c r="F23" s="953">
        <f>+NOMINA!BT27</f>
        <v>13.34</v>
      </c>
      <c r="G23" s="608"/>
      <c r="H23" s="609"/>
      <c r="I23" s="609"/>
      <c r="J23" s="609"/>
      <c r="K23" s="609"/>
    </row>
    <row r="24" spans="1:11" ht="15.75" customHeight="1">
      <c r="A24" s="951">
        <f t="shared" si="0"/>
        <v>12</v>
      </c>
      <c r="B24" s="949">
        <f>+NOMINA!C28</f>
        <v>11895772</v>
      </c>
      <c r="C24" s="949" t="str">
        <f>+NOMINA!D28</f>
        <v>Rangel Rivas Ildemaro</v>
      </c>
      <c r="D24" s="949" t="str">
        <f>+NOMINA!O28</f>
        <v>COORDINADOR DE PROGRAMA (SAPNNAET)</v>
      </c>
      <c r="E24" s="952">
        <f>+NOMINA!H28</f>
        <v>44743</v>
      </c>
      <c r="F24" s="953">
        <f>+NOMINA!BT28</f>
        <v>11.94</v>
      </c>
      <c r="G24" s="608"/>
      <c r="H24" s="609"/>
      <c r="I24" s="609"/>
      <c r="J24" s="609"/>
      <c r="K24" s="609"/>
    </row>
    <row r="25" spans="1:11" ht="15.75" customHeight="1">
      <c r="A25" s="951">
        <f t="shared" si="0"/>
        <v>13</v>
      </c>
      <c r="B25" s="949">
        <f>+NOMINA!C29</f>
        <v>9495661</v>
      </c>
      <c r="C25" s="949" t="str">
        <f>+NOMINA!D29</f>
        <v>Aguial Carrillo Gregoria Coromoto</v>
      </c>
      <c r="D25" s="949" t="str">
        <f>+NOMINA!O29</f>
        <v>COORDINADOR DE PROGRAMA (SAPNNAET)</v>
      </c>
      <c r="E25" s="952">
        <f>+NOMINA!H29</f>
        <v>39692</v>
      </c>
      <c r="F25" s="953">
        <f>+NOMINA!BT29</f>
        <v>10.92</v>
      </c>
      <c r="G25" s="608"/>
      <c r="H25" s="609"/>
      <c r="I25" s="609"/>
      <c r="J25" s="609"/>
      <c r="K25" s="609"/>
    </row>
    <row r="26" spans="1:11" ht="15.75" customHeight="1">
      <c r="A26" s="951">
        <f t="shared" si="0"/>
        <v>14</v>
      </c>
      <c r="B26" s="949">
        <f>+NOMINA!C30</f>
        <v>5348397</v>
      </c>
      <c r="C26" s="949" t="str">
        <f>+NOMINA!D30</f>
        <v>Araujo Manzanilla Carlos Antonio</v>
      </c>
      <c r="D26" s="949" t="str">
        <f>+NOMINA!O30</f>
        <v>COORDINADOR DE PROGRAMA (SAPNNAET)</v>
      </c>
      <c r="E26" s="952">
        <f>+NOMINA!H30</f>
        <v>43359</v>
      </c>
      <c r="F26" s="953">
        <f>+NOMINA!BT30</f>
        <v>13.82</v>
      </c>
      <c r="G26" s="608"/>
      <c r="H26" s="609"/>
      <c r="I26" s="609"/>
      <c r="J26" s="609"/>
      <c r="K26" s="609"/>
    </row>
    <row r="27" spans="1:11" ht="15.75" customHeight="1">
      <c r="A27" s="951">
        <f t="shared" si="0"/>
        <v>15</v>
      </c>
      <c r="B27" s="949">
        <f>+NOMINA!C31</f>
        <v>9314132</v>
      </c>
      <c r="C27" s="949" t="str">
        <f>+NOMINA!D31</f>
        <v>Viloria Montilla Gerardo</v>
      </c>
      <c r="D27" s="949" t="str">
        <f>+NOMINA!O31</f>
        <v>COORDINADOR DE PROGRAMA (SAPNNAET)</v>
      </c>
      <c r="E27" s="952">
        <f>+NOMINA!H31</f>
        <v>44348</v>
      </c>
      <c r="F27" s="953">
        <f>+NOMINA!BT31</f>
        <v>13.18</v>
      </c>
      <c r="G27" s="608"/>
      <c r="H27" s="609"/>
      <c r="I27" s="609"/>
      <c r="J27" s="609"/>
      <c r="K27" s="609"/>
    </row>
    <row r="28" spans="1:11" ht="15.75" customHeight="1">
      <c r="A28" s="951">
        <f t="shared" si="0"/>
        <v>16</v>
      </c>
      <c r="B28" s="949">
        <f>+NOMINA!C32</f>
        <v>11320533</v>
      </c>
      <c r="C28" s="949" t="str">
        <f>+NOMINA!D32</f>
        <v>Suarez Chiquin Yaritza Josefina</v>
      </c>
      <c r="D28" s="949" t="str">
        <f>+NOMINA!O32</f>
        <v>COORDINADOR DE PROGRAMA (SAPNNAET)</v>
      </c>
      <c r="E28" s="952">
        <f>+NOMINA!H32</f>
        <v>37629</v>
      </c>
      <c r="F28" s="953">
        <f>+NOMINA!BT32</f>
        <v>14.84</v>
      </c>
      <c r="G28" s="608"/>
      <c r="H28" s="609"/>
      <c r="I28" s="609"/>
      <c r="J28" s="609"/>
      <c r="K28" s="609"/>
    </row>
    <row r="29" spans="1:11" ht="15.75" customHeight="1">
      <c r="A29" s="951">
        <f t="shared" si="0"/>
        <v>17</v>
      </c>
      <c r="B29" s="949">
        <f>+NOMINA!C33</f>
        <v>10912595</v>
      </c>
      <c r="C29" s="949" t="str">
        <f>+NOMINA!D33</f>
        <v>Delfin Bustos Jose Hercilio</v>
      </c>
      <c r="D29" s="949" t="str">
        <f>+NOMINA!O33</f>
        <v>COORDINADOR DE PROGRAMA (SAPNNAET)</v>
      </c>
      <c r="E29" s="952">
        <f>+NOMINA!H33</f>
        <v>36039</v>
      </c>
      <c r="F29" s="953">
        <f>+NOMINA!BT33</f>
        <v>11.64</v>
      </c>
      <c r="G29" s="608"/>
      <c r="H29" s="609"/>
      <c r="I29" s="609"/>
      <c r="J29" s="609"/>
      <c r="K29" s="609"/>
    </row>
    <row r="30" spans="1:11" ht="15.75" customHeight="1">
      <c r="A30" s="951">
        <f t="shared" si="0"/>
        <v>18</v>
      </c>
      <c r="B30" s="949">
        <f>+NOMINA!C34</f>
        <v>4306476</v>
      </c>
      <c r="C30" s="949" t="str">
        <f>+NOMINA!D34</f>
        <v xml:space="preserve">Triviño De Bastidas Dioni De La Coromoto </v>
      </c>
      <c r="D30" s="949" t="str">
        <f>+NOMINA!O34</f>
        <v>COORDINADOR DE PROGRAMA (SAPNNAET)</v>
      </c>
      <c r="E30" s="952">
        <f>+NOMINA!H34</f>
        <v>44409</v>
      </c>
      <c r="F30" s="953">
        <f>+NOMINA!BT34</f>
        <v>15.72</v>
      </c>
      <c r="G30" s="608"/>
      <c r="H30" s="609"/>
      <c r="I30" s="609"/>
      <c r="J30" s="609"/>
      <c r="K30" s="609"/>
    </row>
    <row r="31" spans="1:11" ht="15.75" customHeight="1">
      <c r="A31" s="951">
        <f t="shared" si="0"/>
        <v>19</v>
      </c>
      <c r="B31" s="949">
        <f>+NOMINA!C35</f>
        <v>13568733</v>
      </c>
      <c r="C31" s="949" t="str">
        <f>+NOMINA!D35</f>
        <v>Campos de Velazquez Nilda Carolina</v>
      </c>
      <c r="D31" s="949" t="str">
        <f>+NOMINA!O35</f>
        <v>COORDINADOR DE PROGRAMA (SAPNNAET)</v>
      </c>
      <c r="E31" s="952">
        <f>+NOMINA!H35</f>
        <v>44805</v>
      </c>
      <c r="F31" s="953">
        <f>+NOMINA!BT35</f>
        <v>12.44</v>
      </c>
      <c r="G31" s="608"/>
      <c r="H31" s="609"/>
      <c r="I31" s="609"/>
      <c r="J31" s="609"/>
      <c r="K31" s="609"/>
    </row>
    <row r="32" spans="1:11" ht="15.75" customHeight="1">
      <c r="A32" s="951">
        <f t="shared" si="0"/>
        <v>20</v>
      </c>
      <c r="B32" s="949">
        <f>+NOMINA!C36</f>
        <v>20790947</v>
      </c>
      <c r="C32" s="949" t="str">
        <f>+NOMINA!D36</f>
        <v>Urbina Cuellar Tannessy Lenery</v>
      </c>
      <c r="D32" s="949" t="str">
        <f>+NOMINA!O36</f>
        <v>COORDINADOR DE PROGRAMA (SAPNNAET)</v>
      </c>
      <c r="E32" s="952">
        <f>+NOMINA!H36</f>
        <v>43967</v>
      </c>
      <c r="F32" s="953">
        <f>+NOMINA!BT36</f>
        <v>12.62</v>
      </c>
      <c r="G32" s="608"/>
      <c r="H32" s="609"/>
      <c r="I32" s="609"/>
      <c r="J32" s="609"/>
      <c r="K32" s="609"/>
    </row>
    <row r="33" spans="1:11" ht="15.75" customHeight="1">
      <c r="A33" s="951">
        <f t="shared" si="0"/>
        <v>21</v>
      </c>
      <c r="B33" s="949">
        <f>+NOMINA!C37</f>
        <v>15752183</v>
      </c>
      <c r="C33" s="949" t="str">
        <f>+NOMINA!D37</f>
        <v>Delduca Adriana Del Valle</v>
      </c>
      <c r="D33" s="949" t="str">
        <f>+NOMINA!O37</f>
        <v>COORDINADOR DE PROGRAMA (SAPNNAET)</v>
      </c>
      <c r="E33" s="952">
        <f>+NOMINA!H37</f>
        <v>38930</v>
      </c>
      <c r="F33" s="953">
        <f>+NOMINA!BT37</f>
        <v>11.64</v>
      </c>
      <c r="G33" s="608"/>
      <c r="H33" s="609"/>
      <c r="I33" s="609"/>
      <c r="J33" s="609"/>
      <c r="K33" s="609"/>
    </row>
    <row r="34" spans="1:11" ht="15.75" customHeight="1">
      <c r="A34" s="951">
        <f t="shared" si="0"/>
        <v>22</v>
      </c>
      <c r="B34" s="949">
        <f>+NOMINA!C38</f>
        <v>16739081</v>
      </c>
      <c r="C34" s="949" t="str">
        <f>+NOMINA!D38</f>
        <v>Albarran Araujo Yely Coromoto</v>
      </c>
      <c r="D34" s="949" t="str">
        <f>+NOMINA!O38</f>
        <v>COORDINADOR DE PROGRAMA (SAPNNAET)</v>
      </c>
      <c r="E34" s="952">
        <f>+NOMINA!H38</f>
        <v>42948</v>
      </c>
      <c r="F34" s="953">
        <f>+NOMINA!BT38</f>
        <v>12.7</v>
      </c>
      <c r="G34" s="608"/>
      <c r="H34" s="609"/>
      <c r="I34" s="609"/>
      <c r="J34" s="609"/>
      <c r="K34" s="609"/>
    </row>
    <row r="35" spans="1:11" ht="15.75" customHeight="1">
      <c r="A35" s="951">
        <f t="shared" si="0"/>
        <v>23</v>
      </c>
      <c r="B35" s="949">
        <f>+NOMINA!C39</f>
        <v>12781930</v>
      </c>
      <c r="C35" s="949" t="str">
        <f>+NOMINA!D39</f>
        <v>Berrios Gomez Neida Marina</v>
      </c>
      <c r="D35" s="949" t="str">
        <f>+NOMINA!O39</f>
        <v>COORDINADOR DE PROGRAMA (SAPNNAET)</v>
      </c>
      <c r="E35" s="952">
        <f>+NOMINA!H39</f>
        <v>44652</v>
      </c>
      <c r="F35" s="953">
        <f>+NOMINA!BT39</f>
        <v>12.12</v>
      </c>
      <c r="G35" s="608"/>
      <c r="H35" s="609"/>
      <c r="I35" s="609"/>
      <c r="J35" s="609"/>
      <c r="K35" s="609"/>
    </row>
    <row r="36" spans="1:11" ht="15.75" customHeight="1" thickBot="1">
      <c r="A36" s="951">
        <f t="shared" si="0"/>
        <v>24</v>
      </c>
      <c r="B36" s="949">
        <f>+NOMINA!C40</f>
        <v>13896239</v>
      </c>
      <c r="C36" s="949" t="str">
        <f>+NOMINA!D40</f>
        <v>Sulbaran Campos Yusneida Ayarith</v>
      </c>
      <c r="D36" s="949" t="str">
        <f>+NOMINA!O40</f>
        <v>COORDINADOR DE PROGRAMA (SAPNNAET)</v>
      </c>
      <c r="E36" s="952">
        <f>+NOMINA!H40</f>
        <v>42416</v>
      </c>
      <c r="F36" s="953">
        <f>+NOMINA!BT40</f>
        <v>10.4</v>
      </c>
      <c r="G36" s="608"/>
      <c r="H36" s="609"/>
      <c r="I36" s="609"/>
      <c r="J36" s="609"/>
      <c r="K36" s="609"/>
    </row>
    <row r="37" spans="1:11" ht="15.75" customHeight="1" thickBot="1">
      <c r="A37" s="951"/>
      <c r="B37" s="949"/>
      <c r="C37" s="949"/>
      <c r="D37" s="949"/>
      <c r="E37" s="607" t="s">
        <v>5791</v>
      </c>
      <c r="F37" s="950">
        <f>SUM(F13:F36)</f>
        <v>310.09999999999991</v>
      </c>
      <c r="G37" s="608">
        <f>+NOMINA!BT41</f>
        <v>310.09999999999991</v>
      </c>
      <c r="H37" s="609">
        <f>+F37-G37</f>
        <v>0</v>
      </c>
      <c r="I37" s="609"/>
      <c r="J37" s="609"/>
      <c r="K37" s="609"/>
    </row>
    <row r="38" spans="1:11" ht="15.75" customHeight="1">
      <c r="A38" s="610"/>
      <c r="B38" s="954"/>
      <c r="C38" s="954"/>
      <c r="D38" s="954"/>
      <c r="E38" s="611"/>
      <c r="F38" s="955"/>
      <c r="G38" s="608"/>
      <c r="H38" s="609"/>
      <c r="I38" s="609"/>
      <c r="J38" s="609"/>
      <c r="K38" s="609"/>
    </row>
    <row r="39" spans="1:11" ht="15.75" customHeight="1">
      <c r="A39" s="610"/>
      <c r="B39" s="612"/>
      <c r="C39" s="612"/>
      <c r="D39" s="612"/>
      <c r="E39" s="611"/>
      <c r="F39" s="613"/>
      <c r="G39" s="608"/>
      <c r="H39" s="609"/>
      <c r="I39" s="609"/>
      <c r="J39" s="609"/>
      <c r="K39" s="609"/>
    </row>
    <row r="40" spans="1:11" ht="15.75" customHeight="1">
      <c r="A40" s="610"/>
      <c r="B40" s="612"/>
      <c r="C40" s="612"/>
      <c r="D40" s="612"/>
      <c r="E40" s="611"/>
      <c r="F40" s="613"/>
      <c r="G40" s="608"/>
      <c r="H40" s="609"/>
      <c r="I40" s="609"/>
      <c r="J40" s="609"/>
      <c r="K40" s="609"/>
    </row>
    <row r="41" spans="1:11" ht="15.75" customHeight="1">
      <c r="A41" s="610"/>
      <c r="B41" s="612"/>
      <c r="C41" s="612"/>
      <c r="D41" s="612"/>
      <c r="E41" s="611"/>
      <c r="F41" s="613"/>
      <c r="G41" s="608"/>
      <c r="H41" s="609"/>
      <c r="I41" s="609"/>
      <c r="J41" s="609"/>
      <c r="K41" s="609"/>
    </row>
    <row r="42" spans="1:11" ht="15.75" customHeight="1">
      <c r="A42" s="610"/>
      <c r="B42" s="612"/>
      <c r="C42" s="612"/>
      <c r="D42" s="612"/>
      <c r="E42" s="611"/>
      <c r="F42" s="613"/>
      <c r="G42" s="608"/>
      <c r="H42" s="609"/>
      <c r="I42" s="609"/>
      <c r="J42" s="609"/>
      <c r="K42" s="609"/>
    </row>
    <row r="43" spans="1:11" ht="15.75" customHeight="1">
      <c r="A43" s="610"/>
      <c r="B43" s="612"/>
      <c r="C43" s="604" t="s">
        <v>5840</v>
      </c>
      <c r="E43" s="604" t="s">
        <v>5841</v>
      </c>
      <c r="G43" s="608"/>
      <c r="H43" s="609"/>
      <c r="I43" s="609"/>
      <c r="J43" s="609"/>
      <c r="K43" s="609"/>
    </row>
    <row r="44" spans="1:11" ht="15.75" customHeight="1">
      <c r="A44" s="610"/>
      <c r="B44" s="612"/>
      <c r="G44" s="608"/>
      <c r="H44" s="609"/>
      <c r="I44" s="609"/>
      <c r="J44" s="609"/>
      <c r="K44" s="609"/>
    </row>
    <row r="45" spans="1:11" ht="15.75" customHeight="1">
      <c r="A45" s="610"/>
      <c r="B45" s="612"/>
      <c r="G45" s="608"/>
      <c r="H45" s="609"/>
      <c r="I45" s="609"/>
      <c r="J45" s="609"/>
      <c r="K45" s="609"/>
    </row>
    <row r="46" spans="1:11" ht="15.75" customHeight="1">
      <c r="A46" s="610"/>
      <c r="B46" s="612"/>
      <c r="C46" s="614" t="s">
        <v>5842</v>
      </c>
      <c r="E46" s="615" t="s">
        <v>5843</v>
      </c>
      <c r="G46" s="608"/>
      <c r="H46" s="609"/>
      <c r="I46" s="609"/>
      <c r="J46" s="609"/>
      <c r="K46" s="609"/>
    </row>
    <row r="47" spans="1:11" ht="15.75" customHeight="1">
      <c r="A47" s="610"/>
      <c r="B47" s="612"/>
      <c r="C47" s="614" t="s">
        <v>5844</v>
      </c>
      <c r="E47" s="614" t="s">
        <v>5845</v>
      </c>
      <c r="G47" s="608"/>
      <c r="H47" s="609"/>
      <c r="I47" s="609"/>
      <c r="J47" s="609"/>
      <c r="K47" s="609"/>
    </row>
    <row r="48" spans="1:11" ht="15.75" customHeight="1">
      <c r="A48" s="610"/>
      <c r="B48" s="612"/>
      <c r="C48" s="612"/>
      <c r="D48" s="612"/>
      <c r="E48" s="611"/>
      <c r="F48" s="613"/>
      <c r="G48" s="608"/>
      <c r="H48" s="609"/>
      <c r="I48" s="609"/>
      <c r="J48" s="609"/>
      <c r="K48" s="609"/>
    </row>
    <row r="49" spans="1:11" ht="15.75" customHeight="1">
      <c r="A49" s="606" t="s">
        <v>4561</v>
      </c>
      <c r="B49" s="949"/>
      <c r="C49" s="949"/>
      <c r="D49" s="949"/>
      <c r="E49" s="952"/>
      <c r="F49" s="953"/>
      <c r="G49" s="608"/>
      <c r="H49" s="609"/>
      <c r="I49" s="609"/>
      <c r="J49" s="609"/>
      <c r="K49" s="609"/>
    </row>
    <row r="50" spans="1:11" ht="15.75" customHeight="1">
      <c r="A50" s="951">
        <v>1</v>
      </c>
      <c r="B50" s="949">
        <f>+NOMINA!C43</f>
        <v>4324055</v>
      </c>
      <c r="C50" s="949" t="str">
        <f>+NOMINA!D43</f>
        <v>Mejia Linares Alexis de Jesus</v>
      </c>
      <c r="D50" s="949" t="str">
        <f>+NOMINA!O43</f>
        <v>Abogado II</v>
      </c>
      <c r="E50" s="952">
        <f>+NOMINA!H43</f>
        <v>44470</v>
      </c>
      <c r="F50" s="953">
        <f>+NOMINA!BT43</f>
        <v>10.38</v>
      </c>
      <c r="G50" s="608"/>
      <c r="H50" s="609"/>
      <c r="I50" s="609"/>
      <c r="J50" s="609"/>
      <c r="K50" s="609"/>
    </row>
    <row r="51" spans="1:11" ht="15.75" customHeight="1">
      <c r="A51" s="951">
        <f>+A50+1</f>
        <v>2</v>
      </c>
      <c r="B51" s="949">
        <f>+NOMINA!C44</f>
        <v>4657974</v>
      </c>
      <c r="C51" s="949" t="str">
        <f>+NOMINA!D44</f>
        <v>Balestrini Nuñez Ulises Ramon</v>
      </c>
      <c r="D51" s="949" t="str">
        <f>+NOMINA!O44</f>
        <v>Promotor Cultural I</v>
      </c>
      <c r="E51" s="952">
        <f>+NOMINA!H44</f>
        <v>39463</v>
      </c>
      <c r="F51" s="953">
        <f>+NOMINA!BT44</f>
        <v>6.86</v>
      </c>
      <c r="G51" s="608"/>
      <c r="H51" s="609"/>
      <c r="I51" s="609"/>
      <c r="J51" s="609"/>
      <c r="K51" s="609"/>
    </row>
    <row r="52" spans="1:11" ht="15.75" customHeight="1">
      <c r="A52" s="951">
        <f t="shared" ref="A52:A115" si="1">+A51+1</f>
        <v>3</v>
      </c>
      <c r="B52" s="949">
        <f>+NOMINA!C45</f>
        <v>5762861</v>
      </c>
      <c r="C52" s="949" t="str">
        <f>+NOMINA!D45</f>
        <v>Aldana Duran Delia Mercedes</v>
      </c>
      <c r="D52" s="949" t="str">
        <f>+NOMINA!O45</f>
        <v>Jefe de Centro</v>
      </c>
      <c r="E52" s="952">
        <f>+NOMINA!H45</f>
        <v>37851</v>
      </c>
      <c r="F52" s="953">
        <f>+NOMINA!BT45</f>
        <v>12.58</v>
      </c>
      <c r="G52" s="608"/>
      <c r="H52" s="609"/>
      <c r="I52" s="609"/>
      <c r="J52" s="609"/>
      <c r="K52" s="609"/>
    </row>
    <row r="53" spans="1:11" ht="15.75" customHeight="1">
      <c r="A53" s="951">
        <f t="shared" si="1"/>
        <v>4</v>
      </c>
      <c r="B53" s="949">
        <f>+NOMINA!C46</f>
        <v>5782060</v>
      </c>
      <c r="C53" s="949" t="str">
        <f>+NOMINA!D46</f>
        <v>Linares Araujo Adolfo Jose</v>
      </c>
      <c r="D53" s="949" t="str">
        <f>+NOMINA!O46</f>
        <v>Asistente Administrativo III</v>
      </c>
      <c r="E53" s="952">
        <f>+NOMINA!H46</f>
        <v>39539</v>
      </c>
      <c r="F53" s="953">
        <f>+NOMINA!BT46</f>
        <v>9.6</v>
      </c>
      <c r="G53" s="608"/>
      <c r="H53" s="609"/>
      <c r="I53" s="609"/>
      <c r="J53" s="609"/>
      <c r="K53" s="609"/>
    </row>
    <row r="54" spans="1:11" ht="15.75" customHeight="1">
      <c r="A54" s="951">
        <f t="shared" si="1"/>
        <v>5</v>
      </c>
      <c r="B54" s="949">
        <f>+NOMINA!C47</f>
        <v>5790501</v>
      </c>
      <c r="C54" s="949" t="str">
        <f>+NOMINA!D47</f>
        <v>Castellanos de Araujo Maria Eustoquia</v>
      </c>
      <c r="D54" s="949" t="str">
        <f>+NOMINA!O47</f>
        <v>Asistente de Analista III</v>
      </c>
      <c r="E54" s="952">
        <f>+NOMINA!H47</f>
        <v>39707</v>
      </c>
      <c r="F54" s="953">
        <f>+NOMINA!BT47</f>
        <v>10.34</v>
      </c>
      <c r="G54" s="608"/>
      <c r="H54" s="609"/>
      <c r="I54" s="609"/>
      <c r="J54" s="609"/>
      <c r="K54" s="609"/>
    </row>
    <row r="55" spans="1:11" ht="15.75" customHeight="1">
      <c r="A55" s="951">
        <f t="shared" si="1"/>
        <v>6</v>
      </c>
      <c r="B55" s="949">
        <f>+NOMINA!C48</f>
        <v>7744688</v>
      </c>
      <c r="C55" s="949" t="str">
        <f>+NOMINA!D48</f>
        <v>Aguilera Carroz Gerardo Raul</v>
      </c>
      <c r="D55" s="949" t="str">
        <f>+NOMINA!O48</f>
        <v>Asistente Administrativo III</v>
      </c>
      <c r="E55" s="952">
        <f>+NOMINA!H48</f>
        <v>44713</v>
      </c>
      <c r="F55" s="953">
        <f>+NOMINA!BT48</f>
        <v>7.82</v>
      </c>
      <c r="G55" s="608"/>
      <c r="H55" s="609"/>
      <c r="I55" s="609"/>
      <c r="J55" s="609"/>
      <c r="K55" s="609"/>
    </row>
    <row r="56" spans="1:11" ht="15.75" customHeight="1">
      <c r="A56" s="951">
        <f t="shared" si="1"/>
        <v>7</v>
      </c>
      <c r="B56" s="949">
        <f>+NOMINA!C49</f>
        <v>7890070</v>
      </c>
      <c r="C56" s="949" t="str">
        <f>+NOMINA!D49</f>
        <v>Pacheco Bermudez Bebsabeth Coromoto</v>
      </c>
      <c r="D56" s="949" t="str">
        <f>+NOMINA!O49</f>
        <v>Guia de Centro II</v>
      </c>
      <c r="E56" s="952">
        <f>+NOMINA!H49</f>
        <v>38930</v>
      </c>
      <c r="F56" s="953">
        <f>+NOMINA!BT49</f>
        <v>7.2</v>
      </c>
      <c r="G56" s="608"/>
      <c r="H56" s="609"/>
      <c r="I56" s="609"/>
      <c r="J56" s="609"/>
      <c r="K56" s="609"/>
    </row>
    <row r="57" spans="1:11" ht="15.75" customHeight="1">
      <c r="A57" s="951">
        <f t="shared" si="1"/>
        <v>8</v>
      </c>
      <c r="B57" s="949">
        <f>+NOMINA!C50</f>
        <v>8719807</v>
      </c>
      <c r="C57" s="949" t="str">
        <f>+NOMINA!D50</f>
        <v>Perez Saavedra Isabel Teresa</v>
      </c>
      <c r="D57" s="949" t="str">
        <f>+NOMINA!O50</f>
        <v>Abogado Jefe</v>
      </c>
      <c r="E57" s="952">
        <f>+NOMINA!H50</f>
        <v>39874</v>
      </c>
      <c r="F57" s="953">
        <f>+NOMINA!BT50</f>
        <v>0</v>
      </c>
      <c r="G57" s="608"/>
      <c r="H57" s="609"/>
      <c r="I57" s="609"/>
      <c r="J57" s="609"/>
      <c r="K57" s="609"/>
    </row>
    <row r="58" spans="1:11" ht="15.75" customHeight="1">
      <c r="A58" s="951">
        <f t="shared" si="1"/>
        <v>9</v>
      </c>
      <c r="B58" s="949">
        <f>+NOMINA!C51</f>
        <v>8266170</v>
      </c>
      <c r="C58" s="949" t="str">
        <f>+NOMINA!D51</f>
        <v>Aguana Sanchez Yraida Josefina</v>
      </c>
      <c r="D58" s="949" t="str">
        <f>+NOMINA!O51</f>
        <v>Guia de Centro I</v>
      </c>
      <c r="E58" s="952">
        <f>+NOMINA!H51</f>
        <v>45323</v>
      </c>
      <c r="F58" s="953">
        <f>+NOMINA!BT51</f>
        <v>11.18</v>
      </c>
      <c r="G58" s="608"/>
      <c r="H58" s="609"/>
      <c r="I58" s="609"/>
      <c r="J58" s="609"/>
      <c r="K58" s="609"/>
    </row>
    <row r="59" spans="1:11" ht="15.75" customHeight="1">
      <c r="A59" s="951">
        <f t="shared" si="1"/>
        <v>10</v>
      </c>
      <c r="B59" s="949">
        <f>+NOMINA!C52</f>
        <v>9162178</v>
      </c>
      <c r="C59" s="949" t="str">
        <f>+NOMINA!D52</f>
        <v>Duarte de Bastidas Gladys Margarita</v>
      </c>
      <c r="D59" s="949" t="str">
        <f>+NOMINA!O52</f>
        <v>Guia de Centro II</v>
      </c>
      <c r="E59" s="952">
        <f>+NOMINA!H52</f>
        <v>39566</v>
      </c>
      <c r="F59" s="953">
        <f>+NOMINA!BT52</f>
        <v>9.18</v>
      </c>
      <c r="G59" s="608"/>
      <c r="H59" s="609"/>
      <c r="I59" s="609"/>
      <c r="J59" s="609"/>
      <c r="K59" s="609"/>
    </row>
    <row r="60" spans="1:11" ht="15.75" customHeight="1">
      <c r="A60" s="951">
        <f t="shared" si="1"/>
        <v>11</v>
      </c>
      <c r="B60" s="949">
        <f>+NOMINA!C53</f>
        <v>9162243</v>
      </c>
      <c r="C60" s="949" t="str">
        <f>+NOMINA!D53</f>
        <v>Valera Borrero Marcos Tulio</v>
      </c>
      <c r="D60" s="949" t="str">
        <f>+NOMINA!O53</f>
        <v>Guia de Centro II</v>
      </c>
      <c r="E60" s="952">
        <f>+NOMINA!H53</f>
        <v>35535</v>
      </c>
      <c r="F60" s="953">
        <f>+NOMINA!BT53</f>
        <v>7.2</v>
      </c>
      <c r="G60" s="608"/>
      <c r="H60" s="609"/>
      <c r="I60" s="609"/>
      <c r="J60" s="609"/>
      <c r="K60" s="609"/>
    </row>
    <row r="61" spans="1:11" ht="15.75" customHeight="1">
      <c r="A61" s="951">
        <f t="shared" si="1"/>
        <v>12</v>
      </c>
      <c r="B61" s="949">
        <f>+NOMINA!C54</f>
        <v>9170647</v>
      </c>
      <c r="C61" s="949" t="str">
        <f>+NOMINA!D54</f>
        <v>Torres Gonzalez Meris Del Carmen</v>
      </c>
      <c r="D61" s="949" t="str">
        <f>+NOMINA!O54</f>
        <v>Guia de Centro II</v>
      </c>
      <c r="E61" s="952">
        <f>+NOMINA!H54</f>
        <v>39238</v>
      </c>
      <c r="F61" s="953">
        <f>+NOMINA!BT54</f>
        <v>12.6</v>
      </c>
      <c r="G61" s="608"/>
      <c r="H61" s="609"/>
      <c r="I61" s="609"/>
      <c r="J61" s="609"/>
      <c r="K61" s="609"/>
    </row>
    <row r="62" spans="1:11" ht="15.75" customHeight="1">
      <c r="A62" s="951">
        <f t="shared" si="1"/>
        <v>13</v>
      </c>
      <c r="B62" s="949">
        <f>+NOMINA!C55</f>
        <v>9177323</v>
      </c>
      <c r="C62" s="949" t="str">
        <f>+NOMINA!D55</f>
        <v>Simancas De Mendoza Alix Josefina</v>
      </c>
      <c r="D62" s="949" t="str">
        <f>+NOMINA!O55</f>
        <v>Asistente Administrativo III</v>
      </c>
      <c r="E62" s="952">
        <f>+NOMINA!H55</f>
        <v>37879</v>
      </c>
      <c r="F62" s="953">
        <f>+NOMINA!BT55</f>
        <v>7.12</v>
      </c>
      <c r="G62" s="608"/>
      <c r="H62" s="609"/>
      <c r="I62" s="609"/>
      <c r="J62" s="609"/>
      <c r="K62" s="609"/>
    </row>
    <row r="63" spans="1:11" ht="15.75" customHeight="1">
      <c r="A63" s="951">
        <f t="shared" si="1"/>
        <v>14</v>
      </c>
      <c r="B63" s="949">
        <f>+NOMINA!C56</f>
        <v>9178087</v>
      </c>
      <c r="C63" s="949" t="str">
        <f>+NOMINA!D56</f>
        <v>Saavedra Juan Jose</v>
      </c>
      <c r="D63" s="949" t="str">
        <f>+NOMINA!O56</f>
        <v>Asistente Administrativo III</v>
      </c>
      <c r="E63" s="952">
        <f>+NOMINA!H56</f>
        <v>37622</v>
      </c>
      <c r="F63" s="953">
        <f>+NOMINA!BT56</f>
        <v>7.18</v>
      </c>
      <c r="G63" s="608"/>
      <c r="H63" s="609"/>
      <c r="I63" s="609"/>
      <c r="J63" s="609"/>
      <c r="K63" s="609"/>
    </row>
    <row r="64" spans="1:11" ht="15.75" customHeight="1">
      <c r="A64" s="951">
        <f t="shared" si="1"/>
        <v>15</v>
      </c>
      <c r="B64" s="949">
        <f>+NOMINA!C57</f>
        <v>9179981</v>
      </c>
      <c r="C64" s="949" t="str">
        <f>+NOMINA!D57</f>
        <v>Manzanilla Molina Alfredo Jose</v>
      </c>
      <c r="D64" s="949" t="str">
        <f>+NOMINA!O57</f>
        <v>Instructor Agropecuario III</v>
      </c>
      <c r="E64" s="952">
        <f>+NOMINA!H57</f>
        <v>45597</v>
      </c>
      <c r="F64" s="953">
        <f>+NOMINA!BT57</f>
        <v>9</v>
      </c>
      <c r="G64" s="608"/>
      <c r="H64" s="609"/>
      <c r="I64" s="609"/>
      <c r="J64" s="609"/>
      <c r="K64" s="609"/>
    </row>
    <row r="65" spans="1:11" ht="15.75" customHeight="1">
      <c r="A65" s="951">
        <f t="shared" si="1"/>
        <v>16</v>
      </c>
      <c r="B65" s="949">
        <f>+NOMINA!C58</f>
        <v>9311822</v>
      </c>
      <c r="C65" s="949" t="str">
        <f>+NOMINA!D58</f>
        <v>Rojo Sanchez Alexis O.</v>
      </c>
      <c r="D65" s="949" t="str">
        <f>+NOMINA!O58</f>
        <v>Asistente Administrativo III</v>
      </c>
      <c r="E65" s="952">
        <f>+NOMINA!H58</f>
        <v>37662</v>
      </c>
      <c r="F65" s="953">
        <f>+NOMINA!BT58</f>
        <v>0</v>
      </c>
      <c r="G65" s="608"/>
      <c r="H65" s="609"/>
      <c r="I65" s="609"/>
      <c r="J65" s="609"/>
      <c r="K65" s="609"/>
    </row>
    <row r="66" spans="1:11" ht="15.75" customHeight="1">
      <c r="A66" s="951">
        <f t="shared" si="1"/>
        <v>17</v>
      </c>
      <c r="B66" s="949">
        <f>+NOMINA!C59</f>
        <v>9315117</v>
      </c>
      <c r="C66" s="949" t="str">
        <f>+NOMINA!D59</f>
        <v>Palma de Briceño Sonia Josefina</v>
      </c>
      <c r="D66" s="949" t="str">
        <f>+NOMINA!O59</f>
        <v>Analista de Personal V</v>
      </c>
      <c r="E66" s="952">
        <f>+NOMINA!H59</f>
        <v>38412</v>
      </c>
      <c r="F66" s="953">
        <f>+NOMINA!BT59</f>
        <v>12.18</v>
      </c>
      <c r="G66" s="608"/>
      <c r="H66" s="609"/>
      <c r="I66" s="609"/>
      <c r="J66" s="609"/>
      <c r="K66" s="609"/>
    </row>
    <row r="67" spans="1:11" ht="15.75" customHeight="1">
      <c r="A67" s="951">
        <f t="shared" si="1"/>
        <v>18</v>
      </c>
      <c r="B67" s="949">
        <f>+NOMINA!C60</f>
        <v>9315325</v>
      </c>
      <c r="C67" s="949" t="str">
        <f>+NOMINA!D60</f>
        <v>Gonzalez Hernandez Marianela</v>
      </c>
      <c r="D67" s="949" t="str">
        <f>+NOMINA!O60</f>
        <v>Asistente Administrativo IV</v>
      </c>
      <c r="E67" s="952">
        <f>+NOMINA!H60</f>
        <v>39678</v>
      </c>
      <c r="F67" s="953">
        <f>+NOMINA!BT60</f>
        <v>9.84</v>
      </c>
      <c r="G67" s="608"/>
      <c r="H67" s="609"/>
      <c r="I67" s="609"/>
      <c r="J67" s="609"/>
      <c r="K67" s="609"/>
    </row>
    <row r="68" spans="1:11" ht="15.75" customHeight="1">
      <c r="A68" s="951">
        <f t="shared" si="1"/>
        <v>19</v>
      </c>
      <c r="B68" s="949">
        <f>+NOMINA!C61</f>
        <v>9316224</v>
      </c>
      <c r="C68" s="949" t="str">
        <f>+NOMINA!D61</f>
        <v>Sanchez Barrios Magalis del Carmen</v>
      </c>
      <c r="D68" s="949" t="str">
        <f>+NOMINA!O61</f>
        <v>Tecnico Superior en Trabajo Social II</v>
      </c>
      <c r="E68" s="952">
        <f>+NOMINA!H61</f>
        <v>44317</v>
      </c>
      <c r="F68" s="953">
        <f>+NOMINA!BT61</f>
        <v>8.5399999999999991</v>
      </c>
      <c r="G68" s="608"/>
      <c r="H68" s="609"/>
      <c r="I68" s="609"/>
      <c r="J68" s="609"/>
      <c r="K68" s="609"/>
    </row>
    <row r="69" spans="1:11" ht="15.75" customHeight="1">
      <c r="A69" s="951">
        <f t="shared" si="1"/>
        <v>20</v>
      </c>
      <c r="B69" s="949">
        <f>+NOMINA!C62</f>
        <v>9323927</v>
      </c>
      <c r="C69" s="949" t="str">
        <f>+NOMINA!D62</f>
        <v>Cardozo Garcia Jorge Antonio</v>
      </c>
      <c r="D69" s="949" t="str">
        <f>+NOMINA!O62</f>
        <v>Guia de Centro II</v>
      </c>
      <c r="E69" s="952">
        <f>+NOMINA!H62</f>
        <v>35704</v>
      </c>
      <c r="F69" s="953">
        <f>+NOMINA!BT62</f>
        <v>7.2</v>
      </c>
      <c r="G69" s="608"/>
      <c r="H69" s="609"/>
      <c r="I69" s="609"/>
      <c r="J69" s="609"/>
      <c r="K69" s="609"/>
    </row>
    <row r="70" spans="1:11" ht="15.75" customHeight="1">
      <c r="A70" s="951">
        <f t="shared" si="1"/>
        <v>21</v>
      </c>
      <c r="B70" s="949">
        <f>+NOMINA!C63</f>
        <v>9327253</v>
      </c>
      <c r="C70" s="949" t="str">
        <f>+NOMINA!D63</f>
        <v>Garcia Araujo Jose Domingo</v>
      </c>
      <c r="D70" s="949" t="str">
        <f>+NOMINA!O63</f>
        <v>Analista de Presupuesto III</v>
      </c>
      <c r="E70" s="952">
        <f>+NOMINA!H63</f>
        <v>38930</v>
      </c>
      <c r="F70" s="953">
        <f>+NOMINA!BT63</f>
        <v>9.9</v>
      </c>
      <c r="G70" s="608"/>
      <c r="H70" s="609"/>
      <c r="I70" s="609"/>
      <c r="J70" s="609"/>
      <c r="K70" s="609"/>
    </row>
    <row r="71" spans="1:11" ht="15.75" customHeight="1">
      <c r="A71" s="951">
        <f t="shared" si="1"/>
        <v>22</v>
      </c>
      <c r="B71" s="949">
        <f>+NOMINA!C64</f>
        <v>9328157</v>
      </c>
      <c r="C71" s="949" t="str">
        <f>+NOMINA!D64</f>
        <v>Perez Salas Olga Margarita</v>
      </c>
      <c r="D71" s="949" t="str">
        <f>+NOMINA!O64</f>
        <v>Guia de Centro II</v>
      </c>
      <c r="E71" s="952">
        <f>+NOMINA!H64</f>
        <v>41153</v>
      </c>
      <c r="F71" s="953">
        <f>+NOMINA!BT64</f>
        <v>6.56</v>
      </c>
      <c r="G71" s="608"/>
      <c r="H71" s="609"/>
      <c r="I71" s="609"/>
      <c r="J71" s="609"/>
      <c r="K71" s="609"/>
    </row>
    <row r="72" spans="1:11" ht="15.75" customHeight="1">
      <c r="A72" s="951">
        <f t="shared" si="1"/>
        <v>23</v>
      </c>
      <c r="B72" s="949">
        <f>+NOMINA!C65</f>
        <v>9328224</v>
      </c>
      <c r="C72" s="949" t="str">
        <f>+NOMINA!D65</f>
        <v>Abreu Araujo Omar Antonio</v>
      </c>
      <c r="D72" s="949" t="str">
        <f>+NOMINA!O65</f>
        <v>Tecnico Agropecuario III</v>
      </c>
      <c r="E72" s="952">
        <f>+NOMINA!H65</f>
        <v>39356</v>
      </c>
      <c r="F72" s="953">
        <f>+NOMINA!BT65</f>
        <v>8.2799999999999994</v>
      </c>
      <c r="G72" s="608"/>
      <c r="H72" s="609"/>
      <c r="I72" s="609"/>
      <c r="J72" s="609"/>
      <c r="K72" s="609"/>
    </row>
    <row r="73" spans="1:11" ht="15.75" customHeight="1">
      <c r="A73" s="951">
        <f t="shared" si="1"/>
        <v>24</v>
      </c>
      <c r="B73" s="949">
        <f>+NOMINA!C66</f>
        <v>9495661</v>
      </c>
      <c r="C73" s="949" t="str">
        <f>+NOMINA!D66</f>
        <v>Aguial Carrillo Gregoria Coromoto</v>
      </c>
      <c r="D73" s="949" t="str">
        <f>+NOMINA!O66</f>
        <v>Jefe de Centro</v>
      </c>
      <c r="E73" s="952">
        <f>+NOMINA!H66</f>
        <v>39692</v>
      </c>
      <c r="F73" s="953">
        <f>+NOMINA!BT66</f>
        <v>0</v>
      </c>
      <c r="G73" s="608"/>
      <c r="H73" s="609"/>
      <c r="I73" s="609"/>
      <c r="J73" s="609"/>
      <c r="K73" s="609"/>
    </row>
    <row r="74" spans="1:11" ht="15.75" customHeight="1">
      <c r="A74" s="951">
        <f t="shared" si="1"/>
        <v>25</v>
      </c>
      <c r="B74" s="949">
        <f>+NOMINA!C67</f>
        <v>9496860</v>
      </c>
      <c r="C74" s="949" t="str">
        <f>+NOMINA!D67</f>
        <v>Hernandez Valero Jose Alfredo</v>
      </c>
      <c r="D74" s="949" t="str">
        <f>+NOMINA!O67</f>
        <v>AUDITOR III</v>
      </c>
      <c r="E74" s="952">
        <f>+NOMINA!H67</f>
        <v>43877</v>
      </c>
      <c r="F74" s="953">
        <f>+NOMINA!BT67</f>
        <v>11.4</v>
      </c>
      <c r="G74" s="608"/>
      <c r="H74" s="609"/>
      <c r="I74" s="609"/>
      <c r="J74" s="609"/>
      <c r="K74" s="609"/>
    </row>
    <row r="75" spans="1:11" ht="15.75" customHeight="1">
      <c r="A75" s="951">
        <f t="shared" si="1"/>
        <v>26</v>
      </c>
      <c r="B75" s="949">
        <f>+NOMINA!C68</f>
        <v>9497151</v>
      </c>
      <c r="C75" s="949" t="str">
        <f>+NOMINA!D68</f>
        <v>Mendoza Vieras Pedro Luis</v>
      </c>
      <c r="D75" s="949" t="str">
        <f>+NOMINA!O68</f>
        <v>Ingeniero Industrial II</v>
      </c>
      <c r="E75" s="952">
        <f>+NOMINA!H68</f>
        <v>36770</v>
      </c>
      <c r="F75" s="953">
        <f>+NOMINA!BT68</f>
        <v>12.58</v>
      </c>
      <c r="G75" s="608"/>
      <c r="H75" s="609"/>
      <c r="I75" s="609"/>
      <c r="J75" s="609"/>
      <c r="K75" s="609"/>
    </row>
    <row r="76" spans="1:11" ht="15.75" customHeight="1">
      <c r="A76" s="951">
        <f t="shared" si="1"/>
        <v>27</v>
      </c>
      <c r="B76" s="949">
        <f>+NOMINA!C69</f>
        <v>10033119</v>
      </c>
      <c r="C76" s="949" t="str">
        <f>+NOMINA!D69</f>
        <v>Artigas de Hernandez Ana Maria</v>
      </c>
      <c r="D76" s="949" t="str">
        <f>+NOMINA!O69</f>
        <v>Tutor Facilitador III</v>
      </c>
      <c r="E76" s="952">
        <f>+NOMINA!H69</f>
        <v>43359</v>
      </c>
      <c r="F76" s="953">
        <f>+NOMINA!BT69</f>
        <v>10.66</v>
      </c>
      <c r="G76" s="608"/>
      <c r="H76" s="609"/>
      <c r="I76" s="609"/>
      <c r="J76" s="609"/>
      <c r="K76" s="609"/>
    </row>
    <row r="77" spans="1:11" ht="15.75" customHeight="1">
      <c r="A77" s="951">
        <f t="shared" si="1"/>
        <v>28</v>
      </c>
      <c r="B77" s="949">
        <f>+NOMINA!C70</f>
        <v>10035540</v>
      </c>
      <c r="C77" s="949" t="str">
        <f>+NOMINA!D70</f>
        <v xml:space="preserve">Linares Linares Emma Teresa </v>
      </c>
      <c r="D77" s="949" t="str">
        <f>+NOMINA!O70</f>
        <v>Tecnico Superior en Trabajo Social II</v>
      </c>
      <c r="E77" s="952">
        <f>+NOMINA!H70</f>
        <v>43236</v>
      </c>
      <c r="F77" s="953">
        <f>+NOMINA!BT70</f>
        <v>9.1199999999999992</v>
      </c>
      <c r="G77" s="608"/>
      <c r="H77" s="609"/>
      <c r="I77" s="609"/>
      <c r="J77" s="609"/>
      <c r="K77" s="609"/>
    </row>
    <row r="78" spans="1:11" ht="15.75" customHeight="1">
      <c r="A78" s="951">
        <f t="shared" si="1"/>
        <v>29</v>
      </c>
      <c r="B78" s="949">
        <f>+NOMINA!C71</f>
        <v>10037054</v>
      </c>
      <c r="C78" s="949" t="str">
        <f>+NOMINA!D71</f>
        <v>Aguial Carrillo Deris Margarita</v>
      </c>
      <c r="D78" s="949" t="str">
        <f>+NOMINA!O71</f>
        <v>Guia de Centro II</v>
      </c>
      <c r="E78" s="952">
        <f>+NOMINA!H71</f>
        <v>39820</v>
      </c>
      <c r="F78" s="953">
        <f>+NOMINA!BT71</f>
        <v>8.86</v>
      </c>
      <c r="G78" s="608"/>
      <c r="H78" s="609"/>
      <c r="I78" s="609"/>
      <c r="J78" s="609"/>
      <c r="K78" s="609"/>
    </row>
    <row r="79" spans="1:11" ht="15.75" customHeight="1">
      <c r="A79" s="951">
        <f t="shared" si="1"/>
        <v>30</v>
      </c>
      <c r="B79" s="949">
        <f>+NOMINA!C72</f>
        <v>10175616</v>
      </c>
      <c r="C79" s="949" t="str">
        <f>+NOMINA!D72</f>
        <v>Carrillo Prato Blanca Isabel</v>
      </c>
      <c r="D79" s="949" t="str">
        <f>+NOMINA!O72</f>
        <v>Medico jefe I</v>
      </c>
      <c r="E79" s="952">
        <f>+NOMINA!H72</f>
        <v>44228</v>
      </c>
      <c r="F79" s="953">
        <f>+NOMINA!BT72</f>
        <v>11.6</v>
      </c>
      <c r="G79" s="608"/>
      <c r="H79" s="609"/>
      <c r="I79" s="609"/>
      <c r="J79" s="609"/>
      <c r="K79" s="609"/>
    </row>
    <row r="80" spans="1:11" ht="15.75" customHeight="1">
      <c r="A80" s="951">
        <f t="shared" si="1"/>
        <v>31</v>
      </c>
      <c r="B80" s="949">
        <f>+NOMINA!C73</f>
        <v>10257016</v>
      </c>
      <c r="C80" s="949" t="str">
        <f>+NOMINA!D73</f>
        <v>Torres Dulma Ramona</v>
      </c>
      <c r="D80" s="949" t="str">
        <f>+NOMINA!O73</f>
        <v>Tutor Facilitador III</v>
      </c>
      <c r="E80" s="952">
        <f>+NOMINA!H73</f>
        <v>35947</v>
      </c>
      <c r="F80" s="953">
        <f>+NOMINA!BT73</f>
        <v>12.58</v>
      </c>
      <c r="G80" s="608"/>
      <c r="H80" s="609"/>
      <c r="I80" s="609"/>
      <c r="J80" s="609"/>
      <c r="K80" s="609"/>
    </row>
    <row r="81" spans="1:11" ht="15.75" customHeight="1">
      <c r="A81" s="951">
        <f t="shared" si="1"/>
        <v>32</v>
      </c>
      <c r="B81" s="949">
        <f>+NOMINA!C74</f>
        <v>10315803</v>
      </c>
      <c r="C81" s="949" t="str">
        <f>+NOMINA!D74</f>
        <v>Frias Jacson Daniel</v>
      </c>
      <c r="D81" s="949" t="str">
        <f>+NOMINA!O74</f>
        <v>Guia de Centro II</v>
      </c>
      <c r="E81" s="952">
        <f>+NOMINA!H74</f>
        <v>35415</v>
      </c>
      <c r="F81" s="953">
        <f>+NOMINA!BT74</f>
        <v>9.36</v>
      </c>
      <c r="G81" s="608"/>
      <c r="H81" s="609"/>
      <c r="I81" s="609"/>
      <c r="J81" s="609"/>
      <c r="K81" s="609"/>
    </row>
    <row r="82" spans="1:11" ht="15.75" customHeight="1">
      <c r="A82" s="951">
        <f t="shared" si="1"/>
        <v>33</v>
      </c>
      <c r="B82" s="949">
        <f>+NOMINA!C75</f>
        <v>10319457</v>
      </c>
      <c r="C82" s="949" t="str">
        <f>+NOMINA!D75</f>
        <v>Marquez Marquez Maribel del Valle</v>
      </c>
      <c r="D82" s="949" t="str">
        <f>+NOMINA!O75</f>
        <v>Secretario Ejecutivo III</v>
      </c>
      <c r="E82" s="952">
        <f>+NOMINA!H75</f>
        <v>38831</v>
      </c>
      <c r="F82" s="953">
        <f>+NOMINA!BT75</f>
        <v>7.2</v>
      </c>
      <c r="G82" s="608"/>
      <c r="H82" s="609"/>
      <c r="I82" s="609"/>
      <c r="J82" s="609"/>
      <c r="K82" s="609"/>
    </row>
    <row r="83" spans="1:11" ht="15.75" customHeight="1">
      <c r="A83" s="951">
        <f t="shared" si="1"/>
        <v>34</v>
      </c>
      <c r="B83" s="949">
        <f>+NOMINA!C76</f>
        <v>10396379</v>
      </c>
      <c r="C83" s="949" t="str">
        <f>+NOMINA!D76</f>
        <v>Ruiz Luis Alfonzo</v>
      </c>
      <c r="D83" s="949" t="str">
        <f>+NOMINA!O76</f>
        <v>ENTRENADOR DEPORTIVO II</v>
      </c>
      <c r="E83" s="952">
        <f>+NOMINA!H76</f>
        <v>44743</v>
      </c>
      <c r="F83" s="953">
        <f>+NOMINA!BT76</f>
        <v>5.26</v>
      </c>
      <c r="G83" s="608"/>
      <c r="H83" s="609"/>
      <c r="I83" s="609"/>
      <c r="J83" s="609"/>
      <c r="K83" s="609"/>
    </row>
    <row r="84" spans="1:11" ht="15.75" customHeight="1">
      <c r="A84" s="951">
        <f t="shared" si="1"/>
        <v>35</v>
      </c>
      <c r="B84" s="949">
        <f>+NOMINA!C77</f>
        <v>10398694</v>
      </c>
      <c r="C84" s="949" t="str">
        <f>+NOMINA!D77</f>
        <v>Santana Briceño Jose Gregorio</v>
      </c>
      <c r="D84" s="949" t="str">
        <f>+NOMINA!O77</f>
        <v>Guia de Centro I</v>
      </c>
      <c r="E84" s="952">
        <f>+NOMINA!H77</f>
        <v>44743</v>
      </c>
      <c r="F84" s="953">
        <f>+NOMINA!BT77</f>
        <v>13.3</v>
      </c>
      <c r="G84" s="608"/>
      <c r="H84" s="609"/>
      <c r="I84" s="609"/>
      <c r="J84" s="609"/>
      <c r="K84" s="609"/>
    </row>
    <row r="85" spans="1:11" ht="15.75" customHeight="1">
      <c r="A85" s="951">
        <f t="shared" si="1"/>
        <v>36</v>
      </c>
      <c r="B85" s="949">
        <f>+NOMINA!C78</f>
        <v>10399064</v>
      </c>
      <c r="C85" s="949" t="str">
        <f>+NOMINA!D78</f>
        <v>Perdomo Perdomo Angela Aurora</v>
      </c>
      <c r="D85" s="949" t="str">
        <f>+NOMINA!O78</f>
        <v>Guia de Centro II</v>
      </c>
      <c r="E85" s="952">
        <f>+NOMINA!H78</f>
        <v>39328</v>
      </c>
      <c r="F85" s="953">
        <f>+NOMINA!BT78</f>
        <v>12.6</v>
      </c>
      <c r="G85" s="608"/>
      <c r="H85" s="609"/>
      <c r="I85" s="609"/>
      <c r="J85" s="609"/>
      <c r="K85" s="609"/>
    </row>
    <row r="86" spans="1:11" ht="15.75" customHeight="1">
      <c r="A86" s="951">
        <f t="shared" si="1"/>
        <v>37</v>
      </c>
      <c r="B86" s="949">
        <f>+NOMINA!C79</f>
        <v>10400214</v>
      </c>
      <c r="C86" s="949" t="str">
        <f>+NOMINA!D79</f>
        <v>Bastidas Yanitza Del Valle</v>
      </c>
      <c r="D86" s="949" t="str">
        <f>+NOMINA!O79</f>
        <v>Guia de Centro II</v>
      </c>
      <c r="E86" s="952">
        <f>+NOMINA!H79</f>
        <v>41153</v>
      </c>
      <c r="F86" s="953">
        <f>+NOMINA!BT79</f>
        <v>12.04</v>
      </c>
      <c r="G86" s="608"/>
      <c r="H86" s="609"/>
      <c r="I86" s="609"/>
      <c r="J86" s="609"/>
      <c r="K86" s="609"/>
    </row>
    <row r="87" spans="1:11" ht="15.75" customHeight="1">
      <c r="A87" s="951">
        <f t="shared" si="1"/>
        <v>38</v>
      </c>
      <c r="B87" s="949">
        <f>+NOMINA!C80</f>
        <v>10400365</v>
      </c>
      <c r="C87" s="949" t="str">
        <f>+NOMINA!D80</f>
        <v>Briceño Ruiz Sara Josefina</v>
      </c>
      <c r="D87" s="949" t="str">
        <f>+NOMINA!O80</f>
        <v>Supervisor de Servicios Generales IV</v>
      </c>
      <c r="E87" s="952">
        <f>+NOMINA!H80</f>
        <v>39328</v>
      </c>
      <c r="F87" s="953">
        <f>+NOMINA!BT80</f>
        <v>9.6999999999999993</v>
      </c>
      <c r="G87" s="608"/>
      <c r="H87" s="609"/>
      <c r="I87" s="609"/>
      <c r="J87" s="609"/>
      <c r="K87" s="609"/>
    </row>
    <row r="88" spans="1:11" ht="15.75" customHeight="1">
      <c r="A88" s="951">
        <f t="shared" si="1"/>
        <v>39</v>
      </c>
      <c r="B88" s="949">
        <f>+NOMINA!C81</f>
        <v>10400876</v>
      </c>
      <c r="C88" s="949" t="str">
        <f>+NOMINA!D81</f>
        <v>Ramirez Vergara Graciela De Jesus</v>
      </c>
      <c r="D88" s="949" t="str">
        <f>+NOMINA!O81</f>
        <v>Analista de Procesamiento de Datos I</v>
      </c>
      <c r="E88" s="952">
        <f>+NOMINA!H81</f>
        <v>43556</v>
      </c>
      <c r="F88" s="953">
        <f>+NOMINA!BT81</f>
        <v>9.52</v>
      </c>
      <c r="G88" s="608"/>
      <c r="H88" s="609"/>
      <c r="I88" s="609"/>
      <c r="J88" s="609"/>
      <c r="K88" s="609"/>
    </row>
    <row r="89" spans="1:11" ht="15.75" customHeight="1">
      <c r="A89" s="951">
        <f t="shared" si="1"/>
        <v>40</v>
      </c>
      <c r="B89" s="949">
        <f>+NOMINA!C82</f>
        <v>10404528</v>
      </c>
      <c r="C89" s="949" t="str">
        <f>+NOMINA!D82</f>
        <v>Perez Castellano Javier Horacio</v>
      </c>
      <c r="D89" s="949" t="str">
        <f>+NOMINA!O82</f>
        <v>Administrador IV</v>
      </c>
      <c r="E89" s="952">
        <f>+NOMINA!H82</f>
        <v>37622</v>
      </c>
      <c r="F89" s="953">
        <f>+NOMINA!BT82</f>
        <v>0</v>
      </c>
      <c r="G89" s="608"/>
      <c r="H89" s="609"/>
      <c r="I89" s="609"/>
      <c r="J89" s="609"/>
      <c r="K89" s="609"/>
    </row>
    <row r="90" spans="1:11" ht="15.75" customHeight="1">
      <c r="A90" s="951">
        <f t="shared" si="1"/>
        <v>41</v>
      </c>
      <c r="B90" s="949">
        <f>+NOMINA!C83</f>
        <v>10906110</v>
      </c>
      <c r="C90" s="949" t="str">
        <f>+NOMINA!D83</f>
        <v>Linares Prato Yraima Gregoria</v>
      </c>
      <c r="D90" s="949" t="str">
        <f>+NOMINA!O83</f>
        <v>Guia de Centro I</v>
      </c>
      <c r="E90" s="952">
        <f>+NOMINA!H83</f>
        <v>45292</v>
      </c>
      <c r="F90" s="953">
        <f>+NOMINA!BT83</f>
        <v>6.8</v>
      </c>
      <c r="G90" s="608"/>
      <c r="H90" s="609"/>
      <c r="I90" s="609"/>
      <c r="J90" s="609"/>
      <c r="K90" s="609"/>
    </row>
    <row r="91" spans="1:11" ht="15.75" customHeight="1">
      <c r="A91" s="951">
        <f t="shared" si="1"/>
        <v>42</v>
      </c>
      <c r="B91" s="949">
        <f>+NOMINA!C84</f>
        <v>10906923</v>
      </c>
      <c r="C91" s="949" t="str">
        <f>+NOMINA!D84</f>
        <v>Cruz de Rodriguez Yanet Coromoto</v>
      </c>
      <c r="D91" s="949" t="str">
        <f>+NOMINA!O84</f>
        <v>Guia de Centro I</v>
      </c>
      <c r="E91" s="952">
        <f>+NOMINA!H84</f>
        <v>44636</v>
      </c>
      <c r="F91" s="953">
        <f>+NOMINA!BT84</f>
        <v>8.1199999999999992</v>
      </c>
      <c r="G91" s="608"/>
      <c r="H91" s="609"/>
      <c r="I91" s="609"/>
      <c r="J91" s="609"/>
      <c r="K91" s="609"/>
    </row>
    <row r="92" spans="1:11" ht="15.75" customHeight="1">
      <c r="A92" s="951">
        <f t="shared" si="1"/>
        <v>43</v>
      </c>
      <c r="B92" s="949">
        <f>+NOMINA!C85</f>
        <v>10908510</v>
      </c>
      <c r="C92" s="949" t="str">
        <f>+NOMINA!D85</f>
        <v>Castro de Vielma Yanira Rosa</v>
      </c>
      <c r="D92" s="949" t="str">
        <f>+NOMINA!O85</f>
        <v>Jefe de Centro</v>
      </c>
      <c r="E92" s="952">
        <f>+NOMINA!H85</f>
        <v>39874</v>
      </c>
      <c r="F92" s="953">
        <f>+NOMINA!BT85</f>
        <v>12.42</v>
      </c>
      <c r="G92" s="608"/>
      <c r="H92" s="609"/>
      <c r="I92" s="609"/>
      <c r="J92" s="609"/>
      <c r="K92" s="609"/>
    </row>
    <row r="93" spans="1:11" ht="15.75" customHeight="1">
      <c r="A93" s="951">
        <f t="shared" si="1"/>
        <v>44</v>
      </c>
      <c r="B93" s="949">
        <f>+NOMINA!C86</f>
        <v>10909245</v>
      </c>
      <c r="C93" s="949" t="str">
        <f>+NOMINA!D86</f>
        <v>Delduca Moreno Luisa</v>
      </c>
      <c r="D93" s="949" t="str">
        <f>+NOMINA!O86</f>
        <v>Guia de Centro II</v>
      </c>
      <c r="E93" s="952">
        <f>+NOMINA!H86</f>
        <v>36054</v>
      </c>
      <c r="F93" s="953">
        <f>+NOMINA!BT86</f>
        <v>13.3</v>
      </c>
      <c r="G93" s="608"/>
      <c r="H93" s="609"/>
      <c r="I93" s="609"/>
      <c r="J93" s="609"/>
      <c r="K93" s="609"/>
    </row>
    <row r="94" spans="1:11" ht="15.75" customHeight="1">
      <c r="A94" s="951">
        <f t="shared" si="1"/>
        <v>45</v>
      </c>
      <c r="B94" s="949">
        <f>+NOMINA!C87</f>
        <v>10910698</v>
      </c>
      <c r="C94" s="949" t="str">
        <f>+NOMINA!D87</f>
        <v>Rangel Briceño Marcial Segundo</v>
      </c>
      <c r="D94" s="949" t="str">
        <f>+NOMINA!O87</f>
        <v>Asistente Administrativo II</v>
      </c>
      <c r="E94" s="952">
        <f>+NOMINA!H87</f>
        <v>43891</v>
      </c>
      <c r="F94" s="953">
        <f>+NOMINA!BT87</f>
        <v>5.72</v>
      </c>
      <c r="G94" s="608"/>
      <c r="H94" s="609"/>
      <c r="I94" s="609"/>
      <c r="J94" s="609"/>
      <c r="K94" s="609"/>
    </row>
    <row r="95" spans="1:11" ht="15.75" customHeight="1">
      <c r="A95" s="951">
        <f t="shared" si="1"/>
        <v>46</v>
      </c>
      <c r="B95" s="949">
        <f>+NOMINA!C88</f>
        <v>10912595</v>
      </c>
      <c r="C95" s="949" t="str">
        <f>+NOMINA!D88</f>
        <v>Delfin Bustos Jose Hercilio</v>
      </c>
      <c r="D95" s="949" t="str">
        <f>+NOMINA!O88</f>
        <v>Guia de Centro II</v>
      </c>
      <c r="E95" s="952">
        <f>+NOMINA!H88</f>
        <v>36039</v>
      </c>
      <c r="F95" s="953">
        <f>+NOMINA!BT88</f>
        <v>0</v>
      </c>
      <c r="G95" s="608"/>
      <c r="H95" s="609"/>
      <c r="I95" s="609"/>
      <c r="J95" s="609"/>
      <c r="K95" s="609"/>
    </row>
    <row r="96" spans="1:11" ht="15.75" customHeight="1">
      <c r="A96" s="951">
        <f t="shared" si="1"/>
        <v>47</v>
      </c>
      <c r="B96" s="949">
        <f>+NOMINA!C89</f>
        <v>10913178</v>
      </c>
      <c r="C96" s="949" t="str">
        <f>+NOMINA!D89</f>
        <v>Garcia Moreno Iris Josefina</v>
      </c>
      <c r="D96" s="949" t="str">
        <f>+NOMINA!O89</f>
        <v>Asistente de Servicio Social</v>
      </c>
      <c r="E96" s="952">
        <f>+NOMINA!H89</f>
        <v>44805</v>
      </c>
      <c r="F96" s="953">
        <f>+NOMINA!BT89</f>
        <v>6.46</v>
      </c>
      <c r="G96" s="608"/>
      <c r="H96" s="609"/>
      <c r="I96" s="609"/>
      <c r="J96" s="609"/>
      <c r="K96" s="609"/>
    </row>
    <row r="97" spans="1:11" ht="15.75" customHeight="1">
      <c r="A97" s="951">
        <f t="shared" si="1"/>
        <v>48</v>
      </c>
      <c r="B97" s="949">
        <f>+NOMINA!C90</f>
        <v>10913637</v>
      </c>
      <c r="C97" s="949" t="str">
        <f>+NOMINA!D90</f>
        <v>Angarita Hernandez Ana Del Carmen</v>
      </c>
      <c r="D97" s="949" t="str">
        <f>+NOMINA!O90</f>
        <v>Guia de Centro II</v>
      </c>
      <c r="E97" s="952">
        <f>+NOMINA!H90</f>
        <v>40664</v>
      </c>
      <c r="F97" s="953">
        <f>+NOMINA!BT90</f>
        <v>14.82</v>
      </c>
      <c r="G97" s="608"/>
      <c r="H97" s="609"/>
      <c r="I97" s="609"/>
      <c r="J97" s="609"/>
      <c r="K97" s="609"/>
    </row>
    <row r="98" spans="1:11" ht="15.75" customHeight="1">
      <c r="A98" s="951">
        <f t="shared" si="1"/>
        <v>49</v>
      </c>
      <c r="B98" s="949">
        <f>+NOMINA!C91</f>
        <v>10915223</v>
      </c>
      <c r="C98" s="949" t="str">
        <f>+NOMINA!D91</f>
        <v>Contreras Rojo Gerardo Alexander</v>
      </c>
      <c r="D98" s="949" t="str">
        <f>+NOMINA!O91</f>
        <v>Tutor Facilitador III</v>
      </c>
      <c r="E98" s="952">
        <f>+NOMINA!H91</f>
        <v>35339</v>
      </c>
      <c r="F98" s="953">
        <f>+NOMINA!BT91</f>
        <v>14.6</v>
      </c>
      <c r="G98" s="608"/>
      <c r="H98" s="609"/>
      <c r="I98" s="609"/>
      <c r="J98" s="609"/>
      <c r="K98" s="609"/>
    </row>
    <row r="99" spans="1:11" ht="15.75" customHeight="1">
      <c r="A99" s="951">
        <f t="shared" si="1"/>
        <v>50</v>
      </c>
      <c r="B99" s="949">
        <f>+NOMINA!C92</f>
        <v>10915384</v>
      </c>
      <c r="C99" s="949" t="str">
        <f>+NOMINA!D92</f>
        <v>Rojas Hernandez Morela Del Carmen</v>
      </c>
      <c r="D99" s="949" t="str">
        <f>+NOMINA!O92</f>
        <v>Guia de Centro II</v>
      </c>
      <c r="E99" s="952">
        <f>+NOMINA!H92</f>
        <v>43147</v>
      </c>
      <c r="F99" s="953">
        <f>+NOMINA!BT92</f>
        <v>11.38</v>
      </c>
      <c r="G99" s="608"/>
      <c r="H99" s="609"/>
      <c r="I99" s="609"/>
      <c r="J99" s="609"/>
      <c r="K99" s="609"/>
    </row>
    <row r="100" spans="1:11" ht="15.75" customHeight="1">
      <c r="A100" s="951">
        <f t="shared" si="1"/>
        <v>51</v>
      </c>
      <c r="B100" s="949">
        <f>+NOMINA!C93</f>
        <v>10915597</v>
      </c>
      <c r="C100" s="949" t="str">
        <f>+NOMINA!D93</f>
        <v>Carrillo Altuve Maria Mercedes</v>
      </c>
      <c r="D100" s="949" t="str">
        <f>+NOMINA!O93</f>
        <v>Guia de Centro I</v>
      </c>
      <c r="E100" s="952">
        <f>+NOMINA!H93</f>
        <v>44501</v>
      </c>
      <c r="F100" s="953">
        <f>+NOMINA!BT93</f>
        <v>12.94</v>
      </c>
      <c r="G100" s="608"/>
      <c r="H100" s="609"/>
      <c r="I100" s="609"/>
      <c r="J100" s="609"/>
      <c r="K100" s="609"/>
    </row>
    <row r="101" spans="1:11" ht="15.75" customHeight="1">
      <c r="A101" s="951">
        <f t="shared" si="1"/>
        <v>52</v>
      </c>
      <c r="B101" s="949">
        <f>+NOMINA!C94</f>
        <v>11128954</v>
      </c>
      <c r="C101" s="949" t="str">
        <f>+NOMINA!D94</f>
        <v>Soto Lopez Rafael Maria</v>
      </c>
      <c r="D101" s="949" t="str">
        <f>+NOMINA!O94</f>
        <v>Guia de Centro I</v>
      </c>
      <c r="E101" s="952">
        <f>+NOMINA!H94</f>
        <v>45170</v>
      </c>
      <c r="F101" s="953">
        <f>+NOMINA!BT94</f>
        <v>13.7</v>
      </c>
      <c r="G101" s="608"/>
      <c r="H101" s="609"/>
      <c r="I101" s="609"/>
      <c r="J101" s="609"/>
      <c r="K101" s="609"/>
    </row>
    <row r="102" spans="1:11" ht="15.75" customHeight="1">
      <c r="A102" s="951">
        <f t="shared" si="1"/>
        <v>53</v>
      </c>
      <c r="B102" s="949">
        <f>+NOMINA!C95</f>
        <v>11132900</v>
      </c>
      <c r="C102" s="949" t="str">
        <f>+NOMINA!D95</f>
        <v>Morillo Valero Ender Ramon</v>
      </c>
      <c r="D102" s="949" t="str">
        <f>+NOMINA!O95</f>
        <v>Guia de Centro I</v>
      </c>
      <c r="E102" s="952">
        <f>+NOMINA!H95</f>
        <v>44866</v>
      </c>
      <c r="F102" s="953">
        <f>+NOMINA!BT95</f>
        <v>10.16</v>
      </c>
      <c r="G102" s="608"/>
      <c r="H102" s="609"/>
      <c r="I102" s="609"/>
      <c r="J102" s="609"/>
      <c r="K102" s="609"/>
    </row>
    <row r="103" spans="1:11" ht="15.75" customHeight="1">
      <c r="A103" s="951">
        <f t="shared" si="1"/>
        <v>54</v>
      </c>
      <c r="B103" s="949">
        <f>+NOMINA!C96</f>
        <v>11132943</v>
      </c>
      <c r="C103" s="949" t="str">
        <f>+NOMINA!D96</f>
        <v>Materano Delgado Yoleida Josefina</v>
      </c>
      <c r="D103" s="949" t="str">
        <f>+NOMINA!O96</f>
        <v>Guia de Centro II</v>
      </c>
      <c r="E103" s="952">
        <f>+NOMINA!H96</f>
        <v>39738</v>
      </c>
      <c r="F103" s="953">
        <f>+NOMINA!BT96</f>
        <v>6.82</v>
      </c>
      <c r="G103" s="608"/>
      <c r="H103" s="609"/>
      <c r="I103" s="609"/>
      <c r="J103" s="609"/>
      <c r="K103" s="609"/>
    </row>
    <row r="104" spans="1:11" ht="15.75" customHeight="1">
      <c r="A104" s="951">
        <f t="shared" si="1"/>
        <v>55</v>
      </c>
      <c r="B104" s="949">
        <f>+NOMINA!C97</f>
        <v>11132979</v>
      </c>
      <c r="C104" s="949" t="str">
        <f>+NOMINA!D97</f>
        <v>Olivar Santana Maria Valbina</v>
      </c>
      <c r="D104" s="949" t="str">
        <f>+NOMINA!O97</f>
        <v>Guia de Centro II</v>
      </c>
      <c r="E104" s="952">
        <f>+NOMINA!H97</f>
        <v>44348</v>
      </c>
      <c r="F104" s="953">
        <f>+NOMINA!BT97</f>
        <v>15.56</v>
      </c>
      <c r="G104" s="608"/>
      <c r="H104" s="609"/>
      <c r="I104" s="609"/>
      <c r="J104" s="609"/>
      <c r="K104" s="609"/>
    </row>
    <row r="105" spans="1:11" ht="15.75" customHeight="1">
      <c r="A105" s="951">
        <f t="shared" si="1"/>
        <v>56</v>
      </c>
      <c r="B105" s="949">
        <f>+NOMINA!C98</f>
        <v>11257247</v>
      </c>
      <c r="C105" s="949" t="str">
        <f>+NOMINA!D98</f>
        <v>Chacin Sanchez Eduard Fabian</v>
      </c>
      <c r="D105" s="949" t="str">
        <f>+NOMINA!O98</f>
        <v>DELEGADO PRUEBA III</v>
      </c>
      <c r="E105" s="952">
        <f>+NOMINA!H98</f>
        <v>42492</v>
      </c>
      <c r="F105" s="953">
        <f>+NOMINA!BT98</f>
        <v>11.14</v>
      </c>
      <c r="G105" s="608"/>
      <c r="H105" s="609"/>
      <c r="I105" s="609"/>
      <c r="J105" s="609"/>
      <c r="K105" s="609"/>
    </row>
    <row r="106" spans="1:11" ht="15.75" customHeight="1">
      <c r="A106" s="951">
        <f t="shared" si="1"/>
        <v>57</v>
      </c>
      <c r="B106" s="949">
        <f>+NOMINA!C99</f>
        <v>11318142</v>
      </c>
      <c r="C106" s="949" t="str">
        <f>+NOMINA!D99</f>
        <v>Perdomo Rosales Modesto Ramon</v>
      </c>
      <c r="D106" s="949" t="str">
        <f>+NOMINA!O99</f>
        <v>Almacenista II</v>
      </c>
      <c r="E106" s="952">
        <f>+NOMINA!H99</f>
        <v>43983</v>
      </c>
      <c r="F106" s="953">
        <f>+NOMINA!BT99</f>
        <v>5.72</v>
      </c>
      <c r="G106" s="608"/>
      <c r="H106" s="609"/>
      <c r="I106" s="609"/>
      <c r="J106" s="609"/>
      <c r="K106" s="609"/>
    </row>
    <row r="107" spans="1:11" ht="15.75" customHeight="1">
      <c r="A107" s="951">
        <f t="shared" si="1"/>
        <v>58</v>
      </c>
      <c r="B107" s="949">
        <f>+NOMINA!C100</f>
        <v>11318697</v>
      </c>
      <c r="C107" s="949" t="str">
        <f>+NOMINA!D100</f>
        <v>Sardi Hernandez Gladis Josefina</v>
      </c>
      <c r="D107" s="949" t="str">
        <f>+NOMINA!O100</f>
        <v>Asistente Administrativo III</v>
      </c>
      <c r="E107" s="952">
        <f>+NOMINA!H100</f>
        <v>39539</v>
      </c>
      <c r="F107" s="953">
        <f>+NOMINA!BT100</f>
        <v>6.82</v>
      </c>
      <c r="G107" s="608"/>
      <c r="H107" s="609"/>
      <c r="I107" s="609"/>
      <c r="J107" s="609"/>
      <c r="K107" s="609"/>
    </row>
    <row r="108" spans="1:11" ht="15.75" customHeight="1">
      <c r="A108" s="951">
        <f t="shared" si="1"/>
        <v>59</v>
      </c>
      <c r="B108" s="949">
        <f>+NOMINA!C101</f>
        <v>11319154</v>
      </c>
      <c r="C108" s="949" t="str">
        <f>+NOMINA!D101</f>
        <v>Peña Villegas Lisette Carolina</v>
      </c>
      <c r="D108" s="949" t="str">
        <f>+NOMINA!O101</f>
        <v>Guia de Centro II</v>
      </c>
      <c r="E108" s="952">
        <f>+NOMINA!H101</f>
        <v>34428</v>
      </c>
      <c r="F108" s="953">
        <f>+NOMINA!BT101</f>
        <v>14.6</v>
      </c>
      <c r="G108" s="608"/>
      <c r="H108" s="609"/>
      <c r="I108" s="609"/>
      <c r="J108" s="609"/>
      <c r="K108" s="609"/>
    </row>
    <row r="109" spans="1:11" ht="15.75" customHeight="1">
      <c r="A109" s="951">
        <f t="shared" si="1"/>
        <v>60</v>
      </c>
      <c r="B109" s="949">
        <f>+NOMINA!C102</f>
        <v>11320533</v>
      </c>
      <c r="C109" s="949" t="str">
        <f>+NOMINA!D102</f>
        <v>Suarez Chiquin Yaritza Josefina</v>
      </c>
      <c r="D109" s="949" t="str">
        <f>+NOMINA!O102</f>
        <v>Administrador IV</v>
      </c>
      <c r="E109" s="952">
        <f>+NOMINA!H102</f>
        <v>37629</v>
      </c>
      <c r="F109" s="953">
        <f>+NOMINA!BT102</f>
        <v>0</v>
      </c>
      <c r="G109" s="608"/>
      <c r="H109" s="609"/>
      <c r="I109" s="609"/>
      <c r="J109" s="609"/>
      <c r="K109" s="609"/>
    </row>
    <row r="110" spans="1:11" ht="15.75" customHeight="1">
      <c r="A110" s="951">
        <f t="shared" si="1"/>
        <v>61</v>
      </c>
      <c r="B110" s="949">
        <f>+NOMINA!C103</f>
        <v>11322871</v>
      </c>
      <c r="C110" s="949" t="str">
        <f>+NOMINA!D103</f>
        <v>Rivas Albarran Martin Antonio</v>
      </c>
      <c r="D110" s="949" t="str">
        <f>+NOMINA!O103</f>
        <v>Tutor Facilitador III</v>
      </c>
      <c r="E110" s="952">
        <f>+NOMINA!H103</f>
        <v>38718</v>
      </c>
      <c r="F110" s="953">
        <f>+NOMINA!BT103</f>
        <v>12.18</v>
      </c>
      <c r="G110" s="608"/>
      <c r="H110" s="609"/>
      <c r="I110" s="609"/>
      <c r="J110" s="609"/>
      <c r="K110" s="609"/>
    </row>
    <row r="111" spans="1:11" ht="15.75" customHeight="1">
      <c r="A111" s="951">
        <f t="shared" si="1"/>
        <v>62</v>
      </c>
      <c r="B111" s="949">
        <f>+NOMINA!C104</f>
        <v>11616673</v>
      </c>
      <c r="C111" s="949" t="str">
        <f>+NOMINA!D104</f>
        <v>Perdomo Orlando Jose</v>
      </c>
      <c r="D111" s="949" t="str">
        <f>+NOMINA!O104</f>
        <v>Tutor Facilitador III</v>
      </c>
      <c r="E111" s="952">
        <f>+NOMINA!H104</f>
        <v>35066</v>
      </c>
      <c r="F111" s="953">
        <f>+NOMINA!BT104</f>
        <v>12.58</v>
      </c>
      <c r="G111" s="608"/>
      <c r="H111" s="609"/>
      <c r="I111" s="609"/>
      <c r="J111" s="609"/>
      <c r="K111" s="609"/>
    </row>
    <row r="112" spans="1:11" ht="15.75" customHeight="1">
      <c r="A112" s="951">
        <f t="shared" si="1"/>
        <v>63</v>
      </c>
      <c r="B112" s="949">
        <f>+NOMINA!C105</f>
        <v>11734553</v>
      </c>
      <c r="C112" s="949" t="str">
        <f>+NOMINA!D105</f>
        <v>Teran Torres Olga del Carmen</v>
      </c>
      <c r="D112" s="949" t="str">
        <f>+NOMINA!O105</f>
        <v>Tutor Facilitador III</v>
      </c>
      <c r="E112" s="952">
        <f>+NOMINA!H105</f>
        <v>43206</v>
      </c>
      <c r="F112" s="953">
        <f>+NOMINA!BT105</f>
        <v>12.34</v>
      </c>
      <c r="G112" s="608"/>
      <c r="H112" s="609"/>
      <c r="I112" s="609"/>
      <c r="J112" s="609"/>
      <c r="K112" s="609"/>
    </row>
    <row r="113" spans="1:11" ht="15.75" customHeight="1">
      <c r="A113" s="951">
        <f t="shared" si="1"/>
        <v>64</v>
      </c>
      <c r="B113" s="949">
        <f>+NOMINA!C106</f>
        <v>11894534</v>
      </c>
      <c r="C113" s="949" t="str">
        <f>+NOMINA!D106</f>
        <v>Olmos Rodriguez Eberto de Jesus</v>
      </c>
      <c r="D113" s="949" t="str">
        <f>+NOMINA!O106</f>
        <v>Administrador Jefe</v>
      </c>
      <c r="E113" s="952">
        <f>+NOMINA!H106</f>
        <v>40909</v>
      </c>
      <c r="F113" s="953">
        <f>+NOMINA!BT106</f>
        <v>0</v>
      </c>
      <c r="G113" s="608"/>
      <c r="H113" s="609"/>
      <c r="I113" s="609"/>
      <c r="J113" s="609"/>
      <c r="K113" s="609"/>
    </row>
    <row r="114" spans="1:11" ht="15.75" customHeight="1">
      <c r="A114" s="951">
        <f t="shared" si="1"/>
        <v>65</v>
      </c>
      <c r="B114" s="949">
        <f>+NOMINA!C107</f>
        <v>11895772</v>
      </c>
      <c r="C114" s="949" t="str">
        <f>+NOMINA!D107</f>
        <v>Rangel Rivas Ildemaro</v>
      </c>
      <c r="D114" s="949" t="str">
        <f>+NOMINA!O107</f>
        <v>Entrenador Deportivo II</v>
      </c>
      <c r="E114" s="952">
        <f>+NOMINA!H107</f>
        <v>44743</v>
      </c>
      <c r="F114" s="953">
        <f>+NOMINA!BT107</f>
        <v>0</v>
      </c>
      <c r="G114" s="608"/>
      <c r="H114" s="609"/>
      <c r="I114" s="609"/>
      <c r="J114" s="609"/>
      <c r="K114" s="609"/>
    </row>
    <row r="115" spans="1:11" ht="15.75" customHeight="1">
      <c r="A115" s="951">
        <f t="shared" si="1"/>
        <v>66</v>
      </c>
      <c r="B115" s="949">
        <f>+NOMINA!C108</f>
        <v>11896941</v>
      </c>
      <c r="C115" s="949" t="str">
        <f>+NOMINA!D108</f>
        <v>Justo Angel Jannessy</v>
      </c>
      <c r="D115" s="949" t="str">
        <f>+NOMINA!O108</f>
        <v>Analista de Presupuesto III</v>
      </c>
      <c r="E115" s="952">
        <f>+NOMINA!H108</f>
        <v>38698</v>
      </c>
      <c r="F115" s="953">
        <f>+NOMINA!BT108</f>
        <v>0</v>
      </c>
      <c r="G115" s="608"/>
      <c r="H115" s="609"/>
      <c r="I115" s="609"/>
      <c r="J115" s="609"/>
      <c r="K115" s="609"/>
    </row>
    <row r="116" spans="1:11" ht="15.75" customHeight="1">
      <c r="A116" s="951">
        <f t="shared" ref="A116:A179" si="2">+A115+1</f>
        <v>67</v>
      </c>
      <c r="B116" s="949">
        <f>+NOMINA!C109</f>
        <v>11898486</v>
      </c>
      <c r="C116" s="949" t="str">
        <f>+NOMINA!D109</f>
        <v>Linares Hernandez Thaiz Yoconda</v>
      </c>
      <c r="D116" s="949" t="str">
        <f>+NOMINA!O109</f>
        <v>Asistente Administrativo III</v>
      </c>
      <c r="E116" s="952">
        <f>+NOMINA!H109</f>
        <v>40065</v>
      </c>
      <c r="F116" s="953">
        <f>+NOMINA!BT109</f>
        <v>9.52</v>
      </c>
      <c r="G116" s="608"/>
      <c r="H116" s="609"/>
      <c r="I116" s="609"/>
      <c r="J116" s="609"/>
      <c r="K116" s="609"/>
    </row>
    <row r="117" spans="1:11" ht="15.75" customHeight="1">
      <c r="A117" s="951">
        <f t="shared" si="2"/>
        <v>68</v>
      </c>
      <c r="B117" s="949">
        <f>+NOMINA!C110</f>
        <v>12040792</v>
      </c>
      <c r="C117" s="949" t="str">
        <f>+NOMINA!D110</f>
        <v>Sulbaran Campos Jesus Alberto</v>
      </c>
      <c r="D117" s="949" t="str">
        <f>+NOMINA!O110</f>
        <v>Supervisor de Servicios Generales III</v>
      </c>
      <c r="E117" s="952">
        <f>+NOMINA!H110</f>
        <v>43236</v>
      </c>
      <c r="F117" s="953">
        <f>+NOMINA!BT110</f>
        <v>7.54</v>
      </c>
      <c r="G117" s="608"/>
      <c r="H117" s="609"/>
      <c r="I117" s="609"/>
      <c r="J117" s="609"/>
      <c r="K117" s="609"/>
    </row>
    <row r="118" spans="1:11" ht="15.75" customHeight="1">
      <c r="A118" s="951">
        <f t="shared" si="2"/>
        <v>69</v>
      </c>
      <c r="B118" s="949">
        <f>+NOMINA!C111</f>
        <v>12042855</v>
      </c>
      <c r="C118" s="949" t="str">
        <f>+NOMINA!D111</f>
        <v>Alburguez  Manzanilla Neira Josefina</v>
      </c>
      <c r="D118" s="949" t="str">
        <f>+NOMINA!O111</f>
        <v>Enfermera Jefe I</v>
      </c>
      <c r="E118" s="952">
        <f>+NOMINA!H111</f>
        <v>44028</v>
      </c>
      <c r="F118" s="953">
        <f>+NOMINA!BT111</f>
        <v>8.94</v>
      </c>
      <c r="G118" s="608"/>
      <c r="H118" s="609"/>
      <c r="I118" s="609"/>
      <c r="J118" s="609"/>
      <c r="K118" s="609"/>
    </row>
    <row r="119" spans="1:11" ht="15.75" customHeight="1">
      <c r="A119" s="951">
        <f t="shared" si="2"/>
        <v>70</v>
      </c>
      <c r="B119" s="949">
        <f>+NOMINA!C112</f>
        <v>12045335</v>
      </c>
      <c r="C119" s="949" t="str">
        <f>+NOMINA!D112</f>
        <v>Gonzalez De Briceño Yasmin Coromoto</v>
      </c>
      <c r="D119" s="949" t="str">
        <f>+NOMINA!O112</f>
        <v>Guia de Centro I</v>
      </c>
      <c r="E119" s="952">
        <f>+NOMINA!H112</f>
        <v>45505</v>
      </c>
      <c r="F119" s="953">
        <f>+NOMINA!BT112</f>
        <v>12.22</v>
      </c>
      <c r="G119" s="608"/>
      <c r="H119" s="609"/>
      <c r="I119" s="609"/>
      <c r="J119" s="609"/>
      <c r="K119" s="609"/>
    </row>
    <row r="120" spans="1:11" ht="15.75" customHeight="1">
      <c r="A120" s="951">
        <f t="shared" si="2"/>
        <v>71</v>
      </c>
      <c r="B120" s="949">
        <f>+NOMINA!C113</f>
        <v>12045360</v>
      </c>
      <c r="C120" s="949" t="str">
        <f>+NOMINA!D113</f>
        <v>Montilla Lamus Ana Cristina</v>
      </c>
      <c r="D120" s="949" t="str">
        <f>+NOMINA!O113</f>
        <v>Guia de Centro I</v>
      </c>
      <c r="E120" s="952">
        <f>+NOMINA!H113</f>
        <v>39238</v>
      </c>
      <c r="F120" s="953">
        <f>+NOMINA!BT113</f>
        <v>7.12</v>
      </c>
      <c r="G120" s="608"/>
      <c r="H120" s="609"/>
      <c r="I120" s="609"/>
      <c r="J120" s="609"/>
      <c r="K120" s="609"/>
    </row>
    <row r="121" spans="1:11" ht="15.75" customHeight="1">
      <c r="A121" s="951">
        <f t="shared" si="2"/>
        <v>72</v>
      </c>
      <c r="B121" s="949">
        <f>+NOMINA!C114</f>
        <v>12045504</v>
      </c>
      <c r="C121" s="949" t="str">
        <f>+NOMINA!D114</f>
        <v>Sanchez Olivar Denis Josefina</v>
      </c>
      <c r="D121" s="949" t="str">
        <f>+NOMINA!O114</f>
        <v>Asistente Administrativo II</v>
      </c>
      <c r="E121" s="952">
        <f>+NOMINA!H114</f>
        <v>43862</v>
      </c>
      <c r="F121" s="953">
        <f>+NOMINA!BT114</f>
        <v>6.22</v>
      </c>
      <c r="G121" s="608"/>
      <c r="H121" s="609"/>
      <c r="I121" s="609"/>
      <c r="J121" s="609"/>
      <c r="K121" s="609"/>
    </row>
    <row r="122" spans="1:11" ht="15.75" customHeight="1">
      <c r="A122" s="951">
        <f t="shared" si="2"/>
        <v>73</v>
      </c>
      <c r="B122" s="949">
        <f>+NOMINA!C115</f>
        <v>12045934</v>
      </c>
      <c r="C122" s="949" t="str">
        <f>+NOMINA!D115</f>
        <v>Mendez Olmos Tulio Enrique</v>
      </c>
      <c r="D122" s="949" t="str">
        <f>+NOMINA!O115</f>
        <v>Especialista en Informatica I</v>
      </c>
      <c r="E122" s="952">
        <f>+NOMINA!H115</f>
        <v>36342</v>
      </c>
      <c r="F122" s="953">
        <f>+NOMINA!BT115</f>
        <v>12.58</v>
      </c>
      <c r="G122" s="608"/>
      <c r="H122" s="609"/>
      <c r="I122" s="609"/>
      <c r="J122" s="609"/>
      <c r="K122" s="609"/>
    </row>
    <row r="123" spans="1:11" ht="15.75" customHeight="1">
      <c r="A123" s="951">
        <f t="shared" si="2"/>
        <v>74</v>
      </c>
      <c r="B123" s="949">
        <f>+NOMINA!C116</f>
        <v>12457981</v>
      </c>
      <c r="C123" s="949" t="str">
        <f>+NOMINA!D116</f>
        <v>Escalona Ruiz Luis Alberto</v>
      </c>
      <c r="D123" s="949" t="str">
        <f>+NOMINA!O116</f>
        <v>Medico Especialista II</v>
      </c>
      <c r="E123" s="952">
        <f>+NOMINA!H116</f>
        <v>44348</v>
      </c>
      <c r="F123" s="953">
        <f>+NOMINA!BT116</f>
        <v>8.84</v>
      </c>
      <c r="G123" s="608"/>
      <c r="H123" s="609"/>
      <c r="I123" s="609"/>
      <c r="J123" s="609"/>
      <c r="K123" s="609"/>
    </row>
    <row r="124" spans="1:11" ht="15.75" customHeight="1">
      <c r="A124" s="951">
        <f t="shared" si="2"/>
        <v>75</v>
      </c>
      <c r="B124" s="949">
        <f>+NOMINA!C117</f>
        <v>12458811</v>
      </c>
      <c r="C124" s="949" t="str">
        <f>+NOMINA!D117</f>
        <v>Segovia Rondon Milagros Del Valle</v>
      </c>
      <c r="D124" s="949" t="str">
        <f>+NOMINA!O117</f>
        <v>Analista de Presupuesto Jefe</v>
      </c>
      <c r="E124" s="952">
        <f>+NOMINA!H117</f>
        <v>39514</v>
      </c>
      <c r="F124" s="953">
        <f>+NOMINA!BT117</f>
        <v>14.38</v>
      </c>
      <c r="G124" s="608"/>
      <c r="H124" s="609"/>
      <c r="I124" s="609"/>
      <c r="J124" s="609"/>
      <c r="K124" s="609"/>
    </row>
    <row r="125" spans="1:11" ht="15.75" customHeight="1">
      <c r="A125" s="951">
        <f t="shared" si="2"/>
        <v>76</v>
      </c>
      <c r="B125" s="949">
        <f>+NOMINA!C118</f>
        <v>12458942</v>
      </c>
      <c r="C125" s="949" t="str">
        <f>+NOMINA!D118</f>
        <v>Mendoza Mendoza Mirian Del Milagro</v>
      </c>
      <c r="D125" s="949" t="str">
        <f>+NOMINA!O118</f>
        <v>Administrador Jefe</v>
      </c>
      <c r="E125" s="952">
        <f>+NOMINA!H118</f>
        <v>44424</v>
      </c>
      <c r="F125" s="953">
        <f>+NOMINA!BT118</f>
        <v>0</v>
      </c>
      <c r="G125" s="608"/>
      <c r="H125" s="609"/>
      <c r="I125" s="609"/>
      <c r="J125" s="609"/>
      <c r="K125" s="609"/>
    </row>
    <row r="126" spans="1:11" ht="15.75" customHeight="1">
      <c r="A126" s="951">
        <f t="shared" si="2"/>
        <v>77</v>
      </c>
      <c r="B126" s="949">
        <f>+NOMINA!C119</f>
        <v>12541044</v>
      </c>
      <c r="C126" s="949" t="str">
        <f>+NOMINA!D119</f>
        <v>Rojas Telles Lisbeth Josefina</v>
      </c>
      <c r="D126" s="949" t="str">
        <f>+NOMINA!O119</f>
        <v>Tutor Facilitador I</v>
      </c>
      <c r="E126" s="952">
        <f>+NOMINA!H119</f>
        <v>45597</v>
      </c>
      <c r="F126" s="953">
        <f>+NOMINA!BT119</f>
        <v>9.7200000000000006</v>
      </c>
      <c r="G126" s="608"/>
      <c r="H126" s="609"/>
      <c r="I126" s="609"/>
      <c r="J126" s="609"/>
      <c r="K126" s="609"/>
    </row>
    <row r="127" spans="1:11" ht="15.75" customHeight="1">
      <c r="A127" s="951">
        <f t="shared" si="2"/>
        <v>78</v>
      </c>
      <c r="B127" s="949">
        <f>+NOMINA!C120</f>
        <v>12542413</v>
      </c>
      <c r="C127" s="949" t="str">
        <f>+NOMINA!D120</f>
        <v>Aponte Matheus Richard Alexander</v>
      </c>
      <c r="D127" s="949" t="str">
        <f>+NOMINA!O120</f>
        <v>Guia de Centro II</v>
      </c>
      <c r="E127" s="952">
        <f>+NOMINA!H120</f>
        <v>36434</v>
      </c>
      <c r="F127" s="953">
        <f>+NOMINA!BT120</f>
        <v>0</v>
      </c>
      <c r="G127" s="608"/>
      <c r="H127" s="609"/>
      <c r="I127" s="609"/>
      <c r="J127" s="609"/>
      <c r="K127" s="609"/>
    </row>
    <row r="128" spans="1:11" ht="15.75" customHeight="1">
      <c r="A128" s="951">
        <f t="shared" si="2"/>
        <v>79</v>
      </c>
      <c r="B128" s="949">
        <f>+NOMINA!C121</f>
        <v>12798604</v>
      </c>
      <c r="C128" s="949" t="str">
        <f>+NOMINA!D121</f>
        <v>Camacho Gomez Trina Margarita</v>
      </c>
      <c r="D128" s="949" t="str">
        <f>+NOMINA!O121</f>
        <v>Guia de Centro II</v>
      </c>
      <c r="E128" s="952">
        <f>+NOMINA!H121</f>
        <v>35384</v>
      </c>
      <c r="F128" s="953">
        <f>+NOMINA!BT121</f>
        <v>7.46</v>
      </c>
      <c r="G128" s="608"/>
      <c r="H128" s="609"/>
      <c r="I128" s="609"/>
      <c r="J128" s="609"/>
      <c r="K128" s="609"/>
    </row>
    <row r="129" spans="1:11" ht="15.75" customHeight="1">
      <c r="A129" s="951">
        <f t="shared" si="2"/>
        <v>80</v>
      </c>
      <c r="B129" s="949">
        <f>+NOMINA!C122</f>
        <v>12798736</v>
      </c>
      <c r="C129" s="949" t="str">
        <f>+NOMINA!D122</f>
        <v>Gonzalez Pabon Marianela</v>
      </c>
      <c r="D129" s="949" t="str">
        <f>+NOMINA!O122</f>
        <v>Analista de Personal VI</v>
      </c>
      <c r="E129" s="952">
        <f>+NOMINA!H122</f>
        <v>39479</v>
      </c>
      <c r="F129" s="953">
        <f>+NOMINA!BT122</f>
        <v>13.84</v>
      </c>
      <c r="G129" s="608"/>
      <c r="H129" s="609"/>
      <c r="I129" s="609"/>
      <c r="J129" s="609"/>
      <c r="K129" s="609"/>
    </row>
    <row r="130" spans="1:11" ht="15.75" customHeight="1">
      <c r="A130" s="951">
        <f t="shared" si="2"/>
        <v>81</v>
      </c>
      <c r="B130" s="949">
        <f>+NOMINA!C123</f>
        <v>12939010</v>
      </c>
      <c r="C130" s="949" t="str">
        <f>+NOMINA!D123</f>
        <v>Mendez de Viloria Yelitza Del Valle</v>
      </c>
      <c r="D130" s="949" t="str">
        <f>+NOMINA!O123</f>
        <v>Asistente Administrativo III</v>
      </c>
      <c r="E130" s="952">
        <f>+NOMINA!H123</f>
        <v>42948</v>
      </c>
      <c r="F130" s="953">
        <f>+NOMINA!BT123</f>
        <v>9.18</v>
      </c>
      <c r="G130" s="608"/>
      <c r="H130" s="609"/>
      <c r="I130" s="609"/>
      <c r="J130" s="609"/>
      <c r="K130" s="609"/>
    </row>
    <row r="131" spans="1:11" ht="15.75" customHeight="1">
      <c r="A131" s="951">
        <f t="shared" si="2"/>
        <v>82</v>
      </c>
      <c r="B131" s="949">
        <f>+NOMINA!C124</f>
        <v>12941385</v>
      </c>
      <c r="C131" s="949" t="str">
        <f>+NOMINA!D124</f>
        <v>Torres de Gonzalez Milangela Maria</v>
      </c>
      <c r="D131" s="949" t="str">
        <f>+NOMINA!O124</f>
        <v>Tutor Facilitador III</v>
      </c>
      <c r="E131" s="952">
        <f>+NOMINA!H124</f>
        <v>42948</v>
      </c>
      <c r="F131" s="953">
        <f>+NOMINA!BT124</f>
        <v>10.74</v>
      </c>
      <c r="G131" s="608"/>
      <c r="H131" s="609"/>
      <c r="I131" s="609"/>
      <c r="J131" s="609"/>
      <c r="K131" s="609"/>
    </row>
    <row r="132" spans="1:11" ht="15.75" customHeight="1">
      <c r="A132" s="951">
        <f t="shared" si="2"/>
        <v>83</v>
      </c>
      <c r="B132" s="949">
        <f>+NOMINA!C125</f>
        <v>13117904</v>
      </c>
      <c r="C132" s="949" t="str">
        <f>+NOMINA!D125</f>
        <v>Villegas Jaime Antonio</v>
      </c>
      <c r="D132" s="949" t="str">
        <f>+NOMINA!O125</f>
        <v>Guia de Centro I</v>
      </c>
      <c r="E132" s="952">
        <f>+NOMINA!H125</f>
        <v>43693</v>
      </c>
      <c r="F132" s="953">
        <f>+NOMINA!BT125</f>
        <v>7.8</v>
      </c>
      <c r="G132" s="608"/>
      <c r="H132" s="609"/>
      <c r="I132" s="609"/>
      <c r="J132" s="609"/>
      <c r="K132" s="609"/>
    </row>
    <row r="133" spans="1:11" ht="15.75" customHeight="1">
      <c r="A133" s="951">
        <f t="shared" si="2"/>
        <v>84</v>
      </c>
      <c r="B133" s="949">
        <f>+NOMINA!C126</f>
        <v>13206767</v>
      </c>
      <c r="C133" s="949" t="str">
        <f>+NOMINA!D126</f>
        <v>Bastidas Guerra Soralis del Valle</v>
      </c>
      <c r="D133" s="949" t="str">
        <f>+NOMINA!O126</f>
        <v>Abogado I</v>
      </c>
      <c r="E133" s="952">
        <f>+NOMINA!H126</f>
        <v>44713</v>
      </c>
      <c r="F133" s="953">
        <f>+NOMINA!BT126</f>
        <v>0</v>
      </c>
      <c r="G133" s="608"/>
      <c r="H133" s="609"/>
      <c r="I133" s="609"/>
      <c r="J133" s="609"/>
      <c r="K133" s="609"/>
    </row>
    <row r="134" spans="1:11" ht="15.75" customHeight="1">
      <c r="A134" s="951">
        <f t="shared" si="2"/>
        <v>85</v>
      </c>
      <c r="B134" s="949">
        <f>+NOMINA!C127</f>
        <v>13207692</v>
      </c>
      <c r="C134" s="949" t="str">
        <f>+NOMINA!D127</f>
        <v>Macias Briceño Alejandra Coromoto</v>
      </c>
      <c r="D134" s="949" t="str">
        <f>+NOMINA!O127</f>
        <v>Administrador III</v>
      </c>
      <c r="E134" s="952">
        <f>+NOMINA!H127</f>
        <v>38504</v>
      </c>
      <c r="F134" s="953">
        <f>+NOMINA!BT127</f>
        <v>12.8</v>
      </c>
      <c r="G134" s="608"/>
      <c r="H134" s="609"/>
      <c r="I134" s="609"/>
      <c r="J134" s="609"/>
      <c r="K134" s="609"/>
    </row>
    <row r="135" spans="1:11" ht="15.75" customHeight="1">
      <c r="A135" s="951">
        <f t="shared" si="2"/>
        <v>86</v>
      </c>
      <c r="B135" s="949">
        <f>+NOMINA!C128</f>
        <v>13260050</v>
      </c>
      <c r="C135" s="949" t="str">
        <f>+NOMINA!D128</f>
        <v>Mendoza Vieras Maria Elena</v>
      </c>
      <c r="D135" s="949" t="str">
        <f>+NOMINA!O128</f>
        <v>ADMINISTRADOR III</v>
      </c>
      <c r="E135" s="952">
        <f>+NOMINA!H128</f>
        <v>45444</v>
      </c>
      <c r="F135" s="953">
        <f>+NOMINA!BT128</f>
        <v>11.3</v>
      </c>
      <c r="G135" s="608"/>
      <c r="H135" s="609"/>
      <c r="I135" s="609"/>
      <c r="J135" s="609"/>
      <c r="K135" s="609"/>
    </row>
    <row r="136" spans="1:11" ht="15.75" customHeight="1">
      <c r="A136" s="951">
        <f t="shared" si="2"/>
        <v>87</v>
      </c>
      <c r="B136" s="949">
        <f>+NOMINA!C129</f>
        <v>13260933</v>
      </c>
      <c r="C136" s="949" t="str">
        <f>+NOMINA!D129</f>
        <v>Venegas Azuaje Freddy Jose</v>
      </c>
      <c r="D136" s="949" t="str">
        <f>+NOMINA!O129</f>
        <v>Guia de Centro I</v>
      </c>
      <c r="E136" s="952">
        <f>+NOMINA!H129</f>
        <v>45474</v>
      </c>
      <c r="F136" s="953">
        <f>+NOMINA!BT129</f>
        <v>6.76</v>
      </c>
      <c r="G136" s="608"/>
      <c r="H136" s="609"/>
      <c r="I136" s="609"/>
      <c r="J136" s="609"/>
      <c r="K136" s="609"/>
    </row>
    <row r="137" spans="1:11" ht="15.75" customHeight="1">
      <c r="A137" s="951">
        <f t="shared" si="2"/>
        <v>88</v>
      </c>
      <c r="B137" s="949">
        <f>+NOMINA!C130</f>
        <v>13261035</v>
      </c>
      <c r="C137" s="949" t="str">
        <f>+NOMINA!D130</f>
        <v>Henry Peña Yokary Nakary</v>
      </c>
      <c r="D137" s="949" t="str">
        <f>+NOMINA!O130</f>
        <v>Entrenador Deportivo V</v>
      </c>
      <c r="E137" s="952">
        <f>+NOMINA!H130</f>
        <v>43770</v>
      </c>
      <c r="F137" s="953">
        <f>+NOMINA!BT130</f>
        <v>10.52</v>
      </c>
      <c r="G137" s="608"/>
      <c r="H137" s="609"/>
      <c r="I137" s="609"/>
      <c r="J137" s="609"/>
      <c r="K137" s="609"/>
    </row>
    <row r="138" spans="1:11" ht="15.75" customHeight="1">
      <c r="A138" s="951">
        <f t="shared" si="2"/>
        <v>89</v>
      </c>
      <c r="B138" s="949">
        <f>+NOMINA!C131</f>
        <v>13261229</v>
      </c>
      <c r="C138" s="949" t="str">
        <f>+NOMINA!D131</f>
        <v>Abreu Rodriguez Eva Del Carmen</v>
      </c>
      <c r="D138" s="949" t="str">
        <f>+NOMINA!O131</f>
        <v>Asistente Administrativo III</v>
      </c>
      <c r="E138" s="952">
        <f>+NOMINA!H131</f>
        <v>42644</v>
      </c>
      <c r="F138" s="953">
        <f>+NOMINA!BT131</f>
        <v>9.18</v>
      </c>
      <c r="G138" s="608"/>
      <c r="H138" s="609"/>
      <c r="I138" s="609"/>
      <c r="J138" s="609"/>
      <c r="K138" s="609"/>
    </row>
    <row r="139" spans="1:11" ht="15.75" customHeight="1">
      <c r="A139" s="951">
        <f t="shared" si="2"/>
        <v>90</v>
      </c>
      <c r="B139" s="949">
        <f>+NOMINA!C132</f>
        <v>13461747</v>
      </c>
      <c r="C139" s="949" t="str">
        <f>+NOMINA!D132</f>
        <v>Santos Hernandez Karine Yenilet</v>
      </c>
      <c r="D139" s="949" t="str">
        <f>+NOMINA!O132</f>
        <v>Asistente Administrativo III</v>
      </c>
      <c r="E139" s="952">
        <f>+NOMINA!H132</f>
        <v>44683</v>
      </c>
      <c r="F139" s="953">
        <f>+NOMINA!BT132</f>
        <v>8.58</v>
      </c>
      <c r="G139" s="608"/>
      <c r="H139" s="609"/>
      <c r="I139" s="609"/>
      <c r="J139" s="609"/>
      <c r="K139" s="609"/>
    </row>
    <row r="140" spans="1:11" ht="15.75" customHeight="1">
      <c r="A140" s="951">
        <f t="shared" si="2"/>
        <v>91</v>
      </c>
      <c r="B140" s="949">
        <f>+NOMINA!C133</f>
        <v>13461934</v>
      </c>
      <c r="C140" s="949" t="str">
        <f>+NOMINA!D133</f>
        <v>Ramirez Ayala Jenny Marisela</v>
      </c>
      <c r="D140" s="949" t="str">
        <f>+NOMINA!O133</f>
        <v>Guia de Centro II</v>
      </c>
      <c r="E140" s="952">
        <f>+NOMINA!H133</f>
        <v>43252</v>
      </c>
      <c r="F140" s="953">
        <f>+NOMINA!BT133</f>
        <v>8.08</v>
      </c>
      <c r="G140" s="608"/>
      <c r="H140" s="609"/>
      <c r="I140" s="609"/>
      <c r="J140" s="609"/>
      <c r="K140" s="609"/>
    </row>
    <row r="141" spans="1:11" ht="15.75" customHeight="1">
      <c r="A141" s="951">
        <f t="shared" si="2"/>
        <v>92</v>
      </c>
      <c r="B141" s="949">
        <f>+NOMINA!C134</f>
        <v>13462933</v>
      </c>
      <c r="C141" s="949" t="str">
        <f>+NOMINA!D134</f>
        <v>Frias Aldana Maria Yaritza</v>
      </c>
      <c r="D141" s="949" t="str">
        <f>+NOMINA!O134</f>
        <v>Administrador Jefe</v>
      </c>
      <c r="E141" s="952">
        <f>+NOMINA!H134</f>
        <v>39454</v>
      </c>
      <c r="F141" s="953">
        <f>+NOMINA!BT134</f>
        <v>0</v>
      </c>
      <c r="G141" s="608"/>
      <c r="H141" s="609"/>
      <c r="I141" s="609"/>
      <c r="J141" s="609"/>
      <c r="K141" s="609"/>
    </row>
    <row r="142" spans="1:11" ht="15.75" customHeight="1">
      <c r="A142" s="951">
        <f t="shared" si="2"/>
        <v>93</v>
      </c>
      <c r="B142" s="949">
        <f>+NOMINA!C135</f>
        <v>13462511</v>
      </c>
      <c r="C142" s="949" t="str">
        <f>+NOMINA!D135</f>
        <v>Vielma Jenifer</v>
      </c>
      <c r="D142" s="949" t="str">
        <f>+NOMINA!O135</f>
        <v>CRIMINOLOGO</v>
      </c>
      <c r="E142" s="952">
        <f>+NOMINA!H135</f>
        <v>43738</v>
      </c>
      <c r="F142" s="953">
        <f>+NOMINA!BT135</f>
        <v>13.56</v>
      </c>
      <c r="G142" s="608"/>
      <c r="H142" s="609"/>
      <c r="I142" s="609"/>
      <c r="J142" s="609"/>
      <c r="K142" s="609"/>
    </row>
    <row r="143" spans="1:11" ht="15.75" customHeight="1">
      <c r="A143" s="951">
        <f t="shared" si="2"/>
        <v>94</v>
      </c>
      <c r="B143" s="949">
        <f>+NOMINA!C136</f>
        <v>13522518</v>
      </c>
      <c r="C143" s="949" t="str">
        <f>+NOMINA!D136</f>
        <v>Altuve Diaz Jose Antonio</v>
      </c>
      <c r="D143" s="949" t="str">
        <f>+NOMINA!O136</f>
        <v>Almacenista II</v>
      </c>
      <c r="E143" s="952">
        <f>+NOMINA!H136</f>
        <v>43739</v>
      </c>
      <c r="F143" s="953">
        <f>+NOMINA!BT136</f>
        <v>6</v>
      </c>
      <c r="G143" s="608"/>
      <c r="H143" s="609"/>
      <c r="I143" s="609"/>
      <c r="J143" s="609"/>
      <c r="K143" s="609"/>
    </row>
    <row r="144" spans="1:11" ht="15.75" customHeight="1">
      <c r="A144" s="951">
        <f t="shared" si="2"/>
        <v>95</v>
      </c>
      <c r="B144" s="949">
        <f>+NOMINA!C137</f>
        <v>13523075</v>
      </c>
      <c r="C144" s="949" t="str">
        <f>+NOMINA!D137</f>
        <v>Zambrano Castellanos Maria Alejandra</v>
      </c>
      <c r="D144" s="949" t="str">
        <f>+NOMINA!O137</f>
        <v>Planificador V</v>
      </c>
      <c r="E144" s="952">
        <f>+NOMINA!H137</f>
        <v>37718</v>
      </c>
      <c r="F144" s="953">
        <f>+NOMINA!BT137</f>
        <v>10.72</v>
      </c>
      <c r="G144" s="608"/>
      <c r="H144" s="609"/>
      <c r="I144" s="609"/>
      <c r="J144" s="609"/>
      <c r="K144" s="609"/>
    </row>
    <row r="145" spans="1:11" ht="15.75" customHeight="1">
      <c r="A145" s="951">
        <f t="shared" si="2"/>
        <v>96</v>
      </c>
      <c r="B145" s="949">
        <f>+NOMINA!C138</f>
        <v>13745803</v>
      </c>
      <c r="C145" s="949" t="str">
        <f>+NOMINA!D138</f>
        <v>Materan Riveros Yorvis Alexis</v>
      </c>
      <c r="D145" s="949" t="str">
        <f>+NOMINA!O138</f>
        <v>Tutor Facilitador III</v>
      </c>
      <c r="E145" s="952">
        <f>+NOMINA!H138</f>
        <v>44774</v>
      </c>
      <c r="F145" s="953">
        <f>+NOMINA!BT138</f>
        <v>12.58</v>
      </c>
      <c r="G145" s="608"/>
      <c r="H145" s="609"/>
      <c r="I145" s="609"/>
      <c r="J145" s="609"/>
      <c r="K145" s="609"/>
    </row>
    <row r="146" spans="1:11" ht="15.75" customHeight="1">
      <c r="A146" s="951">
        <f t="shared" si="2"/>
        <v>97</v>
      </c>
      <c r="B146" s="949">
        <f>+NOMINA!C139</f>
        <v>13765028</v>
      </c>
      <c r="C146" s="949" t="str">
        <f>+NOMINA!D139</f>
        <v xml:space="preserve">Diaz Ramirez Mileyda Del Valle </v>
      </c>
      <c r="D146" s="949" t="str">
        <f>+NOMINA!O139</f>
        <v>Guia de Centro II</v>
      </c>
      <c r="E146" s="952">
        <f>+NOMINA!H139</f>
        <v>44348</v>
      </c>
      <c r="F146" s="953">
        <f>+NOMINA!BT139</f>
        <v>11.78</v>
      </c>
      <c r="G146" s="608"/>
      <c r="H146" s="609"/>
      <c r="I146" s="609"/>
      <c r="J146" s="609"/>
      <c r="K146" s="609"/>
    </row>
    <row r="147" spans="1:11" ht="15.75" customHeight="1">
      <c r="A147" s="951">
        <f t="shared" si="2"/>
        <v>98</v>
      </c>
      <c r="B147" s="949">
        <f>+NOMINA!C140</f>
        <v>13896147</v>
      </c>
      <c r="C147" s="949" t="str">
        <f>+NOMINA!D140</f>
        <v>Carrizo Blanco Belquis Cecilia</v>
      </c>
      <c r="D147" s="949" t="str">
        <f>+NOMINA!O140</f>
        <v>Administrador III</v>
      </c>
      <c r="E147" s="952">
        <f>+NOMINA!H140</f>
        <v>41334</v>
      </c>
      <c r="F147" s="953">
        <f>+NOMINA!BT140</f>
        <v>11.14</v>
      </c>
      <c r="G147" s="608"/>
      <c r="H147" s="609"/>
      <c r="I147" s="609"/>
      <c r="J147" s="609"/>
      <c r="K147" s="609"/>
    </row>
    <row r="148" spans="1:11" ht="15.75" customHeight="1">
      <c r="A148" s="951">
        <f t="shared" si="2"/>
        <v>99</v>
      </c>
      <c r="B148" s="949">
        <f>+NOMINA!C141</f>
        <v>13896239</v>
      </c>
      <c r="C148" s="949" t="str">
        <f>+NOMINA!D141</f>
        <v>Sulbaran Campos Yusneida Ayarith</v>
      </c>
      <c r="D148" s="949" t="str">
        <f>+NOMINA!O141</f>
        <v>Analista de Presupuesto IV</v>
      </c>
      <c r="E148" s="952">
        <f>+NOMINA!H141</f>
        <v>42416</v>
      </c>
      <c r="F148" s="953">
        <f>+NOMINA!BT141</f>
        <v>0</v>
      </c>
      <c r="G148" s="608"/>
      <c r="H148" s="609"/>
      <c r="I148" s="609"/>
      <c r="J148" s="609"/>
      <c r="K148" s="609"/>
    </row>
    <row r="149" spans="1:11" ht="15.75" customHeight="1">
      <c r="A149" s="951">
        <f t="shared" si="2"/>
        <v>100</v>
      </c>
      <c r="B149" s="949">
        <f>+NOMINA!C142</f>
        <v>13897046</v>
      </c>
      <c r="C149" s="949" t="str">
        <f>+NOMINA!D142</f>
        <v>Artigas Sanchez Mireya Carolina</v>
      </c>
      <c r="D149" s="949" t="str">
        <f>+NOMINA!O142</f>
        <v>Tecnico Superior en Trabajo Social II</v>
      </c>
      <c r="E149" s="952">
        <f>+NOMINA!H142</f>
        <v>42384</v>
      </c>
      <c r="F149" s="953">
        <f>+NOMINA!BT142</f>
        <v>9.6</v>
      </c>
      <c r="G149" s="608"/>
      <c r="H149" s="609"/>
      <c r="I149" s="609"/>
      <c r="J149" s="609"/>
      <c r="K149" s="609"/>
    </row>
    <row r="150" spans="1:11" ht="15.75" customHeight="1">
      <c r="A150" s="951">
        <f t="shared" si="2"/>
        <v>101</v>
      </c>
      <c r="B150" s="949">
        <f>+NOMINA!C143</f>
        <v>13897695</v>
      </c>
      <c r="C150" s="949" t="str">
        <f>+NOMINA!D143</f>
        <v>Araujo Matheus Alba Mariela</v>
      </c>
      <c r="D150" s="949" t="str">
        <f>+NOMINA!O143</f>
        <v>Analista de Presupuesto Jefe</v>
      </c>
      <c r="E150" s="952">
        <f>+NOMINA!H143</f>
        <v>39496</v>
      </c>
      <c r="F150" s="953">
        <f>+NOMINA!BT143</f>
        <v>12.8</v>
      </c>
      <c r="G150" s="608"/>
      <c r="H150" s="609"/>
      <c r="I150" s="609"/>
      <c r="J150" s="609"/>
      <c r="K150" s="609"/>
    </row>
    <row r="151" spans="1:11" ht="15.75" customHeight="1">
      <c r="A151" s="951">
        <f t="shared" si="2"/>
        <v>102</v>
      </c>
      <c r="B151" s="949">
        <f>+NOMINA!C144</f>
        <v>13996024</v>
      </c>
      <c r="C151" s="949" t="str">
        <f>+NOMINA!D144</f>
        <v>Perez Barrios Helenmar</v>
      </c>
      <c r="D151" s="949" t="str">
        <f>+NOMINA!O144</f>
        <v>Contador III</v>
      </c>
      <c r="E151" s="952">
        <f>+NOMINA!H144</f>
        <v>40028</v>
      </c>
      <c r="F151" s="953">
        <f>+NOMINA!BT144</f>
        <v>11.98</v>
      </c>
      <c r="G151" s="608"/>
      <c r="H151" s="609"/>
      <c r="I151" s="609"/>
      <c r="J151" s="609"/>
      <c r="K151" s="609"/>
    </row>
    <row r="152" spans="1:11" ht="15.75" customHeight="1">
      <c r="A152" s="951">
        <f t="shared" si="2"/>
        <v>103</v>
      </c>
      <c r="B152" s="949">
        <f>+NOMINA!C145</f>
        <v>14106648</v>
      </c>
      <c r="C152" s="949" t="str">
        <f>+NOMINA!D145</f>
        <v>Aguilar Flores Heidy Coromoto</v>
      </c>
      <c r="D152" s="949" t="str">
        <f>+NOMINA!O145</f>
        <v>Asistente Administrativo IV</v>
      </c>
      <c r="E152" s="952">
        <f>+NOMINA!H145</f>
        <v>40787</v>
      </c>
      <c r="F152" s="953">
        <f>+NOMINA!BT145</f>
        <v>10.220000000000001</v>
      </c>
      <c r="G152" s="608"/>
      <c r="H152" s="609"/>
      <c r="I152" s="609"/>
      <c r="J152" s="609"/>
      <c r="K152" s="609"/>
    </row>
    <row r="153" spans="1:11" ht="15.75" customHeight="1">
      <c r="A153" s="951">
        <f t="shared" si="2"/>
        <v>104</v>
      </c>
      <c r="B153" s="949">
        <f>+NOMINA!C146</f>
        <v>14329448</v>
      </c>
      <c r="C153" s="949" t="str">
        <f>+NOMINA!D146</f>
        <v>Leal Mejia Jociany Trinny</v>
      </c>
      <c r="D153" s="949" t="str">
        <f>+NOMINA!O146</f>
        <v>Tutor Facilitador I</v>
      </c>
      <c r="E153" s="952">
        <f>+NOMINA!H146</f>
        <v>44743</v>
      </c>
      <c r="F153" s="953">
        <f>+NOMINA!BT146</f>
        <v>9.84</v>
      </c>
      <c r="G153" s="608"/>
      <c r="H153" s="609"/>
      <c r="I153" s="609"/>
      <c r="J153" s="609"/>
      <c r="K153" s="609"/>
    </row>
    <row r="154" spans="1:11" ht="15.75" customHeight="1">
      <c r="A154" s="951">
        <f t="shared" si="2"/>
        <v>105</v>
      </c>
      <c r="B154" s="949">
        <f>+NOMINA!C147</f>
        <v>14406240</v>
      </c>
      <c r="C154" s="949" t="str">
        <f>+NOMINA!D147</f>
        <v>Sarmiento Suarez Karem Yanira</v>
      </c>
      <c r="D154" s="949" t="str">
        <f>+NOMINA!O147</f>
        <v>Tecnico Superior en Trabajo Social II</v>
      </c>
      <c r="E154" s="952">
        <f>+NOMINA!H147</f>
        <v>43785</v>
      </c>
      <c r="F154" s="953">
        <f>+NOMINA!BT147</f>
        <v>10</v>
      </c>
      <c r="G154" s="608"/>
      <c r="H154" s="609"/>
      <c r="I154" s="609"/>
      <c r="J154" s="609"/>
      <c r="K154" s="609"/>
    </row>
    <row r="155" spans="1:11" ht="15.75" customHeight="1">
      <c r="A155" s="951">
        <f t="shared" si="2"/>
        <v>106</v>
      </c>
      <c r="B155" s="949">
        <f>+NOMINA!C148</f>
        <v>14459607</v>
      </c>
      <c r="C155" s="949" t="str">
        <f>+NOMINA!D148</f>
        <v>Martinez Leal Deyanira Yusissan</v>
      </c>
      <c r="D155" s="949" t="str">
        <f>+NOMINA!O148</f>
        <v>Tecnico Superior en Trabajo Social II</v>
      </c>
      <c r="E155" s="952">
        <f>+NOMINA!H148</f>
        <v>43116</v>
      </c>
      <c r="F155" s="953">
        <f>+NOMINA!BT148</f>
        <v>9.42</v>
      </c>
      <c r="G155" s="608"/>
      <c r="H155" s="609"/>
      <c r="I155" s="609"/>
      <c r="J155" s="609"/>
      <c r="K155" s="609"/>
    </row>
    <row r="156" spans="1:11" ht="15.75" customHeight="1">
      <c r="A156" s="951">
        <f t="shared" si="2"/>
        <v>107</v>
      </c>
      <c r="B156" s="949">
        <f>+NOMINA!C149</f>
        <v>14598170</v>
      </c>
      <c r="C156" s="949" t="str">
        <f>+NOMINA!D149</f>
        <v>Rendon Utrilla Gerson Paul</v>
      </c>
      <c r="D156" s="949" t="str">
        <f>+NOMINA!O149</f>
        <v>Tutor Facilitador III</v>
      </c>
      <c r="E156" s="952">
        <f>+NOMINA!H149</f>
        <v>43435</v>
      </c>
      <c r="F156" s="953">
        <f>+NOMINA!BT149</f>
        <v>10.98</v>
      </c>
      <c r="G156" s="608"/>
      <c r="H156" s="609"/>
      <c r="I156" s="609"/>
      <c r="J156" s="609"/>
      <c r="K156" s="609"/>
    </row>
    <row r="157" spans="1:11" ht="15.75" customHeight="1">
      <c r="A157" s="951">
        <f t="shared" si="2"/>
        <v>108</v>
      </c>
      <c r="B157" s="949">
        <f>+NOMINA!C150</f>
        <v>14598687</v>
      </c>
      <c r="C157" s="949" t="str">
        <f>+NOMINA!D150</f>
        <v>Godoy Bracamonte Juan Carlos</v>
      </c>
      <c r="D157" s="949" t="str">
        <f>+NOMINA!O150</f>
        <v>Entrenador Deportivo IV</v>
      </c>
      <c r="E157" s="952">
        <f>+NOMINA!H150</f>
        <v>44332</v>
      </c>
      <c r="F157" s="953">
        <f>+NOMINA!BT150</f>
        <v>12.38</v>
      </c>
      <c r="G157" s="608"/>
      <c r="H157" s="609"/>
      <c r="I157" s="609"/>
      <c r="J157" s="609"/>
      <c r="K157" s="609"/>
    </row>
    <row r="158" spans="1:11" ht="15.75" customHeight="1">
      <c r="A158" s="951">
        <f t="shared" si="2"/>
        <v>109</v>
      </c>
      <c r="B158" s="949">
        <f>+NOMINA!C151</f>
        <v>14719639</v>
      </c>
      <c r="C158" s="949" t="str">
        <f>+NOMINA!D151</f>
        <v xml:space="preserve">Coy de Dorante Sandra Liliana </v>
      </c>
      <c r="D158" s="949" t="str">
        <f>+NOMINA!O151</f>
        <v>Guia de Centro I</v>
      </c>
      <c r="E158" s="952">
        <f>+NOMINA!H151</f>
        <v>44896</v>
      </c>
      <c r="F158" s="953">
        <f>+NOMINA!BT151</f>
        <v>7.48</v>
      </c>
      <c r="G158" s="608"/>
      <c r="H158" s="609"/>
      <c r="I158" s="609"/>
      <c r="J158" s="609"/>
      <c r="K158" s="609"/>
    </row>
    <row r="159" spans="1:11" ht="15.75" customHeight="1">
      <c r="A159" s="951">
        <f t="shared" si="2"/>
        <v>110</v>
      </c>
      <c r="B159" s="949">
        <f>+NOMINA!C152</f>
        <v>14739168</v>
      </c>
      <c r="C159" s="949" t="str">
        <f>+NOMINA!D152</f>
        <v>Briceño Hernandez Yeny Del Carmen</v>
      </c>
      <c r="D159" s="949" t="str">
        <f>+NOMINA!O152</f>
        <v>Trabajador Social III</v>
      </c>
      <c r="E159" s="952">
        <f>+NOMINA!H152</f>
        <v>38841</v>
      </c>
      <c r="F159" s="953">
        <f>+NOMINA!BT152</f>
        <v>10.14</v>
      </c>
      <c r="G159" s="608"/>
      <c r="H159" s="609"/>
      <c r="I159" s="609"/>
      <c r="J159" s="609"/>
      <c r="K159" s="609"/>
    </row>
    <row r="160" spans="1:11" ht="15.75" customHeight="1">
      <c r="A160" s="951">
        <f t="shared" si="2"/>
        <v>111</v>
      </c>
      <c r="B160" s="949">
        <f>+NOMINA!C153</f>
        <v>14928034</v>
      </c>
      <c r="C160" s="949" t="str">
        <f>+NOMINA!D153</f>
        <v>Ramirez Palomares Mariana Teresa</v>
      </c>
      <c r="D160" s="949" t="str">
        <f>+NOMINA!O153</f>
        <v>Promotor Cultural I</v>
      </c>
      <c r="E160" s="952">
        <f>+NOMINA!H153</f>
        <v>44302</v>
      </c>
      <c r="F160" s="953">
        <f>+NOMINA!BT153</f>
        <v>6.66</v>
      </c>
      <c r="G160" s="608"/>
      <c r="H160" s="609"/>
      <c r="I160" s="609"/>
      <c r="J160" s="609"/>
      <c r="K160" s="609"/>
    </row>
    <row r="161" spans="1:11" ht="15.75" customHeight="1">
      <c r="A161" s="951">
        <f t="shared" si="2"/>
        <v>112</v>
      </c>
      <c r="B161" s="949">
        <f>+NOMINA!C154</f>
        <v>14928260</v>
      </c>
      <c r="C161" s="949" t="str">
        <f>+NOMINA!D154</f>
        <v>Rivas Ana Lucila</v>
      </c>
      <c r="D161" s="949" t="str">
        <f>+NOMINA!O154</f>
        <v>Tutor Facilitador I</v>
      </c>
      <c r="E161" s="952">
        <f>+NOMINA!H154</f>
        <v>39104</v>
      </c>
      <c r="F161" s="953">
        <f>+NOMINA!BT154</f>
        <v>10.14</v>
      </c>
      <c r="G161" s="608"/>
      <c r="H161" s="609"/>
      <c r="I161" s="609"/>
      <c r="J161" s="609"/>
      <c r="K161" s="609"/>
    </row>
    <row r="162" spans="1:11" ht="15.75" customHeight="1">
      <c r="A162" s="951">
        <f t="shared" si="2"/>
        <v>113</v>
      </c>
      <c r="B162" s="949">
        <f>+NOMINA!C155</f>
        <v>14929642</v>
      </c>
      <c r="C162" s="949" t="str">
        <f>+NOMINA!D155</f>
        <v>Alvarran Arjona Ismenia Del Carmen</v>
      </c>
      <c r="D162" s="949" t="str">
        <f>+NOMINA!O155</f>
        <v>GUIA DE CENTRO II</v>
      </c>
      <c r="E162" s="952">
        <f>+NOMINA!H155</f>
        <v>43419</v>
      </c>
      <c r="F162" s="953">
        <f>+NOMINA!BT155</f>
        <v>11.76</v>
      </c>
      <c r="G162" s="608"/>
      <c r="H162" s="609"/>
      <c r="I162" s="609"/>
      <c r="J162" s="609"/>
      <c r="K162" s="609"/>
    </row>
    <row r="163" spans="1:11" ht="15.75" customHeight="1">
      <c r="A163" s="951">
        <f t="shared" si="2"/>
        <v>114</v>
      </c>
      <c r="B163" s="949">
        <f>+NOMINA!C156</f>
        <v>14986675</v>
      </c>
      <c r="C163" s="949" t="str">
        <f>+NOMINA!D156</f>
        <v>Mecias Nuñez Shirly Ygnacia</v>
      </c>
      <c r="D163" s="949" t="str">
        <f>+NOMINA!O156</f>
        <v>Tutor Facilitador I</v>
      </c>
      <c r="E163" s="952">
        <f>+NOMINA!H156</f>
        <v>44805</v>
      </c>
      <c r="F163" s="953">
        <f>+NOMINA!BT156</f>
        <v>10.14</v>
      </c>
      <c r="G163" s="608"/>
      <c r="H163" s="609"/>
      <c r="I163" s="609"/>
      <c r="J163" s="609"/>
      <c r="K163" s="609"/>
    </row>
    <row r="164" spans="1:11" ht="15.75" customHeight="1">
      <c r="A164" s="951">
        <f t="shared" si="2"/>
        <v>115</v>
      </c>
      <c r="B164" s="949">
        <f>+NOMINA!C157</f>
        <v>15188927</v>
      </c>
      <c r="C164" s="949" t="str">
        <f>+NOMINA!D157</f>
        <v>Linares Villarreal Rosmely del Carmen</v>
      </c>
      <c r="D164" s="949" t="str">
        <f>+NOMINA!O157</f>
        <v>Guia de Centro II</v>
      </c>
      <c r="E164" s="952">
        <f>+NOMINA!H157</f>
        <v>44409</v>
      </c>
      <c r="F164" s="953">
        <f>+NOMINA!BT157</f>
        <v>8.0399999999999991</v>
      </c>
      <c r="G164" s="608"/>
      <c r="H164" s="609"/>
      <c r="I164" s="609"/>
      <c r="J164" s="609"/>
      <c r="K164" s="609"/>
    </row>
    <row r="165" spans="1:11" ht="15.75" customHeight="1">
      <c r="A165" s="951">
        <f t="shared" si="2"/>
        <v>116</v>
      </c>
      <c r="B165" s="949">
        <f>+NOMINA!C158</f>
        <v>15560762</v>
      </c>
      <c r="C165" s="949" t="str">
        <f>+NOMINA!D158</f>
        <v>Villalobos Javier Jose</v>
      </c>
      <c r="D165" s="949" t="str">
        <f>+NOMINA!O158</f>
        <v>Entrenador Deportivo IV</v>
      </c>
      <c r="E165" s="952">
        <f>+NOMINA!H158</f>
        <v>45474</v>
      </c>
      <c r="F165" s="953">
        <f>+NOMINA!BT158</f>
        <v>9.7200000000000006</v>
      </c>
      <c r="G165" s="608"/>
      <c r="H165" s="609"/>
      <c r="I165" s="609"/>
      <c r="J165" s="609"/>
      <c r="K165" s="609"/>
    </row>
    <row r="166" spans="1:11" ht="15.75" customHeight="1">
      <c r="A166" s="951">
        <f t="shared" si="2"/>
        <v>117</v>
      </c>
      <c r="B166" s="949">
        <f>+NOMINA!C159</f>
        <v>15583745</v>
      </c>
      <c r="C166" s="949" t="str">
        <f>+NOMINA!D159</f>
        <v>Briceño Araujo Alexander Javier</v>
      </c>
      <c r="D166" s="949" t="str">
        <f>+NOMINA!O159</f>
        <v>Administrador II</v>
      </c>
      <c r="E166" s="952">
        <f>+NOMINA!H159</f>
        <v>43481</v>
      </c>
      <c r="F166" s="953">
        <f>+NOMINA!BT159</f>
        <v>10.66</v>
      </c>
      <c r="G166" s="608"/>
      <c r="H166" s="609"/>
      <c r="I166" s="609"/>
      <c r="J166" s="609"/>
      <c r="K166" s="609"/>
    </row>
    <row r="167" spans="1:11" ht="15.75" customHeight="1">
      <c r="A167" s="951">
        <f t="shared" si="2"/>
        <v>118</v>
      </c>
      <c r="B167" s="949">
        <f>+NOMINA!C160</f>
        <v>15588470</v>
      </c>
      <c r="C167" s="949" t="str">
        <f>+NOMINA!D160</f>
        <v>Briceño Lozada Maraiby Coromoto</v>
      </c>
      <c r="D167" s="949" t="str">
        <f>+NOMINA!O160</f>
        <v>Trabajador Social II</v>
      </c>
      <c r="E167" s="952">
        <f>+NOMINA!H160</f>
        <v>39098</v>
      </c>
      <c r="F167" s="953">
        <f>+NOMINA!BT160</f>
        <v>10.14</v>
      </c>
      <c r="G167" s="608"/>
      <c r="H167" s="609"/>
      <c r="I167" s="609"/>
      <c r="J167" s="609"/>
      <c r="K167" s="609"/>
    </row>
    <row r="168" spans="1:11" ht="15.75" customHeight="1">
      <c r="A168" s="951">
        <f t="shared" si="2"/>
        <v>119</v>
      </c>
      <c r="B168" s="949">
        <f>+NOMINA!C161</f>
        <v>15752048</v>
      </c>
      <c r="C168" s="949" t="str">
        <f>+NOMINA!D161</f>
        <v>Briceño Rangel Sudney Dayan</v>
      </c>
      <c r="D168" s="949" t="str">
        <f>+NOMINA!O161</f>
        <v>Guia de Centro II</v>
      </c>
      <c r="E168" s="952">
        <f>+NOMINA!H161</f>
        <v>39679</v>
      </c>
      <c r="F168" s="953">
        <f>+NOMINA!BT161</f>
        <v>13.64</v>
      </c>
      <c r="G168" s="608"/>
      <c r="H168" s="609"/>
      <c r="I168" s="609"/>
      <c r="J168" s="609"/>
      <c r="K168" s="609"/>
    </row>
    <row r="169" spans="1:11" ht="15.75" customHeight="1">
      <c r="A169" s="951">
        <f t="shared" si="2"/>
        <v>120</v>
      </c>
      <c r="B169" s="949">
        <f>+NOMINA!C162</f>
        <v>15752183</v>
      </c>
      <c r="C169" s="949" t="str">
        <f>+NOMINA!D162</f>
        <v>Delduca Adriana Del Valle</v>
      </c>
      <c r="D169" s="949" t="str">
        <f>+NOMINA!O162</f>
        <v>Analista de Presupuesto IV</v>
      </c>
      <c r="E169" s="952">
        <f>+NOMINA!H162</f>
        <v>38930</v>
      </c>
      <c r="F169" s="953">
        <f>+NOMINA!BT162</f>
        <v>0</v>
      </c>
      <c r="G169" s="608"/>
      <c r="H169" s="609"/>
      <c r="I169" s="609"/>
      <c r="J169" s="609"/>
      <c r="K169" s="609"/>
    </row>
    <row r="170" spans="1:11" ht="15.75" customHeight="1">
      <c r="A170" s="951">
        <f t="shared" si="2"/>
        <v>121</v>
      </c>
      <c r="B170" s="949">
        <f>+NOMINA!C163</f>
        <v>15752386</v>
      </c>
      <c r="C170" s="949" t="str">
        <f>+NOMINA!D163</f>
        <v>Villegas Gonzalez Mileide Karine</v>
      </c>
      <c r="D170" s="949" t="str">
        <f>+NOMINA!O163</f>
        <v>Guia de Centro II</v>
      </c>
      <c r="E170" s="952">
        <f>+NOMINA!H163</f>
        <v>38930</v>
      </c>
      <c r="F170" s="953">
        <f>+NOMINA!BT163</f>
        <v>13.58</v>
      </c>
      <c r="G170" s="608"/>
      <c r="H170" s="609"/>
      <c r="I170" s="609"/>
      <c r="J170" s="609"/>
      <c r="K170" s="609"/>
    </row>
    <row r="171" spans="1:11" ht="15.75" customHeight="1">
      <c r="A171" s="951">
        <f t="shared" si="2"/>
        <v>122</v>
      </c>
      <c r="B171" s="949">
        <f>+NOMINA!C164</f>
        <v>15752435</v>
      </c>
      <c r="C171" s="949" t="str">
        <f>+NOMINA!D164</f>
        <v>Gonzalez de Sayago Damarys Coromoto</v>
      </c>
      <c r="D171" s="949" t="str">
        <f>+NOMINA!O164</f>
        <v>Trabajador Social II</v>
      </c>
      <c r="E171" s="952">
        <f>+NOMINA!H164</f>
        <v>38930</v>
      </c>
      <c r="F171" s="953">
        <f>+NOMINA!BT164</f>
        <v>10.44</v>
      </c>
      <c r="G171" s="608"/>
      <c r="H171" s="609"/>
      <c r="I171" s="609"/>
      <c r="J171" s="609"/>
      <c r="K171" s="609"/>
    </row>
    <row r="172" spans="1:11" ht="15.75" customHeight="1">
      <c r="A172" s="951">
        <f t="shared" si="2"/>
        <v>123</v>
      </c>
      <c r="B172" s="949">
        <f>+NOMINA!C165</f>
        <v>15780354</v>
      </c>
      <c r="C172" s="949" t="str">
        <f>+NOMINA!D165</f>
        <v>Yndriago Blanco Lismiley Andreina</v>
      </c>
      <c r="D172" s="949" t="str">
        <f>+NOMINA!O165</f>
        <v>Guia de Centro I</v>
      </c>
      <c r="E172" s="952">
        <f>+NOMINA!H165</f>
        <v>44409</v>
      </c>
      <c r="F172" s="953">
        <f>+NOMINA!BT165</f>
        <v>11.56</v>
      </c>
      <c r="G172" s="608"/>
      <c r="H172" s="609"/>
      <c r="I172" s="609"/>
      <c r="J172" s="609"/>
      <c r="K172" s="609"/>
    </row>
    <row r="173" spans="1:11" ht="15.75" customHeight="1">
      <c r="A173" s="951">
        <f t="shared" si="2"/>
        <v>124</v>
      </c>
      <c r="B173" s="949">
        <f>+NOMINA!C166</f>
        <v>15824548</v>
      </c>
      <c r="C173" s="949" t="str">
        <f>+NOMINA!D166</f>
        <v>Moreno Maria Angelica</v>
      </c>
      <c r="D173" s="949" t="str">
        <f>+NOMINA!O166</f>
        <v>Tecnico Superior en Trabajo Social II</v>
      </c>
      <c r="E173" s="952">
        <f>+NOMINA!H166</f>
        <v>44317</v>
      </c>
      <c r="F173" s="953">
        <f>+NOMINA!BT166</f>
        <v>8.84</v>
      </c>
      <c r="G173" s="608"/>
      <c r="H173" s="609"/>
      <c r="I173" s="609"/>
      <c r="J173" s="609"/>
      <c r="K173" s="609"/>
    </row>
    <row r="174" spans="1:11" ht="15.75" customHeight="1">
      <c r="A174" s="951">
        <f t="shared" si="2"/>
        <v>125</v>
      </c>
      <c r="B174" s="949">
        <f>+NOMINA!C167</f>
        <v>15904692</v>
      </c>
      <c r="C174" s="949" t="str">
        <f>+NOMINA!D167</f>
        <v>Sifontes Sosa Mayulis Dayana</v>
      </c>
      <c r="D174" s="949" t="str">
        <f>+NOMINA!O167</f>
        <v>Guia de Centro II</v>
      </c>
      <c r="E174" s="952">
        <f>+NOMINA!H167</f>
        <v>39756</v>
      </c>
      <c r="F174" s="953">
        <f>+NOMINA!BT167</f>
        <v>13.26</v>
      </c>
      <c r="G174" s="608"/>
      <c r="H174" s="609"/>
      <c r="I174" s="609"/>
      <c r="J174" s="609"/>
      <c r="K174" s="609"/>
    </row>
    <row r="175" spans="1:11" ht="15.75" customHeight="1">
      <c r="A175" s="951">
        <f t="shared" si="2"/>
        <v>126</v>
      </c>
      <c r="B175" s="949">
        <f>+NOMINA!C168</f>
        <v>16015833</v>
      </c>
      <c r="C175" s="949" t="str">
        <f>+NOMINA!D168</f>
        <v>Briceño Doris Elena</v>
      </c>
      <c r="D175" s="949" t="str">
        <f>+NOMINA!O168</f>
        <v>Guia de Centro II</v>
      </c>
      <c r="E175" s="952">
        <f>+NOMINA!H168</f>
        <v>42948</v>
      </c>
      <c r="F175" s="953">
        <f>+NOMINA!BT168</f>
        <v>14.38</v>
      </c>
      <c r="G175" s="608"/>
      <c r="H175" s="609"/>
      <c r="I175" s="609"/>
      <c r="J175" s="609"/>
      <c r="K175" s="609"/>
    </row>
    <row r="176" spans="1:11" ht="15.75" customHeight="1">
      <c r="A176" s="951">
        <f t="shared" si="2"/>
        <v>127</v>
      </c>
      <c r="B176" s="949">
        <f>+NOMINA!C169</f>
        <v>16065580</v>
      </c>
      <c r="C176" s="949" t="str">
        <f>+NOMINA!D169</f>
        <v>Paredes de Rendon Zuly Josefina</v>
      </c>
      <c r="D176" s="949" t="str">
        <f>+NOMINA!O169</f>
        <v>Tutor Facilitador II</v>
      </c>
      <c r="E176" s="952">
        <f>+NOMINA!H169</f>
        <v>44363</v>
      </c>
      <c r="F176" s="953">
        <f>+NOMINA!BT169</f>
        <v>10.7</v>
      </c>
      <c r="G176" s="608"/>
      <c r="H176" s="609"/>
      <c r="I176" s="609"/>
      <c r="J176" s="609"/>
      <c r="K176" s="609"/>
    </row>
    <row r="177" spans="1:11" ht="15.75" customHeight="1">
      <c r="A177" s="951">
        <f t="shared" si="2"/>
        <v>128</v>
      </c>
      <c r="B177" s="949">
        <f>+NOMINA!C170</f>
        <v>16065861</v>
      </c>
      <c r="C177" s="949" t="str">
        <f>+NOMINA!D170</f>
        <v>Gonzalez Pineda Eduardo Manuel</v>
      </c>
      <c r="D177" s="949" t="str">
        <f>+NOMINA!O170</f>
        <v>Entrenador Deportivo VI</v>
      </c>
      <c r="E177" s="952">
        <f>+NOMINA!H170</f>
        <v>43906</v>
      </c>
      <c r="F177" s="953">
        <f>+NOMINA!BT170</f>
        <v>11.88</v>
      </c>
      <c r="G177" s="608"/>
      <c r="H177" s="609"/>
      <c r="I177" s="609"/>
      <c r="J177" s="609"/>
      <c r="K177" s="609"/>
    </row>
    <row r="178" spans="1:11" ht="15.75" customHeight="1">
      <c r="A178" s="951">
        <f t="shared" si="2"/>
        <v>129</v>
      </c>
      <c r="B178" s="949">
        <f>+NOMINA!C171</f>
        <v>16066524</v>
      </c>
      <c r="C178" s="949" t="str">
        <f>+NOMINA!D171</f>
        <v>Carmona Peñaloza Yaneth Coromoto</v>
      </c>
      <c r="D178" s="949" t="str">
        <f>+NOMINA!O171</f>
        <v>Asistente Administrativo III</v>
      </c>
      <c r="E178" s="952">
        <f>+NOMINA!H171</f>
        <v>41456</v>
      </c>
      <c r="F178" s="953">
        <f>+NOMINA!BT171</f>
        <v>9.74</v>
      </c>
      <c r="G178" s="608"/>
      <c r="H178" s="609"/>
      <c r="I178" s="609"/>
      <c r="J178" s="609"/>
      <c r="K178" s="609"/>
    </row>
    <row r="179" spans="1:11" ht="15.75" customHeight="1">
      <c r="A179" s="951">
        <f t="shared" si="2"/>
        <v>130</v>
      </c>
      <c r="B179" s="949">
        <f>+NOMINA!C172</f>
        <v>16066554</v>
      </c>
      <c r="C179" s="949" t="str">
        <f>+NOMINA!D172</f>
        <v>Gonzalez Huerta Maria Josefina</v>
      </c>
      <c r="D179" s="949" t="str">
        <f>+NOMINA!O172</f>
        <v>Auditor IV</v>
      </c>
      <c r="E179" s="952">
        <f>+NOMINA!H172</f>
        <v>38797</v>
      </c>
      <c r="F179" s="953">
        <f>+NOMINA!BT172</f>
        <v>12.68</v>
      </c>
      <c r="G179" s="608"/>
      <c r="H179" s="609"/>
      <c r="I179" s="609"/>
      <c r="J179" s="609"/>
      <c r="K179" s="609"/>
    </row>
    <row r="180" spans="1:11" ht="15.75" customHeight="1">
      <c r="A180" s="951">
        <f t="shared" ref="A180:A243" si="3">+A179+1</f>
        <v>131</v>
      </c>
      <c r="B180" s="949">
        <f>+NOMINA!C173</f>
        <v>16266033</v>
      </c>
      <c r="C180" s="949" t="str">
        <f>+NOMINA!D173</f>
        <v>Montilla de Davila Nileidy del Valle</v>
      </c>
      <c r="D180" s="949" t="str">
        <f>+NOMINA!O173</f>
        <v>Guia de Centro I</v>
      </c>
      <c r="E180" s="952">
        <f>+NOMINA!H173</f>
        <v>44713</v>
      </c>
      <c r="F180" s="953">
        <f>+NOMINA!BT173</f>
        <v>11.4</v>
      </c>
      <c r="G180" s="608"/>
      <c r="H180" s="609"/>
      <c r="I180" s="609"/>
      <c r="J180" s="609"/>
      <c r="K180" s="609"/>
    </row>
    <row r="181" spans="1:11" ht="15.75" customHeight="1">
      <c r="A181" s="951">
        <f t="shared" si="3"/>
        <v>132</v>
      </c>
      <c r="B181" s="949">
        <f>+NOMINA!C174</f>
        <v>16266989</v>
      </c>
      <c r="C181" s="949" t="str">
        <f>+NOMINA!D174</f>
        <v>Rincon Quevedo Angela Adriana</v>
      </c>
      <c r="D181" s="949" t="str">
        <f>+NOMINA!O174</f>
        <v>Guia de Centro II</v>
      </c>
      <c r="E181" s="952">
        <f>+NOMINA!H174</f>
        <v>43040</v>
      </c>
      <c r="F181" s="953">
        <f>+NOMINA!BT174</f>
        <v>14.78</v>
      </c>
      <c r="G181" s="608"/>
      <c r="H181" s="609"/>
      <c r="I181" s="609"/>
      <c r="J181" s="609"/>
      <c r="K181" s="609"/>
    </row>
    <row r="182" spans="1:11" ht="15.75" customHeight="1">
      <c r="A182" s="951">
        <f t="shared" si="3"/>
        <v>133</v>
      </c>
      <c r="B182" s="949">
        <f>+NOMINA!C175</f>
        <v>16267940</v>
      </c>
      <c r="C182" s="949" t="str">
        <f>+NOMINA!D175</f>
        <v>Araujo Moreno Elisaelith</v>
      </c>
      <c r="D182" s="949" t="str">
        <f>+NOMINA!O175</f>
        <v>Tecnico Superior en Trabajo Social II</v>
      </c>
      <c r="E182" s="952">
        <f>+NOMINA!H175</f>
        <v>44600</v>
      </c>
      <c r="F182" s="953">
        <f>+NOMINA!BT175</f>
        <v>8.42</v>
      </c>
      <c r="G182" s="608"/>
      <c r="H182" s="609"/>
      <c r="I182" s="609"/>
      <c r="J182" s="609"/>
      <c r="K182" s="609"/>
    </row>
    <row r="183" spans="1:11" ht="15.75" customHeight="1">
      <c r="A183" s="951">
        <f t="shared" si="3"/>
        <v>134</v>
      </c>
      <c r="B183" s="949">
        <f>+NOMINA!C176</f>
        <v>16376534</v>
      </c>
      <c r="C183" s="949" t="str">
        <f>+NOMINA!D176</f>
        <v>Lugo Moreno Yenny Katiuska</v>
      </c>
      <c r="D183" s="949" t="str">
        <f>+NOMINA!O176</f>
        <v>Guia de Centro II</v>
      </c>
      <c r="E183" s="952">
        <f>+NOMINA!H176</f>
        <v>43754</v>
      </c>
      <c r="F183" s="953">
        <f>+NOMINA!BT176</f>
        <v>14.08</v>
      </c>
      <c r="G183" s="608"/>
      <c r="H183" s="609"/>
      <c r="I183" s="609"/>
      <c r="J183" s="609"/>
      <c r="K183" s="609"/>
    </row>
    <row r="184" spans="1:11" ht="15.75" customHeight="1">
      <c r="A184" s="951">
        <f t="shared" si="3"/>
        <v>135</v>
      </c>
      <c r="B184" s="949">
        <f>+NOMINA!C177</f>
        <v>16376698</v>
      </c>
      <c r="C184" s="949" t="str">
        <f>+NOMINA!D177</f>
        <v>Barreto Maldonado Jose Luis</v>
      </c>
      <c r="D184" s="949" t="str">
        <f>+NOMINA!O177</f>
        <v>Supervisor de Servicios Generales IV</v>
      </c>
      <c r="E184" s="952">
        <f>+NOMINA!H177</f>
        <v>40909</v>
      </c>
      <c r="F184" s="953">
        <f>+NOMINA!BT177</f>
        <v>7.1</v>
      </c>
      <c r="G184" s="608"/>
      <c r="H184" s="609"/>
      <c r="I184" s="609"/>
      <c r="J184" s="609"/>
      <c r="K184" s="609"/>
    </row>
    <row r="185" spans="1:11" ht="15.75" customHeight="1">
      <c r="A185" s="951">
        <f t="shared" si="3"/>
        <v>136</v>
      </c>
      <c r="B185" s="949">
        <f>+NOMINA!C178</f>
        <v>16376781</v>
      </c>
      <c r="C185" s="949" t="str">
        <f>+NOMINA!D178</f>
        <v>Viloria de Utrilla Arelis del Carmen</v>
      </c>
      <c r="D185" s="949" t="str">
        <f>+NOMINA!O178</f>
        <v>Guia de Centro I</v>
      </c>
      <c r="E185" s="952">
        <f>+NOMINA!H178</f>
        <v>45413</v>
      </c>
      <c r="F185" s="953">
        <f>+NOMINA!BT178</f>
        <v>10.82</v>
      </c>
      <c r="G185" s="608"/>
      <c r="H185" s="609"/>
      <c r="I185" s="609"/>
      <c r="J185" s="609"/>
      <c r="K185" s="609"/>
    </row>
    <row r="186" spans="1:11" ht="15.75" customHeight="1">
      <c r="A186" s="951">
        <f t="shared" si="3"/>
        <v>137</v>
      </c>
      <c r="B186" s="949">
        <f>+NOMINA!C179</f>
        <v>16377159</v>
      </c>
      <c r="C186" s="949" t="str">
        <f>+NOMINA!D179</f>
        <v>Carrillo Uzcategui Tahiyuani Carolina</v>
      </c>
      <c r="D186" s="949" t="str">
        <f>+NOMINA!O179</f>
        <v>Guia de Centro I</v>
      </c>
      <c r="E186" s="952">
        <f>+NOMINA!H179</f>
        <v>44743</v>
      </c>
      <c r="F186" s="953">
        <f>+NOMINA!BT179</f>
        <v>10.94</v>
      </c>
      <c r="G186" s="608"/>
      <c r="H186" s="609"/>
      <c r="I186" s="609"/>
      <c r="J186" s="609"/>
      <c r="K186" s="609"/>
    </row>
    <row r="187" spans="1:11" ht="15.75" customHeight="1">
      <c r="A187" s="951">
        <f t="shared" si="3"/>
        <v>138</v>
      </c>
      <c r="B187" s="949">
        <f>+NOMINA!C180</f>
        <v>16377588</v>
      </c>
      <c r="C187" s="949" t="str">
        <f>+NOMINA!D180</f>
        <v>Perdomo Linares Alejandra Carolina</v>
      </c>
      <c r="D187" s="949" t="str">
        <f>+NOMINA!O180</f>
        <v>Tutor Facilitador II</v>
      </c>
      <c r="E187" s="952">
        <f>+NOMINA!H180</f>
        <v>44059</v>
      </c>
      <c r="F187" s="953">
        <f>+NOMINA!BT180</f>
        <v>10.76</v>
      </c>
      <c r="G187" s="608"/>
      <c r="H187" s="609"/>
      <c r="I187" s="609"/>
      <c r="J187" s="609"/>
      <c r="K187" s="609"/>
    </row>
    <row r="188" spans="1:11" ht="15.75" customHeight="1">
      <c r="A188" s="951">
        <f t="shared" si="3"/>
        <v>139</v>
      </c>
      <c r="B188" s="949">
        <f>+NOMINA!C181</f>
        <v>16377628</v>
      </c>
      <c r="C188" s="949" t="str">
        <f>+NOMINA!D181</f>
        <v>Peña Nava Maria Gabriela</v>
      </c>
      <c r="D188" s="949" t="str">
        <f>+NOMINA!O181</f>
        <v>Guia de Centro II</v>
      </c>
      <c r="E188" s="952">
        <f>+NOMINA!H181</f>
        <v>44743</v>
      </c>
      <c r="F188" s="953">
        <f>+NOMINA!BT181</f>
        <v>14.9</v>
      </c>
      <c r="G188" s="608"/>
      <c r="H188" s="609"/>
      <c r="I188" s="609"/>
      <c r="J188" s="609"/>
      <c r="K188" s="609"/>
    </row>
    <row r="189" spans="1:11" ht="15.75" customHeight="1">
      <c r="A189" s="951">
        <f t="shared" si="3"/>
        <v>140</v>
      </c>
      <c r="B189" s="949">
        <f>+NOMINA!C182</f>
        <v>16533566</v>
      </c>
      <c r="C189" s="949" t="str">
        <f>+NOMINA!D182</f>
        <v>Materan Gallardo Vivian Katiana</v>
      </c>
      <c r="D189" s="949" t="str">
        <f>+NOMINA!O182</f>
        <v>Guia de Centro I</v>
      </c>
      <c r="E189" s="952">
        <f>+NOMINA!H182</f>
        <v>44683</v>
      </c>
      <c r="F189" s="953">
        <f>+NOMINA!BT182</f>
        <v>7.48</v>
      </c>
      <c r="G189" s="608"/>
      <c r="H189" s="609"/>
      <c r="I189" s="609"/>
      <c r="J189" s="609"/>
      <c r="K189" s="609"/>
    </row>
    <row r="190" spans="1:11" ht="15.75" customHeight="1">
      <c r="A190" s="951">
        <f t="shared" si="3"/>
        <v>141</v>
      </c>
      <c r="B190" s="949">
        <f>+NOMINA!C183</f>
        <v>16533615</v>
      </c>
      <c r="C190" s="949" t="str">
        <f>+NOMINA!D183</f>
        <v>Valero Sulbaran Urquia Del Mar</v>
      </c>
      <c r="D190" s="949" t="str">
        <f>+NOMINA!O183</f>
        <v>Guia de Centro I</v>
      </c>
      <c r="E190" s="952">
        <f>+NOMINA!H183</f>
        <v>45474</v>
      </c>
      <c r="F190" s="953">
        <f>+NOMINA!BT183</f>
        <v>12.62</v>
      </c>
      <c r="G190" s="608"/>
      <c r="H190" s="609"/>
      <c r="I190" s="609"/>
      <c r="J190" s="609"/>
      <c r="K190" s="609"/>
    </row>
    <row r="191" spans="1:11" ht="15.75" customHeight="1">
      <c r="A191" s="951">
        <f t="shared" si="3"/>
        <v>142</v>
      </c>
      <c r="B191" s="949">
        <f>+NOMINA!C184</f>
        <v>16533986</v>
      </c>
      <c r="C191" s="949" t="str">
        <f>+NOMINA!D184</f>
        <v>Serrada Bustos Gladys Magaly</v>
      </c>
      <c r="D191" s="949" t="str">
        <f>+NOMINA!O184</f>
        <v>INGENIERO ELECTRICISTA JEFE</v>
      </c>
      <c r="E191" s="952">
        <f>+NOMINA!H184</f>
        <v>42948</v>
      </c>
      <c r="F191" s="953">
        <f>+NOMINA!BT184</f>
        <v>11.06</v>
      </c>
      <c r="G191" s="608"/>
      <c r="H191" s="609"/>
      <c r="I191" s="609"/>
      <c r="J191" s="609"/>
      <c r="K191" s="609"/>
    </row>
    <row r="192" spans="1:11" ht="15.75" customHeight="1">
      <c r="A192" s="951">
        <f t="shared" si="3"/>
        <v>143</v>
      </c>
      <c r="B192" s="949">
        <f>+NOMINA!C185</f>
        <v>16739081</v>
      </c>
      <c r="C192" s="949" t="str">
        <f>+NOMINA!D185</f>
        <v>Albarran Araujo Yely Coromoto</v>
      </c>
      <c r="D192" s="949" t="str">
        <f>+NOMINA!O185</f>
        <v>Asistente Administrativo III</v>
      </c>
      <c r="E192" s="952">
        <f>+NOMINA!H185</f>
        <v>42948</v>
      </c>
      <c r="F192" s="953">
        <f>+NOMINA!BT185</f>
        <v>0</v>
      </c>
      <c r="G192" s="608"/>
      <c r="H192" s="609"/>
      <c r="I192" s="609"/>
      <c r="J192" s="609"/>
      <c r="K192" s="609"/>
    </row>
    <row r="193" spans="1:11" ht="15.75" customHeight="1">
      <c r="A193" s="951">
        <f t="shared" si="3"/>
        <v>144</v>
      </c>
      <c r="B193" s="949">
        <f>+NOMINA!C186</f>
        <v>16740261</v>
      </c>
      <c r="C193" s="949" t="str">
        <f>+NOMINA!D186</f>
        <v>Rivas Briceño Nathaly Del Carmen</v>
      </c>
      <c r="D193" s="949" t="str">
        <f>+NOMINA!O186</f>
        <v>Tecnico Superior en Trabajo Social I</v>
      </c>
      <c r="E193" s="952">
        <f>+NOMINA!H186</f>
        <v>45505</v>
      </c>
      <c r="F193" s="953">
        <f>+NOMINA!BT186</f>
        <v>8.02</v>
      </c>
      <c r="G193" s="608"/>
      <c r="H193" s="609"/>
      <c r="I193" s="609"/>
      <c r="J193" s="609"/>
      <c r="K193" s="609"/>
    </row>
    <row r="194" spans="1:11" ht="15.75" customHeight="1">
      <c r="A194" s="951">
        <f t="shared" si="3"/>
        <v>145</v>
      </c>
      <c r="B194" s="949">
        <f>+NOMINA!C187</f>
        <v>16881384</v>
      </c>
      <c r="C194" s="949" t="str">
        <f>+NOMINA!D187</f>
        <v>Perez Ramirez Yonathan Jesus</v>
      </c>
      <c r="D194" s="949" t="str">
        <f>+NOMINA!O187</f>
        <v>Guia de Centro II</v>
      </c>
      <c r="E194" s="952">
        <f>+NOMINA!H187</f>
        <v>43906</v>
      </c>
      <c r="F194" s="953">
        <f>+NOMINA!BT187</f>
        <v>12.14</v>
      </c>
      <c r="G194" s="608"/>
      <c r="H194" s="609"/>
      <c r="I194" s="609"/>
      <c r="J194" s="609"/>
      <c r="K194" s="609"/>
    </row>
    <row r="195" spans="1:11" ht="15.75" customHeight="1">
      <c r="A195" s="951">
        <f t="shared" si="3"/>
        <v>146</v>
      </c>
      <c r="B195" s="949">
        <f>+NOMINA!C188</f>
        <v>16882467</v>
      </c>
      <c r="C195" s="949" t="str">
        <f>+NOMINA!D188</f>
        <v>Mejia Araujo Sandra Coromoto</v>
      </c>
      <c r="D195" s="949" t="str">
        <f>+NOMINA!O188</f>
        <v>Analista de Personal IV</v>
      </c>
      <c r="E195" s="952">
        <f>+NOMINA!H188</f>
        <v>42948</v>
      </c>
      <c r="F195" s="953">
        <f>+NOMINA!BT188</f>
        <v>11.82</v>
      </c>
      <c r="G195" s="608"/>
      <c r="H195" s="609"/>
      <c r="I195" s="609"/>
      <c r="J195" s="609"/>
      <c r="K195" s="609"/>
    </row>
    <row r="196" spans="1:11" ht="15.75" customHeight="1">
      <c r="A196" s="951">
        <f t="shared" si="3"/>
        <v>147</v>
      </c>
      <c r="B196" s="949">
        <f>+NOMINA!C189</f>
        <v>16883267</v>
      </c>
      <c r="C196" s="949" t="str">
        <f>+NOMINA!D189</f>
        <v>Matheus Rondon Aida</v>
      </c>
      <c r="D196" s="949" t="str">
        <f>+NOMINA!O189</f>
        <v>Guia de Centro II</v>
      </c>
      <c r="E196" s="952">
        <f>+NOMINA!H189</f>
        <v>38930</v>
      </c>
      <c r="F196" s="953">
        <f>+NOMINA!BT189</f>
        <v>9.84</v>
      </c>
      <c r="G196" s="608"/>
      <c r="H196" s="609"/>
      <c r="I196" s="609"/>
      <c r="J196" s="609"/>
      <c r="K196" s="609"/>
    </row>
    <row r="197" spans="1:11" ht="15.75" customHeight="1">
      <c r="A197" s="951">
        <f t="shared" si="3"/>
        <v>148</v>
      </c>
      <c r="B197" s="949">
        <f>+NOMINA!C190</f>
        <v>17037244</v>
      </c>
      <c r="C197" s="949" t="str">
        <f>+NOMINA!D190</f>
        <v>Bastidas Yelitza Del Carmen</v>
      </c>
      <c r="D197" s="949" t="str">
        <f>+NOMINA!O190</f>
        <v>Guia de Centro II</v>
      </c>
      <c r="E197" s="952">
        <f>+NOMINA!H190</f>
        <v>40087</v>
      </c>
      <c r="F197" s="953">
        <f>+NOMINA!BT190</f>
        <v>13.16</v>
      </c>
      <c r="G197" s="608"/>
      <c r="H197" s="609"/>
      <c r="I197" s="609"/>
      <c r="J197" s="609"/>
      <c r="K197" s="609"/>
    </row>
    <row r="198" spans="1:11" ht="15.75" customHeight="1">
      <c r="A198" s="951">
        <f t="shared" si="3"/>
        <v>149</v>
      </c>
      <c r="B198" s="949">
        <f>+NOMINA!C191</f>
        <v>17094419</v>
      </c>
      <c r="C198" s="949" t="str">
        <f>+NOMINA!D191</f>
        <v>Aponte Rivera Lenismar del Valle</v>
      </c>
      <c r="D198" s="949" t="str">
        <f>+NOMINA!O191</f>
        <v>Guia de Centro I</v>
      </c>
      <c r="E198" s="952">
        <f>+NOMINA!H191</f>
        <v>44409</v>
      </c>
      <c r="F198" s="953">
        <f>+NOMINA!BT191</f>
        <v>7.4</v>
      </c>
      <c r="G198" s="608"/>
      <c r="H198" s="609"/>
      <c r="I198" s="609"/>
      <c r="J198" s="609"/>
      <c r="K198" s="609"/>
    </row>
    <row r="199" spans="1:11" ht="15.75" customHeight="1">
      <c r="A199" s="951">
        <f t="shared" si="3"/>
        <v>150</v>
      </c>
      <c r="B199" s="949">
        <f>+NOMINA!C192</f>
        <v>17094426</v>
      </c>
      <c r="C199" s="949" t="str">
        <f>+NOMINA!D192</f>
        <v>Manzanilla Araujo Richard Jose</v>
      </c>
      <c r="D199" s="949" t="str">
        <f>+NOMINA!O192</f>
        <v>Guia de Centro II</v>
      </c>
      <c r="E199" s="952">
        <f>+NOMINA!H192</f>
        <v>43344</v>
      </c>
      <c r="F199" s="953">
        <f>+NOMINA!BT192</f>
        <v>14.26</v>
      </c>
      <c r="G199" s="608"/>
      <c r="H199" s="609"/>
      <c r="I199" s="609"/>
      <c r="J199" s="609"/>
      <c r="K199" s="609"/>
    </row>
    <row r="200" spans="1:11" ht="15.75" customHeight="1">
      <c r="A200" s="951">
        <f t="shared" si="3"/>
        <v>151</v>
      </c>
      <c r="B200" s="949">
        <f>+NOMINA!C193</f>
        <v>17130893</v>
      </c>
      <c r="C200" s="949" t="str">
        <f>+NOMINA!D193</f>
        <v>Leon Valero Ceila Maria</v>
      </c>
      <c r="D200" s="949" t="str">
        <f>+NOMINA!O193</f>
        <v>Tutor Facilitador III</v>
      </c>
      <c r="E200" s="952">
        <f>+NOMINA!H193</f>
        <v>39602</v>
      </c>
      <c r="F200" s="953">
        <f>+NOMINA!BT193</f>
        <v>12.4</v>
      </c>
      <c r="G200" s="608"/>
      <c r="H200" s="609"/>
      <c r="I200" s="609"/>
      <c r="J200" s="609"/>
      <c r="K200" s="609"/>
    </row>
    <row r="201" spans="1:11" ht="15.75" customHeight="1">
      <c r="A201" s="951">
        <f t="shared" si="3"/>
        <v>152</v>
      </c>
      <c r="B201" s="949">
        <f>+NOMINA!C194</f>
        <v>17265093</v>
      </c>
      <c r="C201" s="949" t="str">
        <f>+NOMINA!D194</f>
        <v>Vielma Viloria Dublasca del Valle</v>
      </c>
      <c r="D201" s="949" t="str">
        <f>+NOMINA!O194</f>
        <v>Psicologo I</v>
      </c>
      <c r="E201" s="952">
        <f>+NOMINA!H194</f>
        <v>45323</v>
      </c>
      <c r="F201" s="953">
        <f>+NOMINA!BT194</f>
        <v>12.16</v>
      </c>
      <c r="G201" s="608"/>
      <c r="H201" s="609"/>
      <c r="I201" s="609"/>
      <c r="J201" s="609"/>
      <c r="K201" s="609"/>
    </row>
    <row r="202" spans="1:11" ht="15.75" customHeight="1">
      <c r="A202" s="951">
        <f t="shared" si="3"/>
        <v>153</v>
      </c>
      <c r="B202" s="949">
        <f>+NOMINA!C195</f>
        <v>17265578</v>
      </c>
      <c r="C202" s="949" t="str">
        <f>+NOMINA!D195</f>
        <v>Briceño Aguilar Rebeca Andreina</v>
      </c>
      <c r="D202" s="949" t="str">
        <f>+NOMINA!O195</f>
        <v>Tecnico Superior en Trabajo Social II</v>
      </c>
      <c r="E202" s="952">
        <f>+NOMINA!H195</f>
        <v>45047</v>
      </c>
      <c r="F202" s="953">
        <f>+NOMINA!BT195</f>
        <v>9.14</v>
      </c>
      <c r="G202" s="608"/>
      <c r="H202" s="609"/>
      <c r="I202" s="609"/>
      <c r="J202" s="609"/>
      <c r="K202" s="609"/>
    </row>
    <row r="203" spans="1:11" ht="15.75" customHeight="1">
      <c r="A203" s="951">
        <f t="shared" si="3"/>
        <v>154</v>
      </c>
      <c r="B203" s="949">
        <f>+NOMINA!C196</f>
        <v>17265648</v>
      </c>
      <c r="C203" s="949" t="str">
        <f>+NOMINA!D196</f>
        <v>Carrizo Mary Alejandra</v>
      </c>
      <c r="D203" s="949" t="str">
        <f>+NOMINA!O196</f>
        <v>Guia de Centro II</v>
      </c>
      <c r="E203" s="952">
        <f>+NOMINA!H196</f>
        <v>43709</v>
      </c>
      <c r="F203" s="953">
        <f>+NOMINA!BT196</f>
        <v>8.1199999999999992</v>
      </c>
      <c r="G203" s="608"/>
      <c r="H203" s="609"/>
      <c r="I203" s="609"/>
      <c r="J203" s="609"/>
      <c r="K203" s="609"/>
    </row>
    <row r="204" spans="1:11" ht="15.75" customHeight="1">
      <c r="A204" s="951">
        <f t="shared" si="3"/>
        <v>155</v>
      </c>
      <c r="B204" s="949">
        <f>+NOMINA!C197</f>
        <v>17267324</v>
      </c>
      <c r="C204" s="949" t="str">
        <f>+NOMINA!D197</f>
        <v>Urdaneta Soto Katherine Esther</v>
      </c>
      <c r="D204" s="949" t="str">
        <f>+NOMINA!O197</f>
        <v>Guia de Centro II</v>
      </c>
      <c r="E204" s="952">
        <f>+NOMINA!H197</f>
        <v>43785</v>
      </c>
      <c r="F204" s="953">
        <f>+NOMINA!BT197</f>
        <v>8.1199999999999992</v>
      </c>
      <c r="G204" s="608"/>
      <c r="H204" s="609"/>
      <c r="I204" s="609"/>
      <c r="J204" s="609"/>
      <c r="K204" s="609"/>
    </row>
    <row r="205" spans="1:11" ht="15.75" customHeight="1">
      <c r="A205" s="951">
        <f t="shared" si="3"/>
        <v>156</v>
      </c>
      <c r="B205" s="949">
        <f>+NOMINA!C198</f>
        <v>17391316</v>
      </c>
      <c r="C205" s="949" t="str">
        <f>+NOMINA!D198</f>
        <v>Torres Aranguren Lilibeth del Valle</v>
      </c>
      <c r="D205" s="949" t="str">
        <f>+NOMINA!O198</f>
        <v>Guia de Centro I</v>
      </c>
      <c r="E205" s="952">
        <f>+NOMINA!H198</f>
        <v>44713</v>
      </c>
      <c r="F205" s="953">
        <f>+NOMINA!BT198</f>
        <v>10.56</v>
      </c>
      <c r="G205" s="608"/>
      <c r="H205" s="609"/>
      <c r="I205" s="609"/>
      <c r="J205" s="609"/>
      <c r="K205" s="609"/>
    </row>
    <row r="206" spans="1:11" ht="15.75" customHeight="1">
      <c r="A206" s="951">
        <f t="shared" si="3"/>
        <v>157</v>
      </c>
      <c r="B206" s="949">
        <f>+NOMINA!C199</f>
        <v>17391892</v>
      </c>
      <c r="C206" s="949" t="str">
        <f>+NOMINA!D199</f>
        <v>Godoy Padilla Darcy Yaneth</v>
      </c>
      <c r="D206" s="949" t="str">
        <f>+NOMINA!O199</f>
        <v>Analista de Personal I</v>
      </c>
      <c r="E206" s="952">
        <f>+NOMINA!H199</f>
        <v>45323</v>
      </c>
      <c r="F206" s="953">
        <f>+NOMINA!BT199</f>
        <v>10.14</v>
      </c>
      <c r="G206" s="608"/>
      <c r="H206" s="609"/>
      <c r="I206" s="609"/>
      <c r="J206" s="609"/>
      <c r="K206" s="609"/>
    </row>
    <row r="207" spans="1:11" ht="15.75" customHeight="1">
      <c r="A207" s="951">
        <f t="shared" si="3"/>
        <v>158</v>
      </c>
      <c r="B207" s="949">
        <f>+NOMINA!C200</f>
        <v>17392309</v>
      </c>
      <c r="C207" s="949" t="str">
        <f>+NOMINA!D200</f>
        <v>Torres Briceño Yarelis Del Carmen</v>
      </c>
      <c r="D207" s="949" t="str">
        <f>+NOMINA!O200</f>
        <v>Administrador II</v>
      </c>
      <c r="E207" s="952">
        <f>+NOMINA!H200</f>
        <v>43116</v>
      </c>
      <c r="F207" s="953">
        <f>+NOMINA!BT200</f>
        <v>11.36</v>
      </c>
      <c r="G207" s="608"/>
      <c r="H207" s="609"/>
      <c r="I207" s="609"/>
      <c r="J207" s="609"/>
      <c r="K207" s="609"/>
    </row>
    <row r="208" spans="1:11" ht="15.75" customHeight="1">
      <c r="A208" s="951">
        <f t="shared" si="3"/>
        <v>159</v>
      </c>
      <c r="B208" s="949">
        <f>+NOMINA!C201</f>
        <v>17393693</v>
      </c>
      <c r="C208" s="949" t="str">
        <f>+NOMINA!D201</f>
        <v>Nuñez Maria Gusmara</v>
      </c>
      <c r="D208" s="949" t="str">
        <f>+NOMINA!O201</f>
        <v>Asistente Administrativo II</v>
      </c>
      <c r="E208" s="952">
        <f>+NOMINA!H201</f>
        <v>44516</v>
      </c>
      <c r="F208" s="953">
        <f>+NOMINA!BT201</f>
        <v>6.2</v>
      </c>
      <c r="G208" s="608"/>
      <c r="H208" s="609"/>
      <c r="I208" s="609"/>
      <c r="J208" s="609"/>
      <c r="K208" s="609"/>
    </row>
    <row r="209" spans="1:11" ht="15.75" customHeight="1">
      <c r="A209" s="951">
        <f t="shared" si="3"/>
        <v>160</v>
      </c>
      <c r="B209" s="949">
        <f>+NOMINA!C202</f>
        <v>17596844</v>
      </c>
      <c r="C209" s="949" t="str">
        <f>+NOMINA!D202</f>
        <v>Colmenares Jorge Luis</v>
      </c>
      <c r="D209" s="949" t="str">
        <f>+NOMINA!O202</f>
        <v>Guia de Centro I</v>
      </c>
      <c r="E209" s="952">
        <f>+NOMINA!H202</f>
        <v>45474</v>
      </c>
      <c r="F209" s="953">
        <f>+NOMINA!BT202</f>
        <v>10.82</v>
      </c>
      <c r="G209" s="608"/>
      <c r="H209" s="609"/>
      <c r="I209" s="609"/>
      <c r="J209" s="609"/>
      <c r="K209" s="609"/>
    </row>
    <row r="210" spans="1:11" ht="15.75" customHeight="1">
      <c r="A210" s="951">
        <f t="shared" si="3"/>
        <v>161</v>
      </c>
      <c r="B210" s="949">
        <f>+NOMINA!C203</f>
        <v>17597257</v>
      </c>
      <c r="C210" s="949" t="str">
        <f>+NOMINA!D203</f>
        <v>Linares Barreto Jorge Luis</v>
      </c>
      <c r="D210" s="949" t="str">
        <f>+NOMINA!O203</f>
        <v>GUIA DE CENTRO I</v>
      </c>
      <c r="E210" s="952">
        <f>+NOMINA!H203</f>
        <v>45536</v>
      </c>
      <c r="F210" s="953">
        <f>+NOMINA!BT203</f>
        <v>10.039999999999999</v>
      </c>
      <c r="G210" s="608"/>
      <c r="H210" s="609"/>
      <c r="I210" s="609"/>
      <c r="J210" s="609"/>
      <c r="K210" s="609"/>
    </row>
    <row r="211" spans="1:11" ht="15.75" customHeight="1">
      <c r="A211" s="951">
        <f t="shared" si="3"/>
        <v>162</v>
      </c>
      <c r="B211" s="949">
        <f>+NOMINA!C204</f>
        <v>17597285</v>
      </c>
      <c r="C211" s="949" t="str">
        <f>+NOMINA!D204</f>
        <v>Duarte Portillo Dani Vicente</v>
      </c>
      <c r="D211" s="949" t="str">
        <f>+NOMINA!O204</f>
        <v>Tecnico Superior en Trabajo Social II</v>
      </c>
      <c r="E211" s="952">
        <f>+NOMINA!H204</f>
        <v>42782</v>
      </c>
      <c r="F211" s="953">
        <f>+NOMINA!BT204</f>
        <v>8.82</v>
      </c>
      <c r="G211" s="608"/>
      <c r="H211" s="609"/>
      <c r="I211" s="609"/>
      <c r="J211" s="609"/>
      <c r="K211" s="609"/>
    </row>
    <row r="212" spans="1:11" ht="15.75" customHeight="1">
      <c r="A212" s="951">
        <f t="shared" si="3"/>
        <v>163</v>
      </c>
      <c r="B212" s="949">
        <f>+NOMINA!C205</f>
        <v>17604568</v>
      </c>
      <c r="C212" s="949" t="str">
        <f>+NOMINA!D205</f>
        <v>Rivera Gil Christian Rafael</v>
      </c>
      <c r="D212" s="949" t="str">
        <f>+NOMINA!O205</f>
        <v>Tecnico en Reparacion y Mantenimiento I</v>
      </c>
      <c r="E212" s="952">
        <f>+NOMINA!H205</f>
        <v>43831</v>
      </c>
      <c r="F212" s="953">
        <f>+NOMINA!BT205</f>
        <v>9.24</v>
      </c>
      <c r="G212" s="608"/>
      <c r="H212" s="609"/>
      <c r="I212" s="609"/>
      <c r="J212" s="609"/>
      <c r="K212" s="609"/>
    </row>
    <row r="213" spans="1:11" ht="15.75" customHeight="1">
      <c r="A213" s="951">
        <f t="shared" si="3"/>
        <v>164</v>
      </c>
      <c r="B213" s="949">
        <f>+NOMINA!C206</f>
        <v>17605222</v>
      </c>
      <c r="C213" s="949" t="str">
        <f>+NOMINA!D206</f>
        <v>Aguial Dayana Carolina</v>
      </c>
      <c r="D213" s="949" t="str">
        <f>+NOMINA!O206</f>
        <v>Guia de Centro II</v>
      </c>
      <c r="E213" s="952">
        <f>+NOMINA!H206</f>
        <v>42737</v>
      </c>
      <c r="F213" s="953">
        <f>+NOMINA!BT206</f>
        <v>12.02</v>
      </c>
      <c r="G213" s="608"/>
      <c r="H213" s="609"/>
      <c r="I213" s="609"/>
      <c r="J213" s="609"/>
      <c r="K213" s="609"/>
    </row>
    <row r="214" spans="1:11" ht="15.75" customHeight="1">
      <c r="A214" s="951">
        <f t="shared" si="3"/>
        <v>165</v>
      </c>
      <c r="B214" s="949">
        <f>+NOMINA!C207</f>
        <v>17605492</v>
      </c>
      <c r="C214" s="949" t="str">
        <f>+NOMINA!D207</f>
        <v>Briceño Briceño Naibely Carolina</v>
      </c>
      <c r="D214" s="949" t="str">
        <f>+NOMINA!O207</f>
        <v>Asistente Administrativo V</v>
      </c>
      <c r="E214" s="952">
        <f>+NOMINA!H207</f>
        <v>43967</v>
      </c>
      <c r="F214" s="953">
        <f>+NOMINA!BT207</f>
        <v>10.46</v>
      </c>
      <c r="G214" s="608"/>
      <c r="H214" s="609"/>
      <c r="I214" s="609"/>
      <c r="J214" s="609"/>
      <c r="K214" s="609"/>
    </row>
    <row r="215" spans="1:11" ht="15.75" customHeight="1">
      <c r="A215" s="951">
        <f t="shared" si="3"/>
        <v>166</v>
      </c>
      <c r="B215" s="949">
        <f>+NOMINA!C208</f>
        <v>17606237</v>
      </c>
      <c r="C215" s="949" t="str">
        <f>+NOMINA!D208</f>
        <v>Castellano Rivera Maria Antonina</v>
      </c>
      <c r="D215" s="949" t="str">
        <f>+NOMINA!O208</f>
        <v>Asistente Administrativo III</v>
      </c>
      <c r="E215" s="952">
        <f>+NOMINA!H208</f>
        <v>40909</v>
      </c>
      <c r="F215" s="953">
        <f>+NOMINA!BT208</f>
        <v>8.24</v>
      </c>
      <c r="G215" s="608"/>
      <c r="H215" s="609"/>
      <c r="I215" s="609"/>
      <c r="J215" s="609"/>
      <c r="K215" s="609"/>
    </row>
    <row r="216" spans="1:11" ht="15.75" customHeight="1">
      <c r="A216" s="951">
        <f t="shared" si="3"/>
        <v>167</v>
      </c>
      <c r="B216" s="949">
        <f>+NOMINA!C209</f>
        <v>17830972</v>
      </c>
      <c r="C216" s="949" t="str">
        <f>+NOMINA!D209</f>
        <v>Bastidas Franco Dianellys Sarain</v>
      </c>
      <c r="D216" s="949" t="str">
        <f>+NOMINA!O209</f>
        <v>Entrenador Deportivo IV</v>
      </c>
      <c r="E216" s="952">
        <f>+NOMINA!H209</f>
        <v>44713</v>
      </c>
      <c r="F216" s="953">
        <f>+NOMINA!BT209</f>
        <v>9.52</v>
      </c>
      <c r="G216" s="608"/>
      <c r="H216" s="609"/>
      <c r="I216" s="609"/>
      <c r="J216" s="609"/>
      <c r="K216" s="609"/>
    </row>
    <row r="217" spans="1:11" ht="15.75" customHeight="1">
      <c r="A217" s="951">
        <f t="shared" si="3"/>
        <v>168</v>
      </c>
      <c r="B217" s="949">
        <f>+NOMINA!C210</f>
        <v>17831012</v>
      </c>
      <c r="C217" s="949" t="str">
        <f>+NOMINA!D210</f>
        <v>Valera Briceño Jesus Enrique</v>
      </c>
      <c r="D217" s="949" t="str">
        <f>+NOMINA!O210</f>
        <v>Guia de Centro I</v>
      </c>
      <c r="E217" s="952">
        <f>+NOMINA!H210</f>
        <v>45474</v>
      </c>
      <c r="F217" s="953">
        <f>+NOMINA!BT210</f>
        <v>7.8</v>
      </c>
      <c r="G217" s="608"/>
      <c r="H217" s="609"/>
      <c r="I217" s="609"/>
      <c r="J217" s="609"/>
      <c r="K217" s="609"/>
    </row>
    <row r="218" spans="1:11" ht="15.75" customHeight="1">
      <c r="A218" s="951">
        <f t="shared" si="3"/>
        <v>169</v>
      </c>
      <c r="B218" s="949">
        <f>+NOMINA!C211</f>
        <v>17831231</v>
      </c>
      <c r="C218" s="949" t="str">
        <f>+NOMINA!D211</f>
        <v>Blanco Torres Beixy Coromoto</v>
      </c>
      <c r="D218" s="949" t="str">
        <f>+NOMINA!O211</f>
        <v>Abogado III</v>
      </c>
      <c r="E218" s="952">
        <f>+NOMINA!H211</f>
        <v>44200</v>
      </c>
      <c r="F218" s="953">
        <f>+NOMINA!BT211</f>
        <v>11.46</v>
      </c>
      <c r="G218" s="608"/>
      <c r="H218" s="609"/>
      <c r="I218" s="609"/>
      <c r="J218" s="609"/>
      <c r="K218" s="609"/>
    </row>
    <row r="219" spans="1:11" ht="15.75" customHeight="1">
      <c r="A219" s="951">
        <f t="shared" si="3"/>
        <v>170</v>
      </c>
      <c r="B219" s="949">
        <f>+NOMINA!C212</f>
        <v>17831384</v>
      </c>
      <c r="C219" s="949" t="str">
        <f>+NOMINA!D212</f>
        <v>Nieve Briceño Glorys Carolina</v>
      </c>
      <c r="D219" s="949" t="str">
        <f>+NOMINA!O212</f>
        <v>Guia de Centro II</v>
      </c>
      <c r="E219" s="952">
        <f>+NOMINA!H212</f>
        <v>42339</v>
      </c>
      <c r="F219" s="953">
        <f>+NOMINA!BT212</f>
        <v>14.66</v>
      </c>
      <c r="G219" s="608"/>
      <c r="H219" s="609"/>
      <c r="I219" s="609"/>
      <c r="J219" s="609"/>
      <c r="K219" s="609"/>
    </row>
    <row r="220" spans="1:11" ht="15.75" customHeight="1">
      <c r="A220" s="951">
        <f t="shared" si="3"/>
        <v>171</v>
      </c>
      <c r="B220" s="949">
        <f>+NOMINA!C213</f>
        <v>17832396</v>
      </c>
      <c r="C220" s="949" t="str">
        <f>+NOMINA!D213</f>
        <v>Pulido Sanchez Joalina Vanessa</v>
      </c>
      <c r="D220" s="949" t="str">
        <f>+NOMINA!O213</f>
        <v>Enfermera Jefe I</v>
      </c>
      <c r="E220" s="952">
        <f>+NOMINA!H213</f>
        <v>43191</v>
      </c>
      <c r="F220" s="953">
        <f>+NOMINA!BT213</f>
        <v>9.3000000000000007</v>
      </c>
      <c r="G220" s="608"/>
      <c r="H220" s="609"/>
      <c r="I220" s="609"/>
      <c r="J220" s="609"/>
      <c r="K220" s="609"/>
    </row>
    <row r="221" spans="1:11" ht="15.75" customHeight="1">
      <c r="A221" s="951">
        <f t="shared" si="3"/>
        <v>172</v>
      </c>
      <c r="B221" s="949">
        <f>+NOMINA!C214</f>
        <v>17865154</v>
      </c>
      <c r="C221" s="949" t="str">
        <f>+NOMINA!D214</f>
        <v>Serrano Ingrid Maria</v>
      </c>
      <c r="D221" s="949" t="str">
        <f>+NOMINA!O214</f>
        <v>Guia de Centro I</v>
      </c>
      <c r="E221" s="952">
        <f>+NOMINA!H214</f>
        <v>43846</v>
      </c>
      <c r="F221" s="953">
        <f>+NOMINA!BT214</f>
        <v>7.48</v>
      </c>
      <c r="G221" s="608"/>
      <c r="H221" s="609"/>
      <c r="I221" s="609"/>
      <c r="J221" s="609"/>
      <c r="K221" s="609"/>
    </row>
    <row r="222" spans="1:11" ht="15.75" customHeight="1">
      <c r="A222" s="951">
        <f t="shared" si="3"/>
        <v>173</v>
      </c>
      <c r="B222" s="949">
        <f>+NOMINA!C215</f>
        <v>18036203</v>
      </c>
      <c r="C222" s="949" t="str">
        <f>+NOMINA!D215</f>
        <v>Yepes Caceres Mervis Javier</v>
      </c>
      <c r="D222" s="949" t="str">
        <f>+NOMINA!O215</f>
        <v>Guia de Centro I</v>
      </c>
      <c r="E222" s="952">
        <f>+NOMINA!H215</f>
        <v>45505</v>
      </c>
      <c r="F222" s="953">
        <f>+NOMINA!BT215</f>
        <v>7.42</v>
      </c>
      <c r="G222" s="608"/>
      <c r="H222" s="609"/>
      <c r="I222" s="609"/>
      <c r="J222" s="609"/>
      <c r="K222" s="609"/>
    </row>
    <row r="223" spans="1:11" ht="15.75" customHeight="1">
      <c r="A223" s="951">
        <f t="shared" si="3"/>
        <v>174</v>
      </c>
      <c r="B223" s="949">
        <f>+NOMINA!C216</f>
        <v>18036156</v>
      </c>
      <c r="C223" s="949" t="str">
        <f>+NOMINA!D216</f>
        <v>Ruiz Vasquez Endri Ramon</v>
      </c>
      <c r="D223" s="949" t="str">
        <f>+NOMINA!O216</f>
        <v>Guia de Centro I</v>
      </c>
      <c r="E223" s="952">
        <f>+NOMINA!H216</f>
        <v>45597</v>
      </c>
      <c r="F223" s="953">
        <f>+NOMINA!BT216</f>
        <v>6.76</v>
      </c>
      <c r="G223" s="608"/>
      <c r="H223" s="609"/>
      <c r="I223" s="609"/>
      <c r="J223" s="609"/>
      <c r="K223" s="609"/>
    </row>
    <row r="224" spans="1:11" ht="15.75" customHeight="1">
      <c r="A224" s="951">
        <f t="shared" si="3"/>
        <v>175</v>
      </c>
      <c r="B224" s="949">
        <f>+NOMINA!C217</f>
        <v>18095603</v>
      </c>
      <c r="C224" s="949" t="str">
        <f>+NOMINA!D217</f>
        <v>Lozada Bencomo Daniela Carolina</v>
      </c>
      <c r="D224" s="949" t="str">
        <f>+NOMINA!O217</f>
        <v>Tecnico Superior en Trabajo Social II</v>
      </c>
      <c r="E224" s="952">
        <f>+NOMINA!H217</f>
        <v>42963</v>
      </c>
      <c r="F224" s="953">
        <f>+NOMINA!BT217</f>
        <v>9.5</v>
      </c>
      <c r="G224" s="608"/>
      <c r="H224" s="609"/>
      <c r="I224" s="609"/>
      <c r="J224" s="609"/>
      <c r="K224" s="609"/>
    </row>
    <row r="225" spans="1:11" ht="15.75" customHeight="1">
      <c r="A225" s="951">
        <f t="shared" si="3"/>
        <v>176</v>
      </c>
      <c r="B225" s="949">
        <f>+NOMINA!C218</f>
        <v>18096996</v>
      </c>
      <c r="C225" s="949" t="str">
        <f>+NOMINA!D218</f>
        <v>Diaz Maldonado Anny Jackeline</v>
      </c>
      <c r="D225" s="949" t="str">
        <f>+NOMINA!O218</f>
        <v>CONTABILISTA III</v>
      </c>
      <c r="E225" s="952">
        <f>+NOMINA!H218</f>
        <v>44743</v>
      </c>
      <c r="F225" s="953">
        <f>+NOMINA!BT218</f>
        <v>8.1199999999999992</v>
      </c>
      <c r="G225" s="608"/>
      <c r="H225" s="609"/>
      <c r="I225" s="609"/>
      <c r="J225" s="609"/>
      <c r="K225" s="609"/>
    </row>
    <row r="226" spans="1:11" ht="15.75" customHeight="1">
      <c r="A226" s="951">
        <f t="shared" si="3"/>
        <v>177</v>
      </c>
      <c r="B226" s="949">
        <f>+NOMINA!C219</f>
        <v>18097528</v>
      </c>
      <c r="C226" s="949" t="str">
        <f>+NOMINA!D219</f>
        <v>Godoy Suarez Nelson Jose</v>
      </c>
      <c r="D226" s="949" t="str">
        <f>+NOMINA!O219</f>
        <v>Guia de Centro I</v>
      </c>
      <c r="E226" s="952">
        <f>+NOMINA!H219</f>
        <v>45536</v>
      </c>
      <c r="F226" s="953">
        <f>+NOMINA!BT219</f>
        <v>7.42</v>
      </c>
      <c r="G226" s="608"/>
      <c r="H226" s="609"/>
      <c r="I226" s="609"/>
      <c r="J226" s="609"/>
      <c r="K226" s="609"/>
    </row>
    <row r="227" spans="1:11" ht="15.75" customHeight="1">
      <c r="A227" s="951">
        <f t="shared" si="3"/>
        <v>178</v>
      </c>
      <c r="B227" s="949">
        <f>+NOMINA!C220</f>
        <v>18097873</v>
      </c>
      <c r="C227" s="949" t="str">
        <f>+NOMINA!D220</f>
        <v>Villarreal Prada Yoriangela Nataly</v>
      </c>
      <c r="D227" s="949" t="str">
        <f>+NOMINA!O220</f>
        <v>Guia de Centro I</v>
      </c>
      <c r="E227" s="952">
        <f>+NOMINA!H220</f>
        <v>44531</v>
      </c>
      <c r="F227" s="953">
        <f>+NOMINA!BT220</f>
        <v>8.0399999999999991</v>
      </c>
      <c r="G227" s="608"/>
      <c r="H227" s="609"/>
      <c r="I227" s="609"/>
      <c r="J227" s="609"/>
      <c r="K227" s="609"/>
    </row>
    <row r="228" spans="1:11" ht="15.75" customHeight="1">
      <c r="A228" s="951">
        <f t="shared" si="3"/>
        <v>179</v>
      </c>
      <c r="B228" s="949">
        <f>+NOMINA!C221</f>
        <v>18348317</v>
      </c>
      <c r="C228" s="949" t="str">
        <f>+NOMINA!D221</f>
        <v>Abreu Araujo Gilmer Francisco</v>
      </c>
      <c r="D228" s="949" t="str">
        <f>+NOMINA!O221</f>
        <v>Tutor Facilitador III</v>
      </c>
      <c r="E228" s="952">
        <f>+NOMINA!H221</f>
        <v>43160</v>
      </c>
      <c r="F228" s="953">
        <f>+NOMINA!BT221</f>
        <v>11.4</v>
      </c>
      <c r="G228" s="608"/>
      <c r="H228" s="609"/>
      <c r="I228" s="609"/>
      <c r="J228" s="609"/>
      <c r="K228" s="609"/>
    </row>
    <row r="229" spans="1:11" ht="15.75" customHeight="1">
      <c r="A229" s="951">
        <f t="shared" si="3"/>
        <v>180</v>
      </c>
      <c r="B229" s="949">
        <f>+NOMINA!C222</f>
        <v>18348721</v>
      </c>
      <c r="C229" s="949" t="str">
        <f>+NOMINA!D222</f>
        <v>Villarreal Lusana Carolina</v>
      </c>
      <c r="D229" s="949" t="str">
        <f>+NOMINA!O222</f>
        <v>Tecnico Superior en Trabajo Social II</v>
      </c>
      <c r="E229" s="952">
        <f>+NOMINA!H222</f>
        <v>42948</v>
      </c>
      <c r="F229" s="953">
        <f>+NOMINA!BT222</f>
        <v>9.42</v>
      </c>
      <c r="G229" s="608"/>
      <c r="H229" s="609"/>
      <c r="I229" s="609"/>
      <c r="J229" s="609"/>
      <c r="K229" s="609"/>
    </row>
    <row r="230" spans="1:11" ht="15.75" customHeight="1">
      <c r="A230" s="951">
        <f t="shared" si="3"/>
        <v>181</v>
      </c>
      <c r="B230" s="949">
        <f>+NOMINA!C223</f>
        <v>18349021</v>
      </c>
      <c r="C230" s="949" t="str">
        <f>+NOMINA!D223</f>
        <v>Godoy Linares Amenaida del Valle</v>
      </c>
      <c r="D230" s="949" t="str">
        <f>+NOMINA!O223</f>
        <v>Guia de Centro I</v>
      </c>
      <c r="E230" s="952">
        <f>+NOMINA!H223</f>
        <v>44683</v>
      </c>
      <c r="F230" s="953">
        <f>+NOMINA!BT223</f>
        <v>11</v>
      </c>
      <c r="G230" s="608"/>
      <c r="H230" s="609"/>
      <c r="I230" s="609"/>
      <c r="J230" s="609"/>
      <c r="K230" s="609"/>
    </row>
    <row r="231" spans="1:11" ht="15.75" customHeight="1">
      <c r="A231" s="951">
        <f t="shared" si="3"/>
        <v>182</v>
      </c>
      <c r="B231" s="949">
        <f>+NOMINA!C224</f>
        <v>18349553</v>
      </c>
      <c r="C231" s="949" t="str">
        <f>+NOMINA!D224</f>
        <v>Quiroga Valdes Nayla Carolina</v>
      </c>
      <c r="D231" s="949" t="str">
        <f>+NOMINA!O224</f>
        <v>Guia de Centro I</v>
      </c>
      <c r="E231" s="952">
        <f>+NOMINA!H224</f>
        <v>45566</v>
      </c>
      <c r="F231" s="953">
        <f>+NOMINA!BT224</f>
        <v>12.22</v>
      </c>
      <c r="G231" s="608"/>
      <c r="H231" s="609"/>
      <c r="I231" s="609"/>
      <c r="J231" s="609"/>
      <c r="K231" s="609"/>
    </row>
    <row r="232" spans="1:11" ht="15.75" customHeight="1">
      <c r="A232" s="951">
        <f t="shared" si="3"/>
        <v>183</v>
      </c>
      <c r="B232" s="949">
        <f>+NOMINA!C225</f>
        <v>18349653</v>
      </c>
      <c r="C232" s="949" t="str">
        <f>+NOMINA!D225</f>
        <v>Baptista Finol Violexy del Valle</v>
      </c>
      <c r="D232" s="949" t="str">
        <f>+NOMINA!O225</f>
        <v>Guia de Centro I</v>
      </c>
      <c r="E232" s="952">
        <f>+NOMINA!H225</f>
        <v>45627</v>
      </c>
      <c r="F232" s="953">
        <f>+NOMINA!BT225</f>
        <v>11.28</v>
      </c>
      <c r="G232" s="608"/>
      <c r="H232" s="609"/>
      <c r="I232" s="609"/>
      <c r="J232" s="609"/>
      <c r="K232" s="609"/>
    </row>
    <row r="233" spans="1:11" ht="15.75" customHeight="1">
      <c r="A233" s="951">
        <f t="shared" si="3"/>
        <v>184</v>
      </c>
      <c r="B233" s="949">
        <f>+NOMINA!C226</f>
        <v>18350884</v>
      </c>
      <c r="C233" s="949" t="str">
        <f>+NOMINA!D226</f>
        <v>Araujo Mendoza Mirelis Carolina</v>
      </c>
      <c r="D233" s="949" t="str">
        <f>+NOMINA!O226</f>
        <v>Guia de Centro I</v>
      </c>
      <c r="E233" s="952">
        <f>+NOMINA!H226</f>
        <v>45474</v>
      </c>
      <c r="F233" s="953">
        <f>+NOMINA!BT226</f>
        <v>7.08</v>
      </c>
      <c r="G233" s="608"/>
      <c r="H233" s="609"/>
      <c r="I233" s="609"/>
      <c r="J233" s="609"/>
      <c r="K233" s="609"/>
    </row>
    <row r="234" spans="1:11" ht="15.75" customHeight="1">
      <c r="A234" s="951">
        <f t="shared" si="3"/>
        <v>185</v>
      </c>
      <c r="B234" s="949">
        <f>+NOMINA!C227</f>
        <v>18378985</v>
      </c>
      <c r="C234" s="949" t="str">
        <f>+NOMINA!D227</f>
        <v>Quintero Paradas Ilse Maria</v>
      </c>
      <c r="D234" s="949" t="str">
        <f>+NOMINA!O227</f>
        <v>Analista de Procesamiento de Datos II</v>
      </c>
      <c r="E234" s="952">
        <f>+NOMINA!H227</f>
        <v>43147</v>
      </c>
      <c r="F234" s="953">
        <f>+NOMINA!BT227</f>
        <v>10.98</v>
      </c>
      <c r="G234" s="608"/>
      <c r="H234" s="609"/>
      <c r="I234" s="609"/>
      <c r="J234" s="609"/>
      <c r="K234" s="609"/>
    </row>
    <row r="235" spans="1:11" ht="15.75" customHeight="1">
      <c r="A235" s="951">
        <f t="shared" si="3"/>
        <v>186</v>
      </c>
      <c r="B235" s="949">
        <f>+NOMINA!C228</f>
        <v>18456345</v>
      </c>
      <c r="C235" s="949" t="str">
        <f>+NOMINA!D228</f>
        <v>Peñaloza Olmos Eduardo Jose</v>
      </c>
      <c r="D235" s="949" t="str">
        <f>+NOMINA!O228</f>
        <v>ESPECIALISTA EN INFORMATICA I</v>
      </c>
      <c r="E235" s="952">
        <f>+NOMINA!H228</f>
        <v>44774</v>
      </c>
      <c r="F235" s="953">
        <f>+NOMINA!BT228</f>
        <v>9.52</v>
      </c>
      <c r="G235" s="608"/>
      <c r="H235" s="609"/>
      <c r="I235" s="609"/>
      <c r="J235" s="609"/>
      <c r="K235" s="609"/>
    </row>
    <row r="236" spans="1:11" ht="15.75" customHeight="1">
      <c r="A236" s="951">
        <f t="shared" si="3"/>
        <v>187</v>
      </c>
      <c r="B236" s="949">
        <f>+NOMINA!C229</f>
        <v>18457406</v>
      </c>
      <c r="C236" s="949" t="str">
        <f>+NOMINA!D229</f>
        <v>Rivero Zambrano Herluis Jose</v>
      </c>
      <c r="D236" s="949" t="str">
        <f>+NOMINA!O229</f>
        <v>Ingeniero Agronomo IV</v>
      </c>
      <c r="E236" s="952">
        <f>+NOMINA!H229</f>
        <v>41548</v>
      </c>
      <c r="F236" s="953">
        <f>+NOMINA!BT229</f>
        <v>0</v>
      </c>
      <c r="G236" s="608"/>
      <c r="H236" s="609"/>
      <c r="I236" s="609"/>
      <c r="J236" s="609"/>
      <c r="K236" s="609"/>
    </row>
    <row r="237" spans="1:11" ht="15.75" customHeight="1">
      <c r="A237" s="951">
        <f t="shared" si="3"/>
        <v>188</v>
      </c>
      <c r="B237" s="949">
        <f>+NOMINA!C230</f>
        <v>18458012</v>
      </c>
      <c r="C237" s="949" t="str">
        <f>+NOMINA!D230</f>
        <v>Briceño Uzcategui Maria Esperanza</v>
      </c>
      <c r="D237" s="949" t="str">
        <f>+NOMINA!O230</f>
        <v>Asistente Administrativo III</v>
      </c>
      <c r="E237" s="952">
        <f>+NOMINA!H230</f>
        <v>44636</v>
      </c>
      <c r="F237" s="953">
        <f>+NOMINA!BT230</f>
        <v>8.42</v>
      </c>
      <c r="G237" s="608"/>
      <c r="H237" s="609"/>
      <c r="I237" s="609"/>
      <c r="J237" s="609"/>
      <c r="K237" s="609"/>
    </row>
    <row r="238" spans="1:11" ht="15.75" customHeight="1">
      <c r="A238" s="951">
        <f t="shared" si="3"/>
        <v>189</v>
      </c>
      <c r="B238" s="949">
        <f>+NOMINA!C231</f>
        <v>18670458</v>
      </c>
      <c r="C238" s="949" t="str">
        <f>+NOMINA!D231</f>
        <v>Gervasi de Valera Solanye Dairilyn</v>
      </c>
      <c r="D238" s="949" t="str">
        <f>+NOMINA!O231</f>
        <v>Entrenador Deportivo IV</v>
      </c>
      <c r="E238" s="952">
        <f>+NOMINA!H231</f>
        <v>42741</v>
      </c>
      <c r="F238" s="953">
        <f>+NOMINA!BT231</f>
        <v>11.44</v>
      </c>
      <c r="G238" s="608"/>
      <c r="H238" s="609"/>
      <c r="I238" s="609"/>
      <c r="J238" s="609"/>
      <c r="K238" s="609"/>
    </row>
    <row r="239" spans="1:11" ht="15.75" customHeight="1">
      <c r="A239" s="951">
        <f t="shared" si="3"/>
        <v>190</v>
      </c>
      <c r="B239" s="949">
        <f>+NOMINA!C232</f>
        <v>18733682</v>
      </c>
      <c r="C239" s="949" t="str">
        <f>+NOMINA!D232</f>
        <v>Ocanto Ramirez Maria Alejandra</v>
      </c>
      <c r="D239" s="949" t="str">
        <f>+NOMINA!O232</f>
        <v>Guia de Centro I</v>
      </c>
      <c r="E239" s="952">
        <f>+NOMINA!H232</f>
        <v>45474</v>
      </c>
      <c r="F239" s="953">
        <f>+NOMINA!BT232</f>
        <v>7.08</v>
      </c>
      <c r="G239" s="608"/>
      <c r="H239" s="609"/>
      <c r="I239" s="609"/>
      <c r="J239" s="609"/>
      <c r="K239" s="609"/>
    </row>
    <row r="240" spans="1:11" ht="15.75" customHeight="1">
      <c r="A240" s="951">
        <f t="shared" si="3"/>
        <v>191</v>
      </c>
      <c r="B240" s="949">
        <f>+NOMINA!C233</f>
        <v>18801597</v>
      </c>
      <c r="C240" s="949" t="str">
        <f>+NOMINA!D233</f>
        <v>Rodriguez Salas Mary Carmen</v>
      </c>
      <c r="D240" s="949" t="str">
        <f>+NOMINA!O233</f>
        <v>Tutor Facilitador III</v>
      </c>
      <c r="E240" s="952">
        <f>+NOMINA!H233</f>
        <v>43359</v>
      </c>
      <c r="F240" s="953">
        <f>+NOMINA!BT233</f>
        <v>11.28</v>
      </c>
      <c r="G240" s="608"/>
      <c r="H240" s="609"/>
      <c r="I240" s="609"/>
      <c r="J240" s="609"/>
      <c r="K240" s="609"/>
    </row>
    <row r="241" spans="1:11" ht="15.75" customHeight="1">
      <c r="A241" s="951">
        <f t="shared" si="3"/>
        <v>192</v>
      </c>
      <c r="B241" s="949">
        <f>+NOMINA!C234</f>
        <v>18802405</v>
      </c>
      <c r="C241" s="949" t="str">
        <f>+NOMINA!D234</f>
        <v>Ramirez Rodriguez Rudys Arelys</v>
      </c>
      <c r="D241" s="949" t="str">
        <f>+NOMINA!O234</f>
        <v>Tutor Facilitador I</v>
      </c>
      <c r="E241" s="952">
        <f>+NOMINA!H234</f>
        <v>44332</v>
      </c>
      <c r="F241" s="953">
        <f>+NOMINA!BT234</f>
        <v>9.52</v>
      </c>
      <c r="G241" s="608"/>
      <c r="H241" s="609"/>
      <c r="I241" s="609"/>
      <c r="J241" s="609"/>
      <c r="K241" s="609"/>
    </row>
    <row r="242" spans="1:11" ht="15.75" customHeight="1">
      <c r="A242" s="951">
        <f t="shared" si="3"/>
        <v>193</v>
      </c>
      <c r="B242" s="949">
        <f>+NOMINA!C235</f>
        <v>18984406</v>
      </c>
      <c r="C242" s="949" t="str">
        <f>+NOMINA!D235</f>
        <v>Torres Santiago Eduardo David</v>
      </c>
      <c r="D242" s="949" t="str">
        <f>+NOMINA!O235</f>
        <v>Guia de Centro I</v>
      </c>
      <c r="E242" s="952">
        <f>+NOMINA!H235</f>
        <v>45200</v>
      </c>
      <c r="F242" s="953">
        <f>+NOMINA!BT235</f>
        <v>6.8</v>
      </c>
      <c r="G242" s="608"/>
      <c r="H242" s="609"/>
      <c r="I242" s="609"/>
      <c r="J242" s="609"/>
      <c r="K242" s="609"/>
    </row>
    <row r="243" spans="1:11" ht="15.75" customHeight="1">
      <c r="A243" s="951">
        <f t="shared" si="3"/>
        <v>194</v>
      </c>
      <c r="B243" s="949">
        <f>+NOMINA!C236</f>
        <v>19101647</v>
      </c>
      <c r="C243" s="949" t="str">
        <f>+NOMINA!D236</f>
        <v>Uzcategui Urbina Madeley Tatiana</v>
      </c>
      <c r="D243" s="949" t="str">
        <f>+NOMINA!O236</f>
        <v>Guia de Centro I</v>
      </c>
      <c r="E243" s="952">
        <f>+NOMINA!H236</f>
        <v>43845</v>
      </c>
      <c r="F243" s="953">
        <f>+NOMINA!BT236</f>
        <v>8.1199999999999992</v>
      </c>
      <c r="G243" s="608"/>
      <c r="H243" s="609"/>
      <c r="I243" s="609"/>
      <c r="J243" s="609"/>
      <c r="K243" s="609"/>
    </row>
    <row r="244" spans="1:11" ht="15.75" customHeight="1">
      <c r="A244" s="951">
        <f t="shared" ref="A244:A307" si="4">+A243+1</f>
        <v>195</v>
      </c>
      <c r="B244" s="949">
        <f>+NOMINA!C237</f>
        <v>19101773</v>
      </c>
      <c r="C244" s="949" t="str">
        <f>+NOMINA!D237</f>
        <v>Gil Molina Maite Karina</v>
      </c>
      <c r="D244" s="949" t="str">
        <f>+NOMINA!O237</f>
        <v>Guia de Centro I</v>
      </c>
      <c r="E244" s="952">
        <f>+NOMINA!H237</f>
        <v>45200</v>
      </c>
      <c r="F244" s="953">
        <f>+NOMINA!BT237</f>
        <v>10.5</v>
      </c>
      <c r="G244" s="608"/>
      <c r="H244" s="609"/>
      <c r="I244" s="609"/>
      <c r="J244" s="609"/>
      <c r="K244" s="609"/>
    </row>
    <row r="245" spans="1:11" ht="15.75" customHeight="1">
      <c r="A245" s="951">
        <f t="shared" si="4"/>
        <v>196</v>
      </c>
      <c r="B245" s="949">
        <f>+NOMINA!C238</f>
        <v>19103118</v>
      </c>
      <c r="C245" s="949" t="str">
        <f>+NOMINA!D238</f>
        <v>Plaza Quintero Orelis Maria</v>
      </c>
      <c r="D245" s="949" t="str">
        <f>+NOMINA!O238</f>
        <v>Tecnico Superior en Trabajo Social II</v>
      </c>
      <c r="E245" s="952">
        <f>+NOMINA!H238</f>
        <v>43724</v>
      </c>
      <c r="F245" s="953">
        <f>+NOMINA!BT238</f>
        <v>9.24</v>
      </c>
      <c r="G245" s="608"/>
      <c r="H245" s="609"/>
      <c r="I245" s="609"/>
      <c r="J245" s="609"/>
      <c r="K245" s="609"/>
    </row>
    <row r="246" spans="1:11" ht="15.75" customHeight="1">
      <c r="A246" s="951">
        <f t="shared" si="4"/>
        <v>197</v>
      </c>
      <c r="B246" s="949">
        <f>+NOMINA!C239</f>
        <v>19103604</v>
      </c>
      <c r="C246" s="949" t="str">
        <f>+NOMINA!D239</f>
        <v>Hernandez Graterol Gleidys Coromoto</v>
      </c>
      <c r="D246" s="949" t="str">
        <f>+NOMINA!O239</f>
        <v>Asistente Administrativo III</v>
      </c>
      <c r="E246" s="952">
        <f>+NOMINA!H239</f>
        <v>44600</v>
      </c>
      <c r="F246" s="953">
        <f>+NOMINA!BT239</f>
        <v>8.42</v>
      </c>
      <c r="G246" s="608"/>
      <c r="H246" s="609"/>
      <c r="I246" s="609"/>
      <c r="J246" s="609"/>
      <c r="K246" s="609"/>
    </row>
    <row r="247" spans="1:11" ht="15.75" customHeight="1">
      <c r="A247" s="951">
        <f t="shared" si="4"/>
        <v>198</v>
      </c>
      <c r="B247" s="949">
        <f>+NOMINA!C240</f>
        <v>19103823</v>
      </c>
      <c r="C247" s="949" t="str">
        <f>+NOMINA!D240</f>
        <v>Valero Sanchez Zulay del Valle</v>
      </c>
      <c r="D247" s="949" t="str">
        <f>+NOMINA!O240</f>
        <v>Tutor Facilitador III</v>
      </c>
      <c r="E247" s="952">
        <f>+NOMINA!H240</f>
        <v>42795</v>
      </c>
      <c r="F247" s="953">
        <f>+NOMINA!BT240</f>
        <v>12.78</v>
      </c>
      <c r="G247" s="608"/>
      <c r="H247" s="609"/>
      <c r="I247" s="609"/>
      <c r="J247" s="609"/>
      <c r="K247" s="609"/>
    </row>
    <row r="248" spans="1:11" ht="15.75" customHeight="1">
      <c r="A248" s="951">
        <f t="shared" si="4"/>
        <v>199</v>
      </c>
      <c r="B248" s="949">
        <f>+NOMINA!C241</f>
        <v>19286780</v>
      </c>
      <c r="C248" s="949" t="str">
        <f>+NOMINA!D241</f>
        <v>Mejia Rosales Katiusca Josefina</v>
      </c>
      <c r="D248" s="949" t="str">
        <f>+NOMINA!O241</f>
        <v>Asistente Administrativo III</v>
      </c>
      <c r="E248" s="952">
        <f>+NOMINA!H241</f>
        <v>42492</v>
      </c>
      <c r="F248" s="953">
        <f>+NOMINA!BT241</f>
        <v>9.48</v>
      </c>
      <c r="G248" s="608"/>
      <c r="H248" s="609"/>
      <c r="I248" s="609"/>
      <c r="J248" s="609"/>
      <c r="K248" s="609"/>
    </row>
    <row r="249" spans="1:11" ht="15.75" customHeight="1">
      <c r="A249" s="951">
        <f t="shared" si="4"/>
        <v>200</v>
      </c>
      <c r="B249" s="949">
        <f>+NOMINA!C242</f>
        <v>19287100</v>
      </c>
      <c r="C249" s="949" t="str">
        <f>+NOMINA!D242</f>
        <v>Leal Mejia Fraineli Yoset</v>
      </c>
      <c r="D249" s="949" t="str">
        <f>+NOMINA!O242</f>
        <v>Tecnico Superior en Trabajo Social II</v>
      </c>
      <c r="E249" s="952">
        <f>+NOMINA!H242</f>
        <v>44713</v>
      </c>
      <c r="F249" s="953">
        <f>+NOMINA!BT242</f>
        <v>8.42</v>
      </c>
      <c r="G249" s="608"/>
      <c r="H249" s="609"/>
      <c r="I249" s="609"/>
      <c r="J249" s="609"/>
      <c r="K249" s="609"/>
    </row>
    <row r="250" spans="1:11" ht="15.75" customHeight="1">
      <c r="A250" s="951">
        <f t="shared" si="4"/>
        <v>201</v>
      </c>
      <c r="B250" s="949">
        <f>+NOMINA!C243</f>
        <v>19372791</v>
      </c>
      <c r="C250" s="949" t="str">
        <f>+NOMINA!D243</f>
        <v>Reveron Araujo Andreina Oscarelis</v>
      </c>
      <c r="D250" s="949" t="str">
        <f>+NOMINA!O243</f>
        <v>Guia de Centro I</v>
      </c>
      <c r="E250" s="952">
        <f>+NOMINA!H243</f>
        <v>45627</v>
      </c>
      <c r="F250" s="953">
        <f>+NOMINA!BT243</f>
        <v>10.88</v>
      </c>
      <c r="G250" s="608"/>
      <c r="H250" s="609"/>
      <c r="I250" s="609"/>
      <c r="J250" s="609"/>
      <c r="K250" s="609"/>
    </row>
    <row r="251" spans="1:11" ht="15.75" customHeight="1">
      <c r="A251" s="951">
        <f t="shared" si="4"/>
        <v>202</v>
      </c>
      <c r="B251" s="949">
        <f>+NOMINA!C244</f>
        <v>19610534</v>
      </c>
      <c r="C251" s="949" t="str">
        <f>+NOMINA!D244</f>
        <v>Santos Saavedra Greosmar Johan</v>
      </c>
      <c r="D251" s="949" t="str">
        <f>+NOMINA!O244</f>
        <v>Guia de Centro I</v>
      </c>
      <c r="E251" s="952">
        <f>+NOMINA!H244</f>
        <v>44713</v>
      </c>
      <c r="F251" s="953">
        <f>+NOMINA!BT244</f>
        <v>10.56</v>
      </c>
      <c r="G251" s="608"/>
      <c r="H251" s="609"/>
      <c r="I251" s="609"/>
      <c r="J251" s="609"/>
      <c r="K251" s="609"/>
    </row>
    <row r="252" spans="1:11" ht="15.75" customHeight="1">
      <c r="A252" s="951">
        <f t="shared" si="4"/>
        <v>203</v>
      </c>
      <c r="B252" s="949">
        <f>+NOMINA!C245</f>
        <v>19610565</v>
      </c>
      <c r="C252" s="949" t="str">
        <f>+NOMINA!D245</f>
        <v>Uzcategui Uzcategui Saray Cristina</v>
      </c>
      <c r="D252" s="949" t="str">
        <f>+NOMINA!O245</f>
        <v>Guia de Centro I</v>
      </c>
      <c r="E252" s="952">
        <f>+NOMINA!H245</f>
        <v>44713</v>
      </c>
      <c r="F252" s="953">
        <f>+NOMINA!BT245</f>
        <v>11.4</v>
      </c>
      <c r="G252" s="608"/>
      <c r="H252" s="609"/>
      <c r="I252" s="609"/>
      <c r="J252" s="609"/>
      <c r="K252" s="609"/>
    </row>
    <row r="253" spans="1:11" ht="15.75" customHeight="1">
      <c r="A253" s="951">
        <f t="shared" si="4"/>
        <v>204</v>
      </c>
      <c r="B253" s="949">
        <f>+NOMINA!C246</f>
        <v>19643405</v>
      </c>
      <c r="C253" s="949" t="str">
        <f>+NOMINA!D246</f>
        <v>Valero Mejia Aleidy Rosana</v>
      </c>
      <c r="D253" s="949" t="str">
        <f>+NOMINA!O246</f>
        <v>Guia de Centro II</v>
      </c>
      <c r="E253" s="952">
        <f>+NOMINA!H246</f>
        <v>43221</v>
      </c>
      <c r="F253" s="953">
        <f>+NOMINA!BT246</f>
        <v>11.76</v>
      </c>
      <c r="G253" s="608"/>
      <c r="H253" s="609"/>
      <c r="I253" s="609"/>
      <c r="J253" s="609"/>
      <c r="K253" s="609"/>
    </row>
    <row r="254" spans="1:11" ht="15.75" customHeight="1">
      <c r="A254" s="951">
        <f t="shared" si="4"/>
        <v>205</v>
      </c>
      <c r="B254" s="949">
        <f>+NOMINA!C247</f>
        <v>19643806</v>
      </c>
      <c r="C254" s="949" t="str">
        <f>+NOMINA!D247</f>
        <v>Vazquez Hernandez Doris Mercedes</v>
      </c>
      <c r="D254" s="949" t="str">
        <f>+NOMINA!O247</f>
        <v>Asistente Administrativo III</v>
      </c>
      <c r="E254" s="952">
        <f>+NOMINA!H247</f>
        <v>45505</v>
      </c>
      <c r="F254" s="953">
        <f>+NOMINA!BT247</f>
        <v>8.68</v>
      </c>
      <c r="G254" s="608"/>
      <c r="H254" s="609"/>
      <c r="I254" s="609"/>
      <c r="J254" s="609"/>
      <c r="K254" s="609"/>
    </row>
    <row r="255" spans="1:11" ht="15.75" customHeight="1">
      <c r="A255" s="951">
        <f t="shared" si="4"/>
        <v>206</v>
      </c>
      <c r="B255" s="949">
        <f>+NOMINA!C248</f>
        <v>19644743</v>
      </c>
      <c r="C255" s="949" t="str">
        <f>+NOMINA!D248</f>
        <v>Villa Daniela Carolina</v>
      </c>
      <c r="D255" s="949" t="str">
        <f>+NOMINA!O248</f>
        <v>Analista de Procesamiento de Datos II</v>
      </c>
      <c r="E255" s="952">
        <f>+NOMINA!H248</f>
        <v>43967</v>
      </c>
      <c r="F255" s="953">
        <f>+NOMINA!BT248</f>
        <v>11.08</v>
      </c>
      <c r="G255" s="608"/>
      <c r="H255" s="609"/>
      <c r="I255" s="609"/>
      <c r="J255" s="609"/>
      <c r="K255" s="609"/>
    </row>
    <row r="256" spans="1:11" ht="15.75" customHeight="1">
      <c r="A256" s="951">
        <f t="shared" si="4"/>
        <v>207</v>
      </c>
      <c r="B256" s="949">
        <f>+NOMINA!C249</f>
        <v>19644756</v>
      </c>
      <c r="C256" s="949" t="str">
        <f>+NOMINA!D249</f>
        <v>Mejia Aldana Norbelys Carolina</v>
      </c>
      <c r="D256" s="949" t="str">
        <f>+NOMINA!O249</f>
        <v>Economa II</v>
      </c>
      <c r="E256" s="952">
        <f>+NOMINA!H249</f>
        <v>44470</v>
      </c>
      <c r="F256" s="953">
        <f>+NOMINA!BT249</f>
        <v>6.2</v>
      </c>
      <c r="G256" s="608"/>
      <c r="H256" s="609"/>
      <c r="I256" s="609"/>
      <c r="J256" s="609"/>
      <c r="K256" s="609"/>
    </row>
    <row r="257" spans="1:11" ht="15.75" customHeight="1">
      <c r="A257" s="951">
        <f t="shared" si="4"/>
        <v>208</v>
      </c>
      <c r="B257" s="949">
        <f>+NOMINA!C250</f>
        <v>19794217</v>
      </c>
      <c r="C257" s="949" t="str">
        <f>+NOMINA!D250</f>
        <v>Suarez Leal Betzabeth Daimar</v>
      </c>
      <c r="D257" s="949" t="str">
        <f>+NOMINA!O250</f>
        <v>Guia de Centro I</v>
      </c>
      <c r="E257" s="952">
        <f>+NOMINA!H250</f>
        <v>44683</v>
      </c>
      <c r="F257" s="953">
        <f>+NOMINA!BT250</f>
        <v>10.56</v>
      </c>
      <c r="G257" s="608"/>
      <c r="H257" s="609"/>
      <c r="I257" s="609"/>
      <c r="J257" s="609"/>
      <c r="K257" s="609"/>
    </row>
    <row r="258" spans="1:11" ht="15.75" customHeight="1">
      <c r="A258" s="951">
        <f t="shared" si="4"/>
        <v>209</v>
      </c>
      <c r="B258" s="949">
        <f>+NOMINA!C251</f>
        <v>20038162</v>
      </c>
      <c r="C258" s="949" t="str">
        <f>+NOMINA!D251</f>
        <v>Jerez Rangel Gleidy Andreina</v>
      </c>
      <c r="D258" s="949" t="str">
        <f>+NOMINA!O251</f>
        <v>Guia de Centro I</v>
      </c>
      <c r="E258" s="952">
        <f>+NOMINA!H251</f>
        <v>45597</v>
      </c>
      <c r="F258" s="953">
        <f>+NOMINA!BT251</f>
        <v>11.28</v>
      </c>
      <c r="G258" s="608"/>
      <c r="H258" s="609"/>
      <c r="I258" s="609"/>
      <c r="J258" s="609"/>
      <c r="K258" s="609"/>
    </row>
    <row r="259" spans="1:11" ht="15.75" customHeight="1">
      <c r="A259" s="951">
        <f t="shared" si="4"/>
        <v>210</v>
      </c>
      <c r="B259" s="949">
        <f>+NOMINA!C252</f>
        <v>20655363</v>
      </c>
      <c r="C259" s="949" t="str">
        <f>+NOMINA!D252</f>
        <v>Sarache Ramirez Maryelis Stefani</v>
      </c>
      <c r="D259" s="949" t="str">
        <f>+NOMINA!O252</f>
        <v>Guia de Centro I</v>
      </c>
      <c r="E259" s="952">
        <f>+NOMINA!H252</f>
        <v>45323</v>
      </c>
      <c r="F259" s="953">
        <f>+NOMINA!BT252</f>
        <v>11.28</v>
      </c>
      <c r="G259" s="608"/>
      <c r="H259" s="609"/>
      <c r="I259" s="609"/>
      <c r="J259" s="609"/>
      <c r="K259" s="609"/>
    </row>
    <row r="260" spans="1:11" ht="15.75" customHeight="1">
      <c r="A260" s="951">
        <f t="shared" si="4"/>
        <v>211</v>
      </c>
      <c r="B260" s="949">
        <f>+NOMINA!C253</f>
        <v>20401711</v>
      </c>
      <c r="C260" s="949" t="str">
        <f>+NOMINA!D253</f>
        <v>Mendez Giro Maryely Roxana</v>
      </c>
      <c r="D260" s="949" t="str">
        <f>+NOMINA!O253</f>
        <v>Guia de Centro II</v>
      </c>
      <c r="E260" s="952">
        <f>+NOMINA!H253</f>
        <v>44363</v>
      </c>
      <c r="F260" s="953">
        <f>+NOMINA!BT253</f>
        <v>12.02</v>
      </c>
      <c r="G260" s="608"/>
      <c r="H260" s="609"/>
      <c r="I260" s="609"/>
      <c r="J260" s="609"/>
      <c r="K260" s="609"/>
    </row>
    <row r="261" spans="1:11" ht="15.75" customHeight="1">
      <c r="A261" s="951">
        <f t="shared" si="4"/>
        <v>212</v>
      </c>
      <c r="B261" s="949">
        <f>+NOMINA!C254</f>
        <v>20428039</v>
      </c>
      <c r="C261" s="949" t="str">
        <f>+NOMINA!D254</f>
        <v>Manzanilla Juan Roberto Antonio</v>
      </c>
      <c r="D261" s="949" t="str">
        <f>+NOMINA!O254</f>
        <v>Guia de Centro I</v>
      </c>
      <c r="E261" s="952">
        <f>+NOMINA!H254</f>
        <v>45566</v>
      </c>
      <c r="F261" s="953">
        <f>+NOMINA!BT254</f>
        <v>7.42</v>
      </c>
      <c r="G261" s="608"/>
      <c r="H261" s="609"/>
      <c r="I261" s="609"/>
      <c r="J261" s="609"/>
      <c r="K261" s="609"/>
    </row>
    <row r="262" spans="1:11" ht="15.75" customHeight="1">
      <c r="A262" s="951">
        <f t="shared" si="4"/>
        <v>213</v>
      </c>
      <c r="B262" s="949">
        <f>+NOMINA!C255</f>
        <v>20430884</v>
      </c>
      <c r="C262" s="949" t="str">
        <f>+NOMINA!D255</f>
        <v>Ruiz Olmos Diana Carolina</v>
      </c>
      <c r="D262" s="949" t="str">
        <f>+NOMINA!O255</f>
        <v>Guia de Centro I</v>
      </c>
      <c r="E262" s="952">
        <f>+NOMINA!H255</f>
        <v>45292</v>
      </c>
      <c r="F262" s="953">
        <f>+NOMINA!BT255</f>
        <v>10.1</v>
      </c>
      <c r="G262" s="608"/>
      <c r="H262" s="609"/>
      <c r="I262" s="609"/>
      <c r="J262" s="609"/>
      <c r="K262" s="609"/>
    </row>
    <row r="263" spans="1:11" ht="15.75" customHeight="1">
      <c r="A263" s="951">
        <f t="shared" si="4"/>
        <v>214</v>
      </c>
      <c r="B263" s="949">
        <f>+NOMINA!C256</f>
        <v>20603227</v>
      </c>
      <c r="C263" s="949" t="str">
        <f>+NOMINA!D256</f>
        <v>Morillo Garces Yeniree Lourdes</v>
      </c>
      <c r="D263" s="949" t="str">
        <f>+NOMINA!O256</f>
        <v>Tecnico Superior en Trabajo Social II</v>
      </c>
      <c r="E263" s="952">
        <f>+NOMINA!H256</f>
        <v>44470</v>
      </c>
      <c r="F263" s="953">
        <f>+NOMINA!BT256</f>
        <v>9.14</v>
      </c>
      <c r="G263" s="608"/>
      <c r="H263" s="609"/>
      <c r="I263" s="609"/>
      <c r="J263" s="609"/>
      <c r="K263" s="609"/>
    </row>
    <row r="264" spans="1:11" ht="15.75" customHeight="1">
      <c r="A264" s="951">
        <f t="shared" si="4"/>
        <v>215</v>
      </c>
      <c r="B264" s="949">
        <f>+NOMINA!C257</f>
        <v>20707490</v>
      </c>
      <c r="C264" s="949" t="str">
        <f>+NOMINA!D257</f>
        <v>Saavedra Valera Keila Andreina</v>
      </c>
      <c r="D264" s="949" t="str">
        <f>+NOMINA!O257</f>
        <v>Tutor Facilitador III</v>
      </c>
      <c r="E264" s="952">
        <f>+NOMINA!H257</f>
        <v>42751</v>
      </c>
      <c r="F264" s="953">
        <f>+NOMINA!BT257</f>
        <v>9.16</v>
      </c>
      <c r="G264" s="608"/>
      <c r="H264" s="609"/>
      <c r="I264" s="609"/>
      <c r="J264" s="609"/>
      <c r="K264" s="609"/>
    </row>
    <row r="265" spans="1:11" ht="15.75" customHeight="1">
      <c r="A265" s="951">
        <f t="shared" si="4"/>
        <v>216</v>
      </c>
      <c r="B265" s="949">
        <f>+NOMINA!C258</f>
        <v>20789286</v>
      </c>
      <c r="C265" s="949" t="str">
        <f>+NOMINA!D258</f>
        <v xml:space="preserve">Viloria Jessica del Carmen </v>
      </c>
      <c r="D265" s="949" t="str">
        <f>+NOMINA!O258</f>
        <v>Asistente Administrativo IV</v>
      </c>
      <c r="E265" s="952">
        <f>+NOMINA!H258</f>
        <v>44713</v>
      </c>
      <c r="F265" s="953">
        <f>+NOMINA!BT258</f>
        <v>9.84</v>
      </c>
      <c r="G265" s="608"/>
      <c r="H265" s="609"/>
      <c r="I265" s="609"/>
      <c r="J265" s="609"/>
      <c r="K265" s="609"/>
    </row>
    <row r="266" spans="1:11" ht="15.75" customHeight="1">
      <c r="A266" s="951">
        <f t="shared" si="4"/>
        <v>217</v>
      </c>
      <c r="B266" s="949">
        <f>+NOMINA!C259</f>
        <v>20790947</v>
      </c>
      <c r="C266" s="949" t="str">
        <f>+NOMINA!D259</f>
        <v>Urbina Cuellar Tannessy Lenery</v>
      </c>
      <c r="D266" s="949" t="str">
        <f>+NOMINA!O259</f>
        <v>Asistente Administrativo IV</v>
      </c>
      <c r="E266" s="952">
        <f>+NOMINA!H259</f>
        <v>43967</v>
      </c>
      <c r="F266" s="953">
        <f>+NOMINA!BT259</f>
        <v>0</v>
      </c>
      <c r="G266" s="608"/>
      <c r="H266" s="609"/>
      <c r="I266" s="609"/>
      <c r="J266" s="609"/>
      <c r="K266" s="609"/>
    </row>
    <row r="267" spans="1:11" ht="15.75" customHeight="1">
      <c r="A267" s="951">
        <f t="shared" si="4"/>
        <v>218</v>
      </c>
      <c r="B267" s="949">
        <f>+NOMINA!C260</f>
        <v>21061126</v>
      </c>
      <c r="C267" s="949" t="str">
        <f>+NOMINA!D260</f>
        <v>Olivar Nava Robinson de Jesus</v>
      </c>
      <c r="D267" s="949" t="str">
        <f>+NOMINA!O260</f>
        <v>Guia de Centro I</v>
      </c>
      <c r="E267" s="952">
        <f>+NOMINA!H260</f>
        <v>45047</v>
      </c>
      <c r="F267" s="953">
        <f>+NOMINA!BT260</f>
        <v>10.52</v>
      </c>
      <c r="G267" s="608"/>
      <c r="H267" s="609"/>
      <c r="I267" s="609"/>
      <c r="J267" s="609"/>
      <c r="K267" s="609"/>
    </row>
    <row r="268" spans="1:11" ht="15.75" customHeight="1">
      <c r="A268" s="951">
        <f t="shared" si="4"/>
        <v>219</v>
      </c>
      <c r="B268" s="949">
        <f>+NOMINA!C261</f>
        <v>21061789</v>
      </c>
      <c r="C268" s="949" t="str">
        <f>+NOMINA!D261</f>
        <v xml:space="preserve">Suarez Briceño Daiver Jose </v>
      </c>
      <c r="D268" s="949" t="str">
        <f>+NOMINA!O261</f>
        <v>Abogado I</v>
      </c>
      <c r="E268" s="952">
        <f>+NOMINA!H261</f>
        <v>44713</v>
      </c>
      <c r="F268" s="953">
        <f>+NOMINA!BT261</f>
        <v>9.52</v>
      </c>
      <c r="G268" s="608"/>
      <c r="H268" s="609"/>
      <c r="I268" s="609"/>
      <c r="J268" s="609"/>
      <c r="K268" s="609"/>
    </row>
    <row r="269" spans="1:11" ht="15.75" customHeight="1">
      <c r="A269" s="951">
        <f t="shared" si="4"/>
        <v>220</v>
      </c>
      <c r="B269" s="949">
        <f>+NOMINA!C262</f>
        <v>21365212</v>
      </c>
      <c r="C269" s="949" t="str">
        <f>+NOMINA!D262</f>
        <v>Manzanilla Gonzalez Landkler Josue</v>
      </c>
      <c r="D269" s="949" t="str">
        <f>+NOMINA!O262</f>
        <v>Asistente Administrativo II</v>
      </c>
      <c r="E269" s="952">
        <f>+NOMINA!H262</f>
        <v>44317</v>
      </c>
      <c r="F269" s="953">
        <f>+NOMINA!BT262</f>
        <v>5.7</v>
      </c>
      <c r="G269" s="608"/>
      <c r="H269" s="609"/>
      <c r="I269" s="609"/>
      <c r="J269" s="609"/>
      <c r="K269" s="609"/>
    </row>
    <row r="270" spans="1:11" ht="15.75" customHeight="1">
      <c r="A270" s="951">
        <f t="shared" si="4"/>
        <v>221</v>
      </c>
      <c r="B270" s="949">
        <f>+NOMINA!C263</f>
        <v>21592108</v>
      </c>
      <c r="C270" s="949" t="str">
        <f>+NOMINA!D263</f>
        <v>Coy Andara Darlin Gabriela</v>
      </c>
      <c r="D270" s="949" t="str">
        <f>+NOMINA!O263</f>
        <v>PLANIFICADOR I</v>
      </c>
      <c r="E270" s="952">
        <f>+NOMINA!H263</f>
        <v>43024</v>
      </c>
      <c r="F270" s="953">
        <f>+NOMINA!BT263</f>
        <v>0</v>
      </c>
      <c r="G270" s="608"/>
      <c r="H270" s="609"/>
      <c r="I270" s="609"/>
      <c r="J270" s="609"/>
      <c r="K270" s="609"/>
    </row>
    <row r="271" spans="1:11" ht="15.75" customHeight="1">
      <c r="A271" s="951">
        <f t="shared" si="4"/>
        <v>222</v>
      </c>
      <c r="B271" s="949">
        <f>+NOMINA!C264</f>
        <v>22622493</v>
      </c>
      <c r="C271" s="949" t="str">
        <f>+NOMINA!D264</f>
        <v xml:space="preserve">Barrios Olivar Geraldine Katiusca </v>
      </c>
      <c r="D271" s="949" t="str">
        <f>+NOMINA!O264</f>
        <v>Guia de Centro I</v>
      </c>
      <c r="E271" s="952">
        <f>+NOMINA!H264</f>
        <v>44363</v>
      </c>
      <c r="F271" s="953">
        <f>+NOMINA!BT264</f>
        <v>8.0399999999999991</v>
      </c>
      <c r="G271" s="608"/>
      <c r="H271" s="609"/>
      <c r="I271" s="609"/>
      <c r="J271" s="609"/>
      <c r="K271" s="609"/>
    </row>
    <row r="272" spans="1:11" ht="15.75" customHeight="1">
      <c r="A272" s="951">
        <f t="shared" si="4"/>
        <v>223</v>
      </c>
      <c r="B272" s="949">
        <f>+NOMINA!C265</f>
        <v>23782360</v>
      </c>
      <c r="C272" s="949" t="str">
        <f>+NOMINA!D265</f>
        <v>Rivera Sandoval Ilva Azucena</v>
      </c>
      <c r="D272" s="949" t="str">
        <f>+NOMINA!O265</f>
        <v>Administrador III</v>
      </c>
      <c r="E272" s="952">
        <f>+NOMINA!H265</f>
        <v>39203</v>
      </c>
      <c r="F272" s="953">
        <f>+NOMINA!BT265</f>
        <v>11.88</v>
      </c>
      <c r="G272" s="608"/>
      <c r="H272" s="609"/>
      <c r="I272" s="609"/>
      <c r="J272" s="609"/>
      <c r="K272" s="609"/>
    </row>
    <row r="273" spans="1:11" ht="15.75" customHeight="1">
      <c r="A273" s="951">
        <f t="shared" si="4"/>
        <v>224</v>
      </c>
      <c r="B273" s="949">
        <f>+NOMINA!C266</f>
        <v>23960738</v>
      </c>
      <c r="C273" s="949" t="str">
        <f>+NOMINA!D266</f>
        <v>Molina Briceño Maria de los Angeles</v>
      </c>
      <c r="D273" s="949" t="str">
        <f>+NOMINA!O266</f>
        <v>Psicologo II</v>
      </c>
      <c r="E273" s="952">
        <f>+NOMINA!H266</f>
        <v>43497</v>
      </c>
      <c r="F273" s="953">
        <f>+NOMINA!BT266</f>
        <v>10.52</v>
      </c>
      <c r="G273" s="608"/>
      <c r="H273" s="609"/>
      <c r="I273" s="609"/>
      <c r="J273" s="609"/>
      <c r="K273" s="609"/>
    </row>
    <row r="274" spans="1:11" ht="15.75" customHeight="1">
      <c r="A274" s="951">
        <f t="shared" si="4"/>
        <v>225</v>
      </c>
      <c r="B274" s="949">
        <f>+NOMINA!C267</f>
        <v>24135378</v>
      </c>
      <c r="C274" s="949" t="str">
        <f>+NOMINA!D267</f>
        <v>Rivas Hurtado Orleidys Betania</v>
      </c>
      <c r="D274" s="949" t="str">
        <f>+NOMINA!O267</f>
        <v>Asistente Administrativo IV</v>
      </c>
      <c r="E274" s="952">
        <f>+NOMINA!H267</f>
        <v>43862</v>
      </c>
      <c r="F274" s="953">
        <f>+NOMINA!BT267</f>
        <v>11.08</v>
      </c>
      <c r="G274" s="608"/>
      <c r="H274" s="609"/>
      <c r="I274" s="609"/>
      <c r="J274" s="609"/>
      <c r="K274" s="609"/>
    </row>
    <row r="275" spans="1:11" ht="15.75" customHeight="1">
      <c r="A275" s="951">
        <f t="shared" si="4"/>
        <v>226</v>
      </c>
      <c r="B275" s="949">
        <f>+NOMINA!C268</f>
        <v>24136795</v>
      </c>
      <c r="C275" s="949" t="str">
        <f>+NOMINA!D268</f>
        <v xml:space="preserve">Viloria Maldonado Gerardo Jesus </v>
      </c>
      <c r="D275" s="949" t="str">
        <f>+NOMINA!O268</f>
        <v>Entrenador Deportivo II</v>
      </c>
      <c r="E275" s="952">
        <f>+NOMINA!H268</f>
        <v>44600</v>
      </c>
      <c r="F275" s="953">
        <f>+NOMINA!BT268</f>
        <v>5.76</v>
      </c>
      <c r="G275" s="608"/>
      <c r="H275" s="609"/>
      <c r="I275" s="609"/>
      <c r="J275" s="609"/>
      <c r="K275" s="609"/>
    </row>
    <row r="276" spans="1:11" ht="15.75" customHeight="1">
      <c r="A276" s="951">
        <f t="shared" si="4"/>
        <v>227</v>
      </c>
      <c r="B276" s="949">
        <f>+NOMINA!C269</f>
        <v>24385729</v>
      </c>
      <c r="C276" s="949" t="str">
        <f>+NOMINA!D269</f>
        <v>Cordova Rivero Liseth Carolina</v>
      </c>
      <c r="D276" s="949" t="str">
        <f>+NOMINA!O269</f>
        <v>Secretario I</v>
      </c>
      <c r="E276" s="952">
        <f>+NOMINA!H269</f>
        <v>45597</v>
      </c>
      <c r="F276" s="953">
        <f>+NOMINA!BT269</f>
        <v>5.48</v>
      </c>
      <c r="G276" s="608"/>
      <c r="H276" s="609"/>
      <c r="I276" s="609"/>
      <c r="J276" s="609"/>
      <c r="K276" s="609"/>
    </row>
    <row r="277" spans="1:11" ht="15.75" customHeight="1">
      <c r="A277" s="951">
        <f t="shared" si="4"/>
        <v>228</v>
      </c>
      <c r="B277" s="949">
        <f>+NOMINA!C270</f>
        <v>23254845</v>
      </c>
      <c r="C277" s="949" t="str">
        <f>+NOMINA!D270</f>
        <v>Castellanos Paredes Luis Gregorio</v>
      </c>
      <c r="D277" s="949" t="str">
        <f>+NOMINA!O270</f>
        <v>Entrenador Deportivo II</v>
      </c>
      <c r="E277" s="952">
        <f>+NOMINA!H270</f>
        <v>44332</v>
      </c>
      <c r="F277" s="953">
        <f>+NOMINA!BT270</f>
        <v>5.7</v>
      </c>
      <c r="G277" s="608"/>
      <c r="H277" s="609"/>
      <c r="I277" s="609"/>
      <c r="J277" s="609"/>
      <c r="K277" s="609"/>
    </row>
    <row r="278" spans="1:11" ht="15.75" customHeight="1">
      <c r="A278" s="951">
        <f t="shared" si="4"/>
        <v>229</v>
      </c>
      <c r="B278" s="949">
        <f>+NOMINA!C271</f>
        <v>23594366</v>
      </c>
      <c r="C278" s="949" t="str">
        <f>+NOMINA!D271</f>
        <v>Quintero Montilla Merly Paula</v>
      </c>
      <c r="D278" s="949" t="str">
        <f>+NOMINA!O271</f>
        <v>Tutor Facilitador I</v>
      </c>
      <c r="E278" s="952">
        <f>+NOMINA!H271</f>
        <v>45413</v>
      </c>
      <c r="F278" s="953">
        <f>+NOMINA!BT271</f>
        <v>9.4</v>
      </c>
      <c r="G278" s="608"/>
      <c r="H278" s="609"/>
      <c r="I278" s="609"/>
      <c r="J278" s="609"/>
      <c r="K278" s="609"/>
    </row>
    <row r="279" spans="1:11" ht="15.75" customHeight="1">
      <c r="A279" s="951">
        <f t="shared" si="4"/>
        <v>230</v>
      </c>
      <c r="B279" s="949">
        <f>+NOMINA!C272</f>
        <v>23775734</v>
      </c>
      <c r="C279" s="949" t="str">
        <f>+NOMINA!D272</f>
        <v>Gonzalez Torres Klerwin Alfonso</v>
      </c>
      <c r="D279" s="949" t="str">
        <f>+NOMINA!O272</f>
        <v>Guia de Centro I</v>
      </c>
      <c r="E279" s="952">
        <f>+NOMINA!H272</f>
        <v>45627</v>
      </c>
      <c r="F279" s="953">
        <f>+NOMINA!BT272</f>
        <v>7.26</v>
      </c>
      <c r="G279" s="608"/>
      <c r="H279" s="609"/>
      <c r="I279" s="609"/>
      <c r="J279" s="609"/>
      <c r="K279" s="609"/>
    </row>
    <row r="280" spans="1:11" ht="15.75" customHeight="1">
      <c r="A280" s="951">
        <f t="shared" si="4"/>
        <v>231</v>
      </c>
      <c r="B280" s="949">
        <f>+NOMINA!C273</f>
        <v>24565372</v>
      </c>
      <c r="C280" s="949" t="str">
        <f>+NOMINA!D273</f>
        <v>Moreno Silva Alfredy Jose</v>
      </c>
      <c r="D280" s="949" t="str">
        <f>+NOMINA!O273</f>
        <v>Asistente de Relaciones Publicas</v>
      </c>
      <c r="E280" s="952">
        <f>+NOMINA!H273</f>
        <v>40360</v>
      </c>
      <c r="F280" s="953">
        <f>+NOMINA!BT273</f>
        <v>0</v>
      </c>
      <c r="G280" s="608"/>
      <c r="H280" s="609"/>
      <c r="I280" s="609"/>
      <c r="J280" s="609"/>
      <c r="K280" s="609"/>
    </row>
    <row r="281" spans="1:11" ht="15.75" customHeight="1">
      <c r="A281" s="951">
        <f t="shared" si="4"/>
        <v>232</v>
      </c>
      <c r="B281" s="949">
        <f>+NOMINA!C274</f>
        <v>25006139</v>
      </c>
      <c r="C281" s="949" t="str">
        <f>+NOMINA!D274</f>
        <v>Ramirez Palomares Carmen Beatriz</v>
      </c>
      <c r="D281" s="949" t="str">
        <f>+NOMINA!O274</f>
        <v>Guia de Centro I</v>
      </c>
      <c r="E281" s="952">
        <f>+NOMINA!H274</f>
        <v>43512</v>
      </c>
      <c r="F281" s="953">
        <f>+NOMINA!BT274</f>
        <v>7.8</v>
      </c>
      <c r="G281" s="608"/>
      <c r="H281" s="609"/>
      <c r="I281" s="609"/>
      <c r="J281" s="609"/>
      <c r="K281" s="609"/>
    </row>
    <row r="282" spans="1:11" ht="15.75" customHeight="1">
      <c r="A282" s="951">
        <f t="shared" si="4"/>
        <v>233</v>
      </c>
      <c r="B282" s="949">
        <f>+NOMINA!C275</f>
        <v>25006878</v>
      </c>
      <c r="C282" s="949" t="str">
        <f>+NOMINA!D275</f>
        <v>Fernandez Garcia Rafael Ramon</v>
      </c>
      <c r="D282" s="949" t="str">
        <f>+NOMINA!O275</f>
        <v>Guia de Centro I</v>
      </c>
      <c r="E282" s="952">
        <f>+NOMINA!H275</f>
        <v>44986</v>
      </c>
      <c r="F282" s="953">
        <f>+NOMINA!BT275</f>
        <v>8.5</v>
      </c>
      <c r="G282" s="608"/>
      <c r="H282" s="609"/>
      <c r="I282" s="609"/>
      <c r="J282" s="609"/>
      <c r="K282" s="609"/>
    </row>
    <row r="283" spans="1:11" ht="15.75" customHeight="1">
      <c r="A283" s="951">
        <f t="shared" si="4"/>
        <v>234</v>
      </c>
      <c r="B283" s="949">
        <f>+NOMINA!C276</f>
        <v>25096069</v>
      </c>
      <c r="C283" s="949" t="str">
        <f>+NOMINA!D276</f>
        <v>Coello Diaz Yormileidys del Carmen</v>
      </c>
      <c r="D283" s="949" t="str">
        <f>+NOMINA!O276</f>
        <v>Guia de Centro I</v>
      </c>
      <c r="E283" s="952">
        <f>+NOMINA!H276</f>
        <v>44599</v>
      </c>
      <c r="F283" s="953">
        <f>+NOMINA!BT276</f>
        <v>11</v>
      </c>
      <c r="G283" s="608"/>
      <c r="H283" s="609"/>
      <c r="I283" s="609"/>
      <c r="J283" s="609"/>
      <c r="K283" s="609"/>
    </row>
    <row r="284" spans="1:11" ht="15.75" customHeight="1">
      <c r="A284" s="951">
        <f t="shared" si="4"/>
        <v>235</v>
      </c>
      <c r="B284" s="949">
        <f>+NOMINA!C277</f>
        <v>25173139</v>
      </c>
      <c r="C284" s="949" t="str">
        <f>+NOMINA!D277</f>
        <v>Viloria Albornoz Arelis Andreina</v>
      </c>
      <c r="D284" s="949" t="str">
        <f>+NOMINA!O277</f>
        <v>PLANIFICADOR I</v>
      </c>
      <c r="E284" s="952">
        <f>+NOMINA!H277</f>
        <v>45536</v>
      </c>
      <c r="F284" s="953">
        <f>+NOMINA!BT277</f>
        <v>9.7200000000000006</v>
      </c>
      <c r="G284" s="608"/>
      <c r="H284" s="609"/>
      <c r="I284" s="609"/>
      <c r="J284" s="609"/>
      <c r="K284" s="609"/>
    </row>
    <row r="285" spans="1:11" ht="15.75" customHeight="1">
      <c r="A285" s="951">
        <f t="shared" si="4"/>
        <v>236</v>
      </c>
      <c r="B285" s="949">
        <f>+NOMINA!C278</f>
        <v>25173983</v>
      </c>
      <c r="C285" s="949" t="str">
        <f>+NOMINA!D278</f>
        <v>Guanda Barazarte Roxely Andreina</v>
      </c>
      <c r="D285" s="949" t="str">
        <f>+NOMINA!O278</f>
        <v>Guia de Centro I</v>
      </c>
      <c r="E285" s="952">
        <f>+NOMINA!H278</f>
        <v>44363</v>
      </c>
      <c r="F285" s="953">
        <f>+NOMINA!BT278</f>
        <v>7.72</v>
      </c>
      <c r="G285" s="608"/>
      <c r="H285" s="609"/>
      <c r="I285" s="609"/>
      <c r="J285" s="609"/>
      <c r="K285" s="609"/>
    </row>
    <row r="286" spans="1:11" ht="15.75" customHeight="1">
      <c r="A286" s="951">
        <f t="shared" si="4"/>
        <v>237</v>
      </c>
      <c r="B286" s="949">
        <f>+NOMINA!C279</f>
        <v>25303390</v>
      </c>
      <c r="C286" s="949" t="str">
        <f>+NOMINA!D279</f>
        <v>Graterol Castillo Yoselyn Zunedy</v>
      </c>
      <c r="D286" s="949" t="str">
        <f>+NOMINA!O279</f>
        <v>Guia de Centro I</v>
      </c>
      <c r="E286" s="952">
        <f>+NOMINA!H279</f>
        <v>43862</v>
      </c>
      <c r="F286" s="953">
        <f>+NOMINA!BT279</f>
        <v>8.08</v>
      </c>
      <c r="G286" s="608"/>
      <c r="H286" s="609"/>
      <c r="I286" s="609"/>
      <c r="J286" s="609"/>
      <c r="K286" s="609"/>
    </row>
    <row r="287" spans="1:11" ht="15.75" customHeight="1">
      <c r="A287" s="951">
        <f t="shared" si="4"/>
        <v>238</v>
      </c>
      <c r="B287" s="949">
        <f>+NOMINA!C280</f>
        <v>25454143</v>
      </c>
      <c r="C287" s="949" t="str">
        <f>+NOMINA!D280</f>
        <v>Briceño Ana Beatriz</v>
      </c>
      <c r="D287" s="949" t="str">
        <f>+NOMINA!O280</f>
        <v>Guia de Centro I</v>
      </c>
      <c r="E287" s="952">
        <f>+NOMINA!H280</f>
        <v>45536</v>
      </c>
      <c r="F287" s="953">
        <f>+NOMINA!BT280</f>
        <v>7.08</v>
      </c>
      <c r="G287" s="608"/>
      <c r="H287" s="609"/>
      <c r="I287" s="609"/>
      <c r="J287" s="609"/>
      <c r="K287" s="609"/>
    </row>
    <row r="288" spans="1:11" ht="15.75" customHeight="1">
      <c r="A288" s="951">
        <f t="shared" si="4"/>
        <v>239</v>
      </c>
      <c r="B288" s="949">
        <f>+NOMINA!C281</f>
        <v>25604733</v>
      </c>
      <c r="C288" s="949" t="str">
        <f>+NOMINA!D281</f>
        <v>Nava Carrillo Oriana Daniela</v>
      </c>
      <c r="D288" s="949" t="str">
        <f>+NOMINA!O281</f>
        <v>Entrenador Deportivo II</v>
      </c>
      <c r="E288" s="952">
        <f>+NOMINA!H281</f>
        <v>43754</v>
      </c>
      <c r="F288" s="953">
        <f>+NOMINA!BT281</f>
        <v>5.76</v>
      </c>
      <c r="G288" s="608"/>
      <c r="H288" s="609"/>
      <c r="I288" s="609"/>
      <c r="J288" s="609"/>
      <c r="K288" s="609"/>
    </row>
    <row r="289" spans="1:11" ht="15.75" customHeight="1">
      <c r="A289" s="951">
        <f t="shared" si="4"/>
        <v>240</v>
      </c>
      <c r="B289" s="949">
        <f>+NOMINA!C282</f>
        <v>25619540</v>
      </c>
      <c r="C289" s="949" t="str">
        <f>+NOMINA!D282</f>
        <v xml:space="preserve">Balza Vetencourt Maria Gabriela </v>
      </c>
      <c r="D289" s="949" t="str">
        <f>+NOMINA!O282</f>
        <v>Guia de Centro I</v>
      </c>
      <c r="E289" s="952">
        <f>+NOMINA!H282</f>
        <v>44743</v>
      </c>
      <c r="F289" s="953">
        <f>+NOMINA!BT282</f>
        <v>7.48</v>
      </c>
      <c r="G289" s="608"/>
      <c r="H289" s="609"/>
      <c r="I289" s="609"/>
      <c r="J289" s="609"/>
      <c r="K289" s="609"/>
    </row>
    <row r="290" spans="1:11" ht="15.75" customHeight="1">
      <c r="A290" s="951">
        <f t="shared" si="4"/>
        <v>241</v>
      </c>
      <c r="B290" s="949">
        <f>+NOMINA!C283</f>
        <v>26094609</v>
      </c>
      <c r="C290" s="949" t="str">
        <f>+NOMINA!D283</f>
        <v>Andara Moreno Marielena Nathaly</v>
      </c>
      <c r="D290" s="949" t="str">
        <f>+NOMINA!O283</f>
        <v>Abogado I</v>
      </c>
      <c r="E290" s="952">
        <f>+NOMINA!H283</f>
        <v>44713</v>
      </c>
      <c r="F290" s="953">
        <f>+NOMINA!BT283</f>
        <v>9.52</v>
      </c>
      <c r="G290" s="608"/>
      <c r="H290" s="609"/>
      <c r="I290" s="609"/>
      <c r="J290" s="609"/>
      <c r="K290" s="609"/>
    </row>
    <row r="291" spans="1:11" ht="15.75" customHeight="1">
      <c r="A291" s="951">
        <f t="shared" si="4"/>
        <v>242</v>
      </c>
      <c r="B291" s="949">
        <f>+NOMINA!C284</f>
        <v>26094690</v>
      </c>
      <c r="C291" s="949" t="str">
        <f>+NOMINA!D284</f>
        <v>Fernandez Romero Numa Manuel</v>
      </c>
      <c r="D291" s="949" t="str">
        <f>+NOMINA!O284</f>
        <v>Guia de Centro I</v>
      </c>
      <c r="E291" s="952">
        <f>+NOMINA!H284</f>
        <v>45017</v>
      </c>
      <c r="F291" s="953">
        <f>+NOMINA!BT284</f>
        <v>7.44</v>
      </c>
      <c r="G291" s="608"/>
      <c r="H291" s="609"/>
      <c r="I291" s="609"/>
      <c r="J291" s="609"/>
      <c r="K291" s="609"/>
    </row>
    <row r="292" spans="1:11" ht="15.75" customHeight="1">
      <c r="A292" s="951">
        <f t="shared" si="4"/>
        <v>243</v>
      </c>
      <c r="B292" s="949">
        <f>+NOMINA!C285</f>
        <v>26114271</v>
      </c>
      <c r="C292" s="949" t="str">
        <f>+NOMINA!D285</f>
        <v>Moncayo Perez Ruddy Bellaliz</v>
      </c>
      <c r="D292" s="949" t="str">
        <f>+NOMINA!O285</f>
        <v>Abogado I</v>
      </c>
      <c r="E292" s="952">
        <f>+NOMINA!H285</f>
        <v>44636</v>
      </c>
      <c r="F292" s="953">
        <f>+NOMINA!BT285</f>
        <v>9.52</v>
      </c>
      <c r="G292" s="608"/>
      <c r="H292" s="609"/>
      <c r="I292" s="609"/>
      <c r="J292" s="609"/>
      <c r="K292" s="609"/>
    </row>
    <row r="293" spans="1:11" ht="15.75" customHeight="1">
      <c r="A293" s="951">
        <f t="shared" si="4"/>
        <v>244</v>
      </c>
      <c r="B293" s="949">
        <f>+NOMINA!C286</f>
        <v>26191823</v>
      </c>
      <c r="C293" s="949" t="str">
        <f>+NOMINA!D286</f>
        <v>Briceño Espinoza Brayhan Jose</v>
      </c>
      <c r="D293" s="949" t="str">
        <f>+NOMINA!O286</f>
        <v>Abogado II</v>
      </c>
      <c r="E293" s="952">
        <f>+NOMINA!H286</f>
        <v>44470</v>
      </c>
      <c r="F293" s="953">
        <f>+NOMINA!BT286</f>
        <v>10.38</v>
      </c>
      <c r="G293" s="608"/>
      <c r="H293" s="609"/>
      <c r="I293" s="609"/>
      <c r="J293" s="609"/>
      <c r="K293" s="609"/>
    </row>
    <row r="294" spans="1:11" ht="15.75" customHeight="1">
      <c r="A294" s="951">
        <f t="shared" si="4"/>
        <v>245</v>
      </c>
      <c r="B294" s="949">
        <f>+NOMINA!C287</f>
        <v>26235963</v>
      </c>
      <c r="C294" s="949" t="str">
        <f>+NOMINA!D287</f>
        <v>Segovia Segovia Freylu Margarita</v>
      </c>
      <c r="D294" s="949" t="str">
        <f>+NOMINA!O287</f>
        <v>Psicologo I</v>
      </c>
      <c r="E294" s="952">
        <f>+NOMINA!H287</f>
        <v>45383</v>
      </c>
      <c r="F294" s="953">
        <f>+NOMINA!BT287</f>
        <v>9.7200000000000006</v>
      </c>
      <c r="G294" s="608"/>
      <c r="H294" s="609"/>
      <c r="I294" s="609"/>
      <c r="J294" s="609"/>
      <c r="K294" s="609"/>
    </row>
    <row r="295" spans="1:11" ht="15.75" customHeight="1">
      <c r="A295" s="951">
        <f t="shared" si="4"/>
        <v>246</v>
      </c>
      <c r="B295" s="949">
        <f>+NOMINA!C288</f>
        <v>26413871</v>
      </c>
      <c r="C295" s="949" t="str">
        <f>+NOMINA!D288</f>
        <v>Molina Rojas Genesis Angely</v>
      </c>
      <c r="D295" s="949" t="str">
        <f>+NOMINA!O288</f>
        <v>Guia de Centro I</v>
      </c>
      <c r="E295" s="952">
        <f>+NOMINA!H288</f>
        <v>44228</v>
      </c>
      <c r="F295" s="953">
        <f>+NOMINA!BT288</f>
        <v>8.0399999999999991</v>
      </c>
      <c r="G295" s="608"/>
      <c r="H295" s="609"/>
      <c r="I295" s="609"/>
      <c r="J295" s="609"/>
      <c r="K295" s="609"/>
    </row>
    <row r="296" spans="1:11" ht="15.75" customHeight="1">
      <c r="A296" s="951">
        <f t="shared" si="4"/>
        <v>247</v>
      </c>
      <c r="B296" s="949">
        <f>+NOMINA!C289</f>
        <v>26591879</v>
      </c>
      <c r="C296" s="949" t="str">
        <f>+NOMINA!D289</f>
        <v>Delgado Cabezas Rosa Magdalena</v>
      </c>
      <c r="D296" s="949" t="str">
        <f>+NOMINA!O289</f>
        <v>Psicologo II</v>
      </c>
      <c r="E296" s="952">
        <f>+NOMINA!H289</f>
        <v>43587</v>
      </c>
      <c r="F296" s="953">
        <f>+NOMINA!BT289</f>
        <v>10.84</v>
      </c>
      <c r="G296" s="608"/>
      <c r="H296" s="609"/>
      <c r="I296" s="609"/>
      <c r="J296" s="609"/>
      <c r="K296" s="609"/>
    </row>
    <row r="297" spans="1:11" ht="15.75" customHeight="1">
      <c r="A297" s="951">
        <f t="shared" si="4"/>
        <v>248</v>
      </c>
      <c r="B297" s="949">
        <f>+NOMINA!C290</f>
        <v>26690908</v>
      </c>
      <c r="C297" s="949" t="str">
        <f>+NOMINA!D290</f>
        <v>Segovia Lisbeira del Carmen</v>
      </c>
      <c r="D297" s="949" t="str">
        <f>+NOMINA!O290</f>
        <v>Guia de Centro I</v>
      </c>
      <c r="E297" s="952">
        <f>+NOMINA!H290</f>
        <v>44228</v>
      </c>
      <c r="F297" s="953">
        <f>+NOMINA!BT290</f>
        <v>7.72</v>
      </c>
      <c r="G297" s="608"/>
      <c r="H297" s="609"/>
      <c r="I297" s="609"/>
      <c r="J297" s="609"/>
      <c r="K297" s="609"/>
    </row>
    <row r="298" spans="1:11" ht="15.75" customHeight="1">
      <c r="A298" s="951">
        <f t="shared" si="4"/>
        <v>249</v>
      </c>
      <c r="B298" s="949">
        <f>+NOMINA!C291</f>
        <v>26962104</v>
      </c>
      <c r="C298" s="949" t="str">
        <f>+NOMINA!D291</f>
        <v>Rubio Briceño Diana Carolina</v>
      </c>
      <c r="D298" s="949" t="str">
        <f>+NOMINA!O291</f>
        <v>Asistente Administrativo II</v>
      </c>
      <c r="E298" s="952">
        <f>+NOMINA!H291</f>
        <v>44393</v>
      </c>
      <c r="F298" s="953">
        <f>+NOMINA!BT291</f>
        <v>5.94</v>
      </c>
      <c r="G298" s="608"/>
      <c r="H298" s="609"/>
      <c r="I298" s="609"/>
      <c r="J298" s="609"/>
      <c r="K298" s="609"/>
    </row>
    <row r="299" spans="1:11" ht="15.75" customHeight="1">
      <c r="A299" s="951">
        <f t="shared" si="4"/>
        <v>250</v>
      </c>
      <c r="B299" s="949">
        <f>+NOMINA!C292</f>
        <v>27251392</v>
      </c>
      <c r="C299" s="949" t="str">
        <f>+NOMINA!D292</f>
        <v>Rangel Maria Antonia</v>
      </c>
      <c r="D299" s="949" t="str">
        <f>+NOMINA!O292</f>
        <v>Guia de Centro I</v>
      </c>
      <c r="E299" s="952">
        <f>+NOMINA!H292</f>
        <v>45627</v>
      </c>
      <c r="F299" s="953">
        <f>+NOMINA!BT292</f>
        <v>7.08</v>
      </c>
      <c r="G299" s="608"/>
      <c r="H299" s="609"/>
      <c r="I299" s="609"/>
      <c r="J299" s="609"/>
      <c r="K299" s="609"/>
    </row>
    <row r="300" spans="1:11" ht="15.75" customHeight="1">
      <c r="A300" s="951">
        <f t="shared" si="4"/>
        <v>251</v>
      </c>
      <c r="B300" s="949">
        <f>+NOMINA!C293</f>
        <v>27251885</v>
      </c>
      <c r="C300" s="949" t="str">
        <f>+NOMINA!D293</f>
        <v>Barrozo Godoy Kellem Daniela</v>
      </c>
      <c r="D300" s="949" t="str">
        <f>+NOMINA!O293</f>
        <v>Guia de Centro I</v>
      </c>
      <c r="E300" s="952">
        <f>+NOMINA!H293</f>
        <v>45474</v>
      </c>
      <c r="F300" s="953">
        <f>+NOMINA!BT293</f>
        <v>7.08</v>
      </c>
      <c r="G300" s="608"/>
      <c r="H300" s="609"/>
      <c r="I300" s="609"/>
      <c r="J300" s="609"/>
      <c r="K300" s="609"/>
    </row>
    <row r="301" spans="1:11" ht="15.75" customHeight="1">
      <c r="A301" s="951">
        <f t="shared" si="4"/>
        <v>252</v>
      </c>
      <c r="B301" s="949">
        <f>+NOMINA!C294</f>
        <v>27251899</v>
      </c>
      <c r="C301" s="949" t="str">
        <f>+NOMINA!D294</f>
        <v>Perez Gonzalez Maria Ines</v>
      </c>
      <c r="D301" s="949" t="str">
        <f>+NOMINA!O294</f>
        <v>Guia de Centro I</v>
      </c>
      <c r="E301" s="952">
        <f>+NOMINA!H294</f>
        <v>45474</v>
      </c>
      <c r="F301" s="953">
        <f>+NOMINA!BT294</f>
        <v>7.08</v>
      </c>
      <c r="G301" s="608"/>
      <c r="H301" s="609"/>
      <c r="I301" s="609"/>
      <c r="J301" s="609"/>
      <c r="K301" s="609"/>
    </row>
    <row r="302" spans="1:11" ht="15.75" customHeight="1">
      <c r="A302" s="951">
        <f t="shared" si="4"/>
        <v>253</v>
      </c>
      <c r="B302" s="949">
        <f>+NOMINA!C295</f>
        <v>27363633</v>
      </c>
      <c r="C302" s="949" t="str">
        <f>+NOMINA!D295</f>
        <v>Padilla Blanco Melany Marian</v>
      </c>
      <c r="D302" s="949" t="str">
        <f>+NOMINA!O295</f>
        <v>Guia de Centro I</v>
      </c>
      <c r="E302" s="952">
        <f>+NOMINA!H295</f>
        <v>45627</v>
      </c>
      <c r="F302" s="953">
        <f>+NOMINA!BT295</f>
        <v>6.76</v>
      </c>
      <c r="G302" s="608"/>
      <c r="H302" s="609"/>
      <c r="I302" s="609"/>
      <c r="J302" s="609"/>
      <c r="K302" s="609"/>
    </row>
    <row r="303" spans="1:11" ht="15.75" customHeight="1">
      <c r="A303" s="951">
        <f t="shared" si="4"/>
        <v>254</v>
      </c>
      <c r="B303" s="949">
        <f>+NOMINA!C296</f>
        <v>27415737</v>
      </c>
      <c r="C303" s="949" t="str">
        <f>+NOMINA!D296</f>
        <v>Rivas Torres Rosa Alba</v>
      </c>
      <c r="D303" s="949" t="str">
        <f>+NOMINA!O296</f>
        <v>Asistente Administrativo II</v>
      </c>
      <c r="E303" s="952">
        <f>+NOMINA!H296</f>
        <v>44363</v>
      </c>
      <c r="F303" s="953">
        <f>+NOMINA!BT296</f>
        <v>5.94</v>
      </c>
      <c r="G303" s="608"/>
      <c r="H303" s="609"/>
      <c r="I303" s="609"/>
      <c r="J303" s="609"/>
      <c r="K303" s="609"/>
    </row>
    <row r="304" spans="1:11" ht="15.75" customHeight="1">
      <c r="A304" s="951">
        <f t="shared" si="4"/>
        <v>255</v>
      </c>
      <c r="B304" s="949">
        <f>+NOMINA!C297</f>
        <v>27415888</v>
      </c>
      <c r="C304" s="949" t="str">
        <f>+NOMINA!D297</f>
        <v>Perdomo Juarez Jose De Jesus</v>
      </c>
      <c r="D304" s="949" t="str">
        <f>+NOMINA!O297</f>
        <v>Entrenador Deportivo II</v>
      </c>
      <c r="E304" s="952">
        <f>+NOMINA!H297</f>
        <v>44713</v>
      </c>
      <c r="F304" s="953">
        <f>+NOMINA!BT297</f>
        <v>5.76</v>
      </c>
      <c r="G304" s="608"/>
      <c r="H304" s="609"/>
      <c r="I304" s="609"/>
      <c r="J304" s="609"/>
      <c r="K304" s="609"/>
    </row>
    <row r="305" spans="1:11" ht="15.75" customHeight="1">
      <c r="A305" s="951">
        <f t="shared" si="4"/>
        <v>256</v>
      </c>
      <c r="B305" s="949">
        <f>+NOMINA!C298</f>
        <v>27628603</v>
      </c>
      <c r="C305" s="949" t="str">
        <f>+NOMINA!D298</f>
        <v>Mendoza Mendoza Kelasky Kixuy</v>
      </c>
      <c r="D305" s="949" t="str">
        <f>+NOMINA!O298</f>
        <v>Instructor De Formacion Empresarial</v>
      </c>
      <c r="E305" s="952">
        <f>+NOMINA!H298</f>
        <v>45139</v>
      </c>
      <c r="F305" s="953">
        <f>+NOMINA!BT298</f>
        <v>5.48</v>
      </c>
      <c r="G305" s="608"/>
      <c r="H305" s="609"/>
      <c r="I305" s="609"/>
      <c r="J305" s="609"/>
      <c r="K305" s="609"/>
    </row>
    <row r="306" spans="1:11" ht="15.75" customHeight="1">
      <c r="A306" s="951">
        <f t="shared" si="4"/>
        <v>257</v>
      </c>
      <c r="B306" s="949">
        <f>+NOMINA!C299</f>
        <v>27677242</v>
      </c>
      <c r="C306" s="949" t="str">
        <f>+NOMINA!D299</f>
        <v>Ramirez Torres Darwin Jose</v>
      </c>
      <c r="D306" s="949" t="str">
        <f>+NOMINA!O299</f>
        <v>Recreador</v>
      </c>
      <c r="E306" s="952">
        <f>+NOMINA!H299</f>
        <v>45139</v>
      </c>
      <c r="F306" s="953">
        <f>+NOMINA!BT299</f>
        <v>5.22</v>
      </c>
      <c r="G306" s="608"/>
      <c r="H306" s="609"/>
      <c r="I306" s="609"/>
      <c r="J306" s="609"/>
      <c r="K306" s="609"/>
    </row>
    <row r="307" spans="1:11" ht="15.75" customHeight="1">
      <c r="A307" s="951">
        <f t="shared" si="4"/>
        <v>258</v>
      </c>
      <c r="B307" s="949">
        <f>+NOMINA!C300</f>
        <v>27889180</v>
      </c>
      <c r="C307" s="949" t="str">
        <f>+NOMINA!D300</f>
        <v>Moreno Andreina del Valle</v>
      </c>
      <c r="D307" s="949" t="str">
        <f>+NOMINA!O300</f>
        <v>Asistente Administrativo II</v>
      </c>
      <c r="E307" s="952">
        <f>+NOMINA!H300</f>
        <v>44393</v>
      </c>
      <c r="F307" s="953">
        <f>+NOMINA!BT300</f>
        <v>5.94</v>
      </c>
      <c r="G307" s="608"/>
      <c r="H307" s="609"/>
      <c r="I307" s="609"/>
      <c r="J307" s="609"/>
      <c r="K307" s="609"/>
    </row>
    <row r="308" spans="1:11" ht="15.75" customHeight="1">
      <c r="A308" s="951">
        <f t="shared" ref="A308:A316" si="5">+A307+1</f>
        <v>259</v>
      </c>
      <c r="B308" s="949">
        <f>+NOMINA!C301</f>
        <v>28079765</v>
      </c>
      <c r="C308" s="949" t="str">
        <f>+NOMINA!D301</f>
        <v>Mendoza Cardozo Josue Vicensio</v>
      </c>
      <c r="D308" s="949" t="str">
        <f>+NOMINA!O301</f>
        <v>Asistente Administrativo II</v>
      </c>
      <c r="E308" s="952">
        <f>+NOMINA!H301</f>
        <v>44348</v>
      </c>
      <c r="F308" s="953">
        <f>+NOMINA!BT301</f>
        <v>8.5399999999999991</v>
      </c>
      <c r="G308" s="608"/>
      <c r="H308" s="609"/>
      <c r="I308" s="609"/>
      <c r="J308" s="609"/>
      <c r="K308" s="609"/>
    </row>
    <row r="309" spans="1:11" ht="15.75" customHeight="1">
      <c r="A309" s="951">
        <f t="shared" si="5"/>
        <v>260</v>
      </c>
      <c r="B309" s="949">
        <f>+NOMINA!C302</f>
        <v>28096003</v>
      </c>
      <c r="C309" s="949" t="str">
        <f>+NOMINA!D302</f>
        <v>Quintero Peña Maria Alejandra</v>
      </c>
      <c r="D309" s="949" t="str">
        <f>+NOMINA!O302</f>
        <v>Guia de Centro I</v>
      </c>
      <c r="E309" s="952">
        <f>+NOMINA!H302</f>
        <v>44228</v>
      </c>
      <c r="F309" s="953">
        <f>+NOMINA!BT302</f>
        <v>7.4</v>
      </c>
      <c r="G309" s="608"/>
      <c r="H309" s="609"/>
      <c r="I309" s="609"/>
      <c r="J309" s="609"/>
      <c r="K309" s="609"/>
    </row>
    <row r="310" spans="1:11" ht="15.75" customHeight="1">
      <c r="A310" s="951">
        <f t="shared" si="5"/>
        <v>261</v>
      </c>
      <c r="B310" s="949">
        <f>+NOMINA!C303</f>
        <v>28096576</v>
      </c>
      <c r="C310" s="949" t="str">
        <f>+NOMINA!D303</f>
        <v>Gutierrez Betania Belsally</v>
      </c>
      <c r="D310" s="949" t="str">
        <f>+NOMINA!O303</f>
        <v>Asistente Administrativo I</v>
      </c>
      <c r="E310" s="952">
        <f>+NOMINA!H303</f>
        <v>45017</v>
      </c>
      <c r="F310" s="953">
        <f>+NOMINA!BT303</f>
        <v>5.72</v>
      </c>
      <c r="G310" s="608"/>
      <c r="H310" s="609"/>
      <c r="I310" s="609"/>
      <c r="J310" s="609"/>
      <c r="K310" s="609"/>
    </row>
    <row r="311" spans="1:11" ht="15.75" customHeight="1">
      <c r="A311" s="951">
        <f t="shared" si="5"/>
        <v>262</v>
      </c>
      <c r="B311" s="949">
        <f>+NOMINA!C304</f>
        <v>28445465</v>
      </c>
      <c r="C311" s="949" t="str">
        <f>+NOMINA!D304</f>
        <v>Castillo Carrizo Katherine Cecilia</v>
      </c>
      <c r="D311" s="949" t="str">
        <f>+NOMINA!O304</f>
        <v>Asistente Administrativo II</v>
      </c>
      <c r="E311" s="952">
        <f>+NOMINA!H304</f>
        <v>43770</v>
      </c>
      <c r="F311" s="953">
        <f>+NOMINA!BT304</f>
        <v>5.76</v>
      </c>
      <c r="G311" s="608"/>
      <c r="H311" s="609"/>
      <c r="I311" s="609"/>
      <c r="J311" s="609"/>
      <c r="K311" s="609"/>
    </row>
    <row r="312" spans="1:11" ht="15.75" customHeight="1">
      <c r="A312" s="951">
        <f t="shared" si="5"/>
        <v>263</v>
      </c>
      <c r="B312" s="949">
        <f>+NOMINA!C305</f>
        <v>29585477</v>
      </c>
      <c r="C312" s="949" t="str">
        <f>+NOMINA!D305</f>
        <v>Gil Ruiz Marianyeli Sarait</v>
      </c>
      <c r="D312" s="949" t="str">
        <f>+NOMINA!O305</f>
        <v>Entrenador Deportivo II</v>
      </c>
      <c r="E312" s="952">
        <f>+NOMINA!H305</f>
        <v>43512</v>
      </c>
      <c r="F312" s="953">
        <f>+NOMINA!BT305</f>
        <v>6</v>
      </c>
      <c r="G312" s="608"/>
      <c r="H312" s="609"/>
      <c r="I312" s="609"/>
      <c r="J312" s="609"/>
      <c r="K312" s="609"/>
    </row>
    <row r="313" spans="1:11" ht="15.75" customHeight="1">
      <c r="A313" s="951">
        <f t="shared" si="5"/>
        <v>264</v>
      </c>
      <c r="B313" s="949">
        <f>+NOMINA!C306</f>
        <v>29916508</v>
      </c>
      <c r="C313" s="949" t="str">
        <f>+NOMINA!D306</f>
        <v>Zambrano Briceño Elio Jesus</v>
      </c>
      <c r="D313" s="949" t="str">
        <f>+NOMINA!O306</f>
        <v>Guia de Centro I</v>
      </c>
      <c r="E313" s="952">
        <f>+NOMINA!H306</f>
        <v>44378</v>
      </c>
      <c r="F313" s="953">
        <f>+NOMINA!BT306</f>
        <v>7.4</v>
      </c>
      <c r="G313" s="608"/>
      <c r="H313" s="609"/>
      <c r="I313" s="609"/>
      <c r="J313" s="609"/>
      <c r="K313" s="609"/>
    </row>
    <row r="314" spans="1:11" ht="15.75" customHeight="1">
      <c r="A314" s="951">
        <f t="shared" si="5"/>
        <v>265</v>
      </c>
      <c r="B314" s="949">
        <f>+NOMINA!C307</f>
        <v>30190238</v>
      </c>
      <c r="C314" s="949" t="str">
        <f>+NOMINA!D307</f>
        <v>Mendoza Osuna Zaida Liseth</v>
      </c>
      <c r="D314" s="949" t="str">
        <f>+NOMINA!O307</f>
        <v>Guia de Centro I</v>
      </c>
      <c r="E314" s="952">
        <f>+NOMINA!H307</f>
        <v>45200</v>
      </c>
      <c r="F314" s="953">
        <f>+NOMINA!BT307</f>
        <v>6.8</v>
      </c>
      <c r="G314" s="608"/>
      <c r="H314" s="609"/>
      <c r="I314" s="609"/>
      <c r="J314" s="609"/>
      <c r="K314" s="609"/>
    </row>
    <row r="315" spans="1:11" ht="15.75" customHeight="1">
      <c r="A315" s="951">
        <f t="shared" si="5"/>
        <v>266</v>
      </c>
      <c r="B315" s="949">
        <f>+NOMINA!C308</f>
        <v>30438508</v>
      </c>
      <c r="C315" s="949" t="str">
        <f>+NOMINA!D308</f>
        <v xml:space="preserve">Teran Araujo Marihangeli Nicoll </v>
      </c>
      <c r="D315" s="949" t="str">
        <f>+NOMINA!O308</f>
        <v>Asistente Administrativo II</v>
      </c>
      <c r="E315" s="952">
        <f>+NOMINA!H308</f>
        <v>45200</v>
      </c>
      <c r="F315" s="953">
        <f>+NOMINA!BT308</f>
        <v>5.76</v>
      </c>
      <c r="G315" s="608"/>
      <c r="H315" s="609"/>
      <c r="I315" s="609"/>
      <c r="J315" s="609"/>
      <c r="K315" s="609"/>
    </row>
    <row r="316" spans="1:11" ht="15.75" customHeight="1" thickBot="1">
      <c r="A316" s="951">
        <f t="shared" si="5"/>
        <v>267</v>
      </c>
      <c r="B316" s="949">
        <f>+NOMINA!C309</f>
        <v>30600641</v>
      </c>
      <c r="C316" s="949" t="str">
        <f>+NOMINA!D309</f>
        <v>Gonzalez Justo Jariana Roxanny</v>
      </c>
      <c r="D316" s="949" t="str">
        <f>+NOMINA!O309</f>
        <v>Asistente Administrativo I</v>
      </c>
      <c r="E316" s="952">
        <f>+NOMINA!H309</f>
        <v>44455</v>
      </c>
      <c r="F316" s="953">
        <f>+NOMINA!BT309</f>
        <v>0</v>
      </c>
      <c r="G316" s="608"/>
      <c r="H316" s="609"/>
      <c r="I316" s="609"/>
      <c r="J316" s="609"/>
      <c r="K316" s="609"/>
    </row>
    <row r="317" spans="1:11" ht="15.75" customHeight="1" thickBot="1">
      <c r="A317" s="951"/>
      <c r="B317" s="949"/>
      <c r="C317" s="949"/>
      <c r="D317" s="949"/>
      <c r="E317" s="616" t="s">
        <v>4562</v>
      </c>
      <c r="F317" s="950">
        <f>SUM(F50:F316)</f>
        <v>2381.5200000000018</v>
      </c>
      <c r="G317" s="608">
        <f>+NOMINA!BT309</f>
        <v>0</v>
      </c>
      <c r="H317" s="609">
        <f>+F317-G317</f>
        <v>2381.5200000000018</v>
      </c>
      <c r="I317" s="609"/>
      <c r="J317" s="609"/>
      <c r="K317" s="609"/>
    </row>
    <row r="318" spans="1:11" ht="15.75" customHeight="1">
      <c r="A318" s="610"/>
      <c r="B318" s="954"/>
      <c r="C318" s="954"/>
      <c r="D318" s="954"/>
      <c r="E318" s="617"/>
      <c r="F318" s="955"/>
      <c r="G318" s="608"/>
      <c r="H318" s="609"/>
      <c r="I318" s="609"/>
      <c r="J318" s="609"/>
      <c r="K318" s="609"/>
    </row>
    <row r="319" spans="1:11" ht="15.75" customHeight="1">
      <c r="A319" s="610"/>
      <c r="B319" s="612"/>
      <c r="C319" s="604" t="s">
        <v>5840</v>
      </c>
      <c r="E319" s="604" t="s">
        <v>5841</v>
      </c>
      <c r="G319" s="608"/>
      <c r="H319" s="609"/>
      <c r="I319" s="609"/>
      <c r="J319" s="609"/>
      <c r="K319" s="609"/>
    </row>
    <row r="320" spans="1:11" ht="15.75" customHeight="1">
      <c r="A320" s="610"/>
      <c r="B320" s="612"/>
      <c r="H320" s="609"/>
      <c r="I320" s="609"/>
      <c r="J320" s="609"/>
      <c r="K320" s="609"/>
    </row>
    <row r="321" spans="1:11" ht="15.75" customHeight="1">
      <c r="A321" s="610"/>
      <c r="B321" s="612"/>
      <c r="C321" s="614" t="s">
        <v>5842</v>
      </c>
      <c r="E321" s="615" t="s">
        <v>5843</v>
      </c>
      <c r="H321" s="609"/>
      <c r="I321" s="609"/>
      <c r="J321" s="609"/>
      <c r="K321" s="609"/>
    </row>
    <row r="322" spans="1:11" ht="15.75" customHeight="1">
      <c r="A322" s="610"/>
      <c r="B322" s="612"/>
      <c r="C322" s="614" t="s">
        <v>5844</v>
      </c>
      <c r="E322" s="614" t="s">
        <v>5845</v>
      </c>
      <c r="G322" s="618"/>
      <c r="H322" s="609"/>
      <c r="I322" s="609"/>
      <c r="J322" s="609"/>
      <c r="K322" s="609"/>
    </row>
    <row r="323" spans="1:11" ht="15.75" customHeight="1">
      <c r="A323" s="610"/>
      <c r="B323" s="612"/>
      <c r="C323" s="612"/>
      <c r="D323" s="612"/>
      <c r="E323" s="617"/>
      <c r="F323" s="613"/>
      <c r="G323" s="613"/>
      <c r="H323" s="609"/>
      <c r="I323" s="609"/>
      <c r="J323" s="609"/>
      <c r="K323" s="609"/>
    </row>
    <row r="324" spans="1:11" ht="15.75" customHeight="1">
      <c r="A324" s="606" t="s">
        <v>4563</v>
      </c>
      <c r="B324" s="949"/>
      <c r="C324" s="949"/>
      <c r="D324" s="949"/>
      <c r="E324" s="952"/>
      <c r="F324" s="953"/>
      <c r="G324" s="608"/>
      <c r="H324" s="609"/>
      <c r="I324" s="609"/>
      <c r="J324" s="609"/>
      <c r="K324" s="609"/>
    </row>
    <row r="325" spans="1:11" ht="15.75" customHeight="1">
      <c r="A325" s="951">
        <v>1</v>
      </c>
      <c r="B325" s="949">
        <f>+NOMINA!C312</f>
        <v>5505183</v>
      </c>
      <c r="C325" s="949" t="str">
        <f>+NOMINA!D312</f>
        <v>Paredes Marquez Eduardo Jesus</v>
      </c>
      <c r="D325" s="949" t="str">
        <f>+NOMINA!O312</f>
        <v>Ayudante de Servicios Generales</v>
      </c>
      <c r="E325" s="952">
        <f>+NOMINA!H312</f>
        <v>44562</v>
      </c>
      <c r="F325" s="953">
        <f>+NOMINA!BT312</f>
        <v>6.06</v>
      </c>
      <c r="G325" s="608"/>
      <c r="H325" s="609"/>
      <c r="I325" s="609"/>
      <c r="J325" s="609"/>
      <c r="K325" s="609"/>
    </row>
    <row r="326" spans="1:11" ht="15.75" customHeight="1">
      <c r="A326" s="951">
        <f t="shared" ref="A326:A390" si="6">+A325+1</f>
        <v>2</v>
      </c>
      <c r="B326" s="949">
        <f>+NOMINA!C313</f>
        <v>5757455</v>
      </c>
      <c r="C326" s="949" t="str">
        <f>+NOMINA!D313</f>
        <v>Ramirez Garcia Maria Perpetua</v>
      </c>
      <c r="D326" s="949" t="str">
        <f>+NOMINA!O313</f>
        <v>Cocinera</v>
      </c>
      <c r="E326" s="952">
        <f>+NOMINA!H313</f>
        <v>39409</v>
      </c>
      <c r="F326" s="953">
        <f>+NOMINA!BT313</f>
        <v>6.74</v>
      </c>
      <c r="G326" s="608"/>
      <c r="H326" s="609"/>
      <c r="I326" s="609"/>
      <c r="J326" s="609"/>
      <c r="K326" s="609"/>
    </row>
    <row r="327" spans="1:11" ht="15.75" customHeight="1">
      <c r="A327" s="951">
        <f t="shared" si="6"/>
        <v>3</v>
      </c>
      <c r="B327" s="949">
        <f>+NOMINA!C314</f>
        <v>5762185</v>
      </c>
      <c r="C327" s="949" t="str">
        <f>+NOMINA!D314</f>
        <v>Salas Quintero Jose Gregorio</v>
      </c>
      <c r="D327" s="949" t="str">
        <f>+NOMINA!O314</f>
        <v xml:space="preserve">Vigilante  </v>
      </c>
      <c r="E327" s="952">
        <f>+NOMINA!H314</f>
        <v>37622</v>
      </c>
      <c r="F327" s="953">
        <f>+NOMINA!BT314</f>
        <v>7.04</v>
      </c>
      <c r="G327" s="608"/>
      <c r="H327" s="609"/>
      <c r="I327" s="609"/>
      <c r="J327" s="609"/>
      <c r="K327" s="609"/>
    </row>
    <row r="328" spans="1:11" ht="15.75" customHeight="1">
      <c r="A328" s="951">
        <f t="shared" si="6"/>
        <v>4</v>
      </c>
      <c r="B328" s="949">
        <f>+NOMINA!C315</f>
        <v>6332524</v>
      </c>
      <c r="C328" s="949" t="str">
        <f>+NOMINA!D315</f>
        <v>Flores Diana Yamilet</v>
      </c>
      <c r="D328" s="949" t="str">
        <f>+NOMINA!O315</f>
        <v>Cocinera</v>
      </c>
      <c r="E328" s="952">
        <f>+NOMINA!H315</f>
        <v>42948</v>
      </c>
      <c r="F328" s="953">
        <f>+NOMINA!BT315</f>
        <v>6.28</v>
      </c>
      <c r="G328" s="608"/>
      <c r="H328" s="609"/>
      <c r="I328" s="609"/>
      <c r="J328" s="609"/>
      <c r="K328" s="609"/>
    </row>
    <row r="329" spans="1:11" ht="15.75" customHeight="1">
      <c r="A329" s="951">
        <f t="shared" si="6"/>
        <v>5</v>
      </c>
      <c r="B329" s="949">
        <f>+NOMINA!C316</f>
        <v>6902701</v>
      </c>
      <c r="C329" s="949" t="str">
        <f>+NOMINA!D316</f>
        <v>Santiago Torres Jose Ramon</v>
      </c>
      <c r="D329" s="949" t="str">
        <f>+NOMINA!O316</f>
        <v>Mensajero</v>
      </c>
      <c r="E329" s="952">
        <f>+NOMINA!H316</f>
        <v>44228</v>
      </c>
      <c r="F329" s="953">
        <f>+NOMINA!BT316</f>
        <v>5.78</v>
      </c>
      <c r="G329" s="608"/>
      <c r="H329" s="609"/>
      <c r="I329" s="609"/>
      <c r="J329" s="609"/>
      <c r="K329" s="609"/>
    </row>
    <row r="330" spans="1:11" ht="15.75" customHeight="1">
      <c r="A330" s="951">
        <f t="shared" si="6"/>
        <v>6</v>
      </c>
      <c r="B330" s="949">
        <f>+NOMINA!C317</f>
        <v>7252065</v>
      </c>
      <c r="C330" s="949" t="str">
        <f>+NOMINA!D317</f>
        <v>Rivas Rivas Jose Gerardo</v>
      </c>
      <c r="D330" s="949" t="str">
        <f>+NOMINA!O317</f>
        <v>Ayudante de Servicios Generales</v>
      </c>
      <c r="E330" s="952">
        <f>+NOMINA!H317</f>
        <v>43891</v>
      </c>
      <c r="F330" s="953">
        <f>+NOMINA!BT317</f>
        <v>7.5</v>
      </c>
      <c r="G330" s="608"/>
      <c r="H330" s="609"/>
      <c r="I330" s="609"/>
      <c r="J330" s="609"/>
      <c r="K330" s="609"/>
    </row>
    <row r="331" spans="1:11" ht="15.75" customHeight="1">
      <c r="A331" s="951">
        <f t="shared" si="6"/>
        <v>7</v>
      </c>
      <c r="B331" s="949">
        <f>+NOMINA!C318</f>
        <v>9008311</v>
      </c>
      <c r="C331" s="949" t="str">
        <f>+NOMINA!D318</f>
        <v>Toro Margi Enrique</v>
      </c>
      <c r="D331" s="949" t="str">
        <f>+NOMINA!O318</f>
        <v>Ayudante de Servicios Generales</v>
      </c>
      <c r="E331" s="952">
        <f>+NOMINA!H318</f>
        <v>39265</v>
      </c>
      <c r="F331" s="953">
        <f>+NOMINA!BT318</f>
        <v>6.28</v>
      </c>
      <c r="G331" s="608"/>
      <c r="H331" s="609"/>
      <c r="I331" s="609"/>
      <c r="J331" s="609"/>
      <c r="K331" s="609"/>
    </row>
    <row r="332" spans="1:11" ht="15.75" customHeight="1">
      <c r="A332" s="951">
        <f t="shared" si="6"/>
        <v>8</v>
      </c>
      <c r="B332" s="949">
        <f>+NOMINA!C319</f>
        <v>9011963</v>
      </c>
      <c r="C332" s="949" t="str">
        <f>+NOMINA!D319</f>
        <v>Alarcon Argenio</v>
      </c>
      <c r="D332" s="949" t="str">
        <f>+NOMINA!O319</f>
        <v>Ayudante de Servicios Generales</v>
      </c>
      <c r="E332" s="952">
        <f>+NOMINA!H319</f>
        <v>39820</v>
      </c>
      <c r="F332" s="953">
        <f>+NOMINA!BT319</f>
        <v>6.24</v>
      </c>
      <c r="G332" s="608"/>
      <c r="H332" s="609"/>
      <c r="I332" s="609"/>
      <c r="J332" s="609"/>
      <c r="K332" s="609"/>
    </row>
    <row r="333" spans="1:11" ht="15.75" customHeight="1">
      <c r="A333" s="951">
        <f t="shared" si="6"/>
        <v>9</v>
      </c>
      <c r="B333" s="949">
        <f>+NOMINA!C320</f>
        <v>9100500</v>
      </c>
      <c r="C333" s="949" t="str">
        <f>+NOMINA!D320</f>
        <v>Hernandez de Villegas Zoraida Elodia</v>
      </c>
      <c r="D333" s="949" t="str">
        <f>+NOMINA!O320</f>
        <v>Aseadora</v>
      </c>
      <c r="E333" s="952">
        <f>+NOMINA!H320</f>
        <v>39496</v>
      </c>
      <c r="F333" s="953">
        <f>+NOMINA!BT320</f>
        <v>5.7</v>
      </c>
      <c r="G333" s="608"/>
      <c r="H333" s="609"/>
      <c r="I333" s="609"/>
      <c r="J333" s="609"/>
      <c r="K333" s="609"/>
    </row>
    <row r="334" spans="1:11" ht="15.75" customHeight="1">
      <c r="A334" s="951">
        <f t="shared" si="6"/>
        <v>10</v>
      </c>
      <c r="B334" s="949">
        <f>+NOMINA!C321</f>
        <v>9110498</v>
      </c>
      <c r="C334" s="949" t="str">
        <f>+NOMINA!D321</f>
        <v>Ruiz Alberto Jose</v>
      </c>
      <c r="D334" s="949" t="str">
        <f>+NOMINA!O321</f>
        <v>Ayudante de Servicios Generales</v>
      </c>
      <c r="E334" s="952">
        <f>+NOMINA!H321</f>
        <v>37508</v>
      </c>
      <c r="F334" s="953">
        <f>+NOMINA!BT321</f>
        <v>6.54</v>
      </c>
      <c r="G334" s="608"/>
      <c r="H334" s="609"/>
      <c r="I334" s="609"/>
      <c r="J334" s="609"/>
      <c r="K334" s="609"/>
    </row>
    <row r="335" spans="1:11" ht="15.75" customHeight="1">
      <c r="A335" s="951">
        <f t="shared" si="6"/>
        <v>11</v>
      </c>
      <c r="B335" s="949">
        <f>+NOMINA!C322</f>
        <v>9163994</v>
      </c>
      <c r="C335" s="949" t="str">
        <f>+NOMINA!D322</f>
        <v>Rodriguez Fernandez Carlos Eduardo</v>
      </c>
      <c r="D335" s="949" t="str">
        <f>+NOMINA!O322</f>
        <v>Ayudante de Almacen</v>
      </c>
      <c r="E335" s="952">
        <f>+NOMINA!H322</f>
        <v>43770</v>
      </c>
      <c r="F335" s="953">
        <f>+NOMINA!BT322</f>
        <v>6.2</v>
      </c>
      <c r="G335" s="608"/>
      <c r="H335" s="609"/>
      <c r="I335" s="609"/>
      <c r="J335" s="609"/>
      <c r="K335" s="609"/>
    </row>
    <row r="336" spans="1:11" ht="15.75" customHeight="1">
      <c r="A336" s="951">
        <f t="shared" si="6"/>
        <v>12</v>
      </c>
      <c r="B336" s="949">
        <f>+NOMINA!C323</f>
        <v>9167342</v>
      </c>
      <c r="C336" s="949" t="str">
        <f>+NOMINA!D323</f>
        <v>Gutierrez Briceño Jose Justimiano</v>
      </c>
      <c r="D336" s="949" t="str">
        <f>+NOMINA!O323</f>
        <v>Ayudante Agropecuario</v>
      </c>
      <c r="E336" s="952">
        <f>+NOMINA!H323</f>
        <v>43845</v>
      </c>
      <c r="F336" s="953">
        <f>+NOMINA!BT323</f>
        <v>5.8</v>
      </c>
      <c r="G336" s="608"/>
      <c r="H336" s="609"/>
      <c r="I336" s="609"/>
      <c r="J336" s="609"/>
      <c r="K336" s="609"/>
    </row>
    <row r="337" spans="1:11" ht="15.75" customHeight="1">
      <c r="A337" s="951">
        <f t="shared" si="6"/>
        <v>13</v>
      </c>
      <c r="B337" s="949">
        <f>+NOMINA!C324</f>
        <v>9310477</v>
      </c>
      <c r="C337" s="949" t="str">
        <f>+NOMINA!D324</f>
        <v>Campos Muchacho Rafael Angel</v>
      </c>
      <c r="D337" s="949" t="str">
        <f>+NOMINA!O324</f>
        <v>Ayudante Agropecuario</v>
      </c>
      <c r="E337" s="952">
        <f>+NOMINA!H324</f>
        <v>44075</v>
      </c>
      <c r="F337" s="953">
        <f>+NOMINA!BT324</f>
        <v>5.76</v>
      </c>
      <c r="G337" s="608"/>
      <c r="H337" s="609"/>
      <c r="I337" s="609"/>
      <c r="J337" s="609"/>
      <c r="K337" s="609"/>
    </row>
    <row r="338" spans="1:11" ht="15.75" customHeight="1">
      <c r="A338" s="951">
        <f t="shared" si="6"/>
        <v>14</v>
      </c>
      <c r="B338" s="949">
        <f>+NOMINA!C325</f>
        <v>9323739</v>
      </c>
      <c r="C338" s="949" t="str">
        <f>+NOMINA!D325</f>
        <v>Vargas Benitez Jose Nerio</v>
      </c>
      <c r="D338" s="949" t="str">
        <f>+NOMINA!O325</f>
        <v>Ayudante de Servicios Generales</v>
      </c>
      <c r="E338" s="952">
        <f>+NOMINA!H325</f>
        <v>39300</v>
      </c>
      <c r="F338" s="953">
        <f>+NOMINA!BT325</f>
        <v>6.28</v>
      </c>
      <c r="G338" s="608"/>
      <c r="H338" s="609"/>
      <c r="I338" s="609"/>
      <c r="J338" s="609"/>
      <c r="K338" s="609"/>
    </row>
    <row r="339" spans="1:11" ht="15.75" customHeight="1">
      <c r="A339" s="951">
        <f t="shared" si="6"/>
        <v>15</v>
      </c>
      <c r="B339" s="949">
        <f>+NOMINA!C326</f>
        <v>9325664</v>
      </c>
      <c r="C339" s="949" t="str">
        <f>+NOMINA!D326</f>
        <v>Lobo Mendoza Luz Marina</v>
      </c>
      <c r="D339" s="949" t="str">
        <f>+NOMINA!O326</f>
        <v>Ayudante de Servicios Generales</v>
      </c>
      <c r="E339" s="952">
        <f>+NOMINA!H326</f>
        <v>42948</v>
      </c>
      <c r="F339" s="953">
        <f>+NOMINA!BT326</f>
        <v>5.86</v>
      </c>
      <c r="G339" s="608"/>
      <c r="H339" s="609"/>
      <c r="I339" s="609"/>
      <c r="J339" s="609"/>
      <c r="K339" s="609"/>
    </row>
    <row r="340" spans="1:11" ht="15.75" customHeight="1">
      <c r="A340" s="951">
        <f t="shared" si="6"/>
        <v>16</v>
      </c>
      <c r="B340" s="949">
        <f>+NOMINA!C327</f>
        <v>9328045</v>
      </c>
      <c r="C340" s="949" t="str">
        <f>+NOMINA!D327</f>
        <v>Paredes Quintero Jose Benigno</v>
      </c>
      <c r="D340" s="949" t="str">
        <f>+NOMINA!O327</f>
        <v>Ayudante de Servicios Generales</v>
      </c>
      <c r="E340" s="952">
        <f>+NOMINA!H327</f>
        <v>44212</v>
      </c>
      <c r="F340" s="953">
        <f>+NOMINA!BT327</f>
        <v>5.76</v>
      </c>
      <c r="G340" s="608"/>
      <c r="H340" s="609"/>
      <c r="I340" s="609"/>
      <c r="J340" s="609"/>
      <c r="K340" s="609"/>
    </row>
    <row r="341" spans="1:11" ht="15.75" customHeight="1">
      <c r="A341" s="951">
        <f t="shared" si="6"/>
        <v>17</v>
      </c>
      <c r="B341" s="949">
        <f>+NOMINA!C328</f>
        <v>10178456</v>
      </c>
      <c r="C341" s="949" t="str">
        <f>+NOMINA!D328</f>
        <v>Figueroa Roa Yudith Griselda</v>
      </c>
      <c r="D341" s="949" t="str">
        <f>+NOMINA!O328</f>
        <v>Aseadora</v>
      </c>
      <c r="E341" s="952">
        <f>+NOMINA!H328</f>
        <v>44287</v>
      </c>
      <c r="F341" s="953">
        <f>+NOMINA!BT328</f>
        <v>5.28</v>
      </c>
      <c r="G341" s="608"/>
      <c r="H341" s="609"/>
      <c r="I341" s="609"/>
      <c r="J341" s="609"/>
      <c r="K341" s="609"/>
    </row>
    <row r="342" spans="1:11" ht="15.75" customHeight="1">
      <c r="A342" s="951">
        <f t="shared" si="6"/>
        <v>18</v>
      </c>
      <c r="B342" s="949">
        <f>+NOMINA!C329</f>
        <v>10317435</v>
      </c>
      <c r="C342" s="949" t="str">
        <f>+NOMINA!D329</f>
        <v>Milla Ana Julia</v>
      </c>
      <c r="D342" s="949" t="str">
        <f>+NOMINA!O329</f>
        <v>Aseadora</v>
      </c>
      <c r="E342" s="952">
        <f>+NOMINA!H329</f>
        <v>39559</v>
      </c>
      <c r="F342" s="953">
        <f>+NOMINA!BT329</f>
        <v>5.7</v>
      </c>
      <c r="G342" s="608"/>
      <c r="H342" s="609"/>
      <c r="I342" s="609"/>
      <c r="J342" s="609"/>
      <c r="K342" s="609"/>
    </row>
    <row r="343" spans="1:11" ht="15.75" customHeight="1">
      <c r="A343" s="951">
        <f t="shared" si="6"/>
        <v>19</v>
      </c>
      <c r="B343" s="949">
        <f>+NOMINA!C330</f>
        <v>10396367</v>
      </c>
      <c r="C343" s="949" t="str">
        <f>+NOMINA!D330</f>
        <v>Hidalgo Linares Gloria Margarita</v>
      </c>
      <c r="D343" s="949" t="str">
        <f>+NOMINA!O330</f>
        <v>Cocinera</v>
      </c>
      <c r="E343" s="952">
        <f>+NOMINA!H330</f>
        <v>39722</v>
      </c>
      <c r="F343" s="953">
        <f>+NOMINA!BT330</f>
        <v>6.7</v>
      </c>
      <c r="G343" s="608"/>
      <c r="H343" s="609"/>
      <c r="I343" s="609"/>
      <c r="J343" s="609"/>
      <c r="K343" s="609"/>
    </row>
    <row r="344" spans="1:11" ht="15.75" customHeight="1">
      <c r="A344" s="951">
        <f t="shared" si="6"/>
        <v>20</v>
      </c>
      <c r="B344" s="949">
        <f>+NOMINA!C331</f>
        <v>10399474</v>
      </c>
      <c r="C344" s="949" t="str">
        <f>+NOMINA!D331</f>
        <v>Ramirez Araujo Teresa Maria</v>
      </c>
      <c r="D344" s="949" t="str">
        <f>+NOMINA!O331</f>
        <v>Ayudante de Servicios Generales</v>
      </c>
      <c r="E344" s="952">
        <f>+NOMINA!H331</f>
        <v>45597</v>
      </c>
      <c r="F344" s="953">
        <f>+NOMINA!BT331</f>
        <v>5.44</v>
      </c>
      <c r="G344" s="608"/>
      <c r="H344" s="609"/>
      <c r="I344" s="609"/>
      <c r="J344" s="609"/>
      <c r="K344" s="609"/>
    </row>
    <row r="345" spans="1:11" ht="15.75" customHeight="1">
      <c r="A345" s="951">
        <f t="shared" si="6"/>
        <v>21</v>
      </c>
      <c r="B345" s="949">
        <f>+NOMINA!C332</f>
        <v>10401329</v>
      </c>
      <c r="C345" s="949" t="str">
        <f>+NOMINA!D332</f>
        <v>Gonzalez Torres Orangel Ramon</v>
      </c>
      <c r="D345" s="949" t="str">
        <f>+NOMINA!O332</f>
        <v>Chofer De Transporte</v>
      </c>
      <c r="E345" s="952">
        <f>+NOMINA!H332</f>
        <v>39539</v>
      </c>
      <c r="F345" s="953">
        <f>+NOMINA!BT332</f>
        <v>8.6999999999999993</v>
      </c>
      <c r="G345" s="608"/>
      <c r="H345" s="609"/>
      <c r="I345" s="609"/>
      <c r="J345" s="609"/>
      <c r="K345" s="609"/>
    </row>
    <row r="346" spans="1:11" ht="15.75" customHeight="1">
      <c r="A346" s="951">
        <f t="shared" si="6"/>
        <v>22</v>
      </c>
      <c r="B346" s="949">
        <f>+NOMINA!C333</f>
        <v>10907687</v>
      </c>
      <c r="C346" s="949" t="str">
        <f>+NOMINA!D333</f>
        <v>Viloria Garcia Karina Liseth</v>
      </c>
      <c r="D346" s="949" t="str">
        <f>+NOMINA!O333</f>
        <v>Cocinera</v>
      </c>
      <c r="E346" s="952">
        <f>+NOMINA!H333</f>
        <v>38749</v>
      </c>
      <c r="F346" s="953">
        <f>+NOMINA!BT333</f>
        <v>6.8</v>
      </c>
      <c r="G346" s="608"/>
      <c r="H346" s="609"/>
      <c r="I346" s="609"/>
      <c r="J346" s="609"/>
      <c r="K346" s="609"/>
    </row>
    <row r="347" spans="1:11" ht="15.75" customHeight="1">
      <c r="A347" s="951">
        <f t="shared" si="6"/>
        <v>23</v>
      </c>
      <c r="B347" s="949">
        <f>+NOMINA!C334</f>
        <v>10908543</v>
      </c>
      <c r="C347" s="949" t="str">
        <f>+NOMINA!D334</f>
        <v>Quintero Eric Ludwig</v>
      </c>
      <c r="D347" s="949" t="str">
        <f>+NOMINA!O334</f>
        <v>Cocinero</v>
      </c>
      <c r="E347" s="952">
        <f>+NOMINA!H334</f>
        <v>42751</v>
      </c>
      <c r="F347" s="953">
        <f>+NOMINA!BT334</f>
        <v>6.32</v>
      </c>
      <c r="G347" s="608"/>
      <c r="H347" s="609"/>
      <c r="I347" s="609"/>
      <c r="J347" s="609"/>
      <c r="K347" s="609"/>
    </row>
    <row r="348" spans="1:11" ht="15.75" customHeight="1">
      <c r="A348" s="951">
        <f t="shared" si="6"/>
        <v>24</v>
      </c>
      <c r="B348" s="949">
        <f>+NOMINA!C335</f>
        <v>10909678</v>
      </c>
      <c r="C348" s="949" t="str">
        <f>+NOMINA!D335</f>
        <v>Delgado Jose Argenis</v>
      </c>
      <c r="D348" s="949" t="str">
        <f>+NOMINA!O335</f>
        <v>Aseador</v>
      </c>
      <c r="E348" s="952">
        <f>+NOMINA!H335</f>
        <v>43952</v>
      </c>
      <c r="F348" s="953">
        <f>+NOMINA!BT335</f>
        <v>5.3</v>
      </c>
      <c r="G348" s="608"/>
      <c r="H348" s="609"/>
      <c r="I348" s="609"/>
      <c r="J348" s="609"/>
      <c r="K348" s="609"/>
    </row>
    <row r="349" spans="1:11" ht="15.75" customHeight="1">
      <c r="A349" s="951">
        <f t="shared" si="6"/>
        <v>25</v>
      </c>
      <c r="B349" s="949">
        <f>+NOMINA!C336</f>
        <v>10909819</v>
      </c>
      <c r="C349" s="949" t="str">
        <f>+NOMINA!D336</f>
        <v>Carrizo Jose Waldo</v>
      </c>
      <c r="D349" s="949" t="str">
        <f>+NOMINA!O336</f>
        <v>Cocinero</v>
      </c>
      <c r="E349" s="952">
        <f>+NOMINA!H336</f>
        <v>43359</v>
      </c>
      <c r="F349" s="953">
        <f>+NOMINA!BT336</f>
        <v>6.24</v>
      </c>
      <c r="G349" s="608"/>
      <c r="H349" s="609"/>
      <c r="I349" s="609"/>
      <c r="J349" s="609"/>
      <c r="K349" s="609"/>
    </row>
    <row r="350" spans="1:11" ht="15.75" customHeight="1">
      <c r="A350" s="951">
        <f t="shared" si="6"/>
        <v>26</v>
      </c>
      <c r="B350" s="949">
        <f>+NOMINA!C337</f>
        <v>10912635</v>
      </c>
      <c r="C350" s="949" t="str">
        <f>+NOMINA!D337</f>
        <v>Gutierrez Briceño Jose Orangel</v>
      </c>
      <c r="D350" s="949" t="str">
        <f>+NOMINA!O337</f>
        <v>Ayudante Agropecuario</v>
      </c>
      <c r="E350" s="952">
        <f>+NOMINA!H337</f>
        <v>44348</v>
      </c>
      <c r="F350" s="953">
        <f>+NOMINA!BT337</f>
        <v>5.74</v>
      </c>
      <c r="G350" s="608"/>
      <c r="H350" s="609"/>
      <c r="I350" s="609"/>
      <c r="J350" s="609"/>
      <c r="K350" s="609"/>
    </row>
    <row r="351" spans="1:11" ht="15.75" customHeight="1">
      <c r="A351" s="951">
        <f t="shared" si="6"/>
        <v>27</v>
      </c>
      <c r="B351" s="949">
        <f>+NOMINA!C338</f>
        <v>10915274</v>
      </c>
      <c r="C351" s="949" t="str">
        <f>+NOMINA!D338</f>
        <v>Montilla Vergara Belkys Josefina</v>
      </c>
      <c r="D351" s="949" t="str">
        <f>+NOMINA!O338</f>
        <v>Ayudante de Servicios Generales</v>
      </c>
      <c r="E351" s="952">
        <f>+NOMINA!H338</f>
        <v>44635</v>
      </c>
      <c r="F351" s="953">
        <f>+NOMINA!BT338</f>
        <v>5.7</v>
      </c>
      <c r="G351" s="608"/>
      <c r="H351" s="609"/>
      <c r="I351" s="609"/>
      <c r="J351" s="609"/>
      <c r="K351" s="609"/>
    </row>
    <row r="352" spans="1:11" ht="15.75" customHeight="1">
      <c r="A352" s="951">
        <f t="shared" si="6"/>
        <v>28</v>
      </c>
      <c r="B352" s="949">
        <f>+NOMINA!C339</f>
        <v>11129355</v>
      </c>
      <c r="C352" s="949" t="str">
        <f>+NOMINA!D339</f>
        <v xml:space="preserve">Luque Azuaje Rigoberto </v>
      </c>
      <c r="D352" s="949" t="str">
        <f>+NOMINA!O339</f>
        <v>Ayudante de Servicios Generales</v>
      </c>
      <c r="E352" s="952">
        <f>+NOMINA!H339</f>
        <v>39539</v>
      </c>
      <c r="F352" s="953">
        <f>+NOMINA!BT339</f>
        <v>8.1</v>
      </c>
      <c r="G352" s="608"/>
      <c r="H352" s="609"/>
      <c r="I352" s="609"/>
      <c r="J352" s="609"/>
      <c r="K352" s="609"/>
    </row>
    <row r="353" spans="1:11" ht="15.75" customHeight="1">
      <c r="A353" s="951">
        <f t="shared" si="6"/>
        <v>29</v>
      </c>
      <c r="B353" s="949">
        <f>+NOMINA!C340</f>
        <v>11315202</v>
      </c>
      <c r="C353" s="949" t="str">
        <f>+NOMINA!D340</f>
        <v>Barreto Maria Ramona</v>
      </c>
      <c r="D353" s="949" t="str">
        <f>+NOMINA!O340</f>
        <v>Cocinera</v>
      </c>
      <c r="E353" s="952">
        <f>+NOMINA!H340</f>
        <v>39539</v>
      </c>
      <c r="F353" s="953">
        <f>+NOMINA!BT340</f>
        <v>6.7</v>
      </c>
      <c r="G353" s="608"/>
      <c r="H353" s="609"/>
      <c r="I353" s="609"/>
      <c r="J353" s="609"/>
      <c r="K353" s="609"/>
    </row>
    <row r="354" spans="1:11" ht="15.75" customHeight="1">
      <c r="A354" s="951">
        <f t="shared" si="6"/>
        <v>30</v>
      </c>
      <c r="B354" s="949">
        <f>+NOMINA!C341</f>
        <v>11321681</v>
      </c>
      <c r="C354" s="949" t="str">
        <f>+NOMINA!D341</f>
        <v>Bentancourt Rivas Luis Enrique</v>
      </c>
      <c r="D354" s="949" t="str">
        <f>+NOMINA!O341</f>
        <v>Ayudante de Servicios Generales</v>
      </c>
      <c r="E354" s="952">
        <f>+NOMINA!H341</f>
        <v>44805</v>
      </c>
      <c r="F354" s="953">
        <f>+NOMINA!BT341</f>
        <v>5.7</v>
      </c>
      <c r="G354" s="608"/>
      <c r="H354" s="609"/>
      <c r="I354" s="609"/>
      <c r="J354" s="609"/>
      <c r="K354" s="609"/>
    </row>
    <row r="355" spans="1:11" ht="15.75" customHeight="1">
      <c r="A355" s="951">
        <f t="shared" si="6"/>
        <v>31</v>
      </c>
      <c r="B355" s="949">
        <f>+NOMINA!C342</f>
        <v>11321782</v>
      </c>
      <c r="C355" s="949" t="str">
        <f>+NOMINA!D342</f>
        <v>Flores Camacho Maria Zoraida</v>
      </c>
      <c r="D355" s="949" t="str">
        <f>+NOMINA!O342</f>
        <v>Cocinera</v>
      </c>
      <c r="E355" s="952">
        <f>+NOMINA!H342</f>
        <v>43815</v>
      </c>
      <c r="F355" s="953">
        <f>+NOMINA!BT342</f>
        <v>6.2</v>
      </c>
      <c r="G355" s="608"/>
      <c r="H355" s="609"/>
      <c r="I355" s="609"/>
      <c r="J355" s="609"/>
      <c r="K355" s="609"/>
    </row>
    <row r="356" spans="1:11" ht="15.75" customHeight="1">
      <c r="A356" s="951">
        <f t="shared" si="6"/>
        <v>32</v>
      </c>
      <c r="B356" s="949">
        <f>+NOMINA!C343</f>
        <v>11324931</v>
      </c>
      <c r="C356" s="949" t="str">
        <f>+NOMINA!D343</f>
        <v xml:space="preserve">Sulbaran De Araujo Magaly </v>
      </c>
      <c r="D356" s="949" t="str">
        <f>+NOMINA!O343</f>
        <v>Cocinera</v>
      </c>
      <c r="E356" s="952">
        <f>+NOMINA!H343</f>
        <v>38784</v>
      </c>
      <c r="F356" s="953">
        <f>+NOMINA!BT343</f>
        <v>6.8</v>
      </c>
      <c r="G356" s="608"/>
      <c r="H356" s="609"/>
      <c r="I356" s="609"/>
      <c r="J356" s="609"/>
      <c r="K356" s="609"/>
    </row>
    <row r="357" spans="1:11" ht="15.75" customHeight="1">
      <c r="A357" s="951">
        <f t="shared" si="6"/>
        <v>33</v>
      </c>
      <c r="B357" s="949">
        <f>+NOMINA!C344</f>
        <v>11894400</v>
      </c>
      <c r="C357" s="949" t="str">
        <f>+NOMINA!D344</f>
        <v>Aldana Olivar Maria del Carmen</v>
      </c>
      <c r="D357" s="949" t="str">
        <f>+NOMINA!O344</f>
        <v>Cocinera</v>
      </c>
      <c r="E357" s="952">
        <f>+NOMINA!H344</f>
        <v>44287</v>
      </c>
      <c r="F357" s="953">
        <f>+NOMINA!BT344</f>
        <v>6.12</v>
      </c>
      <c r="G357" s="608"/>
      <c r="H357" s="609"/>
      <c r="I357" s="609"/>
      <c r="J357" s="609"/>
      <c r="K357" s="609"/>
    </row>
    <row r="358" spans="1:11" ht="15.75" customHeight="1">
      <c r="A358" s="951">
        <f t="shared" si="6"/>
        <v>34</v>
      </c>
      <c r="B358" s="949">
        <f>+NOMINA!C345</f>
        <v>11897863</v>
      </c>
      <c r="C358" s="949" t="str">
        <f>+NOMINA!D345</f>
        <v>Rodriguez Maria Ibel</v>
      </c>
      <c r="D358" s="949" t="str">
        <f>+NOMINA!O345</f>
        <v>Aseadora</v>
      </c>
      <c r="E358" s="952">
        <f>+NOMINA!H345</f>
        <v>41548</v>
      </c>
      <c r="F358" s="953">
        <f>+NOMINA!BT345</f>
        <v>5.52</v>
      </c>
      <c r="G358" s="608"/>
      <c r="H358" s="609"/>
      <c r="I358" s="609"/>
      <c r="J358" s="609"/>
      <c r="K358" s="609"/>
    </row>
    <row r="359" spans="1:11" ht="15.75" customHeight="1">
      <c r="A359" s="951">
        <f t="shared" si="6"/>
        <v>35</v>
      </c>
      <c r="B359" s="949">
        <f>+NOMINA!C346</f>
        <v>12038359</v>
      </c>
      <c r="C359" s="949" t="str">
        <f>+NOMINA!D346</f>
        <v>Amaya Perez Carmen Elena</v>
      </c>
      <c r="D359" s="949" t="str">
        <f>+NOMINA!O346</f>
        <v>Cocinera</v>
      </c>
      <c r="E359" s="952">
        <f>+NOMINA!H346</f>
        <v>38103</v>
      </c>
      <c r="F359" s="953">
        <f>+NOMINA!BT346</f>
        <v>6.9</v>
      </c>
      <c r="G359" s="608"/>
      <c r="H359" s="609"/>
      <c r="I359" s="609"/>
      <c r="J359" s="609"/>
      <c r="K359" s="609"/>
    </row>
    <row r="360" spans="1:11" ht="15.75" customHeight="1">
      <c r="A360" s="951">
        <f t="shared" si="6"/>
        <v>36</v>
      </c>
      <c r="B360" s="949">
        <f>+NOMINA!C347</f>
        <v>12042930</v>
      </c>
      <c r="C360" s="949" t="str">
        <f>+NOMINA!D347</f>
        <v>Barroeta Cardozo Leonid Andrei</v>
      </c>
      <c r="D360" s="949" t="str">
        <f>+NOMINA!O347</f>
        <v>Ayudante de Servicios Generales</v>
      </c>
      <c r="E360" s="952">
        <f>+NOMINA!H347</f>
        <v>44986</v>
      </c>
      <c r="F360" s="953">
        <f>+NOMINA!BT347</f>
        <v>5.68</v>
      </c>
      <c r="G360" s="608"/>
      <c r="H360" s="609"/>
      <c r="I360" s="609"/>
      <c r="J360" s="609"/>
      <c r="K360" s="609"/>
    </row>
    <row r="361" spans="1:11" ht="15.75" customHeight="1">
      <c r="A361" s="951">
        <f t="shared" si="6"/>
        <v>37</v>
      </c>
      <c r="B361" s="949">
        <f>+NOMINA!C348</f>
        <v>12043135</v>
      </c>
      <c r="C361" s="949" t="str">
        <f>+NOMINA!D348</f>
        <v>Avila Salvio Rodolfo</v>
      </c>
      <c r="D361" s="949" t="str">
        <f>+NOMINA!O348</f>
        <v>Cocinero</v>
      </c>
      <c r="E361" s="952">
        <f>+NOMINA!H348</f>
        <v>43724</v>
      </c>
      <c r="F361" s="953">
        <f>+NOMINA!BT348</f>
        <v>6.2</v>
      </c>
      <c r="G361" s="608"/>
      <c r="H361" s="609"/>
      <c r="I361" s="609"/>
      <c r="J361" s="609"/>
      <c r="K361" s="609"/>
    </row>
    <row r="362" spans="1:11" ht="15.75" customHeight="1">
      <c r="A362" s="951">
        <f t="shared" si="6"/>
        <v>38</v>
      </c>
      <c r="B362" s="949">
        <f>+NOMINA!C349</f>
        <v>12044124</v>
      </c>
      <c r="C362" s="949" t="str">
        <f>+NOMINA!D349</f>
        <v>Rivas Carlos Luis</v>
      </c>
      <c r="D362" s="949" t="str">
        <f>+NOMINA!O349</f>
        <v>Ayudante de Servicios Generales</v>
      </c>
      <c r="E362" s="952">
        <f>+NOMINA!H349</f>
        <v>39539</v>
      </c>
      <c r="F362" s="953">
        <f>+NOMINA!BT349</f>
        <v>8.1</v>
      </c>
      <c r="G362" s="608"/>
      <c r="H362" s="609"/>
      <c r="I362" s="609"/>
      <c r="J362" s="609"/>
      <c r="K362" s="609"/>
    </row>
    <row r="363" spans="1:11" ht="15.75" customHeight="1">
      <c r="A363" s="951">
        <f t="shared" si="6"/>
        <v>39</v>
      </c>
      <c r="B363" s="949">
        <f>+NOMINA!C350</f>
        <v>12044754</v>
      </c>
      <c r="C363" s="949" t="str">
        <f>+NOMINA!D350</f>
        <v>Briceño Graterol Oscar Antonio</v>
      </c>
      <c r="D363" s="949" t="str">
        <f>+NOMINA!O350</f>
        <v>Ayudante de Servicios Generales</v>
      </c>
      <c r="E363" s="952">
        <f>+NOMINA!H350</f>
        <v>43481</v>
      </c>
      <c r="F363" s="953">
        <f>+NOMINA!BT350</f>
        <v>5.82</v>
      </c>
      <c r="G363" s="608"/>
      <c r="H363" s="609"/>
      <c r="I363" s="609"/>
      <c r="J363" s="609"/>
      <c r="K363" s="609"/>
    </row>
    <row r="364" spans="1:11" ht="15.75" customHeight="1">
      <c r="A364" s="951">
        <f t="shared" si="6"/>
        <v>40</v>
      </c>
      <c r="B364" s="949">
        <f>+NOMINA!C351</f>
        <v>12046834</v>
      </c>
      <c r="C364" s="949" t="str">
        <f>+NOMINA!D351</f>
        <v>Perez Montilla William Jose</v>
      </c>
      <c r="D364" s="949" t="str">
        <f>+NOMINA!O351</f>
        <v>Cocinero</v>
      </c>
      <c r="E364" s="952">
        <f>+NOMINA!H351</f>
        <v>43313</v>
      </c>
      <c r="F364" s="953">
        <f>+NOMINA!BT351</f>
        <v>7.16</v>
      </c>
      <c r="G364" s="608"/>
      <c r="H364" s="609"/>
      <c r="I364" s="609"/>
      <c r="J364" s="609"/>
      <c r="K364" s="609"/>
    </row>
    <row r="365" spans="1:11" ht="15.75" customHeight="1">
      <c r="A365" s="951">
        <f t="shared" si="6"/>
        <v>41</v>
      </c>
      <c r="B365" s="949">
        <f>+NOMINA!C352</f>
        <v>12047016</v>
      </c>
      <c r="C365" s="949" t="str">
        <f>+NOMINA!D352</f>
        <v>Lozada de Estenoz Maria Edicta</v>
      </c>
      <c r="D365" s="949" t="str">
        <f>+NOMINA!O352</f>
        <v>Cocinera</v>
      </c>
      <c r="E365" s="952">
        <f>+NOMINA!H352</f>
        <v>42948</v>
      </c>
      <c r="F365" s="953">
        <f>+NOMINA!BT352</f>
        <v>6.52</v>
      </c>
      <c r="G365" s="608"/>
      <c r="H365" s="609"/>
      <c r="I365" s="609"/>
      <c r="J365" s="609"/>
      <c r="K365" s="609"/>
    </row>
    <row r="366" spans="1:11" ht="15.75" customHeight="1">
      <c r="A366" s="951">
        <f t="shared" si="6"/>
        <v>42</v>
      </c>
      <c r="B366" s="949">
        <f>+NOMINA!C353</f>
        <v>12797543</v>
      </c>
      <c r="C366" s="949" t="str">
        <f>+NOMINA!D353</f>
        <v>Carrizo Blanco Doris Coromoto</v>
      </c>
      <c r="D366" s="949" t="str">
        <f>+NOMINA!O353</f>
        <v>Ayudante de Servicios Generales</v>
      </c>
      <c r="E366" s="952">
        <f>+NOMINA!H353</f>
        <v>42948</v>
      </c>
      <c r="F366" s="953">
        <f>+NOMINA!BT353</f>
        <v>5.86</v>
      </c>
      <c r="G366" s="608"/>
      <c r="H366" s="609"/>
      <c r="I366" s="609"/>
      <c r="J366" s="609"/>
      <c r="K366" s="609"/>
    </row>
    <row r="367" spans="1:11" ht="15.75" customHeight="1">
      <c r="A367" s="951">
        <f t="shared" si="6"/>
        <v>43</v>
      </c>
      <c r="B367" s="949">
        <f>+NOMINA!C354</f>
        <v>12797598</v>
      </c>
      <c r="C367" s="949" t="str">
        <f>+NOMINA!D354</f>
        <v>Gutierrez Briceño Jose Gabriel</v>
      </c>
      <c r="D367" s="949" t="str">
        <f>+NOMINA!O354</f>
        <v>Cocinero</v>
      </c>
      <c r="E367" s="952">
        <f>+NOMINA!H354</f>
        <v>44635</v>
      </c>
      <c r="F367" s="953">
        <f>+NOMINA!BT354</f>
        <v>6.34</v>
      </c>
      <c r="G367" s="608"/>
      <c r="H367" s="609"/>
      <c r="I367" s="609"/>
      <c r="J367" s="609"/>
      <c r="K367" s="609"/>
    </row>
    <row r="368" spans="1:11" ht="15.75" customHeight="1">
      <c r="A368" s="951">
        <f t="shared" si="6"/>
        <v>44</v>
      </c>
      <c r="B368" s="949">
        <f>+NOMINA!C355</f>
        <v>13049800</v>
      </c>
      <c r="C368" s="949" t="str">
        <f>+NOMINA!D355</f>
        <v>Artigas Sanchez Mereldes Corina</v>
      </c>
      <c r="D368" s="949" t="str">
        <f>+NOMINA!O355</f>
        <v>Aseadora</v>
      </c>
      <c r="E368" s="952">
        <f>+NOMINA!H355</f>
        <v>42171</v>
      </c>
      <c r="F368" s="953">
        <f>+NOMINA!BT355</f>
        <v>5.46</v>
      </c>
      <c r="G368" s="608"/>
      <c r="H368" s="609"/>
      <c r="I368" s="609"/>
      <c r="J368" s="609"/>
      <c r="K368" s="609"/>
    </row>
    <row r="369" spans="1:11" ht="15.75" customHeight="1">
      <c r="A369" s="951">
        <f t="shared" si="6"/>
        <v>45</v>
      </c>
      <c r="B369" s="949">
        <f>+NOMINA!C356</f>
        <v>13260758</v>
      </c>
      <c r="C369" s="949" t="str">
        <f>+NOMINA!D356</f>
        <v>Zerpa Silva Frank Michael</v>
      </c>
      <c r="D369" s="949" t="str">
        <f>+NOMINA!O356</f>
        <v>Vigilante</v>
      </c>
      <c r="E369" s="952">
        <f>+NOMINA!H356</f>
        <v>39118</v>
      </c>
      <c r="F369" s="953">
        <f>+NOMINA!BT356</f>
        <v>8.76</v>
      </c>
      <c r="G369" s="608"/>
      <c r="H369" s="609"/>
      <c r="I369" s="609"/>
      <c r="J369" s="609"/>
      <c r="K369" s="609"/>
    </row>
    <row r="370" spans="1:11" ht="15.75" customHeight="1">
      <c r="A370" s="951">
        <f t="shared" si="6"/>
        <v>46</v>
      </c>
      <c r="B370" s="949">
        <f>+NOMINA!C357</f>
        <v>13376729</v>
      </c>
      <c r="C370" s="949" t="str">
        <f>+NOMINA!D357</f>
        <v>Briceño Aldana Yhon Mario</v>
      </c>
      <c r="D370" s="949" t="str">
        <f>+NOMINA!O357</f>
        <v>Vigilante</v>
      </c>
      <c r="E370" s="952">
        <f>+NOMINA!H357</f>
        <v>42948</v>
      </c>
      <c r="F370" s="953">
        <f>+NOMINA!BT357</f>
        <v>8.48</v>
      </c>
      <c r="G370" s="608"/>
      <c r="H370" s="609"/>
      <c r="I370" s="609"/>
      <c r="J370" s="609"/>
      <c r="K370" s="609"/>
    </row>
    <row r="371" spans="1:11" ht="15.75" customHeight="1">
      <c r="A371" s="951">
        <f t="shared" si="6"/>
        <v>47</v>
      </c>
      <c r="B371" s="949">
        <f>+NOMINA!C358</f>
        <v>13404824</v>
      </c>
      <c r="C371" s="949" t="str">
        <f>+NOMINA!D358</f>
        <v>Malpica Rivas Julio Enrique</v>
      </c>
      <c r="D371" s="949" t="str">
        <f>+NOMINA!O358</f>
        <v>Ayudante de Servicios Generales</v>
      </c>
      <c r="E371" s="952">
        <f>+NOMINA!H358</f>
        <v>45474</v>
      </c>
      <c r="F371" s="953">
        <f>+NOMINA!BT358</f>
        <v>5.64</v>
      </c>
      <c r="G371" s="608"/>
      <c r="H371" s="609"/>
      <c r="I371" s="609"/>
      <c r="J371" s="609"/>
      <c r="K371" s="609"/>
    </row>
    <row r="372" spans="1:11" ht="15.75" customHeight="1">
      <c r="A372" s="951">
        <f t="shared" si="6"/>
        <v>48</v>
      </c>
      <c r="B372" s="949">
        <f>+NOMINA!C359</f>
        <v>13522771</v>
      </c>
      <c r="C372" s="949" t="str">
        <f>+NOMINA!D359</f>
        <v>Briceño Leal Ana Edelmira</v>
      </c>
      <c r="D372" s="949" t="str">
        <f>+NOMINA!O359</f>
        <v>Aseadora</v>
      </c>
      <c r="E372" s="952">
        <f>+NOMINA!H359</f>
        <v>44228</v>
      </c>
      <c r="F372" s="953">
        <f>+NOMINA!BT359</f>
        <v>5.52</v>
      </c>
      <c r="G372" s="608"/>
      <c r="H372" s="609"/>
      <c r="I372" s="609"/>
      <c r="J372" s="609"/>
      <c r="K372" s="609"/>
    </row>
    <row r="373" spans="1:11" ht="15.75" customHeight="1">
      <c r="A373" s="951">
        <f t="shared" si="6"/>
        <v>49</v>
      </c>
      <c r="B373" s="949">
        <f>+NOMINA!C360</f>
        <v>13745328</v>
      </c>
      <c r="C373" s="949" t="str">
        <f>+NOMINA!D360</f>
        <v>Arroyo Williams Jose</v>
      </c>
      <c r="D373" s="949" t="str">
        <f>+NOMINA!O360</f>
        <v>Ayudante de Servicios Generales</v>
      </c>
      <c r="E373" s="952">
        <f>+NOMINA!H360</f>
        <v>44805</v>
      </c>
      <c r="F373" s="953">
        <f>+NOMINA!BT360</f>
        <v>7.74</v>
      </c>
      <c r="G373" s="608"/>
      <c r="H373" s="609"/>
      <c r="I373" s="609"/>
      <c r="J373" s="609"/>
      <c r="K373" s="609"/>
    </row>
    <row r="374" spans="1:11" ht="15.75" customHeight="1">
      <c r="A374" s="951">
        <f t="shared" si="6"/>
        <v>50</v>
      </c>
      <c r="B374" s="949">
        <f>+NOMINA!C361</f>
        <v>13996661</v>
      </c>
      <c r="C374" s="949" t="str">
        <f>+NOMINA!D361</f>
        <v>Perez Montilla Yosmer Alexander</v>
      </c>
      <c r="D374" s="949" t="str">
        <f>+NOMINA!O361</f>
        <v>Chofer</v>
      </c>
      <c r="E374" s="952">
        <f>+NOMINA!H361</f>
        <v>44743</v>
      </c>
      <c r="F374" s="953">
        <f>+NOMINA!BT361</f>
        <v>7.98</v>
      </c>
      <c r="G374" s="608"/>
      <c r="H374" s="609"/>
      <c r="I374" s="609"/>
      <c r="J374" s="609"/>
      <c r="K374" s="609"/>
    </row>
    <row r="375" spans="1:11" ht="15.75" customHeight="1">
      <c r="A375" s="951">
        <f t="shared" si="6"/>
        <v>51</v>
      </c>
      <c r="B375" s="949">
        <f>+NOMINA!C362</f>
        <v>13996885</v>
      </c>
      <c r="C375" s="949" t="str">
        <f>+NOMINA!D362</f>
        <v>Pulido Rojo Wilmer Jose</v>
      </c>
      <c r="D375" s="949" t="str">
        <f>+NOMINA!O362</f>
        <v>Chofer</v>
      </c>
      <c r="E375" s="952">
        <f>+NOMINA!H362</f>
        <v>44363</v>
      </c>
      <c r="F375" s="953">
        <f>+NOMINA!BT362</f>
        <v>7.7</v>
      </c>
      <c r="G375" s="608"/>
      <c r="H375" s="609"/>
      <c r="I375" s="609"/>
      <c r="J375" s="609"/>
      <c r="K375" s="609"/>
    </row>
    <row r="376" spans="1:11" ht="15.75" customHeight="1">
      <c r="A376" s="951">
        <f t="shared" si="6"/>
        <v>52</v>
      </c>
      <c r="B376" s="949">
        <f>+NOMINA!C363</f>
        <v>14149971</v>
      </c>
      <c r="C376" s="949" t="str">
        <f>+NOMINA!D363</f>
        <v>Rivera Virginia del Carmen</v>
      </c>
      <c r="D376" s="949" t="str">
        <f>+NOMINA!O363</f>
        <v>Aseadora</v>
      </c>
      <c r="E376" s="952">
        <f>+NOMINA!H363</f>
        <v>41091</v>
      </c>
      <c r="F376" s="953">
        <f>+NOMINA!BT363</f>
        <v>5.8</v>
      </c>
      <c r="G376" s="608"/>
      <c r="H376" s="609"/>
      <c r="I376" s="609"/>
      <c r="J376" s="609"/>
      <c r="K376" s="609"/>
    </row>
    <row r="377" spans="1:11" ht="15.75" customHeight="1">
      <c r="A377" s="951">
        <f t="shared" si="6"/>
        <v>53</v>
      </c>
      <c r="B377" s="949">
        <f>+NOMINA!C364</f>
        <v>14150495</v>
      </c>
      <c r="C377" s="949" t="str">
        <f>+NOMINA!D364</f>
        <v>Umbria de Segovia Alexandra del Carmen</v>
      </c>
      <c r="D377" s="949" t="str">
        <f>+NOMINA!O364</f>
        <v>Ayudante de Almacen</v>
      </c>
      <c r="E377" s="952">
        <f>+NOMINA!H364</f>
        <v>44228</v>
      </c>
      <c r="F377" s="953">
        <f>+NOMINA!BT364</f>
        <v>6.12</v>
      </c>
      <c r="G377" s="608"/>
      <c r="H377" s="609"/>
      <c r="I377" s="609"/>
      <c r="J377" s="609"/>
      <c r="K377" s="609"/>
    </row>
    <row r="378" spans="1:11" ht="15.75" customHeight="1">
      <c r="A378" s="951">
        <f t="shared" si="6"/>
        <v>54</v>
      </c>
      <c r="B378" s="949">
        <f>+NOMINA!C365</f>
        <v>14599616</v>
      </c>
      <c r="C378" s="949" t="str">
        <f>+NOMINA!D365</f>
        <v>Andara Briceño Jean Carlos</v>
      </c>
      <c r="D378" s="949" t="str">
        <f>+NOMINA!O365</f>
        <v>Aseador</v>
      </c>
      <c r="E378" s="952">
        <f>+NOMINA!H365</f>
        <v>43525</v>
      </c>
      <c r="F378" s="953">
        <f>+NOMINA!BT365</f>
        <v>5.34</v>
      </c>
      <c r="G378" s="608"/>
      <c r="H378" s="609"/>
      <c r="I378" s="609"/>
      <c r="J378" s="609"/>
      <c r="K378" s="609"/>
    </row>
    <row r="379" spans="1:11" ht="15.75" customHeight="1">
      <c r="A379" s="951">
        <f t="shared" si="6"/>
        <v>55</v>
      </c>
      <c r="B379" s="949">
        <f>+NOMINA!C366</f>
        <v>14718369</v>
      </c>
      <c r="C379" s="949" t="str">
        <f>+NOMINA!D366</f>
        <v>Pacheco Yudith Del Valle</v>
      </c>
      <c r="D379" s="949" t="str">
        <f>+NOMINA!O366</f>
        <v>Aseadora</v>
      </c>
      <c r="E379" s="952">
        <f>+NOMINA!H366</f>
        <v>43147</v>
      </c>
      <c r="F379" s="953">
        <f>+NOMINA!BT366</f>
        <v>5.36</v>
      </c>
      <c r="G379" s="608"/>
      <c r="H379" s="609"/>
      <c r="I379" s="609"/>
      <c r="J379" s="609"/>
      <c r="K379" s="609"/>
    </row>
    <row r="380" spans="1:11" ht="15.75" customHeight="1">
      <c r="A380" s="951">
        <f t="shared" si="6"/>
        <v>56</v>
      </c>
      <c r="B380" s="949">
        <f>+NOMINA!C367</f>
        <v>14718468</v>
      </c>
      <c r="C380" s="949" t="str">
        <f>+NOMINA!D367</f>
        <v>Frias Aldana Yhonny Ramon</v>
      </c>
      <c r="D380" s="949" t="str">
        <f>+NOMINA!O367</f>
        <v>Ayudante De Almacen</v>
      </c>
      <c r="E380" s="952">
        <f>+NOMINA!H367</f>
        <v>42948</v>
      </c>
      <c r="F380" s="953">
        <f>+NOMINA!BT367</f>
        <v>6.52</v>
      </c>
      <c r="G380" s="608"/>
      <c r="H380" s="609"/>
      <c r="I380" s="609"/>
      <c r="J380" s="609"/>
      <c r="K380" s="609"/>
    </row>
    <row r="381" spans="1:11" ht="15.75" customHeight="1">
      <c r="A381" s="951">
        <f t="shared" si="6"/>
        <v>57</v>
      </c>
      <c r="B381" s="949">
        <f>+NOMINA!C368</f>
        <v>14719205</v>
      </c>
      <c r="C381" s="949" t="str">
        <f>+NOMINA!D368</f>
        <v>Chinchilla Perez Jean Carlos</v>
      </c>
      <c r="D381" s="949" t="str">
        <f>+NOMINA!O368</f>
        <v>Ayudante de Servicios Generales</v>
      </c>
      <c r="E381" s="952">
        <f>+NOMINA!H368</f>
        <v>39861</v>
      </c>
      <c r="F381" s="953">
        <f>+NOMINA!BT368</f>
        <v>6.18</v>
      </c>
      <c r="G381" s="608"/>
      <c r="H381" s="609"/>
      <c r="I381" s="609"/>
      <c r="J381" s="609"/>
      <c r="K381" s="609"/>
    </row>
    <row r="382" spans="1:11" ht="15.75" customHeight="1">
      <c r="A382" s="951">
        <f t="shared" si="6"/>
        <v>58</v>
      </c>
      <c r="B382" s="949">
        <f>+NOMINA!C369</f>
        <v>14719356</v>
      </c>
      <c r="C382" s="949" t="str">
        <f>+NOMINA!D369</f>
        <v>Linares Montilla Gerardo Enrique</v>
      </c>
      <c r="D382" s="949" t="str">
        <f>+NOMINA!O369</f>
        <v>Ayudante de Servicios Generales</v>
      </c>
      <c r="E382" s="952">
        <f>+NOMINA!H369</f>
        <v>44348</v>
      </c>
      <c r="F382" s="953">
        <f>+NOMINA!BT369</f>
        <v>6.24</v>
      </c>
      <c r="G382" s="608"/>
      <c r="H382" s="609"/>
      <c r="I382" s="609"/>
      <c r="J382" s="609"/>
      <c r="K382" s="609"/>
    </row>
    <row r="383" spans="1:11" ht="15.75" customHeight="1">
      <c r="A383" s="951">
        <f t="shared" si="6"/>
        <v>59</v>
      </c>
      <c r="B383" s="949">
        <f>+NOMINA!C370</f>
        <v>14780893</v>
      </c>
      <c r="C383" s="949" t="str">
        <f>+NOMINA!D370</f>
        <v>Perez Gonzalez Reinaldo Andre</v>
      </c>
      <c r="D383" s="949" t="str">
        <f>+NOMINA!O370</f>
        <v>Ayudante de Servicios Generales</v>
      </c>
      <c r="E383" s="952">
        <f>+NOMINA!H370</f>
        <v>41570</v>
      </c>
      <c r="F383" s="953">
        <f>+NOMINA!BT370</f>
        <v>6.02</v>
      </c>
      <c r="G383" s="608"/>
      <c r="H383" s="609"/>
      <c r="I383" s="609"/>
      <c r="J383" s="609"/>
      <c r="K383" s="609"/>
    </row>
    <row r="384" spans="1:11" ht="15.75" customHeight="1">
      <c r="A384" s="951">
        <f t="shared" si="6"/>
        <v>60</v>
      </c>
      <c r="B384" s="949">
        <f>+NOMINA!C371</f>
        <v>14928047</v>
      </c>
      <c r="C384" s="949" t="str">
        <f>+NOMINA!D371</f>
        <v>Becerra Teran Maria Alejandra</v>
      </c>
      <c r="D384" s="949" t="str">
        <f>+NOMINA!O371</f>
        <v>Cocinera</v>
      </c>
      <c r="E384" s="952">
        <f>+NOMINA!H371</f>
        <v>43297</v>
      </c>
      <c r="F384" s="953">
        <f>+NOMINA!BT371</f>
        <v>6.24</v>
      </c>
      <c r="G384" s="608"/>
      <c r="H384" s="609"/>
      <c r="I384" s="609"/>
      <c r="J384" s="609"/>
      <c r="K384" s="609"/>
    </row>
    <row r="385" spans="1:11" ht="15.75" customHeight="1">
      <c r="A385" s="951">
        <f t="shared" si="6"/>
        <v>61</v>
      </c>
      <c r="B385" s="949">
        <f>+NOMINA!C372</f>
        <v>15042683</v>
      </c>
      <c r="C385" s="949" t="str">
        <f>+NOMINA!D372</f>
        <v>Rivera Hermes Edixon</v>
      </c>
      <c r="D385" s="949" t="str">
        <f>+NOMINA!O372</f>
        <v>Aseador</v>
      </c>
      <c r="E385" s="952">
        <f>+NOMINA!H372</f>
        <v>45292</v>
      </c>
      <c r="F385" s="953">
        <f>+NOMINA!BT372</f>
        <v>5.48</v>
      </c>
      <c r="G385" s="608"/>
      <c r="H385" s="609"/>
      <c r="I385" s="609"/>
      <c r="J385" s="609"/>
      <c r="K385" s="609"/>
    </row>
    <row r="386" spans="1:11" ht="15.75" customHeight="1">
      <c r="A386" s="951">
        <f t="shared" si="6"/>
        <v>62</v>
      </c>
      <c r="B386" s="949">
        <f>+NOMINA!C373</f>
        <v>15583194</v>
      </c>
      <c r="C386" s="949" t="str">
        <f>+NOMINA!D373</f>
        <v>Garcia Briceño Wuiston Andres</v>
      </c>
      <c r="D386" s="949" t="str">
        <f>+NOMINA!O373</f>
        <v>Cocinero</v>
      </c>
      <c r="E386" s="952">
        <f>+NOMINA!H373</f>
        <v>44166</v>
      </c>
      <c r="F386" s="953">
        <f>+NOMINA!BT373</f>
        <v>7</v>
      </c>
      <c r="G386" s="608"/>
      <c r="H386" s="609"/>
      <c r="I386" s="609"/>
      <c r="J386" s="609"/>
      <c r="K386" s="609"/>
    </row>
    <row r="387" spans="1:11" ht="15.75" customHeight="1">
      <c r="A387" s="951">
        <f t="shared" si="6"/>
        <v>63</v>
      </c>
      <c r="B387" s="949">
        <f>+NOMINA!C374</f>
        <v>14928592</v>
      </c>
      <c r="C387" s="949" t="str">
        <f>+NOMINA!D374</f>
        <v>Rosales Ruiz Jesus Alberto</v>
      </c>
      <c r="D387" s="949" t="str">
        <f>+NOMINA!O374</f>
        <v>Cocinero</v>
      </c>
      <c r="E387" s="952">
        <f>+NOMINA!H374</f>
        <v>45017</v>
      </c>
      <c r="F387" s="953">
        <f>+NOMINA!BT374</f>
        <v>6.06</v>
      </c>
      <c r="G387" s="608"/>
      <c r="H387" s="609"/>
      <c r="I387" s="609"/>
      <c r="J387" s="609"/>
      <c r="K387" s="609"/>
    </row>
    <row r="388" spans="1:11" ht="15.75" customHeight="1">
      <c r="A388" s="951">
        <f t="shared" si="6"/>
        <v>64</v>
      </c>
      <c r="B388" s="949">
        <f>+NOMINA!C375</f>
        <v>15952512</v>
      </c>
      <c r="C388" s="949" t="str">
        <f>+NOMINA!D375</f>
        <v>Graterol Gonzalez Maria Ysela</v>
      </c>
      <c r="D388" s="949" t="str">
        <f>+NOMINA!O375</f>
        <v>Aseadora</v>
      </c>
      <c r="E388" s="952">
        <f>+NOMINA!H375</f>
        <v>40725</v>
      </c>
      <c r="F388" s="953">
        <f>+NOMINA!BT375</f>
        <v>5.6</v>
      </c>
      <c r="G388" s="608"/>
      <c r="H388" s="609"/>
      <c r="I388" s="609"/>
      <c r="J388" s="609"/>
      <c r="K388" s="609"/>
    </row>
    <row r="389" spans="1:11" ht="15.75" customHeight="1">
      <c r="A389" s="951">
        <f t="shared" si="6"/>
        <v>65</v>
      </c>
      <c r="B389" s="949">
        <f>+NOMINA!C376</f>
        <v>15953703</v>
      </c>
      <c r="C389" s="949" t="str">
        <f>+NOMINA!D376</f>
        <v>Briceño Salas Jose Leonardo</v>
      </c>
      <c r="D389" s="949" t="str">
        <f>+NOMINA!O376</f>
        <v>Ayudante de Servicios Generales</v>
      </c>
      <c r="E389" s="952">
        <f>+NOMINA!H376</f>
        <v>38718</v>
      </c>
      <c r="F389" s="953">
        <f>+NOMINA!BT376</f>
        <v>6.88</v>
      </c>
      <c r="G389" s="608"/>
      <c r="H389" s="609"/>
      <c r="I389" s="609"/>
      <c r="J389" s="609"/>
      <c r="K389" s="609"/>
    </row>
    <row r="390" spans="1:11" ht="15.75" customHeight="1">
      <c r="A390" s="951">
        <f t="shared" si="6"/>
        <v>66</v>
      </c>
      <c r="B390" s="949">
        <f>+NOMINA!C377</f>
        <v>16266801</v>
      </c>
      <c r="C390" s="949" t="str">
        <f>+NOMINA!D377</f>
        <v>Briceño Gonzalez Mirla Carolina</v>
      </c>
      <c r="D390" s="949" t="str">
        <f>+NOMINA!O377</f>
        <v>Cocinera</v>
      </c>
      <c r="E390" s="952">
        <f>+NOMINA!H377</f>
        <v>39496</v>
      </c>
      <c r="F390" s="953">
        <f>+NOMINA!BT377</f>
        <v>6.94</v>
      </c>
      <c r="G390" s="608"/>
      <c r="H390" s="609"/>
      <c r="I390" s="609"/>
      <c r="J390" s="609"/>
      <c r="K390" s="609"/>
    </row>
    <row r="391" spans="1:11" ht="15.75" customHeight="1">
      <c r="A391" s="951">
        <f t="shared" ref="A391:A416" si="7">+A390+1</f>
        <v>67</v>
      </c>
      <c r="B391" s="949">
        <f>+NOMINA!C378</f>
        <v>16739958</v>
      </c>
      <c r="C391" s="949" t="str">
        <f>+NOMINA!D378</f>
        <v>Ramirez Ramirez Natali Gabriela</v>
      </c>
      <c r="D391" s="949" t="str">
        <f>+NOMINA!O378</f>
        <v>Ayud. Serv. De Cocina</v>
      </c>
      <c r="E391" s="952">
        <f>+NOMINA!H378</f>
        <v>44866</v>
      </c>
      <c r="F391" s="953">
        <f>+NOMINA!BT378</f>
        <v>6</v>
      </c>
      <c r="G391" s="608"/>
      <c r="H391" s="609"/>
      <c r="I391" s="609"/>
      <c r="J391" s="609"/>
      <c r="K391" s="609"/>
    </row>
    <row r="392" spans="1:11" ht="15.75" customHeight="1">
      <c r="A392" s="951">
        <f t="shared" si="7"/>
        <v>68</v>
      </c>
      <c r="B392" s="949">
        <f>+NOMINA!C379</f>
        <v>16881526</v>
      </c>
      <c r="C392" s="949" t="str">
        <f>+NOMINA!D379</f>
        <v>Montilla Mendoza Addy Coromoto</v>
      </c>
      <c r="D392" s="949" t="str">
        <f>+NOMINA!O379</f>
        <v>Aseador</v>
      </c>
      <c r="E392" s="952">
        <f>+NOMINA!H379</f>
        <v>44470</v>
      </c>
      <c r="F392" s="953">
        <f>+NOMINA!BT379</f>
        <v>5.78</v>
      </c>
      <c r="G392" s="608"/>
      <c r="H392" s="609"/>
      <c r="I392" s="609"/>
      <c r="J392" s="609"/>
      <c r="K392" s="609"/>
    </row>
    <row r="393" spans="1:11" ht="15.75" customHeight="1">
      <c r="A393" s="951">
        <f t="shared" si="7"/>
        <v>69</v>
      </c>
      <c r="B393" s="949">
        <f>+NOMINA!C380</f>
        <v>17093567</v>
      </c>
      <c r="C393" s="949" t="str">
        <f>+NOMINA!D380</f>
        <v>Torres Villarreal Yenny del Carmen</v>
      </c>
      <c r="D393" s="949" t="str">
        <f>+NOMINA!O380</f>
        <v>Ayudante de Servicios Generales</v>
      </c>
      <c r="E393" s="952">
        <f>+NOMINA!H380</f>
        <v>39449</v>
      </c>
      <c r="F393" s="953">
        <f>+NOMINA!BT380</f>
        <v>6.28</v>
      </c>
      <c r="G393" s="608"/>
      <c r="H393" s="609"/>
      <c r="I393" s="609"/>
      <c r="J393" s="609"/>
      <c r="K393" s="609"/>
    </row>
    <row r="394" spans="1:11" ht="15.75" customHeight="1">
      <c r="A394" s="951">
        <f t="shared" si="7"/>
        <v>70</v>
      </c>
      <c r="B394" s="949">
        <f>+NOMINA!C381</f>
        <v>17093846</v>
      </c>
      <c r="C394" s="949" t="str">
        <f>+NOMINA!D381</f>
        <v>Bastidas Rivera Junior Antonio</v>
      </c>
      <c r="D394" s="949" t="str">
        <f>+NOMINA!O381</f>
        <v>Ayudante de Servicios Generales</v>
      </c>
      <c r="E394" s="952">
        <f>+NOMINA!H381</f>
        <v>45017</v>
      </c>
      <c r="F394" s="953">
        <f>+NOMINA!BT381</f>
        <v>5.68</v>
      </c>
      <c r="G394" s="608"/>
      <c r="H394" s="609"/>
      <c r="I394" s="609"/>
      <c r="J394" s="609"/>
      <c r="K394" s="609"/>
    </row>
    <row r="395" spans="1:11" ht="15.75" customHeight="1">
      <c r="A395" s="951">
        <f t="shared" si="7"/>
        <v>71</v>
      </c>
      <c r="B395" s="949">
        <f>+NOMINA!C382</f>
        <v>17095084</v>
      </c>
      <c r="C395" s="949" t="str">
        <f>+NOMINA!D382</f>
        <v>Gonzalez Simancas Yulimar del Valle</v>
      </c>
      <c r="D395" s="949" t="str">
        <f>+NOMINA!O382</f>
        <v>Cocinera</v>
      </c>
      <c r="E395" s="952">
        <f>+NOMINA!H382</f>
        <v>44317</v>
      </c>
      <c r="F395" s="953">
        <f>+NOMINA!BT382</f>
        <v>6.62</v>
      </c>
      <c r="G395" s="608"/>
      <c r="H395" s="609"/>
      <c r="I395" s="609"/>
      <c r="J395" s="609"/>
      <c r="K395" s="609"/>
    </row>
    <row r="396" spans="1:11" ht="15.75" customHeight="1">
      <c r="A396" s="951">
        <f t="shared" si="7"/>
        <v>72</v>
      </c>
      <c r="B396" s="949">
        <f>+NOMINA!C383</f>
        <v>17267173</v>
      </c>
      <c r="C396" s="949" t="str">
        <f>+NOMINA!D383</f>
        <v>Torres Alvarez Olga Josefina</v>
      </c>
      <c r="D396" s="949" t="str">
        <f>+NOMINA!O383</f>
        <v>AYUDANTE DE ALMACEN</v>
      </c>
      <c r="E396" s="952">
        <f>+NOMINA!H383</f>
        <v>44317</v>
      </c>
      <c r="F396" s="953">
        <f>+NOMINA!BT383</f>
        <v>6.12</v>
      </c>
      <c r="G396" s="608"/>
      <c r="H396" s="609"/>
      <c r="I396" s="609"/>
      <c r="J396" s="609"/>
      <c r="K396" s="609"/>
    </row>
    <row r="397" spans="1:11" ht="15.75" customHeight="1">
      <c r="A397" s="951">
        <f t="shared" si="7"/>
        <v>73</v>
      </c>
      <c r="B397" s="949">
        <f>+NOMINA!C384</f>
        <v>17267546</v>
      </c>
      <c r="C397" s="949" t="str">
        <f>+NOMINA!D384</f>
        <v>Bastidas Rivera Franklin Enrique</v>
      </c>
      <c r="D397" s="949" t="str">
        <f>+NOMINA!O384</f>
        <v>Ayudante de Servicios Generales</v>
      </c>
      <c r="E397" s="952">
        <f>+NOMINA!H384</f>
        <v>39197</v>
      </c>
      <c r="F397" s="953">
        <f>+NOMINA!BT384</f>
        <v>6.54</v>
      </c>
      <c r="G397" s="608"/>
      <c r="H397" s="609"/>
      <c r="I397" s="609"/>
      <c r="J397" s="609"/>
      <c r="K397" s="609"/>
    </row>
    <row r="398" spans="1:11" ht="15.75" customHeight="1">
      <c r="A398" s="951">
        <f t="shared" si="7"/>
        <v>74</v>
      </c>
      <c r="B398" s="949">
        <f>+NOMINA!C385</f>
        <v>18096032</v>
      </c>
      <c r="C398" s="949" t="str">
        <f>+NOMINA!D385</f>
        <v>Graterol Graterol Isidro Antonio</v>
      </c>
      <c r="D398" s="949" t="str">
        <f>+NOMINA!O385</f>
        <v>Chofer</v>
      </c>
      <c r="E398" s="952">
        <f>+NOMINA!H385</f>
        <v>45566</v>
      </c>
      <c r="F398" s="953">
        <f>+NOMINA!BT385</f>
        <v>9.0399999999999991</v>
      </c>
      <c r="G398" s="608"/>
      <c r="H398" s="609"/>
      <c r="I398" s="609"/>
      <c r="J398" s="609"/>
      <c r="K398" s="609"/>
    </row>
    <row r="399" spans="1:11" ht="15.75" customHeight="1">
      <c r="A399" s="951">
        <f t="shared" si="7"/>
        <v>75</v>
      </c>
      <c r="B399" s="949">
        <f>+NOMINA!C386</f>
        <v>18096338</v>
      </c>
      <c r="C399" s="949" t="str">
        <f>+NOMINA!D386</f>
        <v>Ramirez Manzanilla Jose Jesus</v>
      </c>
      <c r="D399" s="949" t="str">
        <f>+NOMINA!O386</f>
        <v>Cocinero</v>
      </c>
      <c r="E399" s="952">
        <f>+NOMINA!H386</f>
        <v>39463</v>
      </c>
      <c r="F399" s="953">
        <f>+NOMINA!BT386</f>
        <v>7.16</v>
      </c>
      <c r="G399" s="608"/>
      <c r="H399" s="609"/>
      <c r="I399" s="609"/>
      <c r="J399" s="609"/>
      <c r="K399" s="609"/>
    </row>
    <row r="400" spans="1:11" ht="15.75" customHeight="1">
      <c r="A400" s="951">
        <f t="shared" si="7"/>
        <v>76</v>
      </c>
      <c r="B400" s="949">
        <f>+NOMINA!C387</f>
        <v>18350780</v>
      </c>
      <c r="C400" s="949" t="str">
        <f>+NOMINA!D387</f>
        <v>Frias Aldana Giovanny Jacinto</v>
      </c>
      <c r="D400" s="949" t="str">
        <f>+NOMINA!O387</f>
        <v>Vigilante</v>
      </c>
      <c r="E400" s="952">
        <f>+NOMINA!H387</f>
        <v>43116</v>
      </c>
      <c r="F400" s="953">
        <f>+NOMINA!BT387</f>
        <v>8.48</v>
      </c>
      <c r="G400" s="608"/>
      <c r="H400" s="609"/>
      <c r="I400" s="609"/>
      <c r="J400" s="609"/>
      <c r="K400" s="609"/>
    </row>
    <row r="401" spans="1:11" ht="15.75" customHeight="1">
      <c r="A401" s="951">
        <f t="shared" si="7"/>
        <v>77</v>
      </c>
      <c r="B401" s="949">
        <f>+NOMINA!C388</f>
        <v>18456167</v>
      </c>
      <c r="C401" s="949" t="str">
        <f>+NOMINA!D388</f>
        <v>Olmos Linares Luis Alberto</v>
      </c>
      <c r="D401" s="949" t="str">
        <f>+NOMINA!O388</f>
        <v>Cocinero</v>
      </c>
      <c r="E401" s="952">
        <f>+NOMINA!H388</f>
        <v>44516</v>
      </c>
      <c r="F401" s="953">
        <f>+NOMINA!BT388</f>
        <v>6.62</v>
      </c>
      <c r="G401" s="608"/>
      <c r="H401" s="609"/>
      <c r="I401" s="609"/>
      <c r="J401" s="609"/>
      <c r="K401" s="609"/>
    </row>
    <row r="402" spans="1:11" ht="15.75" customHeight="1">
      <c r="A402" s="951">
        <f t="shared" si="7"/>
        <v>78</v>
      </c>
      <c r="B402" s="949">
        <f>+NOMINA!C389</f>
        <v>18456576</v>
      </c>
      <c r="C402" s="949" t="str">
        <f>+NOMINA!D389</f>
        <v>Quintero Duran Emilio Alfonso</v>
      </c>
      <c r="D402" s="949" t="str">
        <f>+NOMINA!O389</f>
        <v>Chofer</v>
      </c>
      <c r="E402" s="952">
        <f>+NOMINA!H389</f>
        <v>44743</v>
      </c>
      <c r="F402" s="953">
        <f>+NOMINA!BT389</f>
        <v>8.3000000000000007</v>
      </c>
      <c r="G402" s="608"/>
      <c r="H402" s="609"/>
      <c r="I402" s="609"/>
      <c r="J402" s="609"/>
      <c r="K402" s="609"/>
    </row>
    <row r="403" spans="1:11" ht="15.75" customHeight="1">
      <c r="A403" s="951">
        <f t="shared" si="7"/>
        <v>79</v>
      </c>
      <c r="B403" s="949">
        <f>+NOMINA!C390</f>
        <v>20039961</v>
      </c>
      <c r="C403" s="949" t="str">
        <f>+NOMINA!D390</f>
        <v>Torres Villarreal Lisbeth Carolina</v>
      </c>
      <c r="D403" s="949" t="str">
        <f>+NOMINA!O390</f>
        <v>Aseadora</v>
      </c>
      <c r="E403" s="952">
        <f>+NOMINA!H390</f>
        <v>38412</v>
      </c>
      <c r="F403" s="953">
        <f>+NOMINA!BT390</f>
        <v>6.34</v>
      </c>
      <c r="G403" s="608"/>
      <c r="H403" s="609"/>
      <c r="I403" s="609"/>
      <c r="J403" s="609"/>
      <c r="K403" s="609"/>
    </row>
    <row r="404" spans="1:11" ht="15.75" customHeight="1">
      <c r="A404" s="951">
        <f t="shared" si="7"/>
        <v>80</v>
      </c>
      <c r="B404" s="949">
        <f>+NOMINA!C391</f>
        <v>20040649</v>
      </c>
      <c r="C404" s="949" t="str">
        <f>+NOMINA!D391</f>
        <v>Isarra Materan Jose de La Paz</v>
      </c>
      <c r="D404" s="949" t="str">
        <f>+NOMINA!O391</f>
        <v>Chofer</v>
      </c>
      <c r="E404" s="952">
        <f>+NOMINA!H391</f>
        <v>44743</v>
      </c>
      <c r="F404" s="953">
        <f>+NOMINA!BT391</f>
        <v>8.3000000000000007</v>
      </c>
      <c r="G404" s="608"/>
      <c r="H404" s="609"/>
      <c r="I404" s="609"/>
      <c r="J404" s="609"/>
      <c r="K404" s="609"/>
    </row>
    <row r="405" spans="1:11" ht="15.75" customHeight="1">
      <c r="A405" s="951">
        <f t="shared" si="7"/>
        <v>81</v>
      </c>
      <c r="B405" s="949">
        <f>+NOMINA!C392</f>
        <v>21366579</v>
      </c>
      <c r="C405" s="949" t="str">
        <f>+NOMINA!D392</f>
        <v>Azuaje Espinoza Erick Enrique</v>
      </c>
      <c r="D405" s="949" t="str">
        <f>+NOMINA!O392</f>
        <v>Mensajero</v>
      </c>
      <c r="E405" s="952">
        <f>+NOMINA!H392</f>
        <v>44774</v>
      </c>
      <c r="F405" s="953">
        <f>+NOMINA!BT392</f>
        <v>5.74</v>
      </c>
      <c r="G405" s="608"/>
      <c r="H405" s="609"/>
      <c r="I405" s="609"/>
      <c r="J405" s="609"/>
      <c r="K405" s="609"/>
    </row>
    <row r="406" spans="1:11" ht="15.75" customHeight="1">
      <c r="A406" s="951">
        <f t="shared" si="7"/>
        <v>82</v>
      </c>
      <c r="B406" s="949">
        <f>+NOMINA!C393</f>
        <v>23594381</v>
      </c>
      <c r="C406" s="949" t="str">
        <f>+NOMINA!D393</f>
        <v>Albornoz Montilla Daniel Enrique</v>
      </c>
      <c r="D406" s="949" t="str">
        <f>+NOMINA!O393</f>
        <v>Ayudante de Servicios Generales</v>
      </c>
      <c r="E406" s="952">
        <f>+NOMINA!H393</f>
        <v>45597</v>
      </c>
      <c r="F406" s="953">
        <f>+NOMINA!BT393</f>
        <v>5.7</v>
      </c>
      <c r="G406" s="608"/>
      <c r="H406" s="609"/>
      <c r="I406" s="609"/>
      <c r="J406" s="609"/>
      <c r="K406" s="609"/>
    </row>
    <row r="407" spans="1:11" ht="15.75" customHeight="1">
      <c r="A407" s="951">
        <f t="shared" si="7"/>
        <v>83</v>
      </c>
      <c r="B407" s="949">
        <f>+NOMINA!C394</f>
        <v>25173228</v>
      </c>
      <c r="C407" s="949" t="str">
        <f>+NOMINA!D394</f>
        <v>Davila Sanchez Eduar Alexander</v>
      </c>
      <c r="D407" s="949" t="str">
        <f>+NOMINA!O394</f>
        <v>Ayudante de Servicios Generales</v>
      </c>
      <c r="E407" s="952">
        <f>+NOMINA!H394</f>
        <v>44531</v>
      </c>
      <c r="F407" s="953">
        <f>+NOMINA!BT394</f>
        <v>8.1</v>
      </c>
      <c r="G407" s="608"/>
      <c r="H407" s="609"/>
      <c r="I407" s="609"/>
      <c r="J407" s="609"/>
      <c r="K407" s="609"/>
    </row>
    <row r="408" spans="1:11" ht="15.75" customHeight="1">
      <c r="A408" s="951">
        <f t="shared" si="7"/>
        <v>84</v>
      </c>
      <c r="B408" s="949">
        <f>+NOMINA!C395</f>
        <v>25631811</v>
      </c>
      <c r="C408" s="949" t="str">
        <f>+NOMINA!D395</f>
        <v>Barrios Briceño Christian Xavier</v>
      </c>
      <c r="D408" s="949" t="str">
        <f>+NOMINA!O395</f>
        <v>Cocinero</v>
      </c>
      <c r="E408" s="952">
        <f>+NOMINA!H395</f>
        <v>44440</v>
      </c>
      <c r="F408" s="953">
        <f>+NOMINA!BT395</f>
        <v>6.12</v>
      </c>
      <c r="G408" s="608"/>
      <c r="H408" s="609"/>
      <c r="I408" s="609"/>
      <c r="J408" s="609"/>
      <c r="K408" s="609"/>
    </row>
    <row r="409" spans="1:11" ht="15.75" customHeight="1">
      <c r="A409" s="951">
        <f t="shared" si="7"/>
        <v>85</v>
      </c>
      <c r="B409" s="949">
        <f>+NOMINA!C396</f>
        <v>25919888</v>
      </c>
      <c r="C409" s="949" t="str">
        <f>+NOMINA!D396</f>
        <v>Rivero Lamus Ninoska del Valle</v>
      </c>
      <c r="D409" s="949" t="str">
        <f>+NOMINA!O396</f>
        <v>Aseadora</v>
      </c>
      <c r="E409" s="952">
        <f>+NOMINA!H396</f>
        <v>44805</v>
      </c>
      <c r="F409" s="953">
        <f>+NOMINA!BT396</f>
        <v>5.76</v>
      </c>
      <c r="G409" s="608"/>
      <c r="H409" s="609"/>
      <c r="I409" s="609"/>
      <c r="J409" s="609"/>
      <c r="K409" s="609"/>
    </row>
    <row r="410" spans="1:11" ht="15.75" customHeight="1">
      <c r="A410" s="951">
        <f t="shared" si="7"/>
        <v>86</v>
      </c>
      <c r="B410" s="949">
        <f>+NOMINA!C397</f>
        <v>26235670</v>
      </c>
      <c r="C410" s="949" t="str">
        <f>+NOMINA!D397</f>
        <v>Viloria Garcia Kieny Keyvit</v>
      </c>
      <c r="D410" s="949" t="str">
        <f>+NOMINA!O397</f>
        <v>Ayudante de Servicios Generales</v>
      </c>
      <c r="E410" s="952">
        <f>+NOMINA!H397</f>
        <v>45597</v>
      </c>
      <c r="F410" s="953">
        <f>+NOMINA!BT397</f>
        <v>5.7</v>
      </c>
      <c r="G410" s="608"/>
      <c r="H410" s="609"/>
      <c r="I410" s="609"/>
      <c r="J410" s="609"/>
      <c r="K410" s="609"/>
    </row>
    <row r="411" spans="1:11" ht="15.75" customHeight="1">
      <c r="A411" s="951">
        <f t="shared" si="7"/>
        <v>87</v>
      </c>
      <c r="B411" s="949">
        <f>+NOMINA!C398</f>
        <v>26482867</v>
      </c>
      <c r="C411" s="949" t="str">
        <f>+NOMINA!D398</f>
        <v>Valecillos Duran Brando Jose</v>
      </c>
      <c r="D411" s="949" t="str">
        <f>+NOMINA!O398</f>
        <v>Ayudante de Servicios Generales</v>
      </c>
      <c r="E411" s="952">
        <f>+NOMINA!H398</f>
        <v>45078</v>
      </c>
      <c r="F411" s="953">
        <f>+NOMINA!BT398</f>
        <v>5.68</v>
      </c>
      <c r="G411" s="608"/>
      <c r="H411" s="609"/>
      <c r="I411" s="609"/>
      <c r="J411" s="609"/>
      <c r="K411" s="609"/>
    </row>
    <row r="412" spans="1:11" ht="15.75" customHeight="1">
      <c r="A412" s="951">
        <f t="shared" si="7"/>
        <v>88</v>
      </c>
      <c r="B412" s="949">
        <f>+NOMINA!C399</f>
        <v>27415509</v>
      </c>
      <c r="C412" s="949" t="str">
        <f>+NOMINA!D399</f>
        <v>Barreto Rivero Luis Diego</v>
      </c>
      <c r="D412" s="949" t="str">
        <f>+NOMINA!O399</f>
        <v>Ayudante de Servicios Generales</v>
      </c>
      <c r="E412" s="952">
        <f>+NOMINA!H399</f>
        <v>43678</v>
      </c>
      <c r="F412" s="953">
        <f>+NOMINA!BT399</f>
        <v>5.8</v>
      </c>
      <c r="G412" s="608"/>
      <c r="H412" s="609"/>
      <c r="I412" s="609"/>
      <c r="J412" s="609"/>
      <c r="K412" s="609"/>
    </row>
    <row r="413" spans="1:11" ht="15.75" customHeight="1">
      <c r="A413" s="951">
        <f t="shared" si="7"/>
        <v>89</v>
      </c>
      <c r="B413" s="949">
        <f>+NOMINA!C400</f>
        <v>27470077</v>
      </c>
      <c r="C413" s="949" t="str">
        <f>+NOMINA!D400</f>
        <v>Gonzalez Castellanos Yusberly Yohandri</v>
      </c>
      <c r="D413" s="949" t="str">
        <f>+NOMINA!O400</f>
        <v>Aseadora</v>
      </c>
      <c r="E413" s="952">
        <f>+NOMINA!H400</f>
        <v>44743</v>
      </c>
      <c r="F413" s="953">
        <f>+NOMINA!BT400</f>
        <v>5.5</v>
      </c>
      <c r="G413" s="608"/>
      <c r="H413" s="609"/>
      <c r="I413" s="609"/>
      <c r="J413" s="609"/>
      <c r="K413" s="609"/>
    </row>
    <row r="414" spans="1:11" ht="15.75" customHeight="1">
      <c r="A414" s="951">
        <f t="shared" si="7"/>
        <v>90</v>
      </c>
      <c r="B414" s="949">
        <f>+NOMINA!C401</f>
        <v>29539270</v>
      </c>
      <c r="C414" s="949" t="str">
        <f>+NOMINA!D401</f>
        <v>Rojas Carrillo Laureano Augusto</v>
      </c>
      <c r="D414" s="949" t="str">
        <f>+NOMINA!O401</f>
        <v>Ayudante de Servicios Generales</v>
      </c>
      <c r="E414" s="952">
        <f>+NOMINA!H401</f>
        <v>44287</v>
      </c>
      <c r="F414" s="953">
        <f>+NOMINA!BT401</f>
        <v>5.74</v>
      </c>
      <c r="G414" s="608"/>
      <c r="H414" s="609"/>
      <c r="I414" s="609"/>
      <c r="J414" s="609"/>
      <c r="K414" s="609"/>
    </row>
    <row r="415" spans="1:11" ht="15.75" customHeight="1">
      <c r="A415" s="951">
        <f t="shared" si="7"/>
        <v>91</v>
      </c>
      <c r="B415" s="949">
        <f>+NOMINA!C402</f>
        <v>29994277</v>
      </c>
      <c r="C415" s="949" t="str">
        <f>+NOMINA!D402</f>
        <v>Quintero Rangel Jose Arsenio</v>
      </c>
      <c r="D415" s="949" t="str">
        <f>+NOMINA!O402</f>
        <v>Ayudante de Servicios Generales</v>
      </c>
      <c r="E415" s="952">
        <f>+NOMINA!H402</f>
        <v>44562</v>
      </c>
      <c r="F415" s="953">
        <f>+NOMINA!BT402</f>
        <v>5.74</v>
      </c>
      <c r="G415" s="608"/>
      <c r="H415" s="609"/>
      <c r="I415" s="609"/>
      <c r="J415" s="609"/>
      <c r="K415" s="609"/>
    </row>
    <row r="416" spans="1:11" ht="15.75" customHeight="1" thickBot="1">
      <c r="A416" s="951">
        <f t="shared" si="7"/>
        <v>92</v>
      </c>
      <c r="B416" s="949">
        <f>+NOMINA!C403</f>
        <v>32084560</v>
      </c>
      <c r="C416" s="949" t="str">
        <f>+NOMINA!D403</f>
        <v>Hernandez Gomez Carmen Elena</v>
      </c>
      <c r="D416" s="949" t="str">
        <f>+NOMINA!O403</f>
        <v xml:space="preserve">Cocinera </v>
      </c>
      <c r="E416" s="952">
        <f>+NOMINA!H403</f>
        <v>44348</v>
      </c>
      <c r="F416" s="953">
        <f>+NOMINA!BT403</f>
        <v>6.12</v>
      </c>
      <c r="G416" s="608"/>
      <c r="H416" s="609"/>
      <c r="I416" s="609"/>
      <c r="J416" s="609"/>
      <c r="K416" s="609"/>
    </row>
    <row r="417" spans="1:11" ht="15.75" customHeight="1" thickBot="1">
      <c r="A417" s="951"/>
      <c r="B417" s="949"/>
      <c r="C417" s="949"/>
      <c r="D417" s="949"/>
      <c r="E417" s="616" t="s">
        <v>4493</v>
      </c>
      <c r="F417" s="950">
        <f>SUM(F325:F416)</f>
        <v>589.48</v>
      </c>
      <c r="G417" s="608"/>
      <c r="H417" s="609"/>
      <c r="I417" s="609"/>
      <c r="J417" s="609"/>
      <c r="K417" s="609"/>
    </row>
    <row r="418" spans="1:11" ht="8.25" customHeight="1" thickBot="1">
      <c r="A418" s="956"/>
      <c r="B418" s="957"/>
      <c r="C418" s="958"/>
      <c r="D418" s="958"/>
      <c r="E418" s="959"/>
      <c r="F418" s="960"/>
      <c r="G418" s="608"/>
    </row>
    <row r="419" spans="1:11" ht="19.5" thickBot="1">
      <c r="A419" s="961"/>
      <c r="B419" s="962"/>
      <c r="C419" s="963"/>
      <c r="D419" s="963"/>
      <c r="E419" s="616" t="s">
        <v>5848</v>
      </c>
      <c r="F419" s="964">
        <f>+F417+F317+F37</f>
        <v>3281.1000000000017</v>
      </c>
      <c r="G419" s="608"/>
      <c r="H419" s="609"/>
    </row>
    <row r="420" spans="1:11" ht="13.5" customHeight="1">
      <c r="G420" s="609"/>
      <c r="H420" s="609"/>
    </row>
    <row r="421" spans="1:11">
      <c r="C421" s="604" t="s">
        <v>5840</v>
      </c>
      <c r="E421" s="604" t="s">
        <v>5841</v>
      </c>
    </row>
    <row r="424" spans="1:11" ht="17.25">
      <c r="C424" s="614" t="s">
        <v>5842</v>
      </c>
      <c r="E424" s="615" t="s">
        <v>5843</v>
      </c>
    </row>
    <row r="425" spans="1:11" ht="17.25">
      <c r="C425" s="614" t="s">
        <v>5844</v>
      </c>
      <c r="E425" s="614" t="s">
        <v>5845</v>
      </c>
      <c r="F425" s="618"/>
      <c r="G425" s="618"/>
    </row>
    <row r="426" spans="1:11">
      <c r="F426" s="620"/>
      <c r="G426" s="619"/>
      <c r="H426" s="619"/>
    </row>
    <row r="427" spans="1:11">
      <c r="G427" s="609"/>
      <c r="H427" s="609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75" orientation="portrait" r:id="rId1"/>
  <rowBreaks count="2" manualBreakCount="2">
    <brk id="48" max="5" man="1"/>
    <brk id="323" max="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29"/>
  <sheetViews>
    <sheetView view="pageBreakPreview" zoomScale="85" zoomScaleSheetLayoutView="85" workbookViewId="0">
      <selection sqref="A1:G1"/>
    </sheetView>
  </sheetViews>
  <sheetFormatPr baseColWidth="10" defaultRowHeight="15"/>
  <cols>
    <col min="1" max="1" width="5.140625" style="604" customWidth="1"/>
    <col min="2" max="2" width="11.42578125" style="604"/>
    <col min="3" max="3" width="36.140625" style="604" customWidth="1"/>
    <col min="4" max="4" width="36.7109375" style="604" customWidth="1"/>
    <col min="5" max="5" width="10.85546875" style="604" hidden="1" customWidth="1"/>
    <col min="6" max="6" width="14" style="604" bestFit="1" customWidth="1"/>
    <col min="7" max="7" width="13" style="604" bestFit="1" customWidth="1"/>
    <col min="8" max="8" width="13.42578125" style="604" bestFit="1" customWidth="1"/>
    <col min="9" max="9" width="12.7109375" style="604" bestFit="1" customWidth="1"/>
    <col min="10" max="16384" width="11.42578125" style="604"/>
  </cols>
  <sheetData>
    <row r="1" spans="1:12" ht="15" customHeight="1">
      <c r="A1" s="1719" t="s">
        <v>5827</v>
      </c>
      <c r="B1" s="1719"/>
      <c r="C1" s="1719"/>
      <c r="D1" s="1719"/>
      <c r="E1" s="1719"/>
      <c r="F1" s="1719"/>
      <c r="G1" s="1719"/>
      <c r="H1" s="940"/>
    </row>
    <row r="2" spans="1:12" ht="15" customHeight="1">
      <c r="A2" s="1719" t="s">
        <v>5828</v>
      </c>
      <c r="B2" s="1719"/>
      <c r="C2" s="1719"/>
      <c r="D2" s="1719"/>
      <c r="E2" s="1719"/>
      <c r="F2" s="1719"/>
      <c r="G2" s="1719"/>
      <c r="H2" s="940"/>
    </row>
    <row r="3" spans="1:12" ht="15" customHeight="1">
      <c r="A3" s="1719" t="s">
        <v>5829</v>
      </c>
      <c r="B3" s="1719"/>
      <c r="C3" s="1719"/>
      <c r="D3" s="1719"/>
      <c r="E3" s="1719"/>
      <c r="F3" s="1719"/>
      <c r="G3" s="1719"/>
      <c r="H3" s="940"/>
    </row>
    <row r="4" spans="1:12" ht="15" customHeight="1">
      <c r="A4" s="1719" t="s">
        <v>5830</v>
      </c>
      <c r="B4" s="1719"/>
      <c r="C4" s="1719"/>
      <c r="D4" s="1719"/>
      <c r="E4" s="1719"/>
      <c r="F4" s="1719"/>
      <c r="G4" s="1719"/>
      <c r="H4" s="940"/>
    </row>
    <row r="5" spans="1:12" ht="15" customHeight="1">
      <c r="A5" s="1719" t="s">
        <v>5849</v>
      </c>
      <c r="B5" s="1719"/>
      <c r="C5" s="1719"/>
      <c r="D5" s="1719"/>
      <c r="E5" s="1719"/>
      <c r="F5" s="1719"/>
      <c r="G5" s="1719"/>
      <c r="H5" s="940"/>
    </row>
    <row r="6" spans="1:12">
      <c r="A6" s="1719" t="s">
        <v>5831</v>
      </c>
      <c r="B6" s="1719"/>
      <c r="C6" s="1719"/>
      <c r="D6" s="1719"/>
      <c r="E6" s="1719"/>
      <c r="F6" s="1719"/>
      <c r="G6" s="1719"/>
      <c r="H6" s="940"/>
    </row>
    <row r="8" spans="1:12" ht="20.25" customHeight="1">
      <c r="A8" s="1718" t="s">
        <v>5850</v>
      </c>
      <c r="B8" s="1718"/>
      <c r="C8" s="1718"/>
      <c r="D8" s="1718"/>
      <c r="E8" s="1718"/>
      <c r="F8" s="1718"/>
      <c r="G8" s="1718"/>
      <c r="H8" s="939"/>
    </row>
    <row r="9" spans="1:12" ht="18.75" customHeight="1">
      <c r="A9" s="1718" t="str">
        <f>+"Correspondiente al  mes de "&amp;NOMINA!F9&amp;" "&amp;NOMINA!H9</f>
        <v>Correspondiente al  mes de ENERO 2025</v>
      </c>
      <c r="B9" s="1718"/>
      <c r="C9" s="1718"/>
      <c r="D9" s="1718"/>
      <c r="E9" s="1718"/>
      <c r="F9" s="1718"/>
      <c r="G9" s="1718"/>
      <c r="H9" s="939"/>
    </row>
    <row r="11" spans="1:12" ht="26.25" thickBot="1">
      <c r="A11" s="947" t="s">
        <v>5571</v>
      </c>
      <c r="B11" s="947" t="s">
        <v>5833</v>
      </c>
      <c r="C11" s="947" t="s">
        <v>5834</v>
      </c>
      <c r="D11" s="947" t="s">
        <v>5835</v>
      </c>
      <c r="E11" s="948" t="s">
        <v>5836</v>
      </c>
      <c r="F11" s="947" t="s">
        <v>2860</v>
      </c>
      <c r="G11" s="947" t="s">
        <v>5851</v>
      </c>
      <c r="H11" s="605"/>
    </row>
    <row r="12" spans="1:12" ht="16.5" customHeight="1" thickBot="1">
      <c r="A12" s="606" t="s">
        <v>5838</v>
      </c>
      <c r="B12" s="949"/>
      <c r="C12" s="949"/>
      <c r="D12" s="949"/>
      <c r="E12" s="607"/>
      <c r="F12" s="950"/>
      <c r="G12" s="950"/>
      <c r="H12" s="608"/>
      <c r="I12" s="609"/>
      <c r="J12" s="609"/>
      <c r="K12" s="609"/>
      <c r="L12" s="609"/>
    </row>
    <row r="13" spans="1:12" ht="15.75" customHeight="1">
      <c r="A13" s="951">
        <v>1</v>
      </c>
      <c r="B13" s="949">
        <f>+NOMINA!C17</f>
        <v>11894534</v>
      </c>
      <c r="C13" s="949" t="str">
        <f>+NOMINA!D17</f>
        <v>Olmos Rodriguez Eberto de Jesus</v>
      </c>
      <c r="D13" s="949" t="str">
        <f>+NOMINA!O17</f>
        <v>JEFE DE DEPARTAMENTO</v>
      </c>
      <c r="E13" s="952">
        <f>+NOMINA!H17</f>
        <v>40909</v>
      </c>
      <c r="F13" s="953">
        <f>+NOMINA!BR17</f>
        <v>62.51</v>
      </c>
      <c r="G13" s="953">
        <f>+NOMINA!BS17</f>
        <v>13.89</v>
      </c>
      <c r="H13" s="608"/>
      <c r="I13" s="609"/>
      <c r="J13" s="609"/>
      <c r="K13" s="609"/>
      <c r="L13" s="609"/>
    </row>
    <row r="14" spans="1:12" ht="15.75" customHeight="1">
      <c r="A14" s="951">
        <f>+A13+1</f>
        <v>2</v>
      </c>
      <c r="B14" s="949">
        <f>+NOMINA!C18</f>
        <v>12458942</v>
      </c>
      <c r="C14" s="949" t="str">
        <f>+NOMINA!D18</f>
        <v>Mendoza Mendoza Mirian del Milagro</v>
      </c>
      <c r="D14" s="949" t="str">
        <f>+NOMINA!O18</f>
        <v>JEFE DE DEPARTAMENTO</v>
      </c>
      <c r="E14" s="952">
        <f>+NOMINA!H18</f>
        <v>44424</v>
      </c>
      <c r="F14" s="953">
        <f>+NOMINA!BR18</f>
        <v>64.849999999999994</v>
      </c>
      <c r="G14" s="953">
        <f>+NOMINA!BS18</f>
        <v>14.41</v>
      </c>
      <c r="H14" s="608"/>
      <c r="I14" s="609"/>
      <c r="J14" s="609"/>
      <c r="K14" s="609"/>
      <c r="L14" s="609"/>
    </row>
    <row r="15" spans="1:12" ht="15.75" customHeight="1">
      <c r="A15" s="951">
        <f t="shared" ref="A15:A36" si="0">+A14+1</f>
        <v>3</v>
      </c>
      <c r="B15" s="949">
        <f>+NOMINA!C19</f>
        <v>8719807</v>
      </c>
      <c r="C15" s="949" t="str">
        <f>+NOMINA!D19</f>
        <v>Perez Saavedra Isabel Teresa</v>
      </c>
      <c r="D15" s="949" t="str">
        <f>+NOMINA!O19</f>
        <v>JEFE DE DEPARTAMENTO</v>
      </c>
      <c r="E15" s="952">
        <f>+NOMINA!H19</f>
        <v>39874</v>
      </c>
      <c r="F15" s="953">
        <f>+NOMINA!BR19</f>
        <v>60.39</v>
      </c>
      <c r="G15" s="953">
        <f>+NOMINA!BS19</f>
        <v>13.42</v>
      </c>
      <c r="H15" s="608"/>
      <c r="I15" s="609"/>
      <c r="J15" s="609"/>
      <c r="K15" s="609"/>
      <c r="L15" s="609"/>
    </row>
    <row r="16" spans="1:12" ht="15.75" customHeight="1">
      <c r="A16" s="951">
        <f t="shared" si="0"/>
        <v>4</v>
      </c>
      <c r="B16" s="949">
        <f>+NOMINA!C20</f>
        <v>10404528</v>
      </c>
      <c r="C16" s="949" t="str">
        <f>+NOMINA!D20</f>
        <v>Perez Castellano Javier Horacio</v>
      </c>
      <c r="D16" s="949" t="str">
        <f>+NOMINA!O20</f>
        <v>JEFE DE DEPARTAMENTO</v>
      </c>
      <c r="E16" s="952">
        <f>+NOMINA!H20</f>
        <v>37622</v>
      </c>
      <c r="F16" s="953">
        <f>+NOMINA!BR20</f>
        <v>63.65</v>
      </c>
      <c r="G16" s="953">
        <f>+NOMINA!BS20</f>
        <v>14.15</v>
      </c>
      <c r="H16" s="608"/>
      <c r="I16" s="609"/>
      <c r="J16" s="609"/>
      <c r="K16" s="609"/>
      <c r="L16" s="609"/>
    </row>
    <row r="17" spans="1:12" ht="15.75" customHeight="1">
      <c r="A17" s="951">
        <f t="shared" si="0"/>
        <v>5</v>
      </c>
      <c r="B17" s="949">
        <f>+NOMINA!C21</f>
        <v>9311822</v>
      </c>
      <c r="C17" s="949" t="str">
        <f>+NOMINA!D21</f>
        <v>Rojo Sanchez Alexis O.</v>
      </c>
      <c r="D17" s="949" t="str">
        <f>+NOMINA!O21</f>
        <v>JEFE DE DEPARTAMENTO</v>
      </c>
      <c r="E17" s="952">
        <f>+NOMINA!H21</f>
        <v>37662</v>
      </c>
      <c r="F17" s="953">
        <f>+NOMINA!BR21</f>
        <v>49.34</v>
      </c>
      <c r="G17" s="953">
        <f>+NOMINA!BS21</f>
        <v>10.96</v>
      </c>
      <c r="H17" s="608"/>
      <c r="I17" s="609"/>
      <c r="J17" s="609"/>
      <c r="K17" s="609"/>
      <c r="L17" s="609"/>
    </row>
    <row r="18" spans="1:12" ht="15.75" customHeight="1">
      <c r="A18" s="951">
        <f t="shared" si="0"/>
        <v>6</v>
      </c>
      <c r="B18" s="949">
        <f>+NOMINA!C22</f>
        <v>21592108</v>
      </c>
      <c r="C18" s="949" t="str">
        <f>+NOMINA!D22</f>
        <v>Coy Andara Darlin Gabriela</v>
      </c>
      <c r="D18" s="949" t="str">
        <f>+NOMINA!O22</f>
        <v>JEFE DE DEPARTAMENTO</v>
      </c>
      <c r="E18" s="952">
        <f>+NOMINA!H22</f>
        <v>43024</v>
      </c>
      <c r="F18" s="953">
        <f>+NOMINA!BR22</f>
        <v>53.07</v>
      </c>
      <c r="G18" s="953">
        <f>+NOMINA!BS22</f>
        <v>11.79</v>
      </c>
      <c r="H18" s="608"/>
      <c r="I18" s="609"/>
      <c r="J18" s="609"/>
      <c r="K18" s="609"/>
      <c r="L18" s="609"/>
    </row>
    <row r="19" spans="1:12" ht="15.75" customHeight="1">
      <c r="A19" s="951">
        <f t="shared" si="0"/>
        <v>7</v>
      </c>
      <c r="B19" s="949">
        <f>+NOMINA!C23</f>
        <v>13206767</v>
      </c>
      <c r="C19" s="949" t="str">
        <f>+NOMINA!D23</f>
        <v>Bastidas Guerra Soralis del Valle</v>
      </c>
      <c r="D19" s="949" t="str">
        <f>+NOMINA!O23</f>
        <v>COORDINADOR DE PROGRAMA (SAPNNAET)</v>
      </c>
      <c r="E19" s="952">
        <f>+NOMINA!H23</f>
        <v>44713</v>
      </c>
      <c r="F19" s="953">
        <f>+NOMINA!BR23</f>
        <v>50.36</v>
      </c>
      <c r="G19" s="953">
        <f>+NOMINA!BS23</f>
        <v>11.19</v>
      </c>
      <c r="H19" s="608"/>
      <c r="I19" s="609"/>
      <c r="J19" s="609"/>
      <c r="K19" s="609"/>
      <c r="L19" s="609"/>
    </row>
    <row r="20" spans="1:12" ht="15.75" customHeight="1">
      <c r="A20" s="951">
        <f t="shared" si="0"/>
        <v>8</v>
      </c>
      <c r="B20" s="949">
        <f>+NOMINA!C24</f>
        <v>13462933</v>
      </c>
      <c r="C20" s="949" t="str">
        <f>+NOMINA!D24</f>
        <v>Frias Aldana Maria Yaritza</v>
      </c>
      <c r="D20" s="949" t="str">
        <f>+NOMINA!O24</f>
        <v>COORDINADOR DE PROGRAMA (SAPNNAET)</v>
      </c>
      <c r="E20" s="952">
        <f>+NOMINA!H24</f>
        <v>39454</v>
      </c>
      <c r="F20" s="953">
        <f>+NOMINA!BR24</f>
        <v>59.31</v>
      </c>
      <c r="G20" s="953">
        <f>+NOMINA!BS24</f>
        <v>13.18</v>
      </c>
      <c r="H20" s="608"/>
      <c r="I20" s="609"/>
      <c r="J20" s="609"/>
      <c r="K20" s="609"/>
      <c r="L20" s="609"/>
    </row>
    <row r="21" spans="1:12" ht="15.75" customHeight="1">
      <c r="A21" s="951">
        <f t="shared" si="0"/>
        <v>9</v>
      </c>
      <c r="B21" s="949">
        <f>+NOMINA!C25</f>
        <v>11315315</v>
      </c>
      <c r="C21" s="949" t="str">
        <f>+NOMINA!D25</f>
        <v>Guillen Mendoza Edgar Daniel</v>
      </c>
      <c r="D21" s="949" t="str">
        <f>+NOMINA!O25</f>
        <v>COORDINADOR DE PROGRAMA (SAPNNAET)</v>
      </c>
      <c r="E21" s="952">
        <f>+NOMINA!H25</f>
        <v>45505</v>
      </c>
      <c r="F21" s="953">
        <f>+NOMINA!BR25</f>
        <v>39.71</v>
      </c>
      <c r="G21" s="953">
        <f>+NOMINA!BS25</f>
        <v>8.82</v>
      </c>
      <c r="H21" s="608"/>
      <c r="I21" s="609"/>
      <c r="J21" s="609"/>
      <c r="K21" s="609"/>
      <c r="L21" s="609"/>
    </row>
    <row r="22" spans="1:12" ht="15.75" customHeight="1">
      <c r="A22" s="951">
        <f t="shared" si="0"/>
        <v>10</v>
      </c>
      <c r="B22" s="949">
        <f>+NOMINA!C26</f>
        <v>12542413</v>
      </c>
      <c r="C22" s="949" t="str">
        <f>+NOMINA!D26</f>
        <v>Aponte Matheus Richard Alexander</v>
      </c>
      <c r="D22" s="949" t="str">
        <f>+NOMINA!O26</f>
        <v>COORDINADOR DE PROGRAMA (SAPNNAET)</v>
      </c>
      <c r="E22" s="952">
        <f>+NOMINA!H26</f>
        <v>36434</v>
      </c>
      <c r="F22" s="953">
        <f>+NOMINA!BR26</f>
        <v>48.38</v>
      </c>
      <c r="G22" s="953">
        <f>+NOMINA!BS26</f>
        <v>10.75</v>
      </c>
      <c r="H22" s="608"/>
      <c r="I22" s="609"/>
      <c r="J22" s="609"/>
      <c r="K22" s="609"/>
      <c r="L22" s="609"/>
    </row>
    <row r="23" spans="1:12" ht="15.75" customHeight="1">
      <c r="A23" s="951">
        <f t="shared" si="0"/>
        <v>11</v>
      </c>
      <c r="B23" s="949">
        <f>+NOMINA!C27</f>
        <v>18457406</v>
      </c>
      <c r="C23" s="949" t="str">
        <f>+NOMINA!D27</f>
        <v>Rivero Zambrano Herluis Jose</v>
      </c>
      <c r="D23" s="949" t="str">
        <f>+NOMINA!O27</f>
        <v>COORDINADOR DE PROGRAMA (SAPNNAET)</v>
      </c>
      <c r="E23" s="952">
        <f>+NOMINA!H27</f>
        <v>41548</v>
      </c>
      <c r="F23" s="953">
        <f>+NOMINA!BR27</f>
        <v>55.42</v>
      </c>
      <c r="G23" s="953">
        <f>+NOMINA!BS27</f>
        <v>12.31</v>
      </c>
      <c r="H23" s="608"/>
      <c r="I23" s="609"/>
      <c r="J23" s="609"/>
      <c r="K23" s="609"/>
      <c r="L23" s="609"/>
    </row>
    <row r="24" spans="1:12" ht="15.75" customHeight="1">
      <c r="A24" s="951">
        <f t="shared" si="0"/>
        <v>12</v>
      </c>
      <c r="B24" s="949">
        <f>+NOMINA!C28</f>
        <v>11895772</v>
      </c>
      <c r="C24" s="949" t="str">
        <f>+NOMINA!D28</f>
        <v>Rangel Rivas Ildemaro</v>
      </c>
      <c r="D24" s="949" t="str">
        <f>+NOMINA!O28</f>
        <v>COORDINADOR DE PROGRAMA (SAPNNAET)</v>
      </c>
      <c r="E24" s="952">
        <f>+NOMINA!H28</f>
        <v>44743</v>
      </c>
      <c r="F24" s="953">
        <f>+NOMINA!BR28</f>
        <v>49.59</v>
      </c>
      <c r="G24" s="953">
        <f>+NOMINA!BS28</f>
        <v>11.02</v>
      </c>
      <c r="H24" s="608"/>
      <c r="I24" s="609"/>
      <c r="J24" s="609"/>
      <c r="K24" s="609"/>
      <c r="L24" s="609"/>
    </row>
    <row r="25" spans="1:12" ht="15.75" customHeight="1">
      <c r="A25" s="951">
        <f t="shared" si="0"/>
        <v>13</v>
      </c>
      <c r="B25" s="949">
        <f>+NOMINA!C29</f>
        <v>9495661</v>
      </c>
      <c r="C25" s="949" t="str">
        <f>+NOMINA!D29</f>
        <v>Aguial Carrillo Gregoria Coromoto</v>
      </c>
      <c r="D25" s="949" t="str">
        <f>+NOMINA!O29</f>
        <v>COORDINADOR DE PROGRAMA (SAPNNAET)</v>
      </c>
      <c r="E25" s="952">
        <f>+NOMINA!H29</f>
        <v>39692</v>
      </c>
      <c r="F25" s="953">
        <f>+NOMINA!BR29</f>
        <v>45.38</v>
      </c>
      <c r="G25" s="953">
        <f>+NOMINA!BS29</f>
        <v>10.08</v>
      </c>
      <c r="H25" s="608"/>
      <c r="I25" s="609"/>
      <c r="J25" s="609"/>
      <c r="K25" s="609"/>
      <c r="L25" s="609"/>
    </row>
    <row r="26" spans="1:12" ht="15.75" customHeight="1">
      <c r="A26" s="951">
        <f t="shared" si="0"/>
        <v>14</v>
      </c>
      <c r="B26" s="949">
        <f>+NOMINA!C30</f>
        <v>5348397</v>
      </c>
      <c r="C26" s="949" t="str">
        <f>+NOMINA!D30</f>
        <v>Araujo Manzanilla Carlos Antonio</v>
      </c>
      <c r="D26" s="949" t="str">
        <f>+NOMINA!O30</f>
        <v>COORDINADOR DE PROGRAMA (SAPNNAET)</v>
      </c>
      <c r="E26" s="952">
        <f>+NOMINA!H30</f>
        <v>43359</v>
      </c>
      <c r="F26" s="953">
        <f>+NOMINA!BR30</f>
        <v>57.43</v>
      </c>
      <c r="G26" s="953">
        <f>+NOMINA!BS30</f>
        <v>12.76</v>
      </c>
      <c r="H26" s="608"/>
      <c r="I26" s="609"/>
      <c r="J26" s="609"/>
      <c r="K26" s="609"/>
      <c r="L26" s="609"/>
    </row>
    <row r="27" spans="1:12" ht="15.75" customHeight="1">
      <c r="A27" s="951">
        <f t="shared" si="0"/>
        <v>15</v>
      </c>
      <c r="B27" s="949">
        <f>+NOMINA!C31</f>
        <v>9314132</v>
      </c>
      <c r="C27" s="949" t="str">
        <f>+NOMINA!D31</f>
        <v>Viloria Montilla Gerardo</v>
      </c>
      <c r="D27" s="949" t="str">
        <f>+NOMINA!O31</f>
        <v>COORDINADOR DE PROGRAMA (SAPNNAET)</v>
      </c>
      <c r="E27" s="952">
        <f>+NOMINA!H31</f>
        <v>44348</v>
      </c>
      <c r="F27" s="953">
        <f>+NOMINA!BR31</f>
        <v>54.78</v>
      </c>
      <c r="G27" s="953">
        <f>+NOMINA!BS31</f>
        <v>12.17</v>
      </c>
      <c r="H27" s="608"/>
      <c r="I27" s="609"/>
      <c r="J27" s="609"/>
      <c r="K27" s="609"/>
      <c r="L27" s="609"/>
    </row>
    <row r="28" spans="1:12" ht="15.75" customHeight="1">
      <c r="A28" s="951">
        <f t="shared" si="0"/>
        <v>16</v>
      </c>
      <c r="B28" s="949">
        <f>+NOMINA!C32</f>
        <v>11320533</v>
      </c>
      <c r="C28" s="949" t="str">
        <f>+NOMINA!D32</f>
        <v>Suarez Chiquin Yaritza Josefina</v>
      </c>
      <c r="D28" s="949" t="str">
        <f>+NOMINA!O32</f>
        <v>COORDINADOR DE PROGRAMA (SAPNNAET)</v>
      </c>
      <c r="E28" s="952">
        <f>+NOMINA!H32</f>
        <v>37629</v>
      </c>
      <c r="F28" s="953">
        <f>+NOMINA!BR32</f>
        <v>61.63</v>
      </c>
      <c r="G28" s="953">
        <f>+NOMINA!BS32</f>
        <v>13.7</v>
      </c>
      <c r="H28" s="608"/>
      <c r="I28" s="609"/>
      <c r="J28" s="609"/>
      <c r="K28" s="609"/>
      <c r="L28" s="609"/>
    </row>
    <row r="29" spans="1:12" ht="15.75" customHeight="1">
      <c r="A29" s="951">
        <f t="shared" si="0"/>
        <v>17</v>
      </c>
      <c r="B29" s="949">
        <f>+NOMINA!C33</f>
        <v>10912595</v>
      </c>
      <c r="C29" s="949" t="str">
        <f>+NOMINA!D33</f>
        <v>Delfin Bustos Jose Hercilio</v>
      </c>
      <c r="D29" s="949" t="str">
        <f>+NOMINA!O33</f>
        <v>COORDINADOR DE PROGRAMA (SAPNNAET)</v>
      </c>
      <c r="E29" s="952">
        <f>+NOMINA!H33</f>
        <v>36039</v>
      </c>
      <c r="F29" s="953">
        <f>+NOMINA!BR33</f>
        <v>48.38</v>
      </c>
      <c r="G29" s="953">
        <f>+NOMINA!BS33</f>
        <v>10.75</v>
      </c>
      <c r="H29" s="608"/>
      <c r="I29" s="609"/>
      <c r="J29" s="609"/>
      <c r="K29" s="609"/>
      <c r="L29" s="609"/>
    </row>
    <row r="30" spans="1:12" ht="15.75" customHeight="1">
      <c r="A30" s="951">
        <f t="shared" si="0"/>
        <v>18</v>
      </c>
      <c r="B30" s="949">
        <f>+NOMINA!C34</f>
        <v>4306476</v>
      </c>
      <c r="C30" s="949" t="str">
        <f>+NOMINA!D34</f>
        <v xml:space="preserve">Triviño De Bastidas Dioni De La Coromoto </v>
      </c>
      <c r="D30" s="949" t="str">
        <f>+NOMINA!O34</f>
        <v>COORDINADOR DE PROGRAMA (SAPNNAET)</v>
      </c>
      <c r="E30" s="952">
        <f>+NOMINA!H34</f>
        <v>44409</v>
      </c>
      <c r="F30" s="953">
        <f>+NOMINA!BR34</f>
        <v>65.319999999999993</v>
      </c>
      <c r="G30" s="953">
        <f>+NOMINA!BS34</f>
        <v>14.52</v>
      </c>
      <c r="H30" s="608"/>
      <c r="I30" s="609"/>
      <c r="J30" s="609"/>
      <c r="K30" s="609"/>
      <c r="L30" s="609"/>
    </row>
    <row r="31" spans="1:12" ht="15.75" customHeight="1">
      <c r="A31" s="951">
        <f t="shared" si="0"/>
        <v>19</v>
      </c>
      <c r="B31" s="949">
        <f>+NOMINA!C35</f>
        <v>13568733</v>
      </c>
      <c r="C31" s="949" t="str">
        <f>+NOMINA!D35</f>
        <v>Campos de Velazquez Nilda Carolina</v>
      </c>
      <c r="D31" s="949" t="str">
        <f>+NOMINA!O35</f>
        <v>COORDINADOR DE PROGRAMA (SAPNNAET)</v>
      </c>
      <c r="E31" s="952">
        <f>+NOMINA!H35</f>
        <v>44805</v>
      </c>
      <c r="F31" s="953">
        <f>+NOMINA!BR35</f>
        <v>51.66</v>
      </c>
      <c r="G31" s="953">
        <f>+NOMINA!BS35</f>
        <v>11.48</v>
      </c>
      <c r="H31" s="608"/>
      <c r="I31" s="609"/>
      <c r="J31" s="609"/>
      <c r="K31" s="609"/>
      <c r="L31" s="609"/>
    </row>
    <row r="32" spans="1:12" ht="15.75" customHeight="1">
      <c r="A32" s="951">
        <f t="shared" si="0"/>
        <v>20</v>
      </c>
      <c r="B32" s="949">
        <f>+NOMINA!C36</f>
        <v>20790947</v>
      </c>
      <c r="C32" s="949" t="str">
        <f>+NOMINA!D36</f>
        <v>Urbina Cuellar Tannessy Lenery</v>
      </c>
      <c r="D32" s="949" t="str">
        <f>+NOMINA!O36</f>
        <v>COORDINADOR DE PROGRAMA (SAPNNAET)</v>
      </c>
      <c r="E32" s="952">
        <f>+NOMINA!H36</f>
        <v>43967</v>
      </c>
      <c r="F32" s="953">
        <f>+NOMINA!BR36</f>
        <v>52.38</v>
      </c>
      <c r="G32" s="953">
        <f>+NOMINA!BS36</f>
        <v>11.64</v>
      </c>
      <c r="H32" s="608"/>
      <c r="I32" s="609"/>
      <c r="J32" s="609"/>
      <c r="K32" s="609"/>
      <c r="L32" s="609"/>
    </row>
    <row r="33" spans="1:12" ht="15.75" customHeight="1">
      <c r="A33" s="951">
        <f t="shared" si="0"/>
        <v>21</v>
      </c>
      <c r="B33" s="949">
        <f>+NOMINA!C37</f>
        <v>15752183</v>
      </c>
      <c r="C33" s="949" t="str">
        <f>+NOMINA!D37</f>
        <v>Delduca Adriana Del Valle</v>
      </c>
      <c r="D33" s="949" t="str">
        <f>+NOMINA!O37</f>
        <v>COORDINADOR DE PROGRAMA (SAPNNAET)</v>
      </c>
      <c r="E33" s="952">
        <f>+NOMINA!H37</f>
        <v>38930</v>
      </c>
      <c r="F33" s="953">
        <f>+NOMINA!BR37</f>
        <v>48.38</v>
      </c>
      <c r="G33" s="953">
        <f>+NOMINA!BS37</f>
        <v>10.75</v>
      </c>
      <c r="H33" s="608"/>
      <c r="I33" s="609"/>
      <c r="J33" s="609"/>
      <c r="K33" s="609"/>
      <c r="L33" s="609"/>
    </row>
    <row r="34" spans="1:12" ht="15.75" customHeight="1">
      <c r="A34" s="951">
        <f t="shared" si="0"/>
        <v>22</v>
      </c>
      <c r="B34" s="949">
        <f>+NOMINA!C38</f>
        <v>16739081</v>
      </c>
      <c r="C34" s="949" t="str">
        <f>+NOMINA!D38</f>
        <v>Albarran Araujo Yely Coromoto</v>
      </c>
      <c r="D34" s="949" t="str">
        <f>+NOMINA!O38</f>
        <v>COORDINADOR DE PROGRAMA (SAPNNAET)</v>
      </c>
      <c r="E34" s="952">
        <f>+NOMINA!H38</f>
        <v>42948</v>
      </c>
      <c r="F34" s="953">
        <f>+NOMINA!BR38</f>
        <v>52.71</v>
      </c>
      <c r="G34" s="953">
        <f>+NOMINA!BS38</f>
        <v>11.71</v>
      </c>
      <c r="H34" s="608"/>
      <c r="I34" s="609"/>
      <c r="J34" s="609"/>
      <c r="K34" s="609"/>
      <c r="L34" s="609"/>
    </row>
    <row r="35" spans="1:12" ht="15.75" customHeight="1">
      <c r="A35" s="951">
        <f t="shared" si="0"/>
        <v>23</v>
      </c>
      <c r="B35" s="949">
        <f>+NOMINA!C39</f>
        <v>12781930</v>
      </c>
      <c r="C35" s="949" t="str">
        <f>+NOMINA!D39</f>
        <v>Berrios Gomez Neida Marina</v>
      </c>
      <c r="D35" s="949" t="str">
        <f>+NOMINA!O39</f>
        <v>COORDINADOR DE PROGRAMA (SAPNNAET)</v>
      </c>
      <c r="E35" s="952">
        <f>+NOMINA!H39</f>
        <v>44652</v>
      </c>
      <c r="F35" s="953">
        <f>+NOMINA!BR39</f>
        <v>50.36</v>
      </c>
      <c r="G35" s="953">
        <f>+NOMINA!BS39</f>
        <v>11.19</v>
      </c>
      <c r="H35" s="608"/>
      <c r="I35" s="609"/>
      <c r="J35" s="609"/>
      <c r="K35" s="609"/>
      <c r="L35" s="609"/>
    </row>
    <row r="36" spans="1:12" ht="15.75" customHeight="1" thickBot="1">
      <c r="A36" s="951">
        <f t="shared" si="0"/>
        <v>24</v>
      </c>
      <c r="B36" s="949">
        <f>+NOMINA!C40</f>
        <v>13896239</v>
      </c>
      <c r="C36" s="949" t="str">
        <f>+NOMINA!D40</f>
        <v>Sulbaran Campos Yusneida Ayarith</v>
      </c>
      <c r="D36" s="949" t="str">
        <f>+NOMINA!O40</f>
        <v>COORDINADOR DE PROGRAMA (SAPNNAET)</v>
      </c>
      <c r="E36" s="952">
        <f>+NOMINA!H40</f>
        <v>42416</v>
      </c>
      <c r="F36" s="953">
        <f>+NOMINA!BR40</f>
        <v>43.24</v>
      </c>
      <c r="G36" s="953">
        <f>+NOMINA!BS40</f>
        <v>9.61</v>
      </c>
      <c r="H36" s="608"/>
      <c r="I36" s="609"/>
      <c r="J36" s="609"/>
      <c r="K36" s="609"/>
      <c r="L36" s="609"/>
    </row>
    <row r="37" spans="1:12" ht="15.75" customHeight="1" thickBot="1">
      <c r="A37" s="951"/>
      <c r="B37" s="949"/>
      <c r="C37" s="949"/>
      <c r="D37" s="965" t="s">
        <v>5997</v>
      </c>
      <c r="E37" s="607" t="s">
        <v>5839</v>
      </c>
      <c r="F37" s="950">
        <f>SUM(F13:F36)</f>
        <v>1288.2300000000002</v>
      </c>
      <c r="G37" s="950">
        <f>SUM(G13:G36)</f>
        <v>286.25</v>
      </c>
      <c r="H37" s="608">
        <f>NOMINA!BR41</f>
        <v>1288.2300000000002</v>
      </c>
      <c r="I37" s="609">
        <f>+F37-H37</f>
        <v>0</v>
      </c>
      <c r="J37" s="609">
        <f>+NOMINA!BS41</f>
        <v>286.25</v>
      </c>
      <c r="K37" s="609">
        <f>+G37-J37</f>
        <v>0</v>
      </c>
      <c r="L37" s="609"/>
    </row>
    <row r="38" spans="1:12" ht="15.75" customHeight="1">
      <c r="A38" s="610"/>
      <c r="B38" s="954"/>
      <c r="C38" s="954"/>
      <c r="D38" s="954"/>
      <c r="E38" s="611"/>
      <c r="F38" s="955"/>
      <c r="G38" s="608"/>
      <c r="H38" s="608"/>
      <c r="I38" s="609"/>
      <c r="J38" s="609"/>
      <c r="K38" s="609"/>
      <c r="L38" s="609"/>
    </row>
    <row r="39" spans="1:12" ht="15.75" customHeight="1">
      <c r="A39" s="610"/>
      <c r="B39" s="612"/>
      <c r="C39" s="612"/>
      <c r="D39" s="612"/>
      <c r="E39" s="611"/>
      <c r="F39" s="613"/>
      <c r="G39" s="608"/>
      <c r="H39" s="608"/>
      <c r="I39" s="609"/>
      <c r="J39" s="609"/>
      <c r="K39" s="609"/>
      <c r="L39" s="609"/>
    </row>
    <row r="40" spans="1:12" ht="15.75" customHeight="1">
      <c r="A40" s="610"/>
      <c r="B40" s="612"/>
      <c r="C40" s="612"/>
      <c r="D40" s="612"/>
      <c r="E40" s="611"/>
      <c r="F40" s="613"/>
      <c r="G40" s="608"/>
      <c r="H40" s="608"/>
      <c r="I40" s="609"/>
      <c r="J40" s="609"/>
      <c r="K40" s="609"/>
      <c r="L40" s="609"/>
    </row>
    <row r="41" spans="1:12" ht="15.75" customHeight="1">
      <c r="A41" s="610"/>
      <c r="B41" s="612"/>
      <c r="C41" s="612"/>
      <c r="D41" s="612"/>
      <c r="E41" s="611"/>
      <c r="F41" s="613"/>
      <c r="G41" s="608"/>
      <c r="H41" s="608"/>
      <c r="I41" s="609"/>
      <c r="J41" s="609"/>
      <c r="K41" s="609"/>
      <c r="L41" s="609"/>
    </row>
    <row r="42" spans="1:12" ht="15.75" customHeight="1">
      <c r="A42" s="610"/>
      <c r="B42" s="612"/>
      <c r="C42" s="612"/>
      <c r="D42" s="612"/>
      <c r="E42" s="611"/>
      <c r="F42" s="613"/>
      <c r="G42" s="608"/>
      <c r="H42" s="608"/>
      <c r="I42" s="609"/>
      <c r="J42" s="609"/>
      <c r="K42" s="609"/>
      <c r="L42" s="609"/>
    </row>
    <row r="43" spans="1:12" ht="15.75" customHeight="1">
      <c r="A43" s="610"/>
      <c r="B43" s="612"/>
      <c r="C43" s="604" t="s">
        <v>5840</v>
      </c>
      <c r="F43" s="604" t="s">
        <v>5841</v>
      </c>
      <c r="G43" s="608"/>
      <c r="H43" s="608"/>
      <c r="I43" s="609"/>
      <c r="J43" s="609"/>
      <c r="K43" s="609"/>
      <c r="L43" s="609"/>
    </row>
    <row r="44" spans="1:12" ht="15.75" customHeight="1">
      <c r="A44" s="610"/>
      <c r="B44" s="612"/>
      <c r="G44" s="608"/>
      <c r="H44" s="608"/>
      <c r="I44" s="609"/>
      <c r="J44" s="609"/>
      <c r="K44" s="609"/>
      <c r="L44" s="609"/>
    </row>
    <row r="45" spans="1:12" ht="15.75" customHeight="1">
      <c r="A45" s="610"/>
      <c r="B45" s="612"/>
      <c r="G45" s="608"/>
      <c r="H45" s="608"/>
      <c r="I45" s="609"/>
      <c r="J45" s="609"/>
      <c r="K45" s="609"/>
      <c r="L45" s="609"/>
    </row>
    <row r="46" spans="1:12" ht="15.75" customHeight="1">
      <c r="A46" s="610"/>
      <c r="B46" s="612"/>
      <c r="C46" s="614" t="s">
        <v>5842</v>
      </c>
      <c r="F46" s="615" t="s">
        <v>5843</v>
      </c>
      <c r="G46" s="608"/>
      <c r="H46" s="608"/>
      <c r="I46" s="609"/>
      <c r="J46" s="609"/>
      <c r="K46" s="609"/>
      <c r="L46" s="609"/>
    </row>
    <row r="47" spans="1:12" ht="15.75" customHeight="1">
      <c r="A47" s="610"/>
      <c r="B47" s="612"/>
      <c r="C47" s="614" t="s">
        <v>5844</v>
      </c>
      <c r="F47" s="614" t="s">
        <v>5845</v>
      </c>
      <c r="G47" s="608"/>
      <c r="H47" s="608"/>
      <c r="I47" s="609"/>
      <c r="J47" s="609"/>
      <c r="K47" s="609"/>
      <c r="L47" s="609"/>
    </row>
    <row r="48" spans="1:12" ht="15.75" customHeight="1">
      <c r="A48" s="610"/>
      <c r="B48" s="612"/>
      <c r="C48" s="612"/>
      <c r="D48" s="612"/>
      <c r="E48" s="611"/>
      <c r="F48" s="613"/>
      <c r="G48" s="608"/>
      <c r="H48" s="608"/>
      <c r="I48" s="609"/>
      <c r="J48" s="609"/>
      <c r="K48" s="609"/>
      <c r="L48" s="609"/>
    </row>
    <row r="49" spans="1:12" ht="15.75" customHeight="1">
      <c r="A49" s="606" t="s">
        <v>4561</v>
      </c>
      <c r="B49" s="949"/>
      <c r="C49" s="949"/>
      <c r="D49" s="949"/>
      <c r="E49" s="952"/>
      <c r="F49" s="953"/>
      <c r="G49" s="953"/>
      <c r="H49" s="608"/>
      <c r="I49" s="609"/>
      <c r="J49" s="609"/>
      <c r="K49" s="609"/>
      <c r="L49" s="609"/>
    </row>
    <row r="50" spans="1:12" ht="15.75" customHeight="1">
      <c r="A50" s="951">
        <v>1</v>
      </c>
      <c r="B50" s="949">
        <f>+NOMINA!C43</f>
        <v>4324055</v>
      </c>
      <c r="C50" s="949" t="str">
        <f>+NOMINA!D43</f>
        <v>Mejia Linares Alexis de Jesus</v>
      </c>
      <c r="D50" s="949" t="str">
        <f>+NOMINA!O43</f>
        <v>Abogado II</v>
      </c>
      <c r="E50" s="952">
        <f>+NOMINA!H43</f>
        <v>44470</v>
      </c>
      <c r="F50" s="953">
        <f>+NOMINA!BR43</f>
        <v>43.13</v>
      </c>
      <c r="G50" s="953">
        <f>+NOMINA!BS43</f>
        <v>9.58</v>
      </c>
      <c r="H50" s="608"/>
      <c r="I50" s="609"/>
      <c r="J50" s="609"/>
      <c r="K50" s="609"/>
      <c r="L50" s="609"/>
    </row>
    <row r="51" spans="1:12" ht="15.75" customHeight="1">
      <c r="A51" s="951">
        <f>+A50+1</f>
        <v>2</v>
      </c>
      <c r="B51" s="949">
        <f>+NOMINA!C44</f>
        <v>4657974</v>
      </c>
      <c r="C51" s="949" t="str">
        <f>+NOMINA!D44</f>
        <v>Balestrini Nuñez Ulises Ramon</v>
      </c>
      <c r="D51" s="949" t="str">
        <f>+NOMINA!O44</f>
        <v>Promotor Cultural I</v>
      </c>
      <c r="E51" s="952">
        <f>+NOMINA!H44</f>
        <v>39463</v>
      </c>
      <c r="F51" s="953">
        <f>+NOMINA!BR44</f>
        <v>28.52</v>
      </c>
      <c r="G51" s="953">
        <f>+NOMINA!BS44</f>
        <v>6.34</v>
      </c>
      <c r="H51" s="608"/>
      <c r="I51" s="609"/>
      <c r="J51" s="609"/>
      <c r="K51" s="609"/>
      <c r="L51" s="609"/>
    </row>
    <row r="52" spans="1:12" ht="15.75" customHeight="1">
      <c r="A52" s="951">
        <f t="shared" ref="A52:A115" si="1">+A51+1</f>
        <v>3</v>
      </c>
      <c r="B52" s="949">
        <f>+NOMINA!C45</f>
        <v>5762861</v>
      </c>
      <c r="C52" s="949" t="str">
        <f>+NOMINA!D45</f>
        <v>Aldana Duran Delia Mercedes</v>
      </c>
      <c r="D52" s="949" t="str">
        <f>+NOMINA!O45</f>
        <v>Jefe de Centro</v>
      </c>
      <c r="E52" s="952">
        <f>+NOMINA!H45</f>
        <v>37851</v>
      </c>
      <c r="F52" s="953">
        <f>+NOMINA!BR45</f>
        <v>0</v>
      </c>
      <c r="G52" s="953">
        <f>+NOMINA!BS45</f>
        <v>0</v>
      </c>
      <c r="H52" s="608"/>
      <c r="I52" s="609"/>
      <c r="J52" s="609"/>
      <c r="K52" s="609"/>
      <c r="L52" s="609"/>
    </row>
    <row r="53" spans="1:12" ht="15.75" customHeight="1">
      <c r="A53" s="951">
        <f t="shared" si="1"/>
        <v>4</v>
      </c>
      <c r="B53" s="949">
        <f>+NOMINA!C46</f>
        <v>5782060</v>
      </c>
      <c r="C53" s="949" t="str">
        <f>+NOMINA!D46</f>
        <v>Linares Araujo Adolfo Jose</v>
      </c>
      <c r="D53" s="949" t="str">
        <f>+NOMINA!O46</f>
        <v>Asistente Administrativo III</v>
      </c>
      <c r="E53" s="952">
        <f>+NOMINA!H46</f>
        <v>39539</v>
      </c>
      <c r="F53" s="953">
        <f>+NOMINA!BR46</f>
        <v>39.909999999999997</v>
      </c>
      <c r="G53" s="953">
        <f>+NOMINA!BS46</f>
        <v>8.8699999999999992</v>
      </c>
      <c r="H53" s="608"/>
      <c r="I53" s="609"/>
      <c r="J53" s="609"/>
      <c r="K53" s="609"/>
      <c r="L53" s="609"/>
    </row>
    <row r="54" spans="1:12" ht="15.75" customHeight="1">
      <c r="A54" s="951">
        <f t="shared" si="1"/>
        <v>5</v>
      </c>
      <c r="B54" s="949">
        <f>+NOMINA!C47</f>
        <v>5790501</v>
      </c>
      <c r="C54" s="949" t="str">
        <f>+NOMINA!D47</f>
        <v>Castellanos de Araujo Maria Eustoquia</v>
      </c>
      <c r="D54" s="949" t="str">
        <f>+NOMINA!O47</f>
        <v>Asistente de Analista III</v>
      </c>
      <c r="E54" s="952">
        <f>+NOMINA!H47</f>
        <v>39707</v>
      </c>
      <c r="F54" s="953">
        <f>+NOMINA!BR47</f>
        <v>42.95</v>
      </c>
      <c r="G54" s="953">
        <f>+NOMINA!BS47</f>
        <v>9.5500000000000007</v>
      </c>
      <c r="H54" s="608"/>
      <c r="I54" s="609"/>
      <c r="J54" s="609"/>
      <c r="K54" s="609"/>
      <c r="L54" s="609"/>
    </row>
    <row r="55" spans="1:12" ht="15.75" customHeight="1">
      <c r="A55" s="951">
        <f t="shared" si="1"/>
        <v>6</v>
      </c>
      <c r="B55" s="949">
        <f>+NOMINA!C48</f>
        <v>7744688</v>
      </c>
      <c r="C55" s="949" t="str">
        <f>+NOMINA!D48</f>
        <v>Aguilera Carroz Gerardo Raul</v>
      </c>
      <c r="D55" s="949" t="str">
        <f>+NOMINA!O48</f>
        <v>Asistente Administrativo III</v>
      </c>
      <c r="E55" s="952">
        <f>+NOMINA!H48</f>
        <v>44713</v>
      </c>
      <c r="F55" s="953">
        <f>+NOMINA!BR48</f>
        <v>32.479999999999997</v>
      </c>
      <c r="G55" s="953">
        <f>+NOMINA!BS48</f>
        <v>7.22</v>
      </c>
      <c r="H55" s="608"/>
      <c r="I55" s="609"/>
      <c r="J55" s="609"/>
      <c r="K55" s="609"/>
      <c r="L55" s="609"/>
    </row>
    <row r="56" spans="1:12" ht="15.75" customHeight="1">
      <c r="A56" s="951">
        <f t="shared" si="1"/>
        <v>7</v>
      </c>
      <c r="B56" s="949">
        <f>+NOMINA!C49</f>
        <v>7890070</v>
      </c>
      <c r="C56" s="949" t="str">
        <f>+NOMINA!D49</f>
        <v>Pacheco Bermudez Bebsabeth Coromoto</v>
      </c>
      <c r="D56" s="949" t="str">
        <f>+NOMINA!O49</f>
        <v>Guia de Centro II</v>
      </c>
      <c r="E56" s="952">
        <f>+NOMINA!H49</f>
        <v>38930</v>
      </c>
      <c r="F56" s="953">
        <f>+NOMINA!BR49</f>
        <v>29.92</v>
      </c>
      <c r="G56" s="953">
        <f>+NOMINA!BS49</f>
        <v>6.65</v>
      </c>
      <c r="H56" s="608"/>
      <c r="I56" s="609"/>
      <c r="J56" s="609"/>
      <c r="K56" s="609"/>
      <c r="L56" s="609"/>
    </row>
    <row r="57" spans="1:12" ht="15.75" customHeight="1">
      <c r="A57" s="951">
        <f t="shared" si="1"/>
        <v>8</v>
      </c>
      <c r="B57" s="949">
        <f>+NOMINA!C50</f>
        <v>8719807</v>
      </c>
      <c r="C57" s="949" t="str">
        <f>+NOMINA!D50</f>
        <v>Perez Saavedra Isabel Teresa</v>
      </c>
      <c r="D57" s="949" t="str">
        <f>+NOMINA!O50</f>
        <v>Abogado Jefe</v>
      </c>
      <c r="E57" s="952">
        <f>+NOMINA!H50</f>
        <v>39874</v>
      </c>
      <c r="F57" s="953">
        <f>+NOMINA!BR50</f>
        <v>0</v>
      </c>
      <c r="G57" s="953">
        <f>+NOMINA!BS50</f>
        <v>0</v>
      </c>
      <c r="H57" s="608"/>
      <c r="I57" s="609"/>
      <c r="J57" s="609"/>
      <c r="K57" s="609"/>
      <c r="L57" s="609"/>
    </row>
    <row r="58" spans="1:12" ht="15.75" customHeight="1">
      <c r="A58" s="951">
        <f t="shared" si="1"/>
        <v>9</v>
      </c>
      <c r="B58" s="949">
        <f>+NOMINA!C51</f>
        <v>8266170</v>
      </c>
      <c r="C58" s="949" t="str">
        <f>+NOMINA!D51</f>
        <v>Aguana Sanchez Yraida Josefina</v>
      </c>
      <c r="D58" s="949" t="str">
        <f>+NOMINA!O51</f>
        <v>Guia de Centro I</v>
      </c>
      <c r="E58" s="952">
        <f>+NOMINA!H51</f>
        <v>45323</v>
      </c>
      <c r="F58" s="953">
        <f>+NOMINA!BR51</f>
        <v>46.45</v>
      </c>
      <c r="G58" s="953">
        <f>+NOMINA!BS51</f>
        <v>10.32</v>
      </c>
      <c r="H58" s="608"/>
      <c r="I58" s="609"/>
      <c r="J58" s="609"/>
      <c r="K58" s="609"/>
      <c r="L58" s="609"/>
    </row>
    <row r="59" spans="1:12" ht="15.75" customHeight="1">
      <c r="A59" s="951">
        <f t="shared" si="1"/>
        <v>10</v>
      </c>
      <c r="B59" s="949">
        <f>+NOMINA!C52</f>
        <v>9162178</v>
      </c>
      <c r="C59" s="949" t="str">
        <f>+NOMINA!D52</f>
        <v>Duarte de Bastidas Gladys Margarita</v>
      </c>
      <c r="D59" s="949" t="str">
        <f>+NOMINA!O52</f>
        <v>Guia de Centro II</v>
      </c>
      <c r="E59" s="952">
        <f>+NOMINA!H52</f>
        <v>39566</v>
      </c>
      <c r="F59" s="953">
        <f>+NOMINA!BR52</f>
        <v>38.130000000000003</v>
      </c>
      <c r="G59" s="953">
        <f>+NOMINA!BS52</f>
        <v>8.4700000000000006</v>
      </c>
      <c r="H59" s="608"/>
      <c r="I59" s="609"/>
      <c r="J59" s="609"/>
      <c r="K59" s="609"/>
      <c r="L59" s="609"/>
    </row>
    <row r="60" spans="1:12" ht="15.75" customHeight="1">
      <c r="A60" s="951">
        <f t="shared" si="1"/>
        <v>11</v>
      </c>
      <c r="B60" s="949">
        <f>+NOMINA!C53</f>
        <v>9162243</v>
      </c>
      <c r="C60" s="949" t="str">
        <f>+NOMINA!D53</f>
        <v>Valera Borrero Marcos Tulio</v>
      </c>
      <c r="D60" s="949" t="str">
        <f>+NOMINA!O53</f>
        <v>Guia de Centro II</v>
      </c>
      <c r="E60" s="952">
        <f>+NOMINA!H53</f>
        <v>35535</v>
      </c>
      <c r="F60" s="953">
        <f>+NOMINA!BR53</f>
        <v>29.92</v>
      </c>
      <c r="G60" s="953">
        <f>+NOMINA!BS53</f>
        <v>6.65</v>
      </c>
      <c r="H60" s="608"/>
      <c r="I60" s="609"/>
      <c r="J60" s="609"/>
      <c r="K60" s="609"/>
      <c r="L60" s="609"/>
    </row>
    <row r="61" spans="1:12" ht="15.75" customHeight="1">
      <c r="A61" s="951">
        <f t="shared" si="1"/>
        <v>12</v>
      </c>
      <c r="B61" s="949">
        <f>+NOMINA!C54</f>
        <v>9170647</v>
      </c>
      <c r="C61" s="949" t="str">
        <f>+NOMINA!D54</f>
        <v>Torres Gonzalez Meris Del Carmen</v>
      </c>
      <c r="D61" s="949" t="str">
        <f>+NOMINA!O54</f>
        <v>Guia de Centro II</v>
      </c>
      <c r="E61" s="952">
        <f>+NOMINA!H54</f>
        <v>39238</v>
      </c>
      <c r="F61" s="953">
        <f>+NOMINA!BR54</f>
        <v>52.35</v>
      </c>
      <c r="G61" s="953">
        <f>+NOMINA!BS54</f>
        <v>11.63</v>
      </c>
      <c r="H61" s="608"/>
      <c r="I61" s="609"/>
      <c r="J61" s="609"/>
      <c r="K61" s="609"/>
      <c r="L61" s="609"/>
    </row>
    <row r="62" spans="1:12" ht="15.75" customHeight="1">
      <c r="A62" s="951">
        <f t="shared" si="1"/>
        <v>13</v>
      </c>
      <c r="B62" s="949">
        <f>+NOMINA!C55</f>
        <v>9177323</v>
      </c>
      <c r="C62" s="949" t="str">
        <f>+NOMINA!D55</f>
        <v>Simancas De Mendoza Alix Josefina</v>
      </c>
      <c r="D62" s="949" t="str">
        <f>+NOMINA!O55</f>
        <v>Asistente Administrativo III</v>
      </c>
      <c r="E62" s="952">
        <f>+NOMINA!H55</f>
        <v>37879</v>
      </c>
      <c r="F62" s="953">
        <f>+NOMINA!BR55</f>
        <v>0</v>
      </c>
      <c r="G62" s="953">
        <f>+NOMINA!BS55</f>
        <v>0</v>
      </c>
      <c r="H62" s="608"/>
      <c r="I62" s="609"/>
      <c r="J62" s="609"/>
      <c r="K62" s="609"/>
      <c r="L62" s="609"/>
    </row>
    <row r="63" spans="1:12" ht="15.75" customHeight="1">
      <c r="A63" s="951">
        <f t="shared" si="1"/>
        <v>14</v>
      </c>
      <c r="B63" s="949">
        <f>+NOMINA!C56</f>
        <v>9178087</v>
      </c>
      <c r="C63" s="949" t="str">
        <f>+NOMINA!D56</f>
        <v>Saavedra Juan Jose</v>
      </c>
      <c r="D63" s="949" t="str">
        <f>+NOMINA!O56</f>
        <v>Asistente Administrativo III</v>
      </c>
      <c r="E63" s="952">
        <f>+NOMINA!H56</f>
        <v>37622</v>
      </c>
      <c r="F63" s="953">
        <f>+NOMINA!BR56</f>
        <v>29.86</v>
      </c>
      <c r="G63" s="953">
        <f>+NOMINA!BS56</f>
        <v>6.63</v>
      </c>
      <c r="H63" s="608"/>
      <c r="I63" s="609"/>
      <c r="J63" s="609"/>
      <c r="K63" s="609"/>
      <c r="L63" s="609"/>
    </row>
    <row r="64" spans="1:12" ht="15.75" customHeight="1">
      <c r="A64" s="951">
        <f t="shared" si="1"/>
        <v>15</v>
      </c>
      <c r="B64" s="949">
        <f>+NOMINA!C57</f>
        <v>9179981</v>
      </c>
      <c r="C64" s="949" t="str">
        <f>+NOMINA!D57</f>
        <v>Manzanilla Molina Alfredo Jose</v>
      </c>
      <c r="D64" s="949" t="str">
        <f>+NOMINA!O57</f>
        <v>Instructor Agropecuario III</v>
      </c>
      <c r="E64" s="952">
        <f>+NOMINA!H57</f>
        <v>45597</v>
      </c>
      <c r="F64" s="953">
        <f>+NOMINA!BR57</f>
        <v>37.369999999999997</v>
      </c>
      <c r="G64" s="953">
        <f>+NOMINA!BS57</f>
        <v>8.3000000000000007</v>
      </c>
      <c r="H64" s="608"/>
      <c r="I64" s="609"/>
      <c r="J64" s="609"/>
      <c r="K64" s="609"/>
      <c r="L64" s="609"/>
    </row>
    <row r="65" spans="1:12" ht="15.75" customHeight="1">
      <c r="A65" s="951">
        <f t="shared" si="1"/>
        <v>16</v>
      </c>
      <c r="B65" s="949">
        <f>+NOMINA!C58</f>
        <v>9311822</v>
      </c>
      <c r="C65" s="949" t="str">
        <f>+NOMINA!D58</f>
        <v>Rojo Sanchez Alexis O.</v>
      </c>
      <c r="D65" s="949" t="str">
        <f>+NOMINA!O58</f>
        <v>Asistente Administrativo III</v>
      </c>
      <c r="E65" s="952">
        <f>+NOMINA!H58</f>
        <v>37662</v>
      </c>
      <c r="F65" s="953">
        <f>+NOMINA!BR58</f>
        <v>0</v>
      </c>
      <c r="G65" s="953">
        <f>+NOMINA!BS58</f>
        <v>0</v>
      </c>
      <c r="H65" s="608"/>
      <c r="I65" s="609"/>
      <c r="J65" s="609"/>
      <c r="K65" s="609"/>
      <c r="L65" s="609"/>
    </row>
    <row r="66" spans="1:12" ht="15.75" customHeight="1">
      <c r="A66" s="951">
        <f t="shared" si="1"/>
        <v>17</v>
      </c>
      <c r="B66" s="949">
        <f>+NOMINA!C59</f>
        <v>9315117</v>
      </c>
      <c r="C66" s="949" t="str">
        <f>+NOMINA!D59</f>
        <v>Palma de Briceño Sonia Josefina</v>
      </c>
      <c r="D66" s="949" t="str">
        <f>+NOMINA!O59</f>
        <v>Analista de Personal V</v>
      </c>
      <c r="E66" s="952">
        <f>+NOMINA!H59</f>
        <v>38412</v>
      </c>
      <c r="F66" s="953">
        <f>+NOMINA!BR59</f>
        <v>50.58</v>
      </c>
      <c r="G66" s="953">
        <f>+NOMINA!BS59</f>
        <v>11.24</v>
      </c>
      <c r="H66" s="608"/>
      <c r="I66" s="609"/>
      <c r="J66" s="609"/>
      <c r="K66" s="609"/>
      <c r="L66" s="609"/>
    </row>
    <row r="67" spans="1:12" ht="15.75" customHeight="1">
      <c r="A67" s="951">
        <f t="shared" si="1"/>
        <v>18</v>
      </c>
      <c r="B67" s="949">
        <f>+NOMINA!C60</f>
        <v>9315325</v>
      </c>
      <c r="C67" s="949" t="str">
        <f>+NOMINA!D60</f>
        <v>Gonzalez Hernandez Marianela</v>
      </c>
      <c r="D67" s="949" t="str">
        <f>+NOMINA!O60</f>
        <v>Asistente Administrativo IV</v>
      </c>
      <c r="E67" s="952">
        <f>+NOMINA!H60</f>
        <v>39678</v>
      </c>
      <c r="F67" s="953">
        <f>+NOMINA!BR60</f>
        <v>40.869999999999997</v>
      </c>
      <c r="G67" s="953">
        <f>+NOMINA!BS60</f>
        <v>9.08</v>
      </c>
      <c r="H67" s="608"/>
      <c r="I67" s="609"/>
      <c r="J67" s="609"/>
      <c r="K67" s="609"/>
      <c r="L67" s="609"/>
    </row>
    <row r="68" spans="1:12" ht="15.75" customHeight="1">
      <c r="A68" s="951">
        <f t="shared" si="1"/>
        <v>19</v>
      </c>
      <c r="B68" s="949">
        <f>+NOMINA!C61</f>
        <v>9316224</v>
      </c>
      <c r="C68" s="949" t="str">
        <f>+NOMINA!D61</f>
        <v>Sanchez Barrios Magalis del Carmen</v>
      </c>
      <c r="D68" s="949" t="str">
        <f>+NOMINA!O61</f>
        <v>Tecnico Superior en Trabajo Social II</v>
      </c>
      <c r="E68" s="952">
        <f>+NOMINA!H61</f>
        <v>44317</v>
      </c>
      <c r="F68" s="953">
        <f>+NOMINA!BR61</f>
        <v>35.450000000000003</v>
      </c>
      <c r="G68" s="953">
        <f>+NOMINA!BS61</f>
        <v>7.88</v>
      </c>
      <c r="H68" s="608"/>
      <c r="I68" s="609"/>
      <c r="J68" s="609"/>
      <c r="K68" s="609"/>
      <c r="L68" s="609"/>
    </row>
    <row r="69" spans="1:12" ht="15.75" customHeight="1">
      <c r="A69" s="951">
        <f t="shared" si="1"/>
        <v>20</v>
      </c>
      <c r="B69" s="949">
        <f>+NOMINA!C62</f>
        <v>9323927</v>
      </c>
      <c r="C69" s="949" t="str">
        <f>+NOMINA!D62</f>
        <v>Cardozo Garcia Jorge Antonio</v>
      </c>
      <c r="D69" s="949" t="str">
        <f>+NOMINA!O62</f>
        <v>Guia de Centro II</v>
      </c>
      <c r="E69" s="952">
        <f>+NOMINA!H62</f>
        <v>35704</v>
      </c>
      <c r="F69" s="953">
        <f>+NOMINA!BR62</f>
        <v>29.92</v>
      </c>
      <c r="G69" s="953">
        <f>+NOMINA!BS62</f>
        <v>6.65</v>
      </c>
      <c r="H69" s="608"/>
      <c r="I69" s="609"/>
      <c r="J69" s="609"/>
      <c r="K69" s="609"/>
      <c r="L69" s="609"/>
    </row>
    <row r="70" spans="1:12" ht="15.75" customHeight="1">
      <c r="A70" s="951">
        <f t="shared" si="1"/>
        <v>21</v>
      </c>
      <c r="B70" s="949">
        <f>+NOMINA!C63</f>
        <v>9327253</v>
      </c>
      <c r="C70" s="949" t="str">
        <f>+NOMINA!D63</f>
        <v>Garcia Araujo Jose Domingo</v>
      </c>
      <c r="D70" s="949" t="str">
        <f>+NOMINA!O63</f>
        <v>Analista de Presupuesto III</v>
      </c>
      <c r="E70" s="952">
        <f>+NOMINA!H63</f>
        <v>38930</v>
      </c>
      <c r="F70" s="953">
        <f>+NOMINA!BR63</f>
        <v>41.12</v>
      </c>
      <c r="G70" s="953">
        <f>+NOMINA!BS63</f>
        <v>9.14</v>
      </c>
      <c r="H70" s="608"/>
      <c r="I70" s="609"/>
      <c r="J70" s="609"/>
      <c r="K70" s="609"/>
      <c r="L70" s="609"/>
    </row>
    <row r="71" spans="1:12" ht="15.75" customHeight="1">
      <c r="A71" s="951">
        <f t="shared" si="1"/>
        <v>22</v>
      </c>
      <c r="B71" s="949">
        <f>+NOMINA!C64</f>
        <v>9328157</v>
      </c>
      <c r="C71" s="949" t="str">
        <f>+NOMINA!D64</f>
        <v>Perez Salas Olga Margarita</v>
      </c>
      <c r="D71" s="949" t="str">
        <f>+NOMINA!O64</f>
        <v>Guia de Centro II</v>
      </c>
      <c r="E71" s="952">
        <f>+NOMINA!H64</f>
        <v>41153</v>
      </c>
      <c r="F71" s="953">
        <f>+NOMINA!BR64</f>
        <v>27.25</v>
      </c>
      <c r="G71" s="953">
        <f>+NOMINA!BS64</f>
        <v>6.06</v>
      </c>
      <c r="H71" s="608"/>
      <c r="I71" s="609"/>
      <c r="J71" s="609"/>
      <c r="K71" s="609"/>
      <c r="L71" s="609"/>
    </row>
    <row r="72" spans="1:12" ht="15.75" customHeight="1">
      <c r="A72" s="951">
        <f t="shared" si="1"/>
        <v>23</v>
      </c>
      <c r="B72" s="949">
        <f>+NOMINA!C65</f>
        <v>9328224</v>
      </c>
      <c r="C72" s="949" t="str">
        <f>+NOMINA!D65</f>
        <v>Abreu Araujo Omar Antonio</v>
      </c>
      <c r="D72" s="949" t="str">
        <f>+NOMINA!O65</f>
        <v>Tecnico Agropecuario III</v>
      </c>
      <c r="E72" s="952">
        <f>+NOMINA!H65</f>
        <v>39356</v>
      </c>
      <c r="F72" s="953">
        <f>+NOMINA!BR65</f>
        <v>34.36</v>
      </c>
      <c r="G72" s="953">
        <f>+NOMINA!BS65</f>
        <v>7.64</v>
      </c>
      <c r="H72" s="608"/>
      <c r="I72" s="609"/>
      <c r="J72" s="609"/>
      <c r="K72" s="609"/>
      <c r="L72" s="609"/>
    </row>
    <row r="73" spans="1:12" ht="15.75" customHeight="1">
      <c r="A73" s="951">
        <f t="shared" si="1"/>
        <v>24</v>
      </c>
      <c r="B73" s="949">
        <f>+NOMINA!C66</f>
        <v>9495661</v>
      </c>
      <c r="C73" s="949" t="str">
        <f>+NOMINA!D66</f>
        <v>Aguial Carrillo Gregoria Coromoto</v>
      </c>
      <c r="D73" s="949" t="str">
        <f>+NOMINA!O66</f>
        <v>Jefe de Centro</v>
      </c>
      <c r="E73" s="952">
        <f>+NOMINA!H66</f>
        <v>39692</v>
      </c>
      <c r="F73" s="953">
        <f>+NOMINA!BR66</f>
        <v>0</v>
      </c>
      <c r="G73" s="953">
        <f>+NOMINA!BS66</f>
        <v>0</v>
      </c>
      <c r="H73" s="608"/>
      <c r="I73" s="609"/>
      <c r="J73" s="609"/>
      <c r="K73" s="609"/>
      <c r="L73" s="609"/>
    </row>
    <row r="74" spans="1:12" ht="15.75" customHeight="1">
      <c r="A74" s="951">
        <f t="shared" si="1"/>
        <v>25</v>
      </c>
      <c r="B74" s="949">
        <f>+NOMINA!C67</f>
        <v>9496860</v>
      </c>
      <c r="C74" s="949" t="str">
        <f>+NOMINA!D67</f>
        <v>Hernandez Valero Jose Alfredo</v>
      </c>
      <c r="D74" s="949" t="str">
        <f>+NOMINA!O67</f>
        <v>AUDITOR III</v>
      </c>
      <c r="E74" s="952">
        <f>+NOMINA!H67</f>
        <v>43877</v>
      </c>
      <c r="F74" s="953">
        <f>+NOMINA!BR67</f>
        <v>47.36</v>
      </c>
      <c r="G74" s="953">
        <f>+NOMINA!BS67</f>
        <v>10.52</v>
      </c>
      <c r="H74" s="608"/>
      <c r="I74" s="609"/>
      <c r="J74" s="609"/>
      <c r="K74" s="609"/>
      <c r="L74" s="609"/>
    </row>
    <row r="75" spans="1:12" ht="15.75" customHeight="1">
      <c r="A75" s="951">
        <f t="shared" si="1"/>
        <v>26</v>
      </c>
      <c r="B75" s="949">
        <f>+NOMINA!C68</f>
        <v>9497151</v>
      </c>
      <c r="C75" s="949" t="str">
        <f>+NOMINA!D68</f>
        <v>Mendoza Vieras Pedro Luis</v>
      </c>
      <c r="D75" s="949" t="str">
        <f>+NOMINA!O68</f>
        <v>Ingeniero Industrial II</v>
      </c>
      <c r="E75" s="952">
        <f>+NOMINA!H68</f>
        <v>36770</v>
      </c>
      <c r="F75" s="953">
        <f>+NOMINA!BR68</f>
        <v>52.25</v>
      </c>
      <c r="G75" s="953">
        <f>+NOMINA!BS68</f>
        <v>11.61</v>
      </c>
      <c r="H75" s="608"/>
      <c r="I75" s="609"/>
      <c r="J75" s="609"/>
      <c r="K75" s="609"/>
      <c r="L75" s="609"/>
    </row>
    <row r="76" spans="1:12" ht="15.75" customHeight="1">
      <c r="A76" s="951">
        <f t="shared" si="1"/>
        <v>27</v>
      </c>
      <c r="B76" s="949">
        <f>+NOMINA!C69</f>
        <v>10033119</v>
      </c>
      <c r="C76" s="949" t="str">
        <f>+NOMINA!D69</f>
        <v>Artigas de Hernandez Ana Maria</v>
      </c>
      <c r="D76" s="949" t="str">
        <f>+NOMINA!O69</f>
        <v>Tutor Facilitador III</v>
      </c>
      <c r="E76" s="952">
        <f>+NOMINA!H69</f>
        <v>43359</v>
      </c>
      <c r="F76" s="953">
        <f>+NOMINA!BR69</f>
        <v>44.27</v>
      </c>
      <c r="G76" s="953">
        <f>+NOMINA!BS69</f>
        <v>9.84</v>
      </c>
      <c r="H76" s="608"/>
      <c r="I76" s="609"/>
      <c r="J76" s="609"/>
      <c r="K76" s="609"/>
      <c r="L76" s="609"/>
    </row>
    <row r="77" spans="1:12" ht="15.75" customHeight="1">
      <c r="A77" s="951">
        <f t="shared" si="1"/>
        <v>28</v>
      </c>
      <c r="B77" s="949">
        <f>+NOMINA!C70</f>
        <v>10035540</v>
      </c>
      <c r="C77" s="949" t="str">
        <f>+NOMINA!D70</f>
        <v xml:space="preserve">Linares Linares Emma Teresa </v>
      </c>
      <c r="D77" s="949" t="str">
        <f>+NOMINA!O70</f>
        <v>Tecnico Superior en Trabajo Social II</v>
      </c>
      <c r="E77" s="952">
        <f>+NOMINA!H70</f>
        <v>43236</v>
      </c>
      <c r="F77" s="953">
        <f>+NOMINA!BR70</f>
        <v>37.869999999999997</v>
      </c>
      <c r="G77" s="953">
        <f>+NOMINA!BS70</f>
        <v>8.42</v>
      </c>
      <c r="H77" s="608"/>
      <c r="I77" s="609"/>
      <c r="J77" s="609"/>
      <c r="K77" s="609"/>
      <c r="L77" s="609"/>
    </row>
    <row r="78" spans="1:12" ht="15.75" customHeight="1">
      <c r="A78" s="951">
        <f t="shared" si="1"/>
        <v>29</v>
      </c>
      <c r="B78" s="949">
        <f>+NOMINA!C71</f>
        <v>10037054</v>
      </c>
      <c r="C78" s="949" t="str">
        <f>+NOMINA!D71</f>
        <v>Aguial Carrillo Deris Margarita</v>
      </c>
      <c r="D78" s="949" t="str">
        <f>+NOMINA!O71</f>
        <v>Guia de Centro II</v>
      </c>
      <c r="E78" s="952">
        <f>+NOMINA!H71</f>
        <v>39820</v>
      </c>
      <c r="F78" s="953">
        <f>+NOMINA!BR71</f>
        <v>36.770000000000003</v>
      </c>
      <c r="G78" s="953">
        <f>+NOMINA!BS71</f>
        <v>8.17</v>
      </c>
      <c r="H78" s="608"/>
      <c r="I78" s="609"/>
      <c r="J78" s="609"/>
      <c r="K78" s="609"/>
      <c r="L78" s="609"/>
    </row>
    <row r="79" spans="1:12" ht="15.75" customHeight="1">
      <c r="A79" s="951">
        <f t="shared" si="1"/>
        <v>30</v>
      </c>
      <c r="B79" s="949">
        <f>+NOMINA!C72</f>
        <v>10175616</v>
      </c>
      <c r="C79" s="949" t="str">
        <f>+NOMINA!D72</f>
        <v>Carrillo Prato Blanca Isabel</v>
      </c>
      <c r="D79" s="949" t="str">
        <f>+NOMINA!O72</f>
        <v>Medico jefe I</v>
      </c>
      <c r="E79" s="952">
        <f>+NOMINA!H72</f>
        <v>44228</v>
      </c>
      <c r="F79" s="953">
        <f>+NOMINA!BR72</f>
        <v>48.19</v>
      </c>
      <c r="G79" s="953">
        <f>+NOMINA!BS72</f>
        <v>10.71</v>
      </c>
      <c r="H79" s="608"/>
      <c r="I79" s="609"/>
      <c r="J79" s="609"/>
      <c r="K79" s="609"/>
      <c r="L79" s="609"/>
    </row>
    <row r="80" spans="1:12" ht="15.75" customHeight="1">
      <c r="A80" s="951">
        <f t="shared" si="1"/>
        <v>31</v>
      </c>
      <c r="B80" s="949">
        <f>+NOMINA!C73</f>
        <v>10257016</v>
      </c>
      <c r="C80" s="949" t="str">
        <f>+NOMINA!D73</f>
        <v>Torres Dulma Ramona</v>
      </c>
      <c r="D80" s="949" t="str">
        <f>+NOMINA!O73</f>
        <v>Tutor Facilitador III</v>
      </c>
      <c r="E80" s="952">
        <f>+NOMINA!H73</f>
        <v>35947</v>
      </c>
      <c r="F80" s="953">
        <f>+NOMINA!BR73</f>
        <v>52.25</v>
      </c>
      <c r="G80" s="953">
        <f>+NOMINA!BS73</f>
        <v>11.61</v>
      </c>
      <c r="H80" s="608"/>
      <c r="I80" s="609"/>
      <c r="J80" s="609"/>
      <c r="K80" s="609"/>
      <c r="L80" s="609"/>
    </row>
    <row r="81" spans="1:12" ht="15.75" customHeight="1">
      <c r="A81" s="951">
        <f t="shared" si="1"/>
        <v>32</v>
      </c>
      <c r="B81" s="949">
        <f>+NOMINA!C74</f>
        <v>10315803</v>
      </c>
      <c r="C81" s="949" t="str">
        <f>+NOMINA!D74</f>
        <v>Frias Jacson Daniel</v>
      </c>
      <c r="D81" s="949" t="str">
        <f>+NOMINA!O74</f>
        <v>Guia de Centro II</v>
      </c>
      <c r="E81" s="952">
        <f>+NOMINA!H74</f>
        <v>35415</v>
      </c>
      <c r="F81" s="953">
        <f>+NOMINA!BR74</f>
        <v>38.89</v>
      </c>
      <c r="G81" s="953">
        <f>+NOMINA!BS74</f>
        <v>8.64</v>
      </c>
      <c r="H81" s="608"/>
      <c r="I81" s="609"/>
      <c r="J81" s="609"/>
      <c r="K81" s="609"/>
      <c r="L81" s="609"/>
    </row>
    <row r="82" spans="1:12" ht="15.75" customHeight="1">
      <c r="A82" s="951">
        <f t="shared" si="1"/>
        <v>33</v>
      </c>
      <c r="B82" s="949">
        <f>+NOMINA!C75</f>
        <v>10319457</v>
      </c>
      <c r="C82" s="949" t="str">
        <f>+NOMINA!D75</f>
        <v>Marquez Marquez Maribel del Valle</v>
      </c>
      <c r="D82" s="949" t="str">
        <f>+NOMINA!O75</f>
        <v>Secretario Ejecutivo III</v>
      </c>
      <c r="E82" s="952">
        <f>+NOMINA!H75</f>
        <v>38831</v>
      </c>
      <c r="F82" s="953">
        <f>+NOMINA!BR75</f>
        <v>29.9</v>
      </c>
      <c r="G82" s="953">
        <f>+NOMINA!BS75</f>
        <v>6.64</v>
      </c>
      <c r="H82" s="608"/>
      <c r="I82" s="609"/>
      <c r="J82" s="609"/>
      <c r="K82" s="609"/>
      <c r="L82" s="609"/>
    </row>
    <row r="83" spans="1:12" ht="15.75" customHeight="1">
      <c r="A83" s="951">
        <f t="shared" si="1"/>
        <v>34</v>
      </c>
      <c r="B83" s="949">
        <f>+NOMINA!C76</f>
        <v>10396379</v>
      </c>
      <c r="C83" s="949" t="str">
        <f>+NOMINA!D76</f>
        <v>Ruiz Luis Alfonzo</v>
      </c>
      <c r="D83" s="949" t="str">
        <f>+NOMINA!O76</f>
        <v>ENTRENADOR DEPORTIVO II</v>
      </c>
      <c r="E83" s="952">
        <f>+NOMINA!H76</f>
        <v>44743</v>
      </c>
      <c r="F83" s="953">
        <f>+NOMINA!BR76</f>
        <v>21.82</v>
      </c>
      <c r="G83" s="953">
        <f>+NOMINA!BS76</f>
        <v>4.8499999999999996</v>
      </c>
      <c r="H83" s="608"/>
      <c r="I83" s="609"/>
      <c r="J83" s="609"/>
      <c r="K83" s="609"/>
      <c r="L83" s="609"/>
    </row>
    <row r="84" spans="1:12" ht="15.75" customHeight="1">
      <c r="A84" s="951">
        <f t="shared" si="1"/>
        <v>35</v>
      </c>
      <c r="B84" s="949">
        <f>+NOMINA!C77</f>
        <v>10398694</v>
      </c>
      <c r="C84" s="949" t="str">
        <f>+NOMINA!D77</f>
        <v>Santana Briceño Jose Gregorio</v>
      </c>
      <c r="D84" s="949" t="str">
        <f>+NOMINA!O77</f>
        <v>Guia de Centro I</v>
      </c>
      <c r="E84" s="952">
        <f>+NOMINA!H77</f>
        <v>44743</v>
      </c>
      <c r="F84" s="953">
        <f>+NOMINA!BR77</f>
        <v>55.26</v>
      </c>
      <c r="G84" s="953">
        <f>+NOMINA!BS77</f>
        <v>12.28</v>
      </c>
      <c r="H84" s="608"/>
      <c r="I84" s="609"/>
      <c r="J84" s="609"/>
      <c r="K84" s="609"/>
      <c r="L84" s="609"/>
    </row>
    <row r="85" spans="1:12" ht="15.75" customHeight="1">
      <c r="A85" s="951">
        <f t="shared" si="1"/>
        <v>36</v>
      </c>
      <c r="B85" s="949">
        <f>+NOMINA!C78</f>
        <v>10399064</v>
      </c>
      <c r="C85" s="949" t="str">
        <f>+NOMINA!D78</f>
        <v>Perdomo Perdomo Angela Aurora</v>
      </c>
      <c r="D85" s="949" t="str">
        <f>+NOMINA!O78</f>
        <v>Guia de Centro II</v>
      </c>
      <c r="E85" s="952">
        <f>+NOMINA!H78</f>
        <v>39328</v>
      </c>
      <c r="F85" s="953">
        <f>+NOMINA!BR78</f>
        <v>52.35</v>
      </c>
      <c r="G85" s="953">
        <f>+NOMINA!BS78</f>
        <v>11.63</v>
      </c>
      <c r="H85" s="608"/>
      <c r="I85" s="609"/>
      <c r="J85" s="609"/>
      <c r="K85" s="609"/>
      <c r="L85" s="609"/>
    </row>
    <row r="86" spans="1:12" ht="15.75" customHeight="1">
      <c r="A86" s="951">
        <f t="shared" si="1"/>
        <v>37</v>
      </c>
      <c r="B86" s="949">
        <f>+NOMINA!C79</f>
        <v>10400214</v>
      </c>
      <c r="C86" s="949" t="str">
        <f>+NOMINA!D79</f>
        <v>Bastidas Yanitza Del Valle</v>
      </c>
      <c r="D86" s="949" t="str">
        <f>+NOMINA!O79</f>
        <v>Guia de Centro II</v>
      </c>
      <c r="E86" s="952">
        <f>+NOMINA!H79</f>
        <v>41153</v>
      </c>
      <c r="F86" s="953">
        <f>+NOMINA!BR79</f>
        <v>50.03</v>
      </c>
      <c r="G86" s="953">
        <f>+NOMINA!BS79</f>
        <v>11.12</v>
      </c>
      <c r="H86" s="608"/>
      <c r="I86" s="609"/>
      <c r="J86" s="609"/>
      <c r="K86" s="609"/>
      <c r="L86" s="609"/>
    </row>
    <row r="87" spans="1:12" ht="15.75" customHeight="1">
      <c r="A87" s="951">
        <f t="shared" si="1"/>
        <v>38</v>
      </c>
      <c r="B87" s="949">
        <f>+NOMINA!C80</f>
        <v>10400365</v>
      </c>
      <c r="C87" s="949" t="str">
        <f>+NOMINA!D80</f>
        <v>Briceño Ruiz Sara Josefina</v>
      </c>
      <c r="D87" s="949" t="str">
        <f>+NOMINA!O80</f>
        <v>Supervisor de Servicios Generales IV</v>
      </c>
      <c r="E87" s="952">
        <f>+NOMINA!H80</f>
        <v>39328</v>
      </c>
      <c r="F87" s="953">
        <f>+NOMINA!BR80</f>
        <v>40.270000000000003</v>
      </c>
      <c r="G87" s="953">
        <f>+NOMINA!BS80</f>
        <v>8.9499999999999993</v>
      </c>
      <c r="H87" s="608"/>
      <c r="I87" s="609"/>
      <c r="J87" s="609"/>
      <c r="K87" s="609"/>
      <c r="L87" s="609"/>
    </row>
    <row r="88" spans="1:12" ht="15.75" customHeight="1">
      <c r="A88" s="951">
        <f t="shared" si="1"/>
        <v>39</v>
      </c>
      <c r="B88" s="949">
        <f>+NOMINA!C81</f>
        <v>10400876</v>
      </c>
      <c r="C88" s="949" t="str">
        <f>+NOMINA!D81</f>
        <v>Ramirez Vergara Graciela De Jesus</v>
      </c>
      <c r="D88" s="949" t="str">
        <f>+NOMINA!O81</f>
        <v>Analista de Procesamiento de Datos I</v>
      </c>
      <c r="E88" s="952">
        <f>+NOMINA!H81</f>
        <v>43556</v>
      </c>
      <c r="F88" s="953">
        <f>+NOMINA!BR81</f>
        <v>39.549999999999997</v>
      </c>
      <c r="G88" s="953">
        <f>+NOMINA!BS81</f>
        <v>8.7899999999999991</v>
      </c>
      <c r="H88" s="608"/>
      <c r="I88" s="609"/>
      <c r="J88" s="609"/>
      <c r="K88" s="609"/>
      <c r="L88" s="609"/>
    </row>
    <row r="89" spans="1:12" ht="15.75" customHeight="1">
      <c r="A89" s="951">
        <f t="shared" si="1"/>
        <v>40</v>
      </c>
      <c r="B89" s="949">
        <f>+NOMINA!C82</f>
        <v>10404528</v>
      </c>
      <c r="C89" s="949" t="str">
        <f>+NOMINA!D82</f>
        <v>Perez Castellano Javier Horacio</v>
      </c>
      <c r="D89" s="949" t="str">
        <f>+NOMINA!O82</f>
        <v>Administrador IV</v>
      </c>
      <c r="E89" s="952">
        <f>+NOMINA!H82</f>
        <v>37622</v>
      </c>
      <c r="F89" s="953">
        <f>+NOMINA!BR82</f>
        <v>0</v>
      </c>
      <c r="G89" s="953">
        <f>+NOMINA!BS82</f>
        <v>0</v>
      </c>
      <c r="H89" s="608"/>
      <c r="I89" s="609"/>
      <c r="J89" s="609"/>
      <c r="K89" s="609"/>
      <c r="L89" s="609"/>
    </row>
    <row r="90" spans="1:12" ht="15.75" customHeight="1">
      <c r="A90" s="951">
        <f t="shared" si="1"/>
        <v>41</v>
      </c>
      <c r="B90" s="949">
        <f>+NOMINA!C83</f>
        <v>10906110</v>
      </c>
      <c r="C90" s="949" t="str">
        <f>+NOMINA!D83</f>
        <v>Linares Prato Yraima Gregoria</v>
      </c>
      <c r="D90" s="949" t="str">
        <f>+NOMINA!O83</f>
        <v>Guia de Centro I</v>
      </c>
      <c r="E90" s="952">
        <f>+NOMINA!H83</f>
        <v>45292</v>
      </c>
      <c r="F90" s="953">
        <f>+NOMINA!BR83</f>
        <v>28.22</v>
      </c>
      <c r="G90" s="953">
        <f>+NOMINA!BS83</f>
        <v>6.27</v>
      </c>
      <c r="H90" s="608"/>
      <c r="I90" s="609"/>
      <c r="J90" s="609"/>
      <c r="K90" s="609"/>
      <c r="L90" s="609"/>
    </row>
    <row r="91" spans="1:12" ht="15.75" customHeight="1">
      <c r="A91" s="951">
        <f t="shared" si="1"/>
        <v>42</v>
      </c>
      <c r="B91" s="949">
        <f>+NOMINA!C84</f>
        <v>10906923</v>
      </c>
      <c r="C91" s="949" t="str">
        <f>+NOMINA!D84</f>
        <v>Cruz de Rodriguez Yanet Coromoto</v>
      </c>
      <c r="D91" s="949" t="str">
        <f>+NOMINA!O84</f>
        <v>Guia de Centro I</v>
      </c>
      <c r="E91" s="952">
        <f>+NOMINA!H84</f>
        <v>44636</v>
      </c>
      <c r="F91" s="953">
        <f>+NOMINA!BR84</f>
        <v>33.729999999999997</v>
      </c>
      <c r="G91" s="953">
        <f>+NOMINA!BS84</f>
        <v>7.5</v>
      </c>
      <c r="H91" s="608"/>
      <c r="I91" s="609"/>
      <c r="J91" s="609"/>
      <c r="K91" s="609"/>
      <c r="L91" s="609"/>
    </row>
    <row r="92" spans="1:12" ht="15.75" customHeight="1">
      <c r="A92" s="951">
        <f t="shared" si="1"/>
        <v>43</v>
      </c>
      <c r="B92" s="949">
        <f>+NOMINA!C85</f>
        <v>10908510</v>
      </c>
      <c r="C92" s="949" t="str">
        <f>+NOMINA!D85</f>
        <v>Castro de Vielma Yanira Rosa</v>
      </c>
      <c r="D92" s="949" t="str">
        <f>+NOMINA!O85</f>
        <v>Jefe de Centro</v>
      </c>
      <c r="E92" s="952">
        <f>+NOMINA!H85</f>
        <v>39874</v>
      </c>
      <c r="F92" s="953">
        <f>+NOMINA!BR85</f>
        <v>51.59</v>
      </c>
      <c r="G92" s="953">
        <f>+NOMINA!BS85</f>
        <v>11.46</v>
      </c>
      <c r="H92" s="608"/>
      <c r="I92" s="609"/>
      <c r="J92" s="609"/>
      <c r="K92" s="609"/>
      <c r="L92" s="609"/>
    </row>
    <row r="93" spans="1:12" ht="15.75" customHeight="1">
      <c r="A93" s="951">
        <f t="shared" si="1"/>
        <v>44</v>
      </c>
      <c r="B93" s="949">
        <f>+NOMINA!C86</f>
        <v>10909245</v>
      </c>
      <c r="C93" s="949" t="str">
        <f>+NOMINA!D86</f>
        <v>Delduca Moreno Luisa</v>
      </c>
      <c r="D93" s="949" t="str">
        <f>+NOMINA!O86</f>
        <v>Guia de Centro II</v>
      </c>
      <c r="E93" s="952">
        <f>+NOMINA!H86</f>
        <v>36054</v>
      </c>
      <c r="F93" s="953">
        <f>+NOMINA!BR86</f>
        <v>55.26</v>
      </c>
      <c r="G93" s="953">
        <f>+NOMINA!BS86</f>
        <v>12.28</v>
      </c>
      <c r="H93" s="608"/>
      <c r="I93" s="609"/>
      <c r="J93" s="609"/>
      <c r="K93" s="609"/>
      <c r="L93" s="609"/>
    </row>
    <row r="94" spans="1:12" ht="15.75" customHeight="1">
      <c r="A94" s="951">
        <f t="shared" si="1"/>
        <v>45</v>
      </c>
      <c r="B94" s="949">
        <f>+NOMINA!C87</f>
        <v>10910698</v>
      </c>
      <c r="C94" s="949" t="str">
        <f>+NOMINA!D87</f>
        <v>Rangel Briceño Marcial Segundo</v>
      </c>
      <c r="D94" s="949" t="str">
        <f>+NOMINA!O87</f>
        <v>Asistente Administrativo II</v>
      </c>
      <c r="E94" s="952">
        <f>+NOMINA!H87</f>
        <v>43891</v>
      </c>
      <c r="F94" s="953">
        <f>+NOMINA!BR87</f>
        <v>23.76</v>
      </c>
      <c r="G94" s="953">
        <f>+NOMINA!BS87</f>
        <v>5.28</v>
      </c>
      <c r="H94" s="608"/>
      <c r="I94" s="609"/>
      <c r="J94" s="609"/>
      <c r="K94" s="609"/>
      <c r="L94" s="609"/>
    </row>
    <row r="95" spans="1:12" ht="15.75" customHeight="1">
      <c r="A95" s="951">
        <f t="shared" si="1"/>
        <v>46</v>
      </c>
      <c r="B95" s="949">
        <f>+NOMINA!C88</f>
        <v>10912595</v>
      </c>
      <c r="C95" s="949" t="str">
        <f>+NOMINA!D88</f>
        <v>Delfin Bustos Jose Hercilio</v>
      </c>
      <c r="D95" s="949" t="str">
        <f>+NOMINA!O88</f>
        <v>Guia de Centro II</v>
      </c>
      <c r="E95" s="952">
        <f>+NOMINA!H88</f>
        <v>36039</v>
      </c>
      <c r="F95" s="953">
        <f>+NOMINA!BR88</f>
        <v>0</v>
      </c>
      <c r="G95" s="953">
        <f>+NOMINA!BS88</f>
        <v>0</v>
      </c>
      <c r="H95" s="608"/>
      <c r="I95" s="609"/>
      <c r="J95" s="609"/>
      <c r="K95" s="609"/>
      <c r="L95" s="609"/>
    </row>
    <row r="96" spans="1:12" ht="15.75" customHeight="1">
      <c r="A96" s="951">
        <f t="shared" si="1"/>
        <v>47</v>
      </c>
      <c r="B96" s="949">
        <f>+NOMINA!C89</f>
        <v>10913178</v>
      </c>
      <c r="C96" s="949" t="str">
        <f>+NOMINA!D89</f>
        <v>Garcia Moreno Iris Josefina</v>
      </c>
      <c r="D96" s="949" t="str">
        <f>+NOMINA!O89</f>
        <v>Asistente de Servicio Social</v>
      </c>
      <c r="E96" s="952">
        <f>+NOMINA!H89</f>
        <v>44805</v>
      </c>
      <c r="F96" s="953">
        <f>+NOMINA!BR89</f>
        <v>26.86</v>
      </c>
      <c r="G96" s="953">
        <f>+NOMINA!BS89</f>
        <v>5.97</v>
      </c>
      <c r="H96" s="608"/>
      <c r="I96" s="609"/>
      <c r="J96" s="609"/>
      <c r="K96" s="609"/>
      <c r="L96" s="609"/>
    </row>
    <row r="97" spans="1:12" ht="15.75" customHeight="1">
      <c r="A97" s="951">
        <f t="shared" si="1"/>
        <v>48</v>
      </c>
      <c r="B97" s="949">
        <f>+NOMINA!C90</f>
        <v>10913637</v>
      </c>
      <c r="C97" s="949" t="str">
        <f>+NOMINA!D90</f>
        <v>Angarita Hernandez Ana Del Carmen</v>
      </c>
      <c r="D97" s="949" t="str">
        <f>+NOMINA!O90</f>
        <v>Guia de Centro II</v>
      </c>
      <c r="E97" s="952">
        <f>+NOMINA!H90</f>
        <v>40664</v>
      </c>
      <c r="F97" s="953">
        <f>+NOMINA!BR90</f>
        <v>61.56</v>
      </c>
      <c r="G97" s="953">
        <f>+NOMINA!BS90</f>
        <v>13.68</v>
      </c>
      <c r="H97" s="608"/>
      <c r="I97" s="609"/>
      <c r="J97" s="609"/>
      <c r="K97" s="609"/>
      <c r="L97" s="609"/>
    </row>
    <row r="98" spans="1:12" ht="15.75" customHeight="1">
      <c r="A98" s="951">
        <f t="shared" si="1"/>
        <v>49</v>
      </c>
      <c r="B98" s="949">
        <f>+NOMINA!C91</f>
        <v>10915223</v>
      </c>
      <c r="C98" s="949" t="str">
        <f>+NOMINA!D91</f>
        <v>Contreras Rojo Gerardo Alexander</v>
      </c>
      <c r="D98" s="949" t="str">
        <f>+NOMINA!O91</f>
        <v>Tutor Facilitador III</v>
      </c>
      <c r="E98" s="952">
        <f>+NOMINA!H91</f>
        <v>35339</v>
      </c>
      <c r="F98" s="953">
        <f>+NOMINA!BR91</f>
        <v>60.65</v>
      </c>
      <c r="G98" s="953">
        <f>+NOMINA!BS91</f>
        <v>13.48</v>
      </c>
      <c r="H98" s="608"/>
      <c r="I98" s="609"/>
      <c r="J98" s="609"/>
      <c r="K98" s="609"/>
      <c r="L98" s="609"/>
    </row>
    <row r="99" spans="1:12" ht="15.75" customHeight="1">
      <c r="A99" s="951">
        <f t="shared" si="1"/>
        <v>50</v>
      </c>
      <c r="B99" s="949">
        <f>+NOMINA!C92</f>
        <v>10915384</v>
      </c>
      <c r="C99" s="949" t="str">
        <f>+NOMINA!D92</f>
        <v>Rojas Hernandez Morela Del Carmen</v>
      </c>
      <c r="D99" s="949" t="str">
        <f>+NOMINA!O92</f>
        <v>Guia de Centro II</v>
      </c>
      <c r="E99" s="952">
        <f>+NOMINA!H92</f>
        <v>43147</v>
      </c>
      <c r="F99" s="953">
        <f>+NOMINA!BR92</f>
        <v>47.26</v>
      </c>
      <c r="G99" s="953">
        <f>+NOMINA!BS92</f>
        <v>10.5</v>
      </c>
      <c r="H99" s="608"/>
      <c r="I99" s="609"/>
      <c r="J99" s="609"/>
      <c r="K99" s="609"/>
      <c r="L99" s="609"/>
    </row>
    <row r="100" spans="1:12" ht="15.75" customHeight="1">
      <c r="A100" s="951">
        <f t="shared" si="1"/>
        <v>51</v>
      </c>
      <c r="B100" s="949">
        <f>+NOMINA!C93</f>
        <v>10915597</v>
      </c>
      <c r="C100" s="949" t="str">
        <f>+NOMINA!D93</f>
        <v>Carrillo Altuve Maria Mercedes</v>
      </c>
      <c r="D100" s="949" t="str">
        <f>+NOMINA!O93</f>
        <v>Guia de Centro I</v>
      </c>
      <c r="E100" s="952">
        <f>+NOMINA!H93</f>
        <v>44501</v>
      </c>
      <c r="F100" s="953">
        <f>+NOMINA!BR93</f>
        <v>53.76</v>
      </c>
      <c r="G100" s="953">
        <f>+NOMINA!BS93</f>
        <v>11.95</v>
      </c>
      <c r="H100" s="608"/>
      <c r="I100" s="609"/>
      <c r="J100" s="609"/>
      <c r="K100" s="609"/>
      <c r="L100" s="609"/>
    </row>
    <row r="101" spans="1:12" ht="15.75" customHeight="1">
      <c r="A101" s="951">
        <f t="shared" si="1"/>
        <v>52</v>
      </c>
      <c r="B101" s="949">
        <f>+NOMINA!C94</f>
        <v>11128954</v>
      </c>
      <c r="C101" s="949" t="str">
        <f>+NOMINA!D94</f>
        <v>Soto Lopez Rafael Maria</v>
      </c>
      <c r="D101" s="949" t="str">
        <f>+NOMINA!O94</f>
        <v>Guia de Centro I</v>
      </c>
      <c r="E101" s="952">
        <f>+NOMINA!H94</f>
        <v>45170</v>
      </c>
      <c r="F101" s="953">
        <f>+NOMINA!BR94</f>
        <v>56.88</v>
      </c>
      <c r="G101" s="953">
        <f>+NOMINA!BS94</f>
        <v>12.64</v>
      </c>
      <c r="H101" s="608"/>
      <c r="I101" s="609"/>
      <c r="J101" s="609"/>
      <c r="K101" s="609"/>
      <c r="L101" s="609"/>
    </row>
    <row r="102" spans="1:12" ht="15.75" customHeight="1">
      <c r="A102" s="951">
        <f t="shared" si="1"/>
        <v>53</v>
      </c>
      <c r="B102" s="949">
        <f>+NOMINA!C95</f>
        <v>11132900</v>
      </c>
      <c r="C102" s="949" t="str">
        <f>+NOMINA!D95</f>
        <v>Morillo Valero Ender Ramon</v>
      </c>
      <c r="D102" s="949" t="str">
        <f>+NOMINA!O95</f>
        <v>Guia de Centro I</v>
      </c>
      <c r="E102" s="952">
        <f>+NOMINA!H95</f>
        <v>44866</v>
      </c>
      <c r="F102" s="953">
        <f>+NOMINA!BR95</f>
        <v>42.23</v>
      </c>
      <c r="G102" s="953">
        <f>+NOMINA!BS95</f>
        <v>9.3800000000000008</v>
      </c>
      <c r="H102" s="608"/>
      <c r="I102" s="609"/>
      <c r="J102" s="609"/>
      <c r="K102" s="609"/>
      <c r="L102" s="609"/>
    </row>
    <row r="103" spans="1:12" ht="15.75" customHeight="1">
      <c r="A103" s="951">
        <f t="shared" si="1"/>
        <v>54</v>
      </c>
      <c r="B103" s="949">
        <f>+NOMINA!C96</f>
        <v>11132943</v>
      </c>
      <c r="C103" s="949" t="str">
        <f>+NOMINA!D96</f>
        <v>Materano Delgado Yoleida Josefina</v>
      </c>
      <c r="D103" s="949" t="str">
        <f>+NOMINA!O96</f>
        <v>Guia de Centro II</v>
      </c>
      <c r="E103" s="952">
        <f>+NOMINA!H96</f>
        <v>39738</v>
      </c>
      <c r="F103" s="953">
        <f>+NOMINA!BR96</f>
        <v>28.29</v>
      </c>
      <c r="G103" s="953">
        <f>+NOMINA!BS96</f>
        <v>6.29</v>
      </c>
      <c r="H103" s="608"/>
      <c r="I103" s="609"/>
      <c r="J103" s="609"/>
      <c r="K103" s="609"/>
      <c r="L103" s="609"/>
    </row>
    <row r="104" spans="1:12" ht="15.75" customHeight="1">
      <c r="A104" s="951">
        <f t="shared" si="1"/>
        <v>55</v>
      </c>
      <c r="B104" s="949">
        <f>+NOMINA!C97</f>
        <v>11132979</v>
      </c>
      <c r="C104" s="949" t="str">
        <f>+NOMINA!D97</f>
        <v>Olivar Santana Maria Valbina</v>
      </c>
      <c r="D104" s="949" t="str">
        <f>+NOMINA!O97</f>
        <v>Guia de Centro II</v>
      </c>
      <c r="E104" s="952">
        <f>+NOMINA!H97</f>
        <v>44348</v>
      </c>
      <c r="F104" s="953">
        <f>+NOMINA!BR97</f>
        <v>64.64</v>
      </c>
      <c r="G104" s="953">
        <f>+NOMINA!BS97</f>
        <v>14.36</v>
      </c>
      <c r="H104" s="608"/>
      <c r="I104" s="609"/>
      <c r="J104" s="609"/>
      <c r="K104" s="609"/>
      <c r="L104" s="609"/>
    </row>
    <row r="105" spans="1:12" ht="15.75" customHeight="1">
      <c r="A105" s="951">
        <f t="shared" si="1"/>
        <v>56</v>
      </c>
      <c r="B105" s="949">
        <f>+NOMINA!C98</f>
        <v>11257247</v>
      </c>
      <c r="C105" s="949" t="str">
        <f>+NOMINA!D98</f>
        <v>Chacin Sanchez Eduard Fabian</v>
      </c>
      <c r="D105" s="949" t="str">
        <f>+NOMINA!O98</f>
        <v>DELEGADO PRUEBA III</v>
      </c>
      <c r="E105" s="952">
        <f>+NOMINA!H98</f>
        <v>42492</v>
      </c>
      <c r="F105" s="953">
        <f>+NOMINA!BR98</f>
        <v>46.26</v>
      </c>
      <c r="G105" s="953">
        <f>+NOMINA!BS98</f>
        <v>10.28</v>
      </c>
      <c r="H105" s="608"/>
      <c r="I105" s="609"/>
      <c r="J105" s="609"/>
      <c r="K105" s="609"/>
      <c r="L105" s="609"/>
    </row>
    <row r="106" spans="1:12" ht="15.75" customHeight="1">
      <c r="A106" s="951">
        <f t="shared" si="1"/>
        <v>57</v>
      </c>
      <c r="B106" s="949">
        <f>+NOMINA!C99</f>
        <v>11318142</v>
      </c>
      <c r="C106" s="949" t="str">
        <f>+NOMINA!D99</f>
        <v>Perdomo Rosales Modesto Ramon</v>
      </c>
      <c r="D106" s="949" t="str">
        <f>+NOMINA!O99</f>
        <v>Almacenista II</v>
      </c>
      <c r="E106" s="952">
        <f>+NOMINA!H99</f>
        <v>43983</v>
      </c>
      <c r="F106" s="953">
        <f>+NOMINA!BR99</f>
        <v>23.76</v>
      </c>
      <c r="G106" s="953">
        <f>+NOMINA!BS99</f>
        <v>5.28</v>
      </c>
      <c r="H106" s="608"/>
      <c r="I106" s="609"/>
      <c r="J106" s="609"/>
      <c r="K106" s="609"/>
      <c r="L106" s="609"/>
    </row>
    <row r="107" spans="1:12" ht="15.75" customHeight="1">
      <c r="A107" s="951">
        <f t="shared" si="1"/>
        <v>58</v>
      </c>
      <c r="B107" s="949">
        <f>+NOMINA!C100</f>
        <v>11318697</v>
      </c>
      <c r="C107" s="949" t="str">
        <f>+NOMINA!D100</f>
        <v>Sardi Hernandez Gladis Josefina</v>
      </c>
      <c r="D107" s="949" t="str">
        <f>+NOMINA!O100</f>
        <v>Asistente Administrativo III</v>
      </c>
      <c r="E107" s="952">
        <f>+NOMINA!H100</f>
        <v>39539</v>
      </c>
      <c r="F107" s="953">
        <f>+NOMINA!BR100</f>
        <v>28.29</v>
      </c>
      <c r="G107" s="953">
        <f>+NOMINA!BS100</f>
        <v>6.29</v>
      </c>
      <c r="H107" s="608"/>
      <c r="I107" s="609"/>
      <c r="J107" s="609"/>
      <c r="K107" s="609"/>
      <c r="L107" s="609"/>
    </row>
    <row r="108" spans="1:12" ht="15.75" customHeight="1">
      <c r="A108" s="951">
        <f t="shared" si="1"/>
        <v>59</v>
      </c>
      <c r="B108" s="949">
        <f>+NOMINA!C101</f>
        <v>11319154</v>
      </c>
      <c r="C108" s="949" t="str">
        <f>+NOMINA!D101</f>
        <v>Peña Villegas Lisette Carolina</v>
      </c>
      <c r="D108" s="949" t="str">
        <f>+NOMINA!O101</f>
        <v>Guia de Centro II</v>
      </c>
      <c r="E108" s="952">
        <f>+NOMINA!H101</f>
        <v>34428</v>
      </c>
      <c r="F108" s="953">
        <f>+NOMINA!BR101</f>
        <v>60.65</v>
      </c>
      <c r="G108" s="953">
        <f>+NOMINA!BS101</f>
        <v>13.48</v>
      </c>
      <c r="H108" s="608"/>
      <c r="I108" s="609"/>
      <c r="J108" s="609"/>
      <c r="K108" s="609"/>
      <c r="L108" s="609"/>
    </row>
    <row r="109" spans="1:12" ht="15.75" customHeight="1">
      <c r="A109" s="951">
        <f t="shared" si="1"/>
        <v>60</v>
      </c>
      <c r="B109" s="949">
        <f>+NOMINA!C102</f>
        <v>11320533</v>
      </c>
      <c r="C109" s="949" t="str">
        <f>+NOMINA!D102</f>
        <v>Suarez Chiquin Yaritza Josefina</v>
      </c>
      <c r="D109" s="949" t="str">
        <f>+NOMINA!O102</f>
        <v>Administrador IV</v>
      </c>
      <c r="E109" s="952">
        <f>+NOMINA!H102</f>
        <v>37629</v>
      </c>
      <c r="F109" s="953">
        <f>+NOMINA!BR102</f>
        <v>0</v>
      </c>
      <c r="G109" s="953">
        <f>+NOMINA!BS102</f>
        <v>0</v>
      </c>
      <c r="H109" s="608"/>
      <c r="I109" s="609"/>
      <c r="J109" s="609"/>
      <c r="K109" s="609"/>
      <c r="L109" s="609"/>
    </row>
    <row r="110" spans="1:12" ht="15.75" customHeight="1">
      <c r="A110" s="951">
        <f t="shared" si="1"/>
        <v>61</v>
      </c>
      <c r="B110" s="949">
        <f>+NOMINA!C103</f>
        <v>11322871</v>
      </c>
      <c r="C110" s="949" t="str">
        <f>+NOMINA!D103</f>
        <v>Rivas Albarran Martin Antonio</v>
      </c>
      <c r="D110" s="949" t="str">
        <f>+NOMINA!O103</f>
        <v>Tutor Facilitador III</v>
      </c>
      <c r="E110" s="952">
        <f>+NOMINA!H103</f>
        <v>38718</v>
      </c>
      <c r="F110" s="953">
        <f>+NOMINA!BR103</f>
        <v>50.58</v>
      </c>
      <c r="G110" s="953">
        <f>+NOMINA!BS103</f>
        <v>11.24</v>
      </c>
      <c r="H110" s="608"/>
      <c r="I110" s="609"/>
      <c r="J110" s="609"/>
      <c r="K110" s="609"/>
      <c r="L110" s="609"/>
    </row>
    <row r="111" spans="1:12" ht="15.75" customHeight="1">
      <c r="A111" s="951">
        <f t="shared" si="1"/>
        <v>62</v>
      </c>
      <c r="B111" s="949">
        <f>+NOMINA!C104</f>
        <v>11616673</v>
      </c>
      <c r="C111" s="949" t="str">
        <f>+NOMINA!D104</f>
        <v>Perdomo Orlando Jose</v>
      </c>
      <c r="D111" s="949" t="str">
        <f>+NOMINA!O104</f>
        <v>Tutor Facilitador III</v>
      </c>
      <c r="E111" s="952">
        <f>+NOMINA!H104</f>
        <v>35066</v>
      </c>
      <c r="F111" s="953">
        <f>+NOMINA!BR104</f>
        <v>52.25</v>
      </c>
      <c r="G111" s="953">
        <f>+NOMINA!BS104</f>
        <v>11.61</v>
      </c>
      <c r="H111" s="608"/>
      <c r="I111" s="609"/>
      <c r="J111" s="609"/>
      <c r="K111" s="609"/>
      <c r="L111" s="609"/>
    </row>
    <row r="112" spans="1:12" ht="15.75" customHeight="1">
      <c r="A112" s="951">
        <f t="shared" si="1"/>
        <v>63</v>
      </c>
      <c r="B112" s="949">
        <f>+NOMINA!C105</f>
        <v>11734553</v>
      </c>
      <c r="C112" s="949" t="str">
        <f>+NOMINA!D105</f>
        <v>Teran Torres Olga del Carmen</v>
      </c>
      <c r="D112" s="949" t="str">
        <f>+NOMINA!O105</f>
        <v>Tutor Facilitador III</v>
      </c>
      <c r="E112" s="952">
        <f>+NOMINA!H105</f>
        <v>43206</v>
      </c>
      <c r="F112" s="953">
        <f>+NOMINA!BR105</f>
        <v>51.27</v>
      </c>
      <c r="G112" s="953">
        <f>+NOMINA!BS105</f>
        <v>11.39</v>
      </c>
      <c r="H112" s="608"/>
      <c r="I112" s="609"/>
      <c r="J112" s="609"/>
      <c r="K112" s="609"/>
      <c r="L112" s="609"/>
    </row>
    <row r="113" spans="1:12" ht="15.75" customHeight="1">
      <c r="A113" s="951">
        <f t="shared" si="1"/>
        <v>64</v>
      </c>
      <c r="B113" s="949">
        <f>+NOMINA!C106</f>
        <v>11894534</v>
      </c>
      <c r="C113" s="949" t="str">
        <f>+NOMINA!D106</f>
        <v>Olmos Rodriguez Eberto de Jesus</v>
      </c>
      <c r="D113" s="949" t="str">
        <f>+NOMINA!O106</f>
        <v>Administrador Jefe</v>
      </c>
      <c r="E113" s="952">
        <f>+NOMINA!H106</f>
        <v>40909</v>
      </c>
      <c r="F113" s="953">
        <f>+NOMINA!BR106</f>
        <v>0</v>
      </c>
      <c r="G113" s="953">
        <f>+NOMINA!BS106</f>
        <v>0</v>
      </c>
      <c r="H113" s="608"/>
      <c r="I113" s="609"/>
      <c r="J113" s="609"/>
      <c r="K113" s="609"/>
      <c r="L113" s="609"/>
    </row>
    <row r="114" spans="1:12" ht="15.75" customHeight="1">
      <c r="A114" s="951">
        <f t="shared" si="1"/>
        <v>65</v>
      </c>
      <c r="B114" s="949">
        <f>+NOMINA!C107</f>
        <v>11895772</v>
      </c>
      <c r="C114" s="949" t="str">
        <f>+NOMINA!D107</f>
        <v>Rangel Rivas Ildemaro</v>
      </c>
      <c r="D114" s="949" t="str">
        <f>+NOMINA!O107</f>
        <v>Entrenador Deportivo II</v>
      </c>
      <c r="E114" s="952">
        <f>+NOMINA!H107</f>
        <v>44743</v>
      </c>
      <c r="F114" s="953">
        <f>+NOMINA!BR107</f>
        <v>0</v>
      </c>
      <c r="G114" s="953">
        <f>+NOMINA!BS107</f>
        <v>0</v>
      </c>
      <c r="H114" s="608"/>
      <c r="I114" s="609"/>
      <c r="J114" s="609"/>
      <c r="K114" s="609"/>
      <c r="L114" s="609"/>
    </row>
    <row r="115" spans="1:12" ht="15.75" customHeight="1">
      <c r="A115" s="951">
        <f t="shared" si="1"/>
        <v>66</v>
      </c>
      <c r="B115" s="949">
        <f>+NOMINA!C108</f>
        <v>11896941</v>
      </c>
      <c r="C115" s="949" t="str">
        <f>+NOMINA!D108</f>
        <v>Justo Angel Jannessy</v>
      </c>
      <c r="D115" s="949" t="str">
        <f>+NOMINA!O108</f>
        <v>Analista de Presupuesto III</v>
      </c>
      <c r="E115" s="952">
        <f>+NOMINA!H108</f>
        <v>38698</v>
      </c>
      <c r="F115" s="953">
        <f>+NOMINA!BR108</f>
        <v>0</v>
      </c>
      <c r="G115" s="953">
        <f>+NOMINA!BS108</f>
        <v>0</v>
      </c>
      <c r="H115" s="608"/>
      <c r="I115" s="609"/>
      <c r="J115" s="609"/>
      <c r="K115" s="609"/>
      <c r="L115" s="609"/>
    </row>
    <row r="116" spans="1:12" ht="15.75" customHeight="1">
      <c r="A116" s="951">
        <f t="shared" ref="A116:A179" si="2">+A115+1</f>
        <v>67</v>
      </c>
      <c r="B116" s="949">
        <f>+NOMINA!C109</f>
        <v>11898486</v>
      </c>
      <c r="C116" s="949" t="str">
        <f>+NOMINA!D109</f>
        <v>Linares Hernandez Thaiz Yoconda</v>
      </c>
      <c r="D116" s="949" t="str">
        <f>+NOMINA!O109</f>
        <v>Asistente Administrativo III</v>
      </c>
      <c r="E116" s="952">
        <f>+NOMINA!H109</f>
        <v>40065</v>
      </c>
      <c r="F116" s="953">
        <f>+NOMINA!BR109</f>
        <v>39.549999999999997</v>
      </c>
      <c r="G116" s="953">
        <f>+NOMINA!BS109</f>
        <v>8.7899999999999991</v>
      </c>
      <c r="H116" s="608"/>
      <c r="I116" s="609"/>
      <c r="J116" s="609"/>
      <c r="K116" s="609"/>
      <c r="L116" s="609"/>
    </row>
    <row r="117" spans="1:12" ht="15.75" customHeight="1">
      <c r="A117" s="951">
        <f t="shared" si="2"/>
        <v>68</v>
      </c>
      <c r="B117" s="949">
        <f>+NOMINA!C110</f>
        <v>12040792</v>
      </c>
      <c r="C117" s="949" t="str">
        <f>+NOMINA!D110</f>
        <v>Sulbaran Campos Jesus Alberto</v>
      </c>
      <c r="D117" s="949" t="str">
        <f>+NOMINA!O110</f>
        <v>Supervisor de Servicios Generales III</v>
      </c>
      <c r="E117" s="952">
        <f>+NOMINA!H110</f>
        <v>43236</v>
      </c>
      <c r="F117" s="953">
        <f>+NOMINA!BR110</f>
        <v>31.34</v>
      </c>
      <c r="G117" s="953">
        <f>+NOMINA!BS110</f>
        <v>6.96</v>
      </c>
      <c r="H117" s="608"/>
      <c r="I117" s="609"/>
      <c r="J117" s="609"/>
      <c r="K117" s="609"/>
      <c r="L117" s="609"/>
    </row>
    <row r="118" spans="1:12" ht="15.75" customHeight="1">
      <c r="A118" s="951">
        <f t="shared" si="2"/>
        <v>69</v>
      </c>
      <c r="B118" s="949">
        <f>+NOMINA!C111</f>
        <v>12042855</v>
      </c>
      <c r="C118" s="949" t="str">
        <f>+NOMINA!D111</f>
        <v>Alburguez  Manzanilla Neira Josefina</v>
      </c>
      <c r="D118" s="949" t="str">
        <f>+NOMINA!O111</f>
        <v>Enfermera Jefe I</v>
      </c>
      <c r="E118" s="952">
        <f>+NOMINA!H111</f>
        <v>44028</v>
      </c>
      <c r="F118" s="953">
        <f>+NOMINA!BR111</f>
        <v>37.15</v>
      </c>
      <c r="G118" s="953">
        <f>+NOMINA!BS111</f>
        <v>8.26</v>
      </c>
      <c r="H118" s="608"/>
      <c r="I118" s="609"/>
      <c r="J118" s="609"/>
      <c r="K118" s="609"/>
      <c r="L118" s="609"/>
    </row>
    <row r="119" spans="1:12" ht="15.75" customHeight="1">
      <c r="A119" s="951">
        <f t="shared" si="2"/>
        <v>70</v>
      </c>
      <c r="B119" s="949">
        <f>+NOMINA!C112</f>
        <v>12045335</v>
      </c>
      <c r="C119" s="949" t="str">
        <f>+NOMINA!D112</f>
        <v>Gonzalez De Briceño Yasmin Coromoto</v>
      </c>
      <c r="D119" s="949" t="str">
        <f>+NOMINA!O112</f>
        <v>Guia de Centro I</v>
      </c>
      <c r="E119" s="952">
        <f>+NOMINA!H112</f>
        <v>45505</v>
      </c>
      <c r="F119" s="953">
        <f>+NOMINA!BR112</f>
        <v>50.76</v>
      </c>
      <c r="G119" s="953">
        <f>+NOMINA!BS112</f>
        <v>11.28</v>
      </c>
      <c r="H119" s="608"/>
      <c r="I119" s="609"/>
      <c r="J119" s="609"/>
      <c r="K119" s="609"/>
      <c r="L119" s="609"/>
    </row>
    <row r="120" spans="1:12" ht="15.75" customHeight="1">
      <c r="A120" s="951">
        <f t="shared" si="2"/>
        <v>71</v>
      </c>
      <c r="B120" s="949">
        <f>+NOMINA!C113</f>
        <v>12045360</v>
      </c>
      <c r="C120" s="949" t="str">
        <f>+NOMINA!D113</f>
        <v>Montilla Lamus Ana Cristina</v>
      </c>
      <c r="D120" s="949" t="str">
        <f>+NOMINA!O113</f>
        <v>Guia de Centro I</v>
      </c>
      <c r="E120" s="952">
        <f>+NOMINA!H113</f>
        <v>39238</v>
      </c>
      <c r="F120" s="953">
        <f>+NOMINA!BR113</f>
        <v>29.56</v>
      </c>
      <c r="G120" s="953">
        <f>+NOMINA!BS113</f>
        <v>6.57</v>
      </c>
      <c r="H120" s="608"/>
      <c r="I120" s="609"/>
      <c r="J120" s="609"/>
      <c r="K120" s="609"/>
      <c r="L120" s="609"/>
    </row>
    <row r="121" spans="1:12" ht="15.75" customHeight="1">
      <c r="A121" s="951">
        <f t="shared" si="2"/>
        <v>72</v>
      </c>
      <c r="B121" s="949">
        <f>+NOMINA!C114</f>
        <v>12045504</v>
      </c>
      <c r="C121" s="949" t="str">
        <f>+NOMINA!D114</f>
        <v>Sanchez Olivar Denis Josefina</v>
      </c>
      <c r="D121" s="949" t="str">
        <f>+NOMINA!O114</f>
        <v>Asistente Administrativo II</v>
      </c>
      <c r="E121" s="952">
        <f>+NOMINA!H114</f>
        <v>43862</v>
      </c>
      <c r="F121" s="953">
        <f>+NOMINA!BR114</f>
        <v>25.84</v>
      </c>
      <c r="G121" s="953">
        <f>+NOMINA!BS114</f>
        <v>5.74</v>
      </c>
      <c r="H121" s="608"/>
      <c r="I121" s="609"/>
      <c r="J121" s="609"/>
      <c r="K121" s="609"/>
      <c r="L121" s="609"/>
    </row>
    <row r="122" spans="1:12" ht="15.75" customHeight="1">
      <c r="A122" s="951">
        <f t="shared" si="2"/>
        <v>73</v>
      </c>
      <c r="B122" s="949">
        <f>+NOMINA!C115</f>
        <v>12045934</v>
      </c>
      <c r="C122" s="949" t="str">
        <f>+NOMINA!D115</f>
        <v>Mendez Olmos Tulio Enrique</v>
      </c>
      <c r="D122" s="949" t="str">
        <f>+NOMINA!O115</f>
        <v>Especialista en Informatica I</v>
      </c>
      <c r="E122" s="952">
        <f>+NOMINA!H115</f>
        <v>36342</v>
      </c>
      <c r="F122" s="953">
        <f>+NOMINA!BR115</f>
        <v>52.25</v>
      </c>
      <c r="G122" s="953">
        <f>+NOMINA!BS115</f>
        <v>11.61</v>
      </c>
      <c r="H122" s="608"/>
      <c r="I122" s="609"/>
      <c r="J122" s="609"/>
      <c r="K122" s="609"/>
      <c r="L122" s="609"/>
    </row>
    <row r="123" spans="1:12" ht="15.75" customHeight="1">
      <c r="A123" s="951">
        <f t="shared" si="2"/>
        <v>74</v>
      </c>
      <c r="B123" s="949">
        <f>+NOMINA!C116</f>
        <v>12457981</v>
      </c>
      <c r="C123" s="949" t="str">
        <f>+NOMINA!D116</f>
        <v>Escalona Ruiz Luis Alberto</v>
      </c>
      <c r="D123" s="949" t="str">
        <f>+NOMINA!O116</f>
        <v>Medico Especialista II</v>
      </c>
      <c r="E123" s="952">
        <f>+NOMINA!H116</f>
        <v>44348</v>
      </c>
      <c r="F123" s="953">
        <f>+NOMINA!BR116</f>
        <v>36.729999999999997</v>
      </c>
      <c r="G123" s="953">
        <f>+NOMINA!BS116</f>
        <v>8.16</v>
      </c>
      <c r="H123" s="608"/>
      <c r="I123" s="609"/>
      <c r="J123" s="609"/>
      <c r="K123" s="609"/>
      <c r="L123" s="609"/>
    </row>
    <row r="124" spans="1:12" ht="15.75" customHeight="1">
      <c r="A124" s="951">
        <f t="shared" si="2"/>
        <v>75</v>
      </c>
      <c r="B124" s="949">
        <f>+NOMINA!C117</f>
        <v>12458811</v>
      </c>
      <c r="C124" s="949" t="str">
        <f>+NOMINA!D117</f>
        <v>Segovia Rondon Milagros Del Valle</v>
      </c>
      <c r="D124" s="949" t="str">
        <f>+NOMINA!O117</f>
        <v>Analista de Presupuesto Jefe</v>
      </c>
      <c r="E124" s="952">
        <f>+NOMINA!H117</f>
        <v>39514</v>
      </c>
      <c r="F124" s="953">
        <f>+NOMINA!BR117</f>
        <v>59.76</v>
      </c>
      <c r="G124" s="953">
        <f>+NOMINA!BS117</f>
        <v>13.28</v>
      </c>
      <c r="H124" s="608"/>
      <c r="I124" s="609"/>
      <c r="J124" s="609"/>
      <c r="K124" s="609"/>
      <c r="L124" s="609"/>
    </row>
    <row r="125" spans="1:12" ht="15.75" customHeight="1">
      <c r="A125" s="951">
        <f t="shared" si="2"/>
        <v>76</v>
      </c>
      <c r="B125" s="949">
        <f>+NOMINA!C118</f>
        <v>12458942</v>
      </c>
      <c r="C125" s="949" t="str">
        <f>+NOMINA!D118</f>
        <v>Mendoza Mendoza Mirian Del Milagro</v>
      </c>
      <c r="D125" s="949" t="str">
        <f>+NOMINA!O118</f>
        <v>Administrador Jefe</v>
      </c>
      <c r="E125" s="952">
        <f>+NOMINA!H118</f>
        <v>44424</v>
      </c>
      <c r="F125" s="953">
        <f>+NOMINA!BR118</f>
        <v>0</v>
      </c>
      <c r="G125" s="953">
        <f>+NOMINA!BS118</f>
        <v>0</v>
      </c>
      <c r="H125" s="608"/>
      <c r="I125" s="609"/>
      <c r="J125" s="609"/>
      <c r="K125" s="609"/>
      <c r="L125" s="609"/>
    </row>
    <row r="126" spans="1:12" ht="15.75" customHeight="1">
      <c r="A126" s="951">
        <f t="shared" si="2"/>
        <v>77</v>
      </c>
      <c r="B126" s="949">
        <f>+NOMINA!C119</f>
        <v>12541044</v>
      </c>
      <c r="C126" s="949" t="str">
        <f>+NOMINA!D119</f>
        <v>Rojas Telles Lisbeth Josefina</v>
      </c>
      <c r="D126" s="949" t="str">
        <f>+NOMINA!O119</f>
        <v>Tutor Facilitador I</v>
      </c>
      <c r="E126" s="952">
        <f>+NOMINA!H119</f>
        <v>45597</v>
      </c>
      <c r="F126" s="953">
        <f>+NOMINA!BR119</f>
        <v>40.340000000000003</v>
      </c>
      <c r="G126" s="953">
        <f>+NOMINA!BS119</f>
        <v>8.9700000000000006</v>
      </c>
      <c r="H126" s="608"/>
      <c r="I126" s="609"/>
      <c r="J126" s="609"/>
      <c r="K126" s="609"/>
      <c r="L126" s="609"/>
    </row>
    <row r="127" spans="1:12" ht="15.75" customHeight="1">
      <c r="A127" s="951">
        <f t="shared" si="2"/>
        <v>78</v>
      </c>
      <c r="B127" s="949">
        <f>+NOMINA!C120</f>
        <v>12542413</v>
      </c>
      <c r="C127" s="949" t="str">
        <f>+NOMINA!D120</f>
        <v>Aponte Matheus Richard Alexander</v>
      </c>
      <c r="D127" s="949" t="str">
        <f>+NOMINA!O120</f>
        <v>Guia de Centro II</v>
      </c>
      <c r="E127" s="952">
        <f>+NOMINA!H120</f>
        <v>36434</v>
      </c>
      <c r="F127" s="953">
        <f>+NOMINA!BR120</f>
        <v>0</v>
      </c>
      <c r="G127" s="953">
        <f>+NOMINA!BS120</f>
        <v>0</v>
      </c>
      <c r="H127" s="608"/>
      <c r="I127" s="609"/>
      <c r="J127" s="609"/>
      <c r="K127" s="609"/>
      <c r="L127" s="609"/>
    </row>
    <row r="128" spans="1:12" ht="15.75" customHeight="1">
      <c r="A128" s="951">
        <f t="shared" si="2"/>
        <v>79</v>
      </c>
      <c r="B128" s="949">
        <f>+NOMINA!C121</f>
        <v>12798604</v>
      </c>
      <c r="C128" s="949" t="str">
        <f>+NOMINA!D121</f>
        <v>Camacho Gomez Trina Margarita</v>
      </c>
      <c r="D128" s="949" t="str">
        <f>+NOMINA!O121</f>
        <v>Guia de Centro II</v>
      </c>
      <c r="E128" s="952">
        <f>+NOMINA!H121</f>
        <v>35384</v>
      </c>
      <c r="F128" s="953">
        <f>+NOMINA!BR121</f>
        <v>30.95</v>
      </c>
      <c r="G128" s="953">
        <f>+NOMINA!BS121</f>
        <v>6.88</v>
      </c>
      <c r="H128" s="608"/>
      <c r="I128" s="609"/>
      <c r="J128" s="609"/>
      <c r="K128" s="609"/>
      <c r="L128" s="609"/>
    </row>
    <row r="129" spans="1:12" ht="15.75" customHeight="1">
      <c r="A129" s="951">
        <f t="shared" si="2"/>
        <v>80</v>
      </c>
      <c r="B129" s="949">
        <f>+NOMINA!C122</f>
        <v>12798736</v>
      </c>
      <c r="C129" s="949" t="str">
        <f>+NOMINA!D122</f>
        <v>Gonzalez Pabon Marianela</v>
      </c>
      <c r="D129" s="949" t="str">
        <f>+NOMINA!O122</f>
        <v>Analista de Personal VI</v>
      </c>
      <c r="E129" s="952">
        <f>+NOMINA!H122</f>
        <v>39479</v>
      </c>
      <c r="F129" s="953">
        <f>+NOMINA!BR122</f>
        <v>57.46</v>
      </c>
      <c r="G129" s="953">
        <f>+NOMINA!BS122</f>
        <v>12.77</v>
      </c>
      <c r="H129" s="608"/>
      <c r="I129" s="609"/>
      <c r="J129" s="609"/>
      <c r="K129" s="609"/>
      <c r="L129" s="609"/>
    </row>
    <row r="130" spans="1:12" ht="15.75" customHeight="1">
      <c r="A130" s="951">
        <f t="shared" si="2"/>
        <v>81</v>
      </c>
      <c r="B130" s="949">
        <f>+NOMINA!C123</f>
        <v>12939010</v>
      </c>
      <c r="C130" s="949" t="str">
        <f>+NOMINA!D123</f>
        <v>Mendez de Viloria Yelitza Del Valle</v>
      </c>
      <c r="D130" s="949" t="str">
        <f>+NOMINA!O123</f>
        <v>Asistente Administrativo III</v>
      </c>
      <c r="E130" s="952">
        <f>+NOMINA!H123</f>
        <v>42948</v>
      </c>
      <c r="F130" s="953">
        <f>+NOMINA!BR123</f>
        <v>38.15</v>
      </c>
      <c r="G130" s="953">
        <f>+NOMINA!BS123</f>
        <v>8.48</v>
      </c>
      <c r="H130" s="608"/>
      <c r="I130" s="609"/>
      <c r="J130" s="609"/>
      <c r="K130" s="609"/>
      <c r="L130" s="609"/>
    </row>
    <row r="131" spans="1:12" ht="15.75" customHeight="1">
      <c r="A131" s="951">
        <f t="shared" si="2"/>
        <v>82</v>
      </c>
      <c r="B131" s="949">
        <f>+NOMINA!C124</f>
        <v>12941385</v>
      </c>
      <c r="C131" s="949" t="str">
        <f>+NOMINA!D124</f>
        <v>Torres de Gonzalez Milangela Maria</v>
      </c>
      <c r="D131" s="949" t="str">
        <f>+NOMINA!O124</f>
        <v>Tutor Facilitador III</v>
      </c>
      <c r="E131" s="952">
        <f>+NOMINA!H124</f>
        <v>42948</v>
      </c>
      <c r="F131" s="953">
        <f>+NOMINA!BR124</f>
        <v>44.62</v>
      </c>
      <c r="G131" s="953">
        <f>+NOMINA!BS124</f>
        <v>9.91</v>
      </c>
      <c r="H131" s="608"/>
      <c r="I131" s="609"/>
      <c r="J131" s="609"/>
      <c r="K131" s="609"/>
      <c r="L131" s="609"/>
    </row>
    <row r="132" spans="1:12" ht="15.75" customHeight="1">
      <c r="A132" s="951">
        <f t="shared" si="2"/>
        <v>83</v>
      </c>
      <c r="B132" s="949">
        <f>+NOMINA!C125</f>
        <v>13117904</v>
      </c>
      <c r="C132" s="949" t="str">
        <f>+NOMINA!D125</f>
        <v>Villegas Jaime Antonio</v>
      </c>
      <c r="D132" s="949" t="str">
        <f>+NOMINA!O125</f>
        <v>Guia de Centro I</v>
      </c>
      <c r="E132" s="952">
        <f>+NOMINA!H125</f>
        <v>43693</v>
      </c>
      <c r="F132" s="953">
        <f>+NOMINA!BR125</f>
        <v>32.4</v>
      </c>
      <c r="G132" s="953">
        <f>+NOMINA!BS125</f>
        <v>7.2</v>
      </c>
      <c r="H132" s="608"/>
      <c r="I132" s="609"/>
      <c r="J132" s="609"/>
      <c r="K132" s="609"/>
      <c r="L132" s="609"/>
    </row>
    <row r="133" spans="1:12" ht="15.75" customHeight="1">
      <c r="A133" s="951">
        <f t="shared" si="2"/>
        <v>84</v>
      </c>
      <c r="B133" s="949">
        <f>+NOMINA!C126</f>
        <v>13206767</v>
      </c>
      <c r="C133" s="949" t="str">
        <f>+NOMINA!D126</f>
        <v>Bastidas Guerra Soralis del Valle</v>
      </c>
      <c r="D133" s="949" t="str">
        <f>+NOMINA!O126</f>
        <v>Abogado I</v>
      </c>
      <c r="E133" s="952">
        <f>+NOMINA!H126</f>
        <v>44713</v>
      </c>
      <c r="F133" s="953">
        <f>+NOMINA!BR126</f>
        <v>0</v>
      </c>
      <c r="G133" s="953">
        <f>+NOMINA!BS126</f>
        <v>0</v>
      </c>
      <c r="H133" s="608"/>
      <c r="I133" s="609"/>
      <c r="J133" s="609"/>
      <c r="K133" s="609"/>
      <c r="L133" s="609"/>
    </row>
    <row r="134" spans="1:12" ht="15.75" customHeight="1">
      <c r="A134" s="951">
        <f t="shared" si="2"/>
        <v>85</v>
      </c>
      <c r="B134" s="949">
        <f>+NOMINA!C127</f>
        <v>13207692</v>
      </c>
      <c r="C134" s="949" t="str">
        <f>+NOMINA!D127</f>
        <v>Macias Briceño Alejandra Coromoto</v>
      </c>
      <c r="D134" s="949" t="str">
        <f>+NOMINA!O127</f>
        <v>Administrador III</v>
      </c>
      <c r="E134" s="952">
        <f>+NOMINA!H127</f>
        <v>38504</v>
      </c>
      <c r="F134" s="953">
        <f>+NOMINA!BR127</f>
        <v>53.17</v>
      </c>
      <c r="G134" s="953">
        <f>+NOMINA!BS127</f>
        <v>11.82</v>
      </c>
      <c r="H134" s="608"/>
      <c r="I134" s="609"/>
      <c r="J134" s="609"/>
      <c r="K134" s="609"/>
      <c r="L134" s="609"/>
    </row>
    <row r="135" spans="1:12" ht="15.75" customHeight="1">
      <c r="A135" s="951">
        <f t="shared" si="2"/>
        <v>86</v>
      </c>
      <c r="B135" s="949">
        <f>+NOMINA!C128</f>
        <v>13260050</v>
      </c>
      <c r="C135" s="949" t="str">
        <f>+NOMINA!D128</f>
        <v>Mendoza Vieras Maria Elena</v>
      </c>
      <c r="D135" s="949" t="str">
        <f>+NOMINA!O128</f>
        <v>ADMINISTRADOR III</v>
      </c>
      <c r="E135" s="952">
        <f>+NOMINA!H128</f>
        <v>45444</v>
      </c>
      <c r="F135" s="953">
        <f>+NOMINA!BR128</f>
        <v>46.94</v>
      </c>
      <c r="G135" s="953">
        <f>+NOMINA!BS128</f>
        <v>10.43</v>
      </c>
      <c r="H135" s="608"/>
      <c r="I135" s="609"/>
      <c r="J135" s="609"/>
      <c r="K135" s="609"/>
      <c r="L135" s="609"/>
    </row>
    <row r="136" spans="1:12" ht="15.75" customHeight="1">
      <c r="A136" s="951">
        <f t="shared" si="2"/>
        <v>87</v>
      </c>
      <c r="B136" s="949">
        <f>+NOMINA!C129</f>
        <v>13260933</v>
      </c>
      <c r="C136" s="949" t="str">
        <f>+NOMINA!D129</f>
        <v>Venegas Azuaje Freddy Jose</v>
      </c>
      <c r="D136" s="949" t="str">
        <f>+NOMINA!O129</f>
        <v>Guia de Centro I</v>
      </c>
      <c r="E136" s="952">
        <f>+NOMINA!H129</f>
        <v>45474</v>
      </c>
      <c r="F136" s="953">
        <f>+NOMINA!BR129</f>
        <v>28.08</v>
      </c>
      <c r="G136" s="953">
        <f>+NOMINA!BS129</f>
        <v>6.24</v>
      </c>
      <c r="H136" s="608"/>
      <c r="I136" s="609"/>
      <c r="J136" s="609"/>
      <c r="K136" s="609"/>
      <c r="L136" s="609"/>
    </row>
    <row r="137" spans="1:12" ht="15.75" customHeight="1">
      <c r="A137" s="951">
        <f t="shared" si="2"/>
        <v>88</v>
      </c>
      <c r="B137" s="949">
        <f>+NOMINA!C130</f>
        <v>13261035</v>
      </c>
      <c r="C137" s="949" t="str">
        <f>+NOMINA!D130</f>
        <v>Henry Peña Yokary Nakary</v>
      </c>
      <c r="D137" s="949" t="str">
        <f>+NOMINA!O130</f>
        <v>Entrenador Deportivo V</v>
      </c>
      <c r="E137" s="952">
        <f>+NOMINA!H130</f>
        <v>43770</v>
      </c>
      <c r="F137" s="953">
        <f>+NOMINA!BR130</f>
        <v>43.7</v>
      </c>
      <c r="G137" s="953">
        <f>+NOMINA!BS130</f>
        <v>9.7100000000000009</v>
      </c>
      <c r="H137" s="608"/>
      <c r="I137" s="609"/>
      <c r="J137" s="609"/>
      <c r="K137" s="609"/>
      <c r="L137" s="609"/>
    </row>
    <row r="138" spans="1:12" ht="15.75" customHeight="1">
      <c r="A138" s="951">
        <f t="shared" si="2"/>
        <v>89</v>
      </c>
      <c r="B138" s="949">
        <f>+NOMINA!C131</f>
        <v>13261229</v>
      </c>
      <c r="C138" s="949" t="str">
        <f>+NOMINA!D131</f>
        <v>Abreu Rodriguez Eva Del Carmen</v>
      </c>
      <c r="D138" s="949" t="str">
        <f>+NOMINA!O131</f>
        <v>Asistente Administrativo III</v>
      </c>
      <c r="E138" s="952">
        <f>+NOMINA!H131</f>
        <v>42644</v>
      </c>
      <c r="F138" s="953">
        <f>+NOMINA!BR131</f>
        <v>38.130000000000003</v>
      </c>
      <c r="G138" s="953">
        <f>+NOMINA!BS131</f>
        <v>8.4700000000000006</v>
      </c>
      <c r="H138" s="608"/>
      <c r="I138" s="609"/>
      <c r="J138" s="609"/>
      <c r="K138" s="609"/>
      <c r="L138" s="609"/>
    </row>
    <row r="139" spans="1:12" ht="15.75" customHeight="1">
      <c r="A139" s="951">
        <f t="shared" si="2"/>
        <v>90</v>
      </c>
      <c r="B139" s="949">
        <f>+NOMINA!C132</f>
        <v>13461747</v>
      </c>
      <c r="C139" s="949" t="str">
        <f>+NOMINA!D132</f>
        <v>Santos Hernandez Karine Yenilet</v>
      </c>
      <c r="D139" s="949" t="str">
        <f>+NOMINA!O132</f>
        <v>Asistente Administrativo III</v>
      </c>
      <c r="E139" s="952">
        <f>+NOMINA!H132</f>
        <v>44683</v>
      </c>
      <c r="F139" s="953">
        <f>+NOMINA!BR132</f>
        <v>35.67</v>
      </c>
      <c r="G139" s="953">
        <f>+NOMINA!BS132</f>
        <v>7.93</v>
      </c>
      <c r="H139" s="608"/>
      <c r="I139" s="609"/>
      <c r="J139" s="609"/>
      <c r="K139" s="609"/>
      <c r="L139" s="609"/>
    </row>
    <row r="140" spans="1:12" ht="15.75" customHeight="1">
      <c r="A140" s="951">
        <f t="shared" si="2"/>
        <v>91</v>
      </c>
      <c r="B140" s="949">
        <f>+NOMINA!C133</f>
        <v>13461934</v>
      </c>
      <c r="C140" s="949" t="str">
        <f>+NOMINA!D133</f>
        <v>Ramirez Ayala Jenny Marisela</v>
      </c>
      <c r="D140" s="949" t="str">
        <f>+NOMINA!O133</f>
        <v>Guia de Centro II</v>
      </c>
      <c r="E140" s="952">
        <f>+NOMINA!H133</f>
        <v>43252</v>
      </c>
      <c r="F140" s="953">
        <f>+NOMINA!BR133</f>
        <v>33.54</v>
      </c>
      <c r="G140" s="953">
        <f>+NOMINA!BS133</f>
        <v>7.45</v>
      </c>
      <c r="H140" s="608"/>
      <c r="I140" s="609"/>
      <c r="J140" s="609"/>
      <c r="K140" s="609"/>
      <c r="L140" s="609"/>
    </row>
    <row r="141" spans="1:12" ht="15.75" customHeight="1">
      <c r="A141" s="951">
        <f t="shared" si="2"/>
        <v>92</v>
      </c>
      <c r="B141" s="949">
        <f>+NOMINA!C134</f>
        <v>13462933</v>
      </c>
      <c r="C141" s="949" t="str">
        <f>+NOMINA!D134</f>
        <v>Frias Aldana Maria Yaritza</v>
      </c>
      <c r="D141" s="949" t="str">
        <f>+NOMINA!O134</f>
        <v>Administrador Jefe</v>
      </c>
      <c r="E141" s="952">
        <f>+NOMINA!H134</f>
        <v>39454</v>
      </c>
      <c r="F141" s="953">
        <f>+NOMINA!BR134</f>
        <v>0</v>
      </c>
      <c r="G141" s="953">
        <f>+NOMINA!BS134</f>
        <v>0</v>
      </c>
      <c r="H141" s="608"/>
      <c r="I141" s="609"/>
      <c r="J141" s="609"/>
      <c r="K141" s="609"/>
      <c r="L141" s="609"/>
    </row>
    <row r="142" spans="1:12" ht="15.75" customHeight="1">
      <c r="A142" s="951">
        <f t="shared" si="2"/>
        <v>93</v>
      </c>
      <c r="B142" s="949">
        <f>+NOMINA!C135</f>
        <v>13462511</v>
      </c>
      <c r="C142" s="949" t="str">
        <f>+NOMINA!D135</f>
        <v>Vielma Jenifer</v>
      </c>
      <c r="D142" s="949" t="str">
        <f>+NOMINA!O135</f>
        <v>CRIMINOLOGO</v>
      </c>
      <c r="E142" s="952">
        <f>+NOMINA!H135</f>
        <v>43738</v>
      </c>
      <c r="F142" s="953">
        <f>+NOMINA!BR135</f>
        <v>56.29</v>
      </c>
      <c r="G142" s="953">
        <f>+NOMINA!BS135</f>
        <v>12.51</v>
      </c>
      <c r="H142" s="608"/>
      <c r="I142" s="609"/>
      <c r="J142" s="609"/>
      <c r="K142" s="609"/>
      <c r="L142" s="609"/>
    </row>
    <row r="143" spans="1:12" ht="15.75" customHeight="1">
      <c r="A143" s="951">
        <f t="shared" si="2"/>
        <v>94</v>
      </c>
      <c r="B143" s="949">
        <f>+NOMINA!C136</f>
        <v>13522518</v>
      </c>
      <c r="C143" s="949" t="str">
        <f>+NOMINA!D136</f>
        <v>Altuve Diaz Jose Antonio</v>
      </c>
      <c r="D143" s="949" t="str">
        <f>+NOMINA!O136</f>
        <v>Almacenista II</v>
      </c>
      <c r="E143" s="952">
        <f>+NOMINA!H136</f>
        <v>43739</v>
      </c>
      <c r="F143" s="953">
        <f>+NOMINA!BR136</f>
        <v>24.92</v>
      </c>
      <c r="G143" s="953">
        <f>+NOMINA!BS136</f>
        <v>5.54</v>
      </c>
      <c r="H143" s="608"/>
      <c r="I143" s="609"/>
      <c r="J143" s="609"/>
      <c r="K143" s="609"/>
      <c r="L143" s="609"/>
    </row>
    <row r="144" spans="1:12" ht="15.75" customHeight="1">
      <c r="A144" s="951">
        <f t="shared" si="2"/>
        <v>95</v>
      </c>
      <c r="B144" s="949">
        <f>+NOMINA!C137</f>
        <v>13523075</v>
      </c>
      <c r="C144" s="949" t="str">
        <f>+NOMINA!D137</f>
        <v>Zambrano Castellanos Maria Alejandra</v>
      </c>
      <c r="D144" s="949" t="str">
        <f>+NOMINA!O137</f>
        <v>Planificador V</v>
      </c>
      <c r="E144" s="952">
        <f>+NOMINA!H137</f>
        <v>37718</v>
      </c>
      <c r="F144" s="953">
        <f>+NOMINA!BR137</f>
        <v>44.5</v>
      </c>
      <c r="G144" s="953">
        <f>+NOMINA!BS137</f>
        <v>9.89</v>
      </c>
      <c r="H144" s="608"/>
      <c r="I144" s="609"/>
      <c r="J144" s="609"/>
      <c r="K144" s="609"/>
      <c r="L144" s="609"/>
    </row>
    <row r="145" spans="1:12" ht="15.75" customHeight="1">
      <c r="A145" s="951">
        <f t="shared" si="2"/>
        <v>96</v>
      </c>
      <c r="B145" s="949">
        <f>+NOMINA!C138</f>
        <v>13745803</v>
      </c>
      <c r="C145" s="949" t="str">
        <f>+NOMINA!D138</f>
        <v>Materan Riveros Yorvis Alexis</v>
      </c>
      <c r="D145" s="949" t="str">
        <f>+NOMINA!O138</f>
        <v>Tutor Facilitador III</v>
      </c>
      <c r="E145" s="952">
        <f>+NOMINA!H138</f>
        <v>44774</v>
      </c>
      <c r="F145" s="953">
        <f>+NOMINA!BR138</f>
        <v>52.25</v>
      </c>
      <c r="G145" s="953">
        <f>+NOMINA!BS138</f>
        <v>11.61</v>
      </c>
      <c r="H145" s="608"/>
      <c r="I145" s="609"/>
      <c r="J145" s="609"/>
      <c r="K145" s="609"/>
      <c r="L145" s="609"/>
    </row>
    <row r="146" spans="1:12" ht="15.75" customHeight="1">
      <c r="A146" s="951">
        <f t="shared" si="2"/>
        <v>97</v>
      </c>
      <c r="B146" s="949">
        <f>+NOMINA!C139</f>
        <v>13765028</v>
      </c>
      <c r="C146" s="949" t="str">
        <f>+NOMINA!D139</f>
        <v xml:space="preserve">Diaz Ramirez Mileyda Del Valle </v>
      </c>
      <c r="D146" s="949" t="str">
        <f>+NOMINA!O139</f>
        <v>Guia de Centro II</v>
      </c>
      <c r="E146" s="952">
        <f>+NOMINA!H139</f>
        <v>44348</v>
      </c>
      <c r="F146" s="953">
        <f>+NOMINA!BR139</f>
        <v>48.93</v>
      </c>
      <c r="G146" s="953">
        <f>+NOMINA!BS139</f>
        <v>10.87</v>
      </c>
      <c r="H146" s="608"/>
      <c r="I146" s="609"/>
      <c r="J146" s="609"/>
      <c r="K146" s="609"/>
      <c r="L146" s="609"/>
    </row>
    <row r="147" spans="1:12" ht="15.75" customHeight="1">
      <c r="A147" s="951">
        <f t="shared" si="2"/>
        <v>98</v>
      </c>
      <c r="B147" s="949">
        <f>+NOMINA!C140</f>
        <v>13896147</v>
      </c>
      <c r="C147" s="949" t="str">
        <f>+NOMINA!D140</f>
        <v>Carrizo Blanco Belquis Cecilia</v>
      </c>
      <c r="D147" s="949" t="str">
        <f>+NOMINA!O140</f>
        <v>Administrador III</v>
      </c>
      <c r="E147" s="952">
        <f>+NOMINA!H140</f>
        <v>41334</v>
      </c>
      <c r="F147" s="953">
        <f>+NOMINA!BR140</f>
        <v>46.3</v>
      </c>
      <c r="G147" s="953">
        <f>+NOMINA!BS140</f>
        <v>10.29</v>
      </c>
      <c r="H147" s="608"/>
      <c r="I147" s="609"/>
      <c r="J147" s="609"/>
      <c r="K147" s="609"/>
      <c r="L147" s="609"/>
    </row>
    <row r="148" spans="1:12" ht="15.75" customHeight="1">
      <c r="A148" s="951">
        <f t="shared" si="2"/>
        <v>99</v>
      </c>
      <c r="B148" s="949">
        <f>+NOMINA!C141</f>
        <v>13896239</v>
      </c>
      <c r="C148" s="949" t="str">
        <f>+NOMINA!D141</f>
        <v>Sulbaran Campos Yusneida Ayarith</v>
      </c>
      <c r="D148" s="949" t="str">
        <f>+NOMINA!O141</f>
        <v>Analista de Presupuesto IV</v>
      </c>
      <c r="E148" s="952">
        <f>+NOMINA!H141</f>
        <v>42416</v>
      </c>
      <c r="F148" s="953">
        <f>+NOMINA!BR141</f>
        <v>0</v>
      </c>
      <c r="G148" s="953">
        <f>+NOMINA!BS141</f>
        <v>0</v>
      </c>
      <c r="H148" s="608"/>
      <c r="I148" s="609"/>
      <c r="J148" s="609"/>
      <c r="K148" s="609"/>
      <c r="L148" s="609"/>
    </row>
    <row r="149" spans="1:12" ht="15.75" customHeight="1">
      <c r="A149" s="951">
        <f t="shared" si="2"/>
        <v>100</v>
      </c>
      <c r="B149" s="949">
        <f>+NOMINA!C142</f>
        <v>13897046</v>
      </c>
      <c r="C149" s="949" t="str">
        <f>+NOMINA!D142</f>
        <v>Artigas Sanchez Mireya Carolina</v>
      </c>
      <c r="D149" s="949" t="str">
        <f>+NOMINA!O142</f>
        <v>Tecnico Superior en Trabajo Social II</v>
      </c>
      <c r="E149" s="952">
        <f>+NOMINA!H142</f>
        <v>42384</v>
      </c>
      <c r="F149" s="953">
        <f>+NOMINA!BR142</f>
        <v>39.86</v>
      </c>
      <c r="G149" s="953">
        <f>+NOMINA!BS142</f>
        <v>8.86</v>
      </c>
      <c r="H149" s="608"/>
      <c r="I149" s="609"/>
      <c r="J149" s="609"/>
      <c r="K149" s="609"/>
      <c r="L149" s="609"/>
    </row>
    <row r="150" spans="1:12" ht="15.75" customHeight="1">
      <c r="A150" s="951">
        <f t="shared" si="2"/>
        <v>101</v>
      </c>
      <c r="B150" s="949">
        <f>+NOMINA!C143</f>
        <v>13897695</v>
      </c>
      <c r="C150" s="949" t="str">
        <f>+NOMINA!D143</f>
        <v>Araujo Matheus Alba Mariela</v>
      </c>
      <c r="D150" s="949" t="str">
        <f>+NOMINA!O143</f>
        <v>Analista de Presupuesto Jefe</v>
      </c>
      <c r="E150" s="952">
        <f>+NOMINA!H143</f>
        <v>39496</v>
      </c>
      <c r="F150" s="953">
        <f>+NOMINA!BR143</f>
        <v>53.17</v>
      </c>
      <c r="G150" s="953">
        <f>+NOMINA!BS143</f>
        <v>11.82</v>
      </c>
      <c r="H150" s="608"/>
      <c r="I150" s="609"/>
      <c r="J150" s="609"/>
      <c r="K150" s="609"/>
      <c r="L150" s="609"/>
    </row>
    <row r="151" spans="1:12" ht="15.75" customHeight="1">
      <c r="A151" s="951">
        <f t="shared" si="2"/>
        <v>102</v>
      </c>
      <c r="B151" s="949">
        <f>+NOMINA!C144</f>
        <v>13996024</v>
      </c>
      <c r="C151" s="949" t="str">
        <f>+NOMINA!D144</f>
        <v>Perez Barrios Helenmar</v>
      </c>
      <c r="D151" s="949" t="str">
        <f>+NOMINA!O144</f>
        <v>Contador III</v>
      </c>
      <c r="E151" s="952">
        <f>+NOMINA!H144</f>
        <v>40028</v>
      </c>
      <c r="F151" s="953">
        <f>+NOMINA!BR144</f>
        <v>49.72</v>
      </c>
      <c r="G151" s="953">
        <f>+NOMINA!BS144</f>
        <v>11.05</v>
      </c>
      <c r="H151" s="608"/>
      <c r="I151" s="609"/>
      <c r="J151" s="609"/>
      <c r="K151" s="609"/>
      <c r="L151" s="609"/>
    </row>
    <row r="152" spans="1:12" ht="15.75" customHeight="1">
      <c r="A152" s="951">
        <f t="shared" si="2"/>
        <v>103</v>
      </c>
      <c r="B152" s="949">
        <f>+NOMINA!C145</f>
        <v>14106648</v>
      </c>
      <c r="C152" s="949" t="str">
        <f>+NOMINA!D145</f>
        <v>Aguilar Flores Heidy Coromoto</v>
      </c>
      <c r="D152" s="949" t="str">
        <f>+NOMINA!O145</f>
        <v>Asistente Administrativo IV</v>
      </c>
      <c r="E152" s="952">
        <f>+NOMINA!H145</f>
        <v>40787</v>
      </c>
      <c r="F152" s="953">
        <f>+NOMINA!BR145</f>
        <v>42.48</v>
      </c>
      <c r="G152" s="953">
        <f>+NOMINA!BS145</f>
        <v>9.44</v>
      </c>
      <c r="H152" s="608"/>
      <c r="I152" s="609"/>
      <c r="J152" s="609"/>
      <c r="K152" s="609"/>
      <c r="L152" s="609"/>
    </row>
    <row r="153" spans="1:12" ht="15.75" customHeight="1">
      <c r="A153" s="951">
        <f t="shared" si="2"/>
        <v>104</v>
      </c>
      <c r="B153" s="949">
        <f>+NOMINA!C146</f>
        <v>14329448</v>
      </c>
      <c r="C153" s="949" t="str">
        <f>+NOMINA!D146</f>
        <v>Leal Mejia Jociany Trinny</v>
      </c>
      <c r="D153" s="949" t="str">
        <f>+NOMINA!O146</f>
        <v>Tutor Facilitador I</v>
      </c>
      <c r="E153" s="952">
        <f>+NOMINA!H146</f>
        <v>44743</v>
      </c>
      <c r="F153" s="953">
        <f>+NOMINA!BR146</f>
        <v>40.86</v>
      </c>
      <c r="G153" s="953">
        <f>+NOMINA!BS146</f>
        <v>9.08</v>
      </c>
      <c r="H153" s="608"/>
      <c r="I153" s="609"/>
      <c r="J153" s="609"/>
      <c r="K153" s="609"/>
      <c r="L153" s="609"/>
    </row>
    <row r="154" spans="1:12" ht="15.75" customHeight="1">
      <c r="A154" s="951">
        <f t="shared" si="2"/>
        <v>105</v>
      </c>
      <c r="B154" s="949">
        <f>+NOMINA!C147</f>
        <v>14406240</v>
      </c>
      <c r="C154" s="949" t="str">
        <f>+NOMINA!D147</f>
        <v>Sarmiento Suarez Karem Yanira</v>
      </c>
      <c r="D154" s="949" t="str">
        <f>+NOMINA!O147</f>
        <v>Tecnico Superior en Trabajo Social II</v>
      </c>
      <c r="E154" s="952">
        <f>+NOMINA!H147</f>
        <v>43785</v>
      </c>
      <c r="F154" s="953">
        <f>+NOMINA!BR147</f>
        <v>41.57</v>
      </c>
      <c r="G154" s="953">
        <f>+NOMINA!BS147</f>
        <v>9.24</v>
      </c>
      <c r="H154" s="608"/>
      <c r="I154" s="609"/>
      <c r="J154" s="609"/>
      <c r="K154" s="609"/>
      <c r="L154" s="609"/>
    </row>
    <row r="155" spans="1:12" ht="15.75" customHeight="1">
      <c r="A155" s="951">
        <f t="shared" si="2"/>
        <v>106</v>
      </c>
      <c r="B155" s="949">
        <f>+NOMINA!C148</f>
        <v>14459607</v>
      </c>
      <c r="C155" s="949" t="str">
        <f>+NOMINA!D148</f>
        <v>Martinez Leal Deyanira Yusissan</v>
      </c>
      <c r="D155" s="949" t="str">
        <f>+NOMINA!O148</f>
        <v>Tecnico Superior en Trabajo Social II</v>
      </c>
      <c r="E155" s="952">
        <f>+NOMINA!H148</f>
        <v>43116</v>
      </c>
      <c r="F155" s="953">
        <f>+NOMINA!BR148</f>
        <v>39.11</v>
      </c>
      <c r="G155" s="953">
        <f>+NOMINA!BS148</f>
        <v>8.69</v>
      </c>
      <c r="H155" s="608"/>
      <c r="I155" s="609"/>
      <c r="J155" s="609"/>
      <c r="K155" s="609"/>
      <c r="L155" s="609"/>
    </row>
    <row r="156" spans="1:12" ht="15.75" customHeight="1">
      <c r="A156" s="951">
        <f t="shared" si="2"/>
        <v>107</v>
      </c>
      <c r="B156" s="949">
        <f>+NOMINA!C149</f>
        <v>14598170</v>
      </c>
      <c r="C156" s="949" t="str">
        <f>+NOMINA!D149</f>
        <v>Rendon Utrilla Gerson Paul</v>
      </c>
      <c r="D156" s="949" t="str">
        <f>+NOMINA!O149</f>
        <v>Tutor Facilitador III</v>
      </c>
      <c r="E156" s="952">
        <f>+NOMINA!H149</f>
        <v>43435</v>
      </c>
      <c r="F156" s="953">
        <f>+NOMINA!BR149</f>
        <v>45.57</v>
      </c>
      <c r="G156" s="953">
        <f>+NOMINA!BS149</f>
        <v>10.130000000000001</v>
      </c>
      <c r="H156" s="608"/>
      <c r="I156" s="609"/>
      <c r="J156" s="609"/>
      <c r="K156" s="609"/>
      <c r="L156" s="609"/>
    </row>
    <row r="157" spans="1:12" ht="15.75" customHeight="1">
      <c r="A157" s="951">
        <f t="shared" si="2"/>
        <v>108</v>
      </c>
      <c r="B157" s="949">
        <f>+NOMINA!C150</f>
        <v>14598687</v>
      </c>
      <c r="C157" s="949" t="str">
        <f>+NOMINA!D150</f>
        <v>Godoy Bracamonte Juan Carlos</v>
      </c>
      <c r="D157" s="949" t="str">
        <f>+NOMINA!O150</f>
        <v>Entrenador Deportivo IV</v>
      </c>
      <c r="E157" s="952">
        <f>+NOMINA!H150</f>
        <v>44332</v>
      </c>
      <c r="F157" s="953">
        <f>+NOMINA!BR150</f>
        <v>51.45</v>
      </c>
      <c r="G157" s="953">
        <f>+NOMINA!BS150</f>
        <v>11.43</v>
      </c>
      <c r="H157" s="608"/>
      <c r="I157" s="609"/>
      <c r="J157" s="609"/>
      <c r="K157" s="609"/>
      <c r="L157" s="609"/>
    </row>
    <row r="158" spans="1:12" ht="15.75" customHeight="1">
      <c r="A158" s="951">
        <f t="shared" si="2"/>
        <v>109</v>
      </c>
      <c r="B158" s="949">
        <f>+NOMINA!C151</f>
        <v>14719639</v>
      </c>
      <c r="C158" s="949" t="str">
        <f>+NOMINA!D151</f>
        <v xml:space="preserve">Coy de Dorante Sandra Liliana </v>
      </c>
      <c r="D158" s="949" t="str">
        <f>+NOMINA!O151</f>
        <v>Guia de Centro I</v>
      </c>
      <c r="E158" s="952">
        <f>+NOMINA!H151</f>
        <v>44896</v>
      </c>
      <c r="F158" s="953">
        <f>+NOMINA!BR151</f>
        <v>31.06</v>
      </c>
      <c r="G158" s="953">
        <f>+NOMINA!BS151</f>
        <v>6.9</v>
      </c>
      <c r="H158" s="608"/>
      <c r="I158" s="609"/>
      <c r="J158" s="609"/>
      <c r="K158" s="609"/>
      <c r="L158" s="609"/>
    </row>
    <row r="159" spans="1:12" ht="15.75" customHeight="1">
      <c r="A159" s="951">
        <f t="shared" si="2"/>
        <v>110</v>
      </c>
      <c r="B159" s="949">
        <f>+NOMINA!C152</f>
        <v>14739168</v>
      </c>
      <c r="C159" s="949" t="str">
        <f>+NOMINA!D152</f>
        <v>Briceño Hernandez Yeny Del Carmen</v>
      </c>
      <c r="D159" s="949" t="str">
        <f>+NOMINA!O152</f>
        <v>Trabajador Social III</v>
      </c>
      <c r="E159" s="952">
        <f>+NOMINA!H152</f>
        <v>38841</v>
      </c>
      <c r="F159" s="953">
        <f>+NOMINA!BR152</f>
        <v>42.12</v>
      </c>
      <c r="G159" s="953">
        <f>+NOMINA!BS152</f>
        <v>9.36</v>
      </c>
      <c r="H159" s="608"/>
      <c r="I159" s="609"/>
      <c r="J159" s="609"/>
      <c r="K159" s="609"/>
      <c r="L159" s="609"/>
    </row>
    <row r="160" spans="1:12" ht="15.75" customHeight="1">
      <c r="A160" s="951">
        <f t="shared" si="2"/>
        <v>111</v>
      </c>
      <c r="B160" s="949">
        <f>+NOMINA!C153</f>
        <v>14928034</v>
      </c>
      <c r="C160" s="949" t="str">
        <f>+NOMINA!D153</f>
        <v>Ramirez Palomares Mariana Teresa</v>
      </c>
      <c r="D160" s="949" t="str">
        <f>+NOMINA!O153</f>
        <v>Promotor Cultural I</v>
      </c>
      <c r="E160" s="952">
        <f>+NOMINA!H153</f>
        <v>44302</v>
      </c>
      <c r="F160" s="953">
        <f>+NOMINA!BR153</f>
        <v>27.65</v>
      </c>
      <c r="G160" s="953">
        <f>+NOMINA!BS153</f>
        <v>6.15</v>
      </c>
      <c r="H160" s="608"/>
      <c r="I160" s="609"/>
      <c r="J160" s="609"/>
      <c r="K160" s="609"/>
      <c r="L160" s="609"/>
    </row>
    <row r="161" spans="1:12" ht="15.75" customHeight="1">
      <c r="A161" s="951">
        <f t="shared" si="2"/>
        <v>112</v>
      </c>
      <c r="B161" s="949">
        <f>+NOMINA!C154</f>
        <v>14928260</v>
      </c>
      <c r="C161" s="949" t="str">
        <f>+NOMINA!D154</f>
        <v>Rivas Ana Lucila</v>
      </c>
      <c r="D161" s="949" t="str">
        <f>+NOMINA!O154</f>
        <v>Tutor Facilitador I</v>
      </c>
      <c r="E161" s="952">
        <f>+NOMINA!H154</f>
        <v>39104</v>
      </c>
      <c r="F161" s="953">
        <f>+NOMINA!BR154</f>
        <v>42.12</v>
      </c>
      <c r="G161" s="953">
        <f>+NOMINA!BS154</f>
        <v>9.36</v>
      </c>
      <c r="H161" s="608"/>
      <c r="I161" s="609"/>
      <c r="J161" s="609"/>
      <c r="K161" s="609"/>
      <c r="L161" s="609"/>
    </row>
    <row r="162" spans="1:12" ht="15.75" customHeight="1">
      <c r="A162" s="951">
        <f t="shared" si="2"/>
        <v>113</v>
      </c>
      <c r="B162" s="949">
        <f>+NOMINA!C155</f>
        <v>14929642</v>
      </c>
      <c r="C162" s="949" t="str">
        <f>+NOMINA!D155</f>
        <v>Alvarran Arjona Ismenia Del Carmen</v>
      </c>
      <c r="D162" s="949" t="str">
        <f>+NOMINA!O155</f>
        <v>GUIA DE CENTRO II</v>
      </c>
      <c r="E162" s="952">
        <f>+NOMINA!H155</f>
        <v>43419</v>
      </c>
      <c r="F162" s="953">
        <f>+NOMINA!BR155</f>
        <v>48.88</v>
      </c>
      <c r="G162" s="953">
        <f>+NOMINA!BS155</f>
        <v>10.86</v>
      </c>
      <c r="H162" s="608"/>
      <c r="I162" s="609"/>
      <c r="J162" s="609"/>
      <c r="K162" s="609"/>
      <c r="L162" s="609"/>
    </row>
    <row r="163" spans="1:12" ht="15.75" customHeight="1">
      <c r="A163" s="951">
        <f t="shared" si="2"/>
        <v>114</v>
      </c>
      <c r="B163" s="949">
        <f>+NOMINA!C156</f>
        <v>14986675</v>
      </c>
      <c r="C163" s="949" t="str">
        <f>+NOMINA!D156</f>
        <v>Mecias Nuñez Shirly Ygnacia</v>
      </c>
      <c r="D163" s="949" t="str">
        <f>+NOMINA!O156</f>
        <v>Tutor Facilitador I</v>
      </c>
      <c r="E163" s="952">
        <f>+NOMINA!H156</f>
        <v>44805</v>
      </c>
      <c r="F163" s="953">
        <f>+NOMINA!BR156</f>
        <v>42.15</v>
      </c>
      <c r="G163" s="953">
        <f>+NOMINA!BS156</f>
        <v>9.3699999999999992</v>
      </c>
      <c r="H163" s="608"/>
      <c r="I163" s="609"/>
      <c r="J163" s="609"/>
      <c r="K163" s="609"/>
      <c r="L163" s="609"/>
    </row>
    <row r="164" spans="1:12" ht="15.75" customHeight="1">
      <c r="A164" s="951">
        <f t="shared" si="2"/>
        <v>115</v>
      </c>
      <c r="B164" s="949">
        <f>+NOMINA!C157</f>
        <v>15188927</v>
      </c>
      <c r="C164" s="949" t="str">
        <f>+NOMINA!D157</f>
        <v>Linares Villarreal Rosmely del Carmen</v>
      </c>
      <c r="D164" s="949" t="str">
        <f>+NOMINA!O157</f>
        <v>Guia de Centro II</v>
      </c>
      <c r="E164" s="952">
        <f>+NOMINA!H157</f>
        <v>44409</v>
      </c>
      <c r="F164" s="953">
        <f>+NOMINA!BR157</f>
        <v>33.43</v>
      </c>
      <c r="G164" s="953">
        <f>+NOMINA!BS157</f>
        <v>7.43</v>
      </c>
      <c r="H164" s="608"/>
      <c r="I164" s="609"/>
      <c r="J164" s="609"/>
      <c r="K164" s="609"/>
      <c r="L164" s="609"/>
    </row>
    <row r="165" spans="1:12" ht="15.75" customHeight="1">
      <c r="A165" s="951">
        <f t="shared" si="2"/>
        <v>116</v>
      </c>
      <c r="B165" s="949">
        <f>+NOMINA!C158</f>
        <v>15560762</v>
      </c>
      <c r="C165" s="949" t="str">
        <f>+NOMINA!D158</f>
        <v>Villalobos Javier Jose</v>
      </c>
      <c r="D165" s="949" t="str">
        <f>+NOMINA!O158</f>
        <v>Entrenador Deportivo IV</v>
      </c>
      <c r="E165" s="952">
        <f>+NOMINA!H158</f>
        <v>45474</v>
      </c>
      <c r="F165" s="953">
        <f>+NOMINA!BR158</f>
        <v>40.340000000000003</v>
      </c>
      <c r="G165" s="953">
        <f>+NOMINA!BS158</f>
        <v>8.9700000000000006</v>
      </c>
      <c r="H165" s="608"/>
      <c r="I165" s="609"/>
      <c r="J165" s="609"/>
      <c r="K165" s="609"/>
      <c r="L165" s="609"/>
    </row>
    <row r="166" spans="1:12" ht="15.75" customHeight="1">
      <c r="A166" s="951">
        <f t="shared" si="2"/>
        <v>117</v>
      </c>
      <c r="B166" s="949">
        <f>+NOMINA!C159</f>
        <v>15583745</v>
      </c>
      <c r="C166" s="949" t="str">
        <f>+NOMINA!D159</f>
        <v>Briceño Araujo Alexander Javier</v>
      </c>
      <c r="D166" s="949" t="str">
        <f>+NOMINA!O159</f>
        <v>Administrador II</v>
      </c>
      <c r="E166" s="952">
        <f>+NOMINA!H159</f>
        <v>43481</v>
      </c>
      <c r="F166" s="953">
        <f>+NOMINA!BR159</f>
        <v>44.27</v>
      </c>
      <c r="G166" s="953">
        <f>+NOMINA!BS159</f>
        <v>9.84</v>
      </c>
      <c r="H166" s="608"/>
      <c r="I166" s="609"/>
      <c r="J166" s="609"/>
      <c r="K166" s="609"/>
      <c r="L166" s="609"/>
    </row>
    <row r="167" spans="1:12" ht="15.75" customHeight="1">
      <c r="A167" s="951">
        <f t="shared" si="2"/>
        <v>118</v>
      </c>
      <c r="B167" s="949">
        <f>+NOMINA!C160</f>
        <v>15588470</v>
      </c>
      <c r="C167" s="949" t="str">
        <f>+NOMINA!D160</f>
        <v>Briceño Lozada Maraiby Coromoto</v>
      </c>
      <c r="D167" s="949" t="str">
        <f>+NOMINA!O160</f>
        <v>Trabajador Social II</v>
      </c>
      <c r="E167" s="952">
        <f>+NOMINA!H160</f>
        <v>39098</v>
      </c>
      <c r="F167" s="953">
        <f>+NOMINA!BR160</f>
        <v>42.12</v>
      </c>
      <c r="G167" s="953">
        <f>+NOMINA!BS160</f>
        <v>9.36</v>
      </c>
      <c r="H167" s="608"/>
      <c r="I167" s="609"/>
      <c r="J167" s="609"/>
      <c r="K167" s="609"/>
      <c r="L167" s="609"/>
    </row>
    <row r="168" spans="1:12" ht="15.75" customHeight="1">
      <c r="A168" s="951">
        <f t="shared" si="2"/>
        <v>119</v>
      </c>
      <c r="B168" s="949">
        <f>+NOMINA!C161</f>
        <v>15752048</v>
      </c>
      <c r="C168" s="949" t="str">
        <f>+NOMINA!D161</f>
        <v>Briceño Rangel Sudney Dayan</v>
      </c>
      <c r="D168" s="949" t="str">
        <f>+NOMINA!O161</f>
        <v>Guia de Centro II</v>
      </c>
      <c r="E168" s="952">
        <f>+NOMINA!H161</f>
        <v>39679</v>
      </c>
      <c r="F168" s="953">
        <f>+NOMINA!BR161</f>
        <v>56.7</v>
      </c>
      <c r="G168" s="953">
        <f>+NOMINA!BS161</f>
        <v>12.6</v>
      </c>
      <c r="H168" s="608"/>
      <c r="I168" s="609"/>
      <c r="J168" s="609"/>
      <c r="K168" s="609"/>
      <c r="L168" s="609"/>
    </row>
    <row r="169" spans="1:12" ht="15.75" customHeight="1">
      <c r="A169" s="951">
        <f t="shared" si="2"/>
        <v>120</v>
      </c>
      <c r="B169" s="949">
        <f>+NOMINA!C162</f>
        <v>15752183</v>
      </c>
      <c r="C169" s="949" t="str">
        <f>+NOMINA!D162</f>
        <v>Delduca Adriana Del Valle</v>
      </c>
      <c r="D169" s="949" t="str">
        <f>+NOMINA!O162</f>
        <v>Analista de Presupuesto IV</v>
      </c>
      <c r="E169" s="952">
        <f>+NOMINA!H162</f>
        <v>38930</v>
      </c>
      <c r="F169" s="953">
        <f>+NOMINA!BR162</f>
        <v>0</v>
      </c>
      <c r="G169" s="953">
        <f>+NOMINA!BS162</f>
        <v>0</v>
      </c>
      <c r="H169" s="608"/>
      <c r="I169" s="609"/>
      <c r="J169" s="609"/>
      <c r="K169" s="609"/>
      <c r="L169" s="609"/>
    </row>
    <row r="170" spans="1:12" ht="15.75" customHeight="1">
      <c r="A170" s="951">
        <f t="shared" si="2"/>
        <v>121</v>
      </c>
      <c r="B170" s="949">
        <f>+NOMINA!C163</f>
        <v>15752386</v>
      </c>
      <c r="C170" s="949" t="str">
        <f>+NOMINA!D163</f>
        <v>Villegas Gonzalez Mileide Karine</v>
      </c>
      <c r="D170" s="949" t="str">
        <f>+NOMINA!O163</f>
        <v>Guia de Centro II</v>
      </c>
      <c r="E170" s="952">
        <f>+NOMINA!H163</f>
        <v>38930</v>
      </c>
      <c r="F170" s="953">
        <f>+NOMINA!BR163</f>
        <v>56.37</v>
      </c>
      <c r="G170" s="953">
        <f>+NOMINA!BS163</f>
        <v>12.53</v>
      </c>
      <c r="H170" s="608"/>
      <c r="I170" s="609"/>
      <c r="J170" s="609"/>
      <c r="K170" s="609"/>
      <c r="L170" s="609"/>
    </row>
    <row r="171" spans="1:12" ht="15.75" customHeight="1">
      <c r="A171" s="951">
        <f t="shared" si="2"/>
        <v>122</v>
      </c>
      <c r="B171" s="949">
        <f>+NOMINA!C164</f>
        <v>15752435</v>
      </c>
      <c r="C171" s="949" t="str">
        <f>+NOMINA!D164</f>
        <v>Gonzalez de Sayago Damarys Coromoto</v>
      </c>
      <c r="D171" s="949" t="str">
        <f>+NOMINA!O164</f>
        <v>Trabajador Social II</v>
      </c>
      <c r="E171" s="952">
        <f>+NOMINA!H164</f>
        <v>38930</v>
      </c>
      <c r="F171" s="953">
        <f>+NOMINA!BR164</f>
        <v>43.36</v>
      </c>
      <c r="G171" s="953">
        <f>+NOMINA!BS164</f>
        <v>9.64</v>
      </c>
      <c r="H171" s="608"/>
      <c r="I171" s="609"/>
      <c r="J171" s="609"/>
      <c r="K171" s="609"/>
      <c r="L171" s="609"/>
    </row>
    <row r="172" spans="1:12" ht="15.75" customHeight="1">
      <c r="A172" s="951">
        <f t="shared" si="2"/>
        <v>123</v>
      </c>
      <c r="B172" s="949">
        <f>+NOMINA!C165</f>
        <v>15780354</v>
      </c>
      <c r="C172" s="949" t="str">
        <f>+NOMINA!D165</f>
        <v>Yndriago Blanco Lismiley Andreina</v>
      </c>
      <c r="D172" s="949" t="str">
        <f>+NOMINA!O165</f>
        <v>Guia de Centro I</v>
      </c>
      <c r="E172" s="952">
        <f>+NOMINA!H165</f>
        <v>44409</v>
      </c>
      <c r="F172" s="953">
        <f>+NOMINA!BR165</f>
        <v>48</v>
      </c>
      <c r="G172" s="953">
        <f>+NOMINA!BS165</f>
        <v>10.67</v>
      </c>
      <c r="H172" s="608"/>
      <c r="I172" s="609"/>
      <c r="J172" s="609"/>
      <c r="K172" s="609"/>
      <c r="L172" s="609"/>
    </row>
    <row r="173" spans="1:12" ht="15.75" customHeight="1">
      <c r="A173" s="951">
        <f t="shared" si="2"/>
        <v>124</v>
      </c>
      <c r="B173" s="949">
        <f>+NOMINA!C166</f>
        <v>15824548</v>
      </c>
      <c r="C173" s="949" t="str">
        <f>+NOMINA!D166</f>
        <v>Moreno Maria Angelica</v>
      </c>
      <c r="D173" s="949" t="str">
        <f>+NOMINA!O166</f>
        <v>Tecnico Superior en Trabajo Social II</v>
      </c>
      <c r="E173" s="952">
        <f>+NOMINA!H166</f>
        <v>44317</v>
      </c>
      <c r="F173" s="953">
        <f>+NOMINA!BR166</f>
        <v>36.69</v>
      </c>
      <c r="G173" s="953">
        <f>+NOMINA!BS166</f>
        <v>8.15</v>
      </c>
      <c r="H173" s="608"/>
      <c r="I173" s="609"/>
      <c r="J173" s="609"/>
      <c r="K173" s="609"/>
      <c r="L173" s="609"/>
    </row>
    <row r="174" spans="1:12" ht="15.75" customHeight="1">
      <c r="A174" s="951">
        <f t="shared" si="2"/>
        <v>125</v>
      </c>
      <c r="B174" s="949">
        <f>+NOMINA!C167</f>
        <v>15904692</v>
      </c>
      <c r="C174" s="949" t="str">
        <f>+NOMINA!D167</f>
        <v>Sifontes Sosa Mayulis Dayana</v>
      </c>
      <c r="D174" s="949" t="str">
        <f>+NOMINA!O167</f>
        <v>Guia de Centro II</v>
      </c>
      <c r="E174" s="952">
        <f>+NOMINA!H167</f>
        <v>39756</v>
      </c>
      <c r="F174" s="953">
        <f>+NOMINA!BR167</f>
        <v>55.12</v>
      </c>
      <c r="G174" s="953">
        <f>+NOMINA!BS167</f>
        <v>12.25</v>
      </c>
      <c r="H174" s="608"/>
      <c r="I174" s="609"/>
      <c r="J174" s="609"/>
      <c r="K174" s="609"/>
      <c r="L174" s="609"/>
    </row>
    <row r="175" spans="1:12" ht="15.75" customHeight="1">
      <c r="A175" s="951">
        <f t="shared" si="2"/>
        <v>126</v>
      </c>
      <c r="B175" s="949">
        <f>+NOMINA!C168</f>
        <v>16015833</v>
      </c>
      <c r="C175" s="949" t="str">
        <f>+NOMINA!D168</f>
        <v>Briceño Doris Elena</v>
      </c>
      <c r="D175" s="949" t="str">
        <f>+NOMINA!O168</f>
        <v>Guia de Centro II</v>
      </c>
      <c r="E175" s="952">
        <f>+NOMINA!H168</f>
        <v>42948</v>
      </c>
      <c r="F175" s="953">
        <f>+NOMINA!BR168</f>
        <v>59.69</v>
      </c>
      <c r="G175" s="953">
        <f>+NOMINA!BS168</f>
        <v>13.26</v>
      </c>
      <c r="H175" s="608"/>
      <c r="I175" s="609"/>
      <c r="J175" s="609"/>
      <c r="K175" s="609"/>
      <c r="L175" s="609"/>
    </row>
    <row r="176" spans="1:12" ht="15.75" customHeight="1">
      <c r="A176" s="951">
        <f t="shared" si="2"/>
        <v>127</v>
      </c>
      <c r="B176" s="949">
        <f>+NOMINA!C169</f>
        <v>16065580</v>
      </c>
      <c r="C176" s="949" t="str">
        <f>+NOMINA!D169</f>
        <v>Paredes de Rendon Zuly Josefina</v>
      </c>
      <c r="D176" s="949" t="str">
        <f>+NOMINA!O169</f>
        <v>Tutor Facilitador II</v>
      </c>
      <c r="E176" s="952">
        <f>+NOMINA!H169</f>
        <v>44363</v>
      </c>
      <c r="F176" s="953">
        <f>+NOMINA!BR169</f>
        <v>44.43</v>
      </c>
      <c r="G176" s="953">
        <f>+NOMINA!BS169</f>
        <v>9.8699999999999992</v>
      </c>
      <c r="H176" s="608"/>
      <c r="I176" s="609"/>
      <c r="J176" s="609"/>
      <c r="K176" s="609"/>
      <c r="L176" s="609"/>
    </row>
    <row r="177" spans="1:12" ht="15.75" customHeight="1">
      <c r="A177" s="951">
        <f t="shared" si="2"/>
        <v>128</v>
      </c>
      <c r="B177" s="949">
        <f>+NOMINA!C170</f>
        <v>16065861</v>
      </c>
      <c r="C177" s="949" t="str">
        <f>+NOMINA!D170</f>
        <v>Gonzalez Pineda Eduardo Manuel</v>
      </c>
      <c r="D177" s="949" t="str">
        <f>+NOMINA!O170</f>
        <v>Entrenador Deportivo VI</v>
      </c>
      <c r="E177" s="952">
        <f>+NOMINA!H170</f>
        <v>43906</v>
      </c>
      <c r="F177" s="953">
        <f>+NOMINA!BR170</f>
        <v>49.37</v>
      </c>
      <c r="G177" s="953">
        <f>+NOMINA!BS170</f>
        <v>10.97</v>
      </c>
      <c r="H177" s="608"/>
      <c r="I177" s="609"/>
      <c r="J177" s="609"/>
      <c r="K177" s="609"/>
      <c r="L177" s="609"/>
    </row>
    <row r="178" spans="1:12" ht="15.75" customHeight="1">
      <c r="A178" s="951">
        <f t="shared" si="2"/>
        <v>129</v>
      </c>
      <c r="B178" s="949">
        <f>+NOMINA!C171</f>
        <v>16066524</v>
      </c>
      <c r="C178" s="949" t="str">
        <f>+NOMINA!D171</f>
        <v>Carmona Peñaloza Yaneth Coromoto</v>
      </c>
      <c r="D178" s="949" t="str">
        <f>+NOMINA!O171</f>
        <v>Asistente Administrativo III</v>
      </c>
      <c r="E178" s="952">
        <f>+NOMINA!H171</f>
        <v>41456</v>
      </c>
      <c r="F178" s="953">
        <f>+NOMINA!BR171</f>
        <v>40.44</v>
      </c>
      <c r="G178" s="953">
        <f>+NOMINA!BS171</f>
        <v>8.99</v>
      </c>
      <c r="H178" s="608"/>
      <c r="I178" s="609"/>
      <c r="J178" s="609"/>
      <c r="K178" s="609"/>
      <c r="L178" s="609"/>
    </row>
    <row r="179" spans="1:12" ht="15.75" customHeight="1">
      <c r="A179" s="951">
        <f t="shared" si="2"/>
        <v>130</v>
      </c>
      <c r="B179" s="949">
        <f>+NOMINA!C172</f>
        <v>16066554</v>
      </c>
      <c r="C179" s="949" t="str">
        <f>+NOMINA!D172</f>
        <v>Gonzalez Huerta Maria Josefina</v>
      </c>
      <c r="D179" s="949" t="str">
        <f>+NOMINA!O172</f>
        <v>Auditor IV</v>
      </c>
      <c r="E179" s="952">
        <f>+NOMINA!H172</f>
        <v>38797</v>
      </c>
      <c r="F179" s="953">
        <f>+NOMINA!BR172</f>
        <v>52.7</v>
      </c>
      <c r="G179" s="953">
        <f>+NOMINA!BS172</f>
        <v>11.71</v>
      </c>
      <c r="H179" s="608"/>
      <c r="I179" s="609"/>
      <c r="J179" s="609"/>
      <c r="K179" s="609"/>
      <c r="L179" s="609"/>
    </row>
    <row r="180" spans="1:12" ht="15.75" customHeight="1">
      <c r="A180" s="951">
        <f t="shared" ref="A180:A243" si="3">+A179+1</f>
        <v>131</v>
      </c>
      <c r="B180" s="949">
        <f>+NOMINA!C173</f>
        <v>16266033</v>
      </c>
      <c r="C180" s="949" t="str">
        <f>+NOMINA!D173</f>
        <v>Montilla de Davila Nileidy del Valle</v>
      </c>
      <c r="D180" s="949" t="str">
        <f>+NOMINA!O173</f>
        <v>Guia de Centro I</v>
      </c>
      <c r="E180" s="952">
        <f>+NOMINA!H173</f>
        <v>44713</v>
      </c>
      <c r="F180" s="953">
        <f>+NOMINA!BR173</f>
        <v>47.36</v>
      </c>
      <c r="G180" s="953">
        <f>+NOMINA!BS173</f>
        <v>10.53</v>
      </c>
      <c r="H180" s="608"/>
      <c r="I180" s="609"/>
      <c r="J180" s="609"/>
      <c r="K180" s="609"/>
      <c r="L180" s="609"/>
    </row>
    <row r="181" spans="1:12" ht="15.75" customHeight="1">
      <c r="A181" s="951">
        <f t="shared" si="3"/>
        <v>132</v>
      </c>
      <c r="B181" s="949">
        <f>+NOMINA!C174</f>
        <v>16266989</v>
      </c>
      <c r="C181" s="949" t="str">
        <f>+NOMINA!D174</f>
        <v>Rincon Quevedo Angela Adriana</v>
      </c>
      <c r="D181" s="949" t="str">
        <f>+NOMINA!O174</f>
        <v>Guia de Centro II</v>
      </c>
      <c r="E181" s="952">
        <f>+NOMINA!H174</f>
        <v>43040</v>
      </c>
      <c r="F181" s="953">
        <f>+NOMINA!BR174</f>
        <v>61.38</v>
      </c>
      <c r="G181" s="953">
        <f>+NOMINA!BS174</f>
        <v>13.64</v>
      </c>
      <c r="H181" s="608"/>
      <c r="I181" s="609"/>
      <c r="J181" s="609"/>
      <c r="K181" s="609"/>
      <c r="L181" s="609"/>
    </row>
    <row r="182" spans="1:12" ht="15.75" customHeight="1">
      <c r="A182" s="951">
        <f t="shared" si="3"/>
        <v>133</v>
      </c>
      <c r="B182" s="949">
        <f>+NOMINA!C175</f>
        <v>16267940</v>
      </c>
      <c r="C182" s="949" t="str">
        <f>+NOMINA!D175</f>
        <v>Araujo Moreno Elisaelith</v>
      </c>
      <c r="D182" s="949" t="str">
        <f>+NOMINA!O175</f>
        <v>Tecnico Superior en Trabajo Social II</v>
      </c>
      <c r="E182" s="952">
        <f>+NOMINA!H175</f>
        <v>44600</v>
      </c>
      <c r="F182" s="953">
        <f>+NOMINA!BR175</f>
        <v>34.979999999999997</v>
      </c>
      <c r="G182" s="953">
        <f>+NOMINA!BS175</f>
        <v>7.77</v>
      </c>
      <c r="H182" s="608"/>
      <c r="I182" s="609"/>
      <c r="J182" s="609"/>
      <c r="K182" s="609"/>
      <c r="L182" s="609"/>
    </row>
    <row r="183" spans="1:12" ht="15.75" customHeight="1">
      <c r="A183" s="951">
        <f t="shared" si="3"/>
        <v>134</v>
      </c>
      <c r="B183" s="949">
        <f>+NOMINA!C176</f>
        <v>16376534</v>
      </c>
      <c r="C183" s="949" t="str">
        <f>+NOMINA!D176</f>
        <v>Lugo Moreno Yenny Katiuska</v>
      </c>
      <c r="D183" s="949" t="str">
        <f>+NOMINA!O176</f>
        <v>Guia de Centro II</v>
      </c>
      <c r="E183" s="952">
        <f>+NOMINA!H176</f>
        <v>43754</v>
      </c>
      <c r="F183" s="953">
        <f>+NOMINA!BR176</f>
        <v>58.5</v>
      </c>
      <c r="G183" s="953">
        <f>+NOMINA!BS176</f>
        <v>13</v>
      </c>
      <c r="H183" s="608"/>
      <c r="I183" s="609"/>
      <c r="J183" s="609"/>
      <c r="K183" s="609"/>
      <c r="L183" s="609"/>
    </row>
    <row r="184" spans="1:12" ht="15.75" customHeight="1">
      <c r="A184" s="951">
        <f t="shared" si="3"/>
        <v>135</v>
      </c>
      <c r="B184" s="949">
        <f>+NOMINA!C177</f>
        <v>16376698</v>
      </c>
      <c r="C184" s="949" t="str">
        <f>+NOMINA!D177</f>
        <v>Barreto Maldonado Jose Luis</v>
      </c>
      <c r="D184" s="949" t="str">
        <f>+NOMINA!O177</f>
        <v>Supervisor de Servicios Generales IV</v>
      </c>
      <c r="E184" s="952">
        <f>+NOMINA!H177</f>
        <v>40909</v>
      </c>
      <c r="F184" s="953">
        <f>+NOMINA!BR177</f>
        <v>29.53</v>
      </c>
      <c r="G184" s="953">
        <f>+NOMINA!BS177</f>
        <v>6.56</v>
      </c>
      <c r="H184" s="608"/>
      <c r="I184" s="609"/>
      <c r="J184" s="609"/>
      <c r="K184" s="609"/>
      <c r="L184" s="609"/>
    </row>
    <row r="185" spans="1:12" ht="15.75" customHeight="1">
      <c r="A185" s="951">
        <f t="shared" si="3"/>
        <v>136</v>
      </c>
      <c r="B185" s="949">
        <f>+NOMINA!C178</f>
        <v>16376781</v>
      </c>
      <c r="C185" s="949" t="str">
        <f>+NOMINA!D178</f>
        <v>Viloria de Utrilla Arelis del Carmen</v>
      </c>
      <c r="D185" s="949" t="str">
        <f>+NOMINA!O178</f>
        <v>Guia de Centro I</v>
      </c>
      <c r="E185" s="952">
        <f>+NOMINA!H178</f>
        <v>45413</v>
      </c>
      <c r="F185" s="953">
        <f>+NOMINA!BR178</f>
        <v>44.97</v>
      </c>
      <c r="G185" s="953">
        <f>+NOMINA!BS178</f>
        <v>9.99</v>
      </c>
      <c r="H185" s="608"/>
      <c r="I185" s="609"/>
      <c r="J185" s="609"/>
      <c r="K185" s="609"/>
      <c r="L185" s="609"/>
    </row>
    <row r="186" spans="1:12" ht="15.75" customHeight="1">
      <c r="A186" s="951">
        <f t="shared" si="3"/>
        <v>137</v>
      </c>
      <c r="B186" s="949">
        <f>+NOMINA!C179</f>
        <v>16377159</v>
      </c>
      <c r="C186" s="949" t="str">
        <f>+NOMINA!D179</f>
        <v>Carrillo Uzcategui Tahiyuani Carolina</v>
      </c>
      <c r="D186" s="949" t="str">
        <f>+NOMINA!O179</f>
        <v>Guia de Centro I</v>
      </c>
      <c r="E186" s="952">
        <f>+NOMINA!H179</f>
        <v>44743</v>
      </c>
      <c r="F186" s="953">
        <f>+NOMINA!BR179</f>
        <v>45.47</v>
      </c>
      <c r="G186" s="953">
        <f>+NOMINA!BS179</f>
        <v>10.1</v>
      </c>
      <c r="H186" s="608"/>
      <c r="I186" s="609"/>
      <c r="J186" s="609"/>
      <c r="K186" s="609"/>
      <c r="L186" s="609"/>
    </row>
    <row r="187" spans="1:12" ht="15.75" customHeight="1">
      <c r="A187" s="951">
        <f t="shared" si="3"/>
        <v>138</v>
      </c>
      <c r="B187" s="949">
        <f>+NOMINA!C180</f>
        <v>16377588</v>
      </c>
      <c r="C187" s="949" t="str">
        <f>+NOMINA!D180</f>
        <v>Perdomo Linares Alejandra Carolina</v>
      </c>
      <c r="D187" s="949" t="str">
        <f>+NOMINA!O180</f>
        <v>Tutor Facilitador II</v>
      </c>
      <c r="E187" s="952">
        <f>+NOMINA!H180</f>
        <v>44059</v>
      </c>
      <c r="F187" s="953">
        <f>+NOMINA!BR180</f>
        <v>44.71</v>
      </c>
      <c r="G187" s="953">
        <f>+NOMINA!BS180</f>
        <v>9.94</v>
      </c>
      <c r="H187" s="608"/>
      <c r="I187" s="609"/>
      <c r="J187" s="609"/>
      <c r="K187" s="609"/>
      <c r="L187" s="609"/>
    </row>
    <row r="188" spans="1:12" ht="15.75" customHeight="1">
      <c r="A188" s="951">
        <f t="shared" si="3"/>
        <v>139</v>
      </c>
      <c r="B188" s="949">
        <f>+NOMINA!C181</f>
        <v>16377628</v>
      </c>
      <c r="C188" s="949" t="str">
        <f>+NOMINA!D181</f>
        <v>Peña Nava Maria Gabriela</v>
      </c>
      <c r="D188" s="949" t="str">
        <f>+NOMINA!O181</f>
        <v>Guia de Centro II</v>
      </c>
      <c r="E188" s="952">
        <f>+NOMINA!H181</f>
        <v>44743</v>
      </c>
      <c r="F188" s="953">
        <f>+NOMINA!BR181</f>
        <v>61.88</v>
      </c>
      <c r="G188" s="953">
        <f>+NOMINA!BS181</f>
        <v>13.75</v>
      </c>
      <c r="H188" s="608"/>
      <c r="I188" s="609"/>
      <c r="J188" s="609"/>
      <c r="K188" s="609"/>
      <c r="L188" s="609"/>
    </row>
    <row r="189" spans="1:12" ht="15.75" customHeight="1">
      <c r="A189" s="951">
        <f t="shared" si="3"/>
        <v>140</v>
      </c>
      <c r="B189" s="949">
        <f>+NOMINA!C182</f>
        <v>16533566</v>
      </c>
      <c r="C189" s="949" t="str">
        <f>+NOMINA!D182</f>
        <v>Materan Gallardo Vivian Katiana</v>
      </c>
      <c r="D189" s="949" t="str">
        <f>+NOMINA!O182</f>
        <v>Guia de Centro I</v>
      </c>
      <c r="E189" s="952">
        <f>+NOMINA!H182</f>
        <v>44683</v>
      </c>
      <c r="F189" s="953">
        <f>+NOMINA!BR182</f>
        <v>31.06</v>
      </c>
      <c r="G189" s="953">
        <f>+NOMINA!BS182</f>
        <v>6.9</v>
      </c>
      <c r="H189" s="608"/>
      <c r="I189" s="609"/>
      <c r="J189" s="609"/>
      <c r="K189" s="609"/>
      <c r="L189" s="609"/>
    </row>
    <row r="190" spans="1:12" ht="15.75" customHeight="1">
      <c r="A190" s="951">
        <f t="shared" si="3"/>
        <v>141</v>
      </c>
      <c r="B190" s="949">
        <f>+NOMINA!C183</f>
        <v>16533615</v>
      </c>
      <c r="C190" s="949" t="str">
        <f>+NOMINA!D183</f>
        <v>Valero Sulbaran Urquia Del Mar</v>
      </c>
      <c r="D190" s="949" t="str">
        <f>+NOMINA!O183</f>
        <v>Guia de Centro I</v>
      </c>
      <c r="E190" s="952">
        <f>+NOMINA!H183</f>
        <v>45474</v>
      </c>
      <c r="F190" s="953">
        <f>+NOMINA!BR183</f>
        <v>52.45</v>
      </c>
      <c r="G190" s="953">
        <f>+NOMINA!BS183</f>
        <v>11.66</v>
      </c>
      <c r="H190" s="608"/>
      <c r="I190" s="609"/>
      <c r="J190" s="609"/>
      <c r="K190" s="609"/>
      <c r="L190" s="609"/>
    </row>
    <row r="191" spans="1:12" ht="15.75" customHeight="1">
      <c r="A191" s="951">
        <f t="shared" si="3"/>
        <v>142</v>
      </c>
      <c r="B191" s="949">
        <f>+NOMINA!C184</f>
        <v>16533986</v>
      </c>
      <c r="C191" s="949" t="str">
        <f>+NOMINA!D184</f>
        <v>Serrada Bustos Gladys Magaly</v>
      </c>
      <c r="D191" s="949" t="str">
        <f>+NOMINA!O184</f>
        <v>INGENIERO ELECTRICISTA JEFE</v>
      </c>
      <c r="E191" s="952">
        <f>+NOMINA!H184</f>
        <v>42948</v>
      </c>
      <c r="F191" s="953">
        <f>+NOMINA!BR184</f>
        <v>45.92</v>
      </c>
      <c r="G191" s="953">
        <f>+NOMINA!BS184</f>
        <v>10.199999999999999</v>
      </c>
      <c r="H191" s="608"/>
      <c r="I191" s="609"/>
      <c r="J191" s="609"/>
      <c r="K191" s="609"/>
      <c r="L191" s="609"/>
    </row>
    <row r="192" spans="1:12" ht="15.75" customHeight="1">
      <c r="A192" s="951">
        <f t="shared" si="3"/>
        <v>143</v>
      </c>
      <c r="B192" s="949">
        <f>+NOMINA!C185</f>
        <v>16739081</v>
      </c>
      <c r="C192" s="949" t="str">
        <f>+NOMINA!D185</f>
        <v>Albarran Araujo Yely Coromoto</v>
      </c>
      <c r="D192" s="949" t="str">
        <f>+NOMINA!O185</f>
        <v>Asistente Administrativo III</v>
      </c>
      <c r="E192" s="952">
        <f>+NOMINA!H185</f>
        <v>42948</v>
      </c>
      <c r="F192" s="953">
        <f>+NOMINA!BR185</f>
        <v>0</v>
      </c>
      <c r="G192" s="953">
        <f>+NOMINA!BS185</f>
        <v>0</v>
      </c>
      <c r="H192" s="608"/>
      <c r="I192" s="609"/>
      <c r="J192" s="609"/>
      <c r="K192" s="609"/>
      <c r="L192" s="609"/>
    </row>
    <row r="193" spans="1:12" ht="15.75" customHeight="1">
      <c r="A193" s="951">
        <f t="shared" si="3"/>
        <v>144</v>
      </c>
      <c r="B193" s="949">
        <f>+NOMINA!C186</f>
        <v>16740261</v>
      </c>
      <c r="C193" s="949" t="str">
        <f>+NOMINA!D186</f>
        <v>Rivas Briceño Nathaly Del Carmen</v>
      </c>
      <c r="D193" s="949" t="str">
        <f>+NOMINA!O186</f>
        <v>Tecnico Superior en Trabajo Social I</v>
      </c>
      <c r="E193" s="952">
        <f>+NOMINA!H186</f>
        <v>45505</v>
      </c>
      <c r="F193" s="953">
        <f>+NOMINA!BR186</f>
        <v>33.35</v>
      </c>
      <c r="G193" s="953">
        <f>+NOMINA!BS186</f>
        <v>7.41</v>
      </c>
      <c r="H193" s="608"/>
      <c r="I193" s="609"/>
      <c r="J193" s="609"/>
      <c r="K193" s="609"/>
      <c r="L193" s="609"/>
    </row>
    <row r="194" spans="1:12" ht="15.75" customHeight="1">
      <c r="A194" s="951">
        <f t="shared" si="3"/>
        <v>145</v>
      </c>
      <c r="B194" s="949">
        <f>+NOMINA!C187</f>
        <v>16881384</v>
      </c>
      <c r="C194" s="949" t="str">
        <f>+NOMINA!D187</f>
        <v>Perez Ramirez Yonathan Jesus</v>
      </c>
      <c r="D194" s="949" t="str">
        <f>+NOMINA!O187</f>
        <v>Guia de Centro II</v>
      </c>
      <c r="E194" s="952">
        <f>+NOMINA!H187</f>
        <v>43906</v>
      </c>
      <c r="F194" s="953">
        <f>+NOMINA!BR187</f>
        <v>50.44</v>
      </c>
      <c r="G194" s="953">
        <f>+NOMINA!BS187</f>
        <v>11.21</v>
      </c>
      <c r="H194" s="608"/>
      <c r="I194" s="609"/>
      <c r="J194" s="609"/>
      <c r="K194" s="609"/>
      <c r="L194" s="609"/>
    </row>
    <row r="195" spans="1:12" ht="15.75" customHeight="1">
      <c r="A195" s="951">
        <f t="shared" si="3"/>
        <v>146</v>
      </c>
      <c r="B195" s="949">
        <f>+NOMINA!C188</f>
        <v>16882467</v>
      </c>
      <c r="C195" s="949" t="str">
        <f>+NOMINA!D188</f>
        <v>Mejia Araujo Sandra Coromoto</v>
      </c>
      <c r="D195" s="949" t="str">
        <f>+NOMINA!O188</f>
        <v>Analista de Personal IV</v>
      </c>
      <c r="E195" s="952">
        <f>+NOMINA!H188</f>
        <v>42948</v>
      </c>
      <c r="F195" s="953">
        <f>+NOMINA!BR188</f>
        <v>49.07</v>
      </c>
      <c r="G195" s="953">
        <f>+NOMINA!BS188</f>
        <v>10.9</v>
      </c>
      <c r="H195" s="608"/>
      <c r="I195" s="609"/>
      <c r="J195" s="609"/>
      <c r="K195" s="609"/>
      <c r="L195" s="609"/>
    </row>
    <row r="196" spans="1:12" ht="15.75" customHeight="1">
      <c r="A196" s="951">
        <f t="shared" si="3"/>
        <v>147</v>
      </c>
      <c r="B196" s="949">
        <f>+NOMINA!C189</f>
        <v>16883267</v>
      </c>
      <c r="C196" s="949" t="str">
        <f>+NOMINA!D189</f>
        <v>Matheus Rondon Aida</v>
      </c>
      <c r="D196" s="949" t="str">
        <f>+NOMINA!O189</f>
        <v>Guia de Centro II</v>
      </c>
      <c r="E196" s="952">
        <f>+NOMINA!H189</f>
        <v>38930</v>
      </c>
      <c r="F196" s="953">
        <f>+NOMINA!BR189</f>
        <v>40.869999999999997</v>
      </c>
      <c r="G196" s="953">
        <f>+NOMINA!BS189</f>
        <v>9.08</v>
      </c>
      <c r="H196" s="608"/>
      <c r="I196" s="609"/>
      <c r="J196" s="609"/>
      <c r="K196" s="609"/>
      <c r="L196" s="609"/>
    </row>
    <row r="197" spans="1:12" ht="15.75" customHeight="1">
      <c r="A197" s="951">
        <f t="shared" si="3"/>
        <v>148</v>
      </c>
      <c r="B197" s="949">
        <f>+NOMINA!C190</f>
        <v>17037244</v>
      </c>
      <c r="C197" s="949" t="str">
        <f>+NOMINA!D190</f>
        <v>Bastidas Yelitza Del Carmen</v>
      </c>
      <c r="D197" s="949" t="str">
        <f>+NOMINA!O190</f>
        <v>Guia de Centro II</v>
      </c>
      <c r="E197" s="952">
        <f>+NOMINA!H190</f>
        <v>40087</v>
      </c>
      <c r="F197" s="953">
        <f>+NOMINA!BR190</f>
        <v>54.65</v>
      </c>
      <c r="G197" s="953">
        <f>+NOMINA!BS190</f>
        <v>12.14</v>
      </c>
      <c r="H197" s="608"/>
      <c r="I197" s="609"/>
      <c r="J197" s="609"/>
      <c r="K197" s="609"/>
      <c r="L197" s="609"/>
    </row>
    <row r="198" spans="1:12" ht="15.75" customHeight="1">
      <c r="A198" s="951">
        <f t="shared" si="3"/>
        <v>149</v>
      </c>
      <c r="B198" s="949">
        <f>+NOMINA!C191</f>
        <v>17094419</v>
      </c>
      <c r="C198" s="949" t="str">
        <f>+NOMINA!D191</f>
        <v>Aponte Rivera Lenismar del Valle</v>
      </c>
      <c r="D198" s="949" t="str">
        <f>+NOMINA!O191</f>
        <v>Guia de Centro I</v>
      </c>
      <c r="E198" s="952">
        <f>+NOMINA!H191</f>
        <v>44409</v>
      </c>
      <c r="F198" s="953">
        <f>+NOMINA!BR191</f>
        <v>30.73</v>
      </c>
      <c r="G198" s="953">
        <f>+NOMINA!BS191</f>
        <v>6.83</v>
      </c>
      <c r="H198" s="608"/>
      <c r="I198" s="609"/>
      <c r="J198" s="609"/>
      <c r="K198" s="609"/>
      <c r="L198" s="609"/>
    </row>
    <row r="199" spans="1:12" ht="15.75" customHeight="1">
      <c r="A199" s="951">
        <f t="shared" si="3"/>
        <v>150</v>
      </c>
      <c r="B199" s="949">
        <f>+NOMINA!C192</f>
        <v>17094426</v>
      </c>
      <c r="C199" s="949" t="str">
        <f>+NOMINA!D192</f>
        <v>Manzanilla Araujo Richard Jose</v>
      </c>
      <c r="D199" s="949" t="str">
        <f>+NOMINA!O192</f>
        <v>Guia de Centro II</v>
      </c>
      <c r="E199" s="952">
        <f>+NOMINA!H192</f>
        <v>43344</v>
      </c>
      <c r="F199" s="953">
        <f>+NOMINA!BR192</f>
        <v>59.24</v>
      </c>
      <c r="G199" s="953">
        <f>+NOMINA!BS192</f>
        <v>13.16</v>
      </c>
      <c r="H199" s="608"/>
      <c r="I199" s="609"/>
      <c r="J199" s="609"/>
      <c r="K199" s="609"/>
      <c r="L199" s="609"/>
    </row>
    <row r="200" spans="1:12" ht="15.75" customHeight="1">
      <c r="A200" s="951">
        <f t="shared" si="3"/>
        <v>151</v>
      </c>
      <c r="B200" s="949">
        <f>+NOMINA!C193</f>
        <v>17130893</v>
      </c>
      <c r="C200" s="949" t="str">
        <f>+NOMINA!D193</f>
        <v>Leon Valero Ceila Maria</v>
      </c>
      <c r="D200" s="949" t="str">
        <f>+NOMINA!O193</f>
        <v>Tutor Facilitador III</v>
      </c>
      <c r="E200" s="952">
        <f>+NOMINA!H193</f>
        <v>39602</v>
      </c>
      <c r="F200" s="953">
        <f>+NOMINA!BR193</f>
        <v>51.49</v>
      </c>
      <c r="G200" s="953">
        <f>+NOMINA!BS193</f>
        <v>11.44</v>
      </c>
      <c r="H200" s="608"/>
      <c r="I200" s="609"/>
      <c r="J200" s="609"/>
      <c r="K200" s="609"/>
      <c r="L200" s="609"/>
    </row>
    <row r="201" spans="1:12" ht="15.75" customHeight="1">
      <c r="A201" s="951">
        <f t="shared" si="3"/>
        <v>152</v>
      </c>
      <c r="B201" s="949">
        <f>+NOMINA!C194</f>
        <v>17265093</v>
      </c>
      <c r="C201" s="949" t="str">
        <f>+NOMINA!D194</f>
        <v>Vielma Viloria Dublasca del Valle</v>
      </c>
      <c r="D201" s="949" t="str">
        <f>+NOMINA!O194</f>
        <v>Psicologo I</v>
      </c>
      <c r="E201" s="952">
        <f>+NOMINA!H194</f>
        <v>45323</v>
      </c>
      <c r="F201" s="953">
        <f>+NOMINA!BR194</f>
        <v>50.53</v>
      </c>
      <c r="G201" s="953">
        <f>+NOMINA!BS194</f>
        <v>11.23</v>
      </c>
      <c r="H201" s="608"/>
      <c r="I201" s="609"/>
      <c r="J201" s="609"/>
      <c r="K201" s="609"/>
      <c r="L201" s="609"/>
    </row>
    <row r="202" spans="1:12" ht="15.75" customHeight="1">
      <c r="A202" s="951">
        <f t="shared" si="3"/>
        <v>153</v>
      </c>
      <c r="B202" s="949">
        <f>+NOMINA!C195</f>
        <v>17265578</v>
      </c>
      <c r="C202" s="949" t="str">
        <f>+NOMINA!D195</f>
        <v>Briceño Aguilar Rebeca Andreina</v>
      </c>
      <c r="D202" s="949" t="str">
        <f>+NOMINA!O195</f>
        <v>Tecnico Superior en Trabajo Social II</v>
      </c>
      <c r="E202" s="952">
        <f>+NOMINA!H195</f>
        <v>45047</v>
      </c>
      <c r="F202" s="953">
        <f>+NOMINA!BR195</f>
        <v>37.94</v>
      </c>
      <c r="G202" s="953">
        <f>+NOMINA!BS195</f>
        <v>8.43</v>
      </c>
      <c r="H202" s="608"/>
      <c r="I202" s="609"/>
      <c r="J202" s="609"/>
      <c r="K202" s="609"/>
      <c r="L202" s="609"/>
    </row>
    <row r="203" spans="1:12" ht="15.75" customHeight="1">
      <c r="A203" s="951">
        <f t="shared" si="3"/>
        <v>154</v>
      </c>
      <c r="B203" s="949">
        <f>+NOMINA!C196</f>
        <v>17265648</v>
      </c>
      <c r="C203" s="949" t="str">
        <f>+NOMINA!D196</f>
        <v>Carrizo Mary Alejandra</v>
      </c>
      <c r="D203" s="949" t="str">
        <f>+NOMINA!O196</f>
        <v>Guia de Centro II</v>
      </c>
      <c r="E203" s="952">
        <f>+NOMINA!H196</f>
        <v>43709</v>
      </c>
      <c r="F203" s="953">
        <f>+NOMINA!BR196</f>
        <v>33.75</v>
      </c>
      <c r="G203" s="953">
        <f>+NOMINA!BS196</f>
        <v>7.5</v>
      </c>
      <c r="H203" s="608"/>
      <c r="I203" s="609"/>
      <c r="J203" s="609"/>
      <c r="K203" s="609"/>
      <c r="L203" s="609"/>
    </row>
    <row r="204" spans="1:12" ht="15.75" customHeight="1">
      <c r="A204" s="951">
        <f t="shared" si="3"/>
        <v>155</v>
      </c>
      <c r="B204" s="949">
        <f>+NOMINA!C197</f>
        <v>17267324</v>
      </c>
      <c r="C204" s="949" t="str">
        <f>+NOMINA!D197</f>
        <v>Urdaneta Soto Katherine Esther</v>
      </c>
      <c r="D204" s="949" t="str">
        <f>+NOMINA!O197</f>
        <v>Guia de Centro II</v>
      </c>
      <c r="E204" s="952">
        <f>+NOMINA!H197</f>
        <v>43785</v>
      </c>
      <c r="F204" s="953">
        <f>+NOMINA!BR197</f>
        <v>33.75</v>
      </c>
      <c r="G204" s="953">
        <f>+NOMINA!BS197</f>
        <v>7.5</v>
      </c>
      <c r="H204" s="608"/>
      <c r="I204" s="609"/>
      <c r="J204" s="609"/>
      <c r="K204" s="609"/>
      <c r="L204" s="609"/>
    </row>
    <row r="205" spans="1:12" ht="15.75" customHeight="1">
      <c r="A205" s="951">
        <f t="shared" si="3"/>
        <v>156</v>
      </c>
      <c r="B205" s="949">
        <f>+NOMINA!C198</f>
        <v>17391316</v>
      </c>
      <c r="C205" s="949" t="str">
        <f>+NOMINA!D198</f>
        <v>Torres Aranguren Lilibeth del Valle</v>
      </c>
      <c r="D205" s="949" t="str">
        <f>+NOMINA!O198</f>
        <v>Guia de Centro I</v>
      </c>
      <c r="E205" s="952">
        <f>+NOMINA!H198</f>
        <v>44713</v>
      </c>
      <c r="F205" s="953">
        <f>+NOMINA!BR198</f>
        <v>43.85</v>
      </c>
      <c r="G205" s="953">
        <f>+NOMINA!BS198</f>
        <v>9.74</v>
      </c>
      <c r="H205" s="608"/>
      <c r="I205" s="609"/>
      <c r="J205" s="609"/>
      <c r="K205" s="609"/>
      <c r="L205" s="609"/>
    </row>
    <row r="206" spans="1:12" ht="15.75" customHeight="1">
      <c r="A206" s="951">
        <f t="shared" si="3"/>
        <v>157</v>
      </c>
      <c r="B206" s="949">
        <f>+NOMINA!C199</f>
        <v>17391892</v>
      </c>
      <c r="C206" s="949" t="str">
        <f>+NOMINA!D199</f>
        <v>Godoy Padilla Darcy Yaneth</v>
      </c>
      <c r="D206" s="949" t="str">
        <f>+NOMINA!O199</f>
        <v>Analista de Personal I</v>
      </c>
      <c r="E206" s="952">
        <f>+NOMINA!H199</f>
        <v>45323</v>
      </c>
      <c r="F206" s="953">
        <f>+NOMINA!BR199</f>
        <v>42.15</v>
      </c>
      <c r="G206" s="953">
        <f>+NOMINA!BS199</f>
        <v>9.3699999999999992</v>
      </c>
      <c r="H206" s="608"/>
      <c r="I206" s="609"/>
      <c r="J206" s="609"/>
      <c r="K206" s="609"/>
      <c r="L206" s="609"/>
    </row>
    <row r="207" spans="1:12" ht="15.75" customHeight="1">
      <c r="A207" s="951">
        <f t="shared" si="3"/>
        <v>158</v>
      </c>
      <c r="B207" s="949">
        <f>+NOMINA!C200</f>
        <v>17392309</v>
      </c>
      <c r="C207" s="949" t="str">
        <f>+NOMINA!D200</f>
        <v>Torres Briceño Yarelis Del Carmen</v>
      </c>
      <c r="D207" s="949" t="str">
        <f>+NOMINA!O200</f>
        <v>Administrador II</v>
      </c>
      <c r="E207" s="952">
        <f>+NOMINA!H200</f>
        <v>43116</v>
      </c>
      <c r="F207" s="953">
        <f>+NOMINA!BR200</f>
        <v>47.21</v>
      </c>
      <c r="G207" s="953">
        <f>+NOMINA!BS200</f>
        <v>10.49</v>
      </c>
      <c r="H207" s="608"/>
      <c r="I207" s="609"/>
      <c r="J207" s="609"/>
      <c r="K207" s="609"/>
      <c r="L207" s="609"/>
    </row>
    <row r="208" spans="1:12" ht="15.75" customHeight="1">
      <c r="A208" s="951">
        <f t="shared" si="3"/>
        <v>159</v>
      </c>
      <c r="B208" s="949">
        <f>+NOMINA!C201</f>
        <v>17393693</v>
      </c>
      <c r="C208" s="949" t="str">
        <f>+NOMINA!D201</f>
        <v>Nuñez Maria Gusmara</v>
      </c>
      <c r="D208" s="949" t="str">
        <f>+NOMINA!O201</f>
        <v>Asistente Administrativo II</v>
      </c>
      <c r="E208" s="952">
        <f>+NOMINA!H201</f>
        <v>44516</v>
      </c>
      <c r="F208" s="953">
        <f>+NOMINA!BR201</f>
        <v>25.71</v>
      </c>
      <c r="G208" s="953">
        <f>+NOMINA!BS201</f>
        <v>5.71</v>
      </c>
      <c r="H208" s="608"/>
      <c r="I208" s="609"/>
      <c r="J208" s="609"/>
      <c r="K208" s="609"/>
      <c r="L208" s="609"/>
    </row>
    <row r="209" spans="1:12" ht="15.75" customHeight="1">
      <c r="A209" s="951">
        <f t="shared" si="3"/>
        <v>160</v>
      </c>
      <c r="B209" s="949">
        <f>+NOMINA!C202</f>
        <v>17596844</v>
      </c>
      <c r="C209" s="949" t="str">
        <f>+NOMINA!D202</f>
        <v>Colmenares Jorge Luis</v>
      </c>
      <c r="D209" s="949" t="str">
        <f>+NOMINA!O202</f>
        <v>Guia de Centro I</v>
      </c>
      <c r="E209" s="952">
        <f>+NOMINA!H202</f>
        <v>45474</v>
      </c>
      <c r="F209" s="953">
        <f>+NOMINA!BR202</f>
        <v>44.97</v>
      </c>
      <c r="G209" s="953">
        <f>+NOMINA!BS202</f>
        <v>9.99</v>
      </c>
      <c r="H209" s="608"/>
      <c r="I209" s="609"/>
      <c r="J209" s="609"/>
      <c r="K209" s="609"/>
      <c r="L209" s="609"/>
    </row>
    <row r="210" spans="1:12" ht="15.75" customHeight="1">
      <c r="A210" s="951">
        <f t="shared" si="3"/>
        <v>161</v>
      </c>
      <c r="B210" s="949">
        <f>+NOMINA!C203</f>
        <v>17597257</v>
      </c>
      <c r="C210" s="949" t="str">
        <f>+NOMINA!D203</f>
        <v>Linares Barreto Jorge Luis</v>
      </c>
      <c r="D210" s="949" t="str">
        <f>+NOMINA!O203</f>
        <v>GUIA DE CENTRO I</v>
      </c>
      <c r="E210" s="952">
        <f>+NOMINA!H203</f>
        <v>45536</v>
      </c>
      <c r="F210" s="953">
        <f>+NOMINA!BR203</f>
        <v>41.73</v>
      </c>
      <c r="G210" s="953">
        <f>+NOMINA!BS203</f>
        <v>9.27</v>
      </c>
      <c r="H210" s="608"/>
      <c r="I210" s="609"/>
      <c r="J210" s="609"/>
      <c r="K210" s="609"/>
      <c r="L210" s="609"/>
    </row>
    <row r="211" spans="1:12" ht="15.75" customHeight="1">
      <c r="A211" s="951">
        <f t="shared" si="3"/>
        <v>162</v>
      </c>
      <c r="B211" s="949">
        <f>+NOMINA!C204</f>
        <v>17597285</v>
      </c>
      <c r="C211" s="949" t="str">
        <f>+NOMINA!D204</f>
        <v>Duarte Portillo Dani Vicente</v>
      </c>
      <c r="D211" s="949" t="str">
        <f>+NOMINA!O204</f>
        <v>Tecnico Superior en Trabajo Social II</v>
      </c>
      <c r="E211" s="952">
        <f>+NOMINA!H204</f>
        <v>42782</v>
      </c>
      <c r="F211" s="953">
        <f>+NOMINA!BR204</f>
        <v>36.619999999999997</v>
      </c>
      <c r="G211" s="953">
        <f>+NOMINA!BS204</f>
        <v>8.14</v>
      </c>
      <c r="H211" s="608"/>
      <c r="I211" s="609"/>
      <c r="J211" s="609"/>
      <c r="K211" s="609"/>
      <c r="L211" s="609"/>
    </row>
    <row r="212" spans="1:12" ht="15.75" customHeight="1">
      <c r="A212" s="951">
        <f t="shared" si="3"/>
        <v>163</v>
      </c>
      <c r="B212" s="949">
        <f>+NOMINA!C205</f>
        <v>17604568</v>
      </c>
      <c r="C212" s="949" t="str">
        <f>+NOMINA!D205</f>
        <v>Rivera Gil Christian Rafael</v>
      </c>
      <c r="D212" s="949" t="str">
        <f>+NOMINA!O205</f>
        <v>Tecnico en Reparacion y Mantenimiento I</v>
      </c>
      <c r="E212" s="952">
        <f>+NOMINA!H205</f>
        <v>43831</v>
      </c>
      <c r="F212" s="953">
        <f>+NOMINA!BR205</f>
        <v>38.380000000000003</v>
      </c>
      <c r="G212" s="953">
        <f>+NOMINA!BS205</f>
        <v>8.5299999999999994</v>
      </c>
      <c r="H212" s="608"/>
      <c r="I212" s="609"/>
      <c r="J212" s="609"/>
      <c r="K212" s="609"/>
      <c r="L212" s="609"/>
    </row>
    <row r="213" spans="1:12" ht="15.75" customHeight="1">
      <c r="A213" s="951">
        <f t="shared" si="3"/>
        <v>164</v>
      </c>
      <c r="B213" s="949">
        <f>+NOMINA!C206</f>
        <v>17605222</v>
      </c>
      <c r="C213" s="949" t="str">
        <f>+NOMINA!D206</f>
        <v>Aguial Dayana Carolina</v>
      </c>
      <c r="D213" s="949" t="str">
        <f>+NOMINA!O206</f>
        <v>Guia de Centro II</v>
      </c>
      <c r="E213" s="952">
        <f>+NOMINA!H206</f>
        <v>42737</v>
      </c>
      <c r="F213" s="953">
        <f>+NOMINA!BR206</f>
        <v>49.95</v>
      </c>
      <c r="G213" s="953">
        <f>+NOMINA!BS206</f>
        <v>11.1</v>
      </c>
      <c r="H213" s="608"/>
      <c r="I213" s="609"/>
      <c r="J213" s="609"/>
      <c r="K213" s="609"/>
      <c r="L213" s="609"/>
    </row>
    <row r="214" spans="1:12" ht="15.75" customHeight="1">
      <c r="A214" s="951">
        <f t="shared" si="3"/>
        <v>165</v>
      </c>
      <c r="B214" s="949">
        <f>+NOMINA!C207</f>
        <v>17605492</v>
      </c>
      <c r="C214" s="949" t="str">
        <f>+NOMINA!D207</f>
        <v>Briceño Briceño Naibely Carolina</v>
      </c>
      <c r="D214" s="949" t="str">
        <f>+NOMINA!O207</f>
        <v>Asistente Administrativo V</v>
      </c>
      <c r="E214" s="952">
        <f>+NOMINA!H207</f>
        <v>43967</v>
      </c>
      <c r="F214" s="953">
        <f>+NOMINA!BR207</f>
        <v>43.42</v>
      </c>
      <c r="G214" s="953">
        <f>+NOMINA!BS207</f>
        <v>9.65</v>
      </c>
      <c r="H214" s="608"/>
      <c r="I214" s="609"/>
      <c r="J214" s="609"/>
      <c r="K214" s="609"/>
      <c r="L214" s="609"/>
    </row>
    <row r="215" spans="1:12" ht="15.75" customHeight="1">
      <c r="A215" s="951">
        <f t="shared" si="3"/>
        <v>166</v>
      </c>
      <c r="B215" s="949">
        <f>+NOMINA!C208</f>
        <v>17606237</v>
      </c>
      <c r="C215" s="949" t="str">
        <f>+NOMINA!D208</f>
        <v>Castellano Rivera Maria Antonina</v>
      </c>
      <c r="D215" s="949" t="str">
        <f>+NOMINA!O208</f>
        <v>Asistente Administrativo III</v>
      </c>
      <c r="E215" s="952">
        <f>+NOMINA!H208</f>
        <v>40909</v>
      </c>
      <c r="F215" s="953">
        <f>+NOMINA!BR208</f>
        <v>34.19</v>
      </c>
      <c r="G215" s="953">
        <f>+NOMINA!BS208</f>
        <v>7.6</v>
      </c>
      <c r="H215" s="608"/>
      <c r="I215" s="609"/>
      <c r="J215" s="609"/>
      <c r="K215" s="609"/>
      <c r="L215" s="609"/>
    </row>
    <row r="216" spans="1:12" ht="15.75" customHeight="1">
      <c r="A216" s="951">
        <f t="shared" si="3"/>
        <v>167</v>
      </c>
      <c r="B216" s="949">
        <f>+NOMINA!C209</f>
        <v>17830972</v>
      </c>
      <c r="C216" s="949" t="str">
        <f>+NOMINA!D209</f>
        <v>Bastidas Franco Dianellys Sarain</v>
      </c>
      <c r="D216" s="949" t="str">
        <f>+NOMINA!O209</f>
        <v>Entrenador Deportivo IV</v>
      </c>
      <c r="E216" s="952">
        <f>+NOMINA!H209</f>
        <v>44713</v>
      </c>
      <c r="F216" s="953">
        <f>+NOMINA!BR209</f>
        <v>39.56</v>
      </c>
      <c r="G216" s="953">
        <f>+NOMINA!BS209</f>
        <v>8.7899999999999991</v>
      </c>
      <c r="H216" s="608"/>
      <c r="I216" s="609"/>
      <c r="J216" s="609"/>
      <c r="K216" s="609"/>
      <c r="L216" s="609"/>
    </row>
    <row r="217" spans="1:12" ht="15.75" customHeight="1">
      <c r="A217" s="951">
        <f t="shared" si="3"/>
        <v>168</v>
      </c>
      <c r="B217" s="949">
        <f>+NOMINA!C210</f>
        <v>17831012</v>
      </c>
      <c r="C217" s="949" t="str">
        <f>+NOMINA!D210</f>
        <v>Valera Briceño Jesus Enrique</v>
      </c>
      <c r="D217" s="949" t="str">
        <f>+NOMINA!O210</f>
        <v>Guia de Centro I</v>
      </c>
      <c r="E217" s="952">
        <f>+NOMINA!H210</f>
        <v>45474</v>
      </c>
      <c r="F217" s="953">
        <f>+NOMINA!BR210</f>
        <v>32.4</v>
      </c>
      <c r="G217" s="953">
        <f>+NOMINA!BS210</f>
        <v>7.2</v>
      </c>
      <c r="H217" s="608"/>
      <c r="I217" s="609"/>
      <c r="J217" s="609"/>
      <c r="K217" s="609"/>
      <c r="L217" s="609"/>
    </row>
    <row r="218" spans="1:12" ht="15.75" customHeight="1">
      <c r="A218" s="951">
        <f t="shared" si="3"/>
        <v>169</v>
      </c>
      <c r="B218" s="949">
        <f>+NOMINA!C211</f>
        <v>17831231</v>
      </c>
      <c r="C218" s="949" t="str">
        <f>+NOMINA!D211</f>
        <v>Blanco Torres Beixy Coromoto</v>
      </c>
      <c r="D218" s="949" t="str">
        <f>+NOMINA!O211</f>
        <v>Abogado III</v>
      </c>
      <c r="E218" s="952">
        <f>+NOMINA!H211</f>
        <v>44200</v>
      </c>
      <c r="F218" s="953">
        <f>+NOMINA!BR211</f>
        <v>47.6</v>
      </c>
      <c r="G218" s="953">
        <f>+NOMINA!BS211</f>
        <v>10.58</v>
      </c>
      <c r="H218" s="608"/>
      <c r="I218" s="609"/>
      <c r="J218" s="609"/>
      <c r="K218" s="609"/>
      <c r="L218" s="609"/>
    </row>
    <row r="219" spans="1:12" ht="15.75" customHeight="1">
      <c r="A219" s="951">
        <f t="shared" si="3"/>
        <v>170</v>
      </c>
      <c r="B219" s="949">
        <f>+NOMINA!C212</f>
        <v>17831384</v>
      </c>
      <c r="C219" s="949" t="str">
        <f>+NOMINA!D212</f>
        <v>Nieve Briceño Glorys Carolina</v>
      </c>
      <c r="D219" s="949" t="str">
        <f>+NOMINA!O212</f>
        <v>Guia de Centro II</v>
      </c>
      <c r="E219" s="952">
        <f>+NOMINA!H212</f>
        <v>42339</v>
      </c>
      <c r="F219" s="953">
        <f>+NOMINA!BR212</f>
        <v>60.89</v>
      </c>
      <c r="G219" s="953">
        <f>+NOMINA!BS212</f>
        <v>13.53</v>
      </c>
      <c r="H219" s="608"/>
      <c r="I219" s="609"/>
      <c r="J219" s="609"/>
      <c r="K219" s="609"/>
      <c r="L219" s="609"/>
    </row>
    <row r="220" spans="1:12" ht="15.75" customHeight="1">
      <c r="A220" s="951">
        <f t="shared" si="3"/>
        <v>171</v>
      </c>
      <c r="B220" s="949">
        <f>+NOMINA!C213</f>
        <v>17832396</v>
      </c>
      <c r="C220" s="949" t="str">
        <f>+NOMINA!D213</f>
        <v>Pulido Sanchez Joalina Vanessa</v>
      </c>
      <c r="D220" s="949" t="str">
        <f>+NOMINA!O213</f>
        <v>Enfermera Jefe I</v>
      </c>
      <c r="E220" s="952">
        <f>+NOMINA!H213</f>
        <v>43191</v>
      </c>
      <c r="F220" s="953">
        <f>+NOMINA!BR213</f>
        <v>38.64</v>
      </c>
      <c r="G220" s="953">
        <f>+NOMINA!BS213</f>
        <v>8.59</v>
      </c>
      <c r="H220" s="608"/>
      <c r="I220" s="609"/>
      <c r="J220" s="609"/>
      <c r="K220" s="609"/>
      <c r="L220" s="609"/>
    </row>
    <row r="221" spans="1:12" ht="15.75" customHeight="1">
      <c r="A221" s="951">
        <f t="shared" si="3"/>
        <v>172</v>
      </c>
      <c r="B221" s="949">
        <f>+NOMINA!C214</f>
        <v>17865154</v>
      </c>
      <c r="C221" s="949" t="str">
        <f>+NOMINA!D214</f>
        <v>Serrano Ingrid Maria</v>
      </c>
      <c r="D221" s="949" t="str">
        <f>+NOMINA!O214</f>
        <v>Guia de Centro I</v>
      </c>
      <c r="E221" s="952">
        <f>+NOMINA!H214</f>
        <v>43846</v>
      </c>
      <c r="F221" s="953">
        <f>+NOMINA!BR214</f>
        <v>31.05</v>
      </c>
      <c r="G221" s="953">
        <f>+NOMINA!BS214</f>
        <v>6.9</v>
      </c>
      <c r="H221" s="608"/>
      <c r="I221" s="609"/>
      <c r="J221" s="609"/>
      <c r="K221" s="609"/>
      <c r="L221" s="609"/>
    </row>
    <row r="222" spans="1:12" ht="15.75" customHeight="1">
      <c r="A222" s="951">
        <f t="shared" si="3"/>
        <v>173</v>
      </c>
      <c r="B222" s="949">
        <f>+NOMINA!C215</f>
        <v>18036203</v>
      </c>
      <c r="C222" s="949" t="str">
        <f>+NOMINA!D215</f>
        <v>Yepes Caceres Mervis Javier</v>
      </c>
      <c r="D222" s="949" t="str">
        <f>+NOMINA!O215</f>
        <v>Guia de Centro I</v>
      </c>
      <c r="E222" s="952">
        <f>+NOMINA!H215</f>
        <v>45505</v>
      </c>
      <c r="F222" s="953">
        <f>+NOMINA!BR215</f>
        <v>30.78</v>
      </c>
      <c r="G222" s="953">
        <f>+NOMINA!BS215</f>
        <v>6.84</v>
      </c>
      <c r="H222" s="608"/>
      <c r="I222" s="609"/>
      <c r="J222" s="609"/>
      <c r="K222" s="609"/>
      <c r="L222" s="609"/>
    </row>
    <row r="223" spans="1:12" ht="15.75" customHeight="1">
      <c r="A223" s="951">
        <f t="shared" si="3"/>
        <v>174</v>
      </c>
      <c r="B223" s="949">
        <f>+NOMINA!C216</f>
        <v>18036156</v>
      </c>
      <c r="C223" s="949" t="str">
        <f>+NOMINA!D216</f>
        <v>Ruiz Vasquez Endri Ramon</v>
      </c>
      <c r="D223" s="949" t="str">
        <f>+NOMINA!O216</f>
        <v>Guia de Centro I</v>
      </c>
      <c r="E223" s="952">
        <f>+NOMINA!H216</f>
        <v>45597</v>
      </c>
      <c r="F223" s="953">
        <f>+NOMINA!BR216</f>
        <v>28.08</v>
      </c>
      <c r="G223" s="953">
        <f>+NOMINA!BS216</f>
        <v>6.24</v>
      </c>
      <c r="H223" s="608"/>
      <c r="I223" s="609"/>
      <c r="J223" s="609"/>
      <c r="K223" s="609"/>
      <c r="L223" s="609"/>
    </row>
    <row r="224" spans="1:12" ht="15.75" customHeight="1">
      <c r="A224" s="951">
        <f t="shared" si="3"/>
        <v>175</v>
      </c>
      <c r="B224" s="949">
        <f>+NOMINA!C217</f>
        <v>18095603</v>
      </c>
      <c r="C224" s="949" t="str">
        <f>+NOMINA!D217</f>
        <v>Lozada Bencomo Daniela Carolina</v>
      </c>
      <c r="D224" s="949" t="str">
        <f>+NOMINA!O217</f>
        <v>Tecnico Superior en Trabajo Social II</v>
      </c>
      <c r="E224" s="952">
        <f>+NOMINA!H217</f>
        <v>42963</v>
      </c>
      <c r="F224" s="953">
        <f>+NOMINA!BR217</f>
        <v>39.450000000000003</v>
      </c>
      <c r="G224" s="953">
        <f>+NOMINA!BS217</f>
        <v>8.77</v>
      </c>
      <c r="H224" s="608"/>
      <c r="I224" s="609"/>
      <c r="J224" s="609"/>
      <c r="K224" s="609"/>
      <c r="L224" s="609"/>
    </row>
    <row r="225" spans="1:12" ht="15.75" customHeight="1">
      <c r="A225" s="951">
        <f t="shared" si="3"/>
        <v>176</v>
      </c>
      <c r="B225" s="949">
        <f>+NOMINA!C218</f>
        <v>18096996</v>
      </c>
      <c r="C225" s="949" t="str">
        <f>+NOMINA!D218</f>
        <v>Diaz Maldonado Anny Jackeline</v>
      </c>
      <c r="D225" s="949" t="str">
        <f>+NOMINA!O218</f>
        <v>CONTABILISTA III</v>
      </c>
      <c r="E225" s="952">
        <f>+NOMINA!H218</f>
        <v>44743</v>
      </c>
      <c r="F225" s="953">
        <f>+NOMINA!BR218</f>
        <v>33.729999999999997</v>
      </c>
      <c r="G225" s="953">
        <f>+NOMINA!BS218</f>
        <v>7.5</v>
      </c>
      <c r="H225" s="608"/>
      <c r="I225" s="609"/>
      <c r="J225" s="609"/>
      <c r="K225" s="609"/>
      <c r="L225" s="609"/>
    </row>
    <row r="226" spans="1:12" ht="15.75" customHeight="1">
      <c r="A226" s="951">
        <f t="shared" si="3"/>
        <v>177</v>
      </c>
      <c r="B226" s="949">
        <f>+NOMINA!C219</f>
        <v>18097528</v>
      </c>
      <c r="C226" s="949" t="str">
        <f>+NOMINA!D219</f>
        <v>Godoy Suarez Nelson Jose</v>
      </c>
      <c r="D226" s="949" t="str">
        <f>+NOMINA!O219</f>
        <v>Guia de Centro I</v>
      </c>
      <c r="E226" s="952">
        <f>+NOMINA!H219</f>
        <v>45536</v>
      </c>
      <c r="F226" s="953">
        <f>+NOMINA!BR219</f>
        <v>30.78</v>
      </c>
      <c r="G226" s="953">
        <f>+NOMINA!BS219</f>
        <v>6.84</v>
      </c>
      <c r="H226" s="608"/>
      <c r="I226" s="609"/>
      <c r="J226" s="609"/>
      <c r="K226" s="609"/>
      <c r="L226" s="609"/>
    </row>
    <row r="227" spans="1:12" ht="15.75" customHeight="1">
      <c r="A227" s="951">
        <f t="shared" si="3"/>
        <v>178</v>
      </c>
      <c r="B227" s="949">
        <f>+NOMINA!C220</f>
        <v>18097873</v>
      </c>
      <c r="C227" s="949" t="str">
        <f>+NOMINA!D220</f>
        <v>Villarreal Prada Yoriangela Nataly</v>
      </c>
      <c r="D227" s="949" t="str">
        <f>+NOMINA!O220</f>
        <v>Guia de Centro I</v>
      </c>
      <c r="E227" s="952">
        <f>+NOMINA!H220</f>
        <v>44531</v>
      </c>
      <c r="F227" s="953">
        <f>+NOMINA!BR220</f>
        <v>33.43</v>
      </c>
      <c r="G227" s="953">
        <f>+NOMINA!BS220</f>
        <v>7.43</v>
      </c>
      <c r="H227" s="608"/>
      <c r="I227" s="609"/>
      <c r="J227" s="609"/>
      <c r="K227" s="609"/>
      <c r="L227" s="609"/>
    </row>
    <row r="228" spans="1:12" ht="15.75" customHeight="1">
      <c r="A228" s="951">
        <f t="shared" si="3"/>
        <v>179</v>
      </c>
      <c r="B228" s="949">
        <f>+NOMINA!C221</f>
        <v>18348317</v>
      </c>
      <c r="C228" s="949" t="str">
        <f>+NOMINA!D221</f>
        <v>Abreu Araujo Gilmer Francisco</v>
      </c>
      <c r="D228" s="949" t="str">
        <f>+NOMINA!O221</f>
        <v>Tutor Facilitador III</v>
      </c>
      <c r="E228" s="952">
        <f>+NOMINA!H221</f>
        <v>43160</v>
      </c>
      <c r="F228" s="953">
        <f>+NOMINA!BR221</f>
        <v>47.39</v>
      </c>
      <c r="G228" s="953">
        <f>+NOMINA!BS221</f>
        <v>10.53</v>
      </c>
      <c r="H228" s="608"/>
      <c r="I228" s="609"/>
      <c r="J228" s="609"/>
      <c r="K228" s="609"/>
      <c r="L228" s="609"/>
    </row>
    <row r="229" spans="1:12" ht="15.75" customHeight="1">
      <c r="A229" s="951">
        <f t="shared" si="3"/>
        <v>180</v>
      </c>
      <c r="B229" s="949">
        <f>+NOMINA!C222</f>
        <v>18348721</v>
      </c>
      <c r="C229" s="949" t="str">
        <f>+NOMINA!D222</f>
        <v>Villarreal Lusana Carolina</v>
      </c>
      <c r="D229" s="949" t="str">
        <f>+NOMINA!O222</f>
        <v>Tecnico Superior en Trabajo Social II</v>
      </c>
      <c r="E229" s="952">
        <f>+NOMINA!H222</f>
        <v>42948</v>
      </c>
      <c r="F229" s="953">
        <f>+NOMINA!BR222</f>
        <v>39.11</v>
      </c>
      <c r="G229" s="953">
        <f>+NOMINA!BS222</f>
        <v>8.69</v>
      </c>
      <c r="H229" s="608"/>
      <c r="I229" s="609"/>
      <c r="J229" s="609"/>
      <c r="K229" s="609"/>
      <c r="L229" s="609"/>
    </row>
    <row r="230" spans="1:12" ht="15.75" customHeight="1">
      <c r="A230" s="951">
        <f t="shared" si="3"/>
        <v>181</v>
      </c>
      <c r="B230" s="949">
        <f>+NOMINA!C223</f>
        <v>18349021</v>
      </c>
      <c r="C230" s="949" t="str">
        <f>+NOMINA!D223</f>
        <v>Godoy Linares Amenaida del Valle</v>
      </c>
      <c r="D230" s="949" t="str">
        <f>+NOMINA!O223</f>
        <v>Guia de Centro I</v>
      </c>
      <c r="E230" s="952">
        <f>+NOMINA!H223</f>
        <v>44683</v>
      </c>
      <c r="F230" s="953">
        <f>+NOMINA!BR223</f>
        <v>45.68</v>
      </c>
      <c r="G230" s="953">
        <f>+NOMINA!BS223</f>
        <v>10.15</v>
      </c>
      <c r="H230" s="608"/>
      <c r="I230" s="609"/>
      <c r="J230" s="609"/>
      <c r="K230" s="609"/>
      <c r="L230" s="609"/>
    </row>
    <row r="231" spans="1:12" ht="15.75" customHeight="1">
      <c r="A231" s="951">
        <f t="shared" si="3"/>
        <v>182</v>
      </c>
      <c r="B231" s="949">
        <f>+NOMINA!C224</f>
        <v>18349553</v>
      </c>
      <c r="C231" s="949" t="str">
        <f>+NOMINA!D224</f>
        <v>Quiroga Valdes Nayla Carolina</v>
      </c>
      <c r="D231" s="949" t="str">
        <f>+NOMINA!O224</f>
        <v>Guia de Centro I</v>
      </c>
      <c r="E231" s="952">
        <f>+NOMINA!H224</f>
        <v>45566</v>
      </c>
      <c r="F231" s="953">
        <f>+NOMINA!BR224</f>
        <v>50.76</v>
      </c>
      <c r="G231" s="953">
        <f>+NOMINA!BS224</f>
        <v>11.28</v>
      </c>
      <c r="H231" s="608"/>
      <c r="I231" s="609"/>
      <c r="J231" s="609"/>
      <c r="K231" s="609"/>
      <c r="L231" s="609"/>
    </row>
    <row r="232" spans="1:12" ht="15.75" customHeight="1">
      <c r="A232" s="951">
        <f t="shared" si="3"/>
        <v>183</v>
      </c>
      <c r="B232" s="949">
        <f>+NOMINA!C225</f>
        <v>18349653</v>
      </c>
      <c r="C232" s="949" t="str">
        <f>+NOMINA!D225</f>
        <v>Baptista Finol Violexy del Valle</v>
      </c>
      <c r="D232" s="949" t="str">
        <f>+NOMINA!O225</f>
        <v>Guia de Centro I</v>
      </c>
      <c r="E232" s="952">
        <f>+NOMINA!H225</f>
        <v>45627</v>
      </c>
      <c r="F232" s="953">
        <f>+NOMINA!BR225</f>
        <v>46.85</v>
      </c>
      <c r="G232" s="953">
        <f>+NOMINA!BS225</f>
        <v>10.41</v>
      </c>
      <c r="H232" s="608"/>
      <c r="I232" s="609"/>
      <c r="J232" s="609"/>
      <c r="K232" s="609"/>
      <c r="L232" s="609"/>
    </row>
    <row r="233" spans="1:12" ht="15.75" customHeight="1">
      <c r="A233" s="951">
        <f t="shared" si="3"/>
        <v>184</v>
      </c>
      <c r="B233" s="949">
        <f>+NOMINA!C226</f>
        <v>18350884</v>
      </c>
      <c r="C233" s="949" t="str">
        <f>+NOMINA!D226</f>
        <v>Araujo Mendoza Mirelis Carolina</v>
      </c>
      <c r="D233" s="949" t="str">
        <f>+NOMINA!O226</f>
        <v>Guia de Centro I</v>
      </c>
      <c r="E233" s="952">
        <f>+NOMINA!H226</f>
        <v>45474</v>
      </c>
      <c r="F233" s="953">
        <f>+NOMINA!BR226</f>
        <v>29.43</v>
      </c>
      <c r="G233" s="953">
        <f>+NOMINA!BS226</f>
        <v>6.54</v>
      </c>
      <c r="H233" s="608"/>
      <c r="I233" s="609"/>
      <c r="J233" s="609"/>
      <c r="K233" s="609"/>
      <c r="L233" s="609"/>
    </row>
    <row r="234" spans="1:12" ht="15.75" customHeight="1">
      <c r="A234" s="951">
        <f t="shared" si="3"/>
        <v>185</v>
      </c>
      <c r="B234" s="949">
        <f>+NOMINA!C227</f>
        <v>18378985</v>
      </c>
      <c r="C234" s="949" t="str">
        <f>+NOMINA!D227</f>
        <v>Quintero Paradas Ilse Maria</v>
      </c>
      <c r="D234" s="949" t="str">
        <f>+NOMINA!O227</f>
        <v>Analista de Procesamiento de Datos II</v>
      </c>
      <c r="E234" s="952">
        <f>+NOMINA!H227</f>
        <v>43147</v>
      </c>
      <c r="F234" s="953">
        <f>+NOMINA!BR227</f>
        <v>45.57</v>
      </c>
      <c r="G234" s="953">
        <f>+NOMINA!BS227</f>
        <v>10.130000000000001</v>
      </c>
      <c r="H234" s="608"/>
      <c r="I234" s="609"/>
      <c r="J234" s="609"/>
      <c r="K234" s="609"/>
      <c r="L234" s="609"/>
    </row>
    <row r="235" spans="1:12" ht="15.75" customHeight="1">
      <c r="A235" s="951">
        <f t="shared" si="3"/>
        <v>186</v>
      </c>
      <c r="B235" s="949">
        <f>+NOMINA!C228</f>
        <v>18456345</v>
      </c>
      <c r="C235" s="949" t="str">
        <f>+NOMINA!D228</f>
        <v>Peñaloza Olmos Eduardo Jose</v>
      </c>
      <c r="D235" s="949" t="str">
        <f>+NOMINA!O228</f>
        <v>ESPECIALISTA EN INFORMATICA I</v>
      </c>
      <c r="E235" s="952">
        <f>+NOMINA!H228</f>
        <v>44774</v>
      </c>
      <c r="F235" s="953">
        <f>+NOMINA!BR228</f>
        <v>39.56</v>
      </c>
      <c r="G235" s="953">
        <f>+NOMINA!BS228</f>
        <v>8.7899999999999991</v>
      </c>
      <c r="H235" s="608"/>
      <c r="I235" s="609"/>
      <c r="J235" s="609"/>
      <c r="K235" s="609"/>
      <c r="L235" s="609"/>
    </row>
    <row r="236" spans="1:12" ht="15.75" customHeight="1">
      <c r="A236" s="951">
        <f t="shared" si="3"/>
        <v>187</v>
      </c>
      <c r="B236" s="949">
        <f>+NOMINA!C229</f>
        <v>18457406</v>
      </c>
      <c r="C236" s="949" t="str">
        <f>+NOMINA!D229</f>
        <v>Rivero Zambrano Herluis Jose</v>
      </c>
      <c r="D236" s="949" t="str">
        <f>+NOMINA!O229</f>
        <v>Ingeniero Agronomo IV</v>
      </c>
      <c r="E236" s="952">
        <f>+NOMINA!H229</f>
        <v>41548</v>
      </c>
      <c r="F236" s="953">
        <f>+NOMINA!BR229</f>
        <v>0</v>
      </c>
      <c r="G236" s="953">
        <f>+NOMINA!BS229</f>
        <v>0</v>
      </c>
      <c r="H236" s="608"/>
      <c r="I236" s="609"/>
      <c r="J236" s="609"/>
      <c r="K236" s="609"/>
      <c r="L236" s="609"/>
    </row>
    <row r="237" spans="1:12" ht="15.75" customHeight="1">
      <c r="A237" s="951">
        <f t="shared" si="3"/>
        <v>188</v>
      </c>
      <c r="B237" s="949">
        <f>+NOMINA!C230</f>
        <v>18458012</v>
      </c>
      <c r="C237" s="949" t="str">
        <f>+NOMINA!D230</f>
        <v>Briceño Uzcategui Maria Esperanza</v>
      </c>
      <c r="D237" s="949" t="str">
        <f>+NOMINA!O230</f>
        <v>Asistente Administrativo III</v>
      </c>
      <c r="E237" s="952">
        <f>+NOMINA!H230</f>
        <v>44636</v>
      </c>
      <c r="F237" s="953">
        <f>+NOMINA!BR230</f>
        <v>34.979999999999997</v>
      </c>
      <c r="G237" s="953">
        <f>+NOMINA!BS230</f>
        <v>7.77</v>
      </c>
      <c r="H237" s="608"/>
      <c r="I237" s="609"/>
      <c r="J237" s="609"/>
      <c r="K237" s="609"/>
      <c r="L237" s="609"/>
    </row>
    <row r="238" spans="1:12" ht="15.75" customHeight="1">
      <c r="A238" s="951">
        <f t="shared" si="3"/>
        <v>189</v>
      </c>
      <c r="B238" s="949">
        <f>+NOMINA!C231</f>
        <v>18670458</v>
      </c>
      <c r="C238" s="949" t="str">
        <f>+NOMINA!D231</f>
        <v>Gervasi de Valera Solanye Dairilyn</v>
      </c>
      <c r="D238" s="949" t="str">
        <f>+NOMINA!O231</f>
        <v>Entrenador Deportivo IV</v>
      </c>
      <c r="E238" s="952">
        <f>+NOMINA!H231</f>
        <v>42741</v>
      </c>
      <c r="F238" s="953">
        <f>+NOMINA!BR231</f>
        <v>47.56</v>
      </c>
      <c r="G238" s="953">
        <f>+NOMINA!BS231</f>
        <v>10.57</v>
      </c>
      <c r="H238" s="608"/>
      <c r="I238" s="609"/>
      <c r="J238" s="609"/>
      <c r="K238" s="609"/>
      <c r="L238" s="609"/>
    </row>
    <row r="239" spans="1:12" ht="15.75" customHeight="1">
      <c r="A239" s="951">
        <f t="shared" si="3"/>
        <v>190</v>
      </c>
      <c r="B239" s="949">
        <f>+NOMINA!C232</f>
        <v>18733682</v>
      </c>
      <c r="C239" s="949" t="str">
        <f>+NOMINA!D232</f>
        <v>Ocanto Ramirez Maria Alejandra</v>
      </c>
      <c r="D239" s="949" t="str">
        <f>+NOMINA!O232</f>
        <v>Guia de Centro I</v>
      </c>
      <c r="E239" s="952">
        <f>+NOMINA!H232</f>
        <v>45474</v>
      </c>
      <c r="F239" s="953">
        <f>+NOMINA!BR232</f>
        <v>29.43</v>
      </c>
      <c r="G239" s="953">
        <f>+NOMINA!BS232</f>
        <v>6.54</v>
      </c>
      <c r="H239" s="608"/>
      <c r="I239" s="609"/>
      <c r="J239" s="609"/>
      <c r="K239" s="609"/>
      <c r="L239" s="609"/>
    </row>
    <row r="240" spans="1:12" ht="15.75" customHeight="1">
      <c r="A240" s="951">
        <f t="shared" si="3"/>
        <v>191</v>
      </c>
      <c r="B240" s="949">
        <f>+NOMINA!C233</f>
        <v>18801597</v>
      </c>
      <c r="C240" s="949" t="str">
        <f>+NOMINA!D233</f>
        <v>Rodriguez Salas Mary Carmen</v>
      </c>
      <c r="D240" s="949" t="str">
        <f>+NOMINA!O233</f>
        <v>Tutor Facilitador III</v>
      </c>
      <c r="E240" s="952">
        <f>+NOMINA!H233</f>
        <v>43359</v>
      </c>
      <c r="F240" s="953">
        <f>+NOMINA!BR233</f>
        <v>46.87</v>
      </c>
      <c r="G240" s="953">
        <f>+NOMINA!BS233</f>
        <v>10.41</v>
      </c>
      <c r="H240" s="608"/>
      <c r="I240" s="609"/>
      <c r="J240" s="609"/>
      <c r="K240" s="609"/>
      <c r="L240" s="609"/>
    </row>
    <row r="241" spans="1:12" ht="15.75" customHeight="1">
      <c r="A241" s="951">
        <f t="shared" si="3"/>
        <v>192</v>
      </c>
      <c r="B241" s="949">
        <f>+NOMINA!C234</f>
        <v>18802405</v>
      </c>
      <c r="C241" s="949" t="str">
        <f>+NOMINA!D234</f>
        <v>Ramirez Rodriguez Rudys Arelys</v>
      </c>
      <c r="D241" s="949" t="str">
        <f>+NOMINA!O234</f>
        <v>Tutor Facilitador I</v>
      </c>
      <c r="E241" s="952">
        <f>+NOMINA!H234</f>
        <v>44332</v>
      </c>
      <c r="F241" s="953">
        <f>+NOMINA!BR234</f>
        <v>39.520000000000003</v>
      </c>
      <c r="G241" s="953">
        <f>+NOMINA!BS234</f>
        <v>8.7799999999999994</v>
      </c>
      <c r="H241" s="608"/>
      <c r="I241" s="609"/>
      <c r="J241" s="609"/>
      <c r="K241" s="609"/>
      <c r="L241" s="609"/>
    </row>
    <row r="242" spans="1:12" ht="15.75" customHeight="1">
      <c r="A242" s="951">
        <f t="shared" si="3"/>
        <v>193</v>
      </c>
      <c r="B242" s="949">
        <f>+NOMINA!C235</f>
        <v>18984406</v>
      </c>
      <c r="C242" s="949" t="str">
        <f>+NOMINA!D235</f>
        <v>Torres Santiago Eduardo David</v>
      </c>
      <c r="D242" s="949" t="str">
        <f>+NOMINA!O235</f>
        <v>Guia de Centro I</v>
      </c>
      <c r="E242" s="952">
        <f>+NOMINA!H235</f>
        <v>45200</v>
      </c>
      <c r="F242" s="953">
        <f>+NOMINA!BR235</f>
        <v>28.22</v>
      </c>
      <c r="G242" s="953">
        <f>+NOMINA!BS235</f>
        <v>6.27</v>
      </c>
      <c r="H242" s="608"/>
      <c r="I242" s="609"/>
      <c r="J242" s="609"/>
      <c r="K242" s="609"/>
      <c r="L242" s="609"/>
    </row>
    <row r="243" spans="1:12" ht="15.75" customHeight="1">
      <c r="A243" s="951">
        <f t="shared" si="3"/>
        <v>194</v>
      </c>
      <c r="B243" s="949">
        <f>+NOMINA!C236</f>
        <v>19101647</v>
      </c>
      <c r="C243" s="949" t="str">
        <f>+NOMINA!D236</f>
        <v>Uzcategui Urbina Madeley Tatiana</v>
      </c>
      <c r="D243" s="949" t="str">
        <f>+NOMINA!O236</f>
        <v>Guia de Centro I</v>
      </c>
      <c r="E243" s="952">
        <f>+NOMINA!H236</f>
        <v>43845</v>
      </c>
      <c r="F243" s="953">
        <f>+NOMINA!BR236</f>
        <v>33.75</v>
      </c>
      <c r="G243" s="953">
        <f>+NOMINA!BS236</f>
        <v>7.5</v>
      </c>
      <c r="H243" s="608"/>
      <c r="I243" s="609"/>
      <c r="J243" s="609"/>
      <c r="K243" s="609"/>
      <c r="L243" s="609"/>
    </row>
    <row r="244" spans="1:12" ht="15.75" customHeight="1">
      <c r="A244" s="951">
        <f t="shared" ref="A244:A307" si="4">+A243+1</f>
        <v>195</v>
      </c>
      <c r="B244" s="949">
        <f>+NOMINA!C237</f>
        <v>19101773</v>
      </c>
      <c r="C244" s="949" t="str">
        <f>+NOMINA!D237</f>
        <v>Gil Molina Maite Karina</v>
      </c>
      <c r="D244" s="949" t="str">
        <f>+NOMINA!O237</f>
        <v>Guia de Centro I</v>
      </c>
      <c r="E244" s="952">
        <f>+NOMINA!H237</f>
        <v>45200</v>
      </c>
      <c r="F244" s="953">
        <f>+NOMINA!BR237</f>
        <v>43.6</v>
      </c>
      <c r="G244" s="953">
        <f>+NOMINA!BS237</f>
        <v>9.69</v>
      </c>
      <c r="H244" s="608"/>
      <c r="I244" s="609"/>
      <c r="J244" s="609"/>
      <c r="K244" s="609"/>
      <c r="L244" s="609"/>
    </row>
    <row r="245" spans="1:12" ht="15.75" customHeight="1">
      <c r="A245" s="951">
        <f t="shared" si="4"/>
        <v>196</v>
      </c>
      <c r="B245" s="949">
        <f>+NOMINA!C238</f>
        <v>19103118</v>
      </c>
      <c r="C245" s="949" t="str">
        <f>+NOMINA!D238</f>
        <v>Plaza Quintero Orelis Maria</v>
      </c>
      <c r="D245" s="949" t="str">
        <f>+NOMINA!O238</f>
        <v>Tecnico Superior en Trabajo Social II</v>
      </c>
      <c r="E245" s="952">
        <f>+NOMINA!H238</f>
        <v>43724</v>
      </c>
      <c r="F245" s="953">
        <f>+NOMINA!BR238</f>
        <v>38.380000000000003</v>
      </c>
      <c r="G245" s="953">
        <f>+NOMINA!BS238</f>
        <v>8.5299999999999994</v>
      </c>
      <c r="H245" s="608"/>
      <c r="I245" s="609"/>
      <c r="J245" s="609"/>
      <c r="K245" s="609"/>
      <c r="L245" s="609"/>
    </row>
    <row r="246" spans="1:12" ht="15.75" customHeight="1">
      <c r="A246" s="951">
        <f t="shared" si="4"/>
        <v>197</v>
      </c>
      <c r="B246" s="949">
        <f>+NOMINA!C239</f>
        <v>19103604</v>
      </c>
      <c r="C246" s="949" t="str">
        <f>+NOMINA!D239</f>
        <v>Hernandez Graterol Gleidys Coromoto</v>
      </c>
      <c r="D246" s="949" t="str">
        <f>+NOMINA!O239</f>
        <v>Asistente Administrativo III</v>
      </c>
      <c r="E246" s="952">
        <f>+NOMINA!H239</f>
        <v>44600</v>
      </c>
      <c r="F246" s="953">
        <f>+NOMINA!BR239</f>
        <v>34.979999999999997</v>
      </c>
      <c r="G246" s="953">
        <f>+NOMINA!BS239</f>
        <v>7.77</v>
      </c>
      <c r="H246" s="608"/>
      <c r="I246" s="609"/>
      <c r="J246" s="609"/>
      <c r="K246" s="609"/>
      <c r="L246" s="609"/>
    </row>
    <row r="247" spans="1:12" ht="15.75" customHeight="1">
      <c r="A247" s="951">
        <f t="shared" si="4"/>
        <v>198</v>
      </c>
      <c r="B247" s="949">
        <f>+NOMINA!C240</f>
        <v>19103823</v>
      </c>
      <c r="C247" s="949" t="str">
        <f>+NOMINA!D240</f>
        <v>Valero Sanchez Zulay del Valle</v>
      </c>
      <c r="D247" s="949" t="str">
        <f>+NOMINA!O240</f>
        <v>Tutor Facilitador III</v>
      </c>
      <c r="E247" s="952">
        <f>+NOMINA!H240</f>
        <v>42795</v>
      </c>
      <c r="F247" s="953">
        <f>+NOMINA!BR240</f>
        <v>53.08</v>
      </c>
      <c r="G247" s="953">
        <f>+NOMINA!BS240</f>
        <v>11.8</v>
      </c>
      <c r="H247" s="608"/>
      <c r="I247" s="609"/>
      <c r="J247" s="609"/>
      <c r="K247" s="609"/>
      <c r="L247" s="609"/>
    </row>
    <row r="248" spans="1:12" ht="15.75" customHeight="1">
      <c r="A248" s="951">
        <f t="shared" si="4"/>
        <v>199</v>
      </c>
      <c r="B248" s="949">
        <f>+NOMINA!C241</f>
        <v>19286780</v>
      </c>
      <c r="C248" s="949" t="str">
        <f>+NOMINA!D241</f>
        <v>Mejia Rosales Katiusca Josefina</v>
      </c>
      <c r="D248" s="949" t="str">
        <f>+NOMINA!O241</f>
        <v>Asistente Administrativo III</v>
      </c>
      <c r="E248" s="952">
        <f>+NOMINA!H241</f>
        <v>42492</v>
      </c>
      <c r="F248" s="953">
        <f>+NOMINA!BR241</f>
        <v>39.380000000000003</v>
      </c>
      <c r="G248" s="953">
        <f>+NOMINA!BS241</f>
        <v>8.75</v>
      </c>
      <c r="H248" s="608"/>
      <c r="I248" s="609"/>
      <c r="J248" s="609"/>
      <c r="K248" s="609"/>
      <c r="L248" s="609"/>
    </row>
    <row r="249" spans="1:12" ht="15.75" customHeight="1">
      <c r="A249" s="951">
        <f t="shared" si="4"/>
        <v>200</v>
      </c>
      <c r="B249" s="949">
        <f>+NOMINA!C242</f>
        <v>19287100</v>
      </c>
      <c r="C249" s="949" t="str">
        <f>+NOMINA!D242</f>
        <v>Leal Mejia Fraineli Yoset</v>
      </c>
      <c r="D249" s="949" t="str">
        <f>+NOMINA!O242</f>
        <v>Tecnico Superior en Trabajo Social II</v>
      </c>
      <c r="E249" s="952">
        <f>+NOMINA!H242</f>
        <v>44713</v>
      </c>
      <c r="F249" s="953">
        <f>+NOMINA!BR242</f>
        <v>34.979999999999997</v>
      </c>
      <c r="G249" s="953">
        <f>+NOMINA!BS242</f>
        <v>7.77</v>
      </c>
      <c r="H249" s="608"/>
      <c r="I249" s="609"/>
      <c r="J249" s="609"/>
      <c r="K249" s="609"/>
      <c r="L249" s="609"/>
    </row>
    <row r="250" spans="1:12" ht="15.75" customHeight="1">
      <c r="A250" s="951">
        <f t="shared" si="4"/>
        <v>201</v>
      </c>
      <c r="B250" s="949">
        <f>+NOMINA!C243</f>
        <v>19372791</v>
      </c>
      <c r="C250" s="949" t="str">
        <f>+NOMINA!D243</f>
        <v>Reveron Araujo Andreina Oscarelis</v>
      </c>
      <c r="D250" s="949" t="str">
        <f>+NOMINA!O243</f>
        <v>Guia de Centro I</v>
      </c>
      <c r="E250" s="952">
        <f>+NOMINA!H243</f>
        <v>45627</v>
      </c>
      <c r="F250" s="953">
        <f>+NOMINA!BR243</f>
        <v>45.16</v>
      </c>
      <c r="G250" s="953">
        <f>+NOMINA!BS243</f>
        <v>10.039999999999999</v>
      </c>
      <c r="H250" s="608"/>
      <c r="I250" s="609"/>
      <c r="J250" s="609"/>
      <c r="K250" s="609"/>
      <c r="L250" s="609"/>
    </row>
    <row r="251" spans="1:12" ht="15.75" customHeight="1">
      <c r="A251" s="951">
        <f t="shared" si="4"/>
        <v>202</v>
      </c>
      <c r="B251" s="949">
        <f>+NOMINA!C244</f>
        <v>19610534</v>
      </c>
      <c r="C251" s="949" t="str">
        <f>+NOMINA!D244</f>
        <v>Santos Saavedra Greosmar Johan</v>
      </c>
      <c r="D251" s="949" t="str">
        <f>+NOMINA!O244</f>
        <v>Guia de Centro I</v>
      </c>
      <c r="E251" s="952">
        <f>+NOMINA!H244</f>
        <v>44713</v>
      </c>
      <c r="F251" s="953">
        <f>+NOMINA!BR244</f>
        <v>43.85</v>
      </c>
      <c r="G251" s="953">
        <f>+NOMINA!BS244</f>
        <v>9.74</v>
      </c>
      <c r="H251" s="608"/>
      <c r="I251" s="609"/>
      <c r="J251" s="609"/>
      <c r="K251" s="609"/>
      <c r="L251" s="609"/>
    </row>
    <row r="252" spans="1:12" ht="15.75" customHeight="1">
      <c r="A252" s="951">
        <f t="shared" si="4"/>
        <v>203</v>
      </c>
      <c r="B252" s="949">
        <f>+NOMINA!C245</f>
        <v>19610565</v>
      </c>
      <c r="C252" s="949" t="str">
        <f>+NOMINA!D245</f>
        <v>Uzcategui Uzcategui Saray Cristina</v>
      </c>
      <c r="D252" s="949" t="str">
        <f>+NOMINA!O245</f>
        <v>Guia de Centro I</v>
      </c>
      <c r="E252" s="952">
        <f>+NOMINA!H245</f>
        <v>44713</v>
      </c>
      <c r="F252" s="953">
        <f>+NOMINA!BR245</f>
        <v>47.36</v>
      </c>
      <c r="G252" s="953">
        <f>+NOMINA!BS245</f>
        <v>10.53</v>
      </c>
      <c r="H252" s="608"/>
      <c r="I252" s="609"/>
      <c r="J252" s="609"/>
      <c r="K252" s="609"/>
      <c r="L252" s="609"/>
    </row>
    <row r="253" spans="1:12" ht="15.75" customHeight="1">
      <c r="A253" s="951">
        <f t="shared" si="4"/>
        <v>204</v>
      </c>
      <c r="B253" s="949">
        <f>+NOMINA!C246</f>
        <v>19643405</v>
      </c>
      <c r="C253" s="949" t="str">
        <f>+NOMINA!D246</f>
        <v>Valero Mejia Aleidy Rosana</v>
      </c>
      <c r="D253" s="949" t="str">
        <f>+NOMINA!O246</f>
        <v>Guia de Centro II</v>
      </c>
      <c r="E253" s="952">
        <f>+NOMINA!H246</f>
        <v>43221</v>
      </c>
      <c r="F253" s="953">
        <f>+NOMINA!BR246</f>
        <v>48.88</v>
      </c>
      <c r="G253" s="953">
        <f>+NOMINA!BS246</f>
        <v>10.86</v>
      </c>
      <c r="H253" s="608"/>
      <c r="I253" s="609"/>
      <c r="J253" s="609"/>
      <c r="K253" s="609"/>
      <c r="L253" s="609"/>
    </row>
    <row r="254" spans="1:12" ht="15.75" customHeight="1">
      <c r="A254" s="951">
        <f t="shared" si="4"/>
        <v>205</v>
      </c>
      <c r="B254" s="949">
        <f>+NOMINA!C247</f>
        <v>19643806</v>
      </c>
      <c r="C254" s="949" t="str">
        <f>+NOMINA!D247</f>
        <v>Vazquez Hernandez Doris Mercedes</v>
      </c>
      <c r="D254" s="949" t="str">
        <f>+NOMINA!O247</f>
        <v>Asistente Administrativo III</v>
      </c>
      <c r="E254" s="952">
        <f>+NOMINA!H247</f>
        <v>45505</v>
      </c>
      <c r="F254" s="953">
        <f>+NOMINA!BR247</f>
        <v>36.03</v>
      </c>
      <c r="G254" s="953">
        <f>+NOMINA!BS247</f>
        <v>8.01</v>
      </c>
      <c r="H254" s="608"/>
      <c r="I254" s="609"/>
      <c r="J254" s="609"/>
      <c r="K254" s="609"/>
      <c r="L254" s="609"/>
    </row>
    <row r="255" spans="1:12" ht="15.75" customHeight="1">
      <c r="A255" s="951">
        <f t="shared" si="4"/>
        <v>206</v>
      </c>
      <c r="B255" s="949">
        <f>+NOMINA!C248</f>
        <v>19644743</v>
      </c>
      <c r="C255" s="949" t="str">
        <f>+NOMINA!D248</f>
        <v>Villa Daniela Carolina</v>
      </c>
      <c r="D255" s="949" t="str">
        <f>+NOMINA!O248</f>
        <v>Analista de Procesamiento de Datos II</v>
      </c>
      <c r="E255" s="952">
        <f>+NOMINA!H248</f>
        <v>43967</v>
      </c>
      <c r="F255" s="953">
        <f>+NOMINA!BR248</f>
        <v>46.01</v>
      </c>
      <c r="G255" s="953">
        <f>+NOMINA!BS248</f>
        <v>10.220000000000001</v>
      </c>
      <c r="H255" s="608"/>
      <c r="I255" s="609"/>
      <c r="J255" s="609"/>
      <c r="K255" s="609"/>
      <c r="L255" s="609"/>
    </row>
    <row r="256" spans="1:12" ht="15.75" customHeight="1">
      <c r="A256" s="951">
        <f t="shared" si="4"/>
        <v>207</v>
      </c>
      <c r="B256" s="949">
        <f>+NOMINA!C249</f>
        <v>19644756</v>
      </c>
      <c r="C256" s="949" t="str">
        <f>+NOMINA!D249</f>
        <v>Mejia Aldana Norbelys Carolina</v>
      </c>
      <c r="D256" s="949" t="str">
        <f>+NOMINA!O249</f>
        <v>Economa II</v>
      </c>
      <c r="E256" s="952">
        <f>+NOMINA!H249</f>
        <v>44470</v>
      </c>
      <c r="F256" s="953">
        <f>+NOMINA!BR249</f>
        <v>25.71</v>
      </c>
      <c r="G256" s="953">
        <f>+NOMINA!BS249</f>
        <v>5.71</v>
      </c>
      <c r="H256" s="608"/>
      <c r="I256" s="609"/>
      <c r="J256" s="609"/>
      <c r="K256" s="609"/>
      <c r="L256" s="609"/>
    </row>
    <row r="257" spans="1:12" ht="15.75" customHeight="1">
      <c r="A257" s="951">
        <f t="shared" si="4"/>
        <v>208</v>
      </c>
      <c r="B257" s="949">
        <f>+NOMINA!C250</f>
        <v>19794217</v>
      </c>
      <c r="C257" s="949" t="str">
        <f>+NOMINA!D250</f>
        <v>Suarez Leal Betzabeth Daimar</v>
      </c>
      <c r="D257" s="949" t="str">
        <f>+NOMINA!O250</f>
        <v>Guia de Centro I</v>
      </c>
      <c r="E257" s="952">
        <f>+NOMINA!H250</f>
        <v>44683</v>
      </c>
      <c r="F257" s="953">
        <f>+NOMINA!BR250</f>
        <v>43.85</v>
      </c>
      <c r="G257" s="953">
        <f>+NOMINA!BS250</f>
        <v>9.74</v>
      </c>
      <c r="H257" s="608"/>
      <c r="I257" s="609"/>
      <c r="J257" s="609"/>
      <c r="K257" s="609"/>
      <c r="L257" s="609"/>
    </row>
    <row r="258" spans="1:12" ht="15.75" customHeight="1">
      <c r="A258" s="951">
        <f t="shared" si="4"/>
        <v>209</v>
      </c>
      <c r="B258" s="949">
        <f>+NOMINA!C251</f>
        <v>20038162</v>
      </c>
      <c r="C258" s="949" t="str">
        <f>+NOMINA!D251</f>
        <v>Jerez Rangel Gleidy Andreina</v>
      </c>
      <c r="D258" s="949" t="str">
        <f>+NOMINA!O251</f>
        <v>Guia de Centro I</v>
      </c>
      <c r="E258" s="952">
        <f>+NOMINA!H251</f>
        <v>45597</v>
      </c>
      <c r="F258" s="953">
        <f>+NOMINA!BR251</f>
        <v>46.85</v>
      </c>
      <c r="G258" s="953">
        <f>+NOMINA!BS251</f>
        <v>10.41</v>
      </c>
      <c r="H258" s="608"/>
      <c r="I258" s="609"/>
      <c r="J258" s="609"/>
      <c r="K258" s="609"/>
      <c r="L258" s="609"/>
    </row>
    <row r="259" spans="1:12" ht="15.75" customHeight="1">
      <c r="A259" s="951">
        <f t="shared" si="4"/>
        <v>210</v>
      </c>
      <c r="B259" s="949">
        <f>+NOMINA!C252</f>
        <v>20655363</v>
      </c>
      <c r="C259" s="949" t="str">
        <f>+NOMINA!D252</f>
        <v>Sarache Ramirez Maryelis Stefani</v>
      </c>
      <c r="D259" s="949" t="str">
        <f>+NOMINA!O252</f>
        <v>Guia de Centro I</v>
      </c>
      <c r="E259" s="952">
        <f>+NOMINA!H252</f>
        <v>45323</v>
      </c>
      <c r="F259" s="953">
        <f>+NOMINA!BR252</f>
        <v>46.85</v>
      </c>
      <c r="G259" s="953">
        <f>+NOMINA!BS252</f>
        <v>10.41</v>
      </c>
      <c r="H259" s="608"/>
      <c r="I259" s="609"/>
      <c r="J259" s="609"/>
      <c r="K259" s="609"/>
      <c r="L259" s="609"/>
    </row>
    <row r="260" spans="1:12" ht="15.75" customHeight="1">
      <c r="A260" s="951">
        <f t="shared" si="4"/>
        <v>211</v>
      </c>
      <c r="B260" s="949">
        <f>+NOMINA!C253</f>
        <v>20401711</v>
      </c>
      <c r="C260" s="949" t="str">
        <f>+NOMINA!D253</f>
        <v>Mendez Giro Maryely Roxana</v>
      </c>
      <c r="D260" s="949" t="str">
        <f>+NOMINA!O253</f>
        <v>Guia de Centro II</v>
      </c>
      <c r="E260" s="952">
        <f>+NOMINA!H253</f>
        <v>44363</v>
      </c>
      <c r="F260" s="953">
        <f>+NOMINA!BR253</f>
        <v>49.89</v>
      </c>
      <c r="G260" s="953">
        <f>+NOMINA!BS253</f>
        <v>11.09</v>
      </c>
      <c r="H260" s="608"/>
      <c r="I260" s="609"/>
      <c r="J260" s="609"/>
      <c r="K260" s="609"/>
      <c r="L260" s="609"/>
    </row>
    <row r="261" spans="1:12" ht="15.75" customHeight="1">
      <c r="A261" s="951">
        <f t="shared" si="4"/>
        <v>212</v>
      </c>
      <c r="B261" s="949">
        <f>+NOMINA!C254</f>
        <v>20428039</v>
      </c>
      <c r="C261" s="949" t="str">
        <f>+NOMINA!D254</f>
        <v>Manzanilla Juan Roberto Antonio</v>
      </c>
      <c r="D261" s="949" t="str">
        <f>+NOMINA!O254</f>
        <v>Guia de Centro I</v>
      </c>
      <c r="E261" s="952">
        <f>+NOMINA!H254</f>
        <v>45566</v>
      </c>
      <c r="F261" s="953">
        <f>+NOMINA!BR254</f>
        <v>30.78</v>
      </c>
      <c r="G261" s="953">
        <f>+NOMINA!BS254</f>
        <v>6.84</v>
      </c>
      <c r="H261" s="608"/>
      <c r="I261" s="609"/>
      <c r="J261" s="609"/>
      <c r="K261" s="609"/>
      <c r="L261" s="609"/>
    </row>
    <row r="262" spans="1:12" ht="15.75" customHeight="1">
      <c r="A262" s="951">
        <f t="shared" si="4"/>
        <v>213</v>
      </c>
      <c r="B262" s="949">
        <f>+NOMINA!C255</f>
        <v>20430884</v>
      </c>
      <c r="C262" s="949" t="str">
        <f>+NOMINA!D255</f>
        <v>Ruiz Olmos Diana Carolina</v>
      </c>
      <c r="D262" s="949" t="str">
        <f>+NOMINA!O255</f>
        <v>Guia de Centro I</v>
      </c>
      <c r="E262" s="952">
        <f>+NOMINA!H255</f>
        <v>45292</v>
      </c>
      <c r="F262" s="953">
        <f>+NOMINA!BR255</f>
        <v>41.98</v>
      </c>
      <c r="G262" s="953">
        <f>+NOMINA!BS255</f>
        <v>9.33</v>
      </c>
      <c r="H262" s="608"/>
      <c r="I262" s="609"/>
      <c r="J262" s="609"/>
      <c r="K262" s="609"/>
      <c r="L262" s="609"/>
    </row>
    <row r="263" spans="1:12" ht="15.75" customHeight="1">
      <c r="A263" s="951">
        <f t="shared" si="4"/>
        <v>214</v>
      </c>
      <c r="B263" s="949">
        <f>+NOMINA!C256</f>
        <v>20603227</v>
      </c>
      <c r="C263" s="949" t="str">
        <f>+NOMINA!D256</f>
        <v>Morillo Garces Yeniree Lourdes</v>
      </c>
      <c r="D263" s="949" t="str">
        <f>+NOMINA!O256</f>
        <v>Tecnico Superior en Trabajo Social II</v>
      </c>
      <c r="E263" s="952">
        <f>+NOMINA!H256</f>
        <v>44470</v>
      </c>
      <c r="F263" s="953">
        <f>+NOMINA!BR256</f>
        <v>37.94</v>
      </c>
      <c r="G263" s="953">
        <f>+NOMINA!BS256</f>
        <v>8.43</v>
      </c>
      <c r="H263" s="608"/>
      <c r="I263" s="609"/>
      <c r="J263" s="609"/>
      <c r="K263" s="609"/>
      <c r="L263" s="609"/>
    </row>
    <row r="264" spans="1:12" ht="15.75" customHeight="1">
      <c r="A264" s="951">
        <f t="shared" si="4"/>
        <v>215</v>
      </c>
      <c r="B264" s="949">
        <f>+NOMINA!C257</f>
        <v>20707490</v>
      </c>
      <c r="C264" s="949" t="str">
        <f>+NOMINA!D257</f>
        <v>Saavedra Valera Keila Andreina</v>
      </c>
      <c r="D264" s="949" t="str">
        <f>+NOMINA!O257</f>
        <v>Tutor Facilitador III</v>
      </c>
      <c r="E264" s="952">
        <f>+NOMINA!H257</f>
        <v>42751</v>
      </c>
      <c r="F264" s="953">
        <f>+NOMINA!BR257</f>
        <v>38.049999999999997</v>
      </c>
      <c r="G264" s="953">
        <f>+NOMINA!BS257</f>
        <v>8.4600000000000009</v>
      </c>
      <c r="H264" s="608"/>
      <c r="I264" s="609"/>
      <c r="J264" s="609"/>
      <c r="K264" s="609"/>
      <c r="L264" s="609"/>
    </row>
    <row r="265" spans="1:12" ht="15.75" customHeight="1">
      <c r="A265" s="951">
        <f t="shared" si="4"/>
        <v>216</v>
      </c>
      <c r="B265" s="949">
        <f>+NOMINA!C258</f>
        <v>20789286</v>
      </c>
      <c r="C265" s="949" t="str">
        <f>+NOMINA!D258</f>
        <v xml:space="preserve">Viloria Jessica del Carmen </v>
      </c>
      <c r="D265" s="949" t="str">
        <f>+NOMINA!O258</f>
        <v>Asistente Administrativo IV</v>
      </c>
      <c r="E265" s="952">
        <f>+NOMINA!H258</f>
        <v>44713</v>
      </c>
      <c r="F265" s="953">
        <f>+NOMINA!BR258</f>
        <v>40.86</v>
      </c>
      <c r="G265" s="953">
        <f>+NOMINA!BS258</f>
        <v>9.08</v>
      </c>
      <c r="H265" s="608"/>
      <c r="I265" s="609"/>
      <c r="J265" s="609"/>
      <c r="K265" s="609"/>
      <c r="L265" s="609"/>
    </row>
    <row r="266" spans="1:12" ht="15.75" customHeight="1">
      <c r="A266" s="951">
        <f t="shared" si="4"/>
        <v>217</v>
      </c>
      <c r="B266" s="949">
        <f>+NOMINA!C259</f>
        <v>20790947</v>
      </c>
      <c r="C266" s="949" t="str">
        <f>+NOMINA!D259</f>
        <v>Urbina Cuellar Tannessy Lenery</v>
      </c>
      <c r="D266" s="949" t="str">
        <f>+NOMINA!O259</f>
        <v>Asistente Administrativo IV</v>
      </c>
      <c r="E266" s="952">
        <f>+NOMINA!H259</f>
        <v>43967</v>
      </c>
      <c r="F266" s="953">
        <f>+NOMINA!BR259</f>
        <v>0</v>
      </c>
      <c r="G266" s="953">
        <f>+NOMINA!BS259</f>
        <v>0</v>
      </c>
      <c r="H266" s="608"/>
      <c r="I266" s="609"/>
      <c r="J266" s="609"/>
      <c r="K266" s="609"/>
      <c r="L266" s="609"/>
    </row>
    <row r="267" spans="1:12" ht="15.75" customHeight="1">
      <c r="A267" s="951">
        <f t="shared" si="4"/>
        <v>218</v>
      </c>
      <c r="B267" s="949">
        <f>+NOMINA!C260</f>
        <v>21061126</v>
      </c>
      <c r="C267" s="949" t="str">
        <f>+NOMINA!D260</f>
        <v>Olivar Nava Robinson de Jesus</v>
      </c>
      <c r="D267" s="949" t="str">
        <f>+NOMINA!O260</f>
        <v>Guia de Centro I</v>
      </c>
      <c r="E267" s="952">
        <f>+NOMINA!H260</f>
        <v>45047</v>
      </c>
      <c r="F267" s="953">
        <f>+NOMINA!BR260</f>
        <v>43.73</v>
      </c>
      <c r="G267" s="953">
        <f>+NOMINA!BS260</f>
        <v>9.7200000000000006</v>
      </c>
      <c r="H267" s="608"/>
      <c r="I267" s="609"/>
      <c r="J267" s="609"/>
      <c r="K267" s="609"/>
      <c r="L267" s="609"/>
    </row>
    <row r="268" spans="1:12" ht="15.75" customHeight="1">
      <c r="A268" s="951">
        <f t="shared" si="4"/>
        <v>219</v>
      </c>
      <c r="B268" s="949">
        <f>+NOMINA!C261</f>
        <v>21061789</v>
      </c>
      <c r="C268" s="949" t="str">
        <f>+NOMINA!D261</f>
        <v xml:space="preserve">Suarez Briceño Daiver Jose </v>
      </c>
      <c r="D268" s="949" t="str">
        <f>+NOMINA!O261</f>
        <v>Abogado I</v>
      </c>
      <c r="E268" s="952">
        <f>+NOMINA!H261</f>
        <v>44713</v>
      </c>
      <c r="F268" s="953">
        <f>+NOMINA!BR261</f>
        <v>39.56</v>
      </c>
      <c r="G268" s="953">
        <f>+NOMINA!BS261</f>
        <v>8.7899999999999991</v>
      </c>
      <c r="H268" s="608"/>
      <c r="I268" s="609"/>
      <c r="J268" s="609"/>
      <c r="K268" s="609"/>
      <c r="L268" s="609"/>
    </row>
    <row r="269" spans="1:12" ht="15.75" customHeight="1">
      <c r="A269" s="951">
        <f t="shared" si="4"/>
        <v>220</v>
      </c>
      <c r="B269" s="949">
        <f>+NOMINA!C262</f>
        <v>21365212</v>
      </c>
      <c r="C269" s="949" t="str">
        <f>+NOMINA!D262</f>
        <v>Manzanilla Gonzalez Landkler Josue</v>
      </c>
      <c r="D269" s="949" t="str">
        <f>+NOMINA!O262</f>
        <v>Asistente Administrativo II</v>
      </c>
      <c r="E269" s="952">
        <f>+NOMINA!H262</f>
        <v>44317</v>
      </c>
      <c r="F269" s="953">
        <f>+NOMINA!BR262</f>
        <v>23.64</v>
      </c>
      <c r="G269" s="953">
        <f>+NOMINA!BS262</f>
        <v>5.25</v>
      </c>
      <c r="H269" s="608"/>
      <c r="I269" s="609"/>
      <c r="J269" s="609"/>
      <c r="K269" s="609"/>
      <c r="L269" s="609"/>
    </row>
    <row r="270" spans="1:12" ht="15.75" customHeight="1">
      <c r="A270" s="951">
        <f t="shared" si="4"/>
        <v>221</v>
      </c>
      <c r="B270" s="949">
        <f>+NOMINA!C263</f>
        <v>21592108</v>
      </c>
      <c r="C270" s="949" t="str">
        <f>+NOMINA!D263</f>
        <v>Coy Andara Darlin Gabriela</v>
      </c>
      <c r="D270" s="949" t="str">
        <f>+NOMINA!O263</f>
        <v>PLANIFICADOR I</v>
      </c>
      <c r="E270" s="952">
        <f>+NOMINA!H263</f>
        <v>43024</v>
      </c>
      <c r="F270" s="953">
        <f>+NOMINA!BR263</f>
        <v>0</v>
      </c>
      <c r="G270" s="953">
        <f>+NOMINA!BS263</f>
        <v>0</v>
      </c>
      <c r="H270" s="608"/>
      <c r="I270" s="609"/>
      <c r="J270" s="609"/>
      <c r="K270" s="609"/>
      <c r="L270" s="609"/>
    </row>
    <row r="271" spans="1:12" ht="15.75" customHeight="1">
      <c r="A271" s="951">
        <f t="shared" si="4"/>
        <v>222</v>
      </c>
      <c r="B271" s="949">
        <f>+NOMINA!C264</f>
        <v>22622493</v>
      </c>
      <c r="C271" s="949" t="str">
        <f>+NOMINA!D264</f>
        <v xml:space="preserve">Barrios Olivar Geraldine Katiusca </v>
      </c>
      <c r="D271" s="949" t="str">
        <f>+NOMINA!O264</f>
        <v>Guia de Centro I</v>
      </c>
      <c r="E271" s="952">
        <f>+NOMINA!H264</f>
        <v>44363</v>
      </c>
      <c r="F271" s="953">
        <f>+NOMINA!BR264</f>
        <v>33.43</v>
      </c>
      <c r="G271" s="953">
        <f>+NOMINA!BS264</f>
        <v>7.43</v>
      </c>
      <c r="H271" s="608"/>
      <c r="I271" s="609"/>
      <c r="J271" s="609"/>
      <c r="K271" s="609"/>
      <c r="L271" s="609"/>
    </row>
    <row r="272" spans="1:12" ht="15.75" customHeight="1">
      <c r="A272" s="951">
        <f t="shared" si="4"/>
        <v>223</v>
      </c>
      <c r="B272" s="949">
        <f>+NOMINA!C265</f>
        <v>23782360</v>
      </c>
      <c r="C272" s="949" t="str">
        <f>+NOMINA!D265</f>
        <v>Rivera Sandoval Ilva Azucena</v>
      </c>
      <c r="D272" s="949" t="str">
        <f>+NOMINA!O265</f>
        <v>Administrador III</v>
      </c>
      <c r="E272" s="952">
        <f>+NOMINA!H265</f>
        <v>39203</v>
      </c>
      <c r="F272" s="953">
        <f>+NOMINA!BR265</f>
        <v>49.37</v>
      </c>
      <c r="G272" s="953">
        <f>+NOMINA!BS265</f>
        <v>10.97</v>
      </c>
      <c r="H272" s="608"/>
      <c r="I272" s="609"/>
      <c r="J272" s="609"/>
      <c r="K272" s="609"/>
      <c r="L272" s="609"/>
    </row>
    <row r="273" spans="1:12" ht="15.75" customHeight="1">
      <c r="A273" s="951">
        <f t="shared" si="4"/>
        <v>224</v>
      </c>
      <c r="B273" s="949">
        <f>+NOMINA!C266</f>
        <v>23960738</v>
      </c>
      <c r="C273" s="949" t="str">
        <f>+NOMINA!D266</f>
        <v>Molina Briceño Maria de los Angeles</v>
      </c>
      <c r="D273" s="949" t="str">
        <f>+NOMINA!O266</f>
        <v>Psicologo II</v>
      </c>
      <c r="E273" s="952">
        <f>+NOMINA!H266</f>
        <v>43497</v>
      </c>
      <c r="F273" s="953">
        <f>+NOMINA!BR266</f>
        <v>43.7</v>
      </c>
      <c r="G273" s="953">
        <f>+NOMINA!BS266</f>
        <v>9.7100000000000009</v>
      </c>
      <c r="H273" s="608"/>
      <c r="I273" s="609"/>
      <c r="J273" s="609"/>
      <c r="K273" s="609"/>
      <c r="L273" s="609"/>
    </row>
    <row r="274" spans="1:12" ht="15.75" customHeight="1">
      <c r="A274" s="951">
        <f t="shared" si="4"/>
        <v>225</v>
      </c>
      <c r="B274" s="949">
        <f>+NOMINA!C267</f>
        <v>24135378</v>
      </c>
      <c r="C274" s="949" t="str">
        <f>+NOMINA!D267</f>
        <v>Rivas Hurtado Orleidys Betania</v>
      </c>
      <c r="D274" s="949" t="str">
        <f>+NOMINA!O267</f>
        <v>Asistente Administrativo IV</v>
      </c>
      <c r="E274" s="952">
        <f>+NOMINA!H267</f>
        <v>43862</v>
      </c>
      <c r="F274" s="953">
        <f>+NOMINA!BR267</f>
        <v>46.01</v>
      </c>
      <c r="G274" s="953">
        <f>+NOMINA!BS267</f>
        <v>10.220000000000001</v>
      </c>
      <c r="H274" s="608"/>
      <c r="I274" s="609"/>
      <c r="J274" s="609"/>
      <c r="K274" s="609"/>
      <c r="L274" s="609"/>
    </row>
    <row r="275" spans="1:12" ht="15.75" customHeight="1">
      <c r="A275" s="951">
        <f t="shared" si="4"/>
        <v>226</v>
      </c>
      <c r="B275" s="949">
        <f>+NOMINA!C268</f>
        <v>24136795</v>
      </c>
      <c r="C275" s="949" t="str">
        <f>+NOMINA!D268</f>
        <v xml:space="preserve">Viloria Maldonado Gerardo Jesus </v>
      </c>
      <c r="D275" s="949" t="str">
        <f>+NOMINA!O268</f>
        <v>Entrenador Deportivo II</v>
      </c>
      <c r="E275" s="952">
        <f>+NOMINA!H268</f>
        <v>44600</v>
      </c>
      <c r="F275" s="953">
        <f>+NOMINA!BR268</f>
        <v>23.89</v>
      </c>
      <c r="G275" s="953">
        <f>+NOMINA!BS268</f>
        <v>5.31</v>
      </c>
      <c r="H275" s="608"/>
      <c r="I275" s="609"/>
      <c r="J275" s="609"/>
      <c r="K275" s="609"/>
      <c r="L275" s="609"/>
    </row>
    <row r="276" spans="1:12" ht="15.75" customHeight="1">
      <c r="A276" s="951">
        <f t="shared" si="4"/>
        <v>227</v>
      </c>
      <c r="B276" s="949">
        <f>+NOMINA!C269</f>
        <v>24385729</v>
      </c>
      <c r="C276" s="949" t="str">
        <f>+NOMINA!D269</f>
        <v>Cordova Rivero Liseth Carolina</v>
      </c>
      <c r="D276" s="949" t="str">
        <f>+NOMINA!O269</f>
        <v>Secretario I</v>
      </c>
      <c r="E276" s="952">
        <f>+NOMINA!H269</f>
        <v>45597</v>
      </c>
      <c r="F276" s="953">
        <f>+NOMINA!BR269</f>
        <v>22.75</v>
      </c>
      <c r="G276" s="953">
        <f>+NOMINA!BS269</f>
        <v>5.05</v>
      </c>
      <c r="H276" s="608"/>
      <c r="I276" s="609"/>
      <c r="J276" s="609"/>
      <c r="K276" s="609"/>
      <c r="L276" s="609"/>
    </row>
    <row r="277" spans="1:12" ht="15.75" customHeight="1">
      <c r="A277" s="951">
        <f t="shared" si="4"/>
        <v>228</v>
      </c>
      <c r="B277" s="949">
        <f>+NOMINA!C270</f>
        <v>23254845</v>
      </c>
      <c r="C277" s="949" t="str">
        <f>+NOMINA!D270</f>
        <v>Castellanos Paredes Luis Gregorio</v>
      </c>
      <c r="D277" s="949" t="str">
        <f>+NOMINA!O270</f>
        <v>Entrenador Deportivo II</v>
      </c>
      <c r="E277" s="952">
        <f>+NOMINA!H270</f>
        <v>44332</v>
      </c>
      <c r="F277" s="953">
        <f>+NOMINA!BR270</f>
        <v>23.64</v>
      </c>
      <c r="G277" s="953">
        <f>+NOMINA!BS270</f>
        <v>5.25</v>
      </c>
      <c r="H277" s="608"/>
      <c r="I277" s="609"/>
      <c r="J277" s="609"/>
      <c r="K277" s="609"/>
      <c r="L277" s="609"/>
    </row>
    <row r="278" spans="1:12" ht="15.75" customHeight="1">
      <c r="A278" s="951">
        <f t="shared" si="4"/>
        <v>229</v>
      </c>
      <c r="B278" s="949">
        <f>+NOMINA!C271</f>
        <v>23594366</v>
      </c>
      <c r="C278" s="949" t="str">
        <f>+NOMINA!D271</f>
        <v>Quintero Montilla Merly Paula</v>
      </c>
      <c r="D278" s="949" t="str">
        <f>+NOMINA!O271</f>
        <v>Tutor Facilitador I</v>
      </c>
      <c r="E278" s="952">
        <f>+NOMINA!H271</f>
        <v>45413</v>
      </c>
      <c r="F278" s="953">
        <f>+NOMINA!BR271</f>
        <v>39.049999999999997</v>
      </c>
      <c r="G278" s="953">
        <f>+NOMINA!BS271</f>
        <v>8.68</v>
      </c>
      <c r="H278" s="608"/>
      <c r="I278" s="609"/>
      <c r="J278" s="609"/>
      <c r="K278" s="609"/>
      <c r="L278" s="609"/>
    </row>
    <row r="279" spans="1:12" ht="15.75" customHeight="1">
      <c r="A279" s="951">
        <f t="shared" si="4"/>
        <v>230</v>
      </c>
      <c r="B279" s="949">
        <f>+NOMINA!C272</f>
        <v>23775734</v>
      </c>
      <c r="C279" s="949" t="str">
        <f>+NOMINA!D272</f>
        <v>Gonzalez Torres Klerwin Alfonso</v>
      </c>
      <c r="D279" s="949" t="str">
        <f>+NOMINA!O272</f>
        <v>Guia de Centro I</v>
      </c>
      <c r="E279" s="952">
        <f>+NOMINA!H272</f>
        <v>45627</v>
      </c>
      <c r="F279" s="953">
        <f>+NOMINA!BR272</f>
        <v>30.13</v>
      </c>
      <c r="G279" s="953">
        <f>+NOMINA!BS272</f>
        <v>6.7</v>
      </c>
      <c r="H279" s="608"/>
      <c r="I279" s="609"/>
      <c r="J279" s="609"/>
      <c r="K279" s="609"/>
      <c r="L279" s="609"/>
    </row>
    <row r="280" spans="1:12" ht="15.75" customHeight="1">
      <c r="A280" s="951">
        <f t="shared" si="4"/>
        <v>231</v>
      </c>
      <c r="B280" s="949">
        <f>+NOMINA!C273</f>
        <v>24565372</v>
      </c>
      <c r="C280" s="949" t="str">
        <f>+NOMINA!D273</f>
        <v>Moreno Silva Alfredy Jose</v>
      </c>
      <c r="D280" s="949" t="str">
        <f>+NOMINA!O273</f>
        <v>Asistente de Relaciones Publicas</v>
      </c>
      <c r="E280" s="952">
        <f>+NOMINA!H273</f>
        <v>40360</v>
      </c>
      <c r="F280" s="953">
        <f>+NOMINA!BR273</f>
        <v>0</v>
      </c>
      <c r="G280" s="953">
        <f>+NOMINA!BS273</f>
        <v>0</v>
      </c>
      <c r="H280" s="608"/>
      <c r="I280" s="609"/>
      <c r="J280" s="609"/>
      <c r="K280" s="609"/>
      <c r="L280" s="609"/>
    </row>
    <row r="281" spans="1:12" ht="15.75" customHeight="1">
      <c r="A281" s="951">
        <f t="shared" si="4"/>
        <v>232</v>
      </c>
      <c r="B281" s="949">
        <f>+NOMINA!C274</f>
        <v>25006139</v>
      </c>
      <c r="C281" s="949" t="str">
        <f>+NOMINA!D274</f>
        <v>Ramirez Palomares Carmen Beatriz</v>
      </c>
      <c r="D281" s="949" t="str">
        <f>+NOMINA!O274</f>
        <v>Guia de Centro I</v>
      </c>
      <c r="E281" s="952">
        <f>+NOMINA!H274</f>
        <v>43512</v>
      </c>
      <c r="F281" s="953">
        <f>+NOMINA!BR274</f>
        <v>32.4</v>
      </c>
      <c r="G281" s="953">
        <f>+NOMINA!BS274</f>
        <v>7.2</v>
      </c>
      <c r="H281" s="608"/>
      <c r="I281" s="609"/>
      <c r="J281" s="609"/>
      <c r="K281" s="609"/>
      <c r="L281" s="609"/>
    </row>
    <row r="282" spans="1:12" ht="15.75" customHeight="1">
      <c r="A282" s="951">
        <f t="shared" si="4"/>
        <v>233</v>
      </c>
      <c r="B282" s="949">
        <f>+NOMINA!C275</f>
        <v>25006878</v>
      </c>
      <c r="C282" s="949" t="str">
        <f>+NOMINA!D275</f>
        <v>Fernandez Garcia Rafael Ramon</v>
      </c>
      <c r="D282" s="949" t="str">
        <f>+NOMINA!O275</f>
        <v>Guia de Centro I</v>
      </c>
      <c r="E282" s="952">
        <f>+NOMINA!H275</f>
        <v>44986</v>
      </c>
      <c r="F282" s="953">
        <f>+NOMINA!BR275</f>
        <v>35.33</v>
      </c>
      <c r="G282" s="953">
        <f>+NOMINA!BS275</f>
        <v>7.85</v>
      </c>
      <c r="H282" s="608"/>
      <c r="I282" s="609"/>
      <c r="J282" s="609"/>
      <c r="K282" s="609"/>
      <c r="L282" s="609"/>
    </row>
    <row r="283" spans="1:12" ht="15.75" customHeight="1">
      <c r="A283" s="951">
        <f t="shared" si="4"/>
        <v>234</v>
      </c>
      <c r="B283" s="949">
        <f>+NOMINA!C276</f>
        <v>25096069</v>
      </c>
      <c r="C283" s="949" t="str">
        <f>+NOMINA!D276</f>
        <v>Coello Diaz Yormileidys del Carmen</v>
      </c>
      <c r="D283" s="949" t="str">
        <f>+NOMINA!O276</f>
        <v>Guia de Centro I</v>
      </c>
      <c r="E283" s="952">
        <f>+NOMINA!H276</f>
        <v>44599</v>
      </c>
      <c r="F283" s="953">
        <f>+NOMINA!BR276</f>
        <v>45.68</v>
      </c>
      <c r="G283" s="953">
        <f>+NOMINA!BS276</f>
        <v>10.15</v>
      </c>
      <c r="H283" s="608"/>
      <c r="I283" s="609"/>
      <c r="J283" s="609"/>
      <c r="K283" s="609"/>
      <c r="L283" s="609"/>
    </row>
    <row r="284" spans="1:12" ht="15.75" customHeight="1">
      <c r="A284" s="951">
        <f t="shared" si="4"/>
        <v>235</v>
      </c>
      <c r="B284" s="949">
        <f>+NOMINA!C277</f>
        <v>25173139</v>
      </c>
      <c r="C284" s="949" t="str">
        <f>+NOMINA!D277</f>
        <v>Viloria Albornoz Arelis Andreina</v>
      </c>
      <c r="D284" s="949" t="str">
        <f>+NOMINA!O277</f>
        <v>PLANIFICADOR I</v>
      </c>
      <c r="E284" s="952">
        <f>+NOMINA!H277</f>
        <v>45536</v>
      </c>
      <c r="F284" s="953">
        <f>+NOMINA!BR277</f>
        <v>40.340000000000003</v>
      </c>
      <c r="G284" s="953">
        <f>+NOMINA!BS277</f>
        <v>8.9700000000000006</v>
      </c>
      <c r="H284" s="608"/>
      <c r="I284" s="609"/>
      <c r="J284" s="609"/>
      <c r="K284" s="609"/>
      <c r="L284" s="609"/>
    </row>
    <row r="285" spans="1:12" ht="15.75" customHeight="1">
      <c r="A285" s="951">
        <f t="shared" si="4"/>
        <v>236</v>
      </c>
      <c r="B285" s="949">
        <f>+NOMINA!C278</f>
        <v>25173983</v>
      </c>
      <c r="C285" s="949" t="str">
        <f>+NOMINA!D278</f>
        <v>Guanda Barazarte Roxely Andreina</v>
      </c>
      <c r="D285" s="949" t="str">
        <f>+NOMINA!O278</f>
        <v>Guia de Centro I</v>
      </c>
      <c r="E285" s="952">
        <f>+NOMINA!H278</f>
        <v>44363</v>
      </c>
      <c r="F285" s="953">
        <f>+NOMINA!BR278</f>
        <v>32.08</v>
      </c>
      <c r="G285" s="953">
        <f>+NOMINA!BS278</f>
        <v>7.13</v>
      </c>
      <c r="H285" s="608"/>
      <c r="I285" s="609"/>
      <c r="J285" s="609"/>
      <c r="K285" s="609"/>
      <c r="L285" s="609"/>
    </row>
    <row r="286" spans="1:12" ht="15.75" customHeight="1">
      <c r="A286" s="951">
        <f t="shared" si="4"/>
        <v>237</v>
      </c>
      <c r="B286" s="949">
        <f>+NOMINA!C279</f>
        <v>25303390</v>
      </c>
      <c r="C286" s="949" t="str">
        <f>+NOMINA!D279</f>
        <v>Graterol Castillo Yoselyn Zunedy</v>
      </c>
      <c r="D286" s="949" t="str">
        <f>+NOMINA!O279</f>
        <v>Guia de Centro I</v>
      </c>
      <c r="E286" s="952">
        <f>+NOMINA!H279</f>
        <v>43862</v>
      </c>
      <c r="F286" s="953">
        <f>+NOMINA!BR279</f>
        <v>33.590000000000003</v>
      </c>
      <c r="G286" s="953">
        <f>+NOMINA!BS279</f>
        <v>7.46</v>
      </c>
      <c r="H286" s="608"/>
      <c r="I286" s="609"/>
      <c r="J286" s="609"/>
      <c r="K286" s="609"/>
      <c r="L286" s="609"/>
    </row>
    <row r="287" spans="1:12" ht="15.75" customHeight="1">
      <c r="A287" s="951">
        <f t="shared" si="4"/>
        <v>238</v>
      </c>
      <c r="B287" s="949">
        <f>+NOMINA!C280</f>
        <v>25454143</v>
      </c>
      <c r="C287" s="949" t="str">
        <f>+NOMINA!D280</f>
        <v>Briceño Ana Beatriz</v>
      </c>
      <c r="D287" s="949" t="str">
        <f>+NOMINA!O280</f>
        <v>Guia de Centro I</v>
      </c>
      <c r="E287" s="952">
        <f>+NOMINA!H280</f>
        <v>45536</v>
      </c>
      <c r="F287" s="953">
        <f>+NOMINA!BR280</f>
        <v>29.43</v>
      </c>
      <c r="G287" s="953">
        <f>+NOMINA!BS280</f>
        <v>6.54</v>
      </c>
      <c r="H287" s="608"/>
      <c r="I287" s="609"/>
      <c r="J287" s="609"/>
      <c r="K287" s="609"/>
      <c r="L287" s="609"/>
    </row>
    <row r="288" spans="1:12" ht="15.75" customHeight="1">
      <c r="A288" s="951">
        <f t="shared" si="4"/>
        <v>239</v>
      </c>
      <c r="B288" s="949">
        <f>+NOMINA!C281</f>
        <v>25604733</v>
      </c>
      <c r="C288" s="949" t="str">
        <f>+NOMINA!D281</f>
        <v>Nava Carrillo Oriana Daniela</v>
      </c>
      <c r="D288" s="949" t="str">
        <f>+NOMINA!O281</f>
        <v>Entrenador Deportivo II</v>
      </c>
      <c r="E288" s="952">
        <f>+NOMINA!H281</f>
        <v>43754</v>
      </c>
      <c r="F288" s="953">
        <f>+NOMINA!BR281</f>
        <v>23.88</v>
      </c>
      <c r="G288" s="953">
        <f>+NOMINA!BS281</f>
        <v>5.31</v>
      </c>
      <c r="H288" s="608"/>
      <c r="I288" s="609"/>
      <c r="J288" s="609"/>
      <c r="K288" s="609"/>
      <c r="L288" s="609"/>
    </row>
    <row r="289" spans="1:12" ht="15.75" customHeight="1">
      <c r="A289" s="951">
        <f t="shared" si="4"/>
        <v>240</v>
      </c>
      <c r="B289" s="949">
        <f>+NOMINA!C282</f>
        <v>25619540</v>
      </c>
      <c r="C289" s="949" t="str">
        <f>+NOMINA!D282</f>
        <v xml:space="preserve">Balza Vetencourt Maria Gabriela </v>
      </c>
      <c r="D289" s="949" t="str">
        <f>+NOMINA!O282</f>
        <v>Guia de Centro I</v>
      </c>
      <c r="E289" s="952">
        <f>+NOMINA!H282</f>
        <v>44743</v>
      </c>
      <c r="F289" s="953">
        <f>+NOMINA!BR282</f>
        <v>31.06</v>
      </c>
      <c r="G289" s="953">
        <f>+NOMINA!BS282</f>
        <v>6.9</v>
      </c>
      <c r="H289" s="608"/>
      <c r="I289" s="609"/>
      <c r="J289" s="609"/>
      <c r="K289" s="609"/>
      <c r="L289" s="609"/>
    </row>
    <row r="290" spans="1:12" ht="15.75" customHeight="1">
      <c r="A290" s="951">
        <f t="shared" si="4"/>
        <v>241</v>
      </c>
      <c r="B290" s="949">
        <f>+NOMINA!C283</f>
        <v>26094609</v>
      </c>
      <c r="C290" s="949" t="str">
        <f>+NOMINA!D283</f>
        <v>Andara Moreno Marielena Nathaly</v>
      </c>
      <c r="D290" s="949" t="str">
        <f>+NOMINA!O283</f>
        <v>Abogado I</v>
      </c>
      <c r="E290" s="952">
        <f>+NOMINA!H283</f>
        <v>44713</v>
      </c>
      <c r="F290" s="953">
        <f>+NOMINA!BR283</f>
        <v>39.56</v>
      </c>
      <c r="G290" s="953">
        <f>+NOMINA!BS283</f>
        <v>8.7899999999999991</v>
      </c>
      <c r="H290" s="608"/>
      <c r="I290" s="609"/>
      <c r="J290" s="609"/>
      <c r="K290" s="609"/>
      <c r="L290" s="609"/>
    </row>
    <row r="291" spans="1:12" ht="15.75" customHeight="1">
      <c r="A291" s="951">
        <f t="shared" si="4"/>
        <v>242</v>
      </c>
      <c r="B291" s="949">
        <f>+NOMINA!C284</f>
        <v>26094690</v>
      </c>
      <c r="C291" s="949" t="str">
        <f>+NOMINA!D284</f>
        <v>Fernandez Romero Numa Manuel</v>
      </c>
      <c r="D291" s="949" t="str">
        <f>+NOMINA!O284</f>
        <v>Guia de Centro I</v>
      </c>
      <c r="E291" s="952">
        <f>+NOMINA!H284</f>
        <v>45017</v>
      </c>
      <c r="F291" s="953">
        <f>+NOMINA!BR284</f>
        <v>30.92</v>
      </c>
      <c r="G291" s="953">
        <f>+NOMINA!BS284</f>
        <v>6.87</v>
      </c>
      <c r="H291" s="608"/>
      <c r="I291" s="609"/>
      <c r="J291" s="609"/>
      <c r="K291" s="609"/>
      <c r="L291" s="609"/>
    </row>
    <row r="292" spans="1:12" ht="15.75" customHeight="1">
      <c r="A292" s="951">
        <f t="shared" si="4"/>
        <v>243</v>
      </c>
      <c r="B292" s="949">
        <f>+NOMINA!C285</f>
        <v>26114271</v>
      </c>
      <c r="C292" s="949" t="str">
        <f>+NOMINA!D285</f>
        <v>Moncayo Perez Ruddy Bellaliz</v>
      </c>
      <c r="D292" s="949" t="str">
        <f>+NOMINA!O285</f>
        <v>Abogado I</v>
      </c>
      <c r="E292" s="952">
        <f>+NOMINA!H285</f>
        <v>44636</v>
      </c>
      <c r="F292" s="953">
        <f>+NOMINA!BR285</f>
        <v>39.56</v>
      </c>
      <c r="G292" s="953">
        <f>+NOMINA!BS285</f>
        <v>8.7899999999999991</v>
      </c>
      <c r="H292" s="608"/>
      <c r="I292" s="609"/>
      <c r="J292" s="609"/>
      <c r="K292" s="609"/>
      <c r="L292" s="609"/>
    </row>
    <row r="293" spans="1:12" ht="15.75" customHeight="1">
      <c r="A293" s="951">
        <f t="shared" si="4"/>
        <v>244</v>
      </c>
      <c r="B293" s="949">
        <f>+NOMINA!C286</f>
        <v>26191823</v>
      </c>
      <c r="C293" s="949" t="str">
        <f>+NOMINA!D286</f>
        <v>Briceño Espinoza Brayhan Jose</v>
      </c>
      <c r="D293" s="949" t="str">
        <f>+NOMINA!O286</f>
        <v>Abogado II</v>
      </c>
      <c r="E293" s="952">
        <f>+NOMINA!H286</f>
        <v>44470</v>
      </c>
      <c r="F293" s="953">
        <f>+NOMINA!BR286</f>
        <v>43.13</v>
      </c>
      <c r="G293" s="953">
        <f>+NOMINA!BS286</f>
        <v>9.58</v>
      </c>
      <c r="H293" s="608"/>
      <c r="I293" s="609"/>
      <c r="J293" s="609"/>
      <c r="K293" s="609"/>
      <c r="L293" s="609"/>
    </row>
    <row r="294" spans="1:12" ht="15.75" customHeight="1">
      <c r="A294" s="951">
        <f t="shared" si="4"/>
        <v>245</v>
      </c>
      <c r="B294" s="949">
        <f>+NOMINA!C287</f>
        <v>26235963</v>
      </c>
      <c r="C294" s="949" t="str">
        <f>+NOMINA!D287</f>
        <v>Segovia Segovia Freylu Margarita</v>
      </c>
      <c r="D294" s="949" t="str">
        <f>+NOMINA!O287</f>
        <v>Psicologo I</v>
      </c>
      <c r="E294" s="952">
        <f>+NOMINA!H287</f>
        <v>45383</v>
      </c>
      <c r="F294" s="953">
        <f>+NOMINA!BR287</f>
        <v>40.340000000000003</v>
      </c>
      <c r="G294" s="953">
        <f>+NOMINA!BS287</f>
        <v>8.9700000000000006</v>
      </c>
      <c r="H294" s="608"/>
      <c r="I294" s="609"/>
      <c r="J294" s="609"/>
      <c r="K294" s="609"/>
      <c r="L294" s="609"/>
    </row>
    <row r="295" spans="1:12" ht="15.75" customHeight="1">
      <c r="A295" s="951">
        <f t="shared" si="4"/>
        <v>246</v>
      </c>
      <c r="B295" s="949">
        <f>+NOMINA!C288</f>
        <v>26413871</v>
      </c>
      <c r="C295" s="949" t="str">
        <f>+NOMINA!D288</f>
        <v>Molina Rojas Genesis Angely</v>
      </c>
      <c r="D295" s="949" t="str">
        <f>+NOMINA!O288</f>
        <v>Guia de Centro I</v>
      </c>
      <c r="E295" s="952">
        <f>+NOMINA!H288</f>
        <v>44228</v>
      </c>
      <c r="F295" s="953">
        <f>+NOMINA!BR288</f>
        <v>33.43</v>
      </c>
      <c r="G295" s="953">
        <f>+NOMINA!BS288</f>
        <v>7.43</v>
      </c>
      <c r="H295" s="608"/>
      <c r="I295" s="609"/>
      <c r="J295" s="609"/>
      <c r="K295" s="609"/>
      <c r="L295" s="609"/>
    </row>
    <row r="296" spans="1:12" ht="15.75" customHeight="1">
      <c r="A296" s="951">
        <f t="shared" si="4"/>
        <v>247</v>
      </c>
      <c r="B296" s="949">
        <f>+NOMINA!C289</f>
        <v>26591879</v>
      </c>
      <c r="C296" s="949" t="str">
        <f>+NOMINA!D289</f>
        <v>Delgado Cabezas Rosa Magdalena</v>
      </c>
      <c r="D296" s="949" t="str">
        <f>+NOMINA!O289</f>
        <v>Psicologo II</v>
      </c>
      <c r="E296" s="952">
        <f>+NOMINA!H289</f>
        <v>43587</v>
      </c>
      <c r="F296" s="953">
        <f>+NOMINA!BR289</f>
        <v>45</v>
      </c>
      <c r="G296" s="953">
        <f>+NOMINA!BS289</f>
        <v>10</v>
      </c>
      <c r="H296" s="608"/>
      <c r="I296" s="609"/>
      <c r="J296" s="609"/>
      <c r="K296" s="609"/>
      <c r="L296" s="609"/>
    </row>
    <row r="297" spans="1:12" ht="15.75" customHeight="1">
      <c r="A297" s="951">
        <f t="shared" si="4"/>
        <v>248</v>
      </c>
      <c r="B297" s="949">
        <f>+NOMINA!C290</f>
        <v>26690908</v>
      </c>
      <c r="C297" s="949" t="str">
        <f>+NOMINA!D290</f>
        <v>Segovia Lisbeira del Carmen</v>
      </c>
      <c r="D297" s="949" t="str">
        <f>+NOMINA!O290</f>
        <v>Guia de Centro I</v>
      </c>
      <c r="E297" s="952">
        <f>+NOMINA!H290</f>
        <v>44228</v>
      </c>
      <c r="F297" s="953">
        <f>+NOMINA!BR290</f>
        <v>32.08</v>
      </c>
      <c r="G297" s="953">
        <f>+NOMINA!BS290</f>
        <v>7.13</v>
      </c>
      <c r="H297" s="608"/>
      <c r="I297" s="609"/>
      <c r="J297" s="609"/>
      <c r="K297" s="609"/>
      <c r="L297" s="609"/>
    </row>
    <row r="298" spans="1:12" ht="15.75" customHeight="1">
      <c r="A298" s="951">
        <f t="shared" si="4"/>
        <v>249</v>
      </c>
      <c r="B298" s="949">
        <f>+NOMINA!C291</f>
        <v>26962104</v>
      </c>
      <c r="C298" s="949" t="str">
        <f>+NOMINA!D291</f>
        <v>Rubio Briceño Diana Carolina</v>
      </c>
      <c r="D298" s="949" t="str">
        <f>+NOMINA!O291</f>
        <v>Asistente Administrativo II</v>
      </c>
      <c r="E298" s="952">
        <f>+NOMINA!H291</f>
        <v>44393</v>
      </c>
      <c r="F298" s="953">
        <f>+NOMINA!BR291</f>
        <v>24.67</v>
      </c>
      <c r="G298" s="953">
        <f>+NOMINA!BS291</f>
        <v>5.48</v>
      </c>
      <c r="H298" s="608"/>
      <c r="I298" s="609"/>
      <c r="J298" s="609"/>
      <c r="K298" s="609"/>
      <c r="L298" s="609"/>
    </row>
    <row r="299" spans="1:12" ht="15.75" customHeight="1">
      <c r="A299" s="951">
        <f t="shared" si="4"/>
        <v>250</v>
      </c>
      <c r="B299" s="949">
        <f>+NOMINA!C292</f>
        <v>27251392</v>
      </c>
      <c r="C299" s="949" t="str">
        <f>+NOMINA!D292</f>
        <v>Rangel Maria Antonia</v>
      </c>
      <c r="D299" s="949" t="str">
        <f>+NOMINA!O292</f>
        <v>Guia de Centro I</v>
      </c>
      <c r="E299" s="952">
        <f>+NOMINA!H292</f>
        <v>45627</v>
      </c>
      <c r="F299" s="953">
        <f>+NOMINA!BR292</f>
        <v>29.43</v>
      </c>
      <c r="G299" s="953">
        <f>+NOMINA!BS292</f>
        <v>6.54</v>
      </c>
      <c r="H299" s="608"/>
      <c r="I299" s="609"/>
      <c r="J299" s="609"/>
      <c r="K299" s="609"/>
      <c r="L299" s="609"/>
    </row>
    <row r="300" spans="1:12" ht="15.75" customHeight="1">
      <c r="A300" s="951">
        <f t="shared" si="4"/>
        <v>251</v>
      </c>
      <c r="B300" s="949">
        <f>+NOMINA!C293</f>
        <v>27251885</v>
      </c>
      <c r="C300" s="949" t="str">
        <f>+NOMINA!D293</f>
        <v>Barrozo Godoy Kellem Daniela</v>
      </c>
      <c r="D300" s="949" t="str">
        <f>+NOMINA!O293</f>
        <v>Guia de Centro I</v>
      </c>
      <c r="E300" s="952">
        <f>+NOMINA!H293</f>
        <v>45474</v>
      </c>
      <c r="F300" s="953">
        <f>+NOMINA!BR293</f>
        <v>29.43</v>
      </c>
      <c r="G300" s="953">
        <f>+NOMINA!BS293</f>
        <v>6.54</v>
      </c>
      <c r="H300" s="608"/>
      <c r="I300" s="609"/>
      <c r="J300" s="609"/>
      <c r="K300" s="609"/>
      <c r="L300" s="609"/>
    </row>
    <row r="301" spans="1:12" ht="15.75" customHeight="1">
      <c r="A301" s="951">
        <f t="shared" si="4"/>
        <v>252</v>
      </c>
      <c r="B301" s="949">
        <f>+NOMINA!C294</f>
        <v>27251899</v>
      </c>
      <c r="C301" s="949" t="str">
        <f>+NOMINA!D294</f>
        <v>Perez Gonzalez Maria Ines</v>
      </c>
      <c r="D301" s="949" t="str">
        <f>+NOMINA!O294</f>
        <v>Guia de Centro I</v>
      </c>
      <c r="E301" s="952">
        <f>+NOMINA!H294</f>
        <v>45474</v>
      </c>
      <c r="F301" s="953">
        <f>+NOMINA!BR294</f>
        <v>29.43</v>
      </c>
      <c r="G301" s="953">
        <f>+NOMINA!BS294</f>
        <v>6.54</v>
      </c>
      <c r="H301" s="608"/>
      <c r="I301" s="609"/>
      <c r="J301" s="609"/>
      <c r="K301" s="609"/>
      <c r="L301" s="609"/>
    </row>
    <row r="302" spans="1:12" ht="15.75" customHeight="1">
      <c r="A302" s="951">
        <f t="shared" si="4"/>
        <v>253</v>
      </c>
      <c r="B302" s="949">
        <f>+NOMINA!C295</f>
        <v>27363633</v>
      </c>
      <c r="C302" s="949" t="str">
        <f>+NOMINA!D295</f>
        <v>Padilla Blanco Melany Marian</v>
      </c>
      <c r="D302" s="949" t="str">
        <f>+NOMINA!O295</f>
        <v>Guia de Centro I</v>
      </c>
      <c r="E302" s="952">
        <f>+NOMINA!H295</f>
        <v>45627</v>
      </c>
      <c r="F302" s="953">
        <f>+NOMINA!BR295</f>
        <v>28.08</v>
      </c>
      <c r="G302" s="953">
        <f>+NOMINA!BS295</f>
        <v>6.24</v>
      </c>
      <c r="H302" s="608"/>
      <c r="I302" s="609"/>
      <c r="J302" s="609"/>
      <c r="K302" s="609"/>
      <c r="L302" s="609"/>
    </row>
    <row r="303" spans="1:12" ht="15.75" customHeight="1">
      <c r="A303" s="951">
        <f t="shared" si="4"/>
        <v>254</v>
      </c>
      <c r="B303" s="949">
        <f>+NOMINA!C296</f>
        <v>27415737</v>
      </c>
      <c r="C303" s="949" t="str">
        <f>+NOMINA!D296</f>
        <v>Rivas Torres Rosa Alba</v>
      </c>
      <c r="D303" s="949" t="str">
        <f>+NOMINA!O296</f>
        <v>Asistente Administrativo II</v>
      </c>
      <c r="E303" s="952">
        <f>+NOMINA!H296</f>
        <v>44363</v>
      </c>
      <c r="F303" s="953">
        <f>+NOMINA!BR296</f>
        <v>24.67</v>
      </c>
      <c r="G303" s="953">
        <f>+NOMINA!BS296</f>
        <v>5.48</v>
      </c>
      <c r="H303" s="608"/>
      <c r="I303" s="609"/>
      <c r="J303" s="609"/>
      <c r="K303" s="609"/>
      <c r="L303" s="609"/>
    </row>
    <row r="304" spans="1:12" ht="15.75" customHeight="1">
      <c r="A304" s="951">
        <f t="shared" si="4"/>
        <v>255</v>
      </c>
      <c r="B304" s="949">
        <f>+NOMINA!C297</f>
        <v>27415888</v>
      </c>
      <c r="C304" s="949" t="str">
        <f>+NOMINA!D297</f>
        <v>Perdomo Juarez Jose De Jesus</v>
      </c>
      <c r="D304" s="949" t="str">
        <f>+NOMINA!O297</f>
        <v>Entrenador Deportivo II</v>
      </c>
      <c r="E304" s="952">
        <f>+NOMINA!H297</f>
        <v>44713</v>
      </c>
      <c r="F304" s="953">
        <f>+NOMINA!BR297</f>
        <v>23.88</v>
      </c>
      <c r="G304" s="953">
        <f>+NOMINA!BS297</f>
        <v>5.31</v>
      </c>
      <c r="H304" s="608"/>
      <c r="I304" s="609"/>
      <c r="J304" s="609"/>
      <c r="K304" s="609"/>
      <c r="L304" s="609"/>
    </row>
    <row r="305" spans="1:12" ht="15.75" customHeight="1">
      <c r="A305" s="951">
        <f t="shared" si="4"/>
        <v>256</v>
      </c>
      <c r="B305" s="949">
        <f>+NOMINA!C298</f>
        <v>27628603</v>
      </c>
      <c r="C305" s="949" t="str">
        <f>+NOMINA!D298</f>
        <v>Mendoza Mendoza Kelasky Kixuy</v>
      </c>
      <c r="D305" s="949" t="str">
        <f>+NOMINA!O298</f>
        <v>Instructor De Formacion Empresarial</v>
      </c>
      <c r="E305" s="952">
        <f>+NOMINA!H298</f>
        <v>45139</v>
      </c>
      <c r="F305" s="953">
        <f>+NOMINA!BR298</f>
        <v>22.75</v>
      </c>
      <c r="G305" s="953">
        <f>+NOMINA!BS298</f>
        <v>5.05</v>
      </c>
      <c r="H305" s="608"/>
      <c r="I305" s="609"/>
      <c r="J305" s="609"/>
      <c r="K305" s="609"/>
      <c r="L305" s="609"/>
    </row>
    <row r="306" spans="1:12" ht="15.75" customHeight="1">
      <c r="A306" s="951">
        <f t="shared" si="4"/>
        <v>257</v>
      </c>
      <c r="B306" s="949">
        <f>+NOMINA!C299</f>
        <v>27677242</v>
      </c>
      <c r="C306" s="949" t="str">
        <f>+NOMINA!D299</f>
        <v>Ramirez Torres Darwin Jose</v>
      </c>
      <c r="D306" s="949" t="str">
        <f>+NOMINA!O299</f>
        <v>Recreador</v>
      </c>
      <c r="E306" s="952">
        <f>+NOMINA!H299</f>
        <v>45139</v>
      </c>
      <c r="F306" s="953">
        <f>+NOMINA!BR299</f>
        <v>21.71</v>
      </c>
      <c r="G306" s="953">
        <f>+NOMINA!BS299</f>
        <v>4.82</v>
      </c>
      <c r="H306" s="608"/>
      <c r="I306" s="609"/>
      <c r="J306" s="609"/>
      <c r="K306" s="609"/>
      <c r="L306" s="609"/>
    </row>
    <row r="307" spans="1:12" ht="15.75" customHeight="1">
      <c r="A307" s="951">
        <f t="shared" si="4"/>
        <v>258</v>
      </c>
      <c r="B307" s="949">
        <f>+NOMINA!C300</f>
        <v>27889180</v>
      </c>
      <c r="C307" s="949" t="str">
        <f>+NOMINA!D300</f>
        <v>Moreno Andreina del Valle</v>
      </c>
      <c r="D307" s="949" t="str">
        <f>+NOMINA!O300</f>
        <v>Asistente Administrativo II</v>
      </c>
      <c r="E307" s="952">
        <f>+NOMINA!H300</f>
        <v>44393</v>
      </c>
      <c r="F307" s="953">
        <f>+NOMINA!BR300</f>
        <v>24.67</v>
      </c>
      <c r="G307" s="953">
        <f>+NOMINA!BS300</f>
        <v>5.48</v>
      </c>
      <c r="H307" s="608"/>
      <c r="I307" s="609"/>
      <c r="J307" s="609"/>
      <c r="K307" s="609"/>
      <c r="L307" s="609"/>
    </row>
    <row r="308" spans="1:12" ht="15.75" customHeight="1">
      <c r="A308" s="951">
        <f t="shared" ref="A308:A316" si="5">+A307+1</f>
        <v>259</v>
      </c>
      <c r="B308" s="949">
        <f>+NOMINA!C301</f>
        <v>28079765</v>
      </c>
      <c r="C308" s="949" t="str">
        <f>+NOMINA!D301</f>
        <v>Mendoza Cardozo Josue Vicensio</v>
      </c>
      <c r="D308" s="949" t="str">
        <f>+NOMINA!O301</f>
        <v>Asistente Administrativo II</v>
      </c>
      <c r="E308" s="952">
        <f>+NOMINA!H301</f>
        <v>44348</v>
      </c>
      <c r="F308" s="953">
        <f>+NOMINA!BR301</f>
        <v>35.450000000000003</v>
      </c>
      <c r="G308" s="953">
        <f>+NOMINA!BS301</f>
        <v>7.88</v>
      </c>
      <c r="H308" s="608"/>
      <c r="I308" s="609"/>
      <c r="J308" s="609"/>
      <c r="K308" s="609"/>
      <c r="L308" s="609"/>
    </row>
    <row r="309" spans="1:12" ht="15.75" customHeight="1">
      <c r="A309" s="951">
        <f t="shared" si="5"/>
        <v>260</v>
      </c>
      <c r="B309" s="949">
        <f>+NOMINA!C302</f>
        <v>28096003</v>
      </c>
      <c r="C309" s="949" t="str">
        <f>+NOMINA!D302</f>
        <v>Quintero Peña Maria Alejandra</v>
      </c>
      <c r="D309" s="949" t="str">
        <f>+NOMINA!O302</f>
        <v>Guia de Centro I</v>
      </c>
      <c r="E309" s="952">
        <f>+NOMINA!H302</f>
        <v>44228</v>
      </c>
      <c r="F309" s="953">
        <f>+NOMINA!BR302</f>
        <v>30.73</v>
      </c>
      <c r="G309" s="953">
        <f>+NOMINA!BS302</f>
        <v>6.83</v>
      </c>
      <c r="H309" s="608"/>
      <c r="I309" s="609"/>
      <c r="J309" s="609"/>
      <c r="K309" s="609"/>
      <c r="L309" s="609"/>
    </row>
    <row r="310" spans="1:12" ht="15.75" customHeight="1">
      <c r="A310" s="951">
        <f t="shared" si="5"/>
        <v>261</v>
      </c>
      <c r="B310" s="949">
        <f>+NOMINA!C303</f>
        <v>28096576</v>
      </c>
      <c r="C310" s="949" t="str">
        <f>+NOMINA!D303</f>
        <v>Gutierrez Betania Belsally</v>
      </c>
      <c r="D310" s="949" t="str">
        <f>+NOMINA!O303</f>
        <v>Asistente Administrativo I</v>
      </c>
      <c r="E310" s="952">
        <f>+NOMINA!H303</f>
        <v>45017</v>
      </c>
      <c r="F310" s="953">
        <f>+NOMINA!BR303</f>
        <v>23.78</v>
      </c>
      <c r="G310" s="953">
        <f>+NOMINA!BS303</f>
        <v>5.29</v>
      </c>
      <c r="H310" s="608"/>
      <c r="I310" s="609"/>
      <c r="J310" s="609"/>
      <c r="K310" s="609"/>
      <c r="L310" s="609"/>
    </row>
    <row r="311" spans="1:12" ht="15.75" customHeight="1">
      <c r="A311" s="951">
        <f t="shared" si="5"/>
        <v>262</v>
      </c>
      <c r="B311" s="949">
        <f>+NOMINA!C304</f>
        <v>28445465</v>
      </c>
      <c r="C311" s="949" t="str">
        <f>+NOMINA!D304</f>
        <v>Castillo Carrizo Katherine Cecilia</v>
      </c>
      <c r="D311" s="949" t="str">
        <f>+NOMINA!O304</f>
        <v>Asistente Administrativo II</v>
      </c>
      <c r="E311" s="952">
        <f>+NOMINA!H304</f>
        <v>43770</v>
      </c>
      <c r="F311" s="953">
        <f>+NOMINA!BR304</f>
        <v>23.88</v>
      </c>
      <c r="G311" s="953">
        <f>+NOMINA!BS304</f>
        <v>5.31</v>
      </c>
      <c r="H311" s="608"/>
      <c r="I311" s="609"/>
      <c r="J311" s="609"/>
      <c r="K311" s="609"/>
      <c r="L311" s="609"/>
    </row>
    <row r="312" spans="1:12" ht="15.75" customHeight="1">
      <c r="A312" s="951">
        <f t="shared" si="5"/>
        <v>263</v>
      </c>
      <c r="B312" s="949">
        <f>+NOMINA!C305</f>
        <v>29585477</v>
      </c>
      <c r="C312" s="949" t="str">
        <f>+NOMINA!D305</f>
        <v>Gil Ruiz Marianyeli Sarait</v>
      </c>
      <c r="D312" s="949" t="str">
        <f>+NOMINA!O305</f>
        <v>Entrenador Deportivo II</v>
      </c>
      <c r="E312" s="952">
        <f>+NOMINA!H305</f>
        <v>43512</v>
      </c>
      <c r="F312" s="953">
        <f>+NOMINA!BR305</f>
        <v>24.92</v>
      </c>
      <c r="G312" s="953">
        <f>+NOMINA!BS305</f>
        <v>5.54</v>
      </c>
      <c r="H312" s="608"/>
      <c r="I312" s="609"/>
      <c r="J312" s="609"/>
      <c r="K312" s="609"/>
      <c r="L312" s="609"/>
    </row>
    <row r="313" spans="1:12" ht="15.75" customHeight="1">
      <c r="A313" s="951">
        <f t="shared" si="5"/>
        <v>264</v>
      </c>
      <c r="B313" s="949">
        <f>+NOMINA!C306</f>
        <v>29916508</v>
      </c>
      <c r="C313" s="949" t="str">
        <f>+NOMINA!D306</f>
        <v>Zambrano Briceño Elio Jesus</v>
      </c>
      <c r="D313" s="949" t="str">
        <f>+NOMINA!O306</f>
        <v>Guia de Centro I</v>
      </c>
      <c r="E313" s="952">
        <f>+NOMINA!H306</f>
        <v>44378</v>
      </c>
      <c r="F313" s="953">
        <f>+NOMINA!BR306</f>
        <v>30.73</v>
      </c>
      <c r="G313" s="953">
        <f>+NOMINA!BS306</f>
        <v>6.83</v>
      </c>
      <c r="H313" s="608"/>
      <c r="I313" s="609"/>
      <c r="J313" s="609"/>
      <c r="K313" s="609"/>
      <c r="L313" s="609"/>
    </row>
    <row r="314" spans="1:12" ht="15.75" customHeight="1">
      <c r="A314" s="951">
        <f t="shared" si="5"/>
        <v>265</v>
      </c>
      <c r="B314" s="949">
        <f>+NOMINA!C307</f>
        <v>30190238</v>
      </c>
      <c r="C314" s="949" t="str">
        <f>+NOMINA!D307</f>
        <v>Mendoza Osuna Zaida Liseth</v>
      </c>
      <c r="D314" s="949" t="str">
        <f>+NOMINA!O307</f>
        <v>Guia de Centro I</v>
      </c>
      <c r="E314" s="952">
        <f>+NOMINA!H307</f>
        <v>45200</v>
      </c>
      <c r="F314" s="953">
        <f>+NOMINA!BR307</f>
        <v>28.22</v>
      </c>
      <c r="G314" s="953">
        <f>+NOMINA!BS307</f>
        <v>6.27</v>
      </c>
      <c r="H314" s="608"/>
      <c r="I314" s="609"/>
      <c r="J314" s="609"/>
      <c r="K314" s="609"/>
      <c r="L314" s="609"/>
    </row>
    <row r="315" spans="1:12" ht="15.75" customHeight="1">
      <c r="A315" s="951">
        <f t="shared" si="5"/>
        <v>266</v>
      </c>
      <c r="B315" s="949">
        <f>+NOMINA!C308</f>
        <v>30438508</v>
      </c>
      <c r="C315" s="949" t="str">
        <f>+NOMINA!D308</f>
        <v xml:space="preserve">Teran Araujo Marihangeli Nicoll </v>
      </c>
      <c r="D315" s="949" t="str">
        <f>+NOMINA!O308</f>
        <v>Asistente Administrativo II</v>
      </c>
      <c r="E315" s="952">
        <f>+NOMINA!H308</f>
        <v>45200</v>
      </c>
      <c r="F315" s="953">
        <f>+NOMINA!BR308</f>
        <v>23.88</v>
      </c>
      <c r="G315" s="953">
        <f>+NOMINA!BS308</f>
        <v>5.31</v>
      </c>
      <c r="H315" s="608"/>
      <c r="I315" s="609"/>
      <c r="J315" s="609"/>
      <c r="K315" s="609"/>
      <c r="L315" s="609"/>
    </row>
    <row r="316" spans="1:12" ht="15.75" customHeight="1" thickBot="1">
      <c r="A316" s="951">
        <f t="shared" si="5"/>
        <v>267</v>
      </c>
      <c r="B316" s="949">
        <f>+NOMINA!C309</f>
        <v>30600641</v>
      </c>
      <c r="C316" s="949" t="str">
        <f>+NOMINA!D309</f>
        <v>Gonzalez Justo Jariana Roxanny</v>
      </c>
      <c r="D316" s="949" t="str">
        <f>+NOMINA!O309</f>
        <v>Asistente Administrativo I</v>
      </c>
      <c r="E316" s="952">
        <f>+NOMINA!H309</f>
        <v>44455</v>
      </c>
      <c r="F316" s="953">
        <f>+NOMINA!BR309</f>
        <v>0</v>
      </c>
      <c r="G316" s="953">
        <f>+NOMINA!BS309</f>
        <v>0</v>
      </c>
      <c r="H316" s="608"/>
      <c r="I316" s="609"/>
      <c r="J316" s="609"/>
      <c r="K316" s="609"/>
      <c r="L316" s="609"/>
    </row>
    <row r="317" spans="1:12" ht="15.75" customHeight="1" thickBot="1">
      <c r="A317" s="951"/>
      <c r="B317" s="949"/>
      <c r="C317" s="949"/>
      <c r="D317" s="965" t="s">
        <v>4562</v>
      </c>
      <c r="E317" s="616" t="s">
        <v>5846</v>
      </c>
      <c r="F317" s="950">
        <f>SUM(F50:F316)</f>
        <v>9810.139999999994</v>
      </c>
      <c r="G317" s="950">
        <f>SUM(G50:G316)</f>
        <v>2180.02</v>
      </c>
      <c r="H317" s="608">
        <f>NOMINA!BR309</f>
        <v>0</v>
      </c>
      <c r="I317" s="609">
        <f>+F317-H317</f>
        <v>9810.139999999994</v>
      </c>
      <c r="J317" s="609">
        <f>+NOMINA!BS309</f>
        <v>0</v>
      </c>
      <c r="K317" s="609">
        <f>+G317-J317</f>
        <v>2180.02</v>
      </c>
      <c r="L317" s="609"/>
    </row>
    <row r="318" spans="1:12" ht="15.75" customHeight="1">
      <c r="A318" s="610"/>
      <c r="B318" s="954"/>
      <c r="C318" s="954"/>
      <c r="D318" s="954"/>
      <c r="E318" s="617"/>
      <c r="F318" s="955"/>
      <c r="G318" s="955"/>
      <c r="H318" s="608"/>
      <c r="I318" s="609"/>
      <c r="J318" s="609"/>
      <c r="K318" s="609"/>
      <c r="L318" s="609"/>
    </row>
    <row r="319" spans="1:12" ht="15.75" customHeight="1">
      <c r="A319" s="610"/>
      <c r="B319" s="612"/>
      <c r="C319" s="604" t="s">
        <v>5840</v>
      </c>
      <c r="F319" s="604" t="s">
        <v>5841</v>
      </c>
      <c r="H319" s="608"/>
      <c r="I319" s="609"/>
      <c r="J319" s="609"/>
      <c r="K319" s="609"/>
      <c r="L319" s="609"/>
    </row>
    <row r="320" spans="1:12" ht="15.75" customHeight="1">
      <c r="A320" s="610"/>
      <c r="B320" s="612"/>
      <c r="H320" s="608"/>
      <c r="I320" s="609"/>
      <c r="J320" s="609"/>
      <c r="K320" s="609"/>
      <c r="L320" s="609"/>
    </row>
    <row r="321" spans="1:12" ht="15.75" customHeight="1">
      <c r="A321" s="610"/>
      <c r="B321" s="612"/>
      <c r="C321" s="614" t="s">
        <v>5842</v>
      </c>
      <c r="F321" s="615" t="s">
        <v>5843</v>
      </c>
      <c r="H321" s="608"/>
      <c r="I321" s="609"/>
      <c r="J321" s="609"/>
      <c r="K321" s="609"/>
      <c r="L321" s="609"/>
    </row>
    <row r="322" spans="1:12" ht="15.75" customHeight="1">
      <c r="A322" s="610"/>
      <c r="B322" s="612"/>
      <c r="C322" s="614" t="s">
        <v>5844</v>
      </c>
      <c r="F322" s="614" t="s">
        <v>5845</v>
      </c>
      <c r="G322" s="618"/>
      <c r="H322" s="608"/>
      <c r="I322" s="609"/>
      <c r="J322" s="609"/>
      <c r="K322" s="609"/>
      <c r="L322" s="609"/>
    </row>
    <row r="323" spans="1:12" ht="15.75" customHeight="1">
      <c r="A323" s="610"/>
      <c r="B323" s="612"/>
      <c r="C323" s="612"/>
      <c r="D323" s="612"/>
      <c r="E323" s="617"/>
      <c r="F323" s="613"/>
      <c r="G323" s="613"/>
      <c r="H323" s="608"/>
      <c r="I323" s="609"/>
      <c r="J323" s="609"/>
      <c r="K323" s="609"/>
      <c r="L323" s="609"/>
    </row>
    <row r="324" spans="1:12" ht="15.75" customHeight="1">
      <c r="A324" s="606" t="s">
        <v>4563</v>
      </c>
      <c r="B324" s="949"/>
      <c r="C324" s="949"/>
      <c r="D324" s="949"/>
      <c r="E324" s="952"/>
      <c r="F324" s="953"/>
      <c r="G324" s="953"/>
      <c r="H324" s="608"/>
      <c r="I324" s="609"/>
      <c r="J324" s="609"/>
      <c r="K324" s="609"/>
      <c r="L324" s="609"/>
    </row>
    <row r="325" spans="1:12" ht="15.75" customHeight="1">
      <c r="A325" s="951">
        <v>1</v>
      </c>
      <c r="B325" s="949">
        <f>+NOMINA!C312</f>
        <v>5505183</v>
      </c>
      <c r="C325" s="949" t="str">
        <f>+NOMINA!D312</f>
        <v>Paredes Marquez Eduardo Jesus</v>
      </c>
      <c r="D325" s="949" t="str">
        <f>+NOMINA!O312</f>
        <v>Ayudante de Servicios Generales</v>
      </c>
      <c r="E325" s="952">
        <f>+NOMINA!H312</f>
        <v>44562</v>
      </c>
      <c r="F325" s="953">
        <f>+NOMINA!BR312</f>
        <v>25.17</v>
      </c>
      <c r="G325" s="953">
        <f>+NOMINA!BS312</f>
        <v>5.59</v>
      </c>
      <c r="H325" s="608"/>
      <c r="I325" s="609"/>
      <c r="J325" s="609"/>
      <c r="K325" s="609"/>
      <c r="L325" s="609"/>
    </row>
    <row r="326" spans="1:12" ht="15.75" customHeight="1">
      <c r="A326" s="951">
        <f>+A325+1</f>
        <v>2</v>
      </c>
      <c r="B326" s="949">
        <f>+NOMINA!C313</f>
        <v>5757455</v>
      </c>
      <c r="C326" s="949" t="str">
        <f>+NOMINA!D313</f>
        <v>Ramirez Garcia Maria Perpetua</v>
      </c>
      <c r="D326" s="949" t="str">
        <f>+NOMINA!O313</f>
        <v>Cocinera</v>
      </c>
      <c r="E326" s="952">
        <f>+NOMINA!H313</f>
        <v>39409</v>
      </c>
      <c r="F326" s="953">
        <f>+NOMINA!BR313</f>
        <v>0</v>
      </c>
      <c r="G326" s="953">
        <f>+NOMINA!BS313</f>
        <v>0</v>
      </c>
      <c r="H326" s="608"/>
      <c r="I326" s="609"/>
      <c r="J326" s="609"/>
      <c r="K326" s="609"/>
      <c r="L326" s="609"/>
    </row>
    <row r="327" spans="1:12" ht="15.75" customHeight="1">
      <c r="A327" s="951">
        <f t="shared" ref="A327:A391" si="6">+A326+1</f>
        <v>3</v>
      </c>
      <c r="B327" s="949">
        <f>+NOMINA!C314</f>
        <v>5762185</v>
      </c>
      <c r="C327" s="949" t="str">
        <f>+NOMINA!D314</f>
        <v>Salas Quintero Jose Gregorio</v>
      </c>
      <c r="D327" s="949" t="str">
        <f>+NOMINA!O314</f>
        <v xml:space="preserve">Vigilante  </v>
      </c>
      <c r="E327" s="952">
        <f>+NOMINA!H314</f>
        <v>37622</v>
      </c>
      <c r="F327" s="953">
        <f>+NOMINA!BR314</f>
        <v>29.21</v>
      </c>
      <c r="G327" s="953">
        <f>+NOMINA!BS314</f>
        <v>6.49</v>
      </c>
      <c r="H327" s="608"/>
      <c r="I327" s="609"/>
      <c r="J327" s="609"/>
      <c r="K327" s="609"/>
      <c r="L327" s="609"/>
    </row>
    <row r="328" spans="1:12" ht="15.75" customHeight="1">
      <c r="A328" s="951">
        <f t="shared" si="6"/>
        <v>4</v>
      </c>
      <c r="B328" s="949">
        <f>+NOMINA!C315</f>
        <v>6332524</v>
      </c>
      <c r="C328" s="949" t="str">
        <f>+NOMINA!D315</f>
        <v>Flores Diana Yamilet</v>
      </c>
      <c r="D328" s="949" t="str">
        <f>+NOMINA!O315</f>
        <v>Cocinera</v>
      </c>
      <c r="E328" s="952">
        <f>+NOMINA!H315</f>
        <v>42948</v>
      </c>
      <c r="F328" s="953">
        <f>+NOMINA!BR315</f>
        <v>26.06</v>
      </c>
      <c r="G328" s="953">
        <f>+NOMINA!BS315</f>
        <v>5.79</v>
      </c>
      <c r="H328" s="608"/>
      <c r="I328" s="609"/>
      <c r="J328" s="609"/>
      <c r="K328" s="609"/>
      <c r="L328" s="609"/>
    </row>
    <row r="329" spans="1:12" ht="15.75" customHeight="1">
      <c r="A329" s="951">
        <f t="shared" si="6"/>
        <v>5</v>
      </c>
      <c r="B329" s="949">
        <f>+NOMINA!C316</f>
        <v>6902701</v>
      </c>
      <c r="C329" s="949" t="str">
        <f>+NOMINA!D316</f>
        <v>Santiago Torres Jose Ramon</v>
      </c>
      <c r="D329" s="949" t="str">
        <f>+NOMINA!O316</f>
        <v>Mensajero</v>
      </c>
      <c r="E329" s="952">
        <f>+NOMINA!H316</f>
        <v>44228</v>
      </c>
      <c r="F329" s="953">
        <f>+NOMINA!BR316</f>
        <v>23.99</v>
      </c>
      <c r="G329" s="953">
        <f>+NOMINA!BS316</f>
        <v>5.33</v>
      </c>
      <c r="H329" s="608"/>
      <c r="I329" s="609"/>
      <c r="J329" s="609"/>
      <c r="K329" s="609"/>
      <c r="L329" s="609"/>
    </row>
    <row r="330" spans="1:12" ht="15.75" customHeight="1">
      <c r="A330" s="951">
        <f t="shared" si="6"/>
        <v>6</v>
      </c>
      <c r="B330" s="949">
        <f>+NOMINA!C317</f>
        <v>7252065</v>
      </c>
      <c r="C330" s="949" t="str">
        <f>+NOMINA!D317</f>
        <v>Rivas Rivas Jose Gerardo</v>
      </c>
      <c r="D330" s="949" t="str">
        <f>+NOMINA!O317</f>
        <v>Ayudante de Servicios Generales</v>
      </c>
      <c r="E330" s="952">
        <f>+NOMINA!H317</f>
        <v>43891</v>
      </c>
      <c r="F330" s="953">
        <f>+NOMINA!BR317</f>
        <v>31.11</v>
      </c>
      <c r="G330" s="953">
        <f>+NOMINA!BS317</f>
        <v>6.91</v>
      </c>
      <c r="H330" s="608"/>
      <c r="I330" s="609"/>
      <c r="J330" s="609"/>
      <c r="K330" s="609"/>
      <c r="L330" s="609"/>
    </row>
    <row r="331" spans="1:12" ht="15.75" customHeight="1">
      <c r="A331" s="951">
        <f t="shared" si="6"/>
        <v>7</v>
      </c>
      <c r="B331" s="949">
        <f>+NOMINA!C318</f>
        <v>9008311</v>
      </c>
      <c r="C331" s="949" t="str">
        <f>+NOMINA!D318</f>
        <v>Toro Margi Enrique</v>
      </c>
      <c r="D331" s="949" t="str">
        <f>+NOMINA!O318</f>
        <v>Ayudante de Servicios Generales</v>
      </c>
      <c r="E331" s="952">
        <f>+NOMINA!H318</f>
        <v>39265</v>
      </c>
      <c r="F331" s="953">
        <f>+NOMINA!BR318</f>
        <v>26.1</v>
      </c>
      <c r="G331" s="953">
        <f>+NOMINA!BS318</f>
        <v>5.8</v>
      </c>
      <c r="H331" s="608"/>
      <c r="I331" s="609"/>
      <c r="J331" s="609"/>
      <c r="K331" s="609"/>
      <c r="L331" s="609"/>
    </row>
    <row r="332" spans="1:12" ht="15.75" customHeight="1">
      <c r="A332" s="951">
        <f t="shared" si="6"/>
        <v>8</v>
      </c>
      <c r="B332" s="949">
        <f>+NOMINA!C319</f>
        <v>9011963</v>
      </c>
      <c r="C332" s="949" t="str">
        <f>+NOMINA!D319</f>
        <v>Alarcon Argenio</v>
      </c>
      <c r="D332" s="949" t="str">
        <f>+NOMINA!O319</f>
        <v>Ayudante de Servicios Generales</v>
      </c>
      <c r="E332" s="952">
        <f>+NOMINA!H319</f>
        <v>39820</v>
      </c>
      <c r="F332" s="953">
        <f>+NOMINA!BR319</f>
        <v>0</v>
      </c>
      <c r="G332" s="953">
        <f>+NOMINA!BS319</f>
        <v>0</v>
      </c>
      <c r="H332" s="608"/>
      <c r="I332" s="609"/>
      <c r="J332" s="609"/>
      <c r="K332" s="609"/>
      <c r="L332" s="609"/>
    </row>
    <row r="333" spans="1:12" ht="15.75" customHeight="1">
      <c r="A333" s="951">
        <f t="shared" si="6"/>
        <v>9</v>
      </c>
      <c r="B333" s="949">
        <f>+NOMINA!C320</f>
        <v>9100500</v>
      </c>
      <c r="C333" s="949" t="str">
        <f>+NOMINA!D320</f>
        <v>Hernandez de Villegas Zoraida Elodia</v>
      </c>
      <c r="D333" s="949" t="str">
        <f>+NOMINA!O320</f>
        <v>Aseadora</v>
      </c>
      <c r="E333" s="952">
        <f>+NOMINA!H320</f>
        <v>39496</v>
      </c>
      <c r="F333" s="953">
        <f>+NOMINA!BR320</f>
        <v>23.72</v>
      </c>
      <c r="G333" s="953">
        <f>+NOMINA!BS320</f>
        <v>5.27</v>
      </c>
      <c r="H333" s="608"/>
      <c r="I333" s="609"/>
      <c r="J333" s="609"/>
      <c r="K333" s="609"/>
      <c r="L333" s="609"/>
    </row>
    <row r="334" spans="1:12" ht="15.75" customHeight="1">
      <c r="A334" s="951">
        <f t="shared" si="6"/>
        <v>10</v>
      </c>
      <c r="B334" s="949">
        <f>+NOMINA!C321</f>
        <v>9110498</v>
      </c>
      <c r="C334" s="949" t="str">
        <f>+NOMINA!D321</f>
        <v>Ruiz Alberto Jose</v>
      </c>
      <c r="D334" s="949" t="str">
        <f>+NOMINA!O321</f>
        <v>Ayudante de Servicios Generales</v>
      </c>
      <c r="E334" s="952">
        <f>+NOMINA!H321</f>
        <v>37508</v>
      </c>
      <c r="F334" s="953">
        <f>+NOMINA!BR321</f>
        <v>27.17</v>
      </c>
      <c r="G334" s="953">
        <f>+NOMINA!BS321</f>
        <v>6.04</v>
      </c>
      <c r="H334" s="608"/>
      <c r="I334" s="609"/>
      <c r="J334" s="609"/>
      <c r="K334" s="609"/>
      <c r="L334" s="609"/>
    </row>
    <row r="335" spans="1:12" ht="15.75" customHeight="1">
      <c r="A335" s="951">
        <f t="shared" si="6"/>
        <v>11</v>
      </c>
      <c r="B335" s="949">
        <f>+NOMINA!C322</f>
        <v>9163994</v>
      </c>
      <c r="C335" s="949" t="str">
        <f>+NOMINA!D322</f>
        <v>Rodriguez Fernandez Carlos Eduardo</v>
      </c>
      <c r="D335" s="949" t="str">
        <f>+NOMINA!O322</f>
        <v>Ayudante de Almacen</v>
      </c>
      <c r="E335" s="952">
        <f>+NOMINA!H322</f>
        <v>43770</v>
      </c>
      <c r="F335" s="953">
        <f>+NOMINA!BR322</f>
        <v>25.72</v>
      </c>
      <c r="G335" s="953">
        <f>+NOMINA!BS322</f>
        <v>5.71</v>
      </c>
      <c r="H335" s="608"/>
      <c r="I335" s="609"/>
      <c r="J335" s="609"/>
      <c r="K335" s="609"/>
      <c r="L335" s="609"/>
    </row>
    <row r="336" spans="1:12" ht="15.75" customHeight="1">
      <c r="A336" s="951">
        <f t="shared" si="6"/>
        <v>12</v>
      </c>
      <c r="B336" s="949">
        <f>+NOMINA!C323</f>
        <v>9167342</v>
      </c>
      <c r="C336" s="949" t="str">
        <f>+NOMINA!D323</f>
        <v>Gutierrez Briceño Jose Justimiano</v>
      </c>
      <c r="D336" s="949" t="str">
        <f>+NOMINA!O323</f>
        <v>Ayudante Agropecuario</v>
      </c>
      <c r="E336" s="952">
        <f>+NOMINA!H323</f>
        <v>43845</v>
      </c>
      <c r="F336" s="953">
        <f>+NOMINA!BR323</f>
        <v>24.06</v>
      </c>
      <c r="G336" s="953">
        <f>+NOMINA!BS323</f>
        <v>5.35</v>
      </c>
      <c r="H336" s="608"/>
      <c r="I336" s="609"/>
      <c r="J336" s="609"/>
      <c r="K336" s="609"/>
      <c r="L336" s="609"/>
    </row>
    <row r="337" spans="1:12" ht="15.75" customHeight="1">
      <c r="A337" s="951">
        <f t="shared" si="6"/>
        <v>13</v>
      </c>
      <c r="B337" s="949">
        <f>+NOMINA!C324</f>
        <v>9310477</v>
      </c>
      <c r="C337" s="949" t="str">
        <f>+NOMINA!D324</f>
        <v>Campos Muchacho Rafael Angel</v>
      </c>
      <c r="D337" s="949" t="str">
        <f>+NOMINA!O324</f>
        <v>Ayudante Agropecuario</v>
      </c>
      <c r="E337" s="952">
        <f>+NOMINA!H324</f>
        <v>44075</v>
      </c>
      <c r="F337" s="953">
        <f>+NOMINA!BR324</f>
        <v>23.93</v>
      </c>
      <c r="G337" s="953">
        <f>+NOMINA!BS324</f>
        <v>5.32</v>
      </c>
      <c r="H337" s="608"/>
      <c r="I337" s="609"/>
      <c r="J337" s="609"/>
      <c r="K337" s="609"/>
      <c r="L337" s="609"/>
    </row>
    <row r="338" spans="1:12" ht="15.75" customHeight="1">
      <c r="A338" s="951">
        <f t="shared" si="6"/>
        <v>14</v>
      </c>
      <c r="B338" s="949">
        <f>+NOMINA!C325</f>
        <v>9323739</v>
      </c>
      <c r="C338" s="949" t="str">
        <f>+NOMINA!D325</f>
        <v>Vargas Benitez Jose Nerio</v>
      </c>
      <c r="D338" s="949" t="str">
        <f>+NOMINA!O325</f>
        <v>Ayudante de Servicios Generales</v>
      </c>
      <c r="E338" s="952">
        <f>+NOMINA!H325</f>
        <v>39300</v>
      </c>
      <c r="F338" s="953">
        <f>+NOMINA!BR325</f>
        <v>26.1</v>
      </c>
      <c r="G338" s="953">
        <f>+NOMINA!BS325</f>
        <v>5.8</v>
      </c>
      <c r="H338" s="608"/>
      <c r="I338" s="609"/>
      <c r="J338" s="609"/>
      <c r="K338" s="609"/>
      <c r="L338" s="609"/>
    </row>
    <row r="339" spans="1:12" ht="15.75" customHeight="1">
      <c r="A339" s="951">
        <f t="shared" si="6"/>
        <v>15</v>
      </c>
      <c r="B339" s="949">
        <f>+NOMINA!C326</f>
        <v>9325664</v>
      </c>
      <c r="C339" s="949" t="str">
        <f>+NOMINA!D326</f>
        <v>Lobo Mendoza Luz Marina</v>
      </c>
      <c r="D339" s="949" t="str">
        <f>+NOMINA!O326</f>
        <v>Ayudante de Servicios Generales</v>
      </c>
      <c r="E339" s="952">
        <f>+NOMINA!H326</f>
        <v>42948</v>
      </c>
      <c r="F339" s="953">
        <f>+NOMINA!BR326</f>
        <v>24.36</v>
      </c>
      <c r="G339" s="953">
        <f>+NOMINA!BS326</f>
        <v>5.41</v>
      </c>
      <c r="H339" s="608"/>
      <c r="I339" s="609"/>
      <c r="J339" s="609"/>
      <c r="K339" s="609"/>
      <c r="L339" s="609"/>
    </row>
    <row r="340" spans="1:12" ht="15.75" customHeight="1">
      <c r="A340" s="951">
        <f t="shared" si="6"/>
        <v>16</v>
      </c>
      <c r="B340" s="949">
        <f>+NOMINA!C327</f>
        <v>9328045</v>
      </c>
      <c r="C340" s="949" t="str">
        <f>+NOMINA!D327</f>
        <v>Paredes Quintero Jose Benigno</v>
      </c>
      <c r="D340" s="949" t="str">
        <f>+NOMINA!O327</f>
        <v>Ayudante de Servicios Generales</v>
      </c>
      <c r="E340" s="952">
        <f>+NOMINA!H327</f>
        <v>44212</v>
      </c>
      <c r="F340" s="953">
        <f>+NOMINA!BR327</f>
        <v>23.93</v>
      </c>
      <c r="G340" s="953">
        <f>+NOMINA!BS327</f>
        <v>5.32</v>
      </c>
      <c r="H340" s="608"/>
      <c r="I340" s="609"/>
      <c r="J340" s="609"/>
      <c r="K340" s="609"/>
      <c r="L340" s="609"/>
    </row>
    <row r="341" spans="1:12" ht="15.75" customHeight="1">
      <c r="A341" s="951">
        <f t="shared" si="6"/>
        <v>17</v>
      </c>
      <c r="B341" s="949">
        <f>+NOMINA!C328</f>
        <v>10178456</v>
      </c>
      <c r="C341" s="949" t="str">
        <f>+NOMINA!D328</f>
        <v>Figueroa Roa Yudith Griselda</v>
      </c>
      <c r="D341" s="949" t="str">
        <f>+NOMINA!O328</f>
        <v>Aseadora</v>
      </c>
      <c r="E341" s="952">
        <f>+NOMINA!H328</f>
        <v>44287</v>
      </c>
      <c r="F341" s="953">
        <f>+NOMINA!BR328</f>
        <v>21.92</v>
      </c>
      <c r="G341" s="953">
        <f>+NOMINA!BS328</f>
        <v>4.87</v>
      </c>
      <c r="H341" s="608"/>
      <c r="I341" s="609"/>
      <c r="J341" s="609"/>
      <c r="K341" s="609"/>
      <c r="L341" s="609"/>
    </row>
    <row r="342" spans="1:12" ht="15.75" customHeight="1">
      <c r="A342" s="951">
        <f t="shared" si="6"/>
        <v>18</v>
      </c>
      <c r="B342" s="949">
        <f>+NOMINA!C329</f>
        <v>10317435</v>
      </c>
      <c r="C342" s="949" t="str">
        <f>+NOMINA!D329</f>
        <v>Milla Ana Julia</v>
      </c>
      <c r="D342" s="949" t="str">
        <f>+NOMINA!O329</f>
        <v>Aseadora</v>
      </c>
      <c r="E342" s="952">
        <f>+NOMINA!H329</f>
        <v>39559</v>
      </c>
      <c r="F342" s="953">
        <f>+NOMINA!BR329</f>
        <v>23.72</v>
      </c>
      <c r="G342" s="953">
        <f>+NOMINA!BS329</f>
        <v>5.27</v>
      </c>
      <c r="H342" s="608"/>
      <c r="I342" s="609"/>
      <c r="J342" s="609"/>
      <c r="K342" s="609"/>
      <c r="L342" s="609"/>
    </row>
    <row r="343" spans="1:12" ht="15.75" customHeight="1">
      <c r="A343" s="951">
        <f t="shared" si="6"/>
        <v>19</v>
      </c>
      <c r="B343" s="949">
        <f>+NOMINA!C330</f>
        <v>10396367</v>
      </c>
      <c r="C343" s="949" t="str">
        <f>+NOMINA!D330</f>
        <v>Hidalgo Linares Gloria Margarita</v>
      </c>
      <c r="D343" s="949" t="str">
        <f>+NOMINA!O330</f>
        <v>Cocinera</v>
      </c>
      <c r="E343" s="952">
        <f>+NOMINA!H330</f>
        <v>39722</v>
      </c>
      <c r="F343" s="953">
        <f>+NOMINA!BR330</f>
        <v>27.79</v>
      </c>
      <c r="G343" s="953">
        <f>+NOMINA!BS330</f>
        <v>6.18</v>
      </c>
      <c r="H343" s="608"/>
      <c r="I343" s="609"/>
      <c r="J343" s="609"/>
      <c r="K343" s="609"/>
      <c r="L343" s="609"/>
    </row>
    <row r="344" spans="1:12" ht="15.75" customHeight="1">
      <c r="A344" s="951">
        <f t="shared" si="6"/>
        <v>20</v>
      </c>
      <c r="B344" s="949">
        <f>+NOMINA!C331</f>
        <v>10399474</v>
      </c>
      <c r="C344" s="949" t="str">
        <f>+NOMINA!D331</f>
        <v>Ramirez Araujo Teresa Maria</v>
      </c>
      <c r="D344" s="949" t="str">
        <f>+NOMINA!O331</f>
        <v>Ayudante de Servicios Generales</v>
      </c>
      <c r="E344" s="952">
        <f>+NOMINA!H331</f>
        <v>45597</v>
      </c>
      <c r="F344" s="953">
        <f>+NOMINA!BR331</f>
        <v>22.6</v>
      </c>
      <c r="G344" s="953">
        <f>+NOMINA!BS331</f>
        <v>5.0199999999999996</v>
      </c>
      <c r="H344" s="608"/>
      <c r="I344" s="609"/>
      <c r="J344" s="609"/>
      <c r="K344" s="609"/>
      <c r="L344" s="609"/>
    </row>
    <row r="345" spans="1:12" ht="15.75" customHeight="1">
      <c r="A345" s="951">
        <f t="shared" si="6"/>
        <v>21</v>
      </c>
      <c r="B345" s="949">
        <f>+NOMINA!C332</f>
        <v>10401329</v>
      </c>
      <c r="C345" s="949" t="str">
        <f>+NOMINA!D332</f>
        <v>Gonzalez Torres Orangel Ramon</v>
      </c>
      <c r="D345" s="949" t="str">
        <f>+NOMINA!O332</f>
        <v>Chofer De Transporte</v>
      </c>
      <c r="E345" s="952">
        <f>+NOMINA!H332</f>
        <v>39539</v>
      </c>
      <c r="F345" s="953">
        <f>+NOMINA!BR332</f>
        <v>36.130000000000003</v>
      </c>
      <c r="G345" s="953">
        <f>+NOMINA!BS332</f>
        <v>8.0299999999999994</v>
      </c>
      <c r="H345" s="608"/>
      <c r="I345" s="609"/>
      <c r="J345" s="609"/>
      <c r="K345" s="609"/>
      <c r="L345" s="609"/>
    </row>
    <row r="346" spans="1:12" ht="15.75" customHeight="1">
      <c r="A346" s="951">
        <f t="shared" si="6"/>
        <v>22</v>
      </c>
      <c r="B346" s="949">
        <f>+NOMINA!C333</f>
        <v>10907687</v>
      </c>
      <c r="C346" s="949" t="str">
        <f>+NOMINA!D333</f>
        <v>Viloria Garcia Karina Liseth</v>
      </c>
      <c r="D346" s="949" t="str">
        <f>+NOMINA!O333</f>
        <v>Cocinera</v>
      </c>
      <c r="E346" s="952">
        <f>+NOMINA!H333</f>
        <v>38749</v>
      </c>
      <c r="F346" s="953">
        <f>+NOMINA!BR333</f>
        <v>28.25</v>
      </c>
      <c r="G346" s="953">
        <f>+NOMINA!BS333</f>
        <v>6.28</v>
      </c>
      <c r="H346" s="608"/>
      <c r="I346" s="609"/>
      <c r="J346" s="609"/>
      <c r="K346" s="609"/>
      <c r="L346" s="609"/>
    </row>
    <row r="347" spans="1:12" ht="15.75" customHeight="1">
      <c r="A347" s="951">
        <f t="shared" si="6"/>
        <v>23</v>
      </c>
      <c r="B347" s="949">
        <f>+NOMINA!C334</f>
        <v>10908543</v>
      </c>
      <c r="C347" s="949" t="str">
        <f>+NOMINA!D334</f>
        <v>Quintero Eric Ludwig</v>
      </c>
      <c r="D347" s="949" t="str">
        <f>+NOMINA!O334</f>
        <v>Cocinero</v>
      </c>
      <c r="E347" s="952">
        <f>+NOMINA!H334</f>
        <v>42751</v>
      </c>
      <c r="F347" s="953">
        <f>+NOMINA!BR334</f>
        <v>26.23</v>
      </c>
      <c r="G347" s="953">
        <f>+NOMINA!BS334</f>
        <v>5.83</v>
      </c>
      <c r="H347" s="608"/>
      <c r="I347" s="609"/>
      <c r="J347" s="609"/>
      <c r="K347" s="609"/>
      <c r="L347" s="609"/>
    </row>
    <row r="348" spans="1:12" ht="15.75" customHeight="1">
      <c r="A348" s="951">
        <f t="shared" si="6"/>
        <v>24</v>
      </c>
      <c r="B348" s="949">
        <f>+NOMINA!C335</f>
        <v>10909678</v>
      </c>
      <c r="C348" s="949" t="str">
        <f>+NOMINA!D335</f>
        <v>Delgado Jose Argenis</v>
      </c>
      <c r="D348" s="949" t="str">
        <f>+NOMINA!O335</f>
        <v>Aseador</v>
      </c>
      <c r="E348" s="952">
        <f>+NOMINA!H335</f>
        <v>43952</v>
      </c>
      <c r="F348" s="953">
        <f>+NOMINA!BR335</f>
        <v>22.03</v>
      </c>
      <c r="G348" s="953">
        <f>+NOMINA!BS335</f>
        <v>4.9000000000000004</v>
      </c>
      <c r="H348" s="608"/>
      <c r="I348" s="609"/>
      <c r="J348" s="609"/>
      <c r="K348" s="609"/>
      <c r="L348" s="609"/>
    </row>
    <row r="349" spans="1:12" ht="15.75" customHeight="1">
      <c r="A349" s="951">
        <f t="shared" si="6"/>
        <v>25</v>
      </c>
      <c r="B349" s="949">
        <f>+NOMINA!C336</f>
        <v>10909819</v>
      </c>
      <c r="C349" s="949" t="str">
        <f>+NOMINA!D336</f>
        <v>Carrizo Jose Waldo</v>
      </c>
      <c r="D349" s="949" t="str">
        <f>+NOMINA!O336</f>
        <v>Cocinero</v>
      </c>
      <c r="E349" s="952">
        <f>+NOMINA!H336</f>
        <v>43359</v>
      </c>
      <c r="F349" s="953">
        <f>+NOMINA!BR336</f>
        <v>25.89</v>
      </c>
      <c r="G349" s="953">
        <f>+NOMINA!BS336</f>
        <v>5.75</v>
      </c>
      <c r="H349" s="608"/>
      <c r="I349" s="609"/>
      <c r="J349" s="609"/>
      <c r="K349" s="609"/>
      <c r="L349" s="609"/>
    </row>
    <row r="350" spans="1:12" ht="15.75" customHeight="1">
      <c r="A350" s="951">
        <f t="shared" si="6"/>
        <v>26</v>
      </c>
      <c r="B350" s="949">
        <f>+NOMINA!C337</f>
        <v>10912635</v>
      </c>
      <c r="C350" s="949" t="str">
        <f>+NOMINA!D337</f>
        <v>Gutierrez Briceño Jose Orangel</v>
      </c>
      <c r="D350" s="949" t="str">
        <f>+NOMINA!O337</f>
        <v>Ayudante Agropecuario</v>
      </c>
      <c r="E350" s="952">
        <f>+NOMINA!H337</f>
        <v>44348</v>
      </c>
      <c r="F350" s="953">
        <f>+NOMINA!BR337</f>
        <v>23.81</v>
      </c>
      <c r="G350" s="953">
        <f>+NOMINA!BS337</f>
        <v>5.29</v>
      </c>
      <c r="H350" s="608"/>
      <c r="I350" s="609"/>
      <c r="J350" s="609"/>
      <c r="K350" s="609"/>
      <c r="L350" s="609"/>
    </row>
    <row r="351" spans="1:12" ht="15.75" customHeight="1">
      <c r="A351" s="951">
        <f t="shared" si="6"/>
        <v>27</v>
      </c>
      <c r="B351" s="949">
        <f>+NOMINA!C338</f>
        <v>10915274</v>
      </c>
      <c r="C351" s="949" t="str">
        <f>+NOMINA!D338</f>
        <v>Montilla Vergara Belkys Josefina</v>
      </c>
      <c r="D351" s="949" t="str">
        <f>+NOMINA!O338</f>
        <v>Ayudante de Servicios Generales</v>
      </c>
      <c r="E351" s="952">
        <f>+NOMINA!H338</f>
        <v>44635</v>
      </c>
      <c r="F351" s="953">
        <f>+NOMINA!BR338</f>
        <v>23.68</v>
      </c>
      <c r="G351" s="953">
        <f>+NOMINA!BS338</f>
        <v>5.26</v>
      </c>
      <c r="H351" s="608"/>
      <c r="I351" s="609"/>
      <c r="J351" s="609"/>
      <c r="K351" s="609"/>
      <c r="L351" s="609"/>
    </row>
    <row r="352" spans="1:12" ht="15.75" customHeight="1">
      <c r="A352" s="951">
        <f t="shared" si="6"/>
        <v>28</v>
      </c>
      <c r="B352" s="949">
        <f>+NOMINA!C339</f>
        <v>11129355</v>
      </c>
      <c r="C352" s="949" t="str">
        <f>+NOMINA!D339</f>
        <v xml:space="preserve">Luque Azuaje Rigoberto </v>
      </c>
      <c r="D352" s="949" t="str">
        <f>+NOMINA!O339</f>
        <v>Ayudante de Servicios Generales</v>
      </c>
      <c r="E352" s="952">
        <f>+NOMINA!H339</f>
        <v>39539</v>
      </c>
      <c r="F352" s="953">
        <f>+NOMINA!BR339</f>
        <v>33.67</v>
      </c>
      <c r="G352" s="953">
        <f>+NOMINA!BS339</f>
        <v>7.48</v>
      </c>
      <c r="H352" s="608"/>
      <c r="I352" s="609"/>
      <c r="J352" s="609"/>
      <c r="K352" s="609"/>
      <c r="L352" s="609"/>
    </row>
    <row r="353" spans="1:12" ht="15.75" customHeight="1">
      <c r="A353" s="951">
        <f t="shared" si="6"/>
        <v>29</v>
      </c>
      <c r="B353" s="949">
        <f>+NOMINA!C340</f>
        <v>11315202</v>
      </c>
      <c r="C353" s="949" t="str">
        <f>+NOMINA!D340</f>
        <v>Barreto Maria Ramona</v>
      </c>
      <c r="D353" s="949" t="str">
        <f>+NOMINA!O340</f>
        <v>Cocinera</v>
      </c>
      <c r="E353" s="952">
        <f>+NOMINA!H340</f>
        <v>39539</v>
      </c>
      <c r="F353" s="953">
        <f>+NOMINA!BR340</f>
        <v>27.79</v>
      </c>
      <c r="G353" s="953">
        <f>+NOMINA!BS340</f>
        <v>6.18</v>
      </c>
      <c r="H353" s="608"/>
      <c r="I353" s="609"/>
      <c r="J353" s="609"/>
      <c r="K353" s="609"/>
      <c r="L353" s="609"/>
    </row>
    <row r="354" spans="1:12" ht="15.75" customHeight="1">
      <c r="A354" s="951">
        <f t="shared" si="6"/>
        <v>30</v>
      </c>
      <c r="B354" s="949">
        <f>+NOMINA!C341</f>
        <v>11321681</v>
      </c>
      <c r="C354" s="949" t="str">
        <f>+NOMINA!D341</f>
        <v>Bentancourt Rivas Luis Enrique</v>
      </c>
      <c r="D354" s="949" t="str">
        <f>+NOMINA!O341</f>
        <v>Ayudante de Servicios Generales</v>
      </c>
      <c r="E354" s="952">
        <f>+NOMINA!H341</f>
        <v>44805</v>
      </c>
      <c r="F354" s="953">
        <f>+NOMINA!BR341</f>
        <v>23.68</v>
      </c>
      <c r="G354" s="953">
        <f>+NOMINA!BS341</f>
        <v>5.26</v>
      </c>
      <c r="H354" s="608"/>
      <c r="I354" s="609"/>
      <c r="J354" s="609"/>
      <c r="K354" s="609"/>
      <c r="L354" s="609"/>
    </row>
    <row r="355" spans="1:12" ht="15.75" customHeight="1">
      <c r="A355" s="951">
        <f t="shared" si="6"/>
        <v>31</v>
      </c>
      <c r="B355" s="949">
        <f>+NOMINA!C342</f>
        <v>11321782</v>
      </c>
      <c r="C355" s="949" t="str">
        <f>+NOMINA!D342</f>
        <v>Flores Camacho Maria Zoraida</v>
      </c>
      <c r="D355" s="949" t="str">
        <f>+NOMINA!O342</f>
        <v>Cocinera</v>
      </c>
      <c r="E355" s="952">
        <f>+NOMINA!H342</f>
        <v>43815</v>
      </c>
      <c r="F355" s="953">
        <f>+NOMINA!BR342</f>
        <v>25.72</v>
      </c>
      <c r="G355" s="953">
        <f>+NOMINA!BS342</f>
        <v>5.71</v>
      </c>
      <c r="H355" s="608"/>
      <c r="I355" s="609"/>
      <c r="J355" s="609"/>
      <c r="K355" s="609"/>
      <c r="L355" s="609"/>
    </row>
    <row r="356" spans="1:12" ht="15.75" customHeight="1">
      <c r="A356" s="951">
        <f t="shared" si="6"/>
        <v>32</v>
      </c>
      <c r="B356" s="949">
        <f>+NOMINA!C343</f>
        <v>11324931</v>
      </c>
      <c r="C356" s="949" t="str">
        <f>+NOMINA!D343</f>
        <v xml:space="preserve">Sulbaran De Araujo Magaly </v>
      </c>
      <c r="D356" s="949" t="str">
        <f>+NOMINA!O343</f>
        <v>Cocinera</v>
      </c>
      <c r="E356" s="952">
        <f>+NOMINA!H343</f>
        <v>38784</v>
      </c>
      <c r="F356" s="953">
        <f>+NOMINA!BR343</f>
        <v>28.25</v>
      </c>
      <c r="G356" s="953">
        <f>+NOMINA!BS343</f>
        <v>6.28</v>
      </c>
      <c r="H356" s="608"/>
      <c r="I356" s="609"/>
      <c r="J356" s="609"/>
      <c r="K356" s="609"/>
      <c r="L356" s="609"/>
    </row>
    <row r="357" spans="1:12" ht="15.75" customHeight="1">
      <c r="A357" s="951">
        <f t="shared" si="6"/>
        <v>33</v>
      </c>
      <c r="B357" s="949">
        <f>+NOMINA!C344</f>
        <v>11894400</v>
      </c>
      <c r="C357" s="949" t="str">
        <f>+NOMINA!D344</f>
        <v>Aldana Olivar Maria del Carmen</v>
      </c>
      <c r="D357" s="949" t="str">
        <f>+NOMINA!O344</f>
        <v>Cocinera</v>
      </c>
      <c r="E357" s="952">
        <f>+NOMINA!H344</f>
        <v>44287</v>
      </c>
      <c r="F357" s="953">
        <f>+NOMINA!BR344</f>
        <v>25.43</v>
      </c>
      <c r="G357" s="953">
        <f>+NOMINA!BS344</f>
        <v>5.65</v>
      </c>
      <c r="H357" s="608"/>
      <c r="I357" s="609"/>
      <c r="J357" s="609"/>
      <c r="K357" s="609"/>
      <c r="L357" s="609"/>
    </row>
    <row r="358" spans="1:12" ht="15.75" customHeight="1">
      <c r="A358" s="951">
        <f t="shared" si="6"/>
        <v>34</v>
      </c>
      <c r="B358" s="949">
        <f>+NOMINA!C345</f>
        <v>11897863</v>
      </c>
      <c r="C358" s="949" t="str">
        <f>+NOMINA!D345</f>
        <v>Rodriguez Maria Ibel</v>
      </c>
      <c r="D358" s="949" t="str">
        <f>+NOMINA!O345</f>
        <v>Aseadora</v>
      </c>
      <c r="E358" s="952">
        <f>+NOMINA!H345</f>
        <v>41548</v>
      </c>
      <c r="F358" s="953">
        <f>+NOMINA!BR345</f>
        <v>22.94</v>
      </c>
      <c r="G358" s="953">
        <f>+NOMINA!BS345</f>
        <v>5.0999999999999996</v>
      </c>
      <c r="H358" s="608"/>
      <c r="I358" s="609"/>
      <c r="J358" s="609"/>
      <c r="K358" s="609"/>
      <c r="L358" s="609"/>
    </row>
    <row r="359" spans="1:12" ht="15.75" customHeight="1">
      <c r="A359" s="951">
        <f t="shared" si="6"/>
        <v>35</v>
      </c>
      <c r="B359" s="949">
        <f>+NOMINA!C346</f>
        <v>12038359</v>
      </c>
      <c r="C359" s="949" t="str">
        <f>+NOMINA!D346</f>
        <v>Amaya Perez Carmen Elena</v>
      </c>
      <c r="D359" s="949" t="str">
        <f>+NOMINA!O346</f>
        <v>Cocinera</v>
      </c>
      <c r="E359" s="952">
        <f>+NOMINA!H346</f>
        <v>38103</v>
      </c>
      <c r="F359" s="953">
        <f>+NOMINA!BR346</f>
        <v>28.7</v>
      </c>
      <c r="G359" s="953">
        <f>+NOMINA!BS346</f>
        <v>6.38</v>
      </c>
      <c r="H359" s="608"/>
      <c r="I359" s="609"/>
      <c r="J359" s="609"/>
      <c r="K359" s="609"/>
      <c r="L359" s="609"/>
    </row>
    <row r="360" spans="1:12" ht="15.75" customHeight="1">
      <c r="A360" s="951">
        <f t="shared" si="6"/>
        <v>36</v>
      </c>
      <c r="B360" s="949">
        <f>+NOMINA!C347</f>
        <v>12042930</v>
      </c>
      <c r="C360" s="949" t="str">
        <f>+NOMINA!D347</f>
        <v>Barroeta Cardozo Leonid Andrei</v>
      </c>
      <c r="D360" s="949" t="str">
        <f>+NOMINA!O347</f>
        <v>Ayudante de Servicios Generales</v>
      </c>
      <c r="E360" s="952">
        <f>+NOMINA!H347</f>
        <v>44986</v>
      </c>
      <c r="F360" s="953">
        <f>+NOMINA!BR347</f>
        <v>23.55</v>
      </c>
      <c r="G360" s="953">
        <f>+NOMINA!BS347</f>
        <v>5.23</v>
      </c>
      <c r="H360" s="608"/>
      <c r="I360" s="609"/>
      <c r="J360" s="609"/>
      <c r="K360" s="609"/>
      <c r="L360" s="609"/>
    </row>
    <row r="361" spans="1:12" ht="15.75" customHeight="1">
      <c r="A361" s="951">
        <f t="shared" si="6"/>
        <v>37</v>
      </c>
      <c r="B361" s="949">
        <f>+NOMINA!C348</f>
        <v>12043135</v>
      </c>
      <c r="C361" s="949" t="str">
        <f>+NOMINA!D348</f>
        <v>Avila Salvio Rodolfo</v>
      </c>
      <c r="D361" s="949" t="str">
        <f>+NOMINA!O348</f>
        <v>Cocinero</v>
      </c>
      <c r="E361" s="952">
        <f>+NOMINA!H348</f>
        <v>43724</v>
      </c>
      <c r="F361" s="953">
        <f>+NOMINA!BR348</f>
        <v>25.72</v>
      </c>
      <c r="G361" s="953">
        <f>+NOMINA!BS348</f>
        <v>5.71</v>
      </c>
      <c r="H361" s="608"/>
      <c r="I361" s="609"/>
      <c r="J361" s="609"/>
      <c r="K361" s="609"/>
      <c r="L361" s="609"/>
    </row>
    <row r="362" spans="1:12" ht="15.75" customHeight="1">
      <c r="A362" s="951">
        <f t="shared" si="6"/>
        <v>38</v>
      </c>
      <c r="B362" s="949">
        <f>+NOMINA!C349</f>
        <v>12044124</v>
      </c>
      <c r="C362" s="949" t="str">
        <f>+NOMINA!D349</f>
        <v>Rivas Carlos Luis</v>
      </c>
      <c r="D362" s="949" t="str">
        <f>+NOMINA!O349</f>
        <v>Ayudante de Servicios Generales</v>
      </c>
      <c r="E362" s="952">
        <f>+NOMINA!H349</f>
        <v>39539</v>
      </c>
      <c r="F362" s="953">
        <f>+NOMINA!BR349</f>
        <v>33.67</v>
      </c>
      <c r="G362" s="953">
        <f>+NOMINA!BS349</f>
        <v>7.48</v>
      </c>
      <c r="H362" s="608"/>
      <c r="I362" s="609"/>
      <c r="J362" s="609"/>
      <c r="K362" s="609"/>
      <c r="L362" s="609"/>
    </row>
    <row r="363" spans="1:12" ht="15.75" customHeight="1">
      <c r="A363" s="951">
        <f t="shared" si="6"/>
        <v>39</v>
      </c>
      <c r="B363" s="949">
        <f>+NOMINA!C350</f>
        <v>12044754</v>
      </c>
      <c r="C363" s="949" t="str">
        <f>+NOMINA!D350</f>
        <v>Briceño Graterol Oscar Antonio</v>
      </c>
      <c r="D363" s="949" t="str">
        <f>+NOMINA!O350</f>
        <v>Ayudante de Servicios Generales</v>
      </c>
      <c r="E363" s="952">
        <f>+NOMINA!H350</f>
        <v>43481</v>
      </c>
      <c r="F363" s="953">
        <f>+NOMINA!BR350</f>
        <v>24.21</v>
      </c>
      <c r="G363" s="953">
        <f>+NOMINA!BS350</f>
        <v>5.38</v>
      </c>
      <c r="H363" s="608"/>
      <c r="I363" s="609"/>
      <c r="J363" s="609"/>
      <c r="K363" s="609"/>
      <c r="L363" s="609"/>
    </row>
    <row r="364" spans="1:12" ht="15.75" customHeight="1">
      <c r="A364" s="951">
        <f t="shared" si="6"/>
        <v>40</v>
      </c>
      <c r="B364" s="949">
        <f>+NOMINA!C351</f>
        <v>12046834</v>
      </c>
      <c r="C364" s="949" t="str">
        <f>+NOMINA!D351</f>
        <v>Perez Montilla William Jose</v>
      </c>
      <c r="D364" s="949" t="str">
        <f>+NOMINA!O351</f>
        <v>Cocinero</v>
      </c>
      <c r="E364" s="952">
        <f>+NOMINA!H351</f>
        <v>43313</v>
      </c>
      <c r="F364" s="953">
        <f>+NOMINA!BR351</f>
        <v>29.74</v>
      </c>
      <c r="G364" s="953">
        <f>+NOMINA!BS351</f>
        <v>6.61</v>
      </c>
      <c r="H364" s="608"/>
      <c r="I364" s="609"/>
      <c r="J364" s="609"/>
      <c r="K364" s="609"/>
      <c r="L364" s="609"/>
    </row>
    <row r="365" spans="1:12" ht="15.75" customHeight="1">
      <c r="A365" s="951">
        <f t="shared" si="6"/>
        <v>41</v>
      </c>
      <c r="B365" s="949">
        <f>+NOMINA!C352</f>
        <v>12047016</v>
      </c>
      <c r="C365" s="949" t="str">
        <f>+NOMINA!D352</f>
        <v>Lozada de Estenoz Maria Edicta</v>
      </c>
      <c r="D365" s="949" t="str">
        <f>+NOMINA!O352</f>
        <v>Cocinera</v>
      </c>
      <c r="E365" s="952">
        <f>+NOMINA!H352</f>
        <v>42948</v>
      </c>
      <c r="F365" s="953">
        <f>+NOMINA!BR352</f>
        <v>27.1</v>
      </c>
      <c r="G365" s="953">
        <f>+NOMINA!BS352</f>
        <v>6.02</v>
      </c>
      <c r="H365" s="608"/>
      <c r="I365" s="609"/>
      <c r="J365" s="609"/>
      <c r="K365" s="609"/>
      <c r="L365" s="609"/>
    </row>
    <row r="366" spans="1:12" ht="15.75" customHeight="1">
      <c r="A366" s="951">
        <f t="shared" si="6"/>
        <v>42</v>
      </c>
      <c r="B366" s="949">
        <f>+NOMINA!C353</f>
        <v>12797543</v>
      </c>
      <c r="C366" s="949" t="str">
        <f>+NOMINA!D353</f>
        <v>Carrizo Blanco Doris Coromoto</v>
      </c>
      <c r="D366" s="949" t="str">
        <f>+NOMINA!O353</f>
        <v>Ayudante de Servicios Generales</v>
      </c>
      <c r="E366" s="952">
        <f>+NOMINA!H353</f>
        <v>42948</v>
      </c>
      <c r="F366" s="953">
        <f>+NOMINA!BR353</f>
        <v>24.36</v>
      </c>
      <c r="G366" s="953">
        <f>+NOMINA!BS353</f>
        <v>5.41</v>
      </c>
      <c r="H366" s="608"/>
      <c r="I366" s="609"/>
      <c r="J366" s="609"/>
      <c r="K366" s="609"/>
      <c r="L366" s="609"/>
    </row>
    <row r="367" spans="1:12" ht="15.75" customHeight="1">
      <c r="A367" s="951">
        <f t="shared" si="6"/>
        <v>43</v>
      </c>
      <c r="B367" s="949">
        <f>+NOMINA!C354</f>
        <v>12797598</v>
      </c>
      <c r="C367" s="949" t="str">
        <f>+NOMINA!D354</f>
        <v>Gutierrez Briceño Jose Gabriel</v>
      </c>
      <c r="D367" s="949" t="str">
        <f>+NOMINA!O354</f>
        <v>Cocinero</v>
      </c>
      <c r="E367" s="952">
        <f>+NOMINA!H354</f>
        <v>44635</v>
      </c>
      <c r="F367" s="953">
        <f>+NOMINA!BR354</f>
        <v>26.33</v>
      </c>
      <c r="G367" s="953">
        <f>+NOMINA!BS354</f>
        <v>5.85</v>
      </c>
      <c r="H367" s="608"/>
      <c r="I367" s="609"/>
      <c r="J367" s="609"/>
      <c r="K367" s="609"/>
      <c r="L367" s="609"/>
    </row>
    <row r="368" spans="1:12" ht="15.75" customHeight="1">
      <c r="A368" s="951">
        <f t="shared" si="6"/>
        <v>44</v>
      </c>
      <c r="B368" s="949">
        <f>+NOMINA!C355</f>
        <v>13049800</v>
      </c>
      <c r="C368" s="949" t="str">
        <f>+NOMINA!D355</f>
        <v>Artigas Sanchez Mereldes Corina</v>
      </c>
      <c r="D368" s="949" t="str">
        <f>+NOMINA!O355</f>
        <v>Aseadora</v>
      </c>
      <c r="E368" s="952">
        <f>+NOMINA!H355</f>
        <v>42171</v>
      </c>
      <c r="F368" s="953">
        <f>+NOMINA!BR355</f>
        <v>22.66</v>
      </c>
      <c r="G368" s="953">
        <f>+NOMINA!BS355</f>
        <v>5.04</v>
      </c>
      <c r="H368" s="608"/>
      <c r="I368" s="609"/>
      <c r="J368" s="609"/>
      <c r="K368" s="609"/>
      <c r="L368" s="609"/>
    </row>
    <row r="369" spans="1:12" ht="15.75" customHeight="1">
      <c r="A369" s="951">
        <f t="shared" si="6"/>
        <v>45</v>
      </c>
      <c r="B369" s="949">
        <f>+NOMINA!C356</f>
        <v>13260758</v>
      </c>
      <c r="C369" s="949" t="str">
        <f>+NOMINA!D356</f>
        <v>Zerpa Silva Frank Michael</v>
      </c>
      <c r="D369" s="949" t="str">
        <f>+NOMINA!O356</f>
        <v>Vigilante</v>
      </c>
      <c r="E369" s="952">
        <f>+NOMINA!H356</f>
        <v>39118</v>
      </c>
      <c r="F369" s="953">
        <f>+NOMINA!BR356</f>
        <v>36.42</v>
      </c>
      <c r="G369" s="953">
        <f>+NOMINA!BS356</f>
        <v>8.09</v>
      </c>
      <c r="H369" s="608"/>
      <c r="I369" s="609"/>
      <c r="J369" s="609"/>
      <c r="K369" s="609"/>
      <c r="L369" s="609"/>
    </row>
    <row r="370" spans="1:12" ht="15.75" customHeight="1">
      <c r="A370" s="951">
        <f t="shared" si="6"/>
        <v>46</v>
      </c>
      <c r="B370" s="949">
        <f>+NOMINA!C357</f>
        <v>13376729</v>
      </c>
      <c r="C370" s="949" t="str">
        <f>+NOMINA!D357</f>
        <v>Briceño Aldana Yhon Mario</v>
      </c>
      <c r="D370" s="949" t="str">
        <f>+NOMINA!O357</f>
        <v>Vigilante</v>
      </c>
      <c r="E370" s="952">
        <f>+NOMINA!H357</f>
        <v>42948</v>
      </c>
      <c r="F370" s="953">
        <f>+NOMINA!BR357</f>
        <v>35.22</v>
      </c>
      <c r="G370" s="953">
        <f>+NOMINA!BS357</f>
        <v>7.83</v>
      </c>
      <c r="H370" s="608"/>
      <c r="I370" s="609"/>
      <c r="J370" s="609"/>
      <c r="K370" s="609"/>
      <c r="L370" s="609"/>
    </row>
    <row r="371" spans="1:12" ht="15.75" customHeight="1">
      <c r="A371" s="951">
        <f t="shared" si="6"/>
        <v>47</v>
      </c>
      <c r="B371" s="949">
        <f>+NOMINA!C358</f>
        <v>13404824</v>
      </c>
      <c r="C371" s="949" t="str">
        <f>+NOMINA!D358</f>
        <v>Malpica Rivas Julio Enrique</v>
      </c>
      <c r="D371" s="949" t="str">
        <f>+NOMINA!O358</f>
        <v>Ayudante de Servicios Generales</v>
      </c>
      <c r="E371" s="952">
        <f>+NOMINA!H358</f>
        <v>45474</v>
      </c>
      <c r="F371" s="953">
        <f>+NOMINA!BR358</f>
        <v>23.43</v>
      </c>
      <c r="G371" s="953">
        <f>+NOMINA!BS358</f>
        <v>5.21</v>
      </c>
      <c r="H371" s="608"/>
      <c r="I371" s="609"/>
      <c r="J371" s="609"/>
      <c r="K371" s="609"/>
      <c r="L371" s="609"/>
    </row>
    <row r="372" spans="1:12" ht="15.75" customHeight="1">
      <c r="A372" s="951">
        <f t="shared" si="6"/>
        <v>48</v>
      </c>
      <c r="B372" s="949">
        <f>+NOMINA!C359</f>
        <v>13522771</v>
      </c>
      <c r="C372" s="949" t="str">
        <f>+NOMINA!D359</f>
        <v>Briceño Leal Ana Edelmira</v>
      </c>
      <c r="D372" s="949" t="str">
        <f>+NOMINA!O359</f>
        <v>Aseadora</v>
      </c>
      <c r="E372" s="952">
        <f>+NOMINA!H359</f>
        <v>44228</v>
      </c>
      <c r="F372" s="953">
        <f>+NOMINA!BR359</f>
        <v>22.96</v>
      </c>
      <c r="G372" s="953">
        <f>+NOMINA!BS359</f>
        <v>5.0999999999999996</v>
      </c>
      <c r="H372" s="608"/>
      <c r="I372" s="609"/>
      <c r="J372" s="609"/>
      <c r="K372" s="609"/>
      <c r="L372" s="609"/>
    </row>
    <row r="373" spans="1:12" ht="15.75" customHeight="1">
      <c r="A373" s="951">
        <f t="shared" si="6"/>
        <v>49</v>
      </c>
      <c r="B373" s="949">
        <f>+NOMINA!C360</f>
        <v>13745328</v>
      </c>
      <c r="C373" s="949" t="str">
        <f>+NOMINA!D360</f>
        <v>Arroyo Williams Jose</v>
      </c>
      <c r="D373" s="949" t="str">
        <f>+NOMINA!O360</f>
        <v>Ayudante de Servicios Generales</v>
      </c>
      <c r="E373" s="952">
        <f>+NOMINA!H360</f>
        <v>44805</v>
      </c>
      <c r="F373" s="953">
        <f>+NOMINA!BR360</f>
        <v>32.130000000000003</v>
      </c>
      <c r="G373" s="953">
        <f>+NOMINA!BS360</f>
        <v>7.14</v>
      </c>
      <c r="H373" s="608"/>
      <c r="I373" s="609"/>
      <c r="J373" s="609"/>
      <c r="K373" s="609"/>
      <c r="L373" s="609"/>
    </row>
    <row r="374" spans="1:12" ht="15.75" customHeight="1">
      <c r="A374" s="951">
        <f t="shared" si="6"/>
        <v>50</v>
      </c>
      <c r="B374" s="949">
        <f>+NOMINA!C361</f>
        <v>13996661</v>
      </c>
      <c r="C374" s="949" t="str">
        <f>+NOMINA!D361</f>
        <v>Perez Montilla Yosmer Alexander</v>
      </c>
      <c r="D374" s="949" t="str">
        <f>+NOMINA!O361</f>
        <v>Chofer</v>
      </c>
      <c r="E374" s="952">
        <f>+NOMINA!H361</f>
        <v>44743</v>
      </c>
      <c r="F374" s="953">
        <f>+NOMINA!BR361</f>
        <v>33.130000000000003</v>
      </c>
      <c r="G374" s="953">
        <f>+NOMINA!BS361</f>
        <v>7.36</v>
      </c>
      <c r="H374" s="608"/>
      <c r="I374" s="609"/>
      <c r="J374" s="609"/>
      <c r="K374" s="609"/>
      <c r="L374" s="609"/>
    </row>
    <row r="375" spans="1:12" ht="15.75" customHeight="1">
      <c r="A375" s="951">
        <f t="shared" si="6"/>
        <v>51</v>
      </c>
      <c r="B375" s="949">
        <f>+NOMINA!C362</f>
        <v>13996885</v>
      </c>
      <c r="C375" s="949" t="str">
        <f>+NOMINA!D362</f>
        <v>Pulido Rojo Wilmer Jose</v>
      </c>
      <c r="D375" s="949" t="str">
        <f>+NOMINA!O362</f>
        <v>Chofer</v>
      </c>
      <c r="E375" s="952">
        <f>+NOMINA!H362</f>
        <v>44363</v>
      </c>
      <c r="F375" s="953">
        <f>+NOMINA!BR362</f>
        <v>31.95</v>
      </c>
      <c r="G375" s="953">
        <f>+NOMINA!BS362</f>
        <v>7.1</v>
      </c>
      <c r="H375" s="608"/>
      <c r="I375" s="609"/>
      <c r="J375" s="609"/>
      <c r="K375" s="609"/>
      <c r="L375" s="609"/>
    </row>
    <row r="376" spans="1:12" ht="15.75" customHeight="1">
      <c r="A376" s="951">
        <f t="shared" si="6"/>
        <v>52</v>
      </c>
      <c r="B376" s="949">
        <f>+NOMINA!C363</f>
        <v>14149971</v>
      </c>
      <c r="C376" s="949" t="str">
        <f>+NOMINA!D363</f>
        <v>Rivera Virginia del Carmen</v>
      </c>
      <c r="D376" s="949" t="str">
        <f>+NOMINA!O363</f>
        <v>Aseadora</v>
      </c>
      <c r="E376" s="952">
        <f>+NOMINA!H363</f>
        <v>41091</v>
      </c>
      <c r="F376" s="953">
        <f>+NOMINA!BR363</f>
        <v>24.13</v>
      </c>
      <c r="G376" s="953">
        <f>+NOMINA!BS363</f>
        <v>5.36</v>
      </c>
      <c r="H376" s="608"/>
      <c r="I376" s="609"/>
      <c r="J376" s="609"/>
      <c r="K376" s="609"/>
      <c r="L376" s="609"/>
    </row>
    <row r="377" spans="1:12" ht="15.75" customHeight="1">
      <c r="A377" s="951">
        <f t="shared" si="6"/>
        <v>53</v>
      </c>
      <c r="B377" s="949">
        <f>+NOMINA!C364</f>
        <v>14150495</v>
      </c>
      <c r="C377" s="949" t="str">
        <f>+NOMINA!D364</f>
        <v>Umbria de Segovia Alexandra del Carmen</v>
      </c>
      <c r="D377" s="949" t="str">
        <f>+NOMINA!O364</f>
        <v>Ayudante de Almacen</v>
      </c>
      <c r="E377" s="952">
        <f>+NOMINA!H364</f>
        <v>44228</v>
      </c>
      <c r="F377" s="953">
        <f>+NOMINA!BR364</f>
        <v>25.43</v>
      </c>
      <c r="G377" s="953">
        <f>+NOMINA!BS364</f>
        <v>5.65</v>
      </c>
      <c r="H377" s="608"/>
      <c r="I377" s="609"/>
      <c r="J377" s="609"/>
      <c r="K377" s="609"/>
      <c r="L377" s="609"/>
    </row>
    <row r="378" spans="1:12" ht="15.75" customHeight="1">
      <c r="A378" s="951">
        <f t="shared" si="6"/>
        <v>54</v>
      </c>
      <c r="B378" s="949">
        <f>+NOMINA!C365</f>
        <v>14599616</v>
      </c>
      <c r="C378" s="949" t="str">
        <f>+NOMINA!D365</f>
        <v>Andara Briceño Jean Carlos</v>
      </c>
      <c r="D378" s="949" t="str">
        <f>+NOMINA!O365</f>
        <v>Aseador</v>
      </c>
      <c r="E378" s="952">
        <f>+NOMINA!H365</f>
        <v>43525</v>
      </c>
      <c r="F378" s="953">
        <f>+NOMINA!BR365</f>
        <v>22.14</v>
      </c>
      <c r="G378" s="953">
        <f>+NOMINA!BS365</f>
        <v>4.92</v>
      </c>
      <c r="H378" s="608"/>
      <c r="I378" s="609"/>
      <c r="J378" s="609"/>
      <c r="K378" s="609"/>
      <c r="L378" s="609"/>
    </row>
    <row r="379" spans="1:12" ht="15.75" customHeight="1">
      <c r="A379" s="951">
        <f t="shared" si="6"/>
        <v>55</v>
      </c>
      <c r="B379" s="949">
        <f>+NOMINA!C366</f>
        <v>14718369</v>
      </c>
      <c r="C379" s="949" t="str">
        <f>+NOMINA!D366</f>
        <v>Pacheco Yudith Del Valle</v>
      </c>
      <c r="D379" s="949" t="str">
        <f>+NOMINA!O366</f>
        <v>Aseadora</v>
      </c>
      <c r="E379" s="952">
        <f>+NOMINA!H366</f>
        <v>43147</v>
      </c>
      <c r="F379" s="953">
        <f>+NOMINA!BR366</f>
        <v>22.27</v>
      </c>
      <c r="G379" s="953">
        <f>+NOMINA!BS366</f>
        <v>4.95</v>
      </c>
      <c r="H379" s="608"/>
      <c r="I379" s="609"/>
      <c r="J379" s="609"/>
      <c r="K379" s="609"/>
      <c r="L379" s="609"/>
    </row>
    <row r="380" spans="1:12" ht="15.75" customHeight="1">
      <c r="A380" s="951">
        <f t="shared" si="6"/>
        <v>56</v>
      </c>
      <c r="B380" s="949">
        <f>+NOMINA!C367</f>
        <v>14718468</v>
      </c>
      <c r="C380" s="949" t="str">
        <f>+NOMINA!D367</f>
        <v>Frias Aldana Yhonny Ramon</v>
      </c>
      <c r="D380" s="949" t="str">
        <f>+NOMINA!O367</f>
        <v>Ayudante De Almacen</v>
      </c>
      <c r="E380" s="952">
        <f>+NOMINA!H367</f>
        <v>42948</v>
      </c>
      <c r="F380" s="953">
        <f>+NOMINA!BR367</f>
        <v>27.1</v>
      </c>
      <c r="G380" s="953">
        <f>+NOMINA!BS367</f>
        <v>6.02</v>
      </c>
      <c r="H380" s="608"/>
      <c r="I380" s="609"/>
      <c r="J380" s="609"/>
      <c r="K380" s="609"/>
      <c r="L380" s="609"/>
    </row>
    <row r="381" spans="1:12" ht="15.75" customHeight="1">
      <c r="A381" s="951">
        <f t="shared" si="6"/>
        <v>57</v>
      </c>
      <c r="B381" s="949">
        <f>+NOMINA!C368</f>
        <v>14719205</v>
      </c>
      <c r="C381" s="949" t="str">
        <f>+NOMINA!D368</f>
        <v>Chinchilla Perez Jean Carlos</v>
      </c>
      <c r="D381" s="949" t="str">
        <f>+NOMINA!O368</f>
        <v>Ayudante de Servicios Generales</v>
      </c>
      <c r="E381" s="952">
        <f>+NOMINA!H368</f>
        <v>39861</v>
      </c>
      <c r="F381" s="953">
        <f>+NOMINA!BR368</f>
        <v>25.7</v>
      </c>
      <c r="G381" s="953">
        <f>+NOMINA!BS368</f>
        <v>5.71</v>
      </c>
      <c r="H381" s="608"/>
      <c r="I381" s="609"/>
      <c r="J381" s="609"/>
      <c r="K381" s="609"/>
      <c r="L381" s="609"/>
    </row>
    <row r="382" spans="1:12" ht="15.75" customHeight="1">
      <c r="A382" s="951">
        <f t="shared" si="6"/>
        <v>58</v>
      </c>
      <c r="B382" s="949">
        <f>+NOMINA!C369</f>
        <v>14719356</v>
      </c>
      <c r="C382" s="949" t="str">
        <f>+NOMINA!D369</f>
        <v>Linares Montilla Gerardo Enrique</v>
      </c>
      <c r="D382" s="949" t="str">
        <f>+NOMINA!O369</f>
        <v>Ayudante de Servicios Generales</v>
      </c>
      <c r="E382" s="952">
        <f>+NOMINA!H369</f>
        <v>44348</v>
      </c>
      <c r="F382" s="953">
        <f>+NOMINA!BR369</f>
        <v>25.88</v>
      </c>
      <c r="G382" s="953">
        <f>+NOMINA!BS369</f>
        <v>5.75</v>
      </c>
      <c r="H382" s="608"/>
      <c r="I382" s="609"/>
      <c r="J382" s="609"/>
      <c r="K382" s="609"/>
      <c r="L382" s="609"/>
    </row>
    <row r="383" spans="1:12" ht="15.75" customHeight="1">
      <c r="A383" s="951">
        <f t="shared" si="6"/>
        <v>59</v>
      </c>
      <c r="B383" s="949">
        <f>+NOMINA!C370</f>
        <v>14780893</v>
      </c>
      <c r="C383" s="949" t="str">
        <f>+NOMINA!D370</f>
        <v>Perez Gonzalez Reinaldo Andre</v>
      </c>
      <c r="D383" s="949" t="str">
        <f>+NOMINA!O370</f>
        <v>Ayudante de Servicios Generales</v>
      </c>
      <c r="E383" s="952">
        <f>+NOMINA!H370</f>
        <v>41570</v>
      </c>
      <c r="F383" s="953">
        <f>+NOMINA!BR370</f>
        <v>24.99</v>
      </c>
      <c r="G383" s="953">
        <f>+NOMINA!BS370</f>
        <v>5.55</v>
      </c>
      <c r="H383" s="608"/>
      <c r="I383" s="609"/>
      <c r="J383" s="609"/>
      <c r="K383" s="609"/>
      <c r="L383" s="609"/>
    </row>
    <row r="384" spans="1:12" ht="15.75" customHeight="1">
      <c r="A384" s="951">
        <f t="shared" si="6"/>
        <v>60</v>
      </c>
      <c r="B384" s="949">
        <f>+NOMINA!C371</f>
        <v>14928047</v>
      </c>
      <c r="C384" s="949" t="str">
        <f>+NOMINA!D371</f>
        <v>Becerra Teran Maria Alejandra</v>
      </c>
      <c r="D384" s="949" t="str">
        <f>+NOMINA!O371</f>
        <v>Cocinera</v>
      </c>
      <c r="E384" s="952">
        <f>+NOMINA!H371</f>
        <v>43297</v>
      </c>
      <c r="F384" s="953">
        <f>+NOMINA!BR371</f>
        <v>25.89</v>
      </c>
      <c r="G384" s="953">
        <f>+NOMINA!BS371</f>
        <v>5.75</v>
      </c>
      <c r="H384" s="608"/>
      <c r="I384" s="609"/>
      <c r="J384" s="609"/>
      <c r="K384" s="609"/>
      <c r="L384" s="609"/>
    </row>
    <row r="385" spans="1:12" ht="15.75" customHeight="1">
      <c r="A385" s="951">
        <f t="shared" si="6"/>
        <v>61</v>
      </c>
      <c r="B385" s="949">
        <f>+NOMINA!C372</f>
        <v>15042683</v>
      </c>
      <c r="C385" s="949" t="str">
        <f>+NOMINA!D372</f>
        <v>Rivera Hermes Edixon</v>
      </c>
      <c r="D385" s="949" t="str">
        <f>+NOMINA!O372</f>
        <v>Aseador</v>
      </c>
      <c r="E385" s="952">
        <f>+NOMINA!H372</f>
        <v>45292</v>
      </c>
      <c r="F385" s="953">
        <f>+NOMINA!BR372</f>
        <v>22.75</v>
      </c>
      <c r="G385" s="953">
        <f>+NOMINA!BS372</f>
        <v>5.05</v>
      </c>
      <c r="H385" s="608"/>
      <c r="I385" s="609"/>
      <c r="J385" s="609"/>
      <c r="K385" s="609"/>
      <c r="L385" s="609"/>
    </row>
    <row r="386" spans="1:12" ht="15.75" customHeight="1">
      <c r="A386" s="951">
        <f t="shared" si="6"/>
        <v>62</v>
      </c>
      <c r="B386" s="949">
        <f>+NOMINA!C373</f>
        <v>15583194</v>
      </c>
      <c r="C386" s="949" t="str">
        <f>+NOMINA!D373</f>
        <v>Garcia Briceño Wuiston Andres</v>
      </c>
      <c r="D386" s="949" t="str">
        <f>+NOMINA!O373</f>
        <v>Cocinero</v>
      </c>
      <c r="E386" s="952">
        <f>+NOMINA!H373</f>
        <v>44166</v>
      </c>
      <c r="F386" s="953">
        <f>+NOMINA!BR373</f>
        <v>29.04</v>
      </c>
      <c r="G386" s="953">
        <f>+NOMINA!BS373</f>
        <v>6.45</v>
      </c>
      <c r="H386" s="608"/>
      <c r="I386" s="609"/>
      <c r="J386" s="609"/>
      <c r="K386" s="609"/>
      <c r="L386" s="609"/>
    </row>
    <row r="387" spans="1:12" ht="15.75" customHeight="1">
      <c r="A387" s="951">
        <f t="shared" si="6"/>
        <v>63</v>
      </c>
      <c r="B387" s="949">
        <f>+NOMINA!C374</f>
        <v>14928592</v>
      </c>
      <c r="C387" s="949" t="str">
        <f>+NOMINA!D374</f>
        <v>Rosales Ruiz Jesus Alberto</v>
      </c>
      <c r="D387" s="949" t="str">
        <f>+NOMINA!O374</f>
        <v>Cocinero</v>
      </c>
      <c r="E387" s="952">
        <f>+NOMINA!H374</f>
        <v>45017</v>
      </c>
      <c r="F387" s="953">
        <f>+NOMINA!BR374</f>
        <v>25.15</v>
      </c>
      <c r="G387" s="953">
        <f>+NOMINA!BS374</f>
        <v>5.59</v>
      </c>
      <c r="H387" s="608"/>
      <c r="I387" s="609"/>
      <c r="J387" s="609"/>
      <c r="K387" s="609"/>
      <c r="L387" s="609"/>
    </row>
    <row r="388" spans="1:12" ht="15.75" customHeight="1">
      <c r="A388" s="951">
        <f t="shared" si="6"/>
        <v>64</v>
      </c>
      <c r="B388" s="949">
        <f>+NOMINA!C375</f>
        <v>15952512</v>
      </c>
      <c r="C388" s="949" t="str">
        <f>+NOMINA!D375</f>
        <v>Graterol Gonzalez Maria Ysela</v>
      </c>
      <c r="D388" s="949" t="str">
        <f>+NOMINA!O375</f>
        <v>Aseadora</v>
      </c>
      <c r="E388" s="952">
        <f>+NOMINA!H375</f>
        <v>40725</v>
      </c>
      <c r="F388" s="953">
        <f>+NOMINA!BR375</f>
        <v>23.24</v>
      </c>
      <c r="G388" s="953">
        <f>+NOMINA!BS375</f>
        <v>5.16</v>
      </c>
      <c r="H388" s="608"/>
      <c r="I388" s="609"/>
      <c r="J388" s="609"/>
      <c r="K388" s="609"/>
      <c r="L388" s="609"/>
    </row>
    <row r="389" spans="1:12" ht="15.75" customHeight="1">
      <c r="A389" s="951">
        <f t="shared" si="6"/>
        <v>65</v>
      </c>
      <c r="B389" s="949">
        <f>+NOMINA!C376</f>
        <v>15953703</v>
      </c>
      <c r="C389" s="949" t="str">
        <f>+NOMINA!D376</f>
        <v>Briceño Salas Jose Leonardo</v>
      </c>
      <c r="D389" s="949" t="str">
        <f>+NOMINA!O376</f>
        <v>Ayudante de Servicios Generales</v>
      </c>
      <c r="E389" s="952">
        <f>+NOMINA!H376</f>
        <v>38718</v>
      </c>
      <c r="F389" s="953">
        <f>+NOMINA!BR376</f>
        <v>28.59</v>
      </c>
      <c r="G389" s="953">
        <f>+NOMINA!BS376</f>
        <v>6.35</v>
      </c>
      <c r="H389" s="608"/>
      <c r="I389" s="609"/>
      <c r="J389" s="609"/>
      <c r="K389" s="609"/>
      <c r="L389" s="609"/>
    </row>
    <row r="390" spans="1:12" ht="15.75" customHeight="1">
      <c r="A390" s="951">
        <f t="shared" si="6"/>
        <v>66</v>
      </c>
      <c r="B390" s="949">
        <f>+NOMINA!C377</f>
        <v>16266801</v>
      </c>
      <c r="C390" s="949" t="str">
        <f>+NOMINA!D377</f>
        <v>Briceño Gonzalez Mirla Carolina</v>
      </c>
      <c r="D390" s="949" t="str">
        <f>+NOMINA!O377</f>
        <v>Cocinera</v>
      </c>
      <c r="E390" s="952">
        <f>+NOMINA!H377</f>
        <v>39496</v>
      </c>
      <c r="F390" s="953">
        <f>+NOMINA!BR377</f>
        <v>28.83</v>
      </c>
      <c r="G390" s="953">
        <f>+NOMINA!BS377</f>
        <v>6.41</v>
      </c>
      <c r="H390" s="608"/>
      <c r="I390" s="609"/>
      <c r="J390" s="609"/>
      <c r="K390" s="609"/>
      <c r="L390" s="609"/>
    </row>
    <row r="391" spans="1:12" ht="15.75" customHeight="1">
      <c r="A391" s="951">
        <f t="shared" si="6"/>
        <v>67</v>
      </c>
      <c r="B391" s="949">
        <f>+NOMINA!C378</f>
        <v>16739958</v>
      </c>
      <c r="C391" s="949" t="str">
        <f>+NOMINA!D378</f>
        <v>Ramirez Ramirez Natali Gabriela</v>
      </c>
      <c r="D391" s="949" t="str">
        <f>+NOMINA!O378</f>
        <v>Ayud. Serv. De Cocina</v>
      </c>
      <c r="E391" s="952">
        <f>+NOMINA!H378</f>
        <v>44866</v>
      </c>
      <c r="F391" s="953">
        <f>+NOMINA!BR378</f>
        <v>24.91</v>
      </c>
      <c r="G391" s="953">
        <f>+NOMINA!BS378</f>
        <v>5.54</v>
      </c>
      <c r="H391" s="608"/>
      <c r="I391" s="609"/>
      <c r="J391" s="609"/>
      <c r="K391" s="609"/>
      <c r="L391" s="609"/>
    </row>
    <row r="392" spans="1:12" ht="15.75" customHeight="1">
      <c r="A392" s="951">
        <f t="shared" ref="A392:A416" si="7">+A391+1</f>
        <v>68</v>
      </c>
      <c r="B392" s="949">
        <f>+NOMINA!C379</f>
        <v>16881526</v>
      </c>
      <c r="C392" s="949" t="str">
        <f>+NOMINA!D379</f>
        <v>Montilla Mendoza Addy Coromoto</v>
      </c>
      <c r="D392" s="949" t="str">
        <f>+NOMINA!O379</f>
        <v>Aseador</v>
      </c>
      <c r="E392" s="952">
        <f>+NOMINA!H379</f>
        <v>44470</v>
      </c>
      <c r="F392" s="953">
        <f>+NOMINA!BR379</f>
        <v>24</v>
      </c>
      <c r="G392" s="953">
        <f>+NOMINA!BS379</f>
        <v>5.33</v>
      </c>
      <c r="H392" s="608"/>
      <c r="I392" s="609"/>
      <c r="J392" s="609"/>
      <c r="K392" s="609"/>
      <c r="L392" s="609"/>
    </row>
    <row r="393" spans="1:12" ht="15.75" customHeight="1">
      <c r="A393" s="951">
        <f t="shared" si="7"/>
        <v>69</v>
      </c>
      <c r="B393" s="949">
        <f>+NOMINA!C380</f>
        <v>17093567</v>
      </c>
      <c r="C393" s="949" t="str">
        <f>+NOMINA!D380</f>
        <v>Torres Villarreal Yenny del Carmen</v>
      </c>
      <c r="D393" s="949" t="str">
        <f>+NOMINA!O380</f>
        <v>Ayudante de Servicios Generales</v>
      </c>
      <c r="E393" s="952">
        <f>+NOMINA!H380</f>
        <v>39449</v>
      </c>
      <c r="F393" s="953">
        <f>+NOMINA!BR380</f>
        <v>26.1</v>
      </c>
      <c r="G393" s="953">
        <f>+NOMINA!BS380</f>
        <v>5.8</v>
      </c>
      <c r="H393" s="608"/>
      <c r="I393" s="609"/>
      <c r="J393" s="609"/>
      <c r="K393" s="609"/>
      <c r="L393" s="609"/>
    </row>
    <row r="394" spans="1:12" ht="15.75" customHeight="1">
      <c r="A394" s="951">
        <f t="shared" si="7"/>
        <v>70</v>
      </c>
      <c r="B394" s="949">
        <f>+NOMINA!C381</f>
        <v>17093846</v>
      </c>
      <c r="C394" s="949" t="str">
        <f>+NOMINA!D381</f>
        <v>Bastidas Rivera Junior Antonio</v>
      </c>
      <c r="D394" s="949" t="str">
        <f>+NOMINA!O381</f>
        <v>Ayudante de Servicios Generales</v>
      </c>
      <c r="E394" s="952">
        <f>+NOMINA!H381</f>
        <v>45017</v>
      </c>
      <c r="F394" s="953">
        <f>+NOMINA!BR381</f>
        <v>23.55</v>
      </c>
      <c r="G394" s="953">
        <f>+NOMINA!BS381</f>
        <v>5.23</v>
      </c>
      <c r="H394" s="608"/>
      <c r="I394" s="609"/>
      <c r="J394" s="609"/>
      <c r="K394" s="609"/>
      <c r="L394" s="609"/>
    </row>
    <row r="395" spans="1:12" ht="15.75" customHeight="1">
      <c r="A395" s="951">
        <f t="shared" si="7"/>
        <v>71</v>
      </c>
      <c r="B395" s="949">
        <f>+NOMINA!C382</f>
        <v>17095084</v>
      </c>
      <c r="C395" s="949" t="str">
        <f>+NOMINA!D382</f>
        <v>Gonzalez Simancas Yulimar del Valle</v>
      </c>
      <c r="D395" s="949" t="str">
        <f>+NOMINA!O382</f>
        <v>Cocinera</v>
      </c>
      <c r="E395" s="952">
        <f>+NOMINA!H382</f>
        <v>44317</v>
      </c>
      <c r="F395" s="953">
        <f>+NOMINA!BR382</f>
        <v>27.51</v>
      </c>
      <c r="G395" s="953">
        <f>+NOMINA!BS382</f>
        <v>6.11</v>
      </c>
      <c r="H395" s="608"/>
      <c r="I395" s="609"/>
      <c r="J395" s="609"/>
      <c r="K395" s="609"/>
      <c r="L395" s="609"/>
    </row>
    <row r="396" spans="1:12" ht="15.75" customHeight="1">
      <c r="A396" s="951">
        <f t="shared" si="7"/>
        <v>72</v>
      </c>
      <c r="B396" s="949">
        <f>+NOMINA!C383</f>
        <v>17267173</v>
      </c>
      <c r="C396" s="949" t="str">
        <f>+NOMINA!D383</f>
        <v>Torres Alvarez Olga Josefina</v>
      </c>
      <c r="D396" s="949" t="str">
        <f>+NOMINA!O383</f>
        <v>AYUDANTE DE ALMACEN</v>
      </c>
      <c r="E396" s="952">
        <f>+NOMINA!H383</f>
        <v>44317</v>
      </c>
      <c r="F396" s="953">
        <f>+NOMINA!BR383</f>
        <v>25.43</v>
      </c>
      <c r="G396" s="953">
        <f>+NOMINA!BS383</f>
        <v>5.65</v>
      </c>
      <c r="H396" s="608"/>
      <c r="I396" s="609"/>
      <c r="J396" s="609"/>
      <c r="K396" s="609"/>
      <c r="L396" s="609"/>
    </row>
    <row r="397" spans="1:12" ht="15.75" customHeight="1">
      <c r="A397" s="951">
        <f t="shared" si="7"/>
        <v>73</v>
      </c>
      <c r="B397" s="949">
        <f>+NOMINA!C384</f>
        <v>17267546</v>
      </c>
      <c r="C397" s="949" t="str">
        <f>+NOMINA!D384</f>
        <v>Bastidas Rivera Franklin Enrique</v>
      </c>
      <c r="D397" s="949" t="str">
        <f>+NOMINA!O384</f>
        <v>Ayudante de Servicios Generales</v>
      </c>
      <c r="E397" s="952">
        <f>+NOMINA!H384</f>
        <v>39197</v>
      </c>
      <c r="F397" s="953">
        <f>+NOMINA!BR384</f>
        <v>27.14</v>
      </c>
      <c r="G397" s="953">
        <f>+NOMINA!BS384</f>
        <v>6.03</v>
      </c>
      <c r="H397" s="608"/>
      <c r="I397" s="609"/>
      <c r="J397" s="609"/>
      <c r="K397" s="609"/>
      <c r="L397" s="609"/>
    </row>
    <row r="398" spans="1:12" ht="15.75" customHeight="1">
      <c r="A398" s="951">
        <f t="shared" si="7"/>
        <v>74</v>
      </c>
      <c r="B398" s="949">
        <f>+NOMINA!C385</f>
        <v>18096032</v>
      </c>
      <c r="C398" s="949" t="str">
        <f>+NOMINA!D385</f>
        <v>Graterol Graterol Isidro Antonio</v>
      </c>
      <c r="D398" s="949" t="str">
        <f>+NOMINA!O385</f>
        <v>Chofer</v>
      </c>
      <c r="E398" s="952">
        <f>+NOMINA!H385</f>
        <v>45566</v>
      </c>
      <c r="F398" s="953">
        <f>+NOMINA!BR385</f>
        <v>37.54</v>
      </c>
      <c r="G398" s="953">
        <f>+NOMINA!BS385</f>
        <v>8.34</v>
      </c>
      <c r="H398" s="608"/>
      <c r="I398" s="609"/>
      <c r="J398" s="609"/>
      <c r="K398" s="609"/>
      <c r="L398" s="609"/>
    </row>
    <row r="399" spans="1:12" ht="15.75" customHeight="1">
      <c r="A399" s="951">
        <f t="shared" si="7"/>
        <v>75</v>
      </c>
      <c r="B399" s="949">
        <f>+NOMINA!C386</f>
        <v>18096338</v>
      </c>
      <c r="C399" s="949" t="str">
        <f>+NOMINA!D386</f>
        <v>Ramirez Manzanilla Jose Jesus</v>
      </c>
      <c r="D399" s="949" t="str">
        <f>+NOMINA!O386</f>
        <v>Cocinero</v>
      </c>
      <c r="E399" s="952">
        <f>+NOMINA!H386</f>
        <v>39463</v>
      </c>
      <c r="F399" s="953">
        <f>+NOMINA!BR386</f>
        <v>29.74</v>
      </c>
      <c r="G399" s="953">
        <f>+NOMINA!BS386</f>
        <v>6.61</v>
      </c>
      <c r="H399" s="608"/>
      <c r="I399" s="609"/>
      <c r="J399" s="609"/>
      <c r="K399" s="609"/>
      <c r="L399" s="609"/>
    </row>
    <row r="400" spans="1:12" ht="15.75" customHeight="1">
      <c r="A400" s="951">
        <f t="shared" si="7"/>
        <v>76</v>
      </c>
      <c r="B400" s="949">
        <f>+NOMINA!C387</f>
        <v>18350780</v>
      </c>
      <c r="C400" s="949" t="str">
        <f>+NOMINA!D387</f>
        <v>Frias Aldana Giovanny Jacinto</v>
      </c>
      <c r="D400" s="949" t="str">
        <f>+NOMINA!O387</f>
        <v>Vigilante</v>
      </c>
      <c r="E400" s="952">
        <f>+NOMINA!H387</f>
        <v>43116</v>
      </c>
      <c r="F400" s="953">
        <f>+NOMINA!BR387</f>
        <v>35.22</v>
      </c>
      <c r="G400" s="953">
        <f>+NOMINA!BS387</f>
        <v>7.83</v>
      </c>
      <c r="H400" s="608"/>
      <c r="I400" s="609"/>
      <c r="J400" s="609"/>
      <c r="K400" s="609"/>
      <c r="L400" s="609"/>
    </row>
    <row r="401" spans="1:12" ht="15.75" customHeight="1">
      <c r="A401" s="951">
        <f t="shared" si="7"/>
        <v>77</v>
      </c>
      <c r="B401" s="949">
        <f>+NOMINA!C388</f>
        <v>18456167</v>
      </c>
      <c r="C401" s="949" t="str">
        <f>+NOMINA!D388</f>
        <v>Olmos Linares Luis Alberto</v>
      </c>
      <c r="D401" s="949" t="str">
        <f>+NOMINA!O388</f>
        <v>Cocinero</v>
      </c>
      <c r="E401" s="952">
        <f>+NOMINA!H388</f>
        <v>44516</v>
      </c>
      <c r="F401" s="953">
        <f>+NOMINA!BR388</f>
        <v>27.51</v>
      </c>
      <c r="G401" s="953">
        <f>+NOMINA!BS388</f>
        <v>6.11</v>
      </c>
      <c r="H401" s="608"/>
      <c r="I401" s="609"/>
      <c r="J401" s="609"/>
      <c r="K401" s="609"/>
      <c r="L401" s="609"/>
    </row>
    <row r="402" spans="1:12" ht="15.75" customHeight="1">
      <c r="A402" s="951">
        <f t="shared" si="7"/>
        <v>78</v>
      </c>
      <c r="B402" s="949">
        <f>+NOMINA!C389</f>
        <v>18456576</v>
      </c>
      <c r="C402" s="949" t="str">
        <f>+NOMINA!D389</f>
        <v>Quintero Duran Emilio Alfonso</v>
      </c>
      <c r="D402" s="949" t="str">
        <f>+NOMINA!O389</f>
        <v>Chofer</v>
      </c>
      <c r="E402" s="952">
        <f>+NOMINA!H389</f>
        <v>44743</v>
      </c>
      <c r="F402" s="953">
        <f>+NOMINA!BR389</f>
        <v>34.479999999999997</v>
      </c>
      <c r="G402" s="953">
        <f>+NOMINA!BS389</f>
        <v>7.66</v>
      </c>
      <c r="H402" s="608"/>
      <c r="I402" s="609"/>
      <c r="J402" s="609"/>
      <c r="K402" s="609"/>
      <c r="L402" s="609"/>
    </row>
    <row r="403" spans="1:12" ht="15.75" customHeight="1">
      <c r="A403" s="951">
        <f t="shared" si="7"/>
        <v>79</v>
      </c>
      <c r="B403" s="949">
        <f>+NOMINA!C390</f>
        <v>20039961</v>
      </c>
      <c r="C403" s="949" t="str">
        <f>+NOMINA!D390</f>
        <v>Torres Villarreal Lisbeth Carolina</v>
      </c>
      <c r="D403" s="949" t="str">
        <f>+NOMINA!O390</f>
        <v>Aseadora</v>
      </c>
      <c r="E403" s="952">
        <f>+NOMINA!H390</f>
        <v>38412</v>
      </c>
      <c r="F403" s="953">
        <f>+NOMINA!BR390</f>
        <v>26.31</v>
      </c>
      <c r="G403" s="953">
        <f>+NOMINA!BS390</f>
        <v>5.85</v>
      </c>
      <c r="H403" s="608"/>
      <c r="I403" s="609"/>
      <c r="J403" s="609"/>
      <c r="K403" s="609"/>
      <c r="L403" s="609"/>
    </row>
    <row r="404" spans="1:12" ht="15.75" customHeight="1">
      <c r="A404" s="951">
        <f t="shared" si="7"/>
        <v>80</v>
      </c>
      <c r="B404" s="949">
        <f>+NOMINA!C391</f>
        <v>20040649</v>
      </c>
      <c r="C404" s="949" t="str">
        <f>+NOMINA!D391</f>
        <v>Isarra Materan Jose de La Paz</v>
      </c>
      <c r="D404" s="949" t="str">
        <f>+NOMINA!O391</f>
        <v>Chofer</v>
      </c>
      <c r="E404" s="952">
        <f>+NOMINA!H391</f>
        <v>44743</v>
      </c>
      <c r="F404" s="953">
        <f>+NOMINA!BR391</f>
        <v>34.479999999999997</v>
      </c>
      <c r="G404" s="953">
        <f>+NOMINA!BS391</f>
        <v>7.66</v>
      </c>
      <c r="H404" s="608"/>
      <c r="I404" s="609"/>
      <c r="J404" s="609"/>
      <c r="K404" s="609"/>
      <c r="L404" s="609"/>
    </row>
    <row r="405" spans="1:12" ht="15.75" customHeight="1">
      <c r="A405" s="951">
        <f t="shared" si="7"/>
        <v>81</v>
      </c>
      <c r="B405" s="949">
        <f>+NOMINA!C392</f>
        <v>21366579</v>
      </c>
      <c r="C405" s="949" t="str">
        <f>+NOMINA!D392</f>
        <v>Azuaje Espinoza Erick Enrique</v>
      </c>
      <c r="D405" s="949" t="str">
        <f>+NOMINA!O392</f>
        <v>Mensajero</v>
      </c>
      <c r="E405" s="952">
        <f>+NOMINA!H392</f>
        <v>44774</v>
      </c>
      <c r="F405" s="953">
        <f>+NOMINA!BR392</f>
        <v>23.87</v>
      </c>
      <c r="G405" s="953">
        <f>+NOMINA!BS392</f>
        <v>5.3</v>
      </c>
      <c r="H405" s="608"/>
      <c r="I405" s="609"/>
      <c r="J405" s="609"/>
      <c r="K405" s="609"/>
      <c r="L405" s="609"/>
    </row>
    <row r="406" spans="1:12" ht="15.75" customHeight="1">
      <c r="A406" s="951">
        <f t="shared" si="7"/>
        <v>82</v>
      </c>
      <c r="B406" s="949">
        <f>+NOMINA!C393</f>
        <v>23594381</v>
      </c>
      <c r="C406" s="949" t="str">
        <f>+NOMINA!D393</f>
        <v>Albornoz Montilla Daniel Enrique</v>
      </c>
      <c r="D406" s="949" t="str">
        <f>+NOMINA!O393</f>
        <v>Ayudante de Servicios Generales</v>
      </c>
      <c r="E406" s="952">
        <f>+NOMINA!H393</f>
        <v>45597</v>
      </c>
      <c r="F406" s="953">
        <f>+NOMINA!BR393</f>
        <v>23.64</v>
      </c>
      <c r="G406" s="953">
        <f>+NOMINA!BS393</f>
        <v>5.25</v>
      </c>
      <c r="H406" s="608"/>
      <c r="I406" s="609"/>
      <c r="J406" s="609"/>
      <c r="K406" s="609"/>
      <c r="L406" s="609"/>
    </row>
    <row r="407" spans="1:12" ht="15.75" customHeight="1">
      <c r="A407" s="951">
        <f t="shared" si="7"/>
        <v>83</v>
      </c>
      <c r="B407" s="949">
        <f>+NOMINA!C394</f>
        <v>25173228</v>
      </c>
      <c r="C407" s="949" t="str">
        <f>+NOMINA!D394</f>
        <v>Davila Sanchez Eduar Alexander</v>
      </c>
      <c r="D407" s="949" t="str">
        <f>+NOMINA!O394</f>
        <v>Ayudante de Servicios Generales</v>
      </c>
      <c r="E407" s="952">
        <f>+NOMINA!H394</f>
        <v>44531</v>
      </c>
      <c r="F407" s="953">
        <f>+NOMINA!BR394</f>
        <v>33.65</v>
      </c>
      <c r="G407" s="953">
        <f>+NOMINA!BS394</f>
        <v>7.48</v>
      </c>
      <c r="H407" s="608"/>
      <c r="I407" s="609"/>
      <c r="J407" s="609"/>
      <c r="K407" s="609"/>
      <c r="L407" s="609"/>
    </row>
    <row r="408" spans="1:12" ht="15.75" customHeight="1">
      <c r="A408" s="951">
        <f t="shared" si="7"/>
        <v>84</v>
      </c>
      <c r="B408" s="949">
        <f>+NOMINA!C395</f>
        <v>25631811</v>
      </c>
      <c r="C408" s="949" t="str">
        <f>+NOMINA!D395</f>
        <v>Barrios Briceño Christian Xavier</v>
      </c>
      <c r="D408" s="949" t="str">
        <f>+NOMINA!O395</f>
        <v>Cocinero</v>
      </c>
      <c r="E408" s="952">
        <f>+NOMINA!H395</f>
        <v>44440</v>
      </c>
      <c r="F408" s="953">
        <f>+NOMINA!BR395</f>
        <v>25.43</v>
      </c>
      <c r="G408" s="953">
        <f>+NOMINA!BS395</f>
        <v>5.65</v>
      </c>
      <c r="H408" s="608"/>
      <c r="I408" s="609"/>
      <c r="J408" s="609"/>
      <c r="K408" s="609"/>
      <c r="L408" s="609"/>
    </row>
    <row r="409" spans="1:12" ht="15.75" customHeight="1">
      <c r="A409" s="951">
        <f t="shared" si="7"/>
        <v>85</v>
      </c>
      <c r="B409" s="949">
        <f>+NOMINA!C396</f>
        <v>25919888</v>
      </c>
      <c r="C409" s="949" t="str">
        <f>+NOMINA!D396</f>
        <v>Rivero Lamus Ninoska del Valle</v>
      </c>
      <c r="D409" s="949" t="str">
        <f>+NOMINA!O396</f>
        <v>Aseadora</v>
      </c>
      <c r="E409" s="952">
        <f>+NOMINA!H396</f>
        <v>44805</v>
      </c>
      <c r="F409" s="953">
        <f>+NOMINA!BR396</f>
        <v>23.89</v>
      </c>
      <c r="G409" s="953">
        <f>+NOMINA!BS396</f>
        <v>5.31</v>
      </c>
      <c r="H409" s="608"/>
      <c r="I409" s="609"/>
      <c r="J409" s="609"/>
      <c r="K409" s="609"/>
      <c r="L409" s="609"/>
    </row>
    <row r="410" spans="1:12" ht="15.75" customHeight="1">
      <c r="A410" s="951">
        <f t="shared" si="7"/>
        <v>86</v>
      </c>
      <c r="B410" s="949">
        <f>+NOMINA!C397</f>
        <v>26235670</v>
      </c>
      <c r="C410" s="949" t="str">
        <f>+NOMINA!D397</f>
        <v>Viloria Garcia Kieny Keyvit</v>
      </c>
      <c r="D410" s="949" t="str">
        <f>+NOMINA!O397</f>
        <v>Ayudante de Servicios Generales</v>
      </c>
      <c r="E410" s="952">
        <f>+NOMINA!H397</f>
        <v>45597</v>
      </c>
      <c r="F410" s="953">
        <f>+NOMINA!BR397</f>
        <v>23.64</v>
      </c>
      <c r="G410" s="953">
        <f>+NOMINA!BS397</f>
        <v>5.25</v>
      </c>
      <c r="H410" s="608"/>
      <c r="I410" s="609"/>
      <c r="J410" s="609"/>
      <c r="K410" s="609"/>
      <c r="L410" s="609"/>
    </row>
    <row r="411" spans="1:12" ht="15.75" customHeight="1">
      <c r="A411" s="951">
        <f t="shared" si="7"/>
        <v>87</v>
      </c>
      <c r="B411" s="949">
        <f>+NOMINA!C398</f>
        <v>26482867</v>
      </c>
      <c r="C411" s="949" t="str">
        <f>+NOMINA!D398</f>
        <v>Valecillos Duran Brando Jose</v>
      </c>
      <c r="D411" s="949" t="str">
        <f>+NOMINA!O398</f>
        <v>Ayudante de Servicios Generales</v>
      </c>
      <c r="E411" s="952">
        <f>+NOMINA!H398</f>
        <v>45078</v>
      </c>
      <c r="F411" s="953">
        <f>+NOMINA!BR398</f>
        <v>23.55</v>
      </c>
      <c r="G411" s="953">
        <f>+NOMINA!BS398</f>
        <v>5.23</v>
      </c>
      <c r="H411" s="608"/>
      <c r="I411" s="609"/>
      <c r="J411" s="609"/>
      <c r="K411" s="609"/>
      <c r="L411" s="609"/>
    </row>
    <row r="412" spans="1:12" ht="15.75" customHeight="1">
      <c r="A412" s="951">
        <f t="shared" si="7"/>
        <v>88</v>
      </c>
      <c r="B412" s="949">
        <f>+NOMINA!C399</f>
        <v>27415509</v>
      </c>
      <c r="C412" s="949" t="str">
        <f>+NOMINA!D399</f>
        <v>Barreto Rivero Luis Diego</v>
      </c>
      <c r="D412" s="949" t="str">
        <f>+NOMINA!O399</f>
        <v>Ayudante de Servicios Generales</v>
      </c>
      <c r="E412" s="952">
        <f>+NOMINA!H399</f>
        <v>43678</v>
      </c>
      <c r="F412" s="953">
        <f>+NOMINA!BR399</f>
        <v>24.06</v>
      </c>
      <c r="G412" s="953">
        <f>+NOMINA!BS399</f>
        <v>5.35</v>
      </c>
      <c r="H412" s="608"/>
      <c r="I412" s="609"/>
      <c r="J412" s="609"/>
      <c r="K412" s="609"/>
      <c r="L412" s="609"/>
    </row>
    <row r="413" spans="1:12" ht="15.75" customHeight="1">
      <c r="A413" s="951">
        <f t="shared" si="7"/>
        <v>89</v>
      </c>
      <c r="B413" s="949">
        <f>+NOMINA!C400</f>
        <v>27470077</v>
      </c>
      <c r="C413" s="949" t="str">
        <f>+NOMINA!D400</f>
        <v>Gonzalez Castellanos Yusberly Yohandri</v>
      </c>
      <c r="D413" s="949" t="str">
        <f>+NOMINA!O400</f>
        <v>Aseadora</v>
      </c>
      <c r="E413" s="952">
        <f>+NOMINA!H400</f>
        <v>44743</v>
      </c>
      <c r="F413" s="953">
        <f>+NOMINA!BR400</f>
        <v>22.85</v>
      </c>
      <c r="G413" s="953">
        <f>+NOMINA!BS400</f>
        <v>5.08</v>
      </c>
      <c r="H413" s="608"/>
      <c r="I413" s="609"/>
      <c r="J413" s="609"/>
      <c r="K413" s="609"/>
      <c r="L413" s="609"/>
    </row>
    <row r="414" spans="1:12" ht="15.75" customHeight="1">
      <c r="A414" s="951">
        <f t="shared" si="7"/>
        <v>90</v>
      </c>
      <c r="B414" s="949">
        <f>+NOMINA!C401</f>
        <v>29539270</v>
      </c>
      <c r="C414" s="949" t="str">
        <f>+NOMINA!D401</f>
        <v>Rojas Carrillo Laureano Augusto</v>
      </c>
      <c r="D414" s="949" t="str">
        <f>+NOMINA!O401</f>
        <v>Ayudante de Servicios Generales</v>
      </c>
      <c r="E414" s="952">
        <f>+NOMINA!H401</f>
        <v>44287</v>
      </c>
      <c r="F414" s="953">
        <f>+NOMINA!BR401</f>
        <v>23.81</v>
      </c>
      <c r="G414" s="953">
        <f>+NOMINA!BS401</f>
        <v>5.29</v>
      </c>
      <c r="H414" s="608"/>
      <c r="I414" s="609"/>
      <c r="J414" s="609"/>
      <c r="K414" s="609"/>
      <c r="L414" s="609"/>
    </row>
    <row r="415" spans="1:12" ht="15.75" customHeight="1">
      <c r="A415" s="951">
        <f t="shared" si="7"/>
        <v>91</v>
      </c>
      <c r="B415" s="949">
        <f>+NOMINA!C402</f>
        <v>29994277</v>
      </c>
      <c r="C415" s="949" t="str">
        <f>+NOMINA!D402</f>
        <v>Quintero Rangel Jose Arsenio</v>
      </c>
      <c r="D415" s="949" t="str">
        <f>+NOMINA!O402</f>
        <v>Ayudante de Servicios Generales</v>
      </c>
      <c r="E415" s="952">
        <f>+NOMINA!H402</f>
        <v>44562</v>
      </c>
      <c r="F415" s="953">
        <f>+NOMINA!BR402</f>
        <v>23.81</v>
      </c>
      <c r="G415" s="953">
        <f>+NOMINA!BS402</f>
        <v>5.29</v>
      </c>
      <c r="H415" s="608"/>
      <c r="I415" s="609"/>
      <c r="J415" s="609"/>
      <c r="K415" s="609"/>
      <c r="L415" s="609"/>
    </row>
    <row r="416" spans="1:12" ht="15.75" customHeight="1" thickBot="1">
      <c r="A416" s="951">
        <f t="shared" si="7"/>
        <v>92</v>
      </c>
      <c r="B416" s="949">
        <f>+NOMINA!C403</f>
        <v>32084560</v>
      </c>
      <c r="C416" s="949" t="str">
        <f>+NOMINA!D403</f>
        <v>Hernandez Gomez Carmen Elena</v>
      </c>
      <c r="D416" s="949" t="str">
        <f>+NOMINA!O403</f>
        <v xml:space="preserve">Cocinera </v>
      </c>
      <c r="E416" s="952">
        <f>+NOMINA!H403</f>
        <v>44348</v>
      </c>
      <c r="F416" s="953">
        <f>+NOMINA!BR403</f>
        <v>25.43</v>
      </c>
      <c r="G416" s="953">
        <f>+NOMINA!BS403</f>
        <v>5.65</v>
      </c>
      <c r="H416" s="608"/>
      <c r="I416" s="609"/>
      <c r="J416" s="609"/>
      <c r="K416" s="609"/>
      <c r="L416" s="609"/>
    </row>
    <row r="417" spans="1:12" ht="15.75" customHeight="1" thickBot="1">
      <c r="A417" s="951"/>
      <c r="B417" s="949"/>
      <c r="C417" s="949"/>
      <c r="D417" s="965" t="s">
        <v>4493</v>
      </c>
      <c r="E417" s="616" t="s">
        <v>5847</v>
      </c>
      <c r="F417" s="950">
        <f>SUM(F325:F416)</f>
        <v>2394.12</v>
      </c>
      <c r="G417" s="950">
        <f>SUM(G325:G416)</f>
        <v>531.96</v>
      </c>
      <c r="H417" s="608">
        <f>NOMINA!BR395</f>
        <v>25.43</v>
      </c>
      <c r="I417" s="609">
        <f>+F417-H417</f>
        <v>2368.69</v>
      </c>
      <c r="J417" s="609">
        <f>+NOMINA!BS395</f>
        <v>5.65</v>
      </c>
      <c r="K417" s="609">
        <f>+G417-J417</f>
        <v>526.31000000000006</v>
      </c>
      <c r="L417" s="609"/>
    </row>
    <row r="418" spans="1:12" ht="8.25" customHeight="1" thickBot="1">
      <c r="A418" s="956"/>
      <c r="B418" s="957"/>
      <c r="C418" s="958"/>
      <c r="D418" s="958"/>
      <c r="E418" s="959"/>
      <c r="F418" s="960"/>
      <c r="G418" s="960"/>
      <c r="H418" s="608"/>
    </row>
    <row r="419" spans="1:12" ht="19.5" thickBot="1">
      <c r="A419" s="961"/>
      <c r="B419" s="962"/>
      <c r="C419" s="963"/>
      <c r="D419" s="966" t="s">
        <v>5793</v>
      </c>
      <c r="E419" s="616" t="s">
        <v>5848</v>
      </c>
      <c r="F419" s="964">
        <f>+F417+F317+F37</f>
        <v>13492.489999999994</v>
      </c>
      <c r="G419" s="964">
        <f>+G417+G317+G37</f>
        <v>2998.23</v>
      </c>
      <c r="H419" s="608">
        <f>NOMINA!BR399</f>
        <v>24.06</v>
      </c>
      <c r="I419" s="609">
        <f>+F419-H419</f>
        <v>13468.429999999995</v>
      </c>
      <c r="J419" s="609">
        <f>+NOMINA!BS399</f>
        <v>5.35</v>
      </c>
      <c r="K419" s="609">
        <f>+G419-J419</f>
        <v>2992.88</v>
      </c>
    </row>
    <row r="420" spans="1:12" ht="13.5" customHeight="1">
      <c r="H420" s="609"/>
      <c r="I420" s="609"/>
    </row>
    <row r="421" spans="1:12" ht="13.5" customHeight="1">
      <c r="H421" s="609"/>
      <c r="I421" s="609"/>
    </row>
    <row r="422" spans="1:12" ht="13.5" customHeight="1">
      <c r="H422" s="609"/>
      <c r="I422" s="609"/>
    </row>
    <row r="423" spans="1:12">
      <c r="C423" s="604" t="s">
        <v>5840</v>
      </c>
      <c r="F423" s="604" t="s">
        <v>5841</v>
      </c>
    </row>
    <row r="426" spans="1:12" ht="17.25">
      <c r="C426" s="614" t="s">
        <v>5842</v>
      </c>
      <c r="F426" s="615" t="s">
        <v>5843</v>
      </c>
    </row>
    <row r="427" spans="1:12" ht="17.25">
      <c r="C427" s="614" t="s">
        <v>5844</v>
      </c>
      <c r="F427" s="614" t="s">
        <v>5845</v>
      </c>
      <c r="G427" s="618"/>
      <c r="H427" s="618"/>
    </row>
    <row r="428" spans="1:12">
      <c r="G428" s="620"/>
      <c r="H428" s="619"/>
      <c r="I428" s="619"/>
    </row>
    <row r="429" spans="1:12">
      <c r="H429" s="609"/>
      <c r="I429" s="609"/>
    </row>
  </sheetData>
  <mergeCells count="8">
    <mergeCell ref="A8:G8"/>
    <mergeCell ref="A9:G9"/>
    <mergeCell ref="A1:G1"/>
    <mergeCell ref="A2:G2"/>
    <mergeCell ref="A3:G3"/>
    <mergeCell ref="A4:G4"/>
    <mergeCell ref="A5:G5"/>
    <mergeCell ref="A6:G6"/>
  </mergeCells>
  <pageMargins left="0.19685039370078741" right="0.19685039370078741" top="0.98425196850393704" bottom="0.35433070866141736" header="0.31496062992125984" footer="0.31496062992125984"/>
  <pageSetup scale="75" orientation="portrait" r:id="rId1"/>
  <rowBreaks count="2" manualBreakCount="2">
    <brk id="48" max="6" man="1"/>
    <brk id="323" max="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K26"/>
  <sheetViews>
    <sheetView view="pageBreakPreview" zoomScale="85" zoomScaleSheetLayoutView="85" workbookViewId="0">
      <selection activeCell="D26" sqref="D26"/>
    </sheetView>
  </sheetViews>
  <sheetFormatPr baseColWidth="10" defaultRowHeight="15"/>
  <cols>
    <col min="1" max="1" width="5.140625" style="604" customWidth="1"/>
    <col min="2" max="2" width="11.42578125" style="604"/>
    <col min="3" max="3" width="36.140625" style="604" customWidth="1"/>
    <col min="4" max="4" width="36.7109375" style="604" customWidth="1"/>
    <col min="5" max="5" width="10.85546875" style="604" customWidth="1"/>
    <col min="6" max="6" width="13" style="604" bestFit="1" customWidth="1"/>
    <col min="7" max="7" width="13.42578125" style="604" bestFit="1" customWidth="1"/>
    <col min="8" max="8" width="12.7109375" style="604" bestFit="1" customWidth="1"/>
    <col min="9" max="16384" width="11.42578125" style="604"/>
  </cols>
  <sheetData>
    <row r="1" spans="1:11" ht="15" customHeight="1">
      <c r="A1" s="1719" t="s">
        <v>5827</v>
      </c>
      <c r="B1" s="1719"/>
      <c r="C1" s="1719"/>
      <c r="D1" s="1719"/>
      <c r="E1" s="1719"/>
      <c r="F1" s="1719"/>
      <c r="G1" s="940"/>
    </row>
    <row r="2" spans="1:11" ht="15" customHeight="1">
      <c r="A2" s="1719" t="s">
        <v>5828</v>
      </c>
      <c r="B2" s="1719"/>
      <c r="C2" s="1719"/>
      <c r="D2" s="1719"/>
      <c r="E2" s="1719"/>
      <c r="F2" s="1719"/>
      <c r="G2" s="940"/>
    </row>
    <row r="3" spans="1:11" ht="15" customHeight="1">
      <c r="A3" s="1719" t="s">
        <v>5829</v>
      </c>
      <c r="B3" s="1719"/>
      <c r="C3" s="1719"/>
      <c r="D3" s="1719"/>
      <c r="E3" s="1719"/>
      <c r="F3" s="1719"/>
      <c r="G3" s="940"/>
    </row>
    <row r="4" spans="1:11" ht="15" customHeight="1">
      <c r="A4" s="1719" t="s">
        <v>5830</v>
      </c>
      <c r="B4" s="1719"/>
      <c r="C4" s="1719"/>
      <c r="D4" s="1719"/>
      <c r="E4" s="1719"/>
      <c r="F4" s="1719"/>
      <c r="G4" s="940"/>
    </row>
    <row r="5" spans="1:11" ht="15" customHeight="1">
      <c r="A5" s="1719" t="s">
        <v>5849</v>
      </c>
      <c r="B5" s="1719"/>
      <c r="C5" s="1719"/>
      <c r="D5" s="1719"/>
      <c r="E5" s="1719"/>
      <c r="F5" s="1719"/>
      <c r="G5" s="940"/>
    </row>
    <row r="6" spans="1:11">
      <c r="A6" s="1719" t="s">
        <v>5831</v>
      </c>
      <c r="B6" s="1719"/>
      <c r="C6" s="1719"/>
      <c r="D6" s="1719"/>
      <c r="E6" s="1719"/>
      <c r="F6" s="1719"/>
      <c r="G6" s="940"/>
    </row>
    <row r="8" spans="1:11" ht="20.25" customHeight="1">
      <c r="A8" s="1718" t="s">
        <v>5852</v>
      </c>
      <c r="B8" s="1718"/>
      <c r="C8" s="1718"/>
      <c r="D8" s="1718"/>
      <c r="E8" s="1718"/>
      <c r="F8" s="1718"/>
      <c r="G8" s="939"/>
    </row>
    <row r="9" spans="1:11" ht="18.75" customHeight="1">
      <c r="A9" s="1718" t="str">
        <f>+"Correspondiente al  mes de "&amp;NOMINA!F9&amp;" "&amp;NOMINA!H9</f>
        <v>Correspondiente al  mes de ENERO 2025</v>
      </c>
      <c r="B9" s="1718"/>
      <c r="C9" s="1718"/>
      <c r="D9" s="1718"/>
      <c r="E9" s="1718"/>
      <c r="F9" s="1718"/>
      <c r="G9" s="939"/>
    </row>
    <row r="11" spans="1:11" ht="25.5">
      <c r="A11" s="947" t="s">
        <v>5571</v>
      </c>
      <c r="B11" s="947" t="s">
        <v>5833</v>
      </c>
      <c r="C11" s="947" t="s">
        <v>5834</v>
      </c>
      <c r="D11" s="947" t="s">
        <v>5835</v>
      </c>
      <c r="E11" s="948" t="s">
        <v>5836</v>
      </c>
      <c r="F11" s="947" t="s">
        <v>5101</v>
      </c>
      <c r="G11" s="605"/>
    </row>
    <row r="12" spans="1:11" ht="15.75" customHeight="1">
      <c r="A12" s="606" t="s">
        <v>4563</v>
      </c>
      <c r="B12" s="949"/>
      <c r="C12" s="949"/>
      <c r="D12" s="949"/>
      <c r="E12" s="952"/>
      <c r="F12" s="953"/>
      <c r="G12" s="608"/>
      <c r="H12" s="609"/>
      <c r="I12" s="609"/>
      <c r="J12" s="609"/>
      <c r="K12" s="609"/>
    </row>
    <row r="13" spans="1:11" ht="30" customHeight="1" thickBot="1">
      <c r="A13" s="1141">
        <v>1</v>
      </c>
      <c r="B13" s="1142">
        <f>+NOMINA!C321</f>
        <v>9110498</v>
      </c>
      <c r="C13" s="1142" t="str">
        <f>+NOMINA!D321</f>
        <v>Ruiz Alberto Jose</v>
      </c>
      <c r="D13" s="1142" t="str">
        <f>+NOMINA!O321</f>
        <v>Ayudante de Servicios Generales</v>
      </c>
      <c r="E13" s="1143">
        <f>+NOMINA!H321</f>
        <v>37508</v>
      </c>
      <c r="F13" s="1144">
        <f>+NOMINA!BO321</f>
        <v>1.52</v>
      </c>
      <c r="G13" s="608"/>
      <c r="H13" s="609"/>
      <c r="I13" s="609"/>
      <c r="J13" s="609"/>
      <c r="K13" s="609"/>
    </row>
    <row r="14" spans="1:11" ht="30" customHeight="1" thickBot="1">
      <c r="A14" s="951"/>
      <c r="B14" s="949"/>
      <c r="C14" s="949"/>
      <c r="D14" s="949"/>
      <c r="E14" s="616" t="s">
        <v>4493</v>
      </c>
      <c r="F14" s="950">
        <f>SUM(F13:F13)</f>
        <v>1.52</v>
      </c>
      <c r="G14" s="608">
        <f>+NOMINA!BO395</f>
        <v>0</v>
      </c>
      <c r="H14" s="609">
        <f>+F14-G14</f>
        <v>1.52</v>
      </c>
      <c r="I14" s="609"/>
      <c r="J14" s="609"/>
      <c r="K14" s="609"/>
    </row>
    <row r="15" spans="1:11" ht="8.25" customHeight="1" thickBot="1">
      <c r="A15" s="956"/>
      <c r="B15" s="957"/>
      <c r="C15" s="958"/>
      <c r="D15" s="958"/>
      <c r="E15" s="959"/>
      <c r="F15" s="960"/>
      <c r="G15" s="608"/>
    </row>
    <row r="16" spans="1:11" ht="30" customHeight="1" thickBot="1">
      <c r="A16" s="961"/>
      <c r="B16" s="962"/>
      <c r="C16" s="963"/>
      <c r="D16" s="963"/>
      <c r="E16" s="616" t="s">
        <v>5848</v>
      </c>
      <c r="F16" s="964">
        <f>+F14</f>
        <v>1.52</v>
      </c>
      <c r="G16" s="608">
        <f>+NOMINA!BO399</f>
        <v>0</v>
      </c>
      <c r="H16" s="609">
        <f>+F16-G16</f>
        <v>1.52</v>
      </c>
    </row>
    <row r="17" spans="3:8" ht="13.5" customHeight="1">
      <c r="G17" s="609"/>
      <c r="H17" s="609"/>
    </row>
    <row r="18" spans="3:8">
      <c r="C18" s="604" t="s">
        <v>5840</v>
      </c>
      <c r="E18" s="604" t="s">
        <v>5841</v>
      </c>
    </row>
    <row r="23" spans="3:8" ht="17.25">
      <c r="C23" s="614" t="s">
        <v>5842</v>
      </c>
      <c r="E23" s="615" t="s">
        <v>5843</v>
      </c>
    </row>
    <row r="24" spans="3:8" ht="17.25">
      <c r="C24" s="614" t="s">
        <v>5844</v>
      </c>
      <c r="E24" s="614" t="s">
        <v>5845</v>
      </c>
      <c r="F24" s="618"/>
      <c r="G24" s="618"/>
    </row>
    <row r="25" spans="3:8">
      <c r="F25" s="620"/>
      <c r="G25" s="619"/>
      <c r="H25" s="619"/>
    </row>
    <row r="26" spans="3:8">
      <c r="G26" s="609"/>
      <c r="H26" s="609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rintOptions horizontalCentered="1"/>
  <pageMargins left="0.19685039370078741" right="0.19685039370078741" top="0.98425196850393704" bottom="0.35433070866141736" header="0.31496062992125984" footer="0.31496062992125984"/>
  <pageSetup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K52"/>
  <sheetViews>
    <sheetView view="pageBreakPreview" topLeftCell="A31" zoomScale="85" zoomScaleSheetLayoutView="85" workbookViewId="0">
      <selection activeCell="D46" sqref="D46"/>
    </sheetView>
  </sheetViews>
  <sheetFormatPr baseColWidth="10" defaultRowHeight="15"/>
  <cols>
    <col min="1" max="1" width="5.140625" style="604" customWidth="1"/>
    <col min="2" max="2" width="11.42578125" style="604"/>
    <col min="3" max="3" width="36.140625" style="604" customWidth="1"/>
    <col min="4" max="4" width="36.7109375" style="604" customWidth="1"/>
    <col min="5" max="5" width="10.85546875" style="604" customWidth="1"/>
    <col min="6" max="6" width="13" style="604" bestFit="1" customWidth="1"/>
    <col min="7" max="7" width="13.42578125" style="604" bestFit="1" customWidth="1"/>
    <col min="8" max="8" width="12.7109375" style="604" bestFit="1" customWidth="1"/>
    <col min="9" max="16384" width="11.42578125" style="604"/>
  </cols>
  <sheetData>
    <row r="1" spans="1:8" ht="15" customHeight="1">
      <c r="A1" s="1719" t="s">
        <v>5827</v>
      </c>
      <c r="B1" s="1719"/>
      <c r="C1" s="1719"/>
      <c r="D1" s="1719"/>
      <c r="E1" s="1719"/>
      <c r="F1" s="1719"/>
      <c r="G1" s="940"/>
    </row>
    <row r="2" spans="1:8" ht="15" customHeight="1">
      <c r="A2" s="1719" t="s">
        <v>5828</v>
      </c>
      <c r="B2" s="1719"/>
      <c r="C2" s="1719"/>
      <c r="D2" s="1719"/>
      <c r="E2" s="1719"/>
      <c r="F2" s="1719"/>
      <c r="G2" s="940"/>
    </row>
    <row r="3" spans="1:8" ht="15" customHeight="1">
      <c r="A3" s="1719" t="s">
        <v>5829</v>
      </c>
      <c r="B3" s="1719"/>
      <c r="C3" s="1719"/>
      <c r="D3" s="1719"/>
      <c r="E3" s="1719"/>
      <c r="F3" s="1719"/>
      <c r="G3" s="940"/>
    </row>
    <row r="4" spans="1:8" ht="15" customHeight="1">
      <c r="A4" s="1719" t="s">
        <v>5830</v>
      </c>
      <c r="B4" s="1719"/>
      <c r="C4" s="1719"/>
      <c r="D4" s="1719"/>
      <c r="E4" s="1719"/>
      <c r="F4" s="1719"/>
      <c r="G4" s="940"/>
    </row>
    <row r="5" spans="1:8" ht="15" customHeight="1">
      <c r="A5" s="1719" t="s">
        <v>5849</v>
      </c>
      <c r="B5" s="1719"/>
      <c r="C5" s="1719"/>
      <c r="D5" s="1719"/>
      <c r="E5" s="1719"/>
      <c r="F5" s="1719"/>
      <c r="G5" s="940"/>
    </row>
    <row r="6" spans="1:8">
      <c r="A6" s="1719" t="s">
        <v>5831</v>
      </c>
      <c r="B6" s="1719"/>
      <c r="C6" s="1719"/>
      <c r="D6" s="1719"/>
      <c r="E6" s="1719"/>
      <c r="F6" s="1719"/>
      <c r="G6" s="940"/>
    </row>
    <row r="8" spans="1:8" ht="20.25" customHeight="1">
      <c r="A8" s="1718" t="s">
        <v>5854</v>
      </c>
      <c r="B8" s="1718"/>
      <c r="C8" s="1718"/>
      <c r="D8" s="1718"/>
      <c r="E8" s="1718"/>
      <c r="F8" s="1718"/>
      <c r="G8" s="939"/>
    </row>
    <row r="9" spans="1:8" ht="18.75" customHeight="1">
      <c r="A9" s="1718" t="str">
        <f>+"Correspondiente al  mes de "&amp;NOMINA!F9&amp;" "&amp;NOMINA!H9</f>
        <v>Correspondiente al  mes de ENERO 2025</v>
      </c>
      <c r="B9" s="1718"/>
      <c r="C9" s="1718"/>
      <c r="D9" s="1718"/>
      <c r="E9" s="1718"/>
      <c r="F9" s="1718"/>
      <c r="G9" s="939"/>
    </row>
    <row r="12" spans="1:8" ht="25.5">
      <c r="A12" s="947" t="s">
        <v>5571</v>
      </c>
      <c r="B12" s="947" t="s">
        <v>5833</v>
      </c>
      <c r="C12" s="947" t="s">
        <v>5834</v>
      </c>
      <c r="D12" s="947" t="s">
        <v>5835</v>
      </c>
      <c r="E12" s="948" t="s">
        <v>5836</v>
      </c>
      <c r="F12" s="947" t="s">
        <v>5100</v>
      </c>
      <c r="G12" s="605"/>
    </row>
    <row r="13" spans="1:8" ht="15.75">
      <c r="A13" s="606" t="s">
        <v>5838</v>
      </c>
      <c r="B13" s="949"/>
      <c r="C13" s="949"/>
      <c r="D13" s="949"/>
      <c r="E13" s="952"/>
      <c r="F13" s="953"/>
      <c r="G13" s="608"/>
      <c r="H13" s="609"/>
    </row>
    <row r="14" spans="1:8" ht="15.75" thickBot="1">
      <c r="A14" s="951">
        <v>1</v>
      </c>
      <c r="B14" s="949">
        <f>+NOMINA!C32</f>
        <v>11320533</v>
      </c>
      <c r="C14" s="949" t="str">
        <f>+NOMINA!D32</f>
        <v>Suarez Chiquin Yaritza Josefina</v>
      </c>
      <c r="D14" s="949" t="str">
        <f>+NOMINA!O32</f>
        <v>COORDINADOR DE PROGRAMA (SAPNNAET)</v>
      </c>
      <c r="E14" s="952">
        <f>+NOMINA!H32</f>
        <v>37629</v>
      </c>
      <c r="F14" s="885">
        <f>+NOMINA!BP32</f>
        <v>1.44</v>
      </c>
      <c r="G14" s="608"/>
      <c r="H14" s="609"/>
    </row>
    <row r="15" spans="1:8" ht="16.5" thickBot="1">
      <c r="A15" s="951"/>
      <c r="B15" s="949"/>
      <c r="C15" s="949"/>
      <c r="D15" s="949"/>
      <c r="E15" s="891" t="s">
        <v>5997</v>
      </c>
      <c r="F15" s="886">
        <f>SUM(F14:F14)</f>
        <v>1.44</v>
      </c>
      <c r="G15" s="608">
        <f>+NOMINA!BP41</f>
        <v>1.44</v>
      </c>
      <c r="H15" s="609">
        <f>+F15-G15</f>
        <v>0</v>
      </c>
    </row>
    <row r="18" spans="1:11">
      <c r="E18" s="609"/>
    </row>
    <row r="21" spans="1:11" ht="25.5">
      <c r="A21" s="947" t="s">
        <v>5571</v>
      </c>
      <c r="B21" s="947" t="s">
        <v>5833</v>
      </c>
      <c r="C21" s="947" t="s">
        <v>5834</v>
      </c>
      <c r="D21" s="947" t="s">
        <v>5835</v>
      </c>
      <c r="E21" s="948" t="s">
        <v>5836</v>
      </c>
      <c r="F21" s="947" t="s">
        <v>5100</v>
      </c>
      <c r="G21" s="605"/>
    </row>
    <row r="22" spans="1:11" ht="15.75" customHeight="1">
      <c r="A22" s="606" t="s">
        <v>4561</v>
      </c>
      <c r="B22" s="949"/>
      <c r="C22" s="949"/>
      <c r="D22" s="949"/>
      <c r="E22" s="952"/>
      <c r="F22" s="953"/>
      <c r="G22" s="608"/>
      <c r="H22" s="609"/>
      <c r="I22" s="609"/>
      <c r="J22" s="609"/>
      <c r="K22" s="609"/>
    </row>
    <row r="23" spans="1:11" ht="15.75" customHeight="1">
      <c r="A23" s="951">
        <v>1</v>
      </c>
      <c r="B23" s="949">
        <f>+NOMINA!C65</f>
        <v>9328224</v>
      </c>
      <c r="C23" s="949" t="str">
        <f>+NOMINA!D65</f>
        <v>Abreu Araujo Omar Antonio</v>
      </c>
      <c r="D23" s="949" t="str">
        <f>+NOMINA!O65</f>
        <v>Tecnico Agropecuario III</v>
      </c>
      <c r="E23" s="952">
        <f>+NOMINA!H65</f>
        <v>39356</v>
      </c>
      <c r="F23" s="953">
        <f>+NOMINA!BP65</f>
        <v>1.1299999999999999</v>
      </c>
      <c r="G23" s="608"/>
      <c r="H23" s="609"/>
      <c r="I23" s="609"/>
      <c r="J23" s="609"/>
      <c r="K23" s="609"/>
    </row>
    <row r="24" spans="1:11" ht="15.75" customHeight="1" thickBot="1">
      <c r="A24" s="951">
        <v>2</v>
      </c>
      <c r="B24" s="949">
        <f>+NOMINA!C177</f>
        <v>16376698</v>
      </c>
      <c r="C24" s="949" t="str">
        <f>+NOMINA!D177</f>
        <v>Barreto Maldonado Jose Luis</v>
      </c>
      <c r="D24" s="949" t="str">
        <f>+NOMINA!O177</f>
        <v>Supervisor de Servicios Generales IV</v>
      </c>
      <c r="E24" s="952">
        <f>+NOMINA!H177</f>
        <v>40909</v>
      </c>
      <c r="F24" s="953">
        <f>+NOMINA!BP177</f>
        <v>0.86</v>
      </c>
      <c r="G24" s="608"/>
      <c r="H24" s="609"/>
      <c r="I24" s="609"/>
      <c r="J24" s="609"/>
      <c r="K24" s="609"/>
    </row>
    <row r="25" spans="1:11" ht="15.75" customHeight="1" thickBot="1">
      <c r="A25" s="951"/>
      <c r="B25" s="949"/>
      <c r="C25" s="949"/>
      <c r="D25" s="949"/>
      <c r="E25" s="616" t="s">
        <v>4562</v>
      </c>
      <c r="F25" s="950">
        <f>SUM(F23:F24)</f>
        <v>1.9899999999999998</v>
      </c>
      <c r="G25" s="608">
        <f>+NOMINA!BP309</f>
        <v>0</v>
      </c>
      <c r="H25" s="609">
        <f>+F25-G25</f>
        <v>1.9899999999999998</v>
      </c>
      <c r="I25" s="609"/>
      <c r="J25" s="609"/>
      <c r="K25" s="609"/>
    </row>
    <row r="26" spans="1:11" ht="15.75" customHeight="1">
      <c r="A26" s="610"/>
      <c r="B26" s="610"/>
      <c r="C26" s="610"/>
      <c r="D26" s="610"/>
      <c r="E26" s="610"/>
      <c r="F26" s="610"/>
      <c r="G26" s="608"/>
      <c r="H26" s="609"/>
      <c r="I26" s="609"/>
      <c r="J26" s="609"/>
      <c r="K26" s="609"/>
    </row>
    <row r="27" spans="1:11" ht="15.75" customHeight="1">
      <c r="A27" s="610"/>
      <c r="B27" s="610"/>
      <c r="C27" s="1205"/>
      <c r="D27" s="610"/>
      <c r="E27" s="610"/>
      <c r="F27" s="610"/>
      <c r="G27" s="608"/>
      <c r="H27" s="609"/>
      <c r="I27" s="609"/>
      <c r="J27" s="609"/>
      <c r="K27" s="609"/>
    </row>
    <row r="28" spans="1:11" ht="15.75" customHeight="1">
      <c r="A28" s="610"/>
      <c r="B28" s="610"/>
      <c r="C28" s="610"/>
      <c r="D28" s="610"/>
      <c r="E28" s="610"/>
      <c r="F28" s="610"/>
      <c r="G28" s="608"/>
      <c r="H28" s="609"/>
      <c r="I28" s="609"/>
      <c r="J28" s="609"/>
      <c r="K28" s="609"/>
    </row>
    <row r="29" spans="1:11" ht="15.75" customHeight="1">
      <c r="A29" s="610"/>
      <c r="B29" s="612"/>
      <c r="C29" s="604" t="s">
        <v>5840</v>
      </c>
      <c r="E29" s="604" t="s">
        <v>5841</v>
      </c>
      <c r="G29" s="608"/>
      <c r="H29" s="609"/>
      <c r="I29" s="609"/>
      <c r="J29" s="609"/>
      <c r="K29" s="609"/>
    </row>
    <row r="30" spans="1:11" ht="15.75" customHeight="1">
      <c r="A30" s="610"/>
      <c r="B30" s="612"/>
      <c r="G30" s="608"/>
      <c r="H30" s="609"/>
      <c r="I30" s="609"/>
      <c r="J30" s="609"/>
      <c r="K30" s="609"/>
    </row>
    <row r="31" spans="1:11" ht="15.75" customHeight="1">
      <c r="A31" s="610"/>
      <c r="B31" s="612"/>
      <c r="G31" s="608"/>
      <c r="H31" s="609"/>
      <c r="I31" s="609"/>
      <c r="J31" s="609"/>
      <c r="K31" s="609"/>
    </row>
    <row r="32" spans="1:11" ht="15.75" customHeight="1">
      <c r="A32" s="610"/>
      <c r="B32" s="612"/>
      <c r="C32" s="614" t="s">
        <v>5842</v>
      </c>
      <c r="E32" s="615" t="s">
        <v>5843</v>
      </c>
      <c r="G32" s="608"/>
      <c r="H32" s="609"/>
      <c r="I32" s="609"/>
      <c r="J32" s="609"/>
      <c r="K32" s="609"/>
    </row>
    <row r="33" spans="1:11" ht="15.75" customHeight="1">
      <c r="A33" s="610"/>
      <c r="B33" s="612"/>
      <c r="C33" s="614" t="s">
        <v>5844</v>
      </c>
      <c r="E33" s="614" t="s">
        <v>5845</v>
      </c>
      <c r="G33" s="608"/>
      <c r="H33" s="609"/>
      <c r="I33" s="609"/>
      <c r="J33" s="609"/>
      <c r="K33" s="609"/>
    </row>
    <row r="34" spans="1:11" ht="15.75" customHeight="1">
      <c r="A34" s="610"/>
      <c r="B34" s="610"/>
      <c r="C34" s="610"/>
      <c r="D34" s="610"/>
      <c r="E34" s="610"/>
      <c r="F34" s="610"/>
      <c r="G34" s="608"/>
      <c r="H34" s="609"/>
      <c r="I34" s="609"/>
      <c r="J34" s="609"/>
      <c r="K34" s="609"/>
    </row>
    <row r="35" spans="1:11" ht="15.75" customHeight="1">
      <c r="A35" s="610"/>
      <c r="B35" s="610"/>
      <c r="C35" s="610"/>
      <c r="D35" s="610"/>
      <c r="E35" s="610"/>
      <c r="F35" s="610"/>
      <c r="G35" s="608"/>
      <c r="H35" s="609"/>
      <c r="I35" s="609"/>
      <c r="J35" s="609"/>
      <c r="K35" s="609"/>
    </row>
    <row r="36" spans="1:11" ht="15.75" customHeight="1">
      <c r="A36" s="606" t="s">
        <v>4563</v>
      </c>
      <c r="B36" s="949"/>
      <c r="C36" s="949"/>
      <c r="D36" s="949"/>
      <c r="E36" s="952"/>
      <c r="F36" s="947" t="s">
        <v>5100</v>
      </c>
      <c r="G36" s="608"/>
      <c r="H36" s="609"/>
      <c r="I36" s="609"/>
      <c r="J36" s="609"/>
      <c r="K36" s="609"/>
    </row>
    <row r="37" spans="1:11" ht="15.75" customHeight="1">
      <c r="A37" s="951">
        <v>1</v>
      </c>
      <c r="B37" s="949">
        <f>+NOMINA!C339</f>
        <v>11129355</v>
      </c>
      <c r="C37" s="949" t="str">
        <f>+NOMINA!D339</f>
        <v xml:space="preserve">Luque Azuaje Rigoberto </v>
      </c>
      <c r="D37" s="949" t="str">
        <f>+NOMINA!O339</f>
        <v>Ayudante de Servicios Generales</v>
      </c>
      <c r="E37" s="952">
        <f>+NOMINA!H339</f>
        <v>39539</v>
      </c>
      <c r="F37" s="953">
        <f>+NOMINA!BP339</f>
        <v>0.76</v>
      </c>
      <c r="G37" s="608"/>
      <c r="H37" s="609"/>
      <c r="I37" s="609"/>
      <c r="J37" s="609"/>
      <c r="K37" s="609"/>
    </row>
    <row r="38" spans="1:11" ht="15.75" customHeight="1" thickBot="1">
      <c r="A38" s="1203"/>
      <c r="B38" s="1162"/>
      <c r="C38" s="1162"/>
      <c r="D38" s="1162"/>
      <c r="E38" s="1204"/>
      <c r="F38" s="1163"/>
      <c r="G38" s="608"/>
      <c r="H38" s="609"/>
      <c r="I38" s="609"/>
      <c r="J38" s="609"/>
      <c r="K38" s="609"/>
    </row>
    <row r="39" spans="1:11" ht="15.75" customHeight="1" thickBot="1">
      <c r="A39" s="951"/>
      <c r="B39" s="949"/>
      <c r="C39" s="949"/>
      <c r="D39" s="949"/>
      <c r="E39" s="616" t="s">
        <v>4493</v>
      </c>
      <c r="F39" s="950">
        <f>SUM(F37:F37)</f>
        <v>0.76</v>
      </c>
      <c r="G39" s="608">
        <f>+NOMINA!BP395</f>
        <v>0</v>
      </c>
      <c r="H39" s="609">
        <f>+F39-G39</f>
        <v>0.76</v>
      </c>
      <c r="I39" s="609"/>
      <c r="J39" s="609"/>
      <c r="K39" s="609"/>
    </row>
    <row r="40" spans="1:11" ht="8.25" customHeight="1">
      <c r="A40" s="956"/>
      <c r="B40" s="957"/>
      <c r="C40" s="958"/>
      <c r="D40" s="958"/>
      <c r="E40" s="959"/>
      <c r="F40" s="960"/>
      <c r="G40" s="608"/>
    </row>
    <row r="41" spans="1:11" ht="13.5" customHeight="1">
      <c r="G41" s="609"/>
      <c r="H41" s="609"/>
    </row>
    <row r="42" spans="1:11">
      <c r="C42" s="604" t="s">
        <v>5840</v>
      </c>
      <c r="E42" s="604" t="s">
        <v>5841</v>
      </c>
    </row>
    <row r="43" spans="1:11">
      <c r="F43" s="609"/>
    </row>
    <row r="49" spans="3:8" ht="17.25">
      <c r="C49" s="614" t="s">
        <v>5842</v>
      </c>
      <c r="E49" s="615" t="s">
        <v>5843</v>
      </c>
    </row>
    <row r="50" spans="3:8" ht="17.25">
      <c r="C50" s="614" t="s">
        <v>5844</v>
      </c>
      <c r="E50" s="614" t="s">
        <v>5845</v>
      </c>
      <c r="F50" s="618"/>
      <c r="G50" s="618"/>
    </row>
    <row r="51" spans="3:8">
      <c r="F51" s="620"/>
      <c r="G51" s="619"/>
      <c r="H51" s="619"/>
    </row>
    <row r="52" spans="3:8">
      <c r="G52" s="609"/>
      <c r="H52" s="609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1" manualBreakCount="1">
    <brk id="35" max="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K425"/>
  <sheetViews>
    <sheetView view="pageBreakPreview" zoomScale="85" zoomScaleSheetLayoutView="85" workbookViewId="0">
      <selection activeCell="D17" sqref="D17"/>
    </sheetView>
  </sheetViews>
  <sheetFormatPr baseColWidth="10" defaultRowHeight="15"/>
  <cols>
    <col min="1" max="1" width="5.140625" style="604" customWidth="1"/>
    <col min="2" max="2" width="11.42578125" style="604"/>
    <col min="3" max="3" width="36.140625" style="604" customWidth="1"/>
    <col min="4" max="4" width="36.7109375" style="604" customWidth="1"/>
    <col min="5" max="5" width="10.85546875" style="604" customWidth="1"/>
    <col min="6" max="6" width="13" style="604" bestFit="1" customWidth="1"/>
    <col min="7" max="7" width="13.42578125" style="604" bestFit="1" customWidth="1"/>
    <col min="8" max="8" width="12.7109375" style="604" bestFit="1" customWidth="1"/>
    <col min="9" max="16384" width="11.42578125" style="604"/>
  </cols>
  <sheetData>
    <row r="1" spans="1:11" ht="15" customHeight="1">
      <c r="A1" s="1719" t="s">
        <v>5827</v>
      </c>
      <c r="B1" s="1719"/>
      <c r="C1" s="1719"/>
      <c r="D1" s="1719"/>
      <c r="E1" s="1719"/>
      <c r="F1" s="1719"/>
      <c r="G1" s="940"/>
    </row>
    <row r="2" spans="1:11" ht="15" customHeight="1">
      <c r="A2" s="1719" t="s">
        <v>5828</v>
      </c>
      <c r="B2" s="1719"/>
      <c r="C2" s="1719"/>
      <c r="D2" s="1719"/>
      <c r="E2" s="1719"/>
      <c r="F2" s="1719"/>
      <c r="G2" s="940"/>
    </row>
    <row r="3" spans="1:11" ht="15" customHeight="1">
      <c r="A3" s="1719" t="s">
        <v>5829</v>
      </c>
      <c r="B3" s="1719"/>
      <c r="C3" s="1719"/>
      <c r="D3" s="1719"/>
      <c r="E3" s="1719"/>
      <c r="F3" s="1719"/>
      <c r="G3" s="940"/>
    </row>
    <row r="4" spans="1:11" ht="15" customHeight="1">
      <c r="A4" s="1719" t="s">
        <v>5830</v>
      </c>
      <c r="B4" s="1719"/>
      <c r="C4" s="1719"/>
      <c r="D4" s="1719"/>
      <c r="E4" s="1719"/>
      <c r="F4" s="1719"/>
      <c r="G4" s="940"/>
    </row>
    <row r="5" spans="1:11" ht="15" customHeight="1">
      <c r="A5" s="1719" t="s">
        <v>5849</v>
      </c>
      <c r="B5" s="1719"/>
      <c r="C5" s="1719"/>
      <c r="D5" s="1719"/>
      <c r="E5" s="1719"/>
      <c r="F5" s="1719"/>
      <c r="G5" s="940"/>
    </row>
    <row r="6" spans="1:11">
      <c r="A6" s="1719" t="s">
        <v>5831</v>
      </c>
      <c r="B6" s="1719"/>
      <c r="C6" s="1719"/>
      <c r="D6" s="1719"/>
      <c r="E6" s="1719"/>
      <c r="F6" s="1719"/>
      <c r="G6" s="940"/>
    </row>
    <row r="8" spans="1:11" ht="20.25" customHeight="1">
      <c r="A8" s="1718" t="s">
        <v>5855</v>
      </c>
      <c r="B8" s="1718"/>
      <c r="C8" s="1718"/>
      <c r="D8" s="1718"/>
      <c r="E8" s="1718"/>
      <c r="F8" s="1718"/>
      <c r="G8" s="939"/>
    </row>
    <row r="9" spans="1:11" ht="18.75" customHeight="1">
      <c r="A9" s="1718" t="str">
        <f>+"Correspondiente al  mes de "&amp;NOMINA!F9&amp;" "&amp;NOMINA!H9</f>
        <v>Correspondiente al  mes de ENERO 2025</v>
      </c>
      <c r="B9" s="1718"/>
      <c r="C9" s="1718"/>
      <c r="D9" s="1718"/>
      <c r="E9" s="1718"/>
      <c r="F9" s="1718"/>
      <c r="G9" s="939"/>
    </row>
    <row r="11" spans="1:11" ht="25.5">
      <c r="A11" s="947" t="s">
        <v>5571</v>
      </c>
      <c r="B11" s="947" t="s">
        <v>5833</v>
      </c>
      <c r="C11" s="947" t="s">
        <v>5834</v>
      </c>
      <c r="D11" s="947" t="s">
        <v>5835</v>
      </c>
      <c r="E11" s="948" t="s">
        <v>5836</v>
      </c>
      <c r="F11" s="947" t="s">
        <v>5837</v>
      </c>
      <c r="G11" s="605"/>
    </row>
    <row r="12" spans="1:11" ht="15.75" customHeight="1">
      <c r="A12" s="606" t="s">
        <v>5838</v>
      </c>
      <c r="B12" s="949"/>
      <c r="C12" s="949"/>
      <c r="D12" s="949"/>
      <c r="E12" s="949"/>
      <c r="F12" s="950"/>
      <c r="G12" s="608"/>
      <c r="H12" s="609"/>
      <c r="I12" s="609"/>
      <c r="J12" s="609"/>
      <c r="K12" s="609"/>
    </row>
    <row r="13" spans="1:11" ht="15.75" customHeight="1">
      <c r="A13" s="951">
        <v>1</v>
      </c>
      <c r="B13" s="949">
        <f>+NOMINA!C17</f>
        <v>11894534</v>
      </c>
      <c r="C13" s="949" t="str">
        <f>+NOMINA!D17</f>
        <v>Olmos Rodriguez Eberto de Jesus</v>
      </c>
      <c r="D13" s="949" t="str">
        <f>+NOMINA!O17</f>
        <v>JEFE DE DEPARTAMENTO</v>
      </c>
      <c r="E13" s="952">
        <f>+NOMINA!H17</f>
        <v>40909</v>
      </c>
      <c r="F13" s="953">
        <f>+NOMINA!BN17</f>
        <v>7.52</v>
      </c>
      <c r="G13" s="608"/>
      <c r="H13" s="609"/>
      <c r="I13" s="609"/>
      <c r="J13" s="609"/>
      <c r="K13" s="609"/>
    </row>
    <row r="14" spans="1:11" ht="15.75" customHeight="1">
      <c r="A14" s="951">
        <f>+A13+1</f>
        <v>2</v>
      </c>
      <c r="B14" s="949">
        <f>+NOMINA!C18</f>
        <v>12458942</v>
      </c>
      <c r="C14" s="949" t="str">
        <f>+NOMINA!D18</f>
        <v>Mendoza Mendoza Mirian del Milagro</v>
      </c>
      <c r="D14" s="949" t="str">
        <f>+NOMINA!O18</f>
        <v>JEFE DE DEPARTAMENTO</v>
      </c>
      <c r="E14" s="952">
        <f>+NOMINA!H18</f>
        <v>44424</v>
      </c>
      <c r="F14" s="953">
        <f>+NOMINA!BN18</f>
        <v>7.81</v>
      </c>
      <c r="G14" s="608"/>
      <c r="H14" s="609"/>
      <c r="I14" s="609"/>
      <c r="J14" s="609"/>
      <c r="K14" s="609"/>
    </row>
    <row r="15" spans="1:11" ht="15.75" customHeight="1">
      <c r="A15" s="951">
        <f t="shared" ref="A15:A36" si="0">+A14+1</f>
        <v>3</v>
      </c>
      <c r="B15" s="949">
        <f>+NOMINA!C19</f>
        <v>8719807</v>
      </c>
      <c r="C15" s="949" t="str">
        <f>+NOMINA!D19</f>
        <v>Perez Saavedra Isabel Teresa</v>
      </c>
      <c r="D15" s="949" t="str">
        <f>+NOMINA!O19</f>
        <v>JEFE DE DEPARTAMENTO</v>
      </c>
      <c r="E15" s="952">
        <f>+NOMINA!H19</f>
        <v>39874</v>
      </c>
      <c r="F15" s="953">
        <f>+NOMINA!BN19</f>
        <v>7.27</v>
      </c>
      <c r="G15" s="608"/>
      <c r="H15" s="609"/>
      <c r="I15" s="609"/>
      <c r="J15" s="609"/>
      <c r="K15" s="609"/>
    </row>
    <row r="16" spans="1:11" ht="15.75" customHeight="1">
      <c r="A16" s="951">
        <f t="shared" si="0"/>
        <v>4</v>
      </c>
      <c r="B16" s="949">
        <f>+NOMINA!C20</f>
        <v>10404528</v>
      </c>
      <c r="C16" s="949" t="str">
        <f>+NOMINA!D20</f>
        <v>Perez Castellano Javier Horacio</v>
      </c>
      <c r="D16" s="949" t="str">
        <f>+NOMINA!O20</f>
        <v>JEFE DE DEPARTAMENTO</v>
      </c>
      <c r="E16" s="952">
        <f>+NOMINA!H20</f>
        <v>37622</v>
      </c>
      <c r="F16" s="953">
        <f>+NOMINA!BN20</f>
        <v>7.66</v>
      </c>
      <c r="G16" s="608"/>
      <c r="H16" s="609"/>
      <c r="I16" s="609"/>
      <c r="J16" s="609"/>
      <c r="K16" s="609"/>
    </row>
    <row r="17" spans="1:11" ht="15.75" customHeight="1">
      <c r="A17" s="951">
        <f t="shared" si="0"/>
        <v>5</v>
      </c>
      <c r="B17" s="949">
        <f>+NOMINA!C21</f>
        <v>9311822</v>
      </c>
      <c r="C17" s="949" t="str">
        <f>+NOMINA!D21</f>
        <v>Rojo Sanchez Alexis O.</v>
      </c>
      <c r="D17" s="949" t="str">
        <f>+NOMINA!O21</f>
        <v>JEFE DE DEPARTAMENTO</v>
      </c>
      <c r="E17" s="952">
        <f>+NOMINA!H21</f>
        <v>37662</v>
      </c>
      <c r="F17" s="953">
        <f>+NOMINA!BN21</f>
        <v>5.94</v>
      </c>
      <c r="G17" s="608"/>
      <c r="H17" s="609"/>
      <c r="I17" s="609"/>
      <c r="J17" s="609"/>
      <c r="K17" s="609"/>
    </row>
    <row r="18" spans="1:11" ht="15.75" customHeight="1">
      <c r="A18" s="951">
        <f t="shared" si="0"/>
        <v>6</v>
      </c>
      <c r="B18" s="949">
        <f>+NOMINA!C22</f>
        <v>21592108</v>
      </c>
      <c r="C18" s="949" t="str">
        <f>+NOMINA!D22</f>
        <v>Coy Andara Darlin Gabriela</v>
      </c>
      <c r="D18" s="949" t="str">
        <f>+NOMINA!O22</f>
        <v>JEFE DE DEPARTAMENTO</v>
      </c>
      <c r="E18" s="952">
        <f>+NOMINA!H22</f>
        <v>43024</v>
      </c>
      <c r="F18" s="953">
        <f>+NOMINA!BN22</f>
        <v>6.39</v>
      </c>
      <c r="G18" s="608"/>
      <c r="H18" s="609"/>
      <c r="I18" s="609"/>
      <c r="J18" s="609"/>
      <c r="K18" s="609"/>
    </row>
    <row r="19" spans="1:11" ht="15.75" customHeight="1">
      <c r="A19" s="951">
        <f t="shared" si="0"/>
        <v>7</v>
      </c>
      <c r="B19" s="949">
        <f>+NOMINA!C23</f>
        <v>13206767</v>
      </c>
      <c r="C19" s="949" t="str">
        <f>+NOMINA!D23</f>
        <v>Bastidas Guerra Soralis del Valle</v>
      </c>
      <c r="D19" s="949" t="str">
        <f>+NOMINA!O23</f>
        <v>COORDINADOR DE PROGRAMA (SAPNNAET)</v>
      </c>
      <c r="E19" s="952">
        <f>+NOMINA!H23</f>
        <v>44713</v>
      </c>
      <c r="F19" s="953">
        <f>+NOMINA!BN23</f>
        <v>6.06</v>
      </c>
      <c r="G19" s="608"/>
      <c r="H19" s="609"/>
      <c r="I19" s="609"/>
      <c r="J19" s="609"/>
      <c r="K19" s="609"/>
    </row>
    <row r="20" spans="1:11" ht="15.75" customHeight="1">
      <c r="A20" s="951">
        <f t="shared" si="0"/>
        <v>8</v>
      </c>
      <c r="B20" s="949">
        <f>+NOMINA!C24</f>
        <v>13462933</v>
      </c>
      <c r="C20" s="949" t="str">
        <f>+NOMINA!D24</f>
        <v>Frias Aldana Maria Yaritza</v>
      </c>
      <c r="D20" s="949" t="str">
        <f>+NOMINA!O24</f>
        <v>COORDINADOR DE PROGRAMA (SAPNNAET)</v>
      </c>
      <c r="E20" s="952">
        <f>+NOMINA!H24</f>
        <v>39454</v>
      </c>
      <c r="F20" s="953">
        <f>+NOMINA!BN24</f>
        <v>7.14</v>
      </c>
      <c r="G20" s="608"/>
      <c r="H20" s="609"/>
      <c r="I20" s="609"/>
      <c r="J20" s="609"/>
      <c r="K20" s="609"/>
    </row>
    <row r="21" spans="1:11" ht="15.75" customHeight="1">
      <c r="A21" s="951">
        <f t="shared" si="0"/>
        <v>9</v>
      </c>
      <c r="B21" s="949">
        <f>+NOMINA!C25</f>
        <v>11315315</v>
      </c>
      <c r="C21" s="949" t="str">
        <f>+NOMINA!D25</f>
        <v>Guillen Mendoza Edgar Daniel</v>
      </c>
      <c r="D21" s="949" t="str">
        <f>+NOMINA!O25</f>
        <v>COORDINADOR DE PROGRAMA (SAPNNAET)</v>
      </c>
      <c r="E21" s="952">
        <f>+NOMINA!H25</f>
        <v>45505</v>
      </c>
      <c r="F21" s="953">
        <f>+NOMINA!BN25</f>
        <v>4.78</v>
      </c>
      <c r="G21" s="608"/>
      <c r="H21" s="609"/>
      <c r="I21" s="609"/>
      <c r="J21" s="609"/>
      <c r="K21" s="609"/>
    </row>
    <row r="22" spans="1:11" ht="15.75" customHeight="1">
      <c r="A22" s="951">
        <f t="shared" si="0"/>
        <v>10</v>
      </c>
      <c r="B22" s="949">
        <f>+NOMINA!C26</f>
        <v>12542413</v>
      </c>
      <c r="C22" s="949" t="str">
        <f>+NOMINA!D26</f>
        <v>Aponte Matheus Richard Alexander</v>
      </c>
      <c r="D22" s="949" t="str">
        <f>+NOMINA!O26</f>
        <v>COORDINADOR DE PROGRAMA (SAPNNAET)</v>
      </c>
      <c r="E22" s="952">
        <f>+NOMINA!H26</f>
        <v>36434</v>
      </c>
      <c r="F22" s="953">
        <f>+NOMINA!BN26</f>
        <v>5.82</v>
      </c>
      <c r="G22" s="608"/>
      <c r="H22" s="609"/>
      <c r="I22" s="609"/>
      <c r="J22" s="609"/>
      <c r="K22" s="609"/>
    </row>
    <row r="23" spans="1:11" ht="15.75" customHeight="1">
      <c r="A23" s="951">
        <f t="shared" si="0"/>
        <v>11</v>
      </c>
      <c r="B23" s="949">
        <f>+NOMINA!C27</f>
        <v>18457406</v>
      </c>
      <c r="C23" s="949" t="str">
        <f>+NOMINA!D27</f>
        <v>Rivero Zambrano Herluis Jose</v>
      </c>
      <c r="D23" s="949" t="str">
        <f>+NOMINA!O27</f>
        <v>COORDINADOR DE PROGRAMA (SAPNNAET)</v>
      </c>
      <c r="E23" s="952">
        <f>+NOMINA!H27</f>
        <v>41548</v>
      </c>
      <c r="F23" s="953">
        <f>+NOMINA!BN27</f>
        <v>6.67</v>
      </c>
      <c r="G23" s="608"/>
      <c r="H23" s="609"/>
      <c r="I23" s="609"/>
      <c r="J23" s="609"/>
      <c r="K23" s="609"/>
    </row>
    <row r="24" spans="1:11" ht="15.75" customHeight="1">
      <c r="A24" s="951">
        <f t="shared" si="0"/>
        <v>12</v>
      </c>
      <c r="B24" s="949">
        <f>+NOMINA!C28</f>
        <v>11895772</v>
      </c>
      <c r="C24" s="949" t="str">
        <f>+NOMINA!D28</f>
        <v>Rangel Rivas Ildemaro</v>
      </c>
      <c r="D24" s="949" t="str">
        <f>+NOMINA!O28</f>
        <v>COORDINADOR DE PROGRAMA (SAPNNAET)</v>
      </c>
      <c r="E24" s="952">
        <f>+NOMINA!H28</f>
        <v>44743</v>
      </c>
      <c r="F24" s="953">
        <f>+NOMINA!BN28</f>
        <v>5.97</v>
      </c>
      <c r="G24" s="608"/>
      <c r="H24" s="609"/>
      <c r="I24" s="609"/>
      <c r="J24" s="609"/>
      <c r="K24" s="609"/>
    </row>
    <row r="25" spans="1:11" ht="15.75" customHeight="1">
      <c r="A25" s="951">
        <f t="shared" si="0"/>
        <v>13</v>
      </c>
      <c r="B25" s="949">
        <f>+NOMINA!C29</f>
        <v>9495661</v>
      </c>
      <c r="C25" s="949" t="str">
        <f>+NOMINA!D29</f>
        <v>Aguial Carrillo Gregoria Coromoto</v>
      </c>
      <c r="D25" s="949" t="str">
        <f>+NOMINA!O29</f>
        <v>COORDINADOR DE PROGRAMA (SAPNNAET)</v>
      </c>
      <c r="E25" s="952">
        <f>+NOMINA!H29</f>
        <v>39692</v>
      </c>
      <c r="F25" s="953">
        <f>+NOMINA!BN29</f>
        <v>5.46</v>
      </c>
      <c r="G25" s="608"/>
      <c r="H25" s="609"/>
      <c r="I25" s="609"/>
      <c r="J25" s="609"/>
      <c r="K25" s="609"/>
    </row>
    <row r="26" spans="1:11" ht="15.75" customHeight="1">
      <c r="A26" s="951">
        <f t="shared" si="0"/>
        <v>14</v>
      </c>
      <c r="B26" s="949">
        <f>+NOMINA!C30</f>
        <v>5348397</v>
      </c>
      <c r="C26" s="949" t="str">
        <f>+NOMINA!D30</f>
        <v>Araujo Manzanilla Carlos Antonio</v>
      </c>
      <c r="D26" s="949" t="str">
        <f>+NOMINA!O30</f>
        <v>COORDINADOR DE PROGRAMA (SAPNNAET)</v>
      </c>
      <c r="E26" s="952">
        <f>+NOMINA!H30</f>
        <v>43359</v>
      </c>
      <c r="F26" s="953">
        <f>+NOMINA!BN30</f>
        <v>6.91</v>
      </c>
      <c r="G26" s="608"/>
      <c r="H26" s="609"/>
      <c r="I26" s="609"/>
      <c r="J26" s="609"/>
      <c r="K26" s="609"/>
    </row>
    <row r="27" spans="1:11" ht="15.75" customHeight="1">
      <c r="A27" s="951">
        <f t="shared" si="0"/>
        <v>15</v>
      </c>
      <c r="B27" s="949">
        <f>+NOMINA!C31</f>
        <v>9314132</v>
      </c>
      <c r="C27" s="949" t="str">
        <f>+NOMINA!D31</f>
        <v>Viloria Montilla Gerardo</v>
      </c>
      <c r="D27" s="949" t="str">
        <f>+NOMINA!O31</f>
        <v>COORDINADOR DE PROGRAMA (SAPNNAET)</v>
      </c>
      <c r="E27" s="952">
        <f>+NOMINA!H31</f>
        <v>44348</v>
      </c>
      <c r="F27" s="953">
        <f>+NOMINA!BN31</f>
        <v>6.59</v>
      </c>
      <c r="G27" s="608"/>
      <c r="H27" s="609"/>
      <c r="I27" s="609"/>
      <c r="J27" s="609"/>
      <c r="K27" s="609"/>
    </row>
    <row r="28" spans="1:11" ht="15.75" customHeight="1">
      <c r="A28" s="951">
        <f t="shared" si="0"/>
        <v>16</v>
      </c>
      <c r="B28" s="949">
        <f>+NOMINA!C32</f>
        <v>11320533</v>
      </c>
      <c r="C28" s="949" t="str">
        <f>+NOMINA!D32</f>
        <v>Suarez Chiquin Yaritza Josefina</v>
      </c>
      <c r="D28" s="949" t="str">
        <f>+NOMINA!O32</f>
        <v>COORDINADOR DE PROGRAMA (SAPNNAET)</v>
      </c>
      <c r="E28" s="952">
        <f>+NOMINA!H32</f>
        <v>37629</v>
      </c>
      <c r="F28" s="953">
        <f>+NOMINA!BN32</f>
        <v>7.42</v>
      </c>
      <c r="G28" s="608"/>
      <c r="H28" s="609"/>
      <c r="I28" s="609"/>
      <c r="J28" s="609"/>
      <c r="K28" s="609"/>
    </row>
    <row r="29" spans="1:11" ht="15.75" customHeight="1">
      <c r="A29" s="951">
        <f t="shared" si="0"/>
        <v>17</v>
      </c>
      <c r="B29" s="949">
        <f>+NOMINA!C33</f>
        <v>10912595</v>
      </c>
      <c r="C29" s="949" t="str">
        <f>+NOMINA!D33</f>
        <v>Delfin Bustos Jose Hercilio</v>
      </c>
      <c r="D29" s="949" t="str">
        <f>+NOMINA!O33</f>
        <v>COORDINADOR DE PROGRAMA (SAPNNAET)</v>
      </c>
      <c r="E29" s="952">
        <f>+NOMINA!H33</f>
        <v>36039</v>
      </c>
      <c r="F29" s="953">
        <f>+NOMINA!BN33</f>
        <v>5.82</v>
      </c>
      <c r="G29" s="608"/>
      <c r="H29" s="609"/>
      <c r="I29" s="609"/>
      <c r="J29" s="609"/>
      <c r="K29" s="609"/>
    </row>
    <row r="30" spans="1:11" ht="15.75" customHeight="1">
      <c r="A30" s="951">
        <f t="shared" si="0"/>
        <v>18</v>
      </c>
      <c r="B30" s="949">
        <f>+NOMINA!C34</f>
        <v>4306476</v>
      </c>
      <c r="C30" s="949" t="str">
        <f>+NOMINA!D34</f>
        <v xml:space="preserve">Triviño De Bastidas Dioni De La Coromoto </v>
      </c>
      <c r="D30" s="949" t="str">
        <f>+NOMINA!O34</f>
        <v>COORDINADOR DE PROGRAMA (SAPNNAET)</v>
      </c>
      <c r="E30" s="952">
        <f>+NOMINA!H34</f>
        <v>44409</v>
      </c>
      <c r="F30" s="953">
        <f>+NOMINA!BN34</f>
        <v>7.86</v>
      </c>
      <c r="G30" s="608"/>
      <c r="H30" s="609"/>
      <c r="I30" s="609"/>
      <c r="J30" s="609"/>
      <c r="K30" s="609"/>
    </row>
    <row r="31" spans="1:11" ht="15.75" customHeight="1">
      <c r="A31" s="951">
        <f t="shared" si="0"/>
        <v>19</v>
      </c>
      <c r="B31" s="949">
        <f>+NOMINA!C35</f>
        <v>13568733</v>
      </c>
      <c r="C31" s="949" t="str">
        <f>+NOMINA!D35</f>
        <v>Campos de Velazquez Nilda Carolina</v>
      </c>
      <c r="D31" s="949" t="str">
        <f>+NOMINA!O35</f>
        <v>COORDINADOR DE PROGRAMA (SAPNNAET)</v>
      </c>
      <c r="E31" s="952">
        <f>+NOMINA!H35</f>
        <v>44805</v>
      </c>
      <c r="F31" s="953">
        <f>+NOMINA!BN35</f>
        <v>6.22</v>
      </c>
      <c r="G31" s="608"/>
      <c r="H31" s="609"/>
      <c r="I31" s="609"/>
      <c r="J31" s="609"/>
      <c r="K31" s="609"/>
    </row>
    <row r="32" spans="1:11" ht="15.75" customHeight="1">
      <c r="A32" s="951">
        <f t="shared" si="0"/>
        <v>20</v>
      </c>
      <c r="B32" s="949">
        <f>+NOMINA!C36</f>
        <v>20790947</v>
      </c>
      <c r="C32" s="949" t="str">
        <f>+NOMINA!D36</f>
        <v>Urbina Cuellar Tannessy Lenery</v>
      </c>
      <c r="D32" s="949" t="str">
        <f>+NOMINA!O36</f>
        <v>COORDINADOR DE PROGRAMA (SAPNNAET)</v>
      </c>
      <c r="E32" s="952">
        <f>+NOMINA!H36</f>
        <v>43967</v>
      </c>
      <c r="F32" s="953">
        <f>+NOMINA!BN36</f>
        <v>6.31</v>
      </c>
      <c r="G32" s="608"/>
      <c r="H32" s="609"/>
      <c r="I32" s="609"/>
      <c r="J32" s="609"/>
      <c r="K32" s="609"/>
    </row>
    <row r="33" spans="1:11" ht="15.75" customHeight="1">
      <c r="A33" s="951">
        <f t="shared" si="0"/>
        <v>21</v>
      </c>
      <c r="B33" s="949">
        <f>+NOMINA!C37</f>
        <v>15752183</v>
      </c>
      <c r="C33" s="949" t="str">
        <f>+NOMINA!D37</f>
        <v>Delduca Adriana Del Valle</v>
      </c>
      <c r="D33" s="949" t="str">
        <f>+NOMINA!O37</f>
        <v>COORDINADOR DE PROGRAMA (SAPNNAET)</v>
      </c>
      <c r="E33" s="952">
        <f>+NOMINA!H37</f>
        <v>38930</v>
      </c>
      <c r="F33" s="953">
        <f>+NOMINA!BN37</f>
        <v>5.82</v>
      </c>
      <c r="G33" s="608"/>
      <c r="H33" s="609"/>
      <c r="I33" s="609"/>
      <c r="J33" s="609"/>
      <c r="K33" s="609"/>
    </row>
    <row r="34" spans="1:11" ht="15.75" customHeight="1">
      <c r="A34" s="951">
        <f t="shared" si="0"/>
        <v>22</v>
      </c>
      <c r="B34" s="949">
        <f>+NOMINA!C38</f>
        <v>16739081</v>
      </c>
      <c r="C34" s="949" t="str">
        <f>+NOMINA!D38</f>
        <v>Albarran Araujo Yely Coromoto</v>
      </c>
      <c r="D34" s="949" t="str">
        <f>+NOMINA!O38</f>
        <v>COORDINADOR DE PROGRAMA (SAPNNAET)</v>
      </c>
      <c r="E34" s="952">
        <f>+NOMINA!H38</f>
        <v>42948</v>
      </c>
      <c r="F34" s="953">
        <f>+NOMINA!BN38</f>
        <v>6.35</v>
      </c>
      <c r="G34" s="608"/>
      <c r="H34" s="609"/>
      <c r="I34" s="609"/>
      <c r="J34" s="609"/>
      <c r="K34" s="609"/>
    </row>
    <row r="35" spans="1:11" ht="15.75" customHeight="1">
      <c r="A35" s="951">
        <f t="shared" si="0"/>
        <v>23</v>
      </c>
      <c r="B35" s="949">
        <f>+NOMINA!C39</f>
        <v>12781930</v>
      </c>
      <c r="C35" s="949" t="str">
        <f>+NOMINA!D39</f>
        <v>Berrios Gomez Neida Marina</v>
      </c>
      <c r="D35" s="949" t="str">
        <f>+NOMINA!O39</f>
        <v>COORDINADOR DE PROGRAMA (SAPNNAET)</v>
      </c>
      <c r="E35" s="952">
        <f>+NOMINA!H39</f>
        <v>44652</v>
      </c>
      <c r="F35" s="953">
        <f>+NOMINA!BN39</f>
        <v>6.06</v>
      </c>
      <c r="G35" s="608"/>
      <c r="H35" s="609"/>
      <c r="I35" s="609"/>
      <c r="J35" s="609"/>
      <c r="K35" s="609"/>
    </row>
    <row r="36" spans="1:11" ht="15.75" customHeight="1" thickBot="1">
      <c r="A36" s="951">
        <f t="shared" si="0"/>
        <v>24</v>
      </c>
      <c r="B36" s="949">
        <f>+NOMINA!C40</f>
        <v>13896239</v>
      </c>
      <c r="C36" s="949" t="str">
        <f>+NOMINA!D40</f>
        <v>Sulbaran Campos Yusneida Ayarith</v>
      </c>
      <c r="D36" s="949" t="str">
        <f>+NOMINA!O40</f>
        <v>COORDINADOR DE PROGRAMA (SAPNNAET)</v>
      </c>
      <c r="E36" s="952">
        <f>+NOMINA!H40</f>
        <v>42416</v>
      </c>
      <c r="F36" s="953">
        <f>+NOMINA!BN40</f>
        <v>5.2</v>
      </c>
      <c r="G36" s="608"/>
      <c r="H36" s="609"/>
      <c r="I36" s="609"/>
      <c r="J36" s="609"/>
      <c r="K36" s="609"/>
    </row>
    <row r="37" spans="1:11" ht="15.75" customHeight="1" thickBot="1">
      <c r="A37" s="951"/>
      <c r="B37" s="949"/>
      <c r="C37" s="949"/>
      <c r="D37" s="949"/>
      <c r="E37" s="607" t="s">
        <v>5791</v>
      </c>
      <c r="F37" s="950">
        <f>SUM(F13:F36)</f>
        <v>155.04999999999995</v>
      </c>
      <c r="G37" s="608">
        <f>+NOMINA!BN41</f>
        <v>155.04999999999995</v>
      </c>
      <c r="H37" s="609">
        <f>+F37-G37</f>
        <v>0</v>
      </c>
      <c r="I37" s="609"/>
      <c r="J37" s="609"/>
      <c r="K37" s="609"/>
    </row>
    <row r="38" spans="1:11" ht="15.75" customHeight="1">
      <c r="A38" s="610"/>
      <c r="B38" s="954"/>
      <c r="C38" s="954"/>
      <c r="D38" s="954"/>
      <c r="E38" s="611"/>
      <c r="F38" s="955"/>
      <c r="G38" s="955"/>
      <c r="H38" s="609"/>
      <c r="I38" s="609"/>
      <c r="J38" s="609"/>
      <c r="K38" s="609"/>
    </row>
    <row r="39" spans="1:11" ht="15.75" customHeight="1">
      <c r="A39" s="610"/>
      <c r="B39" s="612"/>
      <c r="C39" s="612"/>
      <c r="D39" s="612"/>
      <c r="E39" s="611"/>
      <c r="F39" s="613"/>
      <c r="G39" s="613"/>
      <c r="H39" s="609"/>
      <c r="I39" s="609"/>
      <c r="J39" s="609"/>
      <c r="K39" s="609"/>
    </row>
    <row r="40" spans="1:11" ht="15.75" customHeight="1">
      <c r="A40" s="610"/>
      <c r="B40" s="612"/>
      <c r="C40" s="604" t="s">
        <v>5840</v>
      </c>
      <c r="E40" s="604" t="s">
        <v>5841</v>
      </c>
      <c r="H40" s="609"/>
      <c r="I40" s="609"/>
      <c r="J40" s="609"/>
      <c r="K40" s="609"/>
    </row>
    <row r="41" spans="1:11" ht="15.75" customHeight="1">
      <c r="A41" s="610"/>
      <c r="B41" s="612"/>
      <c r="H41" s="609"/>
      <c r="I41" s="609"/>
      <c r="J41" s="609"/>
      <c r="K41" s="609"/>
    </row>
    <row r="42" spans="1:11" ht="15.75" customHeight="1">
      <c r="A42" s="610"/>
      <c r="B42" s="612"/>
      <c r="H42" s="609"/>
      <c r="I42" s="609"/>
      <c r="J42" s="609"/>
      <c r="K42" s="609"/>
    </row>
    <row r="43" spans="1:11" ht="15.75" customHeight="1">
      <c r="A43" s="610"/>
      <c r="B43" s="612"/>
      <c r="C43" s="614" t="s">
        <v>5842</v>
      </c>
      <c r="E43" s="615" t="s">
        <v>5843</v>
      </c>
      <c r="H43" s="609"/>
      <c r="I43" s="609"/>
      <c r="J43" s="609"/>
      <c r="K43" s="609"/>
    </row>
    <row r="44" spans="1:11" ht="15.75" customHeight="1">
      <c r="A44" s="610"/>
      <c r="B44" s="612"/>
      <c r="C44" s="614" t="s">
        <v>5844</v>
      </c>
      <c r="E44" s="614" t="s">
        <v>5845</v>
      </c>
      <c r="G44" s="618"/>
      <c r="H44" s="609"/>
      <c r="I44" s="609"/>
      <c r="J44" s="609"/>
      <c r="K44" s="609"/>
    </row>
    <row r="45" spans="1:11" ht="15.75" customHeight="1">
      <c r="A45" s="610"/>
      <c r="B45" s="612"/>
      <c r="C45" s="612"/>
      <c r="D45" s="612"/>
      <c r="E45" s="611"/>
      <c r="F45" s="613"/>
      <c r="G45" s="613"/>
      <c r="H45" s="609"/>
      <c r="I45" s="609"/>
      <c r="J45" s="609"/>
      <c r="K45" s="609"/>
    </row>
    <row r="46" spans="1:11" ht="15.75" customHeight="1">
      <c r="A46" s="606" t="s">
        <v>4561</v>
      </c>
      <c r="B46" s="949"/>
      <c r="C46" s="949"/>
      <c r="D46" s="949"/>
      <c r="E46" s="952"/>
      <c r="F46" s="953"/>
      <c r="G46" s="608"/>
      <c r="H46" s="609"/>
      <c r="I46" s="609"/>
      <c r="J46" s="609"/>
      <c r="K46" s="609"/>
    </row>
    <row r="47" spans="1:11" ht="15.75" customHeight="1">
      <c r="A47" s="951">
        <v>1</v>
      </c>
      <c r="B47" s="949">
        <f>+NOMINA!C43</f>
        <v>4324055</v>
      </c>
      <c r="C47" s="949" t="str">
        <f>+NOMINA!D43</f>
        <v>Mejia Linares Alexis de Jesus</v>
      </c>
      <c r="D47" s="949" t="str">
        <f>+NOMINA!O43</f>
        <v>Abogado II</v>
      </c>
      <c r="E47" s="952">
        <f>+NOMINA!H43</f>
        <v>44470</v>
      </c>
      <c r="F47" s="953">
        <f>+NOMINA!BN43</f>
        <v>5.19</v>
      </c>
      <c r="G47" s="608"/>
      <c r="H47" s="609"/>
      <c r="I47" s="609"/>
      <c r="J47" s="609"/>
      <c r="K47" s="609"/>
    </row>
    <row r="48" spans="1:11" ht="15.75" customHeight="1">
      <c r="A48" s="951">
        <f>+A47+1</f>
        <v>2</v>
      </c>
      <c r="B48" s="949">
        <f>+NOMINA!C44</f>
        <v>4657974</v>
      </c>
      <c r="C48" s="949" t="str">
        <f>+NOMINA!D44</f>
        <v>Balestrini Nuñez Ulises Ramon</v>
      </c>
      <c r="D48" s="949" t="str">
        <f>+NOMINA!O44</f>
        <v>Promotor Cultural I</v>
      </c>
      <c r="E48" s="952">
        <f>+NOMINA!H44</f>
        <v>39463</v>
      </c>
      <c r="F48" s="953">
        <f>+NOMINA!BN44</f>
        <v>3.43</v>
      </c>
      <c r="G48" s="608"/>
      <c r="H48" s="609"/>
      <c r="I48" s="609"/>
      <c r="J48" s="609"/>
      <c r="K48" s="609"/>
    </row>
    <row r="49" spans="1:11" ht="15.75" customHeight="1">
      <c r="A49" s="951">
        <f t="shared" ref="A49:A112" si="1">+A48+1</f>
        <v>3</v>
      </c>
      <c r="B49" s="949">
        <f>+NOMINA!C45</f>
        <v>5762861</v>
      </c>
      <c r="C49" s="949" t="str">
        <f>+NOMINA!D45</f>
        <v>Aldana Duran Delia Mercedes</v>
      </c>
      <c r="D49" s="949" t="str">
        <f>+NOMINA!O45</f>
        <v>Jefe de Centro</v>
      </c>
      <c r="E49" s="952">
        <f>+NOMINA!H45</f>
        <v>37851</v>
      </c>
      <c r="F49" s="953">
        <f>+NOMINA!BN45</f>
        <v>6.29</v>
      </c>
      <c r="G49" s="608"/>
      <c r="H49" s="609"/>
      <c r="I49" s="609"/>
      <c r="J49" s="609"/>
      <c r="K49" s="609"/>
    </row>
    <row r="50" spans="1:11" ht="15.75" customHeight="1">
      <c r="A50" s="951">
        <f t="shared" si="1"/>
        <v>4</v>
      </c>
      <c r="B50" s="949">
        <f>+NOMINA!C46</f>
        <v>5782060</v>
      </c>
      <c r="C50" s="949" t="str">
        <f>+NOMINA!D46</f>
        <v>Linares Araujo Adolfo Jose</v>
      </c>
      <c r="D50" s="949" t="str">
        <f>+NOMINA!O46</f>
        <v>Asistente Administrativo III</v>
      </c>
      <c r="E50" s="952">
        <f>+NOMINA!H46</f>
        <v>39539</v>
      </c>
      <c r="F50" s="953">
        <f>+NOMINA!BN46</f>
        <v>4.8</v>
      </c>
      <c r="G50" s="608"/>
      <c r="H50" s="609"/>
      <c r="I50" s="609"/>
      <c r="J50" s="609"/>
      <c r="K50" s="609"/>
    </row>
    <row r="51" spans="1:11" ht="15.75" customHeight="1">
      <c r="A51" s="951">
        <f t="shared" si="1"/>
        <v>5</v>
      </c>
      <c r="B51" s="949">
        <f>+NOMINA!C47</f>
        <v>5790501</v>
      </c>
      <c r="C51" s="949" t="str">
        <f>+NOMINA!D47</f>
        <v>Castellanos de Araujo Maria Eustoquia</v>
      </c>
      <c r="D51" s="949" t="str">
        <f>+NOMINA!O47</f>
        <v>Asistente de Analista III</v>
      </c>
      <c r="E51" s="952">
        <f>+NOMINA!H47</f>
        <v>39707</v>
      </c>
      <c r="F51" s="953">
        <f>+NOMINA!BN47</f>
        <v>5.17</v>
      </c>
      <c r="G51" s="608"/>
      <c r="H51" s="609"/>
      <c r="I51" s="609"/>
      <c r="J51" s="609"/>
      <c r="K51" s="609"/>
    </row>
    <row r="52" spans="1:11" ht="15.75" customHeight="1">
      <c r="A52" s="951">
        <f t="shared" si="1"/>
        <v>6</v>
      </c>
      <c r="B52" s="949">
        <f>+NOMINA!C48</f>
        <v>7744688</v>
      </c>
      <c r="C52" s="949" t="str">
        <f>+NOMINA!D48</f>
        <v>Aguilera Carroz Gerardo Raul</v>
      </c>
      <c r="D52" s="949" t="str">
        <f>+NOMINA!O48</f>
        <v>Asistente Administrativo III</v>
      </c>
      <c r="E52" s="952">
        <f>+NOMINA!H48</f>
        <v>44713</v>
      </c>
      <c r="F52" s="953">
        <f>+NOMINA!BN48</f>
        <v>3.91</v>
      </c>
      <c r="G52" s="608"/>
      <c r="H52" s="609"/>
      <c r="I52" s="609"/>
      <c r="J52" s="609"/>
      <c r="K52" s="609"/>
    </row>
    <row r="53" spans="1:11" ht="15.75" customHeight="1">
      <c r="A53" s="951">
        <f t="shared" si="1"/>
        <v>7</v>
      </c>
      <c r="B53" s="949">
        <f>+NOMINA!C49</f>
        <v>7890070</v>
      </c>
      <c r="C53" s="949" t="str">
        <f>+NOMINA!D49</f>
        <v>Pacheco Bermudez Bebsabeth Coromoto</v>
      </c>
      <c r="D53" s="949" t="str">
        <f>+NOMINA!O49</f>
        <v>Guia de Centro II</v>
      </c>
      <c r="E53" s="952">
        <f>+NOMINA!H49</f>
        <v>38930</v>
      </c>
      <c r="F53" s="953">
        <f>+NOMINA!BN49</f>
        <v>3.6</v>
      </c>
      <c r="G53" s="608"/>
      <c r="H53" s="609"/>
      <c r="I53" s="609"/>
      <c r="J53" s="609"/>
      <c r="K53" s="609"/>
    </row>
    <row r="54" spans="1:11" ht="15.75" customHeight="1">
      <c r="A54" s="951">
        <f t="shared" si="1"/>
        <v>8</v>
      </c>
      <c r="B54" s="949">
        <f>+NOMINA!C50</f>
        <v>8719807</v>
      </c>
      <c r="C54" s="949" t="str">
        <f>+NOMINA!D50</f>
        <v>Perez Saavedra Isabel Teresa</v>
      </c>
      <c r="D54" s="949" t="str">
        <f>+NOMINA!O50</f>
        <v>Abogado Jefe</v>
      </c>
      <c r="E54" s="952">
        <f>+NOMINA!H50</f>
        <v>39874</v>
      </c>
      <c r="F54" s="953">
        <f>+NOMINA!BN50</f>
        <v>0</v>
      </c>
      <c r="G54" s="608"/>
      <c r="H54" s="609"/>
      <c r="I54" s="609"/>
      <c r="J54" s="609"/>
      <c r="K54" s="609"/>
    </row>
    <row r="55" spans="1:11" ht="15.75" customHeight="1">
      <c r="A55" s="951">
        <f t="shared" si="1"/>
        <v>9</v>
      </c>
      <c r="B55" s="949">
        <f>+NOMINA!C51</f>
        <v>8266170</v>
      </c>
      <c r="C55" s="949" t="str">
        <f>+NOMINA!D51</f>
        <v>Aguana Sanchez Yraida Josefina</v>
      </c>
      <c r="D55" s="949" t="str">
        <f>+NOMINA!O51</f>
        <v>Guia de Centro I</v>
      </c>
      <c r="E55" s="952">
        <f>+NOMINA!H51</f>
        <v>45323</v>
      </c>
      <c r="F55" s="953">
        <f>+NOMINA!BN51</f>
        <v>5.59</v>
      </c>
      <c r="G55" s="608"/>
      <c r="H55" s="609"/>
      <c r="I55" s="609"/>
      <c r="J55" s="609"/>
      <c r="K55" s="609"/>
    </row>
    <row r="56" spans="1:11" ht="15.75" customHeight="1">
      <c r="A56" s="951">
        <f t="shared" si="1"/>
        <v>10</v>
      </c>
      <c r="B56" s="949">
        <f>+NOMINA!C52</f>
        <v>9162178</v>
      </c>
      <c r="C56" s="949" t="str">
        <f>+NOMINA!D52</f>
        <v>Duarte de Bastidas Gladys Margarita</v>
      </c>
      <c r="D56" s="949" t="str">
        <f>+NOMINA!O52</f>
        <v>Guia de Centro II</v>
      </c>
      <c r="E56" s="952">
        <f>+NOMINA!H52</f>
        <v>39566</v>
      </c>
      <c r="F56" s="953">
        <f>+NOMINA!BN52</f>
        <v>4.59</v>
      </c>
      <c r="G56" s="608"/>
      <c r="H56" s="609"/>
      <c r="I56" s="609"/>
      <c r="J56" s="609"/>
      <c r="K56" s="609"/>
    </row>
    <row r="57" spans="1:11" ht="15.75" customHeight="1">
      <c r="A57" s="951">
        <f t="shared" si="1"/>
        <v>11</v>
      </c>
      <c r="B57" s="949">
        <f>+NOMINA!C53</f>
        <v>9162243</v>
      </c>
      <c r="C57" s="949" t="str">
        <f>+NOMINA!D53</f>
        <v>Valera Borrero Marcos Tulio</v>
      </c>
      <c r="D57" s="949" t="str">
        <f>+NOMINA!O53</f>
        <v>Guia de Centro II</v>
      </c>
      <c r="E57" s="952">
        <f>+NOMINA!H53</f>
        <v>35535</v>
      </c>
      <c r="F57" s="953">
        <f>+NOMINA!BN53</f>
        <v>3.6</v>
      </c>
      <c r="G57" s="608"/>
      <c r="H57" s="609"/>
      <c r="I57" s="609"/>
      <c r="J57" s="609"/>
      <c r="K57" s="609"/>
    </row>
    <row r="58" spans="1:11" ht="15.75" customHeight="1">
      <c r="A58" s="951">
        <f t="shared" si="1"/>
        <v>12</v>
      </c>
      <c r="B58" s="949">
        <f>+NOMINA!C54</f>
        <v>9170647</v>
      </c>
      <c r="C58" s="949" t="str">
        <f>+NOMINA!D54</f>
        <v>Torres Gonzalez Meris Del Carmen</v>
      </c>
      <c r="D58" s="949" t="str">
        <f>+NOMINA!O54</f>
        <v>Guia de Centro II</v>
      </c>
      <c r="E58" s="952">
        <f>+NOMINA!H54</f>
        <v>39238</v>
      </c>
      <c r="F58" s="953">
        <f>+NOMINA!BN54</f>
        <v>6.3</v>
      </c>
      <c r="G58" s="608"/>
      <c r="H58" s="609"/>
      <c r="I58" s="609"/>
      <c r="J58" s="609"/>
      <c r="K58" s="609"/>
    </row>
    <row r="59" spans="1:11" ht="15.75" customHeight="1">
      <c r="A59" s="951">
        <f t="shared" si="1"/>
        <v>13</v>
      </c>
      <c r="B59" s="949">
        <f>+NOMINA!C55</f>
        <v>9177323</v>
      </c>
      <c r="C59" s="949" t="str">
        <f>+NOMINA!D55</f>
        <v>Simancas De Mendoza Alix Josefina</v>
      </c>
      <c r="D59" s="949" t="str">
        <f>+NOMINA!O55</f>
        <v>Asistente Administrativo III</v>
      </c>
      <c r="E59" s="952">
        <f>+NOMINA!H55</f>
        <v>37879</v>
      </c>
      <c r="F59" s="953">
        <f>+NOMINA!BN55</f>
        <v>3.56</v>
      </c>
      <c r="G59" s="608"/>
      <c r="H59" s="609"/>
      <c r="I59" s="609"/>
      <c r="J59" s="609"/>
      <c r="K59" s="609"/>
    </row>
    <row r="60" spans="1:11" ht="15.75" customHeight="1">
      <c r="A60" s="951">
        <f t="shared" si="1"/>
        <v>14</v>
      </c>
      <c r="B60" s="949">
        <f>+NOMINA!C56</f>
        <v>9178087</v>
      </c>
      <c r="C60" s="949" t="str">
        <f>+NOMINA!D56</f>
        <v>Saavedra Juan Jose</v>
      </c>
      <c r="D60" s="949" t="str">
        <f>+NOMINA!O56</f>
        <v>Asistente Administrativo III</v>
      </c>
      <c r="E60" s="952">
        <f>+NOMINA!H56</f>
        <v>37622</v>
      </c>
      <c r="F60" s="953">
        <f>+NOMINA!BN56</f>
        <v>3.59</v>
      </c>
      <c r="G60" s="608"/>
      <c r="H60" s="609"/>
      <c r="I60" s="609"/>
      <c r="J60" s="609"/>
      <c r="K60" s="609"/>
    </row>
    <row r="61" spans="1:11" ht="15.75" customHeight="1">
      <c r="A61" s="951">
        <f t="shared" si="1"/>
        <v>15</v>
      </c>
      <c r="B61" s="949">
        <f>+NOMINA!C57</f>
        <v>9179981</v>
      </c>
      <c r="C61" s="949" t="str">
        <f>+NOMINA!D57</f>
        <v>Manzanilla Molina Alfredo Jose</v>
      </c>
      <c r="D61" s="949" t="str">
        <f>+NOMINA!O57</f>
        <v>Instructor Agropecuario III</v>
      </c>
      <c r="E61" s="952">
        <f>+NOMINA!H57</f>
        <v>45597</v>
      </c>
      <c r="F61" s="953">
        <f>+NOMINA!BN57</f>
        <v>4.5</v>
      </c>
      <c r="G61" s="608"/>
      <c r="H61" s="609"/>
      <c r="I61" s="609"/>
      <c r="J61" s="609"/>
      <c r="K61" s="609"/>
    </row>
    <row r="62" spans="1:11" ht="15.75" customHeight="1">
      <c r="A62" s="951">
        <f t="shared" si="1"/>
        <v>16</v>
      </c>
      <c r="B62" s="949">
        <f>+NOMINA!C58</f>
        <v>9311822</v>
      </c>
      <c r="C62" s="949" t="str">
        <f>+NOMINA!D58</f>
        <v>Rojo Sanchez Alexis O.</v>
      </c>
      <c r="D62" s="949" t="str">
        <f>+NOMINA!O58</f>
        <v>Asistente Administrativo III</v>
      </c>
      <c r="E62" s="952">
        <f>+NOMINA!H58</f>
        <v>37662</v>
      </c>
      <c r="F62" s="953">
        <f>+NOMINA!BN58</f>
        <v>0</v>
      </c>
      <c r="G62" s="608"/>
      <c r="H62" s="609"/>
      <c r="I62" s="609"/>
      <c r="J62" s="609"/>
      <c r="K62" s="609"/>
    </row>
    <row r="63" spans="1:11" ht="15.75" customHeight="1">
      <c r="A63" s="951">
        <f t="shared" si="1"/>
        <v>17</v>
      </c>
      <c r="B63" s="949">
        <f>+NOMINA!C59</f>
        <v>9315117</v>
      </c>
      <c r="C63" s="949" t="str">
        <f>+NOMINA!D59</f>
        <v>Palma de Briceño Sonia Josefina</v>
      </c>
      <c r="D63" s="949" t="str">
        <f>+NOMINA!O59</f>
        <v>Analista de Personal V</v>
      </c>
      <c r="E63" s="952">
        <f>+NOMINA!H59</f>
        <v>38412</v>
      </c>
      <c r="F63" s="953">
        <f>+NOMINA!BN59</f>
        <v>6.09</v>
      </c>
      <c r="G63" s="608"/>
      <c r="H63" s="609"/>
      <c r="I63" s="609"/>
      <c r="J63" s="609"/>
      <c r="K63" s="609"/>
    </row>
    <row r="64" spans="1:11" ht="15.75" customHeight="1">
      <c r="A64" s="951">
        <f t="shared" si="1"/>
        <v>18</v>
      </c>
      <c r="B64" s="949">
        <f>+NOMINA!C60</f>
        <v>9315325</v>
      </c>
      <c r="C64" s="949" t="str">
        <f>+NOMINA!D60</f>
        <v>Gonzalez Hernandez Marianela</v>
      </c>
      <c r="D64" s="949" t="str">
        <f>+NOMINA!O60</f>
        <v>Asistente Administrativo IV</v>
      </c>
      <c r="E64" s="952">
        <f>+NOMINA!H60</f>
        <v>39678</v>
      </c>
      <c r="F64" s="953">
        <f>+NOMINA!BN60</f>
        <v>4.92</v>
      </c>
      <c r="G64" s="608"/>
      <c r="H64" s="609"/>
      <c r="I64" s="609"/>
      <c r="J64" s="609"/>
      <c r="K64" s="609"/>
    </row>
    <row r="65" spans="1:11" ht="15.75" customHeight="1">
      <c r="A65" s="951">
        <f t="shared" si="1"/>
        <v>19</v>
      </c>
      <c r="B65" s="949">
        <f>+NOMINA!C61</f>
        <v>9316224</v>
      </c>
      <c r="C65" s="949" t="str">
        <f>+NOMINA!D61</f>
        <v>Sanchez Barrios Magalis del Carmen</v>
      </c>
      <c r="D65" s="949" t="str">
        <f>+NOMINA!O61</f>
        <v>Tecnico Superior en Trabajo Social II</v>
      </c>
      <c r="E65" s="952">
        <f>+NOMINA!H61</f>
        <v>44317</v>
      </c>
      <c r="F65" s="953">
        <f>+NOMINA!BN61</f>
        <v>4.2699999999999996</v>
      </c>
      <c r="G65" s="608"/>
      <c r="H65" s="609"/>
      <c r="I65" s="609"/>
      <c r="J65" s="609"/>
      <c r="K65" s="609"/>
    </row>
    <row r="66" spans="1:11" ht="15.75" customHeight="1">
      <c r="A66" s="951">
        <f t="shared" si="1"/>
        <v>20</v>
      </c>
      <c r="B66" s="949">
        <f>+NOMINA!C62</f>
        <v>9323927</v>
      </c>
      <c r="C66" s="949" t="str">
        <f>+NOMINA!D62</f>
        <v>Cardozo Garcia Jorge Antonio</v>
      </c>
      <c r="D66" s="949" t="str">
        <f>+NOMINA!O62</f>
        <v>Guia de Centro II</v>
      </c>
      <c r="E66" s="952">
        <f>+NOMINA!H62</f>
        <v>35704</v>
      </c>
      <c r="F66" s="953">
        <f>+NOMINA!BN62</f>
        <v>3.6</v>
      </c>
      <c r="G66" s="608"/>
      <c r="H66" s="609"/>
      <c r="I66" s="609"/>
      <c r="J66" s="609"/>
      <c r="K66" s="609"/>
    </row>
    <row r="67" spans="1:11" ht="15.75" customHeight="1">
      <c r="A67" s="951">
        <f t="shared" si="1"/>
        <v>21</v>
      </c>
      <c r="B67" s="949">
        <f>+NOMINA!C63</f>
        <v>9327253</v>
      </c>
      <c r="C67" s="949" t="str">
        <f>+NOMINA!D63</f>
        <v>Garcia Araujo Jose Domingo</v>
      </c>
      <c r="D67" s="949" t="str">
        <f>+NOMINA!O63</f>
        <v>Analista de Presupuesto III</v>
      </c>
      <c r="E67" s="952">
        <f>+NOMINA!H63</f>
        <v>38930</v>
      </c>
      <c r="F67" s="953">
        <f>+NOMINA!BN63</f>
        <v>4.95</v>
      </c>
      <c r="G67" s="608"/>
      <c r="H67" s="609"/>
      <c r="I67" s="609"/>
      <c r="J67" s="609"/>
      <c r="K67" s="609"/>
    </row>
    <row r="68" spans="1:11" ht="15.75" customHeight="1">
      <c r="A68" s="951">
        <f t="shared" si="1"/>
        <v>22</v>
      </c>
      <c r="B68" s="949">
        <f>+NOMINA!C64</f>
        <v>9328157</v>
      </c>
      <c r="C68" s="949" t="str">
        <f>+NOMINA!D64</f>
        <v>Perez Salas Olga Margarita</v>
      </c>
      <c r="D68" s="949" t="str">
        <f>+NOMINA!O64</f>
        <v>Guia de Centro II</v>
      </c>
      <c r="E68" s="952">
        <f>+NOMINA!H64</f>
        <v>41153</v>
      </c>
      <c r="F68" s="953">
        <f>+NOMINA!BN64</f>
        <v>3.28</v>
      </c>
      <c r="G68" s="608"/>
      <c r="H68" s="609"/>
      <c r="I68" s="609"/>
      <c r="J68" s="609"/>
      <c r="K68" s="609"/>
    </row>
    <row r="69" spans="1:11" ht="15.75" customHeight="1">
      <c r="A69" s="951">
        <f t="shared" si="1"/>
        <v>23</v>
      </c>
      <c r="B69" s="949">
        <f>+NOMINA!C65</f>
        <v>9328224</v>
      </c>
      <c r="C69" s="949" t="str">
        <f>+NOMINA!D65</f>
        <v>Abreu Araujo Omar Antonio</v>
      </c>
      <c r="D69" s="949" t="str">
        <f>+NOMINA!O65</f>
        <v>Tecnico Agropecuario III</v>
      </c>
      <c r="E69" s="952">
        <f>+NOMINA!H65</f>
        <v>39356</v>
      </c>
      <c r="F69" s="953">
        <f>+NOMINA!BN65</f>
        <v>4.1399999999999997</v>
      </c>
      <c r="G69" s="608"/>
      <c r="H69" s="609"/>
      <c r="I69" s="609"/>
      <c r="J69" s="609"/>
      <c r="K69" s="609"/>
    </row>
    <row r="70" spans="1:11" ht="15.75" customHeight="1">
      <c r="A70" s="951">
        <f t="shared" si="1"/>
        <v>24</v>
      </c>
      <c r="B70" s="949">
        <f>+NOMINA!C66</f>
        <v>9495661</v>
      </c>
      <c r="C70" s="949" t="str">
        <f>+NOMINA!D66</f>
        <v>Aguial Carrillo Gregoria Coromoto</v>
      </c>
      <c r="D70" s="949" t="str">
        <f>+NOMINA!O66</f>
        <v>Jefe de Centro</v>
      </c>
      <c r="E70" s="952">
        <f>+NOMINA!H66</f>
        <v>39692</v>
      </c>
      <c r="F70" s="953">
        <f>+NOMINA!BN66</f>
        <v>0</v>
      </c>
      <c r="G70" s="608"/>
      <c r="H70" s="609"/>
      <c r="I70" s="609"/>
      <c r="J70" s="609"/>
      <c r="K70" s="609"/>
    </row>
    <row r="71" spans="1:11" ht="15.75" customHeight="1">
      <c r="A71" s="951">
        <f t="shared" si="1"/>
        <v>25</v>
      </c>
      <c r="B71" s="949">
        <f>+NOMINA!C67</f>
        <v>9496860</v>
      </c>
      <c r="C71" s="949" t="str">
        <f>+NOMINA!D67</f>
        <v>Hernandez Valero Jose Alfredo</v>
      </c>
      <c r="D71" s="949" t="str">
        <f>+NOMINA!O67</f>
        <v>AUDITOR III</v>
      </c>
      <c r="E71" s="952">
        <f>+NOMINA!H67</f>
        <v>43877</v>
      </c>
      <c r="F71" s="953">
        <f>+NOMINA!BN67</f>
        <v>5.7</v>
      </c>
      <c r="G71" s="608"/>
      <c r="H71" s="609"/>
      <c r="I71" s="609"/>
      <c r="J71" s="609"/>
      <c r="K71" s="609"/>
    </row>
    <row r="72" spans="1:11" ht="15.75" customHeight="1">
      <c r="A72" s="951">
        <f t="shared" si="1"/>
        <v>26</v>
      </c>
      <c r="B72" s="949">
        <f>+NOMINA!C68</f>
        <v>9497151</v>
      </c>
      <c r="C72" s="949" t="str">
        <f>+NOMINA!D68</f>
        <v>Mendoza Vieras Pedro Luis</v>
      </c>
      <c r="D72" s="949" t="str">
        <f>+NOMINA!O68</f>
        <v>Ingeniero Industrial II</v>
      </c>
      <c r="E72" s="952">
        <f>+NOMINA!H68</f>
        <v>36770</v>
      </c>
      <c r="F72" s="953">
        <f>+NOMINA!BN68</f>
        <v>6.29</v>
      </c>
      <c r="G72" s="608"/>
      <c r="H72" s="609"/>
      <c r="I72" s="609"/>
      <c r="J72" s="609"/>
      <c r="K72" s="609"/>
    </row>
    <row r="73" spans="1:11" ht="15.75" customHeight="1">
      <c r="A73" s="951">
        <f t="shared" si="1"/>
        <v>27</v>
      </c>
      <c r="B73" s="949">
        <f>+NOMINA!C69</f>
        <v>10033119</v>
      </c>
      <c r="C73" s="949" t="str">
        <f>+NOMINA!D69</f>
        <v>Artigas de Hernandez Ana Maria</v>
      </c>
      <c r="D73" s="949" t="str">
        <f>+NOMINA!O69</f>
        <v>Tutor Facilitador III</v>
      </c>
      <c r="E73" s="952">
        <f>+NOMINA!H69</f>
        <v>43359</v>
      </c>
      <c r="F73" s="953">
        <f>+NOMINA!BN69</f>
        <v>5.33</v>
      </c>
      <c r="G73" s="608"/>
      <c r="H73" s="609"/>
      <c r="I73" s="609"/>
      <c r="J73" s="609"/>
      <c r="K73" s="609"/>
    </row>
    <row r="74" spans="1:11" ht="15.75" customHeight="1">
      <c r="A74" s="951">
        <f t="shared" si="1"/>
        <v>28</v>
      </c>
      <c r="B74" s="949">
        <f>+NOMINA!C70</f>
        <v>10035540</v>
      </c>
      <c r="C74" s="949" t="str">
        <f>+NOMINA!D70</f>
        <v xml:space="preserve">Linares Linares Emma Teresa </v>
      </c>
      <c r="D74" s="949" t="str">
        <f>+NOMINA!O70</f>
        <v>Tecnico Superior en Trabajo Social II</v>
      </c>
      <c r="E74" s="952">
        <f>+NOMINA!H70</f>
        <v>43236</v>
      </c>
      <c r="F74" s="953">
        <f>+NOMINA!BN70</f>
        <v>4.5599999999999996</v>
      </c>
      <c r="G74" s="608"/>
      <c r="H74" s="609"/>
      <c r="I74" s="609"/>
      <c r="J74" s="609"/>
      <c r="K74" s="609"/>
    </row>
    <row r="75" spans="1:11" ht="15.75" customHeight="1">
      <c r="A75" s="951">
        <f t="shared" si="1"/>
        <v>29</v>
      </c>
      <c r="B75" s="949">
        <f>+NOMINA!C71</f>
        <v>10037054</v>
      </c>
      <c r="C75" s="949" t="str">
        <f>+NOMINA!D71</f>
        <v>Aguial Carrillo Deris Margarita</v>
      </c>
      <c r="D75" s="949" t="str">
        <f>+NOMINA!O71</f>
        <v>Guia de Centro II</v>
      </c>
      <c r="E75" s="952">
        <f>+NOMINA!H71</f>
        <v>39820</v>
      </c>
      <c r="F75" s="953">
        <f>+NOMINA!BN71</f>
        <v>4.43</v>
      </c>
      <c r="G75" s="608"/>
      <c r="H75" s="609"/>
      <c r="I75" s="609"/>
      <c r="J75" s="609"/>
      <c r="K75" s="609"/>
    </row>
    <row r="76" spans="1:11" ht="15.75" customHeight="1">
      <c r="A76" s="951">
        <f t="shared" si="1"/>
        <v>30</v>
      </c>
      <c r="B76" s="949">
        <f>+NOMINA!C72</f>
        <v>10175616</v>
      </c>
      <c r="C76" s="949" t="str">
        <f>+NOMINA!D72</f>
        <v>Carrillo Prato Blanca Isabel</v>
      </c>
      <c r="D76" s="949" t="str">
        <f>+NOMINA!O72</f>
        <v>Medico jefe I</v>
      </c>
      <c r="E76" s="952">
        <f>+NOMINA!H72</f>
        <v>44228</v>
      </c>
      <c r="F76" s="953">
        <f>+NOMINA!BN72</f>
        <v>5.8</v>
      </c>
      <c r="G76" s="608"/>
      <c r="H76" s="609"/>
      <c r="I76" s="609"/>
      <c r="J76" s="609"/>
      <c r="K76" s="609"/>
    </row>
    <row r="77" spans="1:11" ht="15.75" customHeight="1">
      <c r="A77" s="951">
        <f t="shared" si="1"/>
        <v>31</v>
      </c>
      <c r="B77" s="949">
        <f>+NOMINA!C73</f>
        <v>10257016</v>
      </c>
      <c r="C77" s="949" t="str">
        <f>+NOMINA!D73</f>
        <v>Torres Dulma Ramona</v>
      </c>
      <c r="D77" s="949" t="str">
        <f>+NOMINA!O73</f>
        <v>Tutor Facilitador III</v>
      </c>
      <c r="E77" s="952">
        <f>+NOMINA!H73</f>
        <v>35947</v>
      </c>
      <c r="F77" s="953">
        <f>+NOMINA!BN73</f>
        <v>6.29</v>
      </c>
      <c r="G77" s="608"/>
      <c r="H77" s="609"/>
      <c r="I77" s="609"/>
      <c r="J77" s="609"/>
      <c r="K77" s="609"/>
    </row>
    <row r="78" spans="1:11" ht="15.75" customHeight="1">
      <c r="A78" s="951">
        <f t="shared" si="1"/>
        <v>32</v>
      </c>
      <c r="B78" s="949">
        <f>+NOMINA!C74</f>
        <v>10315803</v>
      </c>
      <c r="C78" s="949" t="str">
        <f>+NOMINA!D74</f>
        <v>Frias Jacson Daniel</v>
      </c>
      <c r="D78" s="949" t="str">
        <f>+NOMINA!O74</f>
        <v>Guia de Centro II</v>
      </c>
      <c r="E78" s="952">
        <f>+NOMINA!H74</f>
        <v>35415</v>
      </c>
      <c r="F78" s="953">
        <f>+NOMINA!BN74</f>
        <v>4.68</v>
      </c>
      <c r="G78" s="608"/>
      <c r="H78" s="609"/>
      <c r="I78" s="609"/>
      <c r="J78" s="609"/>
      <c r="K78" s="609"/>
    </row>
    <row r="79" spans="1:11" ht="15.75" customHeight="1">
      <c r="A79" s="951">
        <f t="shared" si="1"/>
        <v>33</v>
      </c>
      <c r="B79" s="949">
        <f>+NOMINA!C75</f>
        <v>10319457</v>
      </c>
      <c r="C79" s="949" t="str">
        <f>+NOMINA!D75</f>
        <v>Marquez Marquez Maribel del Valle</v>
      </c>
      <c r="D79" s="949" t="str">
        <f>+NOMINA!O75</f>
        <v>Secretario Ejecutivo III</v>
      </c>
      <c r="E79" s="952">
        <f>+NOMINA!H75</f>
        <v>38831</v>
      </c>
      <c r="F79" s="953">
        <f>+NOMINA!BN75</f>
        <v>3.6</v>
      </c>
      <c r="G79" s="608"/>
      <c r="H79" s="609"/>
      <c r="I79" s="609"/>
      <c r="J79" s="609"/>
      <c r="K79" s="609"/>
    </row>
    <row r="80" spans="1:11" ht="15.75" customHeight="1">
      <c r="A80" s="951">
        <f t="shared" si="1"/>
        <v>34</v>
      </c>
      <c r="B80" s="949">
        <f>+NOMINA!C76</f>
        <v>10396379</v>
      </c>
      <c r="C80" s="949" t="str">
        <f>+NOMINA!D76</f>
        <v>Ruiz Luis Alfonzo</v>
      </c>
      <c r="D80" s="949" t="str">
        <f>+NOMINA!O76</f>
        <v>ENTRENADOR DEPORTIVO II</v>
      </c>
      <c r="E80" s="952">
        <f>+NOMINA!H76</f>
        <v>44743</v>
      </c>
      <c r="F80" s="953">
        <f>+NOMINA!BN76</f>
        <v>2.63</v>
      </c>
      <c r="G80" s="608"/>
      <c r="H80" s="609"/>
      <c r="I80" s="609"/>
      <c r="J80" s="609"/>
      <c r="K80" s="609"/>
    </row>
    <row r="81" spans="1:11" ht="15.75" customHeight="1">
      <c r="A81" s="951">
        <f t="shared" si="1"/>
        <v>35</v>
      </c>
      <c r="B81" s="949">
        <f>+NOMINA!C77</f>
        <v>10398694</v>
      </c>
      <c r="C81" s="949" t="str">
        <f>+NOMINA!D77</f>
        <v>Santana Briceño Jose Gregorio</v>
      </c>
      <c r="D81" s="949" t="str">
        <f>+NOMINA!O77</f>
        <v>Guia de Centro I</v>
      </c>
      <c r="E81" s="952">
        <f>+NOMINA!H77</f>
        <v>44743</v>
      </c>
      <c r="F81" s="953">
        <f>+NOMINA!BN77</f>
        <v>6.65</v>
      </c>
      <c r="G81" s="608"/>
      <c r="H81" s="609"/>
      <c r="I81" s="609"/>
      <c r="J81" s="609"/>
      <c r="K81" s="609"/>
    </row>
    <row r="82" spans="1:11" ht="15.75" customHeight="1">
      <c r="A82" s="951">
        <f t="shared" si="1"/>
        <v>36</v>
      </c>
      <c r="B82" s="949">
        <f>+NOMINA!C78</f>
        <v>10399064</v>
      </c>
      <c r="C82" s="949" t="str">
        <f>+NOMINA!D78</f>
        <v>Perdomo Perdomo Angela Aurora</v>
      </c>
      <c r="D82" s="949" t="str">
        <f>+NOMINA!O78</f>
        <v>Guia de Centro II</v>
      </c>
      <c r="E82" s="952">
        <f>+NOMINA!H78</f>
        <v>39328</v>
      </c>
      <c r="F82" s="953">
        <f>+NOMINA!BN78</f>
        <v>6.3</v>
      </c>
      <c r="G82" s="608"/>
      <c r="H82" s="609"/>
      <c r="I82" s="609"/>
      <c r="J82" s="609"/>
      <c r="K82" s="609"/>
    </row>
    <row r="83" spans="1:11" ht="15.75" customHeight="1">
      <c r="A83" s="951">
        <f t="shared" si="1"/>
        <v>37</v>
      </c>
      <c r="B83" s="949">
        <f>+NOMINA!C79</f>
        <v>10400214</v>
      </c>
      <c r="C83" s="949" t="str">
        <f>+NOMINA!D79</f>
        <v>Bastidas Yanitza Del Valle</v>
      </c>
      <c r="D83" s="949" t="str">
        <f>+NOMINA!O79</f>
        <v>Guia de Centro II</v>
      </c>
      <c r="E83" s="952">
        <f>+NOMINA!H79</f>
        <v>41153</v>
      </c>
      <c r="F83" s="953">
        <f>+NOMINA!BN79</f>
        <v>6.02</v>
      </c>
      <c r="G83" s="608"/>
      <c r="H83" s="609"/>
      <c r="I83" s="609"/>
      <c r="J83" s="609"/>
      <c r="K83" s="609"/>
    </row>
    <row r="84" spans="1:11" ht="15.75" customHeight="1">
      <c r="A84" s="951">
        <f t="shared" si="1"/>
        <v>38</v>
      </c>
      <c r="B84" s="949">
        <f>+NOMINA!C80</f>
        <v>10400365</v>
      </c>
      <c r="C84" s="949" t="str">
        <f>+NOMINA!D80</f>
        <v>Briceño Ruiz Sara Josefina</v>
      </c>
      <c r="D84" s="949" t="str">
        <f>+NOMINA!O80</f>
        <v>Supervisor de Servicios Generales IV</v>
      </c>
      <c r="E84" s="952">
        <f>+NOMINA!H80</f>
        <v>39328</v>
      </c>
      <c r="F84" s="953">
        <f>+NOMINA!BN80</f>
        <v>4.8499999999999996</v>
      </c>
      <c r="G84" s="608"/>
      <c r="H84" s="609"/>
      <c r="I84" s="609"/>
      <c r="J84" s="609"/>
      <c r="K84" s="609"/>
    </row>
    <row r="85" spans="1:11" ht="15.75" customHeight="1">
      <c r="A85" s="951">
        <f t="shared" si="1"/>
        <v>39</v>
      </c>
      <c r="B85" s="949">
        <f>+NOMINA!C81</f>
        <v>10400876</v>
      </c>
      <c r="C85" s="949" t="str">
        <f>+NOMINA!D81</f>
        <v>Ramirez Vergara Graciela De Jesus</v>
      </c>
      <c r="D85" s="949" t="str">
        <f>+NOMINA!O81</f>
        <v>Analista de Procesamiento de Datos I</v>
      </c>
      <c r="E85" s="952">
        <f>+NOMINA!H81</f>
        <v>43556</v>
      </c>
      <c r="F85" s="953">
        <f>+NOMINA!BN81</f>
        <v>4.76</v>
      </c>
      <c r="G85" s="608"/>
      <c r="H85" s="609"/>
      <c r="I85" s="609"/>
      <c r="J85" s="609"/>
      <c r="K85" s="609"/>
    </row>
    <row r="86" spans="1:11" ht="15.75" customHeight="1">
      <c r="A86" s="951">
        <f t="shared" si="1"/>
        <v>40</v>
      </c>
      <c r="B86" s="949">
        <f>+NOMINA!C82</f>
        <v>10404528</v>
      </c>
      <c r="C86" s="949" t="str">
        <f>+NOMINA!D82</f>
        <v>Perez Castellano Javier Horacio</v>
      </c>
      <c r="D86" s="949" t="str">
        <f>+NOMINA!O82</f>
        <v>Administrador IV</v>
      </c>
      <c r="E86" s="952">
        <f>+NOMINA!H82</f>
        <v>37622</v>
      </c>
      <c r="F86" s="953">
        <f>+NOMINA!BN82</f>
        <v>0</v>
      </c>
      <c r="G86" s="608"/>
      <c r="H86" s="609"/>
      <c r="I86" s="609"/>
      <c r="J86" s="609"/>
      <c r="K86" s="609"/>
    </row>
    <row r="87" spans="1:11" ht="15.75" customHeight="1">
      <c r="A87" s="951">
        <f t="shared" si="1"/>
        <v>41</v>
      </c>
      <c r="B87" s="949">
        <f>+NOMINA!C83</f>
        <v>10906110</v>
      </c>
      <c r="C87" s="949" t="str">
        <f>+NOMINA!D83</f>
        <v>Linares Prato Yraima Gregoria</v>
      </c>
      <c r="D87" s="949" t="str">
        <f>+NOMINA!O83</f>
        <v>Guia de Centro I</v>
      </c>
      <c r="E87" s="952">
        <f>+NOMINA!H83</f>
        <v>45292</v>
      </c>
      <c r="F87" s="953">
        <f>+NOMINA!BN83</f>
        <v>3.4</v>
      </c>
      <c r="G87" s="608"/>
      <c r="H87" s="609"/>
      <c r="I87" s="609"/>
      <c r="J87" s="609"/>
      <c r="K87" s="609"/>
    </row>
    <row r="88" spans="1:11" ht="15.75" customHeight="1">
      <c r="A88" s="951">
        <f t="shared" si="1"/>
        <v>42</v>
      </c>
      <c r="B88" s="949">
        <f>+NOMINA!C84</f>
        <v>10906923</v>
      </c>
      <c r="C88" s="949" t="str">
        <f>+NOMINA!D84</f>
        <v>Cruz de Rodriguez Yanet Coromoto</v>
      </c>
      <c r="D88" s="949" t="str">
        <f>+NOMINA!O84</f>
        <v>Guia de Centro I</v>
      </c>
      <c r="E88" s="952">
        <f>+NOMINA!H84</f>
        <v>44636</v>
      </c>
      <c r="F88" s="953">
        <f>+NOMINA!BN84</f>
        <v>4.0599999999999996</v>
      </c>
      <c r="G88" s="608"/>
      <c r="H88" s="609"/>
      <c r="I88" s="609"/>
      <c r="J88" s="609"/>
      <c r="K88" s="609"/>
    </row>
    <row r="89" spans="1:11" ht="15.75" customHeight="1">
      <c r="A89" s="951">
        <f t="shared" si="1"/>
        <v>43</v>
      </c>
      <c r="B89" s="949">
        <f>+NOMINA!C85</f>
        <v>10908510</v>
      </c>
      <c r="C89" s="949" t="str">
        <f>+NOMINA!D85</f>
        <v>Castro de Vielma Yanira Rosa</v>
      </c>
      <c r="D89" s="949" t="str">
        <f>+NOMINA!O85</f>
        <v>Jefe de Centro</v>
      </c>
      <c r="E89" s="952">
        <f>+NOMINA!H85</f>
        <v>39874</v>
      </c>
      <c r="F89" s="953">
        <f>+NOMINA!BN85</f>
        <v>6.21</v>
      </c>
      <c r="G89" s="608"/>
      <c r="H89" s="609"/>
      <c r="I89" s="609"/>
      <c r="J89" s="609"/>
      <c r="K89" s="609"/>
    </row>
    <row r="90" spans="1:11" ht="15.75" customHeight="1">
      <c r="A90" s="951">
        <f t="shared" si="1"/>
        <v>44</v>
      </c>
      <c r="B90" s="949">
        <f>+NOMINA!C86</f>
        <v>10909245</v>
      </c>
      <c r="C90" s="949" t="str">
        <f>+NOMINA!D86</f>
        <v>Delduca Moreno Luisa</v>
      </c>
      <c r="D90" s="949" t="str">
        <f>+NOMINA!O86</f>
        <v>Guia de Centro II</v>
      </c>
      <c r="E90" s="952">
        <f>+NOMINA!H86</f>
        <v>36054</v>
      </c>
      <c r="F90" s="953">
        <f>+NOMINA!BN86</f>
        <v>6.65</v>
      </c>
      <c r="G90" s="608"/>
      <c r="H90" s="609"/>
      <c r="I90" s="609"/>
      <c r="J90" s="609"/>
      <c r="K90" s="609"/>
    </row>
    <row r="91" spans="1:11" ht="15.75" customHeight="1">
      <c r="A91" s="951">
        <f t="shared" si="1"/>
        <v>45</v>
      </c>
      <c r="B91" s="949">
        <f>+NOMINA!C87</f>
        <v>10910698</v>
      </c>
      <c r="C91" s="949" t="str">
        <f>+NOMINA!D87</f>
        <v>Rangel Briceño Marcial Segundo</v>
      </c>
      <c r="D91" s="949" t="str">
        <f>+NOMINA!O87</f>
        <v>Asistente Administrativo II</v>
      </c>
      <c r="E91" s="952">
        <f>+NOMINA!H87</f>
        <v>43891</v>
      </c>
      <c r="F91" s="953">
        <f>+NOMINA!BN87</f>
        <v>2.86</v>
      </c>
      <c r="G91" s="608"/>
      <c r="H91" s="609"/>
      <c r="I91" s="609"/>
      <c r="J91" s="609"/>
      <c r="K91" s="609"/>
    </row>
    <row r="92" spans="1:11" ht="15.75" customHeight="1">
      <c r="A92" s="951">
        <f t="shared" si="1"/>
        <v>46</v>
      </c>
      <c r="B92" s="949">
        <f>+NOMINA!C88</f>
        <v>10912595</v>
      </c>
      <c r="C92" s="949" t="str">
        <f>+NOMINA!D88</f>
        <v>Delfin Bustos Jose Hercilio</v>
      </c>
      <c r="D92" s="949" t="str">
        <f>+NOMINA!O88</f>
        <v>Guia de Centro II</v>
      </c>
      <c r="E92" s="952">
        <f>+NOMINA!H88</f>
        <v>36039</v>
      </c>
      <c r="F92" s="953">
        <f>+NOMINA!BN88</f>
        <v>0</v>
      </c>
      <c r="G92" s="608"/>
      <c r="H92" s="609"/>
      <c r="I92" s="609"/>
      <c r="J92" s="609"/>
      <c r="K92" s="609"/>
    </row>
    <row r="93" spans="1:11" ht="15.75" customHeight="1">
      <c r="A93" s="951">
        <f t="shared" si="1"/>
        <v>47</v>
      </c>
      <c r="B93" s="949">
        <f>+NOMINA!C89</f>
        <v>10913178</v>
      </c>
      <c r="C93" s="949" t="str">
        <f>+NOMINA!D89</f>
        <v>Garcia Moreno Iris Josefina</v>
      </c>
      <c r="D93" s="949" t="str">
        <f>+NOMINA!O89</f>
        <v>Asistente de Servicio Social</v>
      </c>
      <c r="E93" s="952">
        <f>+NOMINA!H89</f>
        <v>44805</v>
      </c>
      <c r="F93" s="953">
        <f>+NOMINA!BN89</f>
        <v>3.23</v>
      </c>
      <c r="G93" s="608"/>
      <c r="H93" s="609"/>
      <c r="I93" s="609"/>
      <c r="J93" s="609"/>
      <c r="K93" s="609"/>
    </row>
    <row r="94" spans="1:11" ht="15.75" customHeight="1">
      <c r="A94" s="951">
        <f t="shared" si="1"/>
        <v>48</v>
      </c>
      <c r="B94" s="949">
        <f>+NOMINA!C90</f>
        <v>10913637</v>
      </c>
      <c r="C94" s="949" t="str">
        <f>+NOMINA!D90</f>
        <v>Angarita Hernandez Ana Del Carmen</v>
      </c>
      <c r="D94" s="949" t="str">
        <f>+NOMINA!O90</f>
        <v>Guia de Centro II</v>
      </c>
      <c r="E94" s="952">
        <f>+NOMINA!H90</f>
        <v>40664</v>
      </c>
      <c r="F94" s="953">
        <f>+NOMINA!BN90</f>
        <v>7.41</v>
      </c>
      <c r="G94" s="608"/>
      <c r="H94" s="609"/>
      <c r="I94" s="609"/>
      <c r="J94" s="609"/>
      <c r="K94" s="609"/>
    </row>
    <row r="95" spans="1:11" ht="15.75" customHeight="1">
      <c r="A95" s="951">
        <f t="shared" si="1"/>
        <v>49</v>
      </c>
      <c r="B95" s="949">
        <f>+NOMINA!C91</f>
        <v>10915223</v>
      </c>
      <c r="C95" s="949" t="str">
        <f>+NOMINA!D91</f>
        <v>Contreras Rojo Gerardo Alexander</v>
      </c>
      <c r="D95" s="949" t="str">
        <f>+NOMINA!O91</f>
        <v>Tutor Facilitador III</v>
      </c>
      <c r="E95" s="952">
        <f>+NOMINA!H91</f>
        <v>35339</v>
      </c>
      <c r="F95" s="953">
        <f>+NOMINA!BN91</f>
        <v>7.3</v>
      </c>
      <c r="G95" s="608"/>
      <c r="H95" s="609"/>
      <c r="I95" s="609"/>
      <c r="J95" s="609"/>
      <c r="K95" s="609"/>
    </row>
    <row r="96" spans="1:11" ht="15.75" customHeight="1">
      <c r="A96" s="951">
        <f t="shared" si="1"/>
        <v>50</v>
      </c>
      <c r="B96" s="949">
        <f>+NOMINA!C92</f>
        <v>10915384</v>
      </c>
      <c r="C96" s="949" t="str">
        <f>+NOMINA!D92</f>
        <v>Rojas Hernandez Morela Del Carmen</v>
      </c>
      <c r="D96" s="949" t="str">
        <f>+NOMINA!O92</f>
        <v>Guia de Centro II</v>
      </c>
      <c r="E96" s="952">
        <f>+NOMINA!H92</f>
        <v>43147</v>
      </c>
      <c r="F96" s="953">
        <f>+NOMINA!BN92</f>
        <v>5.69</v>
      </c>
      <c r="G96" s="608"/>
      <c r="H96" s="609"/>
      <c r="I96" s="609"/>
      <c r="J96" s="609"/>
      <c r="K96" s="609"/>
    </row>
    <row r="97" spans="1:11" ht="15.75" customHeight="1">
      <c r="A97" s="951">
        <f t="shared" si="1"/>
        <v>51</v>
      </c>
      <c r="B97" s="949">
        <f>+NOMINA!C93</f>
        <v>10915597</v>
      </c>
      <c r="C97" s="949" t="str">
        <f>+NOMINA!D93</f>
        <v>Carrillo Altuve Maria Mercedes</v>
      </c>
      <c r="D97" s="949" t="str">
        <f>+NOMINA!O93</f>
        <v>Guia de Centro I</v>
      </c>
      <c r="E97" s="952">
        <f>+NOMINA!H93</f>
        <v>44501</v>
      </c>
      <c r="F97" s="953">
        <f>+NOMINA!BN93</f>
        <v>6.47</v>
      </c>
      <c r="G97" s="608"/>
      <c r="H97" s="609"/>
      <c r="I97" s="609"/>
      <c r="J97" s="609"/>
      <c r="K97" s="609"/>
    </row>
    <row r="98" spans="1:11" ht="15.75" customHeight="1">
      <c r="A98" s="951">
        <f t="shared" si="1"/>
        <v>52</v>
      </c>
      <c r="B98" s="949">
        <f>+NOMINA!C94</f>
        <v>11128954</v>
      </c>
      <c r="C98" s="949" t="str">
        <f>+NOMINA!D94</f>
        <v>Soto Lopez Rafael Maria</v>
      </c>
      <c r="D98" s="949" t="str">
        <f>+NOMINA!O94</f>
        <v>Guia de Centro I</v>
      </c>
      <c r="E98" s="952">
        <f>+NOMINA!H94</f>
        <v>45170</v>
      </c>
      <c r="F98" s="953">
        <f>+NOMINA!BN94</f>
        <v>6.85</v>
      </c>
      <c r="G98" s="608"/>
      <c r="H98" s="609"/>
      <c r="I98" s="609"/>
      <c r="J98" s="609"/>
      <c r="K98" s="609"/>
    </row>
    <row r="99" spans="1:11" ht="15.75" customHeight="1">
      <c r="A99" s="951">
        <f t="shared" si="1"/>
        <v>53</v>
      </c>
      <c r="B99" s="949">
        <f>+NOMINA!C95</f>
        <v>11132900</v>
      </c>
      <c r="C99" s="949" t="str">
        <f>+NOMINA!D95</f>
        <v>Morillo Valero Ender Ramon</v>
      </c>
      <c r="D99" s="949" t="str">
        <f>+NOMINA!O95</f>
        <v>Guia de Centro I</v>
      </c>
      <c r="E99" s="952">
        <f>+NOMINA!H95</f>
        <v>44866</v>
      </c>
      <c r="F99" s="953">
        <f>+NOMINA!BN95</f>
        <v>5.08</v>
      </c>
      <c r="G99" s="608"/>
      <c r="H99" s="609"/>
      <c r="I99" s="609"/>
      <c r="J99" s="609"/>
      <c r="K99" s="609"/>
    </row>
    <row r="100" spans="1:11" ht="15.75" customHeight="1">
      <c r="A100" s="951">
        <f t="shared" si="1"/>
        <v>54</v>
      </c>
      <c r="B100" s="949">
        <f>+NOMINA!C96</f>
        <v>11132943</v>
      </c>
      <c r="C100" s="949" t="str">
        <f>+NOMINA!D96</f>
        <v>Materano Delgado Yoleida Josefina</v>
      </c>
      <c r="D100" s="949" t="str">
        <f>+NOMINA!O96</f>
        <v>Guia de Centro II</v>
      </c>
      <c r="E100" s="952">
        <f>+NOMINA!H96</f>
        <v>39738</v>
      </c>
      <c r="F100" s="953">
        <f>+NOMINA!BN96</f>
        <v>3.41</v>
      </c>
      <c r="G100" s="608"/>
      <c r="H100" s="609"/>
      <c r="I100" s="609"/>
      <c r="J100" s="609"/>
      <c r="K100" s="609"/>
    </row>
    <row r="101" spans="1:11" ht="15.75" customHeight="1">
      <c r="A101" s="951">
        <f t="shared" si="1"/>
        <v>55</v>
      </c>
      <c r="B101" s="949">
        <f>+NOMINA!C97</f>
        <v>11132979</v>
      </c>
      <c r="C101" s="949" t="str">
        <f>+NOMINA!D97</f>
        <v>Olivar Santana Maria Valbina</v>
      </c>
      <c r="D101" s="949" t="str">
        <f>+NOMINA!O97</f>
        <v>Guia de Centro II</v>
      </c>
      <c r="E101" s="952">
        <f>+NOMINA!H97</f>
        <v>44348</v>
      </c>
      <c r="F101" s="953">
        <f>+NOMINA!BN97</f>
        <v>7.78</v>
      </c>
      <c r="G101" s="608"/>
      <c r="H101" s="609"/>
      <c r="I101" s="609"/>
      <c r="J101" s="609"/>
      <c r="K101" s="609"/>
    </row>
    <row r="102" spans="1:11" ht="15.75" customHeight="1">
      <c r="A102" s="951">
        <f t="shared" si="1"/>
        <v>56</v>
      </c>
      <c r="B102" s="949">
        <f>+NOMINA!C98</f>
        <v>11257247</v>
      </c>
      <c r="C102" s="949" t="str">
        <f>+NOMINA!D98</f>
        <v>Chacin Sanchez Eduard Fabian</v>
      </c>
      <c r="D102" s="949" t="str">
        <f>+NOMINA!O98</f>
        <v>DELEGADO PRUEBA III</v>
      </c>
      <c r="E102" s="952">
        <f>+NOMINA!H98</f>
        <v>42492</v>
      </c>
      <c r="F102" s="953">
        <f>+NOMINA!BN98</f>
        <v>5.57</v>
      </c>
      <c r="G102" s="608"/>
      <c r="H102" s="609"/>
      <c r="I102" s="609"/>
      <c r="J102" s="609"/>
      <c r="K102" s="609"/>
    </row>
    <row r="103" spans="1:11" ht="15.75" customHeight="1">
      <c r="A103" s="951">
        <f t="shared" si="1"/>
        <v>57</v>
      </c>
      <c r="B103" s="949">
        <f>+NOMINA!C99</f>
        <v>11318142</v>
      </c>
      <c r="C103" s="949" t="str">
        <f>+NOMINA!D99</f>
        <v>Perdomo Rosales Modesto Ramon</v>
      </c>
      <c r="D103" s="949" t="str">
        <f>+NOMINA!O99</f>
        <v>Almacenista II</v>
      </c>
      <c r="E103" s="952">
        <f>+NOMINA!H99</f>
        <v>43983</v>
      </c>
      <c r="F103" s="953">
        <f>+NOMINA!BN99</f>
        <v>2.86</v>
      </c>
      <c r="G103" s="608"/>
      <c r="H103" s="609"/>
      <c r="I103" s="609"/>
      <c r="J103" s="609"/>
      <c r="K103" s="609"/>
    </row>
    <row r="104" spans="1:11" ht="15.75" customHeight="1">
      <c r="A104" s="951">
        <f t="shared" si="1"/>
        <v>58</v>
      </c>
      <c r="B104" s="949">
        <f>+NOMINA!C100</f>
        <v>11318697</v>
      </c>
      <c r="C104" s="949" t="str">
        <f>+NOMINA!D100</f>
        <v>Sardi Hernandez Gladis Josefina</v>
      </c>
      <c r="D104" s="949" t="str">
        <f>+NOMINA!O100</f>
        <v>Asistente Administrativo III</v>
      </c>
      <c r="E104" s="952">
        <f>+NOMINA!H100</f>
        <v>39539</v>
      </c>
      <c r="F104" s="953">
        <f>+NOMINA!BN100</f>
        <v>3.41</v>
      </c>
      <c r="G104" s="608"/>
      <c r="H104" s="609"/>
      <c r="I104" s="609"/>
      <c r="J104" s="609"/>
      <c r="K104" s="609"/>
    </row>
    <row r="105" spans="1:11" ht="15.75" customHeight="1">
      <c r="A105" s="951">
        <f t="shared" si="1"/>
        <v>59</v>
      </c>
      <c r="B105" s="949">
        <f>+NOMINA!C101</f>
        <v>11319154</v>
      </c>
      <c r="C105" s="949" t="str">
        <f>+NOMINA!D101</f>
        <v>Peña Villegas Lisette Carolina</v>
      </c>
      <c r="D105" s="949" t="str">
        <f>+NOMINA!O101</f>
        <v>Guia de Centro II</v>
      </c>
      <c r="E105" s="952">
        <f>+NOMINA!H101</f>
        <v>34428</v>
      </c>
      <c r="F105" s="953">
        <f>+NOMINA!BN101</f>
        <v>7.3</v>
      </c>
      <c r="G105" s="608"/>
      <c r="H105" s="609"/>
      <c r="I105" s="609"/>
      <c r="J105" s="609"/>
      <c r="K105" s="609"/>
    </row>
    <row r="106" spans="1:11" ht="15.75" customHeight="1">
      <c r="A106" s="951">
        <f t="shared" si="1"/>
        <v>60</v>
      </c>
      <c r="B106" s="949">
        <f>+NOMINA!C102</f>
        <v>11320533</v>
      </c>
      <c r="C106" s="949" t="str">
        <f>+NOMINA!D102</f>
        <v>Suarez Chiquin Yaritza Josefina</v>
      </c>
      <c r="D106" s="949" t="str">
        <f>+NOMINA!O102</f>
        <v>Administrador IV</v>
      </c>
      <c r="E106" s="952">
        <f>+NOMINA!H102</f>
        <v>37629</v>
      </c>
      <c r="F106" s="953">
        <f>+NOMINA!BN102</f>
        <v>0</v>
      </c>
      <c r="G106" s="608"/>
      <c r="H106" s="609"/>
      <c r="I106" s="609"/>
      <c r="J106" s="609"/>
      <c r="K106" s="609"/>
    </row>
    <row r="107" spans="1:11" ht="15.75" customHeight="1">
      <c r="A107" s="951">
        <f t="shared" si="1"/>
        <v>61</v>
      </c>
      <c r="B107" s="949">
        <f>+NOMINA!C103</f>
        <v>11322871</v>
      </c>
      <c r="C107" s="949" t="str">
        <f>+NOMINA!D103</f>
        <v>Rivas Albarran Martin Antonio</v>
      </c>
      <c r="D107" s="949" t="str">
        <f>+NOMINA!O103</f>
        <v>Tutor Facilitador III</v>
      </c>
      <c r="E107" s="952">
        <f>+NOMINA!H103</f>
        <v>38718</v>
      </c>
      <c r="F107" s="953">
        <f>+NOMINA!BN103</f>
        <v>6.09</v>
      </c>
      <c r="G107" s="608"/>
      <c r="H107" s="609"/>
      <c r="I107" s="609"/>
      <c r="J107" s="609"/>
      <c r="K107" s="609"/>
    </row>
    <row r="108" spans="1:11" ht="15.75" customHeight="1">
      <c r="A108" s="951">
        <f t="shared" si="1"/>
        <v>62</v>
      </c>
      <c r="B108" s="949">
        <f>+NOMINA!C104</f>
        <v>11616673</v>
      </c>
      <c r="C108" s="949" t="str">
        <f>+NOMINA!D104</f>
        <v>Perdomo Orlando Jose</v>
      </c>
      <c r="D108" s="949" t="str">
        <f>+NOMINA!O104</f>
        <v>Tutor Facilitador III</v>
      </c>
      <c r="E108" s="952">
        <f>+NOMINA!H104</f>
        <v>35066</v>
      </c>
      <c r="F108" s="953">
        <f>+NOMINA!BN104</f>
        <v>6.29</v>
      </c>
      <c r="G108" s="608"/>
      <c r="H108" s="609"/>
      <c r="I108" s="609"/>
      <c r="J108" s="609"/>
      <c r="K108" s="609"/>
    </row>
    <row r="109" spans="1:11" ht="15.75" customHeight="1">
      <c r="A109" s="951">
        <f t="shared" si="1"/>
        <v>63</v>
      </c>
      <c r="B109" s="949">
        <f>+NOMINA!C105</f>
        <v>11734553</v>
      </c>
      <c r="C109" s="949" t="str">
        <f>+NOMINA!D105</f>
        <v>Teran Torres Olga del Carmen</v>
      </c>
      <c r="D109" s="949" t="str">
        <f>+NOMINA!O105</f>
        <v>Tutor Facilitador III</v>
      </c>
      <c r="E109" s="952">
        <f>+NOMINA!H105</f>
        <v>43206</v>
      </c>
      <c r="F109" s="953">
        <f>+NOMINA!BN105</f>
        <v>6.17</v>
      </c>
      <c r="G109" s="608"/>
      <c r="H109" s="609"/>
      <c r="I109" s="609"/>
      <c r="J109" s="609"/>
      <c r="K109" s="609"/>
    </row>
    <row r="110" spans="1:11" ht="15.75" customHeight="1">
      <c r="A110" s="951">
        <f t="shared" si="1"/>
        <v>64</v>
      </c>
      <c r="B110" s="949">
        <f>+NOMINA!C106</f>
        <v>11894534</v>
      </c>
      <c r="C110" s="949" t="str">
        <f>+NOMINA!D106</f>
        <v>Olmos Rodriguez Eberto de Jesus</v>
      </c>
      <c r="D110" s="949" t="str">
        <f>+NOMINA!O106</f>
        <v>Administrador Jefe</v>
      </c>
      <c r="E110" s="952">
        <f>+NOMINA!H106</f>
        <v>40909</v>
      </c>
      <c r="F110" s="953">
        <f>+NOMINA!BN106</f>
        <v>0</v>
      </c>
      <c r="G110" s="608"/>
      <c r="H110" s="609"/>
      <c r="I110" s="609"/>
      <c r="J110" s="609"/>
      <c r="K110" s="609"/>
    </row>
    <row r="111" spans="1:11" ht="15.75" customHeight="1">
      <c r="A111" s="951">
        <f t="shared" si="1"/>
        <v>65</v>
      </c>
      <c r="B111" s="949">
        <f>+NOMINA!C107</f>
        <v>11895772</v>
      </c>
      <c r="C111" s="949" t="str">
        <f>+NOMINA!D107</f>
        <v>Rangel Rivas Ildemaro</v>
      </c>
      <c r="D111" s="949" t="str">
        <f>+NOMINA!O107</f>
        <v>Entrenador Deportivo II</v>
      </c>
      <c r="E111" s="952">
        <f>+NOMINA!H107</f>
        <v>44743</v>
      </c>
      <c r="F111" s="953">
        <f>+NOMINA!BN107</f>
        <v>0</v>
      </c>
      <c r="G111" s="608"/>
      <c r="H111" s="609"/>
      <c r="I111" s="609"/>
      <c r="J111" s="609"/>
      <c r="K111" s="609"/>
    </row>
    <row r="112" spans="1:11" ht="15.75" customHeight="1">
      <c r="A112" s="951">
        <f t="shared" si="1"/>
        <v>66</v>
      </c>
      <c r="B112" s="949">
        <f>+NOMINA!C108</f>
        <v>11896941</v>
      </c>
      <c r="C112" s="949" t="str">
        <f>+NOMINA!D108</f>
        <v>Justo Angel Jannessy</v>
      </c>
      <c r="D112" s="949" t="str">
        <f>+NOMINA!O108</f>
        <v>Analista de Presupuesto III</v>
      </c>
      <c r="E112" s="952">
        <f>+NOMINA!H108</f>
        <v>38698</v>
      </c>
      <c r="F112" s="953">
        <f>+NOMINA!BN108</f>
        <v>0</v>
      </c>
      <c r="G112" s="608"/>
      <c r="H112" s="609"/>
      <c r="I112" s="609"/>
      <c r="J112" s="609"/>
      <c r="K112" s="609"/>
    </row>
    <row r="113" spans="1:11" ht="15.75" customHeight="1">
      <c r="A113" s="951">
        <f t="shared" ref="A113:A176" si="2">+A112+1</f>
        <v>67</v>
      </c>
      <c r="B113" s="949">
        <f>+NOMINA!C109</f>
        <v>11898486</v>
      </c>
      <c r="C113" s="949" t="str">
        <f>+NOMINA!D109</f>
        <v>Linares Hernandez Thaiz Yoconda</v>
      </c>
      <c r="D113" s="949" t="str">
        <f>+NOMINA!O109</f>
        <v>Asistente Administrativo III</v>
      </c>
      <c r="E113" s="952">
        <f>+NOMINA!H109</f>
        <v>40065</v>
      </c>
      <c r="F113" s="953">
        <f>+NOMINA!BN109</f>
        <v>4.76</v>
      </c>
      <c r="G113" s="608"/>
      <c r="H113" s="609"/>
      <c r="I113" s="609"/>
      <c r="J113" s="609"/>
      <c r="K113" s="609"/>
    </row>
    <row r="114" spans="1:11" ht="15.75" customHeight="1">
      <c r="A114" s="951">
        <f t="shared" si="2"/>
        <v>68</v>
      </c>
      <c r="B114" s="949">
        <f>+NOMINA!C110</f>
        <v>12040792</v>
      </c>
      <c r="C114" s="949" t="str">
        <f>+NOMINA!D110</f>
        <v>Sulbaran Campos Jesus Alberto</v>
      </c>
      <c r="D114" s="949" t="str">
        <f>+NOMINA!O110</f>
        <v>Supervisor de Servicios Generales III</v>
      </c>
      <c r="E114" s="952">
        <f>+NOMINA!H110</f>
        <v>43236</v>
      </c>
      <c r="F114" s="953">
        <f>+NOMINA!BN110</f>
        <v>3.77</v>
      </c>
      <c r="G114" s="608"/>
      <c r="H114" s="609"/>
      <c r="I114" s="609"/>
      <c r="J114" s="609"/>
      <c r="K114" s="609"/>
    </row>
    <row r="115" spans="1:11" ht="15.75" customHeight="1">
      <c r="A115" s="951">
        <f t="shared" si="2"/>
        <v>69</v>
      </c>
      <c r="B115" s="949">
        <f>+NOMINA!C111</f>
        <v>12042855</v>
      </c>
      <c r="C115" s="949" t="str">
        <f>+NOMINA!D111</f>
        <v>Alburguez  Manzanilla Neira Josefina</v>
      </c>
      <c r="D115" s="949" t="str">
        <f>+NOMINA!O111</f>
        <v>Enfermera Jefe I</v>
      </c>
      <c r="E115" s="952">
        <f>+NOMINA!H111</f>
        <v>44028</v>
      </c>
      <c r="F115" s="953">
        <f>+NOMINA!BN111</f>
        <v>4.47</v>
      </c>
      <c r="G115" s="608"/>
      <c r="H115" s="609"/>
      <c r="I115" s="609"/>
      <c r="J115" s="609"/>
      <c r="K115" s="609"/>
    </row>
    <row r="116" spans="1:11" ht="15.75" customHeight="1">
      <c r="A116" s="951">
        <f t="shared" si="2"/>
        <v>70</v>
      </c>
      <c r="B116" s="949">
        <f>+NOMINA!C112</f>
        <v>12045335</v>
      </c>
      <c r="C116" s="949" t="str">
        <f>+NOMINA!D112</f>
        <v>Gonzalez De Briceño Yasmin Coromoto</v>
      </c>
      <c r="D116" s="949" t="str">
        <f>+NOMINA!O112</f>
        <v>Guia de Centro I</v>
      </c>
      <c r="E116" s="952">
        <f>+NOMINA!H112</f>
        <v>45505</v>
      </c>
      <c r="F116" s="953">
        <f>+NOMINA!BN112</f>
        <v>6.11</v>
      </c>
      <c r="G116" s="608"/>
      <c r="H116" s="609"/>
      <c r="I116" s="609"/>
      <c r="J116" s="609"/>
      <c r="K116" s="609"/>
    </row>
    <row r="117" spans="1:11" ht="15.75" customHeight="1">
      <c r="A117" s="951">
        <f t="shared" si="2"/>
        <v>71</v>
      </c>
      <c r="B117" s="949">
        <f>+NOMINA!C113</f>
        <v>12045360</v>
      </c>
      <c r="C117" s="949" t="str">
        <f>+NOMINA!D113</f>
        <v>Montilla Lamus Ana Cristina</v>
      </c>
      <c r="D117" s="949" t="str">
        <f>+NOMINA!O113</f>
        <v>Guia de Centro I</v>
      </c>
      <c r="E117" s="952">
        <f>+NOMINA!H113</f>
        <v>39238</v>
      </c>
      <c r="F117" s="953">
        <f>+NOMINA!BN113</f>
        <v>3.56</v>
      </c>
      <c r="G117" s="608"/>
      <c r="H117" s="609"/>
      <c r="I117" s="609"/>
      <c r="J117" s="609"/>
      <c r="K117" s="609"/>
    </row>
    <row r="118" spans="1:11" ht="15.75" customHeight="1">
      <c r="A118" s="951">
        <f t="shared" si="2"/>
        <v>72</v>
      </c>
      <c r="B118" s="949">
        <f>+NOMINA!C114</f>
        <v>12045504</v>
      </c>
      <c r="C118" s="949" t="str">
        <f>+NOMINA!D114</f>
        <v>Sanchez Olivar Denis Josefina</v>
      </c>
      <c r="D118" s="949" t="str">
        <f>+NOMINA!O114</f>
        <v>Asistente Administrativo II</v>
      </c>
      <c r="E118" s="952">
        <f>+NOMINA!H114</f>
        <v>43862</v>
      </c>
      <c r="F118" s="953">
        <f>+NOMINA!BN114</f>
        <v>3.11</v>
      </c>
      <c r="G118" s="608"/>
      <c r="H118" s="609"/>
      <c r="I118" s="609"/>
      <c r="J118" s="609"/>
      <c r="K118" s="609"/>
    </row>
    <row r="119" spans="1:11" ht="15.75" customHeight="1">
      <c r="A119" s="951">
        <f t="shared" si="2"/>
        <v>73</v>
      </c>
      <c r="B119" s="949">
        <f>+NOMINA!C115</f>
        <v>12045934</v>
      </c>
      <c r="C119" s="949" t="str">
        <f>+NOMINA!D115</f>
        <v>Mendez Olmos Tulio Enrique</v>
      </c>
      <c r="D119" s="949" t="str">
        <f>+NOMINA!O115</f>
        <v>Especialista en Informatica I</v>
      </c>
      <c r="E119" s="952">
        <f>+NOMINA!H115</f>
        <v>36342</v>
      </c>
      <c r="F119" s="953">
        <f>+NOMINA!BN115</f>
        <v>6.29</v>
      </c>
      <c r="G119" s="608"/>
      <c r="H119" s="609"/>
      <c r="I119" s="609"/>
      <c r="J119" s="609"/>
      <c r="K119" s="609"/>
    </row>
    <row r="120" spans="1:11" ht="15.75" customHeight="1">
      <c r="A120" s="951">
        <f t="shared" si="2"/>
        <v>74</v>
      </c>
      <c r="B120" s="949">
        <f>+NOMINA!C116</f>
        <v>12457981</v>
      </c>
      <c r="C120" s="949" t="str">
        <f>+NOMINA!D116</f>
        <v>Escalona Ruiz Luis Alberto</v>
      </c>
      <c r="D120" s="949" t="str">
        <f>+NOMINA!O116</f>
        <v>Medico Especialista II</v>
      </c>
      <c r="E120" s="952">
        <f>+NOMINA!H116</f>
        <v>44348</v>
      </c>
      <c r="F120" s="953">
        <f>+NOMINA!BN116</f>
        <v>4.42</v>
      </c>
      <c r="G120" s="608"/>
      <c r="H120" s="609"/>
      <c r="I120" s="609"/>
      <c r="J120" s="609"/>
      <c r="K120" s="609"/>
    </row>
    <row r="121" spans="1:11" ht="15.75" customHeight="1">
      <c r="A121" s="951">
        <f t="shared" si="2"/>
        <v>75</v>
      </c>
      <c r="B121" s="949">
        <f>+NOMINA!C117</f>
        <v>12458811</v>
      </c>
      <c r="C121" s="949" t="str">
        <f>+NOMINA!D117</f>
        <v>Segovia Rondon Milagros Del Valle</v>
      </c>
      <c r="D121" s="949" t="str">
        <f>+NOMINA!O117</f>
        <v>Analista de Presupuesto Jefe</v>
      </c>
      <c r="E121" s="952">
        <f>+NOMINA!H117</f>
        <v>39514</v>
      </c>
      <c r="F121" s="953">
        <f>+NOMINA!BN117</f>
        <v>7.19</v>
      </c>
      <c r="G121" s="608"/>
      <c r="H121" s="609"/>
      <c r="I121" s="609"/>
      <c r="J121" s="609"/>
      <c r="K121" s="609"/>
    </row>
    <row r="122" spans="1:11" ht="15.75" customHeight="1">
      <c r="A122" s="951">
        <f t="shared" si="2"/>
        <v>76</v>
      </c>
      <c r="B122" s="949">
        <f>+NOMINA!C118</f>
        <v>12458942</v>
      </c>
      <c r="C122" s="949" t="str">
        <f>+NOMINA!D118</f>
        <v>Mendoza Mendoza Mirian Del Milagro</v>
      </c>
      <c r="D122" s="949" t="str">
        <f>+NOMINA!O118</f>
        <v>Administrador Jefe</v>
      </c>
      <c r="E122" s="952">
        <f>+NOMINA!H118</f>
        <v>44424</v>
      </c>
      <c r="F122" s="953">
        <f>+NOMINA!BN118</f>
        <v>0</v>
      </c>
      <c r="G122" s="608"/>
      <c r="H122" s="609"/>
      <c r="I122" s="609"/>
      <c r="J122" s="609"/>
      <c r="K122" s="609"/>
    </row>
    <row r="123" spans="1:11" ht="15.75" customHeight="1">
      <c r="A123" s="951">
        <f t="shared" si="2"/>
        <v>77</v>
      </c>
      <c r="B123" s="949">
        <f>+NOMINA!C119</f>
        <v>12541044</v>
      </c>
      <c r="C123" s="949" t="str">
        <f>+NOMINA!D119</f>
        <v>Rojas Telles Lisbeth Josefina</v>
      </c>
      <c r="D123" s="949" t="str">
        <f>+NOMINA!O119</f>
        <v>Tutor Facilitador I</v>
      </c>
      <c r="E123" s="952">
        <f>+NOMINA!H119</f>
        <v>45597</v>
      </c>
      <c r="F123" s="953">
        <f>+NOMINA!BN119</f>
        <v>4.8600000000000003</v>
      </c>
      <c r="G123" s="608"/>
      <c r="H123" s="609"/>
      <c r="I123" s="609"/>
      <c r="J123" s="609"/>
      <c r="K123" s="609"/>
    </row>
    <row r="124" spans="1:11" ht="15.75" customHeight="1">
      <c r="A124" s="951">
        <f t="shared" si="2"/>
        <v>78</v>
      </c>
      <c r="B124" s="949">
        <f>+NOMINA!C120</f>
        <v>12542413</v>
      </c>
      <c r="C124" s="949" t="str">
        <f>+NOMINA!D120</f>
        <v>Aponte Matheus Richard Alexander</v>
      </c>
      <c r="D124" s="949" t="str">
        <f>+NOMINA!O120</f>
        <v>Guia de Centro II</v>
      </c>
      <c r="E124" s="952">
        <f>+NOMINA!H120</f>
        <v>36434</v>
      </c>
      <c r="F124" s="953">
        <f>+NOMINA!BN120</f>
        <v>0</v>
      </c>
      <c r="G124" s="608"/>
      <c r="H124" s="609"/>
      <c r="I124" s="609"/>
      <c r="J124" s="609"/>
      <c r="K124" s="609"/>
    </row>
    <row r="125" spans="1:11" ht="15.75" customHeight="1">
      <c r="A125" s="951">
        <f t="shared" si="2"/>
        <v>79</v>
      </c>
      <c r="B125" s="949">
        <f>+NOMINA!C121</f>
        <v>12798604</v>
      </c>
      <c r="C125" s="949" t="str">
        <f>+NOMINA!D121</f>
        <v>Camacho Gomez Trina Margarita</v>
      </c>
      <c r="D125" s="949" t="str">
        <f>+NOMINA!O121</f>
        <v>Guia de Centro II</v>
      </c>
      <c r="E125" s="952">
        <f>+NOMINA!H121</f>
        <v>35384</v>
      </c>
      <c r="F125" s="953">
        <f>+NOMINA!BN121</f>
        <v>3.73</v>
      </c>
      <c r="G125" s="608"/>
      <c r="H125" s="609"/>
      <c r="I125" s="609"/>
      <c r="J125" s="609"/>
      <c r="K125" s="609"/>
    </row>
    <row r="126" spans="1:11" ht="15.75" customHeight="1">
      <c r="A126" s="951">
        <f t="shared" si="2"/>
        <v>80</v>
      </c>
      <c r="B126" s="949">
        <f>+NOMINA!C122</f>
        <v>12798736</v>
      </c>
      <c r="C126" s="949" t="str">
        <f>+NOMINA!D122</f>
        <v>Gonzalez Pabon Marianela</v>
      </c>
      <c r="D126" s="949" t="str">
        <f>+NOMINA!O122</f>
        <v>Analista de Personal VI</v>
      </c>
      <c r="E126" s="952">
        <f>+NOMINA!H122</f>
        <v>39479</v>
      </c>
      <c r="F126" s="953">
        <f>+NOMINA!BN122</f>
        <v>6.92</v>
      </c>
      <c r="G126" s="608"/>
      <c r="H126" s="609"/>
      <c r="I126" s="609"/>
      <c r="J126" s="609"/>
      <c r="K126" s="609"/>
    </row>
    <row r="127" spans="1:11" ht="15.75" customHeight="1">
      <c r="A127" s="951">
        <f t="shared" si="2"/>
        <v>81</v>
      </c>
      <c r="B127" s="949">
        <f>+NOMINA!C123</f>
        <v>12939010</v>
      </c>
      <c r="C127" s="949" t="str">
        <f>+NOMINA!D123</f>
        <v>Mendez de Viloria Yelitza Del Valle</v>
      </c>
      <c r="D127" s="949" t="str">
        <f>+NOMINA!O123</f>
        <v>Asistente Administrativo III</v>
      </c>
      <c r="E127" s="952">
        <f>+NOMINA!H123</f>
        <v>42948</v>
      </c>
      <c r="F127" s="953">
        <f>+NOMINA!BN123</f>
        <v>4.59</v>
      </c>
      <c r="G127" s="608"/>
      <c r="H127" s="609"/>
      <c r="I127" s="609"/>
      <c r="J127" s="609"/>
      <c r="K127" s="609"/>
    </row>
    <row r="128" spans="1:11" ht="15.75" customHeight="1">
      <c r="A128" s="951">
        <f t="shared" si="2"/>
        <v>82</v>
      </c>
      <c r="B128" s="949">
        <f>+NOMINA!C124</f>
        <v>12941385</v>
      </c>
      <c r="C128" s="949" t="str">
        <f>+NOMINA!D124</f>
        <v>Torres de Gonzalez Milangela Maria</v>
      </c>
      <c r="D128" s="949" t="str">
        <f>+NOMINA!O124</f>
        <v>Tutor Facilitador III</v>
      </c>
      <c r="E128" s="952">
        <f>+NOMINA!H124</f>
        <v>42948</v>
      </c>
      <c r="F128" s="953">
        <f>+NOMINA!BN124</f>
        <v>5.37</v>
      </c>
      <c r="G128" s="608"/>
      <c r="H128" s="609"/>
      <c r="I128" s="609"/>
      <c r="J128" s="609"/>
      <c r="K128" s="609"/>
    </row>
    <row r="129" spans="1:11" ht="15.75" customHeight="1">
      <c r="A129" s="951">
        <f t="shared" si="2"/>
        <v>83</v>
      </c>
      <c r="B129" s="949">
        <f>+NOMINA!C125</f>
        <v>13117904</v>
      </c>
      <c r="C129" s="949" t="str">
        <f>+NOMINA!D125</f>
        <v>Villegas Jaime Antonio</v>
      </c>
      <c r="D129" s="949" t="str">
        <f>+NOMINA!O125</f>
        <v>Guia de Centro I</v>
      </c>
      <c r="E129" s="952">
        <f>+NOMINA!H125</f>
        <v>43693</v>
      </c>
      <c r="F129" s="953">
        <f>+NOMINA!BN125</f>
        <v>3.9</v>
      </c>
      <c r="G129" s="608"/>
      <c r="H129" s="609"/>
      <c r="I129" s="609"/>
      <c r="J129" s="609"/>
      <c r="K129" s="609"/>
    </row>
    <row r="130" spans="1:11" ht="15.75" customHeight="1">
      <c r="A130" s="951">
        <f t="shared" si="2"/>
        <v>84</v>
      </c>
      <c r="B130" s="949">
        <f>+NOMINA!C126</f>
        <v>13206767</v>
      </c>
      <c r="C130" s="949" t="str">
        <f>+NOMINA!D126</f>
        <v>Bastidas Guerra Soralis del Valle</v>
      </c>
      <c r="D130" s="949" t="str">
        <f>+NOMINA!O126</f>
        <v>Abogado I</v>
      </c>
      <c r="E130" s="952">
        <f>+NOMINA!H126</f>
        <v>44713</v>
      </c>
      <c r="F130" s="953">
        <f>+NOMINA!BN126</f>
        <v>0</v>
      </c>
      <c r="G130" s="608"/>
      <c r="H130" s="609"/>
      <c r="I130" s="609"/>
      <c r="J130" s="609"/>
      <c r="K130" s="609"/>
    </row>
    <row r="131" spans="1:11" ht="15.75" customHeight="1">
      <c r="A131" s="951">
        <f t="shared" si="2"/>
        <v>85</v>
      </c>
      <c r="B131" s="949">
        <f>+NOMINA!C127</f>
        <v>13207692</v>
      </c>
      <c r="C131" s="949" t="str">
        <f>+NOMINA!D127</f>
        <v>Macias Briceño Alejandra Coromoto</v>
      </c>
      <c r="D131" s="949" t="str">
        <f>+NOMINA!O127</f>
        <v>Administrador III</v>
      </c>
      <c r="E131" s="952">
        <f>+NOMINA!H127</f>
        <v>38504</v>
      </c>
      <c r="F131" s="953">
        <f>+NOMINA!BN127</f>
        <v>6.4</v>
      </c>
      <c r="G131" s="608"/>
      <c r="H131" s="609"/>
      <c r="I131" s="609"/>
      <c r="J131" s="609"/>
      <c r="K131" s="609"/>
    </row>
    <row r="132" spans="1:11" ht="15.75" customHeight="1">
      <c r="A132" s="951">
        <f t="shared" si="2"/>
        <v>86</v>
      </c>
      <c r="B132" s="949">
        <f>+NOMINA!C128</f>
        <v>13260050</v>
      </c>
      <c r="C132" s="949" t="str">
        <f>+NOMINA!D128</f>
        <v>Mendoza Vieras Maria Elena</v>
      </c>
      <c r="D132" s="949" t="str">
        <f>+NOMINA!O128</f>
        <v>ADMINISTRADOR III</v>
      </c>
      <c r="E132" s="952">
        <f>+NOMINA!H128</f>
        <v>45444</v>
      </c>
      <c r="F132" s="953">
        <f>+NOMINA!BN128</f>
        <v>5.65</v>
      </c>
      <c r="G132" s="608"/>
      <c r="H132" s="609"/>
      <c r="I132" s="609"/>
      <c r="J132" s="609"/>
      <c r="K132" s="609"/>
    </row>
    <row r="133" spans="1:11" ht="15.75" customHeight="1">
      <c r="A133" s="951">
        <f t="shared" si="2"/>
        <v>87</v>
      </c>
      <c r="B133" s="949">
        <f>+NOMINA!C129</f>
        <v>13260933</v>
      </c>
      <c r="C133" s="949" t="str">
        <f>+NOMINA!D129</f>
        <v>Venegas Azuaje Freddy Jose</v>
      </c>
      <c r="D133" s="949" t="str">
        <f>+NOMINA!O129</f>
        <v>Guia de Centro I</v>
      </c>
      <c r="E133" s="952">
        <f>+NOMINA!H129</f>
        <v>45474</v>
      </c>
      <c r="F133" s="953">
        <f>+NOMINA!BN129</f>
        <v>3.38</v>
      </c>
      <c r="G133" s="608"/>
      <c r="H133" s="609"/>
      <c r="I133" s="609"/>
      <c r="J133" s="609"/>
      <c r="K133" s="609"/>
    </row>
    <row r="134" spans="1:11" ht="15.75" customHeight="1">
      <c r="A134" s="951">
        <f t="shared" si="2"/>
        <v>88</v>
      </c>
      <c r="B134" s="949">
        <f>+NOMINA!C130</f>
        <v>13261035</v>
      </c>
      <c r="C134" s="949" t="str">
        <f>+NOMINA!D130</f>
        <v>Henry Peña Yokary Nakary</v>
      </c>
      <c r="D134" s="949" t="str">
        <f>+NOMINA!O130</f>
        <v>Entrenador Deportivo V</v>
      </c>
      <c r="E134" s="952">
        <f>+NOMINA!H130</f>
        <v>43770</v>
      </c>
      <c r="F134" s="953">
        <f>+NOMINA!BN130</f>
        <v>5.26</v>
      </c>
      <c r="G134" s="608"/>
      <c r="H134" s="609"/>
      <c r="I134" s="609"/>
      <c r="J134" s="609"/>
      <c r="K134" s="609"/>
    </row>
    <row r="135" spans="1:11" ht="15.75" customHeight="1">
      <c r="A135" s="951">
        <f t="shared" si="2"/>
        <v>89</v>
      </c>
      <c r="B135" s="949">
        <f>+NOMINA!C131</f>
        <v>13261229</v>
      </c>
      <c r="C135" s="949" t="str">
        <f>+NOMINA!D131</f>
        <v>Abreu Rodriguez Eva Del Carmen</v>
      </c>
      <c r="D135" s="949" t="str">
        <f>+NOMINA!O131</f>
        <v>Asistente Administrativo III</v>
      </c>
      <c r="E135" s="952">
        <f>+NOMINA!H131</f>
        <v>42644</v>
      </c>
      <c r="F135" s="953">
        <f>+NOMINA!BN131</f>
        <v>4.59</v>
      </c>
      <c r="G135" s="608"/>
      <c r="H135" s="609"/>
      <c r="I135" s="609"/>
      <c r="J135" s="609"/>
      <c r="K135" s="609"/>
    </row>
    <row r="136" spans="1:11" ht="15.75" customHeight="1">
      <c r="A136" s="951">
        <f t="shared" si="2"/>
        <v>90</v>
      </c>
      <c r="B136" s="949">
        <f>+NOMINA!C132</f>
        <v>13461747</v>
      </c>
      <c r="C136" s="949" t="str">
        <f>+NOMINA!D132</f>
        <v>Santos Hernandez Karine Yenilet</v>
      </c>
      <c r="D136" s="949" t="str">
        <f>+NOMINA!O132</f>
        <v>Asistente Administrativo III</v>
      </c>
      <c r="E136" s="952">
        <f>+NOMINA!H132</f>
        <v>44683</v>
      </c>
      <c r="F136" s="953">
        <f>+NOMINA!BN132</f>
        <v>4.29</v>
      </c>
      <c r="G136" s="608"/>
      <c r="H136" s="609"/>
      <c r="I136" s="609"/>
      <c r="J136" s="609"/>
      <c r="K136" s="609"/>
    </row>
    <row r="137" spans="1:11" ht="15.75" customHeight="1">
      <c r="A137" s="951">
        <f t="shared" si="2"/>
        <v>91</v>
      </c>
      <c r="B137" s="949">
        <f>+NOMINA!C133</f>
        <v>13461934</v>
      </c>
      <c r="C137" s="949" t="str">
        <f>+NOMINA!D133</f>
        <v>Ramirez Ayala Jenny Marisela</v>
      </c>
      <c r="D137" s="949" t="str">
        <f>+NOMINA!O133</f>
        <v>Guia de Centro II</v>
      </c>
      <c r="E137" s="952">
        <f>+NOMINA!H133</f>
        <v>43252</v>
      </c>
      <c r="F137" s="953">
        <f>+NOMINA!BN133</f>
        <v>4.04</v>
      </c>
      <c r="G137" s="608"/>
      <c r="H137" s="609"/>
      <c r="I137" s="609"/>
      <c r="J137" s="609"/>
      <c r="K137" s="609"/>
    </row>
    <row r="138" spans="1:11" ht="15.75" customHeight="1">
      <c r="A138" s="951">
        <f t="shared" si="2"/>
        <v>92</v>
      </c>
      <c r="B138" s="949">
        <f>+NOMINA!C134</f>
        <v>13462933</v>
      </c>
      <c r="C138" s="949" t="str">
        <f>+NOMINA!D134</f>
        <v>Frias Aldana Maria Yaritza</v>
      </c>
      <c r="D138" s="949" t="str">
        <f>+NOMINA!O134</f>
        <v>Administrador Jefe</v>
      </c>
      <c r="E138" s="952">
        <f>+NOMINA!H134</f>
        <v>39454</v>
      </c>
      <c r="F138" s="953">
        <f>+NOMINA!BN134</f>
        <v>0</v>
      </c>
      <c r="G138" s="608"/>
      <c r="H138" s="609"/>
      <c r="I138" s="609"/>
      <c r="J138" s="609"/>
      <c r="K138" s="609"/>
    </row>
    <row r="139" spans="1:11" ht="15.75" customHeight="1">
      <c r="A139" s="951">
        <f t="shared" si="2"/>
        <v>93</v>
      </c>
      <c r="B139" s="949">
        <f>+NOMINA!C135</f>
        <v>13462511</v>
      </c>
      <c r="C139" s="949" t="str">
        <f>+NOMINA!D135</f>
        <v>Vielma Jenifer</v>
      </c>
      <c r="D139" s="949" t="str">
        <f>+NOMINA!O135</f>
        <v>CRIMINOLOGO</v>
      </c>
      <c r="E139" s="952">
        <f>+NOMINA!H135</f>
        <v>43738</v>
      </c>
      <c r="F139" s="953">
        <f>+NOMINA!BN135</f>
        <v>6.78</v>
      </c>
      <c r="G139" s="608"/>
      <c r="H139" s="609"/>
      <c r="I139" s="609"/>
      <c r="J139" s="609"/>
      <c r="K139" s="609"/>
    </row>
    <row r="140" spans="1:11" ht="15.75" customHeight="1">
      <c r="A140" s="951">
        <f t="shared" si="2"/>
        <v>94</v>
      </c>
      <c r="B140" s="949">
        <f>+NOMINA!C136</f>
        <v>13522518</v>
      </c>
      <c r="C140" s="949" t="str">
        <f>+NOMINA!D136</f>
        <v>Altuve Diaz Jose Antonio</v>
      </c>
      <c r="D140" s="949" t="str">
        <f>+NOMINA!O136</f>
        <v>Almacenista II</v>
      </c>
      <c r="E140" s="952">
        <f>+NOMINA!H136</f>
        <v>43739</v>
      </c>
      <c r="F140" s="953">
        <f>+NOMINA!BN136</f>
        <v>3</v>
      </c>
      <c r="G140" s="608"/>
      <c r="H140" s="609"/>
      <c r="I140" s="609"/>
      <c r="J140" s="609"/>
      <c r="K140" s="609"/>
    </row>
    <row r="141" spans="1:11" ht="15.75" customHeight="1">
      <c r="A141" s="951">
        <f t="shared" si="2"/>
        <v>95</v>
      </c>
      <c r="B141" s="949">
        <f>+NOMINA!C137</f>
        <v>13523075</v>
      </c>
      <c r="C141" s="949" t="str">
        <f>+NOMINA!D137</f>
        <v>Zambrano Castellanos Maria Alejandra</v>
      </c>
      <c r="D141" s="949" t="str">
        <f>+NOMINA!O137</f>
        <v>Planificador V</v>
      </c>
      <c r="E141" s="952">
        <f>+NOMINA!H137</f>
        <v>37718</v>
      </c>
      <c r="F141" s="953">
        <f>+NOMINA!BN137</f>
        <v>5.36</v>
      </c>
      <c r="G141" s="608"/>
      <c r="H141" s="609"/>
      <c r="I141" s="609"/>
      <c r="J141" s="609"/>
      <c r="K141" s="609"/>
    </row>
    <row r="142" spans="1:11" ht="15.75" customHeight="1">
      <c r="A142" s="951">
        <f t="shared" si="2"/>
        <v>96</v>
      </c>
      <c r="B142" s="949">
        <f>+NOMINA!C138</f>
        <v>13745803</v>
      </c>
      <c r="C142" s="949" t="str">
        <f>+NOMINA!D138</f>
        <v>Materan Riveros Yorvis Alexis</v>
      </c>
      <c r="D142" s="949" t="str">
        <f>+NOMINA!O138</f>
        <v>Tutor Facilitador III</v>
      </c>
      <c r="E142" s="952">
        <f>+NOMINA!H138</f>
        <v>44774</v>
      </c>
      <c r="F142" s="953">
        <f>+NOMINA!BN138</f>
        <v>6.29</v>
      </c>
      <c r="G142" s="608"/>
      <c r="H142" s="609"/>
      <c r="I142" s="609"/>
      <c r="J142" s="609"/>
      <c r="K142" s="609"/>
    </row>
    <row r="143" spans="1:11" ht="15.75" customHeight="1">
      <c r="A143" s="951">
        <f t="shared" si="2"/>
        <v>97</v>
      </c>
      <c r="B143" s="949">
        <f>+NOMINA!C139</f>
        <v>13765028</v>
      </c>
      <c r="C143" s="949" t="str">
        <f>+NOMINA!D139</f>
        <v xml:space="preserve">Diaz Ramirez Mileyda Del Valle </v>
      </c>
      <c r="D143" s="949" t="str">
        <f>+NOMINA!O139</f>
        <v>Guia de Centro II</v>
      </c>
      <c r="E143" s="952">
        <f>+NOMINA!H139</f>
        <v>44348</v>
      </c>
      <c r="F143" s="953">
        <f>+NOMINA!BN139</f>
        <v>5.89</v>
      </c>
      <c r="G143" s="608"/>
      <c r="H143" s="609"/>
      <c r="I143" s="609"/>
      <c r="J143" s="609"/>
      <c r="K143" s="609"/>
    </row>
    <row r="144" spans="1:11" ht="15.75" customHeight="1">
      <c r="A144" s="951">
        <f t="shared" si="2"/>
        <v>98</v>
      </c>
      <c r="B144" s="949">
        <f>+NOMINA!C140</f>
        <v>13896147</v>
      </c>
      <c r="C144" s="949" t="str">
        <f>+NOMINA!D140</f>
        <v>Carrizo Blanco Belquis Cecilia</v>
      </c>
      <c r="D144" s="949" t="str">
        <f>+NOMINA!O140</f>
        <v>Administrador III</v>
      </c>
      <c r="E144" s="952">
        <f>+NOMINA!H140</f>
        <v>41334</v>
      </c>
      <c r="F144" s="953">
        <f>+NOMINA!BN140</f>
        <v>5.57</v>
      </c>
      <c r="G144" s="608"/>
      <c r="H144" s="609"/>
      <c r="I144" s="609"/>
      <c r="J144" s="609"/>
      <c r="K144" s="609"/>
    </row>
    <row r="145" spans="1:11" ht="15.75" customHeight="1">
      <c r="A145" s="951">
        <f t="shared" si="2"/>
        <v>99</v>
      </c>
      <c r="B145" s="949">
        <f>+NOMINA!C141</f>
        <v>13896239</v>
      </c>
      <c r="C145" s="949" t="str">
        <f>+NOMINA!D141</f>
        <v>Sulbaran Campos Yusneida Ayarith</v>
      </c>
      <c r="D145" s="949" t="str">
        <f>+NOMINA!O141</f>
        <v>Analista de Presupuesto IV</v>
      </c>
      <c r="E145" s="952">
        <f>+NOMINA!H141</f>
        <v>42416</v>
      </c>
      <c r="F145" s="953">
        <f>+NOMINA!BN141</f>
        <v>0</v>
      </c>
      <c r="G145" s="608"/>
      <c r="H145" s="609"/>
      <c r="I145" s="609"/>
      <c r="J145" s="609"/>
      <c r="K145" s="609"/>
    </row>
    <row r="146" spans="1:11" ht="15.75" customHeight="1">
      <c r="A146" s="951">
        <f t="shared" si="2"/>
        <v>100</v>
      </c>
      <c r="B146" s="949">
        <f>+NOMINA!C142</f>
        <v>13897046</v>
      </c>
      <c r="C146" s="949" t="str">
        <f>+NOMINA!D142</f>
        <v>Artigas Sanchez Mireya Carolina</v>
      </c>
      <c r="D146" s="949" t="str">
        <f>+NOMINA!O142</f>
        <v>Tecnico Superior en Trabajo Social II</v>
      </c>
      <c r="E146" s="952">
        <f>+NOMINA!H142</f>
        <v>42384</v>
      </c>
      <c r="F146" s="953">
        <f>+NOMINA!BN142</f>
        <v>4.8</v>
      </c>
      <c r="G146" s="608"/>
      <c r="H146" s="609"/>
      <c r="I146" s="609"/>
      <c r="J146" s="609"/>
      <c r="K146" s="609"/>
    </row>
    <row r="147" spans="1:11" ht="15.75" customHeight="1">
      <c r="A147" s="951">
        <f t="shared" si="2"/>
        <v>101</v>
      </c>
      <c r="B147" s="949">
        <f>+NOMINA!C143</f>
        <v>13897695</v>
      </c>
      <c r="C147" s="949" t="str">
        <f>+NOMINA!D143</f>
        <v>Araujo Matheus Alba Mariela</v>
      </c>
      <c r="D147" s="949" t="str">
        <f>+NOMINA!O143</f>
        <v>Analista de Presupuesto Jefe</v>
      </c>
      <c r="E147" s="952">
        <f>+NOMINA!H143</f>
        <v>39496</v>
      </c>
      <c r="F147" s="953">
        <f>+NOMINA!BN143</f>
        <v>6.4</v>
      </c>
      <c r="G147" s="608"/>
      <c r="H147" s="609"/>
      <c r="I147" s="609"/>
      <c r="J147" s="609"/>
      <c r="K147" s="609"/>
    </row>
    <row r="148" spans="1:11" ht="15.75" customHeight="1">
      <c r="A148" s="951">
        <f t="shared" si="2"/>
        <v>102</v>
      </c>
      <c r="B148" s="949">
        <f>+NOMINA!C144</f>
        <v>13996024</v>
      </c>
      <c r="C148" s="949" t="str">
        <f>+NOMINA!D144</f>
        <v>Perez Barrios Helenmar</v>
      </c>
      <c r="D148" s="949" t="str">
        <f>+NOMINA!O144</f>
        <v>Contador III</v>
      </c>
      <c r="E148" s="952">
        <f>+NOMINA!H144</f>
        <v>40028</v>
      </c>
      <c r="F148" s="953">
        <f>+NOMINA!BN144</f>
        <v>5.99</v>
      </c>
      <c r="G148" s="608"/>
      <c r="H148" s="609"/>
      <c r="I148" s="609"/>
      <c r="J148" s="609"/>
      <c r="K148" s="609"/>
    </row>
    <row r="149" spans="1:11" ht="15.75" customHeight="1">
      <c r="A149" s="951">
        <f t="shared" si="2"/>
        <v>103</v>
      </c>
      <c r="B149" s="949">
        <f>+NOMINA!C145</f>
        <v>14106648</v>
      </c>
      <c r="C149" s="949" t="str">
        <f>+NOMINA!D145</f>
        <v>Aguilar Flores Heidy Coromoto</v>
      </c>
      <c r="D149" s="949" t="str">
        <f>+NOMINA!O145</f>
        <v>Asistente Administrativo IV</v>
      </c>
      <c r="E149" s="952">
        <f>+NOMINA!H145</f>
        <v>40787</v>
      </c>
      <c r="F149" s="953">
        <f>+NOMINA!BN145</f>
        <v>5.1100000000000003</v>
      </c>
      <c r="G149" s="608"/>
      <c r="H149" s="609"/>
      <c r="I149" s="609"/>
      <c r="J149" s="609"/>
      <c r="K149" s="609"/>
    </row>
    <row r="150" spans="1:11" ht="15.75" customHeight="1">
      <c r="A150" s="951">
        <f t="shared" si="2"/>
        <v>104</v>
      </c>
      <c r="B150" s="949">
        <f>+NOMINA!C146</f>
        <v>14329448</v>
      </c>
      <c r="C150" s="949" t="str">
        <f>+NOMINA!D146</f>
        <v>Leal Mejia Jociany Trinny</v>
      </c>
      <c r="D150" s="949" t="str">
        <f>+NOMINA!O146</f>
        <v>Tutor Facilitador I</v>
      </c>
      <c r="E150" s="952">
        <f>+NOMINA!H146</f>
        <v>44743</v>
      </c>
      <c r="F150" s="953">
        <f>+NOMINA!BN146</f>
        <v>4.92</v>
      </c>
      <c r="G150" s="608"/>
      <c r="H150" s="609"/>
      <c r="I150" s="609"/>
      <c r="J150" s="609"/>
      <c r="K150" s="609"/>
    </row>
    <row r="151" spans="1:11" ht="15.75" customHeight="1">
      <c r="A151" s="951">
        <f t="shared" si="2"/>
        <v>105</v>
      </c>
      <c r="B151" s="949">
        <f>+NOMINA!C147</f>
        <v>14406240</v>
      </c>
      <c r="C151" s="949" t="str">
        <f>+NOMINA!D147</f>
        <v>Sarmiento Suarez Karem Yanira</v>
      </c>
      <c r="D151" s="949" t="str">
        <f>+NOMINA!O147</f>
        <v>Tecnico Superior en Trabajo Social II</v>
      </c>
      <c r="E151" s="952">
        <f>+NOMINA!H147</f>
        <v>43785</v>
      </c>
      <c r="F151" s="953">
        <f>+NOMINA!BN147</f>
        <v>5</v>
      </c>
      <c r="G151" s="608"/>
      <c r="H151" s="609"/>
      <c r="I151" s="609"/>
      <c r="J151" s="609"/>
      <c r="K151" s="609"/>
    </row>
    <row r="152" spans="1:11" ht="15.75" customHeight="1">
      <c r="A152" s="951">
        <f t="shared" si="2"/>
        <v>106</v>
      </c>
      <c r="B152" s="949">
        <f>+NOMINA!C148</f>
        <v>14459607</v>
      </c>
      <c r="C152" s="949" t="str">
        <f>+NOMINA!D148</f>
        <v>Martinez Leal Deyanira Yusissan</v>
      </c>
      <c r="D152" s="949" t="str">
        <f>+NOMINA!O148</f>
        <v>Tecnico Superior en Trabajo Social II</v>
      </c>
      <c r="E152" s="952">
        <f>+NOMINA!H148</f>
        <v>43116</v>
      </c>
      <c r="F152" s="953">
        <f>+NOMINA!BN148</f>
        <v>4.71</v>
      </c>
      <c r="G152" s="608"/>
      <c r="H152" s="609"/>
      <c r="I152" s="609"/>
      <c r="J152" s="609"/>
      <c r="K152" s="609"/>
    </row>
    <row r="153" spans="1:11" ht="15.75" customHeight="1">
      <c r="A153" s="951">
        <f t="shared" si="2"/>
        <v>107</v>
      </c>
      <c r="B153" s="949">
        <f>+NOMINA!C149</f>
        <v>14598170</v>
      </c>
      <c r="C153" s="949" t="str">
        <f>+NOMINA!D149</f>
        <v>Rendon Utrilla Gerson Paul</v>
      </c>
      <c r="D153" s="949" t="str">
        <f>+NOMINA!O149</f>
        <v>Tutor Facilitador III</v>
      </c>
      <c r="E153" s="952">
        <f>+NOMINA!H149</f>
        <v>43435</v>
      </c>
      <c r="F153" s="953">
        <f>+NOMINA!BN149</f>
        <v>5.49</v>
      </c>
      <c r="G153" s="608"/>
      <c r="H153" s="609"/>
      <c r="I153" s="609"/>
      <c r="J153" s="609"/>
      <c r="K153" s="609"/>
    </row>
    <row r="154" spans="1:11" ht="15.75" customHeight="1">
      <c r="A154" s="951">
        <f t="shared" si="2"/>
        <v>108</v>
      </c>
      <c r="B154" s="949">
        <f>+NOMINA!C150</f>
        <v>14598687</v>
      </c>
      <c r="C154" s="949" t="str">
        <f>+NOMINA!D150</f>
        <v>Godoy Bracamonte Juan Carlos</v>
      </c>
      <c r="D154" s="949" t="str">
        <f>+NOMINA!O150</f>
        <v>Entrenador Deportivo IV</v>
      </c>
      <c r="E154" s="952">
        <f>+NOMINA!H150</f>
        <v>44332</v>
      </c>
      <c r="F154" s="953">
        <f>+NOMINA!BN150</f>
        <v>6.19</v>
      </c>
      <c r="G154" s="608"/>
      <c r="H154" s="609"/>
      <c r="I154" s="609"/>
      <c r="J154" s="609"/>
      <c r="K154" s="609"/>
    </row>
    <row r="155" spans="1:11" ht="15.75" customHeight="1">
      <c r="A155" s="951">
        <f t="shared" si="2"/>
        <v>109</v>
      </c>
      <c r="B155" s="949">
        <f>+NOMINA!C151</f>
        <v>14719639</v>
      </c>
      <c r="C155" s="949" t="str">
        <f>+NOMINA!D151</f>
        <v xml:space="preserve">Coy de Dorante Sandra Liliana </v>
      </c>
      <c r="D155" s="949" t="str">
        <f>+NOMINA!O151</f>
        <v>Guia de Centro I</v>
      </c>
      <c r="E155" s="952">
        <f>+NOMINA!H151</f>
        <v>44896</v>
      </c>
      <c r="F155" s="953">
        <f>+NOMINA!BN151</f>
        <v>3.74</v>
      </c>
      <c r="G155" s="608"/>
      <c r="H155" s="609"/>
      <c r="I155" s="609"/>
      <c r="J155" s="609"/>
      <c r="K155" s="609"/>
    </row>
    <row r="156" spans="1:11" ht="15.75" customHeight="1">
      <c r="A156" s="951">
        <f t="shared" si="2"/>
        <v>110</v>
      </c>
      <c r="B156" s="949">
        <f>+NOMINA!C152</f>
        <v>14739168</v>
      </c>
      <c r="C156" s="949" t="str">
        <f>+NOMINA!D152</f>
        <v>Briceño Hernandez Yeny Del Carmen</v>
      </c>
      <c r="D156" s="949" t="str">
        <f>+NOMINA!O152</f>
        <v>Trabajador Social III</v>
      </c>
      <c r="E156" s="952">
        <f>+NOMINA!H152</f>
        <v>38841</v>
      </c>
      <c r="F156" s="953">
        <f>+NOMINA!BN152</f>
        <v>5.07</v>
      </c>
      <c r="G156" s="608"/>
      <c r="H156" s="609"/>
      <c r="I156" s="609"/>
      <c r="J156" s="609"/>
      <c r="K156" s="609"/>
    </row>
    <row r="157" spans="1:11" ht="15.75" customHeight="1">
      <c r="A157" s="951">
        <f t="shared" si="2"/>
        <v>111</v>
      </c>
      <c r="B157" s="949">
        <f>+NOMINA!C153</f>
        <v>14928034</v>
      </c>
      <c r="C157" s="949" t="str">
        <f>+NOMINA!D153</f>
        <v>Ramirez Palomares Mariana Teresa</v>
      </c>
      <c r="D157" s="949" t="str">
        <f>+NOMINA!O153</f>
        <v>Promotor Cultural I</v>
      </c>
      <c r="E157" s="952">
        <f>+NOMINA!H153</f>
        <v>44302</v>
      </c>
      <c r="F157" s="953">
        <f>+NOMINA!BN153</f>
        <v>3.33</v>
      </c>
      <c r="G157" s="608"/>
      <c r="H157" s="609"/>
      <c r="I157" s="609"/>
      <c r="J157" s="609"/>
      <c r="K157" s="609"/>
    </row>
    <row r="158" spans="1:11" ht="15.75" customHeight="1">
      <c r="A158" s="951">
        <f t="shared" si="2"/>
        <v>112</v>
      </c>
      <c r="B158" s="949">
        <f>+NOMINA!C154</f>
        <v>14928260</v>
      </c>
      <c r="C158" s="949" t="str">
        <f>+NOMINA!D154</f>
        <v>Rivas Ana Lucila</v>
      </c>
      <c r="D158" s="949" t="str">
        <f>+NOMINA!O154</f>
        <v>Tutor Facilitador I</v>
      </c>
      <c r="E158" s="952">
        <f>+NOMINA!H154</f>
        <v>39104</v>
      </c>
      <c r="F158" s="953">
        <f>+NOMINA!BN154</f>
        <v>5.07</v>
      </c>
      <c r="G158" s="608"/>
      <c r="H158" s="609"/>
      <c r="I158" s="609"/>
      <c r="J158" s="609"/>
      <c r="K158" s="609"/>
    </row>
    <row r="159" spans="1:11" ht="15.75" customHeight="1">
      <c r="A159" s="951">
        <f t="shared" si="2"/>
        <v>113</v>
      </c>
      <c r="B159" s="949">
        <f>+NOMINA!C155</f>
        <v>14929642</v>
      </c>
      <c r="C159" s="949" t="str">
        <f>+NOMINA!D155</f>
        <v>Alvarran Arjona Ismenia Del Carmen</v>
      </c>
      <c r="D159" s="949" t="str">
        <f>+NOMINA!O155</f>
        <v>GUIA DE CENTRO II</v>
      </c>
      <c r="E159" s="952">
        <f>+NOMINA!H155</f>
        <v>43419</v>
      </c>
      <c r="F159" s="953">
        <f>+NOMINA!BN155</f>
        <v>5.88</v>
      </c>
      <c r="G159" s="608"/>
      <c r="H159" s="609"/>
      <c r="I159" s="609"/>
      <c r="J159" s="609"/>
      <c r="K159" s="609"/>
    </row>
    <row r="160" spans="1:11" ht="15.75" customHeight="1">
      <c r="A160" s="951">
        <f t="shared" si="2"/>
        <v>114</v>
      </c>
      <c r="B160" s="949">
        <f>+NOMINA!C156</f>
        <v>14986675</v>
      </c>
      <c r="C160" s="949" t="str">
        <f>+NOMINA!D156</f>
        <v>Mecias Nuñez Shirly Ygnacia</v>
      </c>
      <c r="D160" s="949" t="str">
        <f>+NOMINA!O156</f>
        <v>Tutor Facilitador I</v>
      </c>
      <c r="E160" s="952">
        <f>+NOMINA!H156</f>
        <v>44805</v>
      </c>
      <c r="F160" s="953">
        <f>+NOMINA!BN156</f>
        <v>5.07</v>
      </c>
      <c r="G160" s="608"/>
      <c r="H160" s="609"/>
      <c r="I160" s="609"/>
      <c r="J160" s="609"/>
      <c r="K160" s="609"/>
    </row>
    <row r="161" spans="1:11" ht="15.75" customHeight="1">
      <c r="A161" s="951">
        <f t="shared" si="2"/>
        <v>115</v>
      </c>
      <c r="B161" s="949">
        <f>+NOMINA!C157</f>
        <v>15188927</v>
      </c>
      <c r="C161" s="949" t="str">
        <f>+NOMINA!D157</f>
        <v>Linares Villarreal Rosmely del Carmen</v>
      </c>
      <c r="D161" s="949" t="str">
        <f>+NOMINA!O157</f>
        <v>Guia de Centro II</v>
      </c>
      <c r="E161" s="952">
        <f>+NOMINA!H157</f>
        <v>44409</v>
      </c>
      <c r="F161" s="953">
        <f>+NOMINA!BN157</f>
        <v>4.0199999999999996</v>
      </c>
      <c r="G161" s="608"/>
      <c r="H161" s="609"/>
      <c r="I161" s="609"/>
      <c r="J161" s="609"/>
      <c r="K161" s="609"/>
    </row>
    <row r="162" spans="1:11" ht="15.75" customHeight="1">
      <c r="A162" s="951">
        <f t="shared" si="2"/>
        <v>116</v>
      </c>
      <c r="B162" s="949">
        <f>+NOMINA!C158</f>
        <v>15560762</v>
      </c>
      <c r="C162" s="949" t="str">
        <f>+NOMINA!D158</f>
        <v>Villalobos Javier Jose</v>
      </c>
      <c r="D162" s="949" t="str">
        <f>+NOMINA!O158</f>
        <v>Entrenador Deportivo IV</v>
      </c>
      <c r="E162" s="952">
        <f>+NOMINA!H158</f>
        <v>45474</v>
      </c>
      <c r="F162" s="953">
        <f>+NOMINA!BN158</f>
        <v>4.8600000000000003</v>
      </c>
      <c r="G162" s="608"/>
      <c r="H162" s="609"/>
      <c r="I162" s="609"/>
      <c r="J162" s="609"/>
      <c r="K162" s="609"/>
    </row>
    <row r="163" spans="1:11" ht="15.75" customHeight="1">
      <c r="A163" s="951">
        <f t="shared" si="2"/>
        <v>117</v>
      </c>
      <c r="B163" s="949">
        <f>+NOMINA!C159</f>
        <v>15583745</v>
      </c>
      <c r="C163" s="949" t="str">
        <f>+NOMINA!D159</f>
        <v>Briceño Araujo Alexander Javier</v>
      </c>
      <c r="D163" s="949" t="str">
        <f>+NOMINA!O159</f>
        <v>Administrador II</v>
      </c>
      <c r="E163" s="952">
        <f>+NOMINA!H159</f>
        <v>43481</v>
      </c>
      <c r="F163" s="953">
        <f>+NOMINA!BN159</f>
        <v>5.33</v>
      </c>
      <c r="G163" s="608"/>
      <c r="H163" s="609"/>
      <c r="I163" s="609"/>
      <c r="J163" s="609"/>
      <c r="K163" s="609"/>
    </row>
    <row r="164" spans="1:11" ht="15.75" customHeight="1">
      <c r="A164" s="951">
        <f t="shared" si="2"/>
        <v>118</v>
      </c>
      <c r="B164" s="949">
        <f>+NOMINA!C160</f>
        <v>15588470</v>
      </c>
      <c r="C164" s="949" t="str">
        <f>+NOMINA!D160</f>
        <v>Briceño Lozada Maraiby Coromoto</v>
      </c>
      <c r="D164" s="949" t="str">
        <f>+NOMINA!O160</f>
        <v>Trabajador Social II</v>
      </c>
      <c r="E164" s="952">
        <f>+NOMINA!H160</f>
        <v>39098</v>
      </c>
      <c r="F164" s="953">
        <f>+NOMINA!BN160</f>
        <v>5.07</v>
      </c>
      <c r="G164" s="608"/>
      <c r="H164" s="609"/>
      <c r="I164" s="609"/>
      <c r="J164" s="609"/>
      <c r="K164" s="609"/>
    </row>
    <row r="165" spans="1:11" ht="15.75" customHeight="1">
      <c r="A165" s="951">
        <f t="shared" si="2"/>
        <v>119</v>
      </c>
      <c r="B165" s="949">
        <f>+NOMINA!C161</f>
        <v>15752048</v>
      </c>
      <c r="C165" s="949" t="str">
        <f>+NOMINA!D161</f>
        <v>Briceño Rangel Sudney Dayan</v>
      </c>
      <c r="D165" s="949" t="str">
        <f>+NOMINA!O161</f>
        <v>Guia de Centro II</v>
      </c>
      <c r="E165" s="952">
        <f>+NOMINA!H161</f>
        <v>39679</v>
      </c>
      <c r="F165" s="953">
        <f>+NOMINA!BN161</f>
        <v>6.82</v>
      </c>
      <c r="G165" s="608"/>
      <c r="H165" s="609"/>
      <c r="I165" s="609"/>
      <c r="J165" s="609"/>
      <c r="K165" s="609"/>
    </row>
    <row r="166" spans="1:11" ht="15.75" customHeight="1">
      <c r="A166" s="951">
        <f t="shared" si="2"/>
        <v>120</v>
      </c>
      <c r="B166" s="949">
        <f>+NOMINA!C162</f>
        <v>15752183</v>
      </c>
      <c r="C166" s="949" t="str">
        <f>+NOMINA!D162</f>
        <v>Delduca Adriana Del Valle</v>
      </c>
      <c r="D166" s="949" t="str">
        <f>+NOMINA!O162</f>
        <v>Analista de Presupuesto IV</v>
      </c>
      <c r="E166" s="952">
        <f>+NOMINA!H162</f>
        <v>38930</v>
      </c>
      <c r="F166" s="953">
        <f>+NOMINA!BN162</f>
        <v>0</v>
      </c>
      <c r="G166" s="608"/>
      <c r="H166" s="609"/>
      <c r="I166" s="609"/>
      <c r="J166" s="609"/>
      <c r="K166" s="609"/>
    </row>
    <row r="167" spans="1:11" ht="15.75" customHeight="1">
      <c r="A167" s="951">
        <f t="shared" si="2"/>
        <v>121</v>
      </c>
      <c r="B167" s="949">
        <f>+NOMINA!C163</f>
        <v>15752386</v>
      </c>
      <c r="C167" s="949" t="str">
        <f>+NOMINA!D163</f>
        <v>Villegas Gonzalez Mileide Karine</v>
      </c>
      <c r="D167" s="949" t="str">
        <f>+NOMINA!O163</f>
        <v>Guia de Centro II</v>
      </c>
      <c r="E167" s="952">
        <f>+NOMINA!H163</f>
        <v>38930</v>
      </c>
      <c r="F167" s="953">
        <f>+NOMINA!BN163</f>
        <v>6.79</v>
      </c>
      <c r="G167" s="608"/>
      <c r="H167" s="609"/>
      <c r="I167" s="609"/>
      <c r="J167" s="609"/>
      <c r="K167" s="609"/>
    </row>
    <row r="168" spans="1:11" ht="15.75" customHeight="1">
      <c r="A168" s="951">
        <f t="shared" si="2"/>
        <v>122</v>
      </c>
      <c r="B168" s="949">
        <f>+NOMINA!C164</f>
        <v>15752435</v>
      </c>
      <c r="C168" s="949" t="str">
        <f>+NOMINA!D164</f>
        <v>Gonzalez de Sayago Damarys Coromoto</v>
      </c>
      <c r="D168" s="949" t="str">
        <f>+NOMINA!O164</f>
        <v>Trabajador Social II</v>
      </c>
      <c r="E168" s="952">
        <f>+NOMINA!H164</f>
        <v>38930</v>
      </c>
      <c r="F168" s="953">
        <f>+NOMINA!BN164</f>
        <v>5.22</v>
      </c>
      <c r="G168" s="608"/>
      <c r="H168" s="609"/>
      <c r="I168" s="609"/>
      <c r="J168" s="609"/>
      <c r="K168" s="609"/>
    </row>
    <row r="169" spans="1:11" ht="15.75" customHeight="1">
      <c r="A169" s="951">
        <f t="shared" si="2"/>
        <v>123</v>
      </c>
      <c r="B169" s="949">
        <f>+NOMINA!C165</f>
        <v>15780354</v>
      </c>
      <c r="C169" s="949" t="str">
        <f>+NOMINA!D165</f>
        <v>Yndriago Blanco Lismiley Andreina</v>
      </c>
      <c r="D169" s="949" t="str">
        <f>+NOMINA!O165</f>
        <v>Guia de Centro I</v>
      </c>
      <c r="E169" s="952">
        <f>+NOMINA!H165</f>
        <v>44409</v>
      </c>
      <c r="F169" s="953">
        <f>+NOMINA!BN165</f>
        <v>5.78</v>
      </c>
      <c r="G169" s="608"/>
      <c r="H169" s="609"/>
      <c r="I169" s="609"/>
      <c r="J169" s="609"/>
      <c r="K169" s="609"/>
    </row>
    <row r="170" spans="1:11" ht="15.75" customHeight="1">
      <c r="A170" s="951">
        <f t="shared" si="2"/>
        <v>124</v>
      </c>
      <c r="B170" s="949">
        <f>+NOMINA!C166</f>
        <v>15824548</v>
      </c>
      <c r="C170" s="949" t="str">
        <f>+NOMINA!D166</f>
        <v>Moreno Maria Angelica</v>
      </c>
      <c r="D170" s="949" t="str">
        <f>+NOMINA!O166</f>
        <v>Tecnico Superior en Trabajo Social II</v>
      </c>
      <c r="E170" s="952">
        <f>+NOMINA!H166</f>
        <v>44317</v>
      </c>
      <c r="F170" s="953">
        <f>+NOMINA!BN166</f>
        <v>4.42</v>
      </c>
      <c r="G170" s="608"/>
      <c r="H170" s="609"/>
      <c r="I170" s="609"/>
      <c r="J170" s="609"/>
      <c r="K170" s="609"/>
    </row>
    <row r="171" spans="1:11" ht="15.75" customHeight="1">
      <c r="A171" s="951">
        <f t="shared" si="2"/>
        <v>125</v>
      </c>
      <c r="B171" s="949">
        <f>+NOMINA!C167</f>
        <v>15904692</v>
      </c>
      <c r="C171" s="949" t="str">
        <f>+NOMINA!D167</f>
        <v>Sifontes Sosa Mayulis Dayana</v>
      </c>
      <c r="D171" s="949" t="str">
        <f>+NOMINA!O167</f>
        <v>Guia de Centro II</v>
      </c>
      <c r="E171" s="952">
        <f>+NOMINA!H167</f>
        <v>39756</v>
      </c>
      <c r="F171" s="953">
        <f>+NOMINA!BN167</f>
        <v>6.63</v>
      </c>
      <c r="G171" s="608"/>
      <c r="H171" s="609"/>
      <c r="I171" s="609"/>
      <c r="J171" s="609"/>
      <c r="K171" s="609"/>
    </row>
    <row r="172" spans="1:11" ht="15.75" customHeight="1">
      <c r="A172" s="951">
        <f t="shared" si="2"/>
        <v>126</v>
      </c>
      <c r="B172" s="949">
        <f>+NOMINA!C168</f>
        <v>16015833</v>
      </c>
      <c r="C172" s="949" t="str">
        <f>+NOMINA!D168</f>
        <v>Briceño Doris Elena</v>
      </c>
      <c r="D172" s="949" t="str">
        <f>+NOMINA!O168</f>
        <v>Guia de Centro II</v>
      </c>
      <c r="E172" s="952">
        <f>+NOMINA!H168</f>
        <v>42948</v>
      </c>
      <c r="F172" s="953">
        <f>+NOMINA!BN168</f>
        <v>7.19</v>
      </c>
      <c r="G172" s="608"/>
      <c r="H172" s="609"/>
      <c r="I172" s="609"/>
      <c r="J172" s="609"/>
      <c r="K172" s="609"/>
    </row>
    <row r="173" spans="1:11" ht="15.75" customHeight="1">
      <c r="A173" s="951">
        <f t="shared" si="2"/>
        <v>127</v>
      </c>
      <c r="B173" s="949">
        <f>+NOMINA!C169</f>
        <v>16065580</v>
      </c>
      <c r="C173" s="949" t="str">
        <f>+NOMINA!D169</f>
        <v>Paredes de Rendon Zuly Josefina</v>
      </c>
      <c r="D173" s="949" t="str">
        <f>+NOMINA!O169</f>
        <v>Tutor Facilitador II</v>
      </c>
      <c r="E173" s="952">
        <f>+NOMINA!H169</f>
        <v>44363</v>
      </c>
      <c r="F173" s="953">
        <f>+NOMINA!BN169</f>
        <v>5.35</v>
      </c>
      <c r="G173" s="608"/>
      <c r="H173" s="609"/>
      <c r="I173" s="609"/>
      <c r="J173" s="609"/>
      <c r="K173" s="609"/>
    </row>
    <row r="174" spans="1:11" ht="15.75" customHeight="1">
      <c r="A174" s="951">
        <f t="shared" si="2"/>
        <v>128</v>
      </c>
      <c r="B174" s="949">
        <f>+NOMINA!C170</f>
        <v>16065861</v>
      </c>
      <c r="C174" s="949" t="str">
        <f>+NOMINA!D170</f>
        <v>Gonzalez Pineda Eduardo Manuel</v>
      </c>
      <c r="D174" s="949" t="str">
        <f>+NOMINA!O170</f>
        <v>Entrenador Deportivo VI</v>
      </c>
      <c r="E174" s="952">
        <f>+NOMINA!H170</f>
        <v>43906</v>
      </c>
      <c r="F174" s="953">
        <f>+NOMINA!BN170</f>
        <v>5.94</v>
      </c>
      <c r="G174" s="608"/>
      <c r="H174" s="609"/>
      <c r="I174" s="609"/>
      <c r="J174" s="609"/>
      <c r="K174" s="609"/>
    </row>
    <row r="175" spans="1:11" ht="15.75" customHeight="1">
      <c r="A175" s="951">
        <f t="shared" si="2"/>
        <v>129</v>
      </c>
      <c r="B175" s="949">
        <f>+NOMINA!C171</f>
        <v>16066524</v>
      </c>
      <c r="C175" s="949" t="str">
        <f>+NOMINA!D171</f>
        <v>Carmona Peñaloza Yaneth Coromoto</v>
      </c>
      <c r="D175" s="949" t="str">
        <f>+NOMINA!O171</f>
        <v>Asistente Administrativo III</v>
      </c>
      <c r="E175" s="952">
        <f>+NOMINA!H171</f>
        <v>41456</v>
      </c>
      <c r="F175" s="953">
        <f>+NOMINA!BN171</f>
        <v>4.87</v>
      </c>
      <c r="G175" s="608"/>
      <c r="H175" s="609"/>
      <c r="I175" s="609"/>
      <c r="J175" s="609"/>
      <c r="K175" s="609"/>
    </row>
    <row r="176" spans="1:11" ht="15.75" customHeight="1">
      <c r="A176" s="951">
        <f t="shared" si="2"/>
        <v>130</v>
      </c>
      <c r="B176" s="949">
        <f>+NOMINA!C172</f>
        <v>16066554</v>
      </c>
      <c r="C176" s="949" t="str">
        <f>+NOMINA!D172</f>
        <v>Gonzalez Huerta Maria Josefina</v>
      </c>
      <c r="D176" s="949" t="str">
        <f>+NOMINA!O172</f>
        <v>Auditor IV</v>
      </c>
      <c r="E176" s="952">
        <f>+NOMINA!H172</f>
        <v>38797</v>
      </c>
      <c r="F176" s="953">
        <f>+NOMINA!BN172</f>
        <v>6.34</v>
      </c>
      <c r="G176" s="608"/>
      <c r="H176" s="609"/>
      <c r="I176" s="609"/>
      <c r="J176" s="609"/>
      <c r="K176" s="609"/>
    </row>
    <row r="177" spans="1:11" ht="15.75" customHeight="1">
      <c r="A177" s="951">
        <f t="shared" ref="A177:A240" si="3">+A176+1</f>
        <v>131</v>
      </c>
      <c r="B177" s="949">
        <f>+NOMINA!C173</f>
        <v>16266033</v>
      </c>
      <c r="C177" s="949" t="str">
        <f>+NOMINA!D173</f>
        <v>Montilla de Davila Nileidy del Valle</v>
      </c>
      <c r="D177" s="949" t="str">
        <f>+NOMINA!O173</f>
        <v>Guia de Centro I</v>
      </c>
      <c r="E177" s="952">
        <f>+NOMINA!H173</f>
        <v>44713</v>
      </c>
      <c r="F177" s="953">
        <f>+NOMINA!BN173</f>
        <v>5.7</v>
      </c>
      <c r="G177" s="608"/>
      <c r="H177" s="609"/>
      <c r="I177" s="609"/>
      <c r="J177" s="609"/>
      <c r="K177" s="609"/>
    </row>
    <row r="178" spans="1:11" ht="15.75" customHeight="1">
      <c r="A178" s="951">
        <f t="shared" si="3"/>
        <v>132</v>
      </c>
      <c r="B178" s="949">
        <f>+NOMINA!C174</f>
        <v>16266989</v>
      </c>
      <c r="C178" s="949" t="str">
        <f>+NOMINA!D174</f>
        <v>Rincon Quevedo Angela Adriana</v>
      </c>
      <c r="D178" s="949" t="str">
        <f>+NOMINA!O174</f>
        <v>Guia de Centro II</v>
      </c>
      <c r="E178" s="952">
        <f>+NOMINA!H174</f>
        <v>43040</v>
      </c>
      <c r="F178" s="953">
        <f>+NOMINA!BN174</f>
        <v>7.39</v>
      </c>
      <c r="G178" s="608"/>
      <c r="H178" s="609"/>
      <c r="I178" s="609"/>
      <c r="J178" s="609"/>
      <c r="K178" s="609"/>
    </row>
    <row r="179" spans="1:11" ht="15.75" customHeight="1">
      <c r="A179" s="951">
        <f t="shared" si="3"/>
        <v>133</v>
      </c>
      <c r="B179" s="949">
        <f>+NOMINA!C175</f>
        <v>16267940</v>
      </c>
      <c r="C179" s="949" t="str">
        <f>+NOMINA!D175</f>
        <v>Araujo Moreno Elisaelith</v>
      </c>
      <c r="D179" s="949" t="str">
        <f>+NOMINA!O175</f>
        <v>Tecnico Superior en Trabajo Social II</v>
      </c>
      <c r="E179" s="952">
        <f>+NOMINA!H175</f>
        <v>44600</v>
      </c>
      <c r="F179" s="953">
        <f>+NOMINA!BN175</f>
        <v>4.21</v>
      </c>
      <c r="G179" s="608"/>
      <c r="H179" s="609"/>
      <c r="I179" s="609"/>
      <c r="J179" s="609"/>
      <c r="K179" s="609"/>
    </row>
    <row r="180" spans="1:11" ht="15.75" customHeight="1">
      <c r="A180" s="951">
        <f t="shared" si="3"/>
        <v>134</v>
      </c>
      <c r="B180" s="949">
        <f>+NOMINA!C176</f>
        <v>16376534</v>
      </c>
      <c r="C180" s="949" t="str">
        <f>+NOMINA!D176</f>
        <v>Lugo Moreno Yenny Katiuska</v>
      </c>
      <c r="D180" s="949" t="str">
        <f>+NOMINA!O176</f>
        <v>Guia de Centro II</v>
      </c>
      <c r="E180" s="952">
        <f>+NOMINA!H176</f>
        <v>43754</v>
      </c>
      <c r="F180" s="953">
        <f>+NOMINA!BN176</f>
        <v>7.04</v>
      </c>
      <c r="G180" s="608"/>
      <c r="H180" s="609"/>
      <c r="I180" s="609"/>
      <c r="J180" s="609"/>
      <c r="K180" s="609"/>
    </row>
    <row r="181" spans="1:11" ht="15.75" customHeight="1">
      <c r="A181" s="951">
        <f t="shared" si="3"/>
        <v>135</v>
      </c>
      <c r="B181" s="949">
        <f>+NOMINA!C177</f>
        <v>16376698</v>
      </c>
      <c r="C181" s="949" t="str">
        <f>+NOMINA!D177</f>
        <v>Barreto Maldonado Jose Luis</v>
      </c>
      <c r="D181" s="949" t="str">
        <f>+NOMINA!O177</f>
        <v>Supervisor de Servicios Generales IV</v>
      </c>
      <c r="E181" s="952">
        <f>+NOMINA!H177</f>
        <v>40909</v>
      </c>
      <c r="F181" s="953">
        <f>+NOMINA!BN177</f>
        <v>3.55</v>
      </c>
      <c r="G181" s="608"/>
      <c r="H181" s="609"/>
      <c r="I181" s="609"/>
      <c r="J181" s="609"/>
      <c r="K181" s="609"/>
    </row>
    <row r="182" spans="1:11" ht="15.75" customHeight="1">
      <c r="A182" s="951">
        <f t="shared" si="3"/>
        <v>136</v>
      </c>
      <c r="B182" s="949">
        <f>+NOMINA!C178</f>
        <v>16376781</v>
      </c>
      <c r="C182" s="949" t="str">
        <f>+NOMINA!D178</f>
        <v>Viloria de Utrilla Arelis del Carmen</v>
      </c>
      <c r="D182" s="949" t="str">
        <f>+NOMINA!O178</f>
        <v>Guia de Centro I</v>
      </c>
      <c r="E182" s="952">
        <f>+NOMINA!H178</f>
        <v>45413</v>
      </c>
      <c r="F182" s="953">
        <f>+NOMINA!BN178</f>
        <v>5.41</v>
      </c>
      <c r="G182" s="608"/>
      <c r="H182" s="609"/>
      <c r="I182" s="609"/>
      <c r="J182" s="609"/>
      <c r="K182" s="609"/>
    </row>
    <row r="183" spans="1:11" ht="15.75" customHeight="1">
      <c r="A183" s="951">
        <f t="shared" si="3"/>
        <v>137</v>
      </c>
      <c r="B183" s="949">
        <f>+NOMINA!C179</f>
        <v>16377159</v>
      </c>
      <c r="C183" s="949" t="str">
        <f>+NOMINA!D179</f>
        <v>Carrillo Uzcategui Tahiyuani Carolina</v>
      </c>
      <c r="D183" s="949" t="str">
        <f>+NOMINA!O179</f>
        <v>Guia de Centro I</v>
      </c>
      <c r="E183" s="952">
        <f>+NOMINA!H179</f>
        <v>44743</v>
      </c>
      <c r="F183" s="953">
        <f>+NOMINA!BN179</f>
        <v>5.47</v>
      </c>
      <c r="G183" s="608"/>
      <c r="H183" s="609"/>
      <c r="I183" s="609"/>
      <c r="J183" s="609"/>
      <c r="K183" s="609"/>
    </row>
    <row r="184" spans="1:11" ht="15.75" customHeight="1">
      <c r="A184" s="951">
        <f t="shared" si="3"/>
        <v>138</v>
      </c>
      <c r="B184" s="949">
        <f>+NOMINA!C180</f>
        <v>16377588</v>
      </c>
      <c r="C184" s="949" t="str">
        <f>+NOMINA!D180</f>
        <v>Perdomo Linares Alejandra Carolina</v>
      </c>
      <c r="D184" s="949" t="str">
        <f>+NOMINA!O180</f>
        <v>Tutor Facilitador II</v>
      </c>
      <c r="E184" s="952">
        <f>+NOMINA!H180</f>
        <v>44059</v>
      </c>
      <c r="F184" s="953">
        <f>+NOMINA!BN180</f>
        <v>5.38</v>
      </c>
      <c r="G184" s="608"/>
      <c r="H184" s="609"/>
      <c r="I184" s="609"/>
      <c r="J184" s="609"/>
      <c r="K184" s="609"/>
    </row>
    <row r="185" spans="1:11" ht="15.75" customHeight="1">
      <c r="A185" s="951">
        <f t="shared" si="3"/>
        <v>139</v>
      </c>
      <c r="B185" s="949">
        <f>+NOMINA!C181</f>
        <v>16377628</v>
      </c>
      <c r="C185" s="949" t="str">
        <f>+NOMINA!D181</f>
        <v>Peña Nava Maria Gabriela</v>
      </c>
      <c r="D185" s="949" t="str">
        <f>+NOMINA!O181</f>
        <v>Guia de Centro II</v>
      </c>
      <c r="E185" s="952">
        <f>+NOMINA!H181</f>
        <v>44743</v>
      </c>
      <c r="F185" s="953">
        <f>+NOMINA!BN181</f>
        <v>7.45</v>
      </c>
      <c r="G185" s="608"/>
      <c r="H185" s="609"/>
      <c r="I185" s="609"/>
      <c r="J185" s="609"/>
      <c r="K185" s="609"/>
    </row>
    <row r="186" spans="1:11" ht="15.75" customHeight="1">
      <c r="A186" s="951">
        <f t="shared" si="3"/>
        <v>140</v>
      </c>
      <c r="B186" s="949">
        <f>+NOMINA!C182</f>
        <v>16533566</v>
      </c>
      <c r="C186" s="949" t="str">
        <f>+NOMINA!D182</f>
        <v>Materan Gallardo Vivian Katiana</v>
      </c>
      <c r="D186" s="949" t="str">
        <f>+NOMINA!O182</f>
        <v>Guia de Centro I</v>
      </c>
      <c r="E186" s="952">
        <f>+NOMINA!H182</f>
        <v>44683</v>
      </c>
      <c r="F186" s="953">
        <f>+NOMINA!BN182</f>
        <v>3.74</v>
      </c>
      <c r="G186" s="608"/>
      <c r="H186" s="609"/>
      <c r="I186" s="609"/>
      <c r="J186" s="609"/>
      <c r="K186" s="609"/>
    </row>
    <row r="187" spans="1:11" ht="15.75" customHeight="1">
      <c r="A187" s="951">
        <f t="shared" si="3"/>
        <v>141</v>
      </c>
      <c r="B187" s="949">
        <f>+NOMINA!C183</f>
        <v>16533615</v>
      </c>
      <c r="C187" s="949" t="str">
        <f>+NOMINA!D183</f>
        <v>Valero Sulbaran Urquia Del Mar</v>
      </c>
      <c r="D187" s="949" t="str">
        <f>+NOMINA!O183</f>
        <v>Guia de Centro I</v>
      </c>
      <c r="E187" s="952">
        <f>+NOMINA!H183</f>
        <v>45474</v>
      </c>
      <c r="F187" s="953">
        <f>+NOMINA!BN183</f>
        <v>6.31</v>
      </c>
      <c r="G187" s="608"/>
      <c r="H187" s="609"/>
      <c r="I187" s="609"/>
      <c r="J187" s="609"/>
      <c r="K187" s="609"/>
    </row>
    <row r="188" spans="1:11" ht="15.75" customHeight="1">
      <c r="A188" s="951">
        <f t="shared" si="3"/>
        <v>142</v>
      </c>
      <c r="B188" s="949">
        <f>+NOMINA!C184</f>
        <v>16533986</v>
      </c>
      <c r="C188" s="949" t="str">
        <f>+NOMINA!D184</f>
        <v>Serrada Bustos Gladys Magaly</v>
      </c>
      <c r="D188" s="949" t="str">
        <f>+NOMINA!O184</f>
        <v>INGENIERO ELECTRICISTA JEFE</v>
      </c>
      <c r="E188" s="952">
        <f>+NOMINA!H184</f>
        <v>42948</v>
      </c>
      <c r="F188" s="953">
        <f>+NOMINA!BN184</f>
        <v>5.53</v>
      </c>
      <c r="G188" s="608"/>
      <c r="H188" s="609"/>
      <c r="I188" s="609"/>
      <c r="J188" s="609"/>
      <c r="K188" s="609"/>
    </row>
    <row r="189" spans="1:11" ht="15.75" customHeight="1">
      <c r="A189" s="951">
        <f t="shared" si="3"/>
        <v>143</v>
      </c>
      <c r="B189" s="949">
        <f>+NOMINA!C185</f>
        <v>16739081</v>
      </c>
      <c r="C189" s="949" t="str">
        <f>+NOMINA!D185</f>
        <v>Albarran Araujo Yely Coromoto</v>
      </c>
      <c r="D189" s="949" t="str">
        <f>+NOMINA!O185</f>
        <v>Asistente Administrativo III</v>
      </c>
      <c r="E189" s="952">
        <f>+NOMINA!H185</f>
        <v>42948</v>
      </c>
      <c r="F189" s="953">
        <f>+NOMINA!BN185</f>
        <v>0</v>
      </c>
      <c r="G189" s="608"/>
      <c r="H189" s="609"/>
      <c r="I189" s="609"/>
      <c r="J189" s="609"/>
      <c r="K189" s="609"/>
    </row>
    <row r="190" spans="1:11" ht="15.75" customHeight="1">
      <c r="A190" s="951">
        <f t="shared" si="3"/>
        <v>144</v>
      </c>
      <c r="B190" s="949">
        <f>+NOMINA!C186</f>
        <v>16740261</v>
      </c>
      <c r="C190" s="949" t="str">
        <f>+NOMINA!D186</f>
        <v>Rivas Briceño Nathaly Del Carmen</v>
      </c>
      <c r="D190" s="949" t="str">
        <f>+NOMINA!O186</f>
        <v>Tecnico Superior en Trabajo Social I</v>
      </c>
      <c r="E190" s="952">
        <f>+NOMINA!H186</f>
        <v>45505</v>
      </c>
      <c r="F190" s="953">
        <f>+NOMINA!BN186</f>
        <v>4.01</v>
      </c>
      <c r="G190" s="608"/>
      <c r="H190" s="609"/>
      <c r="I190" s="609"/>
      <c r="J190" s="609"/>
      <c r="K190" s="609"/>
    </row>
    <row r="191" spans="1:11" ht="15.75" customHeight="1">
      <c r="A191" s="951">
        <f t="shared" si="3"/>
        <v>145</v>
      </c>
      <c r="B191" s="949">
        <f>+NOMINA!C187</f>
        <v>16881384</v>
      </c>
      <c r="C191" s="949" t="str">
        <f>+NOMINA!D187</f>
        <v>Perez Ramirez Yonathan Jesus</v>
      </c>
      <c r="D191" s="949" t="str">
        <f>+NOMINA!O187</f>
        <v>Guia de Centro II</v>
      </c>
      <c r="E191" s="952">
        <f>+NOMINA!H187</f>
        <v>43906</v>
      </c>
      <c r="F191" s="953">
        <f>+NOMINA!BN187</f>
        <v>6.07</v>
      </c>
      <c r="G191" s="608"/>
      <c r="H191" s="609"/>
      <c r="I191" s="609"/>
      <c r="J191" s="609"/>
      <c r="K191" s="609"/>
    </row>
    <row r="192" spans="1:11" ht="15.75" customHeight="1">
      <c r="A192" s="951">
        <f t="shared" si="3"/>
        <v>146</v>
      </c>
      <c r="B192" s="949">
        <f>+NOMINA!C188</f>
        <v>16882467</v>
      </c>
      <c r="C192" s="949" t="str">
        <f>+NOMINA!D188</f>
        <v>Mejia Araujo Sandra Coromoto</v>
      </c>
      <c r="D192" s="949" t="str">
        <f>+NOMINA!O188</f>
        <v>Analista de Personal IV</v>
      </c>
      <c r="E192" s="952">
        <f>+NOMINA!H188</f>
        <v>42948</v>
      </c>
      <c r="F192" s="953">
        <f>+NOMINA!BN188</f>
        <v>5.91</v>
      </c>
      <c r="G192" s="608"/>
      <c r="H192" s="609"/>
      <c r="I192" s="609"/>
      <c r="J192" s="609"/>
      <c r="K192" s="609"/>
    </row>
    <row r="193" spans="1:11" ht="15.75" customHeight="1">
      <c r="A193" s="951">
        <f t="shared" si="3"/>
        <v>147</v>
      </c>
      <c r="B193" s="949">
        <f>+NOMINA!C189</f>
        <v>16883267</v>
      </c>
      <c r="C193" s="949" t="str">
        <f>+NOMINA!D189</f>
        <v>Matheus Rondon Aida</v>
      </c>
      <c r="D193" s="949" t="str">
        <f>+NOMINA!O189</f>
        <v>Guia de Centro II</v>
      </c>
      <c r="E193" s="952">
        <f>+NOMINA!H189</f>
        <v>38930</v>
      </c>
      <c r="F193" s="953">
        <f>+NOMINA!BN189</f>
        <v>4.92</v>
      </c>
      <c r="G193" s="608"/>
      <c r="H193" s="609"/>
      <c r="I193" s="609"/>
      <c r="J193" s="609"/>
      <c r="K193" s="609"/>
    </row>
    <row r="194" spans="1:11" ht="15.75" customHeight="1">
      <c r="A194" s="951">
        <f t="shared" si="3"/>
        <v>148</v>
      </c>
      <c r="B194" s="949">
        <f>+NOMINA!C190</f>
        <v>17037244</v>
      </c>
      <c r="C194" s="949" t="str">
        <f>+NOMINA!D190</f>
        <v>Bastidas Yelitza Del Carmen</v>
      </c>
      <c r="D194" s="949" t="str">
        <f>+NOMINA!O190</f>
        <v>Guia de Centro II</v>
      </c>
      <c r="E194" s="952">
        <f>+NOMINA!H190</f>
        <v>40087</v>
      </c>
      <c r="F194" s="953">
        <f>+NOMINA!BN190</f>
        <v>6.58</v>
      </c>
      <c r="G194" s="608"/>
      <c r="H194" s="609"/>
      <c r="I194" s="609"/>
      <c r="J194" s="609"/>
      <c r="K194" s="609"/>
    </row>
    <row r="195" spans="1:11" ht="15.75" customHeight="1">
      <c r="A195" s="951">
        <f t="shared" si="3"/>
        <v>149</v>
      </c>
      <c r="B195" s="949">
        <f>+NOMINA!C191</f>
        <v>17094419</v>
      </c>
      <c r="C195" s="949" t="str">
        <f>+NOMINA!D191</f>
        <v>Aponte Rivera Lenismar del Valle</v>
      </c>
      <c r="D195" s="949" t="str">
        <f>+NOMINA!O191</f>
        <v>Guia de Centro I</v>
      </c>
      <c r="E195" s="952">
        <f>+NOMINA!H191</f>
        <v>44409</v>
      </c>
      <c r="F195" s="953">
        <f>+NOMINA!BN191</f>
        <v>3.7</v>
      </c>
      <c r="G195" s="608"/>
      <c r="H195" s="609"/>
      <c r="I195" s="609"/>
      <c r="J195" s="609"/>
      <c r="K195" s="609"/>
    </row>
    <row r="196" spans="1:11" ht="15.75" customHeight="1">
      <c r="A196" s="951">
        <f t="shared" si="3"/>
        <v>150</v>
      </c>
      <c r="B196" s="949">
        <f>+NOMINA!C192</f>
        <v>17094426</v>
      </c>
      <c r="C196" s="949" t="str">
        <f>+NOMINA!D192</f>
        <v>Manzanilla Araujo Richard Jose</v>
      </c>
      <c r="D196" s="949" t="str">
        <f>+NOMINA!O192</f>
        <v>Guia de Centro II</v>
      </c>
      <c r="E196" s="952">
        <f>+NOMINA!H192</f>
        <v>43344</v>
      </c>
      <c r="F196" s="953">
        <f>+NOMINA!BN192</f>
        <v>7.13</v>
      </c>
      <c r="G196" s="608"/>
      <c r="H196" s="609"/>
      <c r="I196" s="609"/>
      <c r="J196" s="609"/>
      <c r="K196" s="609"/>
    </row>
    <row r="197" spans="1:11" ht="15.75" customHeight="1">
      <c r="A197" s="951">
        <f t="shared" si="3"/>
        <v>151</v>
      </c>
      <c r="B197" s="949">
        <f>+NOMINA!C193</f>
        <v>17130893</v>
      </c>
      <c r="C197" s="949" t="str">
        <f>+NOMINA!D193</f>
        <v>Leon Valero Ceila Maria</v>
      </c>
      <c r="D197" s="949" t="str">
        <f>+NOMINA!O193</f>
        <v>Tutor Facilitador III</v>
      </c>
      <c r="E197" s="952">
        <f>+NOMINA!H193</f>
        <v>39602</v>
      </c>
      <c r="F197" s="953">
        <f>+NOMINA!BN193</f>
        <v>6.2</v>
      </c>
      <c r="G197" s="608"/>
      <c r="H197" s="609"/>
      <c r="I197" s="609"/>
      <c r="J197" s="609"/>
      <c r="K197" s="609"/>
    </row>
    <row r="198" spans="1:11" ht="15.75" customHeight="1">
      <c r="A198" s="951">
        <f t="shared" si="3"/>
        <v>152</v>
      </c>
      <c r="B198" s="949">
        <f>+NOMINA!C194</f>
        <v>17265093</v>
      </c>
      <c r="C198" s="949" t="str">
        <f>+NOMINA!D194</f>
        <v>Vielma Viloria Dublasca del Valle</v>
      </c>
      <c r="D198" s="949" t="str">
        <f>+NOMINA!O194</f>
        <v>Psicologo I</v>
      </c>
      <c r="E198" s="952">
        <f>+NOMINA!H194</f>
        <v>45323</v>
      </c>
      <c r="F198" s="953">
        <f>+NOMINA!BN194</f>
        <v>6.08</v>
      </c>
      <c r="G198" s="608"/>
      <c r="H198" s="609"/>
      <c r="I198" s="609"/>
      <c r="J198" s="609"/>
      <c r="K198" s="609"/>
    </row>
    <row r="199" spans="1:11" ht="15.75" customHeight="1">
      <c r="A199" s="951">
        <f t="shared" si="3"/>
        <v>153</v>
      </c>
      <c r="B199" s="949">
        <f>+NOMINA!C195</f>
        <v>17265578</v>
      </c>
      <c r="C199" s="949" t="str">
        <f>+NOMINA!D195</f>
        <v>Briceño Aguilar Rebeca Andreina</v>
      </c>
      <c r="D199" s="949" t="str">
        <f>+NOMINA!O195</f>
        <v>Tecnico Superior en Trabajo Social II</v>
      </c>
      <c r="E199" s="952">
        <f>+NOMINA!H195</f>
        <v>45047</v>
      </c>
      <c r="F199" s="953">
        <f>+NOMINA!BN195</f>
        <v>4.57</v>
      </c>
      <c r="G199" s="608"/>
      <c r="H199" s="609"/>
      <c r="I199" s="609"/>
      <c r="J199" s="609"/>
      <c r="K199" s="609"/>
    </row>
    <row r="200" spans="1:11" ht="15.75" customHeight="1">
      <c r="A200" s="951">
        <f t="shared" si="3"/>
        <v>154</v>
      </c>
      <c r="B200" s="949">
        <f>+NOMINA!C196</f>
        <v>17265648</v>
      </c>
      <c r="C200" s="949" t="str">
        <f>+NOMINA!D196</f>
        <v>Carrizo Mary Alejandra</v>
      </c>
      <c r="D200" s="949" t="str">
        <f>+NOMINA!O196</f>
        <v>Guia de Centro II</v>
      </c>
      <c r="E200" s="952">
        <f>+NOMINA!H196</f>
        <v>43709</v>
      </c>
      <c r="F200" s="953">
        <f>+NOMINA!BN196</f>
        <v>4.0599999999999996</v>
      </c>
      <c r="G200" s="608"/>
      <c r="H200" s="609"/>
      <c r="I200" s="609"/>
      <c r="J200" s="609"/>
      <c r="K200" s="609"/>
    </row>
    <row r="201" spans="1:11" ht="15.75" customHeight="1">
      <c r="A201" s="951">
        <f t="shared" si="3"/>
        <v>155</v>
      </c>
      <c r="B201" s="949">
        <f>+NOMINA!C197</f>
        <v>17267324</v>
      </c>
      <c r="C201" s="949" t="str">
        <f>+NOMINA!D197</f>
        <v>Urdaneta Soto Katherine Esther</v>
      </c>
      <c r="D201" s="949" t="str">
        <f>+NOMINA!O197</f>
        <v>Guia de Centro II</v>
      </c>
      <c r="E201" s="952">
        <f>+NOMINA!H197</f>
        <v>43785</v>
      </c>
      <c r="F201" s="953">
        <f>+NOMINA!BN197</f>
        <v>4.0599999999999996</v>
      </c>
      <c r="G201" s="608"/>
      <c r="H201" s="609"/>
      <c r="I201" s="609"/>
      <c r="J201" s="609"/>
      <c r="K201" s="609"/>
    </row>
    <row r="202" spans="1:11" ht="15.75" customHeight="1">
      <c r="A202" s="951">
        <f t="shared" si="3"/>
        <v>156</v>
      </c>
      <c r="B202" s="949">
        <f>+NOMINA!C198</f>
        <v>17391316</v>
      </c>
      <c r="C202" s="949" t="str">
        <f>+NOMINA!D198</f>
        <v>Torres Aranguren Lilibeth del Valle</v>
      </c>
      <c r="D202" s="949" t="str">
        <f>+NOMINA!O198</f>
        <v>Guia de Centro I</v>
      </c>
      <c r="E202" s="952">
        <f>+NOMINA!H198</f>
        <v>44713</v>
      </c>
      <c r="F202" s="953">
        <f>+NOMINA!BN198</f>
        <v>5.28</v>
      </c>
      <c r="G202" s="608"/>
      <c r="H202" s="609"/>
      <c r="I202" s="609"/>
      <c r="J202" s="609"/>
      <c r="K202" s="609"/>
    </row>
    <row r="203" spans="1:11" ht="15.75" customHeight="1">
      <c r="A203" s="951">
        <f t="shared" si="3"/>
        <v>157</v>
      </c>
      <c r="B203" s="949">
        <f>+NOMINA!C199</f>
        <v>17391892</v>
      </c>
      <c r="C203" s="949" t="str">
        <f>+NOMINA!D199</f>
        <v>Godoy Padilla Darcy Yaneth</v>
      </c>
      <c r="D203" s="949" t="str">
        <f>+NOMINA!O199</f>
        <v>Analista de Personal I</v>
      </c>
      <c r="E203" s="952">
        <f>+NOMINA!H199</f>
        <v>45323</v>
      </c>
      <c r="F203" s="953">
        <f>+NOMINA!BN199</f>
        <v>5.07</v>
      </c>
      <c r="G203" s="608"/>
      <c r="H203" s="609"/>
      <c r="I203" s="609"/>
      <c r="J203" s="609"/>
      <c r="K203" s="609"/>
    </row>
    <row r="204" spans="1:11" ht="15.75" customHeight="1">
      <c r="A204" s="951">
        <f t="shared" si="3"/>
        <v>158</v>
      </c>
      <c r="B204" s="949">
        <f>+NOMINA!C200</f>
        <v>17392309</v>
      </c>
      <c r="C204" s="949" t="str">
        <f>+NOMINA!D200</f>
        <v>Torres Briceño Yarelis Del Carmen</v>
      </c>
      <c r="D204" s="949" t="str">
        <f>+NOMINA!O200</f>
        <v>Administrador II</v>
      </c>
      <c r="E204" s="952">
        <f>+NOMINA!H200</f>
        <v>43116</v>
      </c>
      <c r="F204" s="953">
        <f>+NOMINA!BN200</f>
        <v>5.68</v>
      </c>
      <c r="G204" s="608"/>
      <c r="H204" s="609"/>
      <c r="I204" s="609"/>
      <c r="J204" s="609"/>
      <c r="K204" s="609"/>
    </row>
    <row r="205" spans="1:11" ht="15.75" customHeight="1">
      <c r="A205" s="951">
        <f t="shared" si="3"/>
        <v>159</v>
      </c>
      <c r="B205" s="949">
        <f>+NOMINA!C201</f>
        <v>17393693</v>
      </c>
      <c r="C205" s="949" t="str">
        <f>+NOMINA!D201</f>
        <v>Nuñez Maria Gusmara</v>
      </c>
      <c r="D205" s="949" t="str">
        <f>+NOMINA!O201</f>
        <v>Asistente Administrativo II</v>
      </c>
      <c r="E205" s="952">
        <f>+NOMINA!H201</f>
        <v>44516</v>
      </c>
      <c r="F205" s="953">
        <f>+NOMINA!BN201</f>
        <v>3.1</v>
      </c>
      <c r="G205" s="608"/>
      <c r="H205" s="609"/>
      <c r="I205" s="609"/>
      <c r="J205" s="609"/>
      <c r="K205" s="609"/>
    </row>
    <row r="206" spans="1:11" ht="15.75" customHeight="1">
      <c r="A206" s="951">
        <f t="shared" si="3"/>
        <v>160</v>
      </c>
      <c r="B206" s="949">
        <f>+NOMINA!C202</f>
        <v>17596844</v>
      </c>
      <c r="C206" s="949" t="str">
        <f>+NOMINA!D202</f>
        <v>Colmenares Jorge Luis</v>
      </c>
      <c r="D206" s="949" t="str">
        <f>+NOMINA!O202</f>
        <v>Guia de Centro I</v>
      </c>
      <c r="E206" s="952">
        <f>+NOMINA!H202</f>
        <v>45474</v>
      </c>
      <c r="F206" s="953">
        <f>+NOMINA!BN202</f>
        <v>5.41</v>
      </c>
      <c r="G206" s="608"/>
      <c r="H206" s="609"/>
      <c r="I206" s="609"/>
      <c r="J206" s="609"/>
      <c r="K206" s="609"/>
    </row>
    <row r="207" spans="1:11" ht="15.75" customHeight="1">
      <c r="A207" s="951">
        <f t="shared" si="3"/>
        <v>161</v>
      </c>
      <c r="B207" s="949">
        <f>+NOMINA!C203</f>
        <v>17597257</v>
      </c>
      <c r="C207" s="949" t="str">
        <f>+NOMINA!D203</f>
        <v>Linares Barreto Jorge Luis</v>
      </c>
      <c r="D207" s="949" t="str">
        <f>+NOMINA!O203</f>
        <v>GUIA DE CENTRO I</v>
      </c>
      <c r="E207" s="952">
        <f>+NOMINA!H203</f>
        <v>45536</v>
      </c>
      <c r="F207" s="953">
        <f>+NOMINA!BN203</f>
        <v>5.0199999999999996</v>
      </c>
      <c r="G207" s="608"/>
      <c r="H207" s="609"/>
      <c r="I207" s="609"/>
      <c r="J207" s="609"/>
      <c r="K207" s="609"/>
    </row>
    <row r="208" spans="1:11" ht="15.75" customHeight="1">
      <c r="A208" s="951">
        <f t="shared" si="3"/>
        <v>162</v>
      </c>
      <c r="B208" s="949">
        <f>+NOMINA!C204</f>
        <v>17597285</v>
      </c>
      <c r="C208" s="949" t="str">
        <f>+NOMINA!D204</f>
        <v>Duarte Portillo Dani Vicente</v>
      </c>
      <c r="D208" s="949" t="str">
        <f>+NOMINA!O204</f>
        <v>Tecnico Superior en Trabajo Social II</v>
      </c>
      <c r="E208" s="952">
        <f>+NOMINA!H204</f>
        <v>42782</v>
      </c>
      <c r="F208" s="953">
        <f>+NOMINA!BN204</f>
        <v>4.41</v>
      </c>
      <c r="G208" s="608"/>
      <c r="H208" s="609"/>
      <c r="I208" s="609"/>
      <c r="J208" s="609"/>
      <c r="K208" s="609"/>
    </row>
    <row r="209" spans="1:11" ht="15.75" customHeight="1">
      <c r="A209" s="951">
        <f t="shared" si="3"/>
        <v>163</v>
      </c>
      <c r="B209" s="949">
        <f>+NOMINA!C205</f>
        <v>17604568</v>
      </c>
      <c r="C209" s="949" t="str">
        <f>+NOMINA!D205</f>
        <v>Rivera Gil Christian Rafael</v>
      </c>
      <c r="D209" s="949" t="str">
        <f>+NOMINA!O205</f>
        <v>Tecnico en Reparacion y Mantenimiento I</v>
      </c>
      <c r="E209" s="952">
        <f>+NOMINA!H205</f>
        <v>43831</v>
      </c>
      <c r="F209" s="953">
        <f>+NOMINA!BN205</f>
        <v>4.62</v>
      </c>
      <c r="G209" s="608"/>
      <c r="H209" s="609"/>
      <c r="I209" s="609"/>
      <c r="J209" s="609"/>
      <c r="K209" s="609"/>
    </row>
    <row r="210" spans="1:11" ht="15.75" customHeight="1">
      <c r="A210" s="951">
        <f t="shared" si="3"/>
        <v>164</v>
      </c>
      <c r="B210" s="949">
        <f>+NOMINA!C206</f>
        <v>17605222</v>
      </c>
      <c r="C210" s="949" t="str">
        <f>+NOMINA!D206</f>
        <v>Aguial Dayana Carolina</v>
      </c>
      <c r="D210" s="949" t="str">
        <f>+NOMINA!O206</f>
        <v>Guia de Centro II</v>
      </c>
      <c r="E210" s="952">
        <f>+NOMINA!H206</f>
        <v>42737</v>
      </c>
      <c r="F210" s="953">
        <f>+NOMINA!BN206</f>
        <v>6.01</v>
      </c>
      <c r="G210" s="608"/>
      <c r="H210" s="609"/>
      <c r="I210" s="609"/>
      <c r="J210" s="609"/>
      <c r="K210" s="609"/>
    </row>
    <row r="211" spans="1:11" ht="15.75" customHeight="1">
      <c r="A211" s="951">
        <f t="shared" si="3"/>
        <v>165</v>
      </c>
      <c r="B211" s="949">
        <f>+NOMINA!C207</f>
        <v>17605492</v>
      </c>
      <c r="C211" s="949" t="str">
        <f>+NOMINA!D207</f>
        <v>Briceño Briceño Naibely Carolina</v>
      </c>
      <c r="D211" s="949" t="str">
        <f>+NOMINA!O207</f>
        <v>Asistente Administrativo V</v>
      </c>
      <c r="E211" s="952">
        <f>+NOMINA!H207</f>
        <v>43967</v>
      </c>
      <c r="F211" s="953">
        <f>+NOMINA!BN207</f>
        <v>5.23</v>
      </c>
      <c r="G211" s="608"/>
      <c r="H211" s="609"/>
      <c r="I211" s="609"/>
      <c r="J211" s="609"/>
      <c r="K211" s="609"/>
    </row>
    <row r="212" spans="1:11" ht="15.75" customHeight="1">
      <c r="A212" s="951">
        <f t="shared" si="3"/>
        <v>166</v>
      </c>
      <c r="B212" s="949">
        <f>+NOMINA!C208</f>
        <v>17606237</v>
      </c>
      <c r="C212" s="949" t="str">
        <f>+NOMINA!D208</f>
        <v>Castellano Rivera Maria Antonina</v>
      </c>
      <c r="D212" s="949" t="str">
        <f>+NOMINA!O208</f>
        <v>Asistente Administrativo III</v>
      </c>
      <c r="E212" s="952">
        <f>+NOMINA!H208</f>
        <v>40909</v>
      </c>
      <c r="F212" s="953">
        <f>+NOMINA!BN208</f>
        <v>4.12</v>
      </c>
      <c r="G212" s="608"/>
      <c r="H212" s="609"/>
      <c r="I212" s="609"/>
      <c r="J212" s="609"/>
      <c r="K212" s="609"/>
    </row>
    <row r="213" spans="1:11" ht="15.75" customHeight="1">
      <c r="A213" s="951">
        <f t="shared" si="3"/>
        <v>167</v>
      </c>
      <c r="B213" s="949">
        <f>+NOMINA!C209</f>
        <v>17830972</v>
      </c>
      <c r="C213" s="949" t="str">
        <f>+NOMINA!D209</f>
        <v>Bastidas Franco Dianellys Sarain</v>
      </c>
      <c r="D213" s="949" t="str">
        <f>+NOMINA!O209</f>
        <v>Entrenador Deportivo IV</v>
      </c>
      <c r="E213" s="952">
        <f>+NOMINA!H209</f>
        <v>44713</v>
      </c>
      <c r="F213" s="953">
        <f>+NOMINA!BN209</f>
        <v>4.76</v>
      </c>
      <c r="G213" s="608"/>
      <c r="H213" s="609"/>
      <c r="I213" s="609"/>
      <c r="J213" s="609"/>
      <c r="K213" s="609"/>
    </row>
    <row r="214" spans="1:11" ht="15.75" customHeight="1">
      <c r="A214" s="951">
        <f t="shared" si="3"/>
        <v>168</v>
      </c>
      <c r="B214" s="949">
        <f>+NOMINA!C210</f>
        <v>17831012</v>
      </c>
      <c r="C214" s="949" t="str">
        <f>+NOMINA!D210</f>
        <v>Valera Briceño Jesus Enrique</v>
      </c>
      <c r="D214" s="949" t="str">
        <f>+NOMINA!O210</f>
        <v>Guia de Centro I</v>
      </c>
      <c r="E214" s="952">
        <f>+NOMINA!H210</f>
        <v>45474</v>
      </c>
      <c r="F214" s="953">
        <f>+NOMINA!BN210</f>
        <v>3.9</v>
      </c>
      <c r="G214" s="608"/>
      <c r="H214" s="609"/>
      <c r="I214" s="609"/>
      <c r="J214" s="609"/>
      <c r="K214" s="609"/>
    </row>
    <row r="215" spans="1:11" ht="15.75" customHeight="1">
      <c r="A215" s="951">
        <f t="shared" si="3"/>
        <v>169</v>
      </c>
      <c r="B215" s="949">
        <f>+NOMINA!C211</f>
        <v>17831231</v>
      </c>
      <c r="C215" s="949" t="str">
        <f>+NOMINA!D211</f>
        <v>Blanco Torres Beixy Coromoto</v>
      </c>
      <c r="D215" s="949" t="str">
        <f>+NOMINA!O211</f>
        <v>Abogado III</v>
      </c>
      <c r="E215" s="952">
        <f>+NOMINA!H211</f>
        <v>44200</v>
      </c>
      <c r="F215" s="953">
        <f>+NOMINA!BN211</f>
        <v>5.73</v>
      </c>
      <c r="G215" s="608"/>
      <c r="H215" s="609"/>
      <c r="I215" s="609"/>
      <c r="J215" s="609"/>
      <c r="K215" s="609"/>
    </row>
    <row r="216" spans="1:11" ht="15.75" customHeight="1">
      <c r="A216" s="951">
        <f t="shared" si="3"/>
        <v>170</v>
      </c>
      <c r="B216" s="949">
        <f>+NOMINA!C212</f>
        <v>17831384</v>
      </c>
      <c r="C216" s="949" t="str">
        <f>+NOMINA!D212</f>
        <v>Nieve Briceño Glorys Carolina</v>
      </c>
      <c r="D216" s="949" t="str">
        <f>+NOMINA!O212</f>
        <v>Guia de Centro II</v>
      </c>
      <c r="E216" s="952">
        <f>+NOMINA!H212</f>
        <v>42339</v>
      </c>
      <c r="F216" s="953">
        <f>+NOMINA!BN212</f>
        <v>7.33</v>
      </c>
      <c r="G216" s="608"/>
      <c r="H216" s="609"/>
      <c r="I216" s="609"/>
      <c r="J216" s="609"/>
      <c r="K216" s="609"/>
    </row>
    <row r="217" spans="1:11" ht="15.75" customHeight="1">
      <c r="A217" s="951">
        <f t="shared" si="3"/>
        <v>171</v>
      </c>
      <c r="B217" s="949">
        <f>+NOMINA!C213</f>
        <v>17832396</v>
      </c>
      <c r="C217" s="949" t="str">
        <f>+NOMINA!D213</f>
        <v>Pulido Sanchez Joalina Vanessa</v>
      </c>
      <c r="D217" s="949" t="str">
        <f>+NOMINA!O213</f>
        <v>Enfermera Jefe I</v>
      </c>
      <c r="E217" s="952">
        <f>+NOMINA!H213</f>
        <v>43191</v>
      </c>
      <c r="F217" s="953">
        <f>+NOMINA!BN213</f>
        <v>4.6500000000000004</v>
      </c>
      <c r="G217" s="608"/>
      <c r="H217" s="609"/>
      <c r="I217" s="609"/>
      <c r="J217" s="609"/>
      <c r="K217" s="609"/>
    </row>
    <row r="218" spans="1:11" ht="15.75" customHeight="1">
      <c r="A218" s="951">
        <f t="shared" si="3"/>
        <v>172</v>
      </c>
      <c r="B218" s="949">
        <f>+NOMINA!C214</f>
        <v>17865154</v>
      </c>
      <c r="C218" s="949" t="str">
        <f>+NOMINA!D214</f>
        <v>Serrano Ingrid Maria</v>
      </c>
      <c r="D218" s="949" t="str">
        <f>+NOMINA!O214</f>
        <v>Guia de Centro I</v>
      </c>
      <c r="E218" s="952">
        <f>+NOMINA!H214</f>
        <v>43846</v>
      </c>
      <c r="F218" s="953">
        <f>+NOMINA!BN214</f>
        <v>3.74</v>
      </c>
      <c r="G218" s="608"/>
      <c r="H218" s="609"/>
      <c r="I218" s="609"/>
      <c r="J218" s="609"/>
      <c r="K218" s="609"/>
    </row>
    <row r="219" spans="1:11" ht="15.75" customHeight="1">
      <c r="A219" s="951">
        <f t="shared" si="3"/>
        <v>173</v>
      </c>
      <c r="B219" s="949">
        <f>+NOMINA!C215</f>
        <v>18036203</v>
      </c>
      <c r="C219" s="949" t="str">
        <f>+NOMINA!D215</f>
        <v>Yepes Caceres Mervis Javier</v>
      </c>
      <c r="D219" s="949" t="str">
        <f>+NOMINA!O215</f>
        <v>Guia de Centro I</v>
      </c>
      <c r="E219" s="952">
        <f>+NOMINA!H215</f>
        <v>45505</v>
      </c>
      <c r="F219" s="953">
        <f>+NOMINA!BN215</f>
        <v>3.71</v>
      </c>
      <c r="G219" s="608"/>
      <c r="H219" s="609"/>
      <c r="I219" s="609"/>
      <c r="J219" s="609"/>
      <c r="K219" s="609"/>
    </row>
    <row r="220" spans="1:11" ht="15.75" customHeight="1">
      <c r="A220" s="951">
        <f t="shared" si="3"/>
        <v>174</v>
      </c>
      <c r="B220" s="949">
        <f>+NOMINA!C216</f>
        <v>18036156</v>
      </c>
      <c r="C220" s="949" t="str">
        <f>+NOMINA!D216</f>
        <v>Ruiz Vasquez Endri Ramon</v>
      </c>
      <c r="D220" s="949" t="str">
        <f>+NOMINA!O216</f>
        <v>Guia de Centro I</v>
      </c>
      <c r="E220" s="952">
        <f>+NOMINA!H216</f>
        <v>45597</v>
      </c>
      <c r="F220" s="953">
        <f>+NOMINA!BN216</f>
        <v>3.38</v>
      </c>
      <c r="G220" s="608"/>
      <c r="H220" s="609"/>
      <c r="I220" s="609"/>
      <c r="J220" s="609"/>
      <c r="K220" s="609"/>
    </row>
    <row r="221" spans="1:11" ht="15.75" customHeight="1">
      <c r="A221" s="951">
        <f t="shared" si="3"/>
        <v>175</v>
      </c>
      <c r="B221" s="949">
        <f>+NOMINA!C217</f>
        <v>18095603</v>
      </c>
      <c r="C221" s="949" t="str">
        <f>+NOMINA!D217</f>
        <v>Lozada Bencomo Daniela Carolina</v>
      </c>
      <c r="D221" s="949" t="str">
        <f>+NOMINA!O217</f>
        <v>Tecnico Superior en Trabajo Social II</v>
      </c>
      <c r="E221" s="952">
        <f>+NOMINA!H217</f>
        <v>42963</v>
      </c>
      <c r="F221" s="953">
        <f>+NOMINA!BN217</f>
        <v>4.75</v>
      </c>
      <c r="G221" s="608"/>
      <c r="H221" s="609"/>
      <c r="I221" s="609"/>
      <c r="J221" s="609"/>
      <c r="K221" s="609"/>
    </row>
    <row r="222" spans="1:11" ht="15.75" customHeight="1">
      <c r="A222" s="951">
        <f t="shared" si="3"/>
        <v>176</v>
      </c>
      <c r="B222" s="949">
        <f>+NOMINA!C218</f>
        <v>18096996</v>
      </c>
      <c r="C222" s="949" t="str">
        <f>+NOMINA!D218</f>
        <v>Diaz Maldonado Anny Jackeline</v>
      </c>
      <c r="D222" s="949" t="str">
        <f>+NOMINA!O218</f>
        <v>CONTABILISTA III</v>
      </c>
      <c r="E222" s="952">
        <f>+NOMINA!H218</f>
        <v>44743</v>
      </c>
      <c r="F222" s="953">
        <f>+NOMINA!BN218</f>
        <v>4.0599999999999996</v>
      </c>
      <c r="G222" s="608"/>
      <c r="H222" s="609"/>
      <c r="I222" s="609"/>
      <c r="J222" s="609"/>
      <c r="K222" s="609"/>
    </row>
    <row r="223" spans="1:11" ht="15.75" customHeight="1">
      <c r="A223" s="951">
        <f t="shared" si="3"/>
        <v>177</v>
      </c>
      <c r="B223" s="949">
        <f>+NOMINA!C219</f>
        <v>18097528</v>
      </c>
      <c r="C223" s="949" t="str">
        <f>+NOMINA!D219</f>
        <v>Godoy Suarez Nelson Jose</v>
      </c>
      <c r="D223" s="949" t="str">
        <f>+NOMINA!O219</f>
        <v>Guia de Centro I</v>
      </c>
      <c r="E223" s="952">
        <f>+NOMINA!H219</f>
        <v>45536</v>
      </c>
      <c r="F223" s="953">
        <f>+NOMINA!BN219</f>
        <v>3.71</v>
      </c>
      <c r="G223" s="608"/>
      <c r="H223" s="609"/>
      <c r="I223" s="609"/>
      <c r="J223" s="609"/>
      <c r="K223" s="609"/>
    </row>
    <row r="224" spans="1:11" ht="15.75" customHeight="1">
      <c r="A224" s="951">
        <f t="shared" si="3"/>
        <v>178</v>
      </c>
      <c r="B224" s="949">
        <f>+NOMINA!C220</f>
        <v>18097873</v>
      </c>
      <c r="C224" s="949" t="str">
        <f>+NOMINA!D220</f>
        <v>Villarreal Prada Yoriangela Nataly</v>
      </c>
      <c r="D224" s="949" t="str">
        <f>+NOMINA!O220</f>
        <v>Guia de Centro I</v>
      </c>
      <c r="E224" s="952">
        <f>+NOMINA!H220</f>
        <v>44531</v>
      </c>
      <c r="F224" s="953">
        <f>+NOMINA!BN220</f>
        <v>4.0199999999999996</v>
      </c>
      <c r="G224" s="608"/>
      <c r="H224" s="609"/>
      <c r="I224" s="609"/>
      <c r="J224" s="609"/>
      <c r="K224" s="609"/>
    </row>
    <row r="225" spans="1:11" ht="15.75" customHeight="1">
      <c r="A225" s="951">
        <f t="shared" si="3"/>
        <v>179</v>
      </c>
      <c r="B225" s="949">
        <f>+NOMINA!C221</f>
        <v>18348317</v>
      </c>
      <c r="C225" s="949" t="str">
        <f>+NOMINA!D221</f>
        <v>Abreu Araujo Gilmer Francisco</v>
      </c>
      <c r="D225" s="949" t="str">
        <f>+NOMINA!O221</f>
        <v>Tutor Facilitador III</v>
      </c>
      <c r="E225" s="952">
        <f>+NOMINA!H221</f>
        <v>43160</v>
      </c>
      <c r="F225" s="953">
        <f>+NOMINA!BN221</f>
        <v>5.7</v>
      </c>
      <c r="G225" s="608"/>
      <c r="H225" s="609"/>
      <c r="I225" s="609"/>
      <c r="J225" s="609"/>
      <c r="K225" s="609"/>
    </row>
    <row r="226" spans="1:11" ht="15.75" customHeight="1">
      <c r="A226" s="951">
        <f t="shared" si="3"/>
        <v>180</v>
      </c>
      <c r="B226" s="949">
        <f>+NOMINA!C222</f>
        <v>18348721</v>
      </c>
      <c r="C226" s="949" t="str">
        <f>+NOMINA!D222</f>
        <v>Villarreal Lusana Carolina</v>
      </c>
      <c r="D226" s="949" t="str">
        <f>+NOMINA!O222</f>
        <v>Tecnico Superior en Trabajo Social II</v>
      </c>
      <c r="E226" s="952">
        <f>+NOMINA!H222</f>
        <v>42948</v>
      </c>
      <c r="F226" s="953">
        <f>+NOMINA!BN222</f>
        <v>4.71</v>
      </c>
      <c r="G226" s="608"/>
      <c r="H226" s="609"/>
      <c r="I226" s="609"/>
      <c r="J226" s="609"/>
      <c r="K226" s="609"/>
    </row>
    <row r="227" spans="1:11" ht="15.75" customHeight="1">
      <c r="A227" s="951">
        <f t="shared" si="3"/>
        <v>181</v>
      </c>
      <c r="B227" s="949">
        <f>+NOMINA!C223</f>
        <v>18349021</v>
      </c>
      <c r="C227" s="949" t="str">
        <f>+NOMINA!D223</f>
        <v>Godoy Linares Amenaida del Valle</v>
      </c>
      <c r="D227" s="949" t="str">
        <f>+NOMINA!O223</f>
        <v>Guia de Centro I</v>
      </c>
      <c r="E227" s="952">
        <f>+NOMINA!H223</f>
        <v>44683</v>
      </c>
      <c r="F227" s="953">
        <f>+NOMINA!BN223</f>
        <v>5.5</v>
      </c>
      <c r="G227" s="608"/>
      <c r="H227" s="609"/>
      <c r="I227" s="609"/>
      <c r="J227" s="609"/>
      <c r="K227" s="609"/>
    </row>
    <row r="228" spans="1:11" ht="15.75" customHeight="1">
      <c r="A228" s="951">
        <f t="shared" si="3"/>
        <v>182</v>
      </c>
      <c r="B228" s="949">
        <f>+NOMINA!C224</f>
        <v>18349553</v>
      </c>
      <c r="C228" s="949" t="str">
        <f>+NOMINA!D224</f>
        <v>Quiroga Valdes Nayla Carolina</v>
      </c>
      <c r="D228" s="949" t="str">
        <f>+NOMINA!O224</f>
        <v>Guia de Centro I</v>
      </c>
      <c r="E228" s="952">
        <f>+NOMINA!H224</f>
        <v>45566</v>
      </c>
      <c r="F228" s="953">
        <f>+NOMINA!BN224</f>
        <v>6.11</v>
      </c>
      <c r="G228" s="608"/>
      <c r="H228" s="609"/>
      <c r="I228" s="609"/>
      <c r="J228" s="609"/>
      <c r="K228" s="609"/>
    </row>
    <row r="229" spans="1:11" ht="15.75" customHeight="1">
      <c r="A229" s="951">
        <f t="shared" si="3"/>
        <v>183</v>
      </c>
      <c r="B229" s="949">
        <f>+NOMINA!C225</f>
        <v>18349653</v>
      </c>
      <c r="C229" s="949" t="str">
        <f>+NOMINA!D225</f>
        <v>Baptista Finol Violexy del Valle</v>
      </c>
      <c r="D229" s="949" t="str">
        <f>+NOMINA!O225</f>
        <v>Guia de Centro I</v>
      </c>
      <c r="E229" s="952">
        <f>+NOMINA!H225</f>
        <v>45627</v>
      </c>
      <c r="F229" s="953">
        <f>+NOMINA!BN225</f>
        <v>5.64</v>
      </c>
      <c r="G229" s="608"/>
      <c r="H229" s="609"/>
      <c r="I229" s="609"/>
      <c r="J229" s="609"/>
      <c r="K229" s="609"/>
    </row>
    <row r="230" spans="1:11" ht="15.75" customHeight="1">
      <c r="A230" s="951">
        <f t="shared" si="3"/>
        <v>184</v>
      </c>
      <c r="B230" s="949">
        <f>+NOMINA!C226</f>
        <v>18350884</v>
      </c>
      <c r="C230" s="949" t="str">
        <f>+NOMINA!D226</f>
        <v>Araujo Mendoza Mirelis Carolina</v>
      </c>
      <c r="D230" s="949" t="str">
        <f>+NOMINA!O226</f>
        <v>Guia de Centro I</v>
      </c>
      <c r="E230" s="952">
        <f>+NOMINA!H226</f>
        <v>45474</v>
      </c>
      <c r="F230" s="953">
        <f>+NOMINA!BN226</f>
        <v>3.54</v>
      </c>
      <c r="G230" s="608"/>
      <c r="H230" s="609"/>
      <c r="I230" s="609"/>
      <c r="J230" s="609"/>
      <c r="K230" s="609"/>
    </row>
    <row r="231" spans="1:11" ht="15.75" customHeight="1">
      <c r="A231" s="951">
        <f t="shared" si="3"/>
        <v>185</v>
      </c>
      <c r="B231" s="949">
        <f>+NOMINA!C227</f>
        <v>18378985</v>
      </c>
      <c r="C231" s="949" t="str">
        <f>+NOMINA!D227</f>
        <v>Quintero Paradas Ilse Maria</v>
      </c>
      <c r="D231" s="949" t="str">
        <f>+NOMINA!O227</f>
        <v>Analista de Procesamiento de Datos II</v>
      </c>
      <c r="E231" s="952">
        <f>+NOMINA!H227</f>
        <v>43147</v>
      </c>
      <c r="F231" s="953">
        <f>+NOMINA!BN227</f>
        <v>5.49</v>
      </c>
      <c r="G231" s="608"/>
      <c r="H231" s="609"/>
      <c r="I231" s="609"/>
      <c r="J231" s="609"/>
      <c r="K231" s="609"/>
    </row>
    <row r="232" spans="1:11" ht="15.75" customHeight="1">
      <c r="A232" s="951">
        <f t="shared" si="3"/>
        <v>186</v>
      </c>
      <c r="B232" s="949">
        <f>+NOMINA!C228</f>
        <v>18456345</v>
      </c>
      <c r="C232" s="949" t="str">
        <f>+NOMINA!D228</f>
        <v>Peñaloza Olmos Eduardo Jose</v>
      </c>
      <c r="D232" s="949" t="str">
        <f>+NOMINA!O228</f>
        <v>ESPECIALISTA EN INFORMATICA I</v>
      </c>
      <c r="E232" s="952">
        <f>+NOMINA!H228</f>
        <v>44774</v>
      </c>
      <c r="F232" s="953">
        <f>+NOMINA!BN228</f>
        <v>4.76</v>
      </c>
      <c r="G232" s="608"/>
      <c r="H232" s="609"/>
      <c r="I232" s="609"/>
      <c r="J232" s="609"/>
      <c r="K232" s="609"/>
    </row>
    <row r="233" spans="1:11" ht="15.75" customHeight="1">
      <c r="A233" s="951">
        <f t="shared" si="3"/>
        <v>187</v>
      </c>
      <c r="B233" s="949">
        <f>+NOMINA!C229</f>
        <v>18457406</v>
      </c>
      <c r="C233" s="949" t="str">
        <f>+NOMINA!D229</f>
        <v>Rivero Zambrano Herluis Jose</v>
      </c>
      <c r="D233" s="949" t="str">
        <f>+NOMINA!O229</f>
        <v>Ingeniero Agronomo IV</v>
      </c>
      <c r="E233" s="952">
        <f>+NOMINA!H229</f>
        <v>41548</v>
      </c>
      <c r="F233" s="953">
        <f>+NOMINA!BN229</f>
        <v>0</v>
      </c>
      <c r="G233" s="608"/>
      <c r="H233" s="609"/>
      <c r="I233" s="609"/>
      <c r="J233" s="609"/>
      <c r="K233" s="609"/>
    </row>
    <row r="234" spans="1:11" ht="15.75" customHeight="1">
      <c r="A234" s="951">
        <f t="shared" si="3"/>
        <v>188</v>
      </c>
      <c r="B234" s="949">
        <f>+NOMINA!C230</f>
        <v>18458012</v>
      </c>
      <c r="C234" s="949" t="str">
        <f>+NOMINA!D230</f>
        <v>Briceño Uzcategui Maria Esperanza</v>
      </c>
      <c r="D234" s="949" t="str">
        <f>+NOMINA!O230</f>
        <v>Asistente Administrativo III</v>
      </c>
      <c r="E234" s="952">
        <f>+NOMINA!H230</f>
        <v>44636</v>
      </c>
      <c r="F234" s="953">
        <f>+NOMINA!BN230</f>
        <v>4.21</v>
      </c>
      <c r="G234" s="608"/>
      <c r="H234" s="609"/>
      <c r="I234" s="609"/>
      <c r="J234" s="609"/>
      <c r="K234" s="609"/>
    </row>
    <row r="235" spans="1:11" ht="15.75" customHeight="1">
      <c r="A235" s="951">
        <f t="shared" si="3"/>
        <v>189</v>
      </c>
      <c r="B235" s="949">
        <f>+NOMINA!C231</f>
        <v>18670458</v>
      </c>
      <c r="C235" s="949" t="str">
        <f>+NOMINA!D231</f>
        <v>Gervasi de Valera Solanye Dairilyn</v>
      </c>
      <c r="D235" s="949" t="str">
        <f>+NOMINA!O231</f>
        <v>Entrenador Deportivo IV</v>
      </c>
      <c r="E235" s="952">
        <f>+NOMINA!H231</f>
        <v>42741</v>
      </c>
      <c r="F235" s="953">
        <f>+NOMINA!BN231</f>
        <v>5.72</v>
      </c>
      <c r="G235" s="608"/>
      <c r="H235" s="609"/>
      <c r="I235" s="609"/>
      <c r="J235" s="609"/>
      <c r="K235" s="609"/>
    </row>
    <row r="236" spans="1:11" ht="15.75" customHeight="1">
      <c r="A236" s="951">
        <f t="shared" si="3"/>
        <v>190</v>
      </c>
      <c r="B236" s="949">
        <f>+NOMINA!C232</f>
        <v>18733682</v>
      </c>
      <c r="C236" s="949" t="str">
        <f>+NOMINA!D232</f>
        <v>Ocanto Ramirez Maria Alejandra</v>
      </c>
      <c r="D236" s="949" t="str">
        <f>+NOMINA!O232</f>
        <v>Guia de Centro I</v>
      </c>
      <c r="E236" s="952">
        <f>+NOMINA!H232</f>
        <v>45474</v>
      </c>
      <c r="F236" s="953">
        <f>+NOMINA!BN232</f>
        <v>3.54</v>
      </c>
      <c r="G236" s="608"/>
      <c r="H236" s="609"/>
      <c r="I236" s="609"/>
      <c r="J236" s="609"/>
      <c r="K236" s="609"/>
    </row>
    <row r="237" spans="1:11" ht="15.75" customHeight="1">
      <c r="A237" s="951">
        <f t="shared" si="3"/>
        <v>191</v>
      </c>
      <c r="B237" s="949">
        <f>+NOMINA!C233</f>
        <v>18801597</v>
      </c>
      <c r="C237" s="949" t="str">
        <f>+NOMINA!D233</f>
        <v>Rodriguez Salas Mary Carmen</v>
      </c>
      <c r="D237" s="949" t="str">
        <f>+NOMINA!O233</f>
        <v>Tutor Facilitador III</v>
      </c>
      <c r="E237" s="952">
        <f>+NOMINA!H233</f>
        <v>43359</v>
      </c>
      <c r="F237" s="953">
        <f>+NOMINA!BN233</f>
        <v>5.64</v>
      </c>
      <c r="G237" s="608"/>
      <c r="H237" s="609"/>
      <c r="I237" s="609"/>
      <c r="J237" s="609"/>
      <c r="K237" s="609"/>
    </row>
    <row r="238" spans="1:11" ht="15.75" customHeight="1">
      <c r="A238" s="951">
        <f t="shared" si="3"/>
        <v>192</v>
      </c>
      <c r="B238" s="949">
        <f>+NOMINA!C234</f>
        <v>18802405</v>
      </c>
      <c r="C238" s="949" t="str">
        <f>+NOMINA!D234</f>
        <v>Ramirez Rodriguez Rudys Arelys</v>
      </c>
      <c r="D238" s="949" t="str">
        <f>+NOMINA!O234</f>
        <v>Tutor Facilitador I</v>
      </c>
      <c r="E238" s="952">
        <f>+NOMINA!H234</f>
        <v>44332</v>
      </c>
      <c r="F238" s="953">
        <f>+NOMINA!BN234</f>
        <v>4.76</v>
      </c>
      <c r="G238" s="608"/>
      <c r="H238" s="609"/>
      <c r="I238" s="609"/>
      <c r="J238" s="609"/>
      <c r="K238" s="609"/>
    </row>
    <row r="239" spans="1:11" ht="15.75" customHeight="1">
      <c r="A239" s="951">
        <f t="shared" si="3"/>
        <v>193</v>
      </c>
      <c r="B239" s="949">
        <f>+NOMINA!C235</f>
        <v>18984406</v>
      </c>
      <c r="C239" s="949" t="str">
        <f>+NOMINA!D235</f>
        <v>Torres Santiago Eduardo David</v>
      </c>
      <c r="D239" s="949" t="str">
        <f>+NOMINA!O235</f>
        <v>Guia de Centro I</v>
      </c>
      <c r="E239" s="952">
        <f>+NOMINA!H235</f>
        <v>45200</v>
      </c>
      <c r="F239" s="953">
        <f>+NOMINA!BN235</f>
        <v>3.4</v>
      </c>
      <c r="G239" s="608"/>
      <c r="H239" s="609"/>
      <c r="I239" s="609"/>
      <c r="J239" s="609"/>
      <c r="K239" s="609"/>
    </row>
    <row r="240" spans="1:11" ht="15.75" customHeight="1">
      <c r="A240" s="951">
        <f t="shared" si="3"/>
        <v>194</v>
      </c>
      <c r="B240" s="949">
        <f>+NOMINA!C236</f>
        <v>19101647</v>
      </c>
      <c r="C240" s="949" t="str">
        <f>+NOMINA!D236</f>
        <v>Uzcategui Urbina Madeley Tatiana</v>
      </c>
      <c r="D240" s="949" t="str">
        <f>+NOMINA!O236</f>
        <v>Guia de Centro I</v>
      </c>
      <c r="E240" s="952">
        <f>+NOMINA!H236</f>
        <v>43845</v>
      </c>
      <c r="F240" s="953">
        <f>+NOMINA!BN236</f>
        <v>4.0599999999999996</v>
      </c>
      <c r="G240" s="608"/>
      <c r="H240" s="609"/>
      <c r="I240" s="609"/>
      <c r="J240" s="609"/>
      <c r="K240" s="609"/>
    </row>
    <row r="241" spans="1:11" ht="15.75" customHeight="1">
      <c r="A241" s="951">
        <f t="shared" ref="A241:A304" si="4">+A240+1</f>
        <v>195</v>
      </c>
      <c r="B241" s="949">
        <f>+NOMINA!C237</f>
        <v>19101773</v>
      </c>
      <c r="C241" s="949" t="str">
        <f>+NOMINA!D237</f>
        <v>Gil Molina Maite Karina</v>
      </c>
      <c r="D241" s="949" t="str">
        <f>+NOMINA!O237</f>
        <v>Guia de Centro I</v>
      </c>
      <c r="E241" s="952">
        <f>+NOMINA!H237</f>
        <v>45200</v>
      </c>
      <c r="F241" s="953">
        <f>+NOMINA!BN237</f>
        <v>5.25</v>
      </c>
      <c r="G241" s="608"/>
      <c r="H241" s="609"/>
      <c r="I241" s="609"/>
      <c r="J241" s="609"/>
      <c r="K241" s="609"/>
    </row>
    <row r="242" spans="1:11" ht="15.75" customHeight="1">
      <c r="A242" s="951">
        <f t="shared" si="4"/>
        <v>196</v>
      </c>
      <c r="B242" s="949">
        <f>+NOMINA!C238</f>
        <v>19103118</v>
      </c>
      <c r="C242" s="949" t="str">
        <f>+NOMINA!D238</f>
        <v>Plaza Quintero Orelis Maria</v>
      </c>
      <c r="D242" s="949" t="str">
        <f>+NOMINA!O238</f>
        <v>Tecnico Superior en Trabajo Social II</v>
      </c>
      <c r="E242" s="952">
        <f>+NOMINA!H238</f>
        <v>43724</v>
      </c>
      <c r="F242" s="953">
        <f>+NOMINA!BN238</f>
        <v>4.62</v>
      </c>
      <c r="G242" s="608"/>
      <c r="H242" s="609"/>
      <c r="I242" s="609"/>
      <c r="J242" s="609"/>
      <c r="K242" s="609"/>
    </row>
    <row r="243" spans="1:11" ht="15.75" customHeight="1">
      <c r="A243" s="951">
        <f t="shared" si="4"/>
        <v>197</v>
      </c>
      <c r="B243" s="949">
        <f>+NOMINA!C239</f>
        <v>19103604</v>
      </c>
      <c r="C243" s="949" t="str">
        <f>+NOMINA!D239</f>
        <v>Hernandez Graterol Gleidys Coromoto</v>
      </c>
      <c r="D243" s="949" t="str">
        <f>+NOMINA!O239</f>
        <v>Asistente Administrativo III</v>
      </c>
      <c r="E243" s="952">
        <f>+NOMINA!H239</f>
        <v>44600</v>
      </c>
      <c r="F243" s="953">
        <f>+NOMINA!BN239</f>
        <v>4.21</v>
      </c>
      <c r="G243" s="608"/>
      <c r="H243" s="609"/>
      <c r="I243" s="609"/>
      <c r="J243" s="609"/>
      <c r="K243" s="609"/>
    </row>
    <row r="244" spans="1:11" ht="15.75" customHeight="1">
      <c r="A244" s="951">
        <f t="shared" si="4"/>
        <v>198</v>
      </c>
      <c r="B244" s="949">
        <f>+NOMINA!C240</f>
        <v>19103823</v>
      </c>
      <c r="C244" s="949" t="str">
        <f>+NOMINA!D240</f>
        <v>Valero Sanchez Zulay del Valle</v>
      </c>
      <c r="D244" s="949" t="str">
        <f>+NOMINA!O240</f>
        <v>Tutor Facilitador III</v>
      </c>
      <c r="E244" s="952">
        <f>+NOMINA!H240</f>
        <v>42795</v>
      </c>
      <c r="F244" s="953">
        <f>+NOMINA!BN240</f>
        <v>6.39</v>
      </c>
      <c r="G244" s="608"/>
      <c r="H244" s="609"/>
      <c r="I244" s="609"/>
      <c r="J244" s="609"/>
      <c r="K244" s="609"/>
    </row>
    <row r="245" spans="1:11" ht="15.75" customHeight="1">
      <c r="A245" s="951">
        <f t="shared" si="4"/>
        <v>199</v>
      </c>
      <c r="B245" s="949">
        <f>+NOMINA!C241</f>
        <v>19286780</v>
      </c>
      <c r="C245" s="949" t="str">
        <f>+NOMINA!D241</f>
        <v>Mejia Rosales Katiusca Josefina</v>
      </c>
      <c r="D245" s="949" t="str">
        <f>+NOMINA!O241</f>
        <v>Asistente Administrativo III</v>
      </c>
      <c r="E245" s="952">
        <f>+NOMINA!H241</f>
        <v>42492</v>
      </c>
      <c r="F245" s="953">
        <f>+NOMINA!BN241</f>
        <v>4.74</v>
      </c>
      <c r="G245" s="608"/>
      <c r="H245" s="609"/>
      <c r="I245" s="609"/>
      <c r="J245" s="609"/>
      <c r="K245" s="609"/>
    </row>
    <row r="246" spans="1:11" ht="15.75" customHeight="1">
      <c r="A246" s="951">
        <f t="shared" si="4"/>
        <v>200</v>
      </c>
      <c r="B246" s="949">
        <f>+NOMINA!C242</f>
        <v>19287100</v>
      </c>
      <c r="C246" s="949" t="str">
        <f>+NOMINA!D242</f>
        <v>Leal Mejia Fraineli Yoset</v>
      </c>
      <c r="D246" s="949" t="str">
        <f>+NOMINA!O242</f>
        <v>Tecnico Superior en Trabajo Social II</v>
      </c>
      <c r="E246" s="952">
        <f>+NOMINA!H242</f>
        <v>44713</v>
      </c>
      <c r="F246" s="953">
        <f>+NOMINA!BN242</f>
        <v>4.21</v>
      </c>
      <c r="G246" s="608"/>
      <c r="H246" s="609"/>
      <c r="I246" s="609"/>
      <c r="J246" s="609"/>
      <c r="K246" s="609"/>
    </row>
    <row r="247" spans="1:11" ht="15.75" customHeight="1">
      <c r="A247" s="951">
        <f t="shared" si="4"/>
        <v>201</v>
      </c>
      <c r="B247" s="949">
        <f>+NOMINA!C243</f>
        <v>19372791</v>
      </c>
      <c r="C247" s="949" t="str">
        <f>+NOMINA!D243</f>
        <v>Reveron Araujo Andreina Oscarelis</v>
      </c>
      <c r="D247" s="949" t="str">
        <f>+NOMINA!O243</f>
        <v>Guia de Centro I</v>
      </c>
      <c r="E247" s="952">
        <f>+NOMINA!H243</f>
        <v>45627</v>
      </c>
      <c r="F247" s="953">
        <f>+NOMINA!BN243</f>
        <v>5.44</v>
      </c>
      <c r="G247" s="608"/>
      <c r="H247" s="609"/>
      <c r="I247" s="609"/>
      <c r="J247" s="609"/>
      <c r="K247" s="609"/>
    </row>
    <row r="248" spans="1:11" ht="15.75" customHeight="1">
      <c r="A248" s="951">
        <f t="shared" si="4"/>
        <v>202</v>
      </c>
      <c r="B248" s="949">
        <f>+NOMINA!C244</f>
        <v>19610534</v>
      </c>
      <c r="C248" s="949" t="str">
        <f>+NOMINA!D244</f>
        <v>Santos Saavedra Greosmar Johan</v>
      </c>
      <c r="D248" s="949" t="str">
        <f>+NOMINA!O244</f>
        <v>Guia de Centro I</v>
      </c>
      <c r="E248" s="952">
        <f>+NOMINA!H244</f>
        <v>44713</v>
      </c>
      <c r="F248" s="953">
        <f>+NOMINA!BN244</f>
        <v>5.28</v>
      </c>
      <c r="G248" s="608"/>
      <c r="H248" s="609"/>
      <c r="I248" s="609"/>
      <c r="J248" s="609"/>
      <c r="K248" s="609"/>
    </row>
    <row r="249" spans="1:11" ht="15.75" customHeight="1">
      <c r="A249" s="951">
        <f t="shared" si="4"/>
        <v>203</v>
      </c>
      <c r="B249" s="949">
        <f>+NOMINA!C245</f>
        <v>19610565</v>
      </c>
      <c r="C249" s="949" t="str">
        <f>+NOMINA!D245</f>
        <v>Uzcategui Uzcategui Saray Cristina</v>
      </c>
      <c r="D249" s="949" t="str">
        <f>+NOMINA!O245</f>
        <v>Guia de Centro I</v>
      </c>
      <c r="E249" s="952">
        <f>+NOMINA!H245</f>
        <v>44713</v>
      </c>
      <c r="F249" s="953">
        <f>+NOMINA!BN245</f>
        <v>5.7</v>
      </c>
      <c r="G249" s="608"/>
      <c r="H249" s="609"/>
      <c r="I249" s="609"/>
      <c r="J249" s="609"/>
      <c r="K249" s="609"/>
    </row>
    <row r="250" spans="1:11" ht="15.75" customHeight="1">
      <c r="A250" s="951">
        <f t="shared" si="4"/>
        <v>204</v>
      </c>
      <c r="B250" s="949">
        <f>+NOMINA!C246</f>
        <v>19643405</v>
      </c>
      <c r="C250" s="949" t="str">
        <f>+NOMINA!D246</f>
        <v>Valero Mejia Aleidy Rosana</v>
      </c>
      <c r="D250" s="949" t="str">
        <f>+NOMINA!O246</f>
        <v>Guia de Centro II</v>
      </c>
      <c r="E250" s="952">
        <f>+NOMINA!H246</f>
        <v>43221</v>
      </c>
      <c r="F250" s="953">
        <f>+NOMINA!BN246</f>
        <v>5.88</v>
      </c>
      <c r="G250" s="608"/>
      <c r="H250" s="609"/>
      <c r="I250" s="609"/>
      <c r="J250" s="609"/>
      <c r="K250" s="609"/>
    </row>
    <row r="251" spans="1:11" ht="15.75" customHeight="1">
      <c r="A251" s="951">
        <f t="shared" si="4"/>
        <v>205</v>
      </c>
      <c r="B251" s="949">
        <f>+NOMINA!C247</f>
        <v>19643806</v>
      </c>
      <c r="C251" s="949" t="str">
        <f>+NOMINA!D247</f>
        <v>Vazquez Hernandez Doris Mercedes</v>
      </c>
      <c r="D251" s="949" t="str">
        <f>+NOMINA!O247</f>
        <v>Asistente Administrativo III</v>
      </c>
      <c r="E251" s="952">
        <f>+NOMINA!H247</f>
        <v>45505</v>
      </c>
      <c r="F251" s="953">
        <f>+NOMINA!BN247</f>
        <v>4.34</v>
      </c>
      <c r="G251" s="608"/>
      <c r="H251" s="609"/>
      <c r="I251" s="609"/>
      <c r="J251" s="609"/>
      <c r="K251" s="609"/>
    </row>
    <row r="252" spans="1:11" ht="15.75" customHeight="1">
      <c r="A252" s="951">
        <f t="shared" si="4"/>
        <v>206</v>
      </c>
      <c r="B252" s="949">
        <f>+NOMINA!C248</f>
        <v>19644743</v>
      </c>
      <c r="C252" s="949" t="str">
        <f>+NOMINA!D248</f>
        <v>Villa Daniela Carolina</v>
      </c>
      <c r="D252" s="949" t="str">
        <f>+NOMINA!O248</f>
        <v>Analista de Procesamiento de Datos II</v>
      </c>
      <c r="E252" s="952">
        <f>+NOMINA!H248</f>
        <v>43967</v>
      </c>
      <c r="F252" s="953">
        <f>+NOMINA!BN248</f>
        <v>5.54</v>
      </c>
      <c r="G252" s="608"/>
      <c r="H252" s="609"/>
      <c r="I252" s="609"/>
      <c r="J252" s="609"/>
      <c r="K252" s="609"/>
    </row>
    <row r="253" spans="1:11" ht="15.75" customHeight="1">
      <c r="A253" s="951">
        <f t="shared" si="4"/>
        <v>207</v>
      </c>
      <c r="B253" s="949">
        <f>+NOMINA!C249</f>
        <v>19644756</v>
      </c>
      <c r="C253" s="949" t="str">
        <f>+NOMINA!D249</f>
        <v>Mejia Aldana Norbelys Carolina</v>
      </c>
      <c r="D253" s="949" t="str">
        <f>+NOMINA!O249</f>
        <v>Economa II</v>
      </c>
      <c r="E253" s="952">
        <f>+NOMINA!H249</f>
        <v>44470</v>
      </c>
      <c r="F253" s="953">
        <f>+NOMINA!BN249</f>
        <v>3.1</v>
      </c>
      <c r="G253" s="608"/>
      <c r="H253" s="609"/>
      <c r="I253" s="609"/>
      <c r="J253" s="609"/>
      <c r="K253" s="609"/>
    </row>
    <row r="254" spans="1:11" ht="15.75" customHeight="1">
      <c r="A254" s="951">
        <f t="shared" si="4"/>
        <v>208</v>
      </c>
      <c r="B254" s="949">
        <f>+NOMINA!C250</f>
        <v>19794217</v>
      </c>
      <c r="C254" s="949" t="str">
        <f>+NOMINA!D250</f>
        <v>Suarez Leal Betzabeth Daimar</v>
      </c>
      <c r="D254" s="949" t="str">
        <f>+NOMINA!O250</f>
        <v>Guia de Centro I</v>
      </c>
      <c r="E254" s="952">
        <f>+NOMINA!H250</f>
        <v>44683</v>
      </c>
      <c r="F254" s="953">
        <f>+NOMINA!BN250</f>
        <v>5.28</v>
      </c>
      <c r="G254" s="608"/>
      <c r="H254" s="609"/>
      <c r="I254" s="609"/>
      <c r="J254" s="609"/>
      <c r="K254" s="609"/>
    </row>
    <row r="255" spans="1:11" ht="15.75" customHeight="1">
      <c r="A255" s="951">
        <f t="shared" si="4"/>
        <v>209</v>
      </c>
      <c r="B255" s="949">
        <f>+NOMINA!C251</f>
        <v>20038162</v>
      </c>
      <c r="C255" s="949" t="str">
        <f>+NOMINA!D251</f>
        <v>Jerez Rangel Gleidy Andreina</v>
      </c>
      <c r="D255" s="949" t="str">
        <f>+NOMINA!O251</f>
        <v>Guia de Centro I</v>
      </c>
      <c r="E255" s="952">
        <f>+NOMINA!H251</f>
        <v>45597</v>
      </c>
      <c r="F255" s="953">
        <f>+NOMINA!BN251</f>
        <v>5.64</v>
      </c>
      <c r="G255" s="608"/>
      <c r="H255" s="609"/>
      <c r="I255" s="609"/>
      <c r="J255" s="609"/>
      <c r="K255" s="609"/>
    </row>
    <row r="256" spans="1:11" ht="15.75" customHeight="1">
      <c r="A256" s="951">
        <f t="shared" si="4"/>
        <v>210</v>
      </c>
      <c r="B256" s="949">
        <f>+NOMINA!C252</f>
        <v>20655363</v>
      </c>
      <c r="C256" s="949" t="str">
        <f>+NOMINA!D252</f>
        <v>Sarache Ramirez Maryelis Stefani</v>
      </c>
      <c r="D256" s="949" t="str">
        <f>+NOMINA!O252</f>
        <v>Guia de Centro I</v>
      </c>
      <c r="E256" s="952">
        <f>+NOMINA!H252</f>
        <v>45323</v>
      </c>
      <c r="F256" s="953">
        <f>+NOMINA!BN252</f>
        <v>5.64</v>
      </c>
      <c r="G256" s="608"/>
      <c r="H256" s="609"/>
      <c r="I256" s="609"/>
      <c r="J256" s="609"/>
      <c r="K256" s="609"/>
    </row>
    <row r="257" spans="1:11" ht="15.75" customHeight="1">
      <c r="A257" s="951">
        <f t="shared" si="4"/>
        <v>211</v>
      </c>
      <c r="B257" s="949">
        <f>+NOMINA!C253</f>
        <v>20401711</v>
      </c>
      <c r="C257" s="949" t="str">
        <f>+NOMINA!D253</f>
        <v>Mendez Giro Maryely Roxana</v>
      </c>
      <c r="D257" s="949" t="str">
        <f>+NOMINA!O253</f>
        <v>Guia de Centro II</v>
      </c>
      <c r="E257" s="952">
        <f>+NOMINA!H253</f>
        <v>44363</v>
      </c>
      <c r="F257" s="953">
        <f>+NOMINA!BN253</f>
        <v>6.01</v>
      </c>
      <c r="G257" s="608"/>
      <c r="H257" s="609"/>
      <c r="I257" s="609"/>
      <c r="J257" s="609"/>
      <c r="K257" s="609"/>
    </row>
    <row r="258" spans="1:11" ht="15.75" customHeight="1">
      <c r="A258" s="951">
        <f t="shared" si="4"/>
        <v>212</v>
      </c>
      <c r="B258" s="949">
        <f>+NOMINA!C254</f>
        <v>20428039</v>
      </c>
      <c r="C258" s="949" t="str">
        <f>+NOMINA!D254</f>
        <v>Manzanilla Juan Roberto Antonio</v>
      </c>
      <c r="D258" s="949" t="str">
        <f>+NOMINA!O254</f>
        <v>Guia de Centro I</v>
      </c>
      <c r="E258" s="952">
        <f>+NOMINA!H254</f>
        <v>45566</v>
      </c>
      <c r="F258" s="953">
        <f>+NOMINA!BN254</f>
        <v>3.71</v>
      </c>
      <c r="G258" s="608"/>
      <c r="H258" s="609"/>
      <c r="I258" s="609"/>
      <c r="J258" s="609"/>
      <c r="K258" s="609"/>
    </row>
    <row r="259" spans="1:11" ht="15.75" customHeight="1">
      <c r="A259" s="951">
        <f t="shared" si="4"/>
        <v>213</v>
      </c>
      <c r="B259" s="949">
        <f>+NOMINA!C255</f>
        <v>20430884</v>
      </c>
      <c r="C259" s="949" t="str">
        <f>+NOMINA!D255</f>
        <v>Ruiz Olmos Diana Carolina</v>
      </c>
      <c r="D259" s="949" t="str">
        <f>+NOMINA!O255</f>
        <v>Guia de Centro I</v>
      </c>
      <c r="E259" s="952">
        <f>+NOMINA!H255</f>
        <v>45292</v>
      </c>
      <c r="F259" s="953">
        <f>+NOMINA!BN255</f>
        <v>5.05</v>
      </c>
      <c r="G259" s="608"/>
      <c r="H259" s="609"/>
      <c r="I259" s="609"/>
      <c r="J259" s="609"/>
      <c r="K259" s="609"/>
    </row>
    <row r="260" spans="1:11" ht="15.75" customHeight="1">
      <c r="A260" s="951">
        <f t="shared" si="4"/>
        <v>214</v>
      </c>
      <c r="B260" s="949">
        <f>+NOMINA!C256</f>
        <v>20603227</v>
      </c>
      <c r="C260" s="949" t="str">
        <f>+NOMINA!D256</f>
        <v>Morillo Garces Yeniree Lourdes</v>
      </c>
      <c r="D260" s="949" t="str">
        <f>+NOMINA!O256</f>
        <v>Tecnico Superior en Trabajo Social II</v>
      </c>
      <c r="E260" s="952">
        <f>+NOMINA!H256</f>
        <v>44470</v>
      </c>
      <c r="F260" s="953">
        <f>+NOMINA!BN256</f>
        <v>4.57</v>
      </c>
      <c r="G260" s="608"/>
      <c r="H260" s="609"/>
      <c r="I260" s="609"/>
      <c r="J260" s="609"/>
      <c r="K260" s="609"/>
    </row>
    <row r="261" spans="1:11" ht="15.75" customHeight="1">
      <c r="A261" s="951">
        <f t="shared" si="4"/>
        <v>215</v>
      </c>
      <c r="B261" s="949">
        <f>+NOMINA!C257</f>
        <v>20707490</v>
      </c>
      <c r="C261" s="949" t="str">
        <f>+NOMINA!D257</f>
        <v>Saavedra Valera Keila Andreina</v>
      </c>
      <c r="D261" s="949" t="str">
        <f>+NOMINA!O257</f>
        <v>Tutor Facilitador III</v>
      </c>
      <c r="E261" s="952">
        <f>+NOMINA!H257</f>
        <v>42751</v>
      </c>
      <c r="F261" s="953">
        <f>+NOMINA!BN257</f>
        <v>4.58</v>
      </c>
      <c r="G261" s="608"/>
      <c r="H261" s="609"/>
      <c r="I261" s="609"/>
      <c r="J261" s="609"/>
      <c r="K261" s="609"/>
    </row>
    <row r="262" spans="1:11" ht="15.75" customHeight="1">
      <c r="A262" s="951">
        <f t="shared" si="4"/>
        <v>216</v>
      </c>
      <c r="B262" s="949">
        <f>+NOMINA!C258</f>
        <v>20789286</v>
      </c>
      <c r="C262" s="949" t="str">
        <f>+NOMINA!D258</f>
        <v xml:space="preserve">Viloria Jessica del Carmen </v>
      </c>
      <c r="D262" s="949" t="str">
        <f>+NOMINA!O258</f>
        <v>Asistente Administrativo IV</v>
      </c>
      <c r="E262" s="952">
        <f>+NOMINA!H258</f>
        <v>44713</v>
      </c>
      <c r="F262" s="953">
        <f>+NOMINA!BN258</f>
        <v>4.92</v>
      </c>
      <c r="G262" s="608"/>
      <c r="H262" s="609"/>
      <c r="I262" s="609"/>
      <c r="J262" s="609"/>
      <c r="K262" s="609"/>
    </row>
    <row r="263" spans="1:11" ht="15.75" customHeight="1">
      <c r="A263" s="951">
        <f t="shared" si="4"/>
        <v>217</v>
      </c>
      <c r="B263" s="949">
        <f>+NOMINA!C259</f>
        <v>20790947</v>
      </c>
      <c r="C263" s="949" t="str">
        <f>+NOMINA!D259</f>
        <v>Urbina Cuellar Tannessy Lenery</v>
      </c>
      <c r="D263" s="949" t="str">
        <f>+NOMINA!O259</f>
        <v>Asistente Administrativo IV</v>
      </c>
      <c r="E263" s="952">
        <f>+NOMINA!H259</f>
        <v>43967</v>
      </c>
      <c r="F263" s="953">
        <f>+NOMINA!BN259</f>
        <v>0</v>
      </c>
      <c r="G263" s="608"/>
      <c r="H263" s="609"/>
      <c r="I263" s="609"/>
      <c r="J263" s="609"/>
      <c r="K263" s="609"/>
    </row>
    <row r="264" spans="1:11" ht="15.75" customHeight="1">
      <c r="A264" s="951">
        <f t="shared" si="4"/>
        <v>218</v>
      </c>
      <c r="B264" s="949">
        <f>+NOMINA!C260</f>
        <v>21061126</v>
      </c>
      <c r="C264" s="949" t="str">
        <f>+NOMINA!D260</f>
        <v>Olivar Nava Robinson de Jesus</v>
      </c>
      <c r="D264" s="949" t="str">
        <f>+NOMINA!O260</f>
        <v>Guia de Centro I</v>
      </c>
      <c r="E264" s="952">
        <f>+NOMINA!H260</f>
        <v>45047</v>
      </c>
      <c r="F264" s="953">
        <f>+NOMINA!BN260</f>
        <v>5.26</v>
      </c>
      <c r="G264" s="608"/>
      <c r="H264" s="609"/>
      <c r="I264" s="609"/>
      <c r="J264" s="609"/>
      <c r="K264" s="609"/>
    </row>
    <row r="265" spans="1:11" ht="15.75" customHeight="1">
      <c r="A265" s="951">
        <f t="shared" si="4"/>
        <v>219</v>
      </c>
      <c r="B265" s="949">
        <f>+NOMINA!C261</f>
        <v>21061789</v>
      </c>
      <c r="C265" s="949" t="str">
        <f>+NOMINA!D261</f>
        <v xml:space="preserve">Suarez Briceño Daiver Jose </v>
      </c>
      <c r="D265" s="949" t="str">
        <f>+NOMINA!O261</f>
        <v>Abogado I</v>
      </c>
      <c r="E265" s="952">
        <f>+NOMINA!H261</f>
        <v>44713</v>
      </c>
      <c r="F265" s="953">
        <f>+NOMINA!BN261</f>
        <v>4.76</v>
      </c>
      <c r="G265" s="608"/>
      <c r="H265" s="609"/>
      <c r="I265" s="609"/>
      <c r="J265" s="609"/>
      <c r="K265" s="609"/>
    </row>
    <row r="266" spans="1:11" ht="15.75" customHeight="1">
      <c r="A266" s="951">
        <f t="shared" si="4"/>
        <v>220</v>
      </c>
      <c r="B266" s="949">
        <f>+NOMINA!C262</f>
        <v>21365212</v>
      </c>
      <c r="C266" s="949" t="str">
        <f>+NOMINA!D262</f>
        <v>Manzanilla Gonzalez Landkler Josue</v>
      </c>
      <c r="D266" s="949" t="str">
        <f>+NOMINA!O262</f>
        <v>Asistente Administrativo II</v>
      </c>
      <c r="E266" s="952">
        <f>+NOMINA!H262</f>
        <v>44317</v>
      </c>
      <c r="F266" s="953">
        <f>+NOMINA!BN262</f>
        <v>2.85</v>
      </c>
      <c r="G266" s="608"/>
      <c r="H266" s="609"/>
      <c r="I266" s="609"/>
      <c r="J266" s="609"/>
      <c r="K266" s="609"/>
    </row>
    <row r="267" spans="1:11" ht="15.75" customHeight="1">
      <c r="A267" s="951">
        <f t="shared" si="4"/>
        <v>221</v>
      </c>
      <c r="B267" s="949">
        <f>+NOMINA!C263</f>
        <v>21592108</v>
      </c>
      <c r="C267" s="949" t="str">
        <f>+NOMINA!D263</f>
        <v>Coy Andara Darlin Gabriela</v>
      </c>
      <c r="D267" s="949" t="str">
        <f>+NOMINA!O263</f>
        <v>PLANIFICADOR I</v>
      </c>
      <c r="E267" s="952">
        <f>+NOMINA!H263</f>
        <v>43024</v>
      </c>
      <c r="F267" s="953">
        <f>+NOMINA!BN263</f>
        <v>0</v>
      </c>
      <c r="G267" s="608"/>
      <c r="H267" s="609"/>
      <c r="I267" s="609"/>
      <c r="J267" s="609"/>
      <c r="K267" s="609"/>
    </row>
    <row r="268" spans="1:11" ht="15.75" customHeight="1">
      <c r="A268" s="951">
        <f t="shared" si="4"/>
        <v>222</v>
      </c>
      <c r="B268" s="949">
        <f>+NOMINA!C264</f>
        <v>22622493</v>
      </c>
      <c r="C268" s="949" t="str">
        <f>+NOMINA!D264</f>
        <v xml:space="preserve">Barrios Olivar Geraldine Katiusca </v>
      </c>
      <c r="D268" s="949" t="str">
        <f>+NOMINA!O264</f>
        <v>Guia de Centro I</v>
      </c>
      <c r="E268" s="952">
        <f>+NOMINA!H264</f>
        <v>44363</v>
      </c>
      <c r="F268" s="953">
        <f>+NOMINA!BN264</f>
        <v>4.0199999999999996</v>
      </c>
      <c r="G268" s="608"/>
      <c r="H268" s="609"/>
      <c r="I268" s="609"/>
      <c r="J268" s="609"/>
      <c r="K268" s="609"/>
    </row>
    <row r="269" spans="1:11" ht="15.75" customHeight="1">
      <c r="A269" s="951">
        <f t="shared" si="4"/>
        <v>223</v>
      </c>
      <c r="B269" s="949">
        <f>+NOMINA!C265</f>
        <v>23782360</v>
      </c>
      <c r="C269" s="949" t="str">
        <f>+NOMINA!D265</f>
        <v>Rivera Sandoval Ilva Azucena</v>
      </c>
      <c r="D269" s="949" t="str">
        <f>+NOMINA!O265</f>
        <v>Administrador III</v>
      </c>
      <c r="E269" s="952">
        <f>+NOMINA!H265</f>
        <v>39203</v>
      </c>
      <c r="F269" s="953">
        <f>+NOMINA!BN265</f>
        <v>5.94</v>
      </c>
      <c r="G269" s="608"/>
      <c r="H269" s="609"/>
      <c r="I269" s="609"/>
      <c r="J269" s="609"/>
      <c r="K269" s="609"/>
    </row>
    <row r="270" spans="1:11" ht="15.75" customHeight="1">
      <c r="A270" s="951">
        <f t="shared" si="4"/>
        <v>224</v>
      </c>
      <c r="B270" s="949">
        <f>+NOMINA!C266</f>
        <v>23960738</v>
      </c>
      <c r="C270" s="949" t="str">
        <f>+NOMINA!D266</f>
        <v>Molina Briceño Maria de los Angeles</v>
      </c>
      <c r="D270" s="949" t="str">
        <f>+NOMINA!O266</f>
        <v>Psicologo II</v>
      </c>
      <c r="E270" s="952">
        <f>+NOMINA!H266</f>
        <v>43497</v>
      </c>
      <c r="F270" s="953">
        <f>+NOMINA!BN266</f>
        <v>5.26</v>
      </c>
      <c r="G270" s="608"/>
      <c r="H270" s="609"/>
      <c r="I270" s="609"/>
      <c r="J270" s="609"/>
      <c r="K270" s="609"/>
    </row>
    <row r="271" spans="1:11" ht="15.75" customHeight="1">
      <c r="A271" s="951">
        <f t="shared" si="4"/>
        <v>225</v>
      </c>
      <c r="B271" s="949">
        <f>+NOMINA!C267</f>
        <v>24135378</v>
      </c>
      <c r="C271" s="949" t="str">
        <f>+NOMINA!D267</f>
        <v>Rivas Hurtado Orleidys Betania</v>
      </c>
      <c r="D271" s="949" t="str">
        <f>+NOMINA!O267</f>
        <v>Asistente Administrativo IV</v>
      </c>
      <c r="E271" s="952">
        <f>+NOMINA!H267</f>
        <v>43862</v>
      </c>
      <c r="F271" s="953">
        <f>+NOMINA!BN267</f>
        <v>5.54</v>
      </c>
      <c r="G271" s="608"/>
      <c r="H271" s="609"/>
      <c r="I271" s="609"/>
      <c r="J271" s="609"/>
      <c r="K271" s="609"/>
    </row>
    <row r="272" spans="1:11" ht="15.75" customHeight="1">
      <c r="A272" s="951">
        <f t="shared" si="4"/>
        <v>226</v>
      </c>
      <c r="B272" s="949">
        <f>+NOMINA!C268</f>
        <v>24136795</v>
      </c>
      <c r="C272" s="949" t="str">
        <f>+NOMINA!D268</f>
        <v xml:space="preserve">Viloria Maldonado Gerardo Jesus </v>
      </c>
      <c r="D272" s="949" t="str">
        <f>+NOMINA!O268</f>
        <v>Entrenador Deportivo II</v>
      </c>
      <c r="E272" s="952">
        <f>+NOMINA!H268</f>
        <v>44600</v>
      </c>
      <c r="F272" s="953">
        <f>+NOMINA!BN268</f>
        <v>2.88</v>
      </c>
      <c r="G272" s="608"/>
      <c r="H272" s="609"/>
      <c r="I272" s="609"/>
      <c r="J272" s="609"/>
      <c r="K272" s="609"/>
    </row>
    <row r="273" spans="1:11" ht="15.75" customHeight="1">
      <c r="A273" s="951">
        <f t="shared" si="4"/>
        <v>227</v>
      </c>
      <c r="B273" s="949">
        <f>+NOMINA!C269</f>
        <v>24385729</v>
      </c>
      <c r="C273" s="949" t="str">
        <f>+NOMINA!D269</f>
        <v>Cordova Rivero Liseth Carolina</v>
      </c>
      <c r="D273" s="949" t="str">
        <f>+NOMINA!O269</f>
        <v>Secretario I</v>
      </c>
      <c r="E273" s="952">
        <f>+NOMINA!H269</f>
        <v>45597</v>
      </c>
      <c r="F273" s="953">
        <f>+NOMINA!BN269</f>
        <v>2.74</v>
      </c>
      <c r="G273" s="608"/>
      <c r="H273" s="609"/>
      <c r="I273" s="609"/>
      <c r="J273" s="609"/>
      <c r="K273" s="609"/>
    </row>
    <row r="274" spans="1:11" ht="15.75" customHeight="1">
      <c r="A274" s="951">
        <f t="shared" si="4"/>
        <v>228</v>
      </c>
      <c r="B274" s="949">
        <f>+NOMINA!C270</f>
        <v>23254845</v>
      </c>
      <c r="C274" s="949" t="str">
        <f>+NOMINA!D270</f>
        <v>Castellanos Paredes Luis Gregorio</v>
      </c>
      <c r="D274" s="949" t="str">
        <f>+NOMINA!O270</f>
        <v>Entrenador Deportivo II</v>
      </c>
      <c r="E274" s="952">
        <f>+NOMINA!H270</f>
        <v>44332</v>
      </c>
      <c r="F274" s="953">
        <f>+NOMINA!BN270</f>
        <v>2.85</v>
      </c>
      <c r="G274" s="608"/>
      <c r="H274" s="609"/>
      <c r="I274" s="609"/>
      <c r="J274" s="609"/>
      <c r="K274" s="609"/>
    </row>
    <row r="275" spans="1:11" ht="15.75" customHeight="1">
      <c r="A275" s="951">
        <f t="shared" si="4"/>
        <v>229</v>
      </c>
      <c r="B275" s="949">
        <f>+NOMINA!C271</f>
        <v>23594366</v>
      </c>
      <c r="C275" s="949" t="str">
        <f>+NOMINA!D271</f>
        <v>Quintero Montilla Merly Paula</v>
      </c>
      <c r="D275" s="949" t="str">
        <f>+NOMINA!O271</f>
        <v>Tutor Facilitador I</v>
      </c>
      <c r="E275" s="952">
        <f>+NOMINA!H271</f>
        <v>45413</v>
      </c>
      <c r="F275" s="953">
        <f>+NOMINA!BN271</f>
        <v>4.7</v>
      </c>
      <c r="G275" s="608"/>
      <c r="H275" s="609"/>
      <c r="I275" s="609"/>
      <c r="J275" s="609"/>
      <c r="K275" s="609"/>
    </row>
    <row r="276" spans="1:11" ht="15.75" customHeight="1">
      <c r="A276" s="951">
        <f t="shared" si="4"/>
        <v>230</v>
      </c>
      <c r="B276" s="949">
        <f>+NOMINA!C272</f>
        <v>23775734</v>
      </c>
      <c r="C276" s="949" t="str">
        <f>+NOMINA!D272</f>
        <v>Gonzalez Torres Klerwin Alfonso</v>
      </c>
      <c r="D276" s="949" t="str">
        <f>+NOMINA!O272</f>
        <v>Guia de Centro I</v>
      </c>
      <c r="E276" s="952">
        <f>+NOMINA!H272</f>
        <v>45627</v>
      </c>
      <c r="F276" s="953">
        <f>+NOMINA!BN272</f>
        <v>3.63</v>
      </c>
      <c r="G276" s="608"/>
      <c r="H276" s="609"/>
      <c r="I276" s="609"/>
      <c r="J276" s="609"/>
      <c r="K276" s="609"/>
    </row>
    <row r="277" spans="1:11" ht="15.75" customHeight="1">
      <c r="A277" s="951">
        <f t="shared" si="4"/>
        <v>231</v>
      </c>
      <c r="B277" s="949">
        <f>+NOMINA!C273</f>
        <v>24565372</v>
      </c>
      <c r="C277" s="949" t="str">
        <f>+NOMINA!D273</f>
        <v>Moreno Silva Alfredy Jose</v>
      </c>
      <c r="D277" s="949" t="str">
        <f>+NOMINA!O273</f>
        <v>Asistente de Relaciones Publicas</v>
      </c>
      <c r="E277" s="952">
        <f>+NOMINA!H273</f>
        <v>40360</v>
      </c>
      <c r="F277" s="953">
        <f>+NOMINA!BN273</f>
        <v>0</v>
      </c>
      <c r="G277" s="608"/>
      <c r="H277" s="609"/>
      <c r="I277" s="609"/>
      <c r="J277" s="609"/>
      <c r="K277" s="609"/>
    </row>
    <row r="278" spans="1:11" ht="15.75" customHeight="1">
      <c r="A278" s="951">
        <f t="shared" si="4"/>
        <v>232</v>
      </c>
      <c r="B278" s="949">
        <f>+NOMINA!C274</f>
        <v>25006139</v>
      </c>
      <c r="C278" s="949" t="str">
        <f>+NOMINA!D274</f>
        <v>Ramirez Palomares Carmen Beatriz</v>
      </c>
      <c r="D278" s="949" t="str">
        <f>+NOMINA!O274</f>
        <v>Guia de Centro I</v>
      </c>
      <c r="E278" s="952">
        <f>+NOMINA!H274</f>
        <v>43512</v>
      </c>
      <c r="F278" s="953">
        <f>+NOMINA!BN274</f>
        <v>3.9</v>
      </c>
      <c r="G278" s="608"/>
      <c r="H278" s="609"/>
      <c r="I278" s="609"/>
      <c r="J278" s="609"/>
      <c r="K278" s="609"/>
    </row>
    <row r="279" spans="1:11" ht="15.75" customHeight="1">
      <c r="A279" s="951">
        <f t="shared" si="4"/>
        <v>233</v>
      </c>
      <c r="B279" s="949">
        <f>+NOMINA!C275</f>
        <v>25006878</v>
      </c>
      <c r="C279" s="949" t="str">
        <f>+NOMINA!D275</f>
        <v>Fernandez Garcia Rafael Ramon</v>
      </c>
      <c r="D279" s="949" t="str">
        <f>+NOMINA!O275</f>
        <v>Guia de Centro I</v>
      </c>
      <c r="E279" s="952">
        <f>+NOMINA!H275</f>
        <v>44986</v>
      </c>
      <c r="F279" s="953">
        <f>+NOMINA!BN275</f>
        <v>4.25</v>
      </c>
      <c r="G279" s="608"/>
      <c r="H279" s="609"/>
      <c r="I279" s="609"/>
      <c r="J279" s="609"/>
      <c r="K279" s="609"/>
    </row>
    <row r="280" spans="1:11" ht="15.75" customHeight="1">
      <c r="A280" s="951">
        <f t="shared" si="4"/>
        <v>234</v>
      </c>
      <c r="B280" s="949">
        <f>+NOMINA!C276</f>
        <v>25096069</v>
      </c>
      <c r="C280" s="949" t="str">
        <f>+NOMINA!D276</f>
        <v>Coello Diaz Yormileidys del Carmen</v>
      </c>
      <c r="D280" s="949" t="str">
        <f>+NOMINA!O276</f>
        <v>Guia de Centro I</v>
      </c>
      <c r="E280" s="952">
        <f>+NOMINA!H276</f>
        <v>44599</v>
      </c>
      <c r="F280" s="953">
        <f>+NOMINA!BN276</f>
        <v>5.5</v>
      </c>
      <c r="G280" s="608"/>
      <c r="H280" s="609"/>
      <c r="I280" s="609"/>
      <c r="J280" s="609"/>
      <c r="K280" s="609"/>
    </row>
    <row r="281" spans="1:11" ht="15.75" customHeight="1">
      <c r="A281" s="951">
        <f t="shared" si="4"/>
        <v>235</v>
      </c>
      <c r="B281" s="949">
        <f>+NOMINA!C277</f>
        <v>25173139</v>
      </c>
      <c r="C281" s="949" t="str">
        <f>+NOMINA!D277</f>
        <v>Viloria Albornoz Arelis Andreina</v>
      </c>
      <c r="D281" s="949" t="str">
        <f>+NOMINA!O277</f>
        <v>PLANIFICADOR I</v>
      </c>
      <c r="E281" s="952">
        <f>+NOMINA!H277</f>
        <v>45536</v>
      </c>
      <c r="F281" s="953">
        <f>+NOMINA!BN277</f>
        <v>4.8600000000000003</v>
      </c>
      <c r="G281" s="608"/>
      <c r="H281" s="609"/>
      <c r="I281" s="609"/>
      <c r="J281" s="609"/>
      <c r="K281" s="609"/>
    </row>
    <row r="282" spans="1:11" ht="15.75" customHeight="1">
      <c r="A282" s="951">
        <f t="shared" si="4"/>
        <v>236</v>
      </c>
      <c r="B282" s="949">
        <f>+NOMINA!C278</f>
        <v>25173983</v>
      </c>
      <c r="C282" s="949" t="str">
        <f>+NOMINA!D278</f>
        <v>Guanda Barazarte Roxely Andreina</v>
      </c>
      <c r="D282" s="949" t="str">
        <f>+NOMINA!O278</f>
        <v>Guia de Centro I</v>
      </c>
      <c r="E282" s="952">
        <f>+NOMINA!H278</f>
        <v>44363</v>
      </c>
      <c r="F282" s="953">
        <f>+NOMINA!BN278</f>
        <v>3.86</v>
      </c>
      <c r="G282" s="608"/>
      <c r="H282" s="609"/>
      <c r="I282" s="609"/>
      <c r="J282" s="609"/>
      <c r="K282" s="609"/>
    </row>
    <row r="283" spans="1:11" ht="15.75" customHeight="1">
      <c r="A283" s="951">
        <f t="shared" si="4"/>
        <v>237</v>
      </c>
      <c r="B283" s="949">
        <f>+NOMINA!C279</f>
        <v>25303390</v>
      </c>
      <c r="C283" s="949" t="str">
        <f>+NOMINA!D279</f>
        <v>Graterol Castillo Yoselyn Zunedy</v>
      </c>
      <c r="D283" s="949" t="str">
        <f>+NOMINA!O279</f>
        <v>Guia de Centro I</v>
      </c>
      <c r="E283" s="952">
        <f>+NOMINA!H279</f>
        <v>43862</v>
      </c>
      <c r="F283" s="953">
        <f>+NOMINA!BN279</f>
        <v>4.04</v>
      </c>
      <c r="G283" s="608"/>
      <c r="H283" s="609"/>
      <c r="I283" s="609"/>
      <c r="J283" s="609"/>
      <c r="K283" s="609"/>
    </row>
    <row r="284" spans="1:11" ht="15.75" customHeight="1">
      <c r="A284" s="951">
        <f t="shared" si="4"/>
        <v>238</v>
      </c>
      <c r="B284" s="949">
        <f>+NOMINA!C280</f>
        <v>25454143</v>
      </c>
      <c r="C284" s="949" t="str">
        <f>+NOMINA!D280</f>
        <v>Briceño Ana Beatriz</v>
      </c>
      <c r="D284" s="949" t="str">
        <f>+NOMINA!O280</f>
        <v>Guia de Centro I</v>
      </c>
      <c r="E284" s="952">
        <f>+NOMINA!H280</f>
        <v>45536</v>
      </c>
      <c r="F284" s="953">
        <f>+NOMINA!BN280</f>
        <v>3.54</v>
      </c>
      <c r="G284" s="608"/>
      <c r="H284" s="609"/>
      <c r="I284" s="609"/>
      <c r="J284" s="609"/>
      <c r="K284" s="609"/>
    </row>
    <row r="285" spans="1:11" ht="15.75" customHeight="1">
      <c r="A285" s="951">
        <f t="shared" si="4"/>
        <v>239</v>
      </c>
      <c r="B285" s="949">
        <f>+NOMINA!C281</f>
        <v>25604733</v>
      </c>
      <c r="C285" s="949" t="str">
        <f>+NOMINA!D281</f>
        <v>Nava Carrillo Oriana Daniela</v>
      </c>
      <c r="D285" s="949" t="str">
        <f>+NOMINA!O281</f>
        <v>Entrenador Deportivo II</v>
      </c>
      <c r="E285" s="952">
        <f>+NOMINA!H281</f>
        <v>43754</v>
      </c>
      <c r="F285" s="953">
        <f>+NOMINA!BN281</f>
        <v>2.88</v>
      </c>
      <c r="G285" s="608"/>
      <c r="H285" s="609"/>
      <c r="I285" s="609"/>
      <c r="J285" s="609"/>
      <c r="K285" s="609"/>
    </row>
    <row r="286" spans="1:11" ht="15.75" customHeight="1">
      <c r="A286" s="951">
        <f t="shared" si="4"/>
        <v>240</v>
      </c>
      <c r="B286" s="949">
        <f>+NOMINA!C282</f>
        <v>25619540</v>
      </c>
      <c r="C286" s="949" t="str">
        <f>+NOMINA!D282</f>
        <v xml:space="preserve">Balza Vetencourt Maria Gabriela </v>
      </c>
      <c r="D286" s="949" t="str">
        <f>+NOMINA!O282</f>
        <v>Guia de Centro I</v>
      </c>
      <c r="E286" s="952">
        <f>+NOMINA!H282</f>
        <v>44743</v>
      </c>
      <c r="F286" s="953">
        <f>+NOMINA!BN282</f>
        <v>3.74</v>
      </c>
      <c r="G286" s="608"/>
      <c r="H286" s="609"/>
      <c r="I286" s="609"/>
      <c r="J286" s="609"/>
      <c r="K286" s="609"/>
    </row>
    <row r="287" spans="1:11" ht="15.75" customHeight="1">
      <c r="A287" s="951">
        <f t="shared" si="4"/>
        <v>241</v>
      </c>
      <c r="B287" s="949">
        <f>+NOMINA!C283</f>
        <v>26094609</v>
      </c>
      <c r="C287" s="949" t="str">
        <f>+NOMINA!D283</f>
        <v>Andara Moreno Marielena Nathaly</v>
      </c>
      <c r="D287" s="949" t="str">
        <f>+NOMINA!O283</f>
        <v>Abogado I</v>
      </c>
      <c r="E287" s="952">
        <f>+NOMINA!H283</f>
        <v>44713</v>
      </c>
      <c r="F287" s="953">
        <f>+NOMINA!BN283</f>
        <v>4.76</v>
      </c>
      <c r="G287" s="608"/>
      <c r="H287" s="609"/>
      <c r="I287" s="609"/>
      <c r="J287" s="609"/>
      <c r="K287" s="609"/>
    </row>
    <row r="288" spans="1:11" ht="15.75" customHeight="1">
      <c r="A288" s="951">
        <f t="shared" si="4"/>
        <v>242</v>
      </c>
      <c r="B288" s="949">
        <f>+NOMINA!C284</f>
        <v>26094690</v>
      </c>
      <c r="C288" s="949" t="str">
        <f>+NOMINA!D284</f>
        <v>Fernandez Romero Numa Manuel</v>
      </c>
      <c r="D288" s="949" t="str">
        <f>+NOMINA!O284</f>
        <v>Guia de Centro I</v>
      </c>
      <c r="E288" s="952">
        <f>+NOMINA!H284</f>
        <v>45017</v>
      </c>
      <c r="F288" s="953">
        <f>+NOMINA!BN284</f>
        <v>3.72</v>
      </c>
      <c r="G288" s="608"/>
      <c r="H288" s="609"/>
      <c r="I288" s="609"/>
      <c r="J288" s="609"/>
      <c r="K288" s="609"/>
    </row>
    <row r="289" spans="1:11" ht="15.75" customHeight="1">
      <c r="A289" s="951">
        <f t="shared" si="4"/>
        <v>243</v>
      </c>
      <c r="B289" s="949">
        <f>+NOMINA!C285</f>
        <v>26114271</v>
      </c>
      <c r="C289" s="949" t="str">
        <f>+NOMINA!D285</f>
        <v>Moncayo Perez Ruddy Bellaliz</v>
      </c>
      <c r="D289" s="949" t="str">
        <f>+NOMINA!O285</f>
        <v>Abogado I</v>
      </c>
      <c r="E289" s="952">
        <f>+NOMINA!H285</f>
        <v>44636</v>
      </c>
      <c r="F289" s="953">
        <f>+NOMINA!BN285</f>
        <v>4.76</v>
      </c>
      <c r="G289" s="608"/>
      <c r="H289" s="609"/>
      <c r="I289" s="609"/>
      <c r="J289" s="609"/>
      <c r="K289" s="609"/>
    </row>
    <row r="290" spans="1:11" ht="15.75" customHeight="1">
      <c r="A290" s="951">
        <f t="shared" si="4"/>
        <v>244</v>
      </c>
      <c r="B290" s="949">
        <f>+NOMINA!C286</f>
        <v>26191823</v>
      </c>
      <c r="C290" s="949" t="str">
        <f>+NOMINA!D286</f>
        <v>Briceño Espinoza Brayhan Jose</v>
      </c>
      <c r="D290" s="949" t="str">
        <f>+NOMINA!O286</f>
        <v>Abogado II</v>
      </c>
      <c r="E290" s="952">
        <f>+NOMINA!H286</f>
        <v>44470</v>
      </c>
      <c r="F290" s="953">
        <f>+NOMINA!BN286</f>
        <v>5.19</v>
      </c>
      <c r="G290" s="608"/>
      <c r="H290" s="609"/>
      <c r="I290" s="609"/>
      <c r="J290" s="609"/>
      <c r="K290" s="609"/>
    </row>
    <row r="291" spans="1:11" ht="15.75" customHeight="1">
      <c r="A291" s="951">
        <f t="shared" si="4"/>
        <v>245</v>
      </c>
      <c r="B291" s="949">
        <f>+NOMINA!C287</f>
        <v>26235963</v>
      </c>
      <c r="C291" s="949" t="str">
        <f>+NOMINA!D287</f>
        <v>Segovia Segovia Freylu Margarita</v>
      </c>
      <c r="D291" s="949" t="str">
        <f>+NOMINA!O287</f>
        <v>Psicologo I</v>
      </c>
      <c r="E291" s="952">
        <f>+NOMINA!H287</f>
        <v>45383</v>
      </c>
      <c r="F291" s="953">
        <f>+NOMINA!BN287</f>
        <v>4.8600000000000003</v>
      </c>
      <c r="G291" s="608"/>
      <c r="H291" s="609"/>
      <c r="I291" s="609"/>
      <c r="J291" s="609"/>
      <c r="K291" s="609"/>
    </row>
    <row r="292" spans="1:11" ht="15.75" customHeight="1">
      <c r="A292" s="951">
        <f t="shared" si="4"/>
        <v>246</v>
      </c>
      <c r="B292" s="949">
        <f>+NOMINA!C288</f>
        <v>26413871</v>
      </c>
      <c r="C292" s="949" t="str">
        <f>+NOMINA!D288</f>
        <v>Molina Rojas Genesis Angely</v>
      </c>
      <c r="D292" s="949" t="str">
        <f>+NOMINA!O288</f>
        <v>Guia de Centro I</v>
      </c>
      <c r="E292" s="952">
        <f>+NOMINA!H288</f>
        <v>44228</v>
      </c>
      <c r="F292" s="953">
        <f>+NOMINA!BN288</f>
        <v>4.0199999999999996</v>
      </c>
      <c r="G292" s="608"/>
      <c r="H292" s="609"/>
      <c r="I292" s="609"/>
      <c r="J292" s="609"/>
      <c r="K292" s="609"/>
    </row>
    <row r="293" spans="1:11" ht="15.75" customHeight="1">
      <c r="A293" s="951">
        <f t="shared" si="4"/>
        <v>247</v>
      </c>
      <c r="B293" s="949">
        <f>+NOMINA!C289</f>
        <v>26591879</v>
      </c>
      <c r="C293" s="949" t="str">
        <f>+NOMINA!D289</f>
        <v>Delgado Cabezas Rosa Magdalena</v>
      </c>
      <c r="D293" s="949" t="str">
        <f>+NOMINA!O289</f>
        <v>Psicologo II</v>
      </c>
      <c r="E293" s="952">
        <f>+NOMINA!H289</f>
        <v>43587</v>
      </c>
      <c r="F293" s="953">
        <f>+NOMINA!BN289</f>
        <v>5.42</v>
      </c>
      <c r="G293" s="608"/>
      <c r="H293" s="609"/>
      <c r="I293" s="609"/>
      <c r="J293" s="609"/>
      <c r="K293" s="609"/>
    </row>
    <row r="294" spans="1:11" ht="15.75" customHeight="1">
      <c r="A294" s="951">
        <f t="shared" si="4"/>
        <v>248</v>
      </c>
      <c r="B294" s="949">
        <f>+NOMINA!C290</f>
        <v>26690908</v>
      </c>
      <c r="C294" s="949" t="str">
        <f>+NOMINA!D290</f>
        <v>Segovia Lisbeira del Carmen</v>
      </c>
      <c r="D294" s="949" t="str">
        <f>+NOMINA!O290</f>
        <v>Guia de Centro I</v>
      </c>
      <c r="E294" s="952">
        <f>+NOMINA!H290</f>
        <v>44228</v>
      </c>
      <c r="F294" s="953">
        <f>+NOMINA!BN290</f>
        <v>3.86</v>
      </c>
      <c r="G294" s="608"/>
      <c r="H294" s="609"/>
      <c r="I294" s="609"/>
      <c r="J294" s="609"/>
      <c r="K294" s="609"/>
    </row>
    <row r="295" spans="1:11" ht="15.75" customHeight="1">
      <c r="A295" s="951">
        <f t="shared" si="4"/>
        <v>249</v>
      </c>
      <c r="B295" s="949">
        <f>+NOMINA!C291</f>
        <v>26962104</v>
      </c>
      <c r="C295" s="949" t="str">
        <f>+NOMINA!D291</f>
        <v>Rubio Briceño Diana Carolina</v>
      </c>
      <c r="D295" s="949" t="str">
        <f>+NOMINA!O291</f>
        <v>Asistente Administrativo II</v>
      </c>
      <c r="E295" s="952">
        <f>+NOMINA!H291</f>
        <v>44393</v>
      </c>
      <c r="F295" s="953">
        <f>+NOMINA!BN291</f>
        <v>2.97</v>
      </c>
      <c r="G295" s="608"/>
      <c r="H295" s="609"/>
      <c r="I295" s="609"/>
      <c r="J295" s="609"/>
      <c r="K295" s="609"/>
    </row>
    <row r="296" spans="1:11" ht="15.75" customHeight="1">
      <c r="A296" s="951">
        <f t="shared" si="4"/>
        <v>250</v>
      </c>
      <c r="B296" s="949">
        <f>+NOMINA!C292</f>
        <v>27251392</v>
      </c>
      <c r="C296" s="949" t="str">
        <f>+NOMINA!D292</f>
        <v>Rangel Maria Antonia</v>
      </c>
      <c r="D296" s="949" t="str">
        <f>+NOMINA!O292</f>
        <v>Guia de Centro I</v>
      </c>
      <c r="E296" s="952">
        <f>+NOMINA!H292</f>
        <v>45627</v>
      </c>
      <c r="F296" s="953">
        <f>+NOMINA!BN292</f>
        <v>3.54</v>
      </c>
      <c r="G296" s="608"/>
      <c r="H296" s="609"/>
      <c r="I296" s="609"/>
      <c r="J296" s="609"/>
      <c r="K296" s="609"/>
    </row>
    <row r="297" spans="1:11" ht="15.75" customHeight="1">
      <c r="A297" s="951">
        <f t="shared" si="4"/>
        <v>251</v>
      </c>
      <c r="B297" s="949">
        <f>+NOMINA!C293</f>
        <v>27251885</v>
      </c>
      <c r="C297" s="949" t="str">
        <f>+NOMINA!D293</f>
        <v>Barrozo Godoy Kellem Daniela</v>
      </c>
      <c r="D297" s="949" t="str">
        <f>+NOMINA!O293</f>
        <v>Guia de Centro I</v>
      </c>
      <c r="E297" s="952">
        <f>+NOMINA!H293</f>
        <v>45474</v>
      </c>
      <c r="F297" s="953">
        <f>+NOMINA!BN293</f>
        <v>3.54</v>
      </c>
      <c r="G297" s="608"/>
      <c r="H297" s="609"/>
      <c r="I297" s="609"/>
      <c r="J297" s="609"/>
      <c r="K297" s="609"/>
    </row>
    <row r="298" spans="1:11" ht="15.75" customHeight="1">
      <c r="A298" s="951">
        <f t="shared" si="4"/>
        <v>252</v>
      </c>
      <c r="B298" s="949">
        <f>+NOMINA!C294</f>
        <v>27251899</v>
      </c>
      <c r="C298" s="949" t="str">
        <f>+NOMINA!D294</f>
        <v>Perez Gonzalez Maria Ines</v>
      </c>
      <c r="D298" s="949" t="str">
        <f>+NOMINA!O294</f>
        <v>Guia de Centro I</v>
      </c>
      <c r="E298" s="952">
        <f>+NOMINA!H294</f>
        <v>45474</v>
      </c>
      <c r="F298" s="953">
        <f>+NOMINA!BN294</f>
        <v>3.54</v>
      </c>
      <c r="G298" s="608"/>
      <c r="H298" s="609"/>
      <c r="I298" s="609"/>
      <c r="J298" s="609"/>
      <c r="K298" s="609"/>
    </row>
    <row r="299" spans="1:11" ht="15.75" customHeight="1">
      <c r="A299" s="951">
        <f t="shared" si="4"/>
        <v>253</v>
      </c>
      <c r="B299" s="949">
        <f>+NOMINA!C295</f>
        <v>27363633</v>
      </c>
      <c r="C299" s="949" t="str">
        <f>+NOMINA!D295</f>
        <v>Padilla Blanco Melany Marian</v>
      </c>
      <c r="D299" s="949" t="str">
        <f>+NOMINA!O295</f>
        <v>Guia de Centro I</v>
      </c>
      <c r="E299" s="952">
        <f>+NOMINA!H295</f>
        <v>45627</v>
      </c>
      <c r="F299" s="953">
        <f>+NOMINA!BN295</f>
        <v>3.38</v>
      </c>
      <c r="G299" s="608"/>
      <c r="H299" s="609"/>
      <c r="I299" s="609"/>
      <c r="J299" s="609"/>
      <c r="K299" s="609"/>
    </row>
    <row r="300" spans="1:11" ht="15.75" customHeight="1">
      <c r="A300" s="951">
        <f t="shared" si="4"/>
        <v>254</v>
      </c>
      <c r="B300" s="949">
        <f>+NOMINA!C296</f>
        <v>27415737</v>
      </c>
      <c r="C300" s="949" t="str">
        <f>+NOMINA!D296</f>
        <v>Rivas Torres Rosa Alba</v>
      </c>
      <c r="D300" s="949" t="str">
        <f>+NOMINA!O296</f>
        <v>Asistente Administrativo II</v>
      </c>
      <c r="E300" s="952">
        <f>+NOMINA!H296</f>
        <v>44363</v>
      </c>
      <c r="F300" s="953">
        <f>+NOMINA!BN296</f>
        <v>2.97</v>
      </c>
      <c r="G300" s="608"/>
      <c r="H300" s="609"/>
      <c r="I300" s="609"/>
      <c r="J300" s="609"/>
      <c r="K300" s="609"/>
    </row>
    <row r="301" spans="1:11" ht="15.75" customHeight="1">
      <c r="A301" s="951">
        <f t="shared" si="4"/>
        <v>255</v>
      </c>
      <c r="B301" s="949">
        <f>+NOMINA!C297</f>
        <v>27415888</v>
      </c>
      <c r="C301" s="949" t="str">
        <f>+NOMINA!D297</f>
        <v>Perdomo Juarez Jose De Jesus</v>
      </c>
      <c r="D301" s="949" t="str">
        <f>+NOMINA!O297</f>
        <v>Entrenador Deportivo II</v>
      </c>
      <c r="E301" s="952">
        <f>+NOMINA!H297</f>
        <v>44713</v>
      </c>
      <c r="F301" s="953">
        <f>+NOMINA!BN297</f>
        <v>2.88</v>
      </c>
      <c r="G301" s="608"/>
      <c r="H301" s="609"/>
      <c r="I301" s="609"/>
      <c r="J301" s="609"/>
      <c r="K301" s="609"/>
    </row>
    <row r="302" spans="1:11" ht="15.75" customHeight="1">
      <c r="A302" s="951">
        <f t="shared" si="4"/>
        <v>256</v>
      </c>
      <c r="B302" s="949">
        <f>+NOMINA!C298</f>
        <v>27628603</v>
      </c>
      <c r="C302" s="949" t="str">
        <f>+NOMINA!D298</f>
        <v>Mendoza Mendoza Kelasky Kixuy</v>
      </c>
      <c r="D302" s="949" t="str">
        <f>+NOMINA!O298</f>
        <v>Instructor De Formacion Empresarial</v>
      </c>
      <c r="E302" s="952">
        <f>+NOMINA!H298</f>
        <v>45139</v>
      </c>
      <c r="F302" s="953">
        <f>+NOMINA!BN298</f>
        <v>2.74</v>
      </c>
      <c r="G302" s="608"/>
      <c r="H302" s="609"/>
      <c r="I302" s="609"/>
      <c r="J302" s="609"/>
      <c r="K302" s="609"/>
    </row>
    <row r="303" spans="1:11" ht="15.75" customHeight="1">
      <c r="A303" s="951">
        <f t="shared" si="4"/>
        <v>257</v>
      </c>
      <c r="B303" s="949">
        <f>+NOMINA!C299</f>
        <v>27677242</v>
      </c>
      <c r="C303" s="949" t="str">
        <f>+NOMINA!D299</f>
        <v>Ramirez Torres Darwin Jose</v>
      </c>
      <c r="D303" s="949" t="str">
        <f>+NOMINA!O299</f>
        <v>Recreador</v>
      </c>
      <c r="E303" s="952">
        <f>+NOMINA!H299</f>
        <v>45139</v>
      </c>
      <c r="F303" s="953">
        <f>+NOMINA!BN299</f>
        <v>2.61</v>
      </c>
      <c r="G303" s="608"/>
      <c r="H303" s="609"/>
      <c r="I303" s="609"/>
      <c r="J303" s="609"/>
      <c r="K303" s="609"/>
    </row>
    <row r="304" spans="1:11" ht="15.75" customHeight="1">
      <c r="A304" s="951">
        <f t="shared" si="4"/>
        <v>258</v>
      </c>
      <c r="B304" s="949">
        <f>+NOMINA!C300</f>
        <v>27889180</v>
      </c>
      <c r="C304" s="949" t="str">
        <f>+NOMINA!D300</f>
        <v>Moreno Andreina del Valle</v>
      </c>
      <c r="D304" s="949" t="str">
        <f>+NOMINA!O300</f>
        <v>Asistente Administrativo II</v>
      </c>
      <c r="E304" s="952">
        <f>+NOMINA!H300</f>
        <v>44393</v>
      </c>
      <c r="F304" s="953">
        <f>+NOMINA!BN300</f>
        <v>2.97</v>
      </c>
      <c r="G304" s="608"/>
      <c r="H304" s="609"/>
      <c r="I304" s="609"/>
      <c r="J304" s="609"/>
      <c r="K304" s="609"/>
    </row>
    <row r="305" spans="1:11" ht="15.75" customHeight="1">
      <c r="A305" s="951">
        <f t="shared" ref="A305:A313" si="5">+A304+1</f>
        <v>259</v>
      </c>
      <c r="B305" s="949">
        <f>+NOMINA!C301</f>
        <v>28079765</v>
      </c>
      <c r="C305" s="949" t="str">
        <f>+NOMINA!D301</f>
        <v>Mendoza Cardozo Josue Vicensio</v>
      </c>
      <c r="D305" s="949" t="str">
        <f>+NOMINA!O301</f>
        <v>Asistente Administrativo II</v>
      </c>
      <c r="E305" s="952">
        <f>+NOMINA!H301</f>
        <v>44348</v>
      </c>
      <c r="F305" s="953">
        <f>+NOMINA!BN301</f>
        <v>4.2699999999999996</v>
      </c>
      <c r="G305" s="608"/>
      <c r="H305" s="609"/>
      <c r="I305" s="609"/>
      <c r="J305" s="609"/>
      <c r="K305" s="609"/>
    </row>
    <row r="306" spans="1:11" ht="15.75" customHeight="1">
      <c r="A306" s="951">
        <f t="shared" si="5"/>
        <v>260</v>
      </c>
      <c r="B306" s="949">
        <f>+NOMINA!C302</f>
        <v>28096003</v>
      </c>
      <c r="C306" s="949" t="str">
        <f>+NOMINA!D302</f>
        <v>Quintero Peña Maria Alejandra</v>
      </c>
      <c r="D306" s="949" t="str">
        <f>+NOMINA!O302</f>
        <v>Guia de Centro I</v>
      </c>
      <c r="E306" s="952">
        <f>+NOMINA!H302</f>
        <v>44228</v>
      </c>
      <c r="F306" s="953">
        <f>+NOMINA!BN302</f>
        <v>3.7</v>
      </c>
      <c r="G306" s="608"/>
      <c r="H306" s="609"/>
      <c r="I306" s="609"/>
      <c r="J306" s="609"/>
      <c r="K306" s="609"/>
    </row>
    <row r="307" spans="1:11" ht="15.75" customHeight="1">
      <c r="A307" s="951">
        <f t="shared" si="5"/>
        <v>261</v>
      </c>
      <c r="B307" s="949">
        <f>+NOMINA!C303</f>
        <v>28096576</v>
      </c>
      <c r="C307" s="949" t="str">
        <f>+NOMINA!D303</f>
        <v>Gutierrez Betania Belsally</v>
      </c>
      <c r="D307" s="949" t="str">
        <f>+NOMINA!O303</f>
        <v>Asistente Administrativo I</v>
      </c>
      <c r="E307" s="952">
        <f>+NOMINA!H303</f>
        <v>45017</v>
      </c>
      <c r="F307" s="953">
        <f>+NOMINA!BN303</f>
        <v>2.86</v>
      </c>
      <c r="G307" s="608"/>
      <c r="H307" s="609"/>
      <c r="I307" s="609"/>
      <c r="J307" s="609"/>
      <c r="K307" s="609"/>
    </row>
    <row r="308" spans="1:11" ht="15.75" customHeight="1">
      <c r="A308" s="951">
        <f t="shared" si="5"/>
        <v>262</v>
      </c>
      <c r="B308" s="949">
        <f>+NOMINA!C304</f>
        <v>28445465</v>
      </c>
      <c r="C308" s="949" t="str">
        <f>+NOMINA!D304</f>
        <v>Castillo Carrizo Katherine Cecilia</v>
      </c>
      <c r="D308" s="949" t="str">
        <f>+NOMINA!O304</f>
        <v>Asistente Administrativo II</v>
      </c>
      <c r="E308" s="952">
        <f>+NOMINA!H304</f>
        <v>43770</v>
      </c>
      <c r="F308" s="953">
        <f>+NOMINA!BN304</f>
        <v>2.88</v>
      </c>
      <c r="G308" s="608"/>
      <c r="H308" s="609"/>
      <c r="I308" s="609"/>
      <c r="J308" s="609"/>
      <c r="K308" s="609"/>
    </row>
    <row r="309" spans="1:11" ht="15.75" customHeight="1">
      <c r="A309" s="951">
        <f t="shared" si="5"/>
        <v>263</v>
      </c>
      <c r="B309" s="949">
        <f>+NOMINA!C305</f>
        <v>29585477</v>
      </c>
      <c r="C309" s="949" t="str">
        <f>+NOMINA!D305</f>
        <v>Gil Ruiz Marianyeli Sarait</v>
      </c>
      <c r="D309" s="949" t="str">
        <f>+NOMINA!O305</f>
        <v>Entrenador Deportivo II</v>
      </c>
      <c r="E309" s="952">
        <f>+NOMINA!H305</f>
        <v>43512</v>
      </c>
      <c r="F309" s="953">
        <f>+NOMINA!BN305</f>
        <v>3</v>
      </c>
      <c r="G309" s="608"/>
      <c r="H309" s="609"/>
      <c r="I309" s="609"/>
      <c r="J309" s="609"/>
      <c r="K309" s="609"/>
    </row>
    <row r="310" spans="1:11" ht="15.75" customHeight="1">
      <c r="A310" s="951">
        <f t="shared" si="5"/>
        <v>264</v>
      </c>
      <c r="B310" s="949">
        <f>+NOMINA!C306</f>
        <v>29916508</v>
      </c>
      <c r="C310" s="949" t="str">
        <f>+NOMINA!D306</f>
        <v>Zambrano Briceño Elio Jesus</v>
      </c>
      <c r="D310" s="949" t="str">
        <f>+NOMINA!O306</f>
        <v>Guia de Centro I</v>
      </c>
      <c r="E310" s="952">
        <f>+NOMINA!H306</f>
        <v>44378</v>
      </c>
      <c r="F310" s="953">
        <f>+NOMINA!BN306</f>
        <v>3.7</v>
      </c>
      <c r="G310" s="608"/>
      <c r="H310" s="609"/>
      <c r="I310" s="609"/>
      <c r="J310" s="609"/>
      <c r="K310" s="609"/>
    </row>
    <row r="311" spans="1:11" ht="15.75" customHeight="1">
      <c r="A311" s="951">
        <f t="shared" si="5"/>
        <v>265</v>
      </c>
      <c r="B311" s="949">
        <f>+NOMINA!C307</f>
        <v>30190238</v>
      </c>
      <c r="C311" s="949" t="str">
        <f>+NOMINA!D307</f>
        <v>Mendoza Osuna Zaida Liseth</v>
      </c>
      <c r="D311" s="949" t="str">
        <f>+NOMINA!O307</f>
        <v>Guia de Centro I</v>
      </c>
      <c r="E311" s="952">
        <f>+NOMINA!H307</f>
        <v>45200</v>
      </c>
      <c r="F311" s="953">
        <f>+NOMINA!BN307</f>
        <v>3.4</v>
      </c>
      <c r="G311" s="608"/>
      <c r="H311" s="609"/>
      <c r="I311" s="609"/>
      <c r="J311" s="609"/>
      <c r="K311" s="609"/>
    </row>
    <row r="312" spans="1:11" ht="15.75" customHeight="1">
      <c r="A312" s="951">
        <f t="shared" si="5"/>
        <v>266</v>
      </c>
      <c r="B312" s="949">
        <f>+NOMINA!C308</f>
        <v>30438508</v>
      </c>
      <c r="C312" s="949" t="str">
        <f>+NOMINA!D308</f>
        <v xml:space="preserve">Teran Araujo Marihangeli Nicoll </v>
      </c>
      <c r="D312" s="949" t="str">
        <f>+NOMINA!O308</f>
        <v>Asistente Administrativo II</v>
      </c>
      <c r="E312" s="952">
        <f>+NOMINA!H308</f>
        <v>45200</v>
      </c>
      <c r="F312" s="953">
        <f>+NOMINA!BN308</f>
        <v>2.88</v>
      </c>
      <c r="G312" s="608"/>
      <c r="H312" s="609"/>
      <c r="I312" s="609"/>
      <c r="J312" s="609"/>
      <c r="K312" s="609"/>
    </row>
    <row r="313" spans="1:11" ht="15.75" customHeight="1" thickBot="1">
      <c r="A313" s="951">
        <f t="shared" si="5"/>
        <v>267</v>
      </c>
      <c r="B313" s="949">
        <f>+NOMINA!C309</f>
        <v>30600641</v>
      </c>
      <c r="C313" s="949" t="str">
        <f>+NOMINA!D309</f>
        <v>Gonzalez Justo Jariana Roxanny</v>
      </c>
      <c r="D313" s="949" t="str">
        <f>+NOMINA!O309</f>
        <v>Asistente Administrativo I</v>
      </c>
      <c r="E313" s="952">
        <f>+NOMINA!H309</f>
        <v>44455</v>
      </c>
      <c r="F313" s="953">
        <f>+NOMINA!BN309</f>
        <v>0</v>
      </c>
      <c r="G313" s="608"/>
      <c r="H313" s="609"/>
      <c r="I313" s="609"/>
      <c r="J313" s="609"/>
      <c r="K313" s="609"/>
    </row>
    <row r="314" spans="1:11" ht="15.75" customHeight="1" thickBot="1">
      <c r="A314" s="951"/>
      <c r="B314" s="949"/>
      <c r="C314" s="949"/>
      <c r="D314" s="949"/>
      <c r="E314" s="616" t="s">
        <v>4562</v>
      </c>
      <c r="F314" s="950">
        <f>SUM(F47:F313)</f>
        <v>1190.7600000000009</v>
      </c>
      <c r="G314" s="608">
        <f>+NOMINA!BN309</f>
        <v>0</v>
      </c>
      <c r="H314" s="609">
        <f>+F314-G314</f>
        <v>1190.7600000000009</v>
      </c>
      <c r="I314" s="609"/>
      <c r="J314" s="609"/>
      <c r="K314" s="609"/>
    </row>
    <row r="315" spans="1:11" ht="15.75" customHeight="1">
      <c r="A315" s="610"/>
      <c r="B315" s="954"/>
      <c r="C315" s="954"/>
      <c r="D315" s="954"/>
      <c r="E315" s="617"/>
      <c r="F315" s="955"/>
      <c r="G315" s="955"/>
      <c r="H315" s="609"/>
      <c r="I315" s="609"/>
      <c r="J315" s="609"/>
      <c r="K315" s="609"/>
    </row>
    <row r="316" spans="1:11" ht="15.75" customHeight="1">
      <c r="A316" s="610"/>
      <c r="B316" s="612"/>
      <c r="C316" s="604" t="s">
        <v>5840</v>
      </c>
      <c r="E316" s="604" t="s">
        <v>5841</v>
      </c>
      <c r="H316" s="609"/>
      <c r="I316" s="609"/>
      <c r="J316" s="609"/>
      <c r="K316" s="609"/>
    </row>
    <row r="317" spans="1:11" ht="15.75" customHeight="1">
      <c r="A317" s="610"/>
      <c r="B317" s="612"/>
      <c r="H317" s="609"/>
      <c r="I317" s="609"/>
      <c r="J317" s="609"/>
      <c r="K317" s="609"/>
    </row>
    <row r="318" spans="1:11" ht="15.75" customHeight="1">
      <c r="A318" s="610"/>
      <c r="B318" s="612"/>
      <c r="H318" s="609"/>
      <c r="I318" s="609"/>
      <c r="J318" s="609"/>
      <c r="K318" s="609"/>
    </row>
    <row r="319" spans="1:11" ht="15.75" customHeight="1">
      <c r="A319" s="610"/>
      <c r="B319" s="612"/>
      <c r="C319" s="614" t="s">
        <v>5842</v>
      </c>
      <c r="E319" s="615" t="s">
        <v>5843</v>
      </c>
      <c r="H319" s="609"/>
      <c r="I319" s="609"/>
      <c r="J319" s="609"/>
      <c r="K319" s="609"/>
    </row>
    <row r="320" spans="1:11" ht="15.75" customHeight="1">
      <c r="A320" s="610"/>
      <c r="B320" s="612"/>
      <c r="C320" s="614" t="s">
        <v>5844</v>
      </c>
      <c r="E320" s="614" t="s">
        <v>5845</v>
      </c>
      <c r="G320" s="618"/>
      <c r="H320" s="609"/>
      <c r="I320" s="609"/>
      <c r="J320" s="609"/>
      <c r="K320" s="609"/>
    </row>
    <row r="321" spans="1:11" ht="15.75" customHeight="1">
      <c r="A321" s="610"/>
      <c r="B321" s="612"/>
      <c r="C321" s="612"/>
      <c r="D321" s="612"/>
      <c r="E321" s="617"/>
      <c r="F321" s="613"/>
      <c r="G321" s="613"/>
      <c r="H321" s="609"/>
      <c r="I321" s="609"/>
      <c r="J321" s="609"/>
      <c r="K321" s="609"/>
    </row>
    <row r="322" spans="1:11" ht="15.75" customHeight="1">
      <c r="A322" s="606" t="s">
        <v>4563</v>
      </c>
      <c r="B322" s="949"/>
      <c r="C322" s="949"/>
      <c r="D322" s="949"/>
      <c r="E322" s="952"/>
      <c r="F322" s="953"/>
      <c r="G322" s="608"/>
      <c r="H322" s="609"/>
      <c r="I322" s="609"/>
      <c r="J322" s="609"/>
      <c r="K322" s="609"/>
    </row>
    <row r="323" spans="1:11" ht="15.75" customHeight="1">
      <c r="A323" s="951">
        <v>1</v>
      </c>
      <c r="B323" s="949">
        <f>+NOMINA!C312</f>
        <v>5505183</v>
      </c>
      <c r="C323" s="949" t="str">
        <f>+NOMINA!D312</f>
        <v>Paredes Marquez Eduardo Jesus</v>
      </c>
      <c r="D323" s="949" t="str">
        <f>+NOMINA!O312</f>
        <v>Ayudante de Servicios Generales</v>
      </c>
      <c r="E323" s="952">
        <f>+NOMINA!H312</f>
        <v>44562</v>
      </c>
      <c r="F323" s="953">
        <f>+NOMINA!BN312</f>
        <v>3.03</v>
      </c>
      <c r="G323" s="608"/>
      <c r="H323" s="609"/>
      <c r="I323" s="609"/>
      <c r="J323" s="609"/>
      <c r="K323" s="609"/>
    </row>
    <row r="324" spans="1:11" ht="15.75" customHeight="1">
      <c r="A324" s="951">
        <f t="shared" ref="A324:A388" si="6">+A323+1</f>
        <v>2</v>
      </c>
      <c r="B324" s="949">
        <f>+NOMINA!C313</f>
        <v>5757455</v>
      </c>
      <c r="C324" s="949" t="str">
        <f>+NOMINA!D313</f>
        <v>Ramirez Garcia Maria Perpetua</v>
      </c>
      <c r="D324" s="949" t="str">
        <f>+NOMINA!O313</f>
        <v>Cocinera</v>
      </c>
      <c r="E324" s="952">
        <f>+NOMINA!H313</f>
        <v>39409</v>
      </c>
      <c r="F324" s="953">
        <f>+NOMINA!BN313</f>
        <v>3.37</v>
      </c>
      <c r="G324" s="608"/>
      <c r="H324" s="609"/>
      <c r="I324" s="609"/>
      <c r="J324" s="609"/>
      <c r="K324" s="609"/>
    </row>
    <row r="325" spans="1:11" ht="15.75" customHeight="1">
      <c r="A325" s="951">
        <f t="shared" si="6"/>
        <v>3</v>
      </c>
      <c r="B325" s="949">
        <f>+NOMINA!C314</f>
        <v>5762185</v>
      </c>
      <c r="C325" s="949" t="str">
        <f>+NOMINA!D314</f>
        <v>Salas Quintero Jose Gregorio</v>
      </c>
      <c r="D325" s="949" t="str">
        <f>+NOMINA!O314</f>
        <v xml:space="preserve">Vigilante  </v>
      </c>
      <c r="E325" s="952">
        <f>+NOMINA!H314</f>
        <v>37622</v>
      </c>
      <c r="F325" s="953">
        <f>+NOMINA!BN314</f>
        <v>3.52</v>
      </c>
      <c r="G325" s="608"/>
      <c r="H325" s="609"/>
      <c r="I325" s="609"/>
      <c r="J325" s="609"/>
      <c r="K325" s="609"/>
    </row>
    <row r="326" spans="1:11" ht="15.75" customHeight="1">
      <c r="A326" s="951">
        <f t="shared" si="6"/>
        <v>4</v>
      </c>
      <c r="B326" s="949">
        <f>+NOMINA!C315</f>
        <v>6332524</v>
      </c>
      <c r="C326" s="949" t="str">
        <f>+NOMINA!D315</f>
        <v>Flores Diana Yamilet</v>
      </c>
      <c r="D326" s="949" t="str">
        <f>+NOMINA!O315</f>
        <v>Cocinera</v>
      </c>
      <c r="E326" s="952">
        <f>+NOMINA!H315</f>
        <v>42948</v>
      </c>
      <c r="F326" s="953">
        <f>+NOMINA!BN315</f>
        <v>3.14</v>
      </c>
      <c r="G326" s="608"/>
      <c r="H326" s="609"/>
      <c r="I326" s="609"/>
      <c r="J326" s="609"/>
      <c r="K326" s="609"/>
    </row>
    <row r="327" spans="1:11" ht="15.75" customHeight="1">
      <c r="A327" s="951">
        <f t="shared" si="6"/>
        <v>5</v>
      </c>
      <c r="B327" s="949">
        <f>+NOMINA!C316</f>
        <v>6902701</v>
      </c>
      <c r="C327" s="949" t="str">
        <f>+NOMINA!D316</f>
        <v>Santiago Torres Jose Ramon</v>
      </c>
      <c r="D327" s="949" t="str">
        <f>+NOMINA!O316</f>
        <v>Mensajero</v>
      </c>
      <c r="E327" s="952">
        <f>+NOMINA!H316</f>
        <v>44228</v>
      </c>
      <c r="F327" s="953">
        <f>+NOMINA!BN316</f>
        <v>2.89</v>
      </c>
      <c r="G327" s="608"/>
      <c r="H327" s="609"/>
      <c r="I327" s="609"/>
      <c r="J327" s="609"/>
      <c r="K327" s="609"/>
    </row>
    <row r="328" spans="1:11" ht="15.75" customHeight="1">
      <c r="A328" s="951">
        <f t="shared" si="6"/>
        <v>6</v>
      </c>
      <c r="B328" s="949">
        <f>+NOMINA!C317</f>
        <v>7252065</v>
      </c>
      <c r="C328" s="949" t="str">
        <f>+NOMINA!D317</f>
        <v>Rivas Rivas Jose Gerardo</v>
      </c>
      <c r="D328" s="949" t="str">
        <f>+NOMINA!O317</f>
        <v>Ayudante de Servicios Generales</v>
      </c>
      <c r="E328" s="952">
        <f>+NOMINA!H317</f>
        <v>43891</v>
      </c>
      <c r="F328" s="953">
        <f>+NOMINA!BN317</f>
        <v>3.75</v>
      </c>
      <c r="G328" s="608"/>
      <c r="H328" s="609"/>
      <c r="I328" s="609"/>
      <c r="J328" s="609"/>
      <c r="K328" s="609"/>
    </row>
    <row r="329" spans="1:11" ht="15.75" customHeight="1">
      <c r="A329" s="951">
        <f t="shared" si="6"/>
        <v>7</v>
      </c>
      <c r="B329" s="949">
        <f>+NOMINA!C318</f>
        <v>9008311</v>
      </c>
      <c r="C329" s="949" t="str">
        <f>+NOMINA!D318</f>
        <v>Toro Margi Enrique</v>
      </c>
      <c r="D329" s="949" t="str">
        <f>+NOMINA!O318</f>
        <v>Ayudante de Servicios Generales</v>
      </c>
      <c r="E329" s="952">
        <f>+NOMINA!H318</f>
        <v>39265</v>
      </c>
      <c r="F329" s="953">
        <f>+NOMINA!BN318</f>
        <v>3.14</v>
      </c>
      <c r="G329" s="608"/>
      <c r="H329" s="609"/>
      <c r="I329" s="609"/>
      <c r="J329" s="609"/>
      <c r="K329" s="609"/>
    </row>
    <row r="330" spans="1:11" ht="15.75" customHeight="1">
      <c r="A330" s="951">
        <f t="shared" si="6"/>
        <v>8</v>
      </c>
      <c r="B330" s="949">
        <f>+NOMINA!C319</f>
        <v>9011963</v>
      </c>
      <c r="C330" s="949" t="str">
        <f>+NOMINA!D319</f>
        <v>Alarcon Argenio</v>
      </c>
      <c r="D330" s="949" t="str">
        <f>+NOMINA!O319</f>
        <v>Ayudante de Servicios Generales</v>
      </c>
      <c r="E330" s="952">
        <f>+NOMINA!H319</f>
        <v>39820</v>
      </c>
      <c r="F330" s="953">
        <f>+NOMINA!BN319</f>
        <v>3.12</v>
      </c>
      <c r="G330" s="608"/>
      <c r="H330" s="609"/>
      <c r="I330" s="609"/>
      <c r="J330" s="609"/>
      <c r="K330" s="609"/>
    </row>
    <row r="331" spans="1:11" ht="15.75" customHeight="1">
      <c r="A331" s="951">
        <f t="shared" si="6"/>
        <v>9</v>
      </c>
      <c r="B331" s="949">
        <f>+NOMINA!C320</f>
        <v>9100500</v>
      </c>
      <c r="C331" s="949" t="str">
        <f>+NOMINA!D320</f>
        <v>Hernandez de Villegas Zoraida Elodia</v>
      </c>
      <c r="D331" s="949" t="str">
        <f>+NOMINA!O320</f>
        <v>Aseadora</v>
      </c>
      <c r="E331" s="952">
        <f>+NOMINA!H320</f>
        <v>39496</v>
      </c>
      <c r="F331" s="953">
        <f>+NOMINA!BN320</f>
        <v>2.85</v>
      </c>
      <c r="G331" s="608"/>
      <c r="H331" s="609"/>
      <c r="I331" s="609"/>
      <c r="J331" s="609"/>
      <c r="K331" s="609"/>
    </row>
    <row r="332" spans="1:11" ht="15.75" customHeight="1">
      <c r="A332" s="951">
        <f t="shared" si="6"/>
        <v>10</v>
      </c>
      <c r="B332" s="949">
        <f>+NOMINA!C321</f>
        <v>9110498</v>
      </c>
      <c r="C332" s="949" t="str">
        <f>+NOMINA!D321</f>
        <v>Ruiz Alberto Jose</v>
      </c>
      <c r="D332" s="949" t="str">
        <f>+NOMINA!O321</f>
        <v>Ayudante de Servicios Generales</v>
      </c>
      <c r="E332" s="952">
        <f>+NOMINA!H321</f>
        <v>37508</v>
      </c>
      <c r="F332" s="953">
        <f>+NOMINA!BN321</f>
        <v>3.27</v>
      </c>
      <c r="G332" s="608"/>
      <c r="H332" s="609"/>
      <c r="I332" s="609"/>
      <c r="J332" s="609"/>
      <c r="K332" s="609"/>
    </row>
    <row r="333" spans="1:11" ht="15.75" customHeight="1">
      <c r="A333" s="951">
        <f t="shared" si="6"/>
        <v>11</v>
      </c>
      <c r="B333" s="949">
        <f>+NOMINA!C322</f>
        <v>9163994</v>
      </c>
      <c r="C333" s="949" t="str">
        <f>+NOMINA!D322</f>
        <v>Rodriguez Fernandez Carlos Eduardo</v>
      </c>
      <c r="D333" s="949" t="str">
        <f>+NOMINA!O322</f>
        <v>Ayudante de Almacen</v>
      </c>
      <c r="E333" s="952">
        <f>+NOMINA!H322</f>
        <v>43770</v>
      </c>
      <c r="F333" s="953">
        <f>+NOMINA!BN322</f>
        <v>3.1</v>
      </c>
      <c r="G333" s="608"/>
      <c r="H333" s="609"/>
      <c r="I333" s="609"/>
      <c r="J333" s="609"/>
      <c r="K333" s="609"/>
    </row>
    <row r="334" spans="1:11" ht="15.75" customHeight="1">
      <c r="A334" s="951">
        <f t="shared" si="6"/>
        <v>12</v>
      </c>
      <c r="B334" s="949">
        <f>+NOMINA!C323</f>
        <v>9167342</v>
      </c>
      <c r="C334" s="949" t="str">
        <f>+NOMINA!D323</f>
        <v>Gutierrez Briceño Jose Justimiano</v>
      </c>
      <c r="D334" s="949" t="str">
        <f>+NOMINA!O323</f>
        <v>Ayudante Agropecuario</v>
      </c>
      <c r="E334" s="952">
        <f>+NOMINA!H323</f>
        <v>43845</v>
      </c>
      <c r="F334" s="953">
        <f>+NOMINA!BN323</f>
        <v>2.9</v>
      </c>
      <c r="G334" s="608"/>
      <c r="H334" s="609"/>
      <c r="I334" s="609"/>
      <c r="J334" s="609"/>
      <c r="K334" s="609"/>
    </row>
    <row r="335" spans="1:11" ht="15.75" customHeight="1">
      <c r="A335" s="951">
        <f t="shared" si="6"/>
        <v>13</v>
      </c>
      <c r="B335" s="949">
        <f>+NOMINA!C324</f>
        <v>9310477</v>
      </c>
      <c r="C335" s="949" t="str">
        <f>+NOMINA!D324</f>
        <v>Campos Muchacho Rafael Angel</v>
      </c>
      <c r="D335" s="949" t="str">
        <f>+NOMINA!O324</f>
        <v>Ayudante Agropecuario</v>
      </c>
      <c r="E335" s="952">
        <f>+NOMINA!H324</f>
        <v>44075</v>
      </c>
      <c r="F335" s="953">
        <f>+NOMINA!BN324</f>
        <v>2.88</v>
      </c>
      <c r="G335" s="608"/>
      <c r="H335" s="609"/>
      <c r="I335" s="609"/>
      <c r="J335" s="609"/>
      <c r="K335" s="609"/>
    </row>
    <row r="336" spans="1:11" ht="15.75" customHeight="1">
      <c r="A336" s="951">
        <f t="shared" si="6"/>
        <v>14</v>
      </c>
      <c r="B336" s="949">
        <f>+NOMINA!C325</f>
        <v>9323739</v>
      </c>
      <c r="C336" s="949" t="str">
        <f>+NOMINA!D325</f>
        <v>Vargas Benitez Jose Nerio</v>
      </c>
      <c r="D336" s="949" t="str">
        <f>+NOMINA!O325</f>
        <v>Ayudante de Servicios Generales</v>
      </c>
      <c r="E336" s="952">
        <f>+NOMINA!H325</f>
        <v>39300</v>
      </c>
      <c r="F336" s="953">
        <f>+NOMINA!BN325</f>
        <v>3.14</v>
      </c>
      <c r="G336" s="608"/>
      <c r="H336" s="609"/>
      <c r="I336" s="609"/>
      <c r="J336" s="609"/>
      <c r="K336" s="609"/>
    </row>
    <row r="337" spans="1:11" ht="15.75" customHeight="1">
      <c r="A337" s="951">
        <f t="shared" si="6"/>
        <v>15</v>
      </c>
      <c r="B337" s="949">
        <f>+NOMINA!C326</f>
        <v>9325664</v>
      </c>
      <c r="C337" s="949" t="str">
        <f>+NOMINA!D326</f>
        <v>Lobo Mendoza Luz Marina</v>
      </c>
      <c r="D337" s="949" t="str">
        <f>+NOMINA!O326</f>
        <v>Ayudante de Servicios Generales</v>
      </c>
      <c r="E337" s="952">
        <f>+NOMINA!H326</f>
        <v>42948</v>
      </c>
      <c r="F337" s="953">
        <f>+NOMINA!BN326</f>
        <v>2.93</v>
      </c>
      <c r="G337" s="608"/>
      <c r="H337" s="609"/>
      <c r="I337" s="609"/>
      <c r="J337" s="609"/>
      <c r="K337" s="609"/>
    </row>
    <row r="338" spans="1:11" ht="15.75" customHeight="1">
      <c r="A338" s="951">
        <f t="shared" si="6"/>
        <v>16</v>
      </c>
      <c r="B338" s="949">
        <f>+NOMINA!C327</f>
        <v>9328045</v>
      </c>
      <c r="C338" s="949" t="str">
        <f>+NOMINA!D327</f>
        <v>Paredes Quintero Jose Benigno</v>
      </c>
      <c r="D338" s="949" t="str">
        <f>+NOMINA!O327</f>
        <v>Ayudante de Servicios Generales</v>
      </c>
      <c r="E338" s="952">
        <f>+NOMINA!H327</f>
        <v>44212</v>
      </c>
      <c r="F338" s="953">
        <f>+NOMINA!BN327</f>
        <v>2.88</v>
      </c>
      <c r="G338" s="608"/>
      <c r="H338" s="609"/>
      <c r="I338" s="609"/>
      <c r="J338" s="609"/>
      <c r="K338" s="609"/>
    </row>
    <row r="339" spans="1:11" ht="15.75" customHeight="1">
      <c r="A339" s="951">
        <f t="shared" si="6"/>
        <v>17</v>
      </c>
      <c r="B339" s="949">
        <f>+NOMINA!C328</f>
        <v>10178456</v>
      </c>
      <c r="C339" s="949" t="str">
        <f>+NOMINA!D328</f>
        <v>Figueroa Roa Yudith Griselda</v>
      </c>
      <c r="D339" s="949" t="str">
        <f>+NOMINA!O328</f>
        <v>Aseadora</v>
      </c>
      <c r="E339" s="952">
        <f>+NOMINA!H328</f>
        <v>44287</v>
      </c>
      <c r="F339" s="953">
        <f>+NOMINA!BN328</f>
        <v>2.64</v>
      </c>
      <c r="G339" s="608"/>
      <c r="H339" s="609"/>
      <c r="I339" s="609"/>
      <c r="J339" s="609"/>
      <c r="K339" s="609"/>
    </row>
    <row r="340" spans="1:11" ht="15.75" customHeight="1">
      <c r="A340" s="951">
        <f t="shared" si="6"/>
        <v>18</v>
      </c>
      <c r="B340" s="949">
        <f>+NOMINA!C329</f>
        <v>10317435</v>
      </c>
      <c r="C340" s="949" t="str">
        <f>+NOMINA!D329</f>
        <v>Milla Ana Julia</v>
      </c>
      <c r="D340" s="949" t="str">
        <f>+NOMINA!O329</f>
        <v>Aseadora</v>
      </c>
      <c r="E340" s="952">
        <f>+NOMINA!H329</f>
        <v>39559</v>
      </c>
      <c r="F340" s="953">
        <f>+NOMINA!BN329</f>
        <v>2.85</v>
      </c>
      <c r="G340" s="608"/>
      <c r="H340" s="609"/>
      <c r="I340" s="609"/>
      <c r="J340" s="609"/>
      <c r="K340" s="609"/>
    </row>
    <row r="341" spans="1:11" ht="15.75" customHeight="1">
      <c r="A341" s="951">
        <f t="shared" si="6"/>
        <v>19</v>
      </c>
      <c r="B341" s="949">
        <f>+NOMINA!C330</f>
        <v>10396367</v>
      </c>
      <c r="C341" s="949" t="str">
        <f>+NOMINA!D330</f>
        <v>Hidalgo Linares Gloria Margarita</v>
      </c>
      <c r="D341" s="949" t="str">
        <f>+NOMINA!O330</f>
        <v>Cocinera</v>
      </c>
      <c r="E341" s="952">
        <f>+NOMINA!H330</f>
        <v>39722</v>
      </c>
      <c r="F341" s="953">
        <f>+NOMINA!BN330</f>
        <v>3.35</v>
      </c>
      <c r="G341" s="608"/>
      <c r="H341" s="609"/>
      <c r="I341" s="609"/>
      <c r="J341" s="609"/>
      <c r="K341" s="609"/>
    </row>
    <row r="342" spans="1:11" ht="15.75" customHeight="1">
      <c r="A342" s="951">
        <f t="shared" si="6"/>
        <v>20</v>
      </c>
      <c r="B342" s="949">
        <f>+NOMINA!C331</f>
        <v>10399474</v>
      </c>
      <c r="C342" s="949" t="str">
        <f>+NOMINA!D331</f>
        <v>Ramirez Araujo Teresa Maria</v>
      </c>
      <c r="D342" s="949" t="str">
        <f>+NOMINA!O331</f>
        <v>Ayudante de Servicios Generales</v>
      </c>
      <c r="E342" s="952">
        <f>+NOMINA!H331</f>
        <v>45597</v>
      </c>
      <c r="F342" s="953">
        <f>+NOMINA!BN331</f>
        <v>2.72</v>
      </c>
      <c r="G342" s="608"/>
      <c r="H342" s="609"/>
      <c r="I342" s="609"/>
      <c r="J342" s="609"/>
      <c r="K342" s="609"/>
    </row>
    <row r="343" spans="1:11" ht="15.75" customHeight="1">
      <c r="A343" s="951">
        <f t="shared" si="6"/>
        <v>21</v>
      </c>
      <c r="B343" s="949">
        <f>+NOMINA!C332</f>
        <v>10401329</v>
      </c>
      <c r="C343" s="949" t="str">
        <f>+NOMINA!D332</f>
        <v>Gonzalez Torres Orangel Ramon</v>
      </c>
      <c r="D343" s="949" t="str">
        <f>+NOMINA!O332</f>
        <v>Chofer De Transporte</v>
      </c>
      <c r="E343" s="952">
        <f>+NOMINA!H332</f>
        <v>39539</v>
      </c>
      <c r="F343" s="953">
        <f>+NOMINA!BN332</f>
        <v>4.3499999999999996</v>
      </c>
      <c r="G343" s="608"/>
      <c r="H343" s="609"/>
      <c r="I343" s="609"/>
      <c r="J343" s="609"/>
      <c r="K343" s="609"/>
    </row>
    <row r="344" spans="1:11" ht="15.75" customHeight="1">
      <c r="A344" s="951">
        <f t="shared" si="6"/>
        <v>22</v>
      </c>
      <c r="B344" s="949">
        <f>+NOMINA!C333</f>
        <v>10907687</v>
      </c>
      <c r="C344" s="949" t="str">
        <f>+NOMINA!D333</f>
        <v>Viloria Garcia Karina Liseth</v>
      </c>
      <c r="D344" s="949" t="str">
        <f>+NOMINA!O333</f>
        <v>Cocinera</v>
      </c>
      <c r="E344" s="952">
        <f>+NOMINA!H333</f>
        <v>38749</v>
      </c>
      <c r="F344" s="953">
        <f>+NOMINA!BN333</f>
        <v>3.4</v>
      </c>
      <c r="G344" s="608"/>
      <c r="H344" s="609"/>
      <c r="I344" s="609"/>
      <c r="J344" s="609"/>
      <c r="K344" s="609"/>
    </row>
    <row r="345" spans="1:11" ht="15.75" customHeight="1">
      <c r="A345" s="951">
        <f t="shared" si="6"/>
        <v>23</v>
      </c>
      <c r="B345" s="949">
        <f>+NOMINA!C334</f>
        <v>10908543</v>
      </c>
      <c r="C345" s="949" t="str">
        <f>+NOMINA!D334</f>
        <v>Quintero Eric Ludwig</v>
      </c>
      <c r="D345" s="949" t="str">
        <f>+NOMINA!O334</f>
        <v>Cocinero</v>
      </c>
      <c r="E345" s="952">
        <f>+NOMINA!H334</f>
        <v>42751</v>
      </c>
      <c r="F345" s="953">
        <f>+NOMINA!BN334</f>
        <v>3.16</v>
      </c>
      <c r="G345" s="608"/>
      <c r="H345" s="609"/>
      <c r="I345" s="609"/>
      <c r="J345" s="609"/>
      <c r="K345" s="609"/>
    </row>
    <row r="346" spans="1:11" ht="15.75" customHeight="1">
      <c r="A346" s="951">
        <f t="shared" si="6"/>
        <v>24</v>
      </c>
      <c r="B346" s="949">
        <f>+NOMINA!C335</f>
        <v>10909678</v>
      </c>
      <c r="C346" s="949" t="str">
        <f>+NOMINA!D335</f>
        <v>Delgado Jose Argenis</v>
      </c>
      <c r="D346" s="949" t="str">
        <f>+NOMINA!O335</f>
        <v>Aseador</v>
      </c>
      <c r="E346" s="952">
        <f>+NOMINA!H335</f>
        <v>43952</v>
      </c>
      <c r="F346" s="953">
        <f>+NOMINA!BN335</f>
        <v>2.65</v>
      </c>
      <c r="G346" s="608"/>
      <c r="H346" s="609"/>
      <c r="I346" s="609"/>
      <c r="J346" s="609"/>
      <c r="K346" s="609"/>
    </row>
    <row r="347" spans="1:11" ht="15.75" customHeight="1">
      <c r="A347" s="951">
        <f t="shared" si="6"/>
        <v>25</v>
      </c>
      <c r="B347" s="949">
        <f>+NOMINA!C336</f>
        <v>10909819</v>
      </c>
      <c r="C347" s="949" t="str">
        <f>+NOMINA!D336</f>
        <v>Carrizo Jose Waldo</v>
      </c>
      <c r="D347" s="949" t="str">
        <f>+NOMINA!O336</f>
        <v>Cocinero</v>
      </c>
      <c r="E347" s="952">
        <f>+NOMINA!H336</f>
        <v>43359</v>
      </c>
      <c r="F347" s="953">
        <f>+NOMINA!BN336</f>
        <v>3.12</v>
      </c>
      <c r="G347" s="608"/>
      <c r="H347" s="609"/>
      <c r="I347" s="609"/>
      <c r="J347" s="609"/>
      <c r="K347" s="609"/>
    </row>
    <row r="348" spans="1:11" ht="15.75" customHeight="1">
      <c r="A348" s="951">
        <f t="shared" si="6"/>
        <v>26</v>
      </c>
      <c r="B348" s="949">
        <f>+NOMINA!C337</f>
        <v>10912635</v>
      </c>
      <c r="C348" s="949" t="str">
        <f>+NOMINA!D337</f>
        <v>Gutierrez Briceño Jose Orangel</v>
      </c>
      <c r="D348" s="949" t="str">
        <f>+NOMINA!O337</f>
        <v>Ayudante Agropecuario</v>
      </c>
      <c r="E348" s="952">
        <f>+NOMINA!H337</f>
        <v>44348</v>
      </c>
      <c r="F348" s="953">
        <f>+NOMINA!BN337</f>
        <v>2.87</v>
      </c>
      <c r="G348" s="608"/>
      <c r="H348" s="609"/>
      <c r="I348" s="609"/>
      <c r="J348" s="609"/>
      <c r="K348" s="609"/>
    </row>
    <row r="349" spans="1:11" ht="15.75" customHeight="1">
      <c r="A349" s="951">
        <f t="shared" si="6"/>
        <v>27</v>
      </c>
      <c r="B349" s="949">
        <f>+NOMINA!C338</f>
        <v>10915274</v>
      </c>
      <c r="C349" s="949" t="str">
        <f>+NOMINA!D338</f>
        <v>Montilla Vergara Belkys Josefina</v>
      </c>
      <c r="D349" s="949" t="str">
        <f>+NOMINA!O338</f>
        <v>Ayudante de Servicios Generales</v>
      </c>
      <c r="E349" s="952">
        <f>+NOMINA!H338</f>
        <v>44635</v>
      </c>
      <c r="F349" s="953">
        <f>+NOMINA!BN338</f>
        <v>2.85</v>
      </c>
      <c r="G349" s="608"/>
      <c r="H349" s="609"/>
      <c r="I349" s="609"/>
      <c r="J349" s="609"/>
      <c r="K349" s="609"/>
    </row>
    <row r="350" spans="1:11" ht="15.75" customHeight="1">
      <c r="A350" s="951">
        <f t="shared" si="6"/>
        <v>28</v>
      </c>
      <c r="B350" s="949">
        <f>+NOMINA!C339</f>
        <v>11129355</v>
      </c>
      <c r="C350" s="949" t="str">
        <f>+NOMINA!D339</f>
        <v xml:space="preserve">Luque Azuaje Rigoberto </v>
      </c>
      <c r="D350" s="949" t="str">
        <f>+NOMINA!O339</f>
        <v>Ayudante de Servicios Generales</v>
      </c>
      <c r="E350" s="952">
        <f>+NOMINA!H339</f>
        <v>39539</v>
      </c>
      <c r="F350" s="953">
        <f>+NOMINA!BN339</f>
        <v>4.05</v>
      </c>
      <c r="G350" s="608"/>
      <c r="H350" s="609"/>
      <c r="I350" s="609"/>
      <c r="J350" s="609"/>
      <c r="K350" s="609"/>
    </row>
    <row r="351" spans="1:11" ht="15.75" customHeight="1">
      <c r="A351" s="951">
        <f t="shared" si="6"/>
        <v>29</v>
      </c>
      <c r="B351" s="949">
        <f>+NOMINA!C340</f>
        <v>11315202</v>
      </c>
      <c r="C351" s="949" t="str">
        <f>+NOMINA!D340</f>
        <v>Barreto Maria Ramona</v>
      </c>
      <c r="D351" s="949" t="str">
        <f>+NOMINA!O340</f>
        <v>Cocinera</v>
      </c>
      <c r="E351" s="952">
        <f>+NOMINA!H340</f>
        <v>39539</v>
      </c>
      <c r="F351" s="953">
        <f>+NOMINA!BN340</f>
        <v>3.35</v>
      </c>
      <c r="G351" s="608"/>
      <c r="H351" s="609"/>
      <c r="I351" s="609"/>
      <c r="J351" s="609"/>
      <c r="K351" s="609"/>
    </row>
    <row r="352" spans="1:11" ht="15.75" customHeight="1">
      <c r="A352" s="951">
        <f t="shared" si="6"/>
        <v>30</v>
      </c>
      <c r="B352" s="949">
        <f>+NOMINA!C341</f>
        <v>11321681</v>
      </c>
      <c r="C352" s="949" t="str">
        <f>+NOMINA!D341</f>
        <v>Bentancourt Rivas Luis Enrique</v>
      </c>
      <c r="D352" s="949" t="str">
        <f>+NOMINA!O341</f>
        <v>Ayudante de Servicios Generales</v>
      </c>
      <c r="E352" s="952">
        <f>+NOMINA!H341</f>
        <v>44805</v>
      </c>
      <c r="F352" s="953">
        <f>+NOMINA!BN341</f>
        <v>2.85</v>
      </c>
      <c r="G352" s="608"/>
      <c r="H352" s="609"/>
      <c r="I352" s="609"/>
      <c r="J352" s="609"/>
      <c r="K352" s="609"/>
    </row>
    <row r="353" spans="1:11" ht="15.75" customHeight="1">
      <c r="A353" s="951">
        <f t="shared" si="6"/>
        <v>31</v>
      </c>
      <c r="B353" s="949">
        <f>+NOMINA!C342</f>
        <v>11321782</v>
      </c>
      <c r="C353" s="949" t="str">
        <f>+NOMINA!D342</f>
        <v>Flores Camacho Maria Zoraida</v>
      </c>
      <c r="D353" s="949" t="str">
        <f>+NOMINA!O342</f>
        <v>Cocinera</v>
      </c>
      <c r="E353" s="952">
        <f>+NOMINA!H342</f>
        <v>43815</v>
      </c>
      <c r="F353" s="953">
        <f>+NOMINA!BN342</f>
        <v>3.1</v>
      </c>
      <c r="G353" s="608"/>
      <c r="H353" s="609"/>
      <c r="I353" s="609"/>
      <c r="J353" s="609"/>
      <c r="K353" s="609"/>
    </row>
    <row r="354" spans="1:11" ht="15.75" customHeight="1">
      <c r="A354" s="951">
        <f t="shared" si="6"/>
        <v>32</v>
      </c>
      <c r="B354" s="949">
        <f>+NOMINA!C343</f>
        <v>11324931</v>
      </c>
      <c r="C354" s="949" t="str">
        <f>+NOMINA!D343</f>
        <v xml:space="preserve">Sulbaran De Araujo Magaly </v>
      </c>
      <c r="D354" s="949" t="str">
        <f>+NOMINA!O343</f>
        <v>Cocinera</v>
      </c>
      <c r="E354" s="952">
        <f>+NOMINA!H343</f>
        <v>38784</v>
      </c>
      <c r="F354" s="953">
        <f>+NOMINA!BN343</f>
        <v>3.4</v>
      </c>
      <c r="G354" s="608"/>
      <c r="H354" s="609"/>
      <c r="I354" s="609"/>
      <c r="J354" s="609"/>
      <c r="K354" s="609"/>
    </row>
    <row r="355" spans="1:11" ht="15.75" customHeight="1">
      <c r="A355" s="951">
        <f t="shared" si="6"/>
        <v>33</v>
      </c>
      <c r="B355" s="949">
        <f>+NOMINA!C344</f>
        <v>11894400</v>
      </c>
      <c r="C355" s="949" t="str">
        <f>+NOMINA!D344</f>
        <v>Aldana Olivar Maria del Carmen</v>
      </c>
      <c r="D355" s="949" t="str">
        <f>+NOMINA!O344</f>
        <v>Cocinera</v>
      </c>
      <c r="E355" s="952">
        <f>+NOMINA!H344</f>
        <v>44287</v>
      </c>
      <c r="F355" s="953">
        <f>+NOMINA!BN344</f>
        <v>3.06</v>
      </c>
      <c r="G355" s="608"/>
      <c r="H355" s="609"/>
      <c r="I355" s="609"/>
      <c r="J355" s="609"/>
      <c r="K355" s="609"/>
    </row>
    <row r="356" spans="1:11" ht="15.75" customHeight="1">
      <c r="A356" s="951">
        <f t="shared" si="6"/>
        <v>34</v>
      </c>
      <c r="B356" s="949">
        <f>+NOMINA!C345</f>
        <v>11897863</v>
      </c>
      <c r="C356" s="949" t="str">
        <f>+NOMINA!D345</f>
        <v>Rodriguez Maria Ibel</v>
      </c>
      <c r="D356" s="949" t="str">
        <f>+NOMINA!O345</f>
        <v>Aseadora</v>
      </c>
      <c r="E356" s="952">
        <f>+NOMINA!H345</f>
        <v>41548</v>
      </c>
      <c r="F356" s="953">
        <f>+NOMINA!BN345</f>
        <v>2.76</v>
      </c>
      <c r="G356" s="608"/>
      <c r="H356" s="609"/>
      <c r="I356" s="609"/>
      <c r="J356" s="609"/>
      <c r="K356" s="609"/>
    </row>
    <row r="357" spans="1:11" ht="15.75" customHeight="1">
      <c r="A357" s="951">
        <f t="shared" si="6"/>
        <v>35</v>
      </c>
      <c r="B357" s="949">
        <f>+NOMINA!C346</f>
        <v>12038359</v>
      </c>
      <c r="C357" s="949" t="str">
        <f>+NOMINA!D346</f>
        <v>Amaya Perez Carmen Elena</v>
      </c>
      <c r="D357" s="949" t="str">
        <f>+NOMINA!O346</f>
        <v>Cocinera</v>
      </c>
      <c r="E357" s="952">
        <f>+NOMINA!H346</f>
        <v>38103</v>
      </c>
      <c r="F357" s="953">
        <f>+NOMINA!BN346</f>
        <v>3.45</v>
      </c>
      <c r="G357" s="608"/>
      <c r="H357" s="609"/>
      <c r="I357" s="609"/>
      <c r="J357" s="609"/>
      <c r="K357" s="609"/>
    </row>
    <row r="358" spans="1:11" ht="15.75" customHeight="1">
      <c r="A358" s="951">
        <f t="shared" si="6"/>
        <v>36</v>
      </c>
      <c r="B358" s="949">
        <f>+NOMINA!C347</f>
        <v>12042930</v>
      </c>
      <c r="C358" s="949" t="str">
        <f>+NOMINA!D347</f>
        <v>Barroeta Cardozo Leonid Andrei</v>
      </c>
      <c r="D358" s="949" t="str">
        <f>+NOMINA!O347</f>
        <v>Ayudante de Servicios Generales</v>
      </c>
      <c r="E358" s="952">
        <f>+NOMINA!H347</f>
        <v>44986</v>
      </c>
      <c r="F358" s="953">
        <f>+NOMINA!BN347</f>
        <v>2.84</v>
      </c>
      <c r="G358" s="608"/>
      <c r="H358" s="609"/>
      <c r="I358" s="609"/>
      <c r="J358" s="609"/>
      <c r="K358" s="609"/>
    </row>
    <row r="359" spans="1:11" ht="15.75" customHeight="1">
      <c r="A359" s="951">
        <f t="shared" si="6"/>
        <v>37</v>
      </c>
      <c r="B359" s="949">
        <f>+NOMINA!C348</f>
        <v>12043135</v>
      </c>
      <c r="C359" s="949" t="str">
        <f>+NOMINA!D348</f>
        <v>Avila Salvio Rodolfo</v>
      </c>
      <c r="D359" s="949" t="str">
        <f>+NOMINA!O348</f>
        <v>Cocinero</v>
      </c>
      <c r="E359" s="952">
        <f>+NOMINA!H348</f>
        <v>43724</v>
      </c>
      <c r="F359" s="953">
        <f>+NOMINA!BN348</f>
        <v>3.1</v>
      </c>
      <c r="G359" s="608"/>
      <c r="H359" s="609"/>
      <c r="I359" s="609"/>
      <c r="J359" s="609"/>
      <c r="K359" s="609"/>
    </row>
    <row r="360" spans="1:11" ht="15.75" customHeight="1">
      <c r="A360" s="951">
        <f t="shared" si="6"/>
        <v>38</v>
      </c>
      <c r="B360" s="949">
        <f>+NOMINA!C349</f>
        <v>12044124</v>
      </c>
      <c r="C360" s="949" t="str">
        <f>+NOMINA!D349</f>
        <v>Rivas Carlos Luis</v>
      </c>
      <c r="D360" s="949" t="str">
        <f>+NOMINA!O349</f>
        <v>Ayudante de Servicios Generales</v>
      </c>
      <c r="E360" s="952">
        <f>+NOMINA!H349</f>
        <v>39539</v>
      </c>
      <c r="F360" s="953">
        <f>+NOMINA!BN349</f>
        <v>4.05</v>
      </c>
      <c r="G360" s="608"/>
      <c r="H360" s="609"/>
      <c r="I360" s="609"/>
      <c r="J360" s="609"/>
      <c r="K360" s="609"/>
    </row>
    <row r="361" spans="1:11" ht="15.75" customHeight="1">
      <c r="A361" s="951">
        <f t="shared" si="6"/>
        <v>39</v>
      </c>
      <c r="B361" s="949">
        <f>+NOMINA!C350</f>
        <v>12044754</v>
      </c>
      <c r="C361" s="949" t="str">
        <f>+NOMINA!D350</f>
        <v>Briceño Graterol Oscar Antonio</v>
      </c>
      <c r="D361" s="949" t="str">
        <f>+NOMINA!O350</f>
        <v>Ayudante de Servicios Generales</v>
      </c>
      <c r="E361" s="952">
        <f>+NOMINA!H350</f>
        <v>43481</v>
      </c>
      <c r="F361" s="953">
        <f>+NOMINA!BN350</f>
        <v>2.91</v>
      </c>
      <c r="G361" s="608"/>
      <c r="H361" s="609"/>
      <c r="I361" s="609"/>
      <c r="J361" s="609"/>
      <c r="K361" s="609"/>
    </row>
    <row r="362" spans="1:11" ht="15.75" customHeight="1">
      <c r="A362" s="951">
        <f t="shared" si="6"/>
        <v>40</v>
      </c>
      <c r="B362" s="949">
        <f>+NOMINA!C351</f>
        <v>12046834</v>
      </c>
      <c r="C362" s="949" t="str">
        <f>+NOMINA!D351</f>
        <v>Perez Montilla William Jose</v>
      </c>
      <c r="D362" s="949" t="str">
        <f>+NOMINA!O351</f>
        <v>Cocinero</v>
      </c>
      <c r="E362" s="952">
        <f>+NOMINA!H351</f>
        <v>43313</v>
      </c>
      <c r="F362" s="953">
        <f>+NOMINA!BN351</f>
        <v>3.58</v>
      </c>
      <c r="G362" s="608"/>
      <c r="H362" s="609"/>
      <c r="I362" s="609"/>
      <c r="J362" s="609"/>
      <c r="K362" s="609"/>
    </row>
    <row r="363" spans="1:11" ht="15.75" customHeight="1">
      <c r="A363" s="951">
        <f t="shared" si="6"/>
        <v>41</v>
      </c>
      <c r="B363" s="949">
        <f>+NOMINA!C352</f>
        <v>12047016</v>
      </c>
      <c r="C363" s="949" t="str">
        <f>+NOMINA!D352</f>
        <v>Lozada de Estenoz Maria Edicta</v>
      </c>
      <c r="D363" s="949" t="str">
        <f>+NOMINA!O352</f>
        <v>Cocinera</v>
      </c>
      <c r="E363" s="952">
        <f>+NOMINA!H352</f>
        <v>42948</v>
      </c>
      <c r="F363" s="953">
        <f>+NOMINA!BN352</f>
        <v>3.26</v>
      </c>
      <c r="G363" s="608"/>
      <c r="H363" s="609"/>
      <c r="I363" s="609"/>
      <c r="J363" s="609"/>
      <c r="K363" s="609"/>
    </row>
    <row r="364" spans="1:11" ht="15.75" customHeight="1">
      <c r="A364" s="951">
        <f t="shared" si="6"/>
        <v>42</v>
      </c>
      <c r="B364" s="949">
        <f>+NOMINA!C353</f>
        <v>12797543</v>
      </c>
      <c r="C364" s="949" t="str">
        <f>+NOMINA!D353</f>
        <v>Carrizo Blanco Doris Coromoto</v>
      </c>
      <c r="D364" s="949" t="str">
        <f>+NOMINA!O353</f>
        <v>Ayudante de Servicios Generales</v>
      </c>
      <c r="E364" s="952">
        <f>+NOMINA!H353</f>
        <v>42948</v>
      </c>
      <c r="F364" s="953">
        <f>+NOMINA!BN353</f>
        <v>2.93</v>
      </c>
      <c r="G364" s="608"/>
      <c r="H364" s="609"/>
      <c r="I364" s="609"/>
      <c r="J364" s="609"/>
      <c r="K364" s="609"/>
    </row>
    <row r="365" spans="1:11" ht="15.75" customHeight="1">
      <c r="A365" s="951">
        <f t="shared" si="6"/>
        <v>43</v>
      </c>
      <c r="B365" s="949">
        <f>+NOMINA!C354</f>
        <v>12797598</v>
      </c>
      <c r="C365" s="949" t="str">
        <f>+NOMINA!D354</f>
        <v>Gutierrez Briceño Jose Gabriel</v>
      </c>
      <c r="D365" s="949" t="str">
        <f>+NOMINA!O354</f>
        <v>Cocinero</v>
      </c>
      <c r="E365" s="952">
        <f>+NOMINA!H354</f>
        <v>44635</v>
      </c>
      <c r="F365" s="953">
        <f>+NOMINA!BN354</f>
        <v>3.17</v>
      </c>
      <c r="G365" s="608"/>
      <c r="H365" s="609"/>
      <c r="I365" s="609"/>
      <c r="J365" s="609"/>
      <c r="K365" s="609"/>
    </row>
    <row r="366" spans="1:11" ht="15.75" customHeight="1">
      <c r="A366" s="951">
        <f t="shared" si="6"/>
        <v>44</v>
      </c>
      <c r="B366" s="949">
        <f>+NOMINA!C355</f>
        <v>13049800</v>
      </c>
      <c r="C366" s="949" t="str">
        <f>+NOMINA!D355</f>
        <v>Artigas Sanchez Mereldes Corina</v>
      </c>
      <c r="D366" s="949" t="str">
        <f>+NOMINA!O355</f>
        <v>Aseadora</v>
      </c>
      <c r="E366" s="952">
        <f>+NOMINA!H355</f>
        <v>42171</v>
      </c>
      <c r="F366" s="953">
        <f>+NOMINA!BN355</f>
        <v>2.73</v>
      </c>
      <c r="G366" s="608"/>
      <c r="H366" s="609"/>
      <c r="I366" s="609"/>
      <c r="J366" s="609"/>
      <c r="K366" s="609"/>
    </row>
    <row r="367" spans="1:11" ht="15.75" customHeight="1">
      <c r="A367" s="951">
        <f t="shared" si="6"/>
        <v>45</v>
      </c>
      <c r="B367" s="949">
        <f>+NOMINA!C356</f>
        <v>13260758</v>
      </c>
      <c r="C367" s="949" t="str">
        <f>+NOMINA!D356</f>
        <v>Zerpa Silva Frank Michael</v>
      </c>
      <c r="D367" s="949" t="str">
        <f>+NOMINA!O356</f>
        <v>Vigilante</v>
      </c>
      <c r="E367" s="952">
        <f>+NOMINA!H356</f>
        <v>39118</v>
      </c>
      <c r="F367" s="953">
        <f>+NOMINA!BN356</f>
        <v>4.38</v>
      </c>
      <c r="G367" s="608"/>
      <c r="H367" s="609"/>
      <c r="I367" s="609"/>
      <c r="J367" s="609"/>
      <c r="K367" s="609"/>
    </row>
    <row r="368" spans="1:11" ht="15.75" customHeight="1">
      <c r="A368" s="951">
        <f t="shared" si="6"/>
        <v>46</v>
      </c>
      <c r="B368" s="949">
        <f>+NOMINA!C357</f>
        <v>13376729</v>
      </c>
      <c r="C368" s="949" t="str">
        <f>+NOMINA!D357</f>
        <v>Briceño Aldana Yhon Mario</v>
      </c>
      <c r="D368" s="949" t="str">
        <f>+NOMINA!O357</f>
        <v>Vigilante</v>
      </c>
      <c r="E368" s="952">
        <f>+NOMINA!H357</f>
        <v>42948</v>
      </c>
      <c r="F368" s="953">
        <f>+NOMINA!BN357</f>
        <v>4.24</v>
      </c>
      <c r="G368" s="608"/>
      <c r="H368" s="609"/>
      <c r="I368" s="609"/>
      <c r="J368" s="609"/>
      <c r="K368" s="609"/>
    </row>
    <row r="369" spans="1:11" ht="15.75" customHeight="1">
      <c r="A369" s="951">
        <f t="shared" si="6"/>
        <v>47</v>
      </c>
      <c r="B369" s="949">
        <f>+NOMINA!C358</f>
        <v>13404824</v>
      </c>
      <c r="C369" s="949" t="str">
        <f>+NOMINA!D358</f>
        <v>Malpica Rivas Julio Enrique</v>
      </c>
      <c r="D369" s="949" t="str">
        <f>+NOMINA!O358</f>
        <v>Ayudante de Servicios Generales</v>
      </c>
      <c r="E369" s="952">
        <f>+NOMINA!H358</f>
        <v>45474</v>
      </c>
      <c r="F369" s="953">
        <f>+NOMINA!BN358</f>
        <v>2.82</v>
      </c>
      <c r="G369" s="608"/>
      <c r="H369" s="609"/>
      <c r="I369" s="609"/>
      <c r="J369" s="609"/>
      <c r="K369" s="609"/>
    </row>
    <row r="370" spans="1:11" ht="15.75" customHeight="1">
      <c r="A370" s="951">
        <f t="shared" si="6"/>
        <v>48</v>
      </c>
      <c r="B370" s="949">
        <f>+NOMINA!C359</f>
        <v>13522771</v>
      </c>
      <c r="C370" s="949" t="str">
        <f>+NOMINA!D359</f>
        <v>Briceño Leal Ana Edelmira</v>
      </c>
      <c r="D370" s="949" t="str">
        <f>+NOMINA!O359</f>
        <v>Aseadora</v>
      </c>
      <c r="E370" s="952">
        <f>+NOMINA!H359</f>
        <v>44228</v>
      </c>
      <c r="F370" s="953">
        <f>+NOMINA!BN359</f>
        <v>2.76</v>
      </c>
      <c r="G370" s="608"/>
      <c r="H370" s="609"/>
      <c r="I370" s="609"/>
      <c r="J370" s="609"/>
      <c r="K370" s="609"/>
    </row>
    <row r="371" spans="1:11" ht="15.75" customHeight="1">
      <c r="A371" s="951">
        <f t="shared" si="6"/>
        <v>49</v>
      </c>
      <c r="B371" s="949">
        <f>+NOMINA!C360</f>
        <v>13745328</v>
      </c>
      <c r="C371" s="949" t="str">
        <f>+NOMINA!D360</f>
        <v>Arroyo Williams Jose</v>
      </c>
      <c r="D371" s="949" t="str">
        <f>+NOMINA!O360</f>
        <v>Ayudante de Servicios Generales</v>
      </c>
      <c r="E371" s="952">
        <f>+NOMINA!H360</f>
        <v>44805</v>
      </c>
      <c r="F371" s="953">
        <f>+NOMINA!BN360</f>
        <v>3.87</v>
      </c>
      <c r="G371" s="608"/>
      <c r="H371" s="609"/>
      <c r="I371" s="609"/>
      <c r="J371" s="609"/>
      <c r="K371" s="609"/>
    </row>
    <row r="372" spans="1:11" ht="15.75" customHeight="1">
      <c r="A372" s="951">
        <f t="shared" si="6"/>
        <v>50</v>
      </c>
      <c r="B372" s="949">
        <f>+NOMINA!C361</f>
        <v>13996661</v>
      </c>
      <c r="C372" s="949" t="str">
        <f>+NOMINA!D361</f>
        <v>Perez Montilla Yosmer Alexander</v>
      </c>
      <c r="D372" s="949" t="str">
        <f>+NOMINA!O361</f>
        <v>Chofer</v>
      </c>
      <c r="E372" s="952">
        <f>+NOMINA!H361</f>
        <v>44743</v>
      </c>
      <c r="F372" s="953">
        <f>+NOMINA!BN361</f>
        <v>3.99</v>
      </c>
      <c r="G372" s="608"/>
      <c r="H372" s="609"/>
      <c r="I372" s="609"/>
      <c r="J372" s="609"/>
      <c r="K372" s="609"/>
    </row>
    <row r="373" spans="1:11" ht="15.75" customHeight="1">
      <c r="A373" s="951">
        <f t="shared" si="6"/>
        <v>51</v>
      </c>
      <c r="B373" s="949">
        <f>+NOMINA!C362</f>
        <v>13996885</v>
      </c>
      <c r="C373" s="949" t="str">
        <f>+NOMINA!D362</f>
        <v>Pulido Rojo Wilmer Jose</v>
      </c>
      <c r="D373" s="949" t="str">
        <f>+NOMINA!O362</f>
        <v>Chofer</v>
      </c>
      <c r="E373" s="952">
        <f>+NOMINA!H362</f>
        <v>44363</v>
      </c>
      <c r="F373" s="953">
        <f>+NOMINA!BN362</f>
        <v>3.85</v>
      </c>
      <c r="G373" s="608"/>
      <c r="H373" s="609"/>
      <c r="I373" s="609"/>
      <c r="J373" s="609"/>
      <c r="K373" s="609"/>
    </row>
    <row r="374" spans="1:11" ht="15.75" customHeight="1">
      <c r="A374" s="951">
        <f t="shared" si="6"/>
        <v>52</v>
      </c>
      <c r="B374" s="949">
        <f>+NOMINA!C363</f>
        <v>14149971</v>
      </c>
      <c r="C374" s="949" t="str">
        <f>+NOMINA!D363</f>
        <v>Rivera Virginia del Carmen</v>
      </c>
      <c r="D374" s="949" t="str">
        <f>+NOMINA!O363</f>
        <v>Aseadora</v>
      </c>
      <c r="E374" s="952">
        <f>+NOMINA!H363</f>
        <v>41091</v>
      </c>
      <c r="F374" s="953">
        <f>+NOMINA!BN363</f>
        <v>2.9</v>
      </c>
      <c r="G374" s="608"/>
      <c r="H374" s="609"/>
      <c r="I374" s="609"/>
      <c r="J374" s="609"/>
      <c r="K374" s="609"/>
    </row>
    <row r="375" spans="1:11" ht="15.75" customHeight="1">
      <c r="A375" s="951">
        <f t="shared" si="6"/>
        <v>53</v>
      </c>
      <c r="B375" s="949">
        <f>+NOMINA!C364</f>
        <v>14150495</v>
      </c>
      <c r="C375" s="949" t="str">
        <f>+NOMINA!D364</f>
        <v>Umbria de Segovia Alexandra del Carmen</v>
      </c>
      <c r="D375" s="949" t="str">
        <f>+NOMINA!O364</f>
        <v>Ayudante de Almacen</v>
      </c>
      <c r="E375" s="952">
        <f>+NOMINA!H364</f>
        <v>44228</v>
      </c>
      <c r="F375" s="953">
        <f>+NOMINA!BN364</f>
        <v>3.06</v>
      </c>
      <c r="G375" s="608"/>
      <c r="H375" s="609"/>
      <c r="I375" s="609"/>
      <c r="J375" s="609"/>
      <c r="K375" s="609"/>
    </row>
    <row r="376" spans="1:11" ht="15.75" customHeight="1">
      <c r="A376" s="951">
        <f t="shared" si="6"/>
        <v>54</v>
      </c>
      <c r="B376" s="949">
        <f>+NOMINA!C365</f>
        <v>14599616</v>
      </c>
      <c r="C376" s="949" t="str">
        <f>+NOMINA!D365</f>
        <v>Andara Briceño Jean Carlos</v>
      </c>
      <c r="D376" s="949" t="str">
        <f>+NOMINA!O365</f>
        <v>Aseador</v>
      </c>
      <c r="E376" s="952">
        <f>+NOMINA!H365</f>
        <v>43525</v>
      </c>
      <c r="F376" s="953">
        <f>+NOMINA!BN365</f>
        <v>2.67</v>
      </c>
      <c r="G376" s="608"/>
      <c r="H376" s="609"/>
      <c r="I376" s="609"/>
      <c r="J376" s="609"/>
      <c r="K376" s="609"/>
    </row>
    <row r="377" spans="1:11" ht="15.75" customHeight="1">
      <c r="A377" s="951">
        <f t="shared" si="6"/>
        <v>55</v>
      </c>
      <c r="B377" s="949">
        <f>+NOMINA!C366</f>
        <v>14718369</v>
      </c>
      <c r="C377" s="949" t="str">
        <f>+NOMINA!D366</f>
        <v>Pacheco Yudith Del Valle</v>
      </c>
      <c r="D377" s="949" t="str">
        <f>+NOMINA!O366</f>
        <v>Aseadora</v>
      </c>
      <c r="E377" s="952">
        <f>+NOMINA!H366</f>
        <v>43147</v>
      </c>
      <c r="F377" s="953">
        <f>+NOMINA!BN366</f>
        <v>2.68</v>
      </c>
      <c r="G377" s="608"/>
      <c r="H377" s="609"/>
      <c r="I377" s="609"/>
      <c r="J377" s="609"/>
      <c r="K377" s="609"/>
    </row>
    <row r="378" spans="1:11" ht="15.75" customHeight="1">
      <c r="A378" s="951">
        <f t="shared" si="6"/>
        <v>56</v>
      </c>
      <c r="B378" s="949">
        <f>+NOMINA!C367</f>
        <v>14718468</v>
      </c>
      <c r="C378" s="949" t="str">
        <f>+NOMINA!D367</f>
        <v>Frias Aldana Yhonny Ramon</v>
      </c>
      <c r="D378" s="949" t="str">
        <f>+NOMINA!O367</f>
        <v>Ayudante De Almacen</v>
      </c>
      <c r="E378" s="952">
        <f>+NOMINA!H367</f>
        <v>42948</v>
      </c>
      <c r="F378" s="953">
        <f>+NOMINA!BN367</f>
        <v>3.26</v>
      </c>
      <c r="G378" s="608"/>
      <c r="H378" s="609"/>
      <c r="I378" s="609"/>
      <c r="J378" s="609"/>
      <c r="K378" s="609"/>
    </row>
    <row r="379" spans="1:11" ht="15.75" customHeight="1">
      <c r="A379" s="951">
        <f t="shared" si="6"/>
        <v>57</v>
      </c>
      <c r="B379" s="949">
        <f>+NOMINA!C368</f>
        <v>14719205</v>
      </c>
      <c r="C379" s="949" t="str">
        <f>+NOMINA!D368</f>
        <v>Chinchilla Perez Jean Carlos</v>
      </c>
      <c r="D379" s="949" t="str">
        <f>+NOMINA!O368</f>
        <v>Ayudante de Servicios Generales</v>
      </c>
      <c r="E379" s="952">
        <f>+NOMINA!H368</f>
        <v>39861</v>
      </c>
      <c r="F379" s="953">
        <f>+NOMINA!BN368</f>
        <v>3.09</v>
      </c>
      <c r="G379" s="608"/>
      <c r="H379" s="609"/>
      <c r="I379" s="609"/>
      <c r="J379" s="609"/>
      <c r="K379" s="609"/>
    </row>
    <row r="380" spans="1:11" ht="15.75" customHeight="1">
      <c r="A380" s="951">
        <f t="shared" si="6"/>
        <v>58</v>
      </c>
      <c r="B380" s="949">
        <f>+NOMINA!C369</f>
        <v>14719356</v>
      </c>
      <c r="C380" s="949" t="str">
        <f>+NOMINA!D369</f>
        <v>Linares Montilla Gerardo Enrique</v>
      </c>
      <c r="D380" s="949" t="str">
        <f>+NOMINA!O369</f>
        <v>Ayudante de Servicios Generales</v>
      </c>
      <c r="E380" s="952">
        <f>+NOMINA!H369</f>
        <v>44348</v>
      </c>
      <c r="F380" s="953">
        <f>+NOMINA!BN369</f>
        <v>3.12</v>
      </c>
      <c r="G380" s="608"/>
      <c r="H380" s="609"/>
      <c r="I380" s="609"/>
      <c r="J380" s="609"/>
      <c r="K380" s="609"/>
    </row>
    <row r="381" spans="1:11" ht="15.75" customHeight="1">
      <c r="A381" s="951">
        <f t="shared" si="6"/>
        <v>59</v>
      </c>
      <c r="B381" s="949">
        <f>+NOMINA!C370</f>
        <v>14780893</v>
      </c>
      <c r="C381" s="949" t="str">
        <f>+NOMINA!D370</f>
        <v>Perez Gonzalez Reinaldo Andre</v>
      </c>
      <c r="D381" s="949" t="str">
        <f>+NOMINA!O370</f>
        <v>Ayudante de Servicios Generales</v>
      </c>
      <c r="E381" s="952">
        <f>+NOMINA!H370</f>
        <v>41570</v>
      </c>
      <c r="F381" s="953">
        <f>+NOMINA!BN370</f>
        <v>3.01</v>
      </c>
      <c r="G381" s="608"/>
      <c r="H381" s="609"/>
      <c r="I381" s="609"/>
      <c r="J381" s="609"/>
      <c r="K381" s="609"/>
    </row>
    <row r="382" spans="1:11" ht="15.75" customHeight="1">
      <c r="A382" s="951">
        <f t="shared" si="6"/>
        <v>60</v>
      </c>
      <c r="B382" s="949">
        <f>+NOMINA!C371</f>
        <v>14928047</v>
      </c>
      <c r="C382" s="949" t="str">
        <f>+NOMINA!D371</f>
        <v>Becerra Teran Maria Alejandra</v>
      </c>
      <c r="D382" s="949" t="str">
        <f>+NOMINA!O371</f>
        <v>Cocinera</v>
      </c>
      <c r="E382" s="952">
        <f>+NOMINA!H371</f>
        <v>43297</v>
      </c>
      <c r="F382" s="953">
        <f>+NOMINA!BN371</f>
        <v>3.12</v>
      </c>
      <c r="G382" s="608"/>
      <c r="H382" s="609"/>
      <c r="I382" s="609"/>
      <c r="J382" s="609"/>
      <c r="K382" s="609"/>
    </row>
    <row r="383" spans="1:11" ht="15.75" customHeight="1">
      <c r="A383" s="951">
        <f t="shared" si="6"/>
        <v>61</v>
      </c>
      <c r="B383" s="949">
        <f>+NOMINA!C372</f>
        <v>15042683</v>
      </c>
      <c r="C383" s="949" t="str">
        <f>+NOMINA!D372</f>
        <v>Rivera Hermes Edixon</v>
      </c>
      <c r="D383" s="949" t="str">
        <f>+NOMINA!O372</f>
        <v>Aseador</v>
      </c>
      <c r="E383" s="952">
        <f>+NOMINA!H372</f>
        <v>45292</v>
      </c>
      <c r="F383" s="953">
        <f>+NOMINA!BN372</f>
        <v>2.74</v>
      </c>
      <c r="G383" s="608"/>
      <c r="H383" s="609"/>
      <c r="I383" s="609"/>
      <c r="J383" s="609"/>
      <c r="K383" s="609"/>
    </row>
    <row r="384" spans="1:11" ht="15.75" customHeight="1">
      <c r="A384" s="951">
        <f t="shared" si="6"/>
        <v>62</v>
      </c>
      <c r="B384" s="949">
        <f>+NOMINA!C373</f>
        <v>15583194</v>
      </c>
      <c r="C384" s="949" t="str">
        <f>+NOMINA!D373</f>
        <v>Garcia Briceño Wuiston Andres</v>
      </c>
      <c r="D384" s="949" t="str">
        <f>+NOMINA!O373</f>
        <v>Cocinero</v>
      </c>
      <c r="E384" s="952">
        <f>+NOMINA!H373</f>
        <v>44166</v>
      </c>
      <c r="F384" s="953">
        <f>+NOMINA!BN373</f>
        <v>3.5</v>
      </c>
      <c r="G384" s="608"/>
      <c r="H384" s="609"/>
      <c r="I384" s="609"/>
      <c r="J384" s="609"/>
      <c r="K384" s="609"/>
    </row>
    <row r="385" spans="1:11" ht="15.75" customHeight="1">
      <c r="A385" s="951">
        <f t="shared" si="6"/>
        <v>63</v>
      </c>
      <c r="B385" s="949">
        <f>+NOMINA!C374</f>
        <v>14928592</v>
      </c>
      <c r="C385" s="949" t="str">
        <f>+NOMINA!D374</f>
        <v>Rosales Ruiz Jesus Alberto</v>
      </c>
      <c r="D385" s="949" t="str">
        <f>+NOMINA!O374</f>
        <v>Cocinero</v>
      </c>
      <c r="E385" s="952">
        <f>+NOMINA!H374</f>
        <v>45017</v>
      </c>
      <c r="F385" s="953">
        <f>+NOMINA!BN374</f>
        <v>3.03</v>
      </c>
      <c r="G385" s="608"/>
      <c r="H385" s="609"/>
      <c r="I385" s="609"/>
      <c r="J385" s="609"/>
      <c r="K385" s="609"/>
    </row>
    <row r="386" spans="1:11" ht="15.75" customHeight="1">
      <c r="A386" s="951">
        <f t="shared" si="6"/>
        <v>64</v>
      </c>
      <c r="B386" s="949">
        <f>+NOMINA!C375</f>
        <v>15952512</v>
      </c>
      <c r="C386" s="949" t="str">
        <f>+NOMINA!D375</f>
        <v>Graterol Gonzalez Maria Ysela</v>
      </c>
      <c r="D386" s="949" t="str">
        <f>+NOMINA!O375</f>
        <v>Aseadora</v>
      </c>
      <c r="E386" s="952">
        <f>+NOMINA!H375</f>
        <v>40725</v>
      </c>
      <c r="F386" s="953">
        <f>+NOMINA!BN375</f>
        <v>2.8</v>
      </c>
      <c r="G386" s="608"/>
      <c r="H386" s="609"/>
      <c r="I386" s="609"/>
      <c r="J386" s="609"/>
      <c r="K386" s="609"/>
    </row>
    <row r="387" spans="1:11" ht="15.75" customHeight="1">
      <c r="A387" s="951">
        <f t="shared" si="6"/>
        <v>65</v>
      </c>
      <c r="B387" s="949">
        <f>+NOMINA!C376</f>
        <v>15953703</v>
      </c>
      <c r="C387" s="949" t="str">
        <f>+NOMINA!D376</f>
        <v>Briceño Salas Jose Leonardo</v>
      </c>
      <c r="D387" s="949" t="str">
        <f>+NOMINA!O376</f>
        <v>Ayudante de Servicios Generales</v>
      </c>
      <c r="E387" s="952">
        <f>+NOMINA!H376</f>
        <v>38718</v>
      </c>
      <c r="F387" s="953">
        <f>+NOMINA!BN376</f>
        <v>3.44</v>
      </c>
      <c r="G387" s="608"/>
      <c r="H387" s="609"/>
      <c r="I387" s="609"/>
      <c r="J387" s="609"/>
      <c r="K387" s="609"/>
    </row>
    <row r="388" spans="1:11" ht="15.75" customHeight="1">
      <c r="A388" s="951">
        <f t="shared" si="6"/>
        <v>66</v>
      </c>
      <c r="B388" s="949">
        <f>+NOMINA!C377</f>
        <v>16266801</v>
      </c>
      <c r="C388" s="949" t="str">
        <f>+NOMINA!D377</f>
        <v>Briceño Gonzalez Mirla Carolina</v>
      </c>
      <c r="D388" s="949" t="str">
        <f>+NOMINA!O377</f>
        <v>Cocinera</v>
      </c>
      <c r="E388" s="952">
        <f>+NOMINA!H377</f>
        <v>39496</v>
      </c>
      <c r="F388" s="953">
        <f>+NOMINA!BN377</f>
        <v>3.47</v>
      </c>
      <c r="G388" s="608"/>
      <c r="H388" s="609"/>
      <c r="I388" s="609"/>
      <c r="J388" s="609"/>
      <c r="K388" s="609"/>
    </row>
    <row r="389" spans="1:11" ht="15.75" customHeight="1">
      <c r="A389" s="951">
        <f t="shared" ref="A389:A414" si="7">+A388+1</f>
        <v>67</v>
      </c>
      <c r="B389" s="949">
        <f>+NOMINA!C378</f>
        <v>16739958</v>
      </c>
      <c r="C389" s="949" t="str">
        <f>+NOMINA!D378</f>
        <v>Ramirez Ramirez Natali Gabriela</v>
      </c>
      <c r="D389" s="949" t="str">
        <f>+NOMINA!O378</f>
        <v>Ayud. Serv. De Cocina</v>
      </c>
      <c r="E389" s="952">
        <f>+NOMINA!H378</f>
        <v>44866</v>
      </c>
      <c r="F389" s="953">
        <f>+NOMINA!BN378</f>
        <v>3</v>
      </c>
      <c r="G389" s="608"/>
      <c r="H389" s="609"/>
      <c r="I389" s="609"/>
      <c r="J389" s="609"/>
      <c r="K389" s="609"/>
    </row>
    <row r="390" spans="1:11" ht="15.75" customHeight="1">
      <c r="A390" s="951">
        <f t="shared" si="7"/>
        <v>68</v>
      </c>
      <c r="B390" s="949">
        <f>+NOMINA!C379</f>
        <v>16881526</v>
      </c>
      <c r="C390" s="949" t="str">
        <f>+NOMINA!D379</f>
        <v>Montilla Mendoza Addy Coromoto</v>
      </c>
      <c r="D390" s="949" t="str">
        <f>+NOMINA!O379</f>
        <v>Aseador</v>
      </c>
      <c r="E390" s="952">
        <f>+NOMINA!H379</f>
        <v>44470</v>
      </c>
      <c r="F390" s="953">
        <f>+NOMINA!BN379</f>
        <v>2.89</v>
      </c>
      <c r="G390" s="608"/>
      <c r="H390" s="609"/>
      <c r="I390" s="609"/>
      <c r="J390" s="609"/>
      <c r="K390" s="609"/>
    </row>
    <row r="391" spans="1:11" ht="15.75" customHeight="1">
      <c r="A391" s="951">
        <f t="shared" si="7"/>
        <v>69</v>
      </c>
      <c r="B391" s="949">
        <f>+NOMINA!C380</f>
        <v>17093567</v>
      </c>
      <c r="C391" s="949" t="str">
        <f>+NOMINA!D380</f>
        <v>Torres Villarreal Yenny del Carmen</v>
      </c>
      <c r="D391" s="949" t="str">
        <f>+NOMINA!O380</f>
        <v>Ayudante de Servicios Generales</v>
      </c>
      <c r="E391" s="952">
        <f>+NOMINA!H380</f>
        <v>39449</v>
      </c>
      <c r="F391" s="953">
        <f>+NOMINA!BN380</f>
        <v>3.14</v>
      </c>
      <c r="G391" s="608"/>
      <c r="H391" s="609"/>
      <c r="I391" s="609"/>
      <c r="J391" s="609"/>
      <c r="K391" s="609"/>
    </row>
    <row r="392" spans="1:11" ht="15.75" customHeight="1">
      <c r="A392" s="951">
        <f t="shared" si="7"/>
        <v>70</v>
      </c>
      <c r="B392" s="949">
        <f>+NOMINA!C381</f>
        <v>17093846</v>
      </c>
      <c r="C392" s="949" t="str">
        <f>+NOMINA!D381</f>
        <v>Bastidas Rivera Junior Antonio</v>
      </c>
      <c r="D392" s="949" t="str">
        <f>+NOMINA!O381</f>
        <v>Ayudante de Servicios Generales</v>
      </c>
      <c r="E392" s="952">
        <f>+NOMINA!H381</f>
        <v>45017</v>
      </c>
      <c r="F392" s="953">
        <f>+NOMINA!BN381</f>
        <v>2.84</v>
      </c>
      <c r="G392" s="608"/>
      <c r="H392" s="609"/>
      <c r="I392" s="609"/>
      <c r="J392" s="609"/>
      <c r="K392" s="609"/>
    </row>
    <row r="393" spans="1:11" ht="15.75" customHeight="1">
      <c r="A393" s="951">
        <f t="shared" si="7"/>
        <v>71</v>
      </c>
      <c r="B393" s="949">
        <f>+NOMINA!C382</f>
        <v>17095084</v>
      </c>
      <c r="C393" s="949" t="str">
        <f>+NOMINA!D382</f>
        <v>Gonzalez Simancas Yulimar del Valle</v>
      </c>
      <c r="D393" s="949" t="str">
        <f>+NOMINA!O382</f>
        <v>Cocinera</v>
      </c>
      <c r="E393" s="952">
        <f>+NOMINA!H382</f>
        <v>44317</v>
      </c>
      <c r="F393" s="953">
        <f>+NOMINA!BN382</f>
        <v>3.31</v>
      </c>
      <c r="G393" s="608"/>
      <c r="H393" s="609"/>
      <c r="I393" s="609"/>
      <c r="J393" s="609"/>
      <c r="K393" s="609"/>
    </row>
    <row r="394" spans="1:11" ht="15.75" customHeight="1">
      <c r="A394" s="951">
        <f t="shared" si="7"/>
        <v>72</v>
      </c>
      <c r="B394" s="949">
        <f>+NOMINA!C383</f>
        <v>17267173</v>
      </c>
      <c r="C394" s="949" t="str">
        <f>+NOMINA!D383</f>
        <v>Torres Alvarez Olga Josefina</v>
      </c>
      <c r="D394" s="949" t="str">
        <f>+NOMINA!O383</f>
        <v>AYUDANTE DE ALMACEN</v>
      </c>
      <c r="E394" s="952">
        <f>+NOMINA!H383</f>
        <v>44317</v>
      </c>
      <c r="F394" s="953">
        <f>+NOMINA!BN383</f>
        <v>3.06</v>
      </c>
      <c r="G394" s="608"/>
      <c r="H394" s="609"/>
      <c r="I394" s="609"/>
      <c r="J394" s="609"/>
      <c r="K394" s="609"/>
    </row>
    <row r="395" spans="1:11" ht="15.75" customHeight="1">
      <c r="A395" s="951">
        <f t="shared" si="7"/>
        <v>73</v>
      </c>
      <c r="B395" s="949">
        <f>+NOMINA!C384</f>
        <v>17267546</v>
      </c>
      <c r="C395" s="949" t="str">
        <f>+NOMINA!D384</f>
        <v>Bastidas Rivera Franklin Enrique</v>
      </c>
      <c r="D395" s="949" t="str">
        <f>+NOMINA!O384</f>
        <v>Ayudante de Servicios Generales</v>
      </c>
      <c r="E395" s="952">
        <f>+NOMINA!H384</f>
        <v>39197</v>
      </c>
      <c r="F395" s="953">
        <f>+NOMINA!BN384</f>
        <v>3.27</v>
      </c>
      <c r="G395" s="608"/>
      <c r="H395" s="609"/>
      <c r="I395" s="609"/>
      <c r="J395" s="609"/>
      <c r="K395" s="609"/>
    </row>
    <row r="396" spans="1:11" ht="15.75" customHeight="1">
      <c r="A396" s="951">
        <f t="shared" si="7"/>
        <v>74</v>
      </c>
      <c r="B396" s="949">
        <f>+NOMINA!C385</f>
        <v>18096032</v>
      </c>
      <c r="C396" s="949" t="str">
        <f>+NOMINA!D385</f>
        <v>Graterol Graterol Isidro Antonio</v>
      </c>
      <c r="D396" s="949" t="str">
        <f>+NOMINA!O385</f>
        <v>Chofer</v>
      </c>
      <c r="E396" s="952">
        <f>+NOMINA!H385</f>
        <v>45566</v>
      </c>
      <c r="F396" s="953">
        <f>+NOMINA!BN385</f>
        <v>4.5199999999999996</v>
      </c>
      <c r="G396" s="608"/>
      <c r="H396" s="609"/>
      <c r="I396" s="609"/>
      <c r="J396" s="609"/>
      <c r="K396" s="609"/>
    </row>
    <row r="397" spans="1:11" ht="15.75" customHeight="1">
      <c r="A397" s="951">
        <f t="shared" si="7"/>
        <v>75</v>
      </c>
      <c r="B397" s="949">
        <f>+NOMINA!C386</f>
        <v>18096338</v>
      </c>
      <c r="C397" s="949" t="str">
        <f>+NOMINA!D386</f>
        <v>Ramirez Manzanilla Jose Jesus</v>
      </c>
      <c r="D397" s="949" t="str">
        <f>+NOMINA!O386</f>
        <v>Cocinero</v>
      </c>
      <c r="E397" s="952">
        <f>+NOMINA!H386</f>
        <v>39463</v>
      </c>
      <c r="F397" s="953">
        <f>+NOMINA!BN386</f>
        <v>3.58</v>
      </c>
      <c r="G397" s="608"/>
      <c r="H397" s="609"/>
      <c r="I397" s="609"/>
      <c r="J397" s="609"/>
      <c r="K397" s="609"/>
    </row>
    <row r="398" spans="1:11" ht="15.75" customHeight="1">
      <c r="A398" s="951">
        <f t="shared" si="7"/>
        <v>76</v>
      </c>
      <c r="B398" s="949">
        <f>+NOMINA!C387</f>
        <v>18350780</v>
      </c>
      <c r="C398" s="949" t="str">
        <f>+NOMINA!D387</f>
        <v>Frias Aldana Giovanny Jacinto</v>
      </c>
      <c r="D398" s="949" t="str">
        <f>+NOMINA!O387</f>
        <v>Vigilante</v>
      </c>
      <c r="E398" s="952">
        <f>+NOMINA!H387</f>
        <v>43116</v>
      </c>
      <c r="F398" s="953">
        <f>+NOMINA!BN387</f>
        <v>4.24</v>
      </c>
      <c r="G398" s="608"/>
      <c r="H398" s="609"/>
      <c r="I398" s="609"/>
      <c r="J398" s="609"/>
      <c r="K398" s="609"/>
    </row>
    <row r="399" spans="1:11" ht="15.75" customHeight="1">
      <c r="A399" s="951">
        <f t="shared" si="7"/>
        <v>77</v>
      </c>
      <c r="B399" s="949">
        <f>+NOMINA!C388</f>
        <v>18456167</v>
      </c>
      <c r="C399" s="949" t="str">
        <f>+NOMINA!D388</f>
        <v>Olmos Linares Luis Alberto</v>
      </c>
      <c r="D399" s="949" t="str">
        <f>+NOMINA!O388</f>
        <v>Cocinero</v>
      </c>
      <c r="E399" s="952">
        <f>+NOMINA!H388</f>
        <v>44516</v>
      </c>
      <c r="F399" s="953">
        <f>+NOMINA!BN388</f>
        <v>3.31</v>
      </c>
      <c r="G399" s="608"/>
      <c r="H399" s="609"/>
      <c r="I399" s="609"/>
      <c r="J399" s="609"/>
      <c r="K399" s="609"/>
    </row>
    <row r="400" spans="1:11" ht="15.75" customHeight="1">
      <c r="A400" s="951">
        <f t="shared" si="7"/>
        <v>78</v>
      </c>
      <c r="B400" s="949">
        <f>+NOMINA!C389</f>
        <v>18456576</v>
      </c>
      <c r="C400" s="949" t="str">
        <f>+NOMINA!D389</f>
        <v>Quintero Duran Emilio Alfonso</v>
      </c>
      <c r="D400" s="949" t="str">
        <f>+NOMINA!O389</f>
        <v>Chofer</v>
      </c>
      <c r="E400" s="952">
        <f>+NOMINA!H389</f>
        <v>44743</v>
      </c>
      <c r="F400" s="953">
        <f>+NOMINA!BN389</f>
        <v>4.1500000000000004</v>
      </c>
      <c r="G400" s="608"/>
      <c r="H400" s="609"/>
      <c r="I400" s="609"/>
      <c r="J400" s="609"/>
      <c r="K400" s="609"/>
    </row>
    <row r="401" spans="1:11" ht="15.75" customHeight="1">
      <c r="A401" s="951">
        <f t="shared" si="7"/>
        <v>79</v>
      </c>
      <c r="B401" s="949">
        <f>+NOMINA!C390</f>
        <v>20039961</v>
      </c>
      <c r="C401" s="949" t="str">
        <f>+NOMINA!D390</f>
        <v>Torres Villarreal Lisbeth Carolina</v>
      </c>
      <c r="D401" s="949" t="str">
        <f>+NOMINA!O390</f>
        <v>Aseadora</v>
      </c>
      <c r="E401" s="952">
        <f>+NOMINA!H390</f>
        <v>38412</v>
      </c>
      <c r="F401" s="953">
        <f>+NOMINA!BN390</f>
        <v>3.17</v>
      </c>
      <c r="G401" s="608"/>
      <c r="H401" s="609"/>
      <c r="I401" s="609"/>
      <c r="J401" s="609"/>
      <c r="K401" s="609"/>
    </row>
    <row r="402" spans="1:11" ht="15.75" customHeight="1">
      <c r="A402" s="951">
        <f t="shared" si="7"/>
        <v>80</v>
      </c>
      <c r="B402" s="949">
        <f>+NOMINA!C391</f>
        <v>20040649</v>
      </c>
      <c r="C402" s="949" t="str">
        <f>+NOMINA!D391</f>
        <v>Isarra Materan Jose de La Paz</v>
      </c>
      <c r="D402" s="949" t="str">
        <f>+NOMINA!O391</f>
        <v>Chofer</v>
      </c>
      <c r="E402" s="952">
        <f>+NOMINA!H391</f>
        <v>44743</v>
      </c>
      <c r="F402" s="953">
        <f>+NOMINA!BN391</f>
        <v>4.1500000000000004</v>
      </c>
      <c r="G402" s="608"/>
      <c r="H402" s="609"/>
      <c r="I402" s="609"/>
      <c r="J402" s="609"/>
      <c r="K402" s="609"/>
    </row>
    <row r="403" spans="1:11" ht="15.75" customHeight="1">
      <c r="A403" s="951">
        <f t="shared" si="7"/>
        <v>81</v>
      </c>
      <c r="B403" s="949">
        <f>+NOMINA!C392</f>
        <v>21366579</v>
      </c>
      <c r="C403" s="949" t="str">
        <f>+NOMINA!D392</f>
        <v>Azuaje Espinoza Erick Enrique</v>
      </c>
      <c r="D403" s="949" t="str">
        <f>+NOMINA!O392</f>
        <v>Mensajero</v>
      </c>
      <c r="E403" s="952">
        <f>+NOMINA!H392</f>
        <v>44774</v>
      </c>
      <c r="F403" s="953">
        <f>+NOMINA!BN392</f>
        <v>2.87</v>
      </c>
      <c r="G403" s="608"/>
      <c r="H403" s="609"/>
      <c r="I403" s="609"/>
      <c r="J403" s="609"/>
      <c r="K403" s="609"/>
    </row>
    <row r="404" spans="1:11" ht="15.75" customHeight="1">
      <c r="A404" s="951">
        <f t="shared" si="7"/>
        <v>82</v>
      </c>
      <c r="B404" s="949">
        <f>+NOMINA!C393</f>
        <v>23594381</v>
      </c>
      <c r="C404" s="949" t="str">
        <f>+NOMINA!D393</f>
        <v>Albornoz Montilla Daniel Enrique</v>
      </c>
      <c r="D404" s="949" t="str">
        <f>+NOMINA!O393</f>
        <v>Ayudante de Servicios Generales</v>
      </c>
      <c r="E404" s="952">
        <f>+NOMINA!H393</f>
        <v>45597</v>
      </c>
      <c r="F404" s="953">
        <f>+NOMINA!BN393</f>
        <v>2.85</v>
      </c>
      <c r="G404" s="608"/>
      <c r="H404" s="609"/>
      <c r="I404" s="609"/>
      <c r="J404" s="609"/>
      <c r="K404" s="609"/>
    </row>
    <row r="405" spans="1:11" ht="15.75" customHeight="1">
      <c r="A405" s="951">
        <f t="shared" si="7"/>
        <v>83</v>
      </c>
      <c r="B405" s="949">
        <f>+NOMINA!C394</f>
        <v>25173228</v>
      </c>
      <c r="C405" s="949" t="str">
        <f>+NOMINA!D394</f>
        <v>Davila Sanchez Eduar Alexander</v>
      </c>
      <c r="D405" s="949" t="str">
        <f>+NOMINA!O394</f>
        <v>Ayudante de Servicios Generales</v>
      </c>
      <c r="E405" s="952">
        <f>+NOMINA!H394</f>
        <v>44531</v>
      </c>
      <c r="F405" s="953">
        <f>+NOMINA!BN394</f>
        <v>4.05</v>
      </c>
      <c r="G405" s="608"/>
      <c r="H405" s="609"/>
      <c r="I405" s="609"/>
      <c r="J405" s="609"/>
      <c r="K405" s="609"/>
    </row>
    <row r="406" spans="1:11" ht="15.75" customHeight="1">
      <c r="A406" s="951">
        <f t="shared" si="7"/>
        <v>84</v>
      </c>
      <c r="B406" s="949">
        <f>+NOMINA!C395</f>
        <v>25631811</v>
      </c>
      <c r="C406" s="949" t="str">
        <f>+NOMINA!D395</f>
        <v>Barrios Briceño Christian Xavier</v>
      </c>
      <c r="D406" s="949" t="str">
        <f>+NOMINA!O395</f>
        <v>Cocinero</v>
      </c>
      <c r="E406" s="952">
        <f>+NOMINA!H395</f>
        <v>44440</v>
      </c>
      <c r="F406" s="953">
        <f>+NOMINA!BN395</f>
        <v>3.06</v>
      </c>
      <c r="G406" s="608"/>
      <c r="H406" s="609"/>
      <c r="I406" s="609"/>
      <c r="J406" s="609"/>
      <c r="K406" s="609"/>
    </row>
    <row r="407" spans="1:11" ht="15.75" customHeight="1">
      <c r="A407" s="951">
        <f t="shared" si="7"/>
        <v>85</v>
      </c>
      <c r="B407" s="949">
        <f>+NOMINA!C396</f>
        <v>25919888</v>
      </c>
      <c r="C407" s="949" t="str">
        <f>+NOMINA!D396</f>
        <v>Rivero Lamus Ninoska del Valle</v>
      </c>
      <c r="D407" s="949" t="str">
        <f>+NOMINA!O396</f>
        <v>Aseadora</v>
      </c>
      <c r="E407" s="952">
        <f>+NOMINA!H396</f>
        <v>44805</v>
      </c>
      <c r="F407" s="953">
        <f>+NOMINA!BN396</f>
        <v>2.88</v>
      </c>
      <c r="G407" s="608"/>
      <c r="H407" s="609"/>
      <c r="I407" s="609"/>
      <c r="J407" s="609"/>
      <c r="K407" s="609"/>
    </row>
    <row r="408" spans="1:11" ht="15.75" customHeight="1">
      <c r="A408" s="951">
        <f t="shared" si="7"/>
        <v>86</v>
      </c>
      <c r="B408" s="949">
        <f>+NOMINA!C397</f>
        <v>26235670</v>
      </c>
      <c r="C408" s="949" t="str">
        <f>+NOMINA!D397</f>
        <v>Viloria Garcia Kieny Keyvit</v>
      </c>
      <c r="D408" s="949" t="str">
        <f>+NOMINA!O397</f>
        <v>Ayudante de Servicios Generales</v>
      </c>
      <c r="E408" s="952">
        <f>+NOMINA!H397</f>
        <v>45597</v>
      </c>
      <c r="F408" s="953">
        <f>+NOMINA!BN397</f>
        <v>2.85</v>
      </c>
      <c r="G408" s="608"/>
      <c r="H408" s="609"/>
      <c r="I408" s="609"/>
      <c r="J408" s="609"/>
      <c r="K408" s="609"/>
    </row>
    <row r="409" spans="1:11" ht="15.75" customHeight="1">
      <c r="A409" s="951">
        <f t="shared" si="7"/>
        <v>87</v>
      </c>
      <c r="B409" s="949">
        <f>+NOMINA!C398</f>
        <v>26482867</v>
      </c>
      <c r="C409" s="949" t="str">
        <f>+NOMINA!D398</f>
        <v>Valecillos Duran Brando Jose</v>
      </c>
      <c r="D409" s="949" t="str">
        <f>+NOMINA!O398</f>
        <v>Ayudante de Servicios Generales</v>
      </c>
      <c r="E409" s="952">
        <f>+NOMINA!H398</f>
        <v>45078</v>
      </c>
      <c r="F409" s="953">
        <f>+NOMINA!BN398</f>
        <v>2.84</v>
      </c>
      <c r="G409" s="608"/>
      <c r="H409" s="609"/>
      <c r="I409" s="609"/>
      <c r="J409" s="609"/>
      <c r="K409" s="609"/>
    </row>
    <row r="410" spans="1:11" ht="15.75" customHeight="1">
      <c r="A410" s="951">
        <f t="shared" si="7"/>
        <v>88</v>
      </c>
      <c r="B410" s="949">
        <f>+NOMINA!C399</f>
        <v>27415509</v>
      </c>
      <c r="C410" s="949" t="str">
        <f>+NOMINA!D399</f>
        <v>Barreto Rivero Luis Diego</v>
      </c>
      <c r="D410" s="949" t="str">
        <f>+NOMINA!O399</f>
        <v>Ayudante de Servicios Generales</v>
      </c>
      <c r="E410" s="952">
        <f>+NOMINA!H399</f>
        <v>43678</v>
      </c>
      <c r="F410" s="953">
        <f>+NOMINA!BN399</f>
        <v>2.9</v>
      </c>
      <c r="G410" s="608"/>
      <c r="H410" s="609"/>
      <c r="I410" s="609"/>
      <c r="J410" s="609"/>
      <c r="K410" s="609"/>
    </row>
    <row r="411" spans="1:11" ht="15.75" customHeight="1">
      <c r="A411" s="951">
        <f t="shared" si="7"/>
        <v>89</v>
      </c>
      <c r="B411" s="949">
        <f>+NOMINA!C400</f>
        <v>27470077</v>
      </c>
      <c r="C411" s="949" t="str">
        <f>+NOMINA!D400</f>
        <v>Gonzalez Castellanos Yusberly Yohandri</v>
      </c>
      <c r="D411" s="949" t="str">
        <f>+NOMINA!O400</f>
        <v>Aseadora</v>
      </c>
      <c r="E411" s="952">
        <f>+NOMINA!H400</f>
        <v>44743</v>
      </c>
      <c r="F411" s="953">
        <f>+NOMINA!BN400</f>
        <v>2.75</v>
      </c>
      <c r="G411" s="608"/>
      <c r="H411" s="609"/>
      <c r="I411" s="609"/>
      <c r="J411" s="609"/>
      <c r="K411" s="609"/>
    </row>
    <row r="412" spans="1:11" ht="15.75" customHeight="1">
      <c r="A412" s="951">
        <f t="shared" si="7"/>
        <v>90</v>
      </c>
      <c r="B412" s="949">
        <f>+NOMINA!C401</f>
        <v>29539270</v>
      </c>
      <c r="C412" s="949" t="str">
        <f>+NOMINA!D401</f>
        <v>Rojas Carrillo Laureano Augusto</v>
      </c>
      <c r="D412" s="949" t="str">
        <f>+NOMINA!O401</f>
        <v>Ayudante de Servicios Generales</v>
      </c>
      <c r="E412" s="952">
        <f>+NOMINA!H401</f>
        <v>44287</v>
      </c>
      <c r="F412" s="953">
        <f>+NOMINA!BN401</f>
        <v>2.87</v>
      </c>
      <c r="G412" s="608"/>
      <c r="H412" s="609"/>
      <c r="I412" s="609"/>
      <c r="J412" s="609"/>
      <c r="K412" s="609"/>
    </row>
    <row r="413" spans="1:11" ht="15.75" customHeight="1">
      <c r="A413" s="951">
        <f t="shared" si="7"/>
        <v>91</v>
      </c>
      <c r="B413" s="949">
        <f>+NOMINA!C402</f>
        <v>29994277</v>
      </c>
      <c r="C413" s="949" t="str">
        <f>+NOMINA!D402</f>
        <v>Quintero Rangel Jose Arsenio</v>
      </c>
      <c r="D413" s="949" t="str">
        <f>+NOMINA!O402</f>
        <v>Ayudante de Servicios Generales</v>
      </c>
      <c r="E413" s="952">
        <f>+NOMINA!H402</f>
        <v>44562</v>
      </c>
      <c r="F413" s="953">
        <f>+NOMINA!BN402</f>
        <v>2.87</v>
      </c>
      <c r="G413" s="608"/>
      <c r="H413" s="609"/>
      <c r="I413" s="609"/>
      <c r="J413" s="609"/>
      <c r="K413" s="609"/>
    </row>
    <row r="414" spans="1:11" ht="15.75" customHeight="1" thickBot="1">
      <c r="A414" s="951">
        <f t="shared" si="7"/>
        <v>92</v>
      </c>
      <c r="B414" s="949">
        <f>+NOMINA!C403</f>
        <v>32084560</v>
      </c>
      <c r="C414" s="949" t="str">
        <f>+NOMINA!D403</f>
        <v>Hernandez Gomez Carmen Elena</v>
      </c>
      <c r="D414" s="949" t="str">
        <f>+NOMINA!O403</f>
        <v xml:space="preserve">Cocinera </v>
      </c>
      <c r="E414" s="952">
        <f>+NOMINA!H403</f>
        <v>44348</v>
      </c>
      <c r="F414" s="953">
        <f>+NOMINA!BN403</f>
        <v>3.06</v>
      </c>
      <c r="G414" s="608"/>
      <c r="H414" s="609"/>
      <c r="I414" s="609"/>
      <c r="J414" s="609"/>
      <c r="K414" s="609"/>
    </row>
    <row r="415" spans="1:11" ht="15.75" customHeight="1" thickBot="1">
      <c r="A415" s="951"/>
      <c r="B415" s="949"/>
      <c r="C415" s="949"/>
      <c r="D415" s="949"/>
      <c r="E415" s="616" t="s">
        <v>4493</v>
      </c>
      <c r="F415" s="950">
        <f>SUM(F323:F414)</f>
        <v>294.74</v>
      </c>
      <c r="G415" s="608">
        <f>+NOMINA!BN395</f>
        <v>3.06</v>
      </c>
      <c r="H415" s="609">
        <f>+F415-G415</f>
        <v>291.68</v>
      </c>
      <c r="I415" s="609"/>
      <c r="J415" s="609"/>
      <c r="K415" s="609"/>
    </row>
    <row r="416" spans="1:11" ht="8.25" customHeight="1" thickBot="1">
      <c r="A416" s="956"/>
      <c r="B416" s="957"/>
      <c r="C416" s="958"/>
      <c r="D416" s="958"/>
      <c r="E416" s="959"/>
      <c r="F416" s="960"/>
      <c r="G416" s="608"/>
    </row>
    <row r="417" spans="1:8" ht="19.5" thickBot="1">
      <c r="A417" s="961"/>
      <c r="B417" s="962"/>
      <c r="C417" s="963"/>
      <c r="D417" s="963"/>
      <c r="E417" s="616" t="s">
        <v>5848</v>
      </c>
      <c r="F417" s="964">
        <f>+F415+F314+F37</f>
        <v>1640.5500000000009</v>
      </c>
      <c r="G417" s="608"/>
      <c r="H417" s="609"/>
    </row>
    <row r="418" spans="1:8" ht="13.5" customHeight="1">
      <c r="G418" s="609"/>
      <c r="H418" s="609"/>
    </row>
    <row r="419" spans="1:8">
      <c r="C419" s="604" t="s">
        <v>5840</v>
      </c>
      <c r="E419" s="604" t="s">
        <v>5841</v>
      </c>
    </row>
    <row r="422" spans="1:8" ht="17.25">
      <c r="C422" s="614" t="s">
        <v>5842</v>
      </c>
      <c r="E422" s="615" t="s">
        <v>5843</v>
      </c>
    </row>
    <row r="423" spans="1:8" ht="17.25">
      <c r="C423" s="614" t="s">
        <v>5844</v>
      </c>
      <c r="E423" s="614" t="s">
        <v>5845</v>
      </c>
      <c r="F423" s="618"/>
      <c r="G423" s="618"/>
    </row>
    <row r="424" spans="1:8">
      <c r="F424" s="620"/>
      <c r="G424" s="619"/>
      <c r="H424" s="619"/>
    </row>
    <row r="425" spans="1:8">
      <c r="G425" s="609"/>
      <c r="H425" s="609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2" manualBreakCount="2">
    <brk id="45" max="5" man="1"/>
    <brk id="321" max="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L426"/>
  <sheetViews>
    <sheetView view="pageBreakPreview" zoomScaleSheetLayoutView="100" workbookViewId="0">
      <selection activeCell="C32" sqref="C32"/>
    </sheetView>
  </sheetViews>
  <sheetFormatPr baseColWidth="10" defaultRowHeight="15"/>
  <cols>
    <col min="1" max="1" width="5.140625" style="604" customWidth="1"/>
    <col min="2" max="2" width="11.42578125" style="604"/>
    <col min="3" max="3" width="36.140625" style="604" customWidth="1"/>
    <col min="4" max="4" width="36.7109375" style="604" customWidth="1"/>
    <col min="5" max="5" width="10.85546875" style="604" hidden="1" customWidth="1"/>
    <col min="6" max="6" width="14" style="604" bestFit="1" customWidth="1"/>
    <col min="7" max="7" width="13" style="604" bestFit="1" customWidth="1"/>
    <col min="8" max="8" width="13.42578125" style="604" bestFit="1" customWidth="1"/>
    <col min="9" max="9" width="12.7109375" style="604" bestFit="1" customWidth="1"/>
    <col min="10" max="16384" width="11.42578125" style="604"/>
  </cols>
  <sheetData>
    <row r="1" spans="1:12" ht="15" customHeight="1">
      <c r="A1" s="1719" t="s">
        <v>5827</v>
      </c>
      <c r="B1" s="1719"/>
      <c r="C1" s="1719"/>
      <c r="D1" s="1719"/>
      <c r="E1" s="1719"/>
      <c r="F1" s="1719"/>
      <c r="G1" s="1719"/>
      <c r="H1" s="940"/>
    </row>
    <row r="2" spans="1:12" ht="15" customHeight="1">
      <c r="A2" s="1719" t="s">
        <v>5828</v>
      </c>
      <c r="B2" s="1719"/>
      <c r="C2" s="1719"/>
      <c r="D2" s="1719"/>
      <c r="E2" s="1719"/>
      <c r="F2" s="1719"/>
      <c r="G2" s="1719"/>
      <c r="H2" s="940"/>
    </row>
    <row r="3" spans="1:12" ht="15" customHeight="1">
      <c r="A3" s="1719" t="s">
        <v>5829</v>
      </c>
      <c r="B3" s="1719"/>
      <c r="C3" s="1719"/>
      <c r="D3" s="1719"/>
      <c r="E3" s="1719"/>
      <c r="F3" s="1719"/>
      <c r="G3" s="1719"/>
      <c r="H3" s="940"/>
    </row>
    <row r="4" spans="1:12" ht="15" customHeight="1">
      <c r="A4" s="1719" t="s">
        <v>5830</v>
      </c>
      <c r="B4" s="1719"/>
      <c r="C4" s="1719"/>
      <c r="D4" s="1719"/>
      <c r="E4" s="1719"/>
      <c r="F4" s="1719"/>
      <c r="G4" s="1719"/>
      <c r="H4" s="940"/>
    </row>
    <row r="5" spans="1:12" ht="15" customHeight="1">
      <c r="A5" s="1719" t="s">
        <v>5849</v>
      </c>
      <c r="B5" s="1719"/>
      <c r="C5" s="1719"/>
      <c r="D5" s="1719"/>
      <c r="E5" s="1719"/>
      <c r="F5" s="1719"/>
      <c r="G5" s="1719"/>
      <c r="H5" s="940"/>
    </row>
    <row r="6" spans="1:12">
      <c r="A6" s="1719" t="s">
        <v>5831</v>
      </c>
      <c r="B6" s="1719"/>
      <c r="C6" s="1719"/>
      <c r="D6" s="1719"/>
      <c r="E6" s="1719"/>
      <c r="F6" s="1719"/>
      <c r="G6" s="1719"/>
      <c r="H6" s="940"/>
    </row>
    <row r="8" spans="1:12" ht="20.25" customHeight="1">
      <c r="A8" s="1718" t="s">
        <v>5856</v>
      </c>
      <c r="B8" s="1718"/>
      <c r="C8" s="1718"/>
      <c r="D8" s="1718"/>
      <c r="E8" s="1718"/>
      <c r="F8" s="1718"/>
      <c r="G8" s="1718"/>
      <c r="H8" s="939"/>
    </row>
    <row r="9" spans="1:12" ht="18.75" customHeight="1">
      <c r="A9" s="1718" t="str">
        <f>+"Correspondiente al  mes de "&amp;NOMINA!F9&amp;" "&amp;NOMINA!H9</f>
        <v>Correspondiente al  mes de ENERO 2025</v>
      </c>
      <c r="B9" s="1718"/>
      <c r="C9" s="1718"/>
      <c r="D9" s="1718"/>
      <c r="E9" s="1718"/>
      <c r="F9" s="1718"/>
      <c r="G9" s="1718"/>
      <c r="H9" s="939"/>
    </row>
    <row r="11" spans="1:12" ht="25.5">
      <c r="A11" s="947" t="s">
        <v>5571</v>
      </c>
      <c r="B11" s="947" t="s">
        <v>5833</v>
      </c>
      <c r="C11" s="947" t="s">
        <v>5834</v>
      </c>
      <c r="D11" s="947" t="s">
        <v>5835</v>
      </c>
      <c r="E11" s="948" t="s">
        <v>5836</v>
      </c>
      <c r="F11" s="947" t="s">
        <v>2860</v>
      </c>
      <c r="G11" s="947" t="s">
        <v>5851</v>
      </c>
      <c r="H11" s="605"/>
    </row>
    <row r="12" spans="1:12" ht="15.75" customHeight="1">
      <c r="A12" s="606" t="s">
        <v>5838</v>
      </c>
      <c r="B12" s="949"/>
      <c r="C12" s="949"/>
      <c r="D12" s="949"/>
      <c r="E12" s="949"/>
      <c r="F12" s="950"/>
      <c r="G12" s="950"/>
      <c r="H12" s="608"/>
      <c r="I12" s="609"/>
      <c r="J12" s="609"/>
      <c r="K12" s="609"/>
      <c r="L12" s="609"/>
    </row>
    <row r="13" spans="1:12" ht="15.75" customHeight="1">
      <c r="A13" s="951">
        <v>1</v>
      </c>
      <c r="B13" s="949">
        <f>+NOMINA!C17</f>
        <v>11894534</v>
      </c>
      <c r="C13" s="949" t="str">
        <f>+NOMINA!D17</f>
        <v>Olmos Rodriguez Eberto de Jesus</v>
      </c>
      <c r="D13" s="949" t="str">
        <f>+NOMINA!O17</f>
        <v>JEFE DE DEPARTAMENTO</v>
      </c>
      <c r="E13" s="952">
        <f>+NOMINA!H17</f>
        <v>40909</v>
      </c>
      <c r="F13" s="953">
        <f>+NOMINA!BL17</f>
        <v>27.78</v>
      </c>
      <c r="G13" s="953">
        <f>+NOMINA!BM17</f>
        <v>3.47</v>
      </c>
      <c r="H13" s="608"/>
      <c r="I13" s="609"/>
      <c r="J13" s="609"/>
      <c r="K13" s="609"/>
      <c r="L13" s="609"/>
    </row>
    <row r="14" spans="1:12" ht="15.75" customHeight="1">
      <c r="A14" s="951">
        <f>+A13+1</f>
        <v>2</v>
      </c>
      <c r="B14" s="949">
        <f>+NOMINA!C18</f>
        <v>12458942</v>
      </c>
      <c r="C14" s="949" t="str">
        <f>+NOMINA!D18</f>
        <v>Mendoza Mendoza Mirian del Milagro</v>
      </c>
      <c r="D14" s="949" t="str">
        <f>+NOMINA!O18</f>
        <v>JEFE DE DEPARTAMENTO</v>
      </c>
      <c r="E14" s="952">
        <f>+NOMINA!H18</f>
        <v>44424</v>
      </c>
      <c r="F14" s="953">
        <f>+NOMINA!BL18</f>
        <v>28.82</v>
      </c>
      <c r="G14" s="953">
        <f>+NOMINA!BM18</f>
        <v>3.6</v>
      </c>
      <c r="H14" s="608"/>
      <c r="I14" s="609"/>
      <c r="J14" s="609"/>
      <c r="K14" s="609"/>
      <c r="L14" s="609"/>
    </row>
    <row r="15" spans="1:12" ht="15.75" customHeight="1">
      <c r="A15" s="951">
        <f t="shared" ref="A15:A36" si="0">+A14+1</f>
        <v>3</v>
      </c>
      <c r="B15" s="949">
        <f>+NOMINA!C19</f>
        <v>8719807</v>
      </c>
      <c r="C15" s="949" t="str">
        <f>+NOMINA!D19</f>
        <v>Perez Saavedra Isabel Teresa</v>
      </c>
      <c r="D15" s="949" t="str">
        <f>+NOMINA!O19</f>
        <v>JEFE DE DEPARTAMENTO</v>
      </c>
      <c r="E15" s="952">
        <f>+NOMINA!H19</f>
        <v>39874</v>
      </c>
      <c r="F15" s="953">
        <f>+NOMINA!BL19</f>
        <v>26.84</v>
      </c>
      <c r="G15" s="953">
        <f>+NOMINA!BM19</f>
        <v>3.36</v>
      </c>
      <c r="H15" s="608"/>
      <c r="I15" s="609"/>
      <c r="J15" s="609"/>
      <c r="K15" s="609"/>
      <c r="L15" s="609"/>
    </row>
    <row r="16" spans="1:12" ht="15.75" customHeight="1">
      <c r="A16" s="951">
        <f t="shared" si="0"/>
        <v>4</v>
      </c>
      <c r="B16" s="949">
        <f>+NOMINA!C20</f>
        <v>10404528</v>
      </c>
      <c r="C16" s="949" t="str">
        <f>+NOMINA!D20</f>
        <v>Perez Castellano Javier Horacio</v>
      </c>
      <c r="D16" s="949" t="str">
        <f>+NOMINA!O20</f>
        <v>JEFE DE DEPARTAMENTO</v>
      </c>
      <c r="E16" s="952">
        <f>+NOMINA!H20</f>
        <v>37622</v>
      </c>
      <c r="F16" s="953">
        <f>+NOMINA!BL20</f>
        <v>28.29</v>
      </c>
      <c r="G16" s="953">
        <f>+NOMINA!BM20</f>
        <v>3.54</v>
      </c>
      <c r="H16" s="608"/>
      <c r="I16" s="609"/>
      <c r="J16" s="609"/>
      <c r="K16" s="609"/>
      <c r="L16" s="609"/>
    </row>
    <row r="17" spans="1:12" ht="15.75" customHeight="1">
      <c r="A17" s="951">
        <f t="shared" si="0"/>
        <v>5</v>
      </c>
      <c r="B17" s="949">
        <f>+NOMINA!C21</f>
        <v>9311822</v>
      </c>
      <c r="C17" s="949" t="str">
        <f>+NOMINA!D21</f>
        <v>Rojo Sanchez Alexis O.</v>
      </c>
      <c r="D17" s="949" t="str">
        <f>+NOMINA!O21</f>
        <v>JEFE DE DEPARTAMENTO</v>
      </c>
      <c r="E17" s="952">
        <f>+NOMINA!H21</f>
        <v>37662</v>
      </c>
      <c r="F17" s="953">
        <f>+NOMINA!BL21</f>
        <v>21.93</v>
      </c>
      <c r="G17" s="953">
        <f>+NOMINA!BM21</f>
        <v>2.74</v>
      </c>
      <c r="H17" s="608"/>
      <c r="I17" s="609"/>
      <c r="J17" s="609"/>
      <c r="K17" s="609"/>
      <c r="L17" s="609"/>
    </row>
    <row r="18" spans="1:12" ht="15.75" customHeight="1">
      <c r="A18" s="951">
        <f t="shared" si="0"/>
        <v>6</v>
      </c>
      <c r="B18" s="949">
        <f>+NOMINA!C22</f>
        <v>21592108</v>
      </c>
      <c r="C18" s="949" t="str">
        <f>+NOMINA!D22</f>
        <v>Coy Andara Darlin Gabriela</v>
      </c>
      <c r="D18" s="949" t="str">
        <f>+NOMINA!O22</f>
        <v>JEFE DE DEPARTAMENTO</v>
      </c>
      <c r="E18" s="952">
        <f>+NOMINA!H22</f>
        <v>43024</v>
      </c>
      <c r="F18" s="953">
        <f>+NOMINA!BL22</f>
        <v>23.59</v>
      </c>
      <c r="G18" s="953">
        <f>+NOMINA!BM22</f>
        <v>2.95</v>
      </c>
      <c r="H18" s="608"/>
      <c r="I18" s="609"/>
      <c r="J18" s="609"/>
      <c r="K18" s="609"/>
      <c r="L18" s="609"/>
    </row>
    <row r="19" spans="1:12" ht="15.75" customHeight="1">
      <c r="A19" s="951">
        <f t="shared" si="0"/>
        <v>7</v>
      </c>
      <c r="B19" s="949">
        <f>+NOMINA!C23</f>
        <v>13206767</v>
      </c>
      <c r="C19" s="949" t="str">
        <f>+NOMINA!D23</f>
        <v>Bastidas Guerra Soralis del Valle</v>
      </c>
      <c r="D19" s="949" t="str">
        <f>+NOMINA!O23</f>
        <v>COORDINADOR DE PROGRAMA (SAPNNAET)</v>
      </c>
      <c r="E19" s="952">
        <f>+NOMINA!H23</f>
        <v>44713</v>
      </c>
      <c r="F19" s="953">
        <f>+NOMINA!BL23</f>
        <v>22.38</v>
      </c>
      <c r="G19" s="953">
        <f>+NOMINA!BM23</f>
        <v>2.8</v>
      </c>
      <c r="H19" s="608"/>
      <c r="I19" s="609"/>
      <c r="J19" s="609"/>
      <c r="K19" s="609"/>
      <c r="L19" s="609"/>
    </row>
    <row r="20" spans="1:12" ht="15.75" customHeight="1">
      <c r="A20" s="951">
        <f t="shared" si="0"/>
        <v>8</v>
      </c>
      <c r="B20" s="949">
        <f>+NOMINA!C24</f>
        <v>13462933</v>
      </c>
      <c r="C20" s="949" t="str">
        <f>+NOMINA!D24</f>
        <v>Frias Aldana Maria Yaritza</v>
      </c>
      <c r="D20" s="949" t="str">
        <f>+NOMINA!O24</f>
        <v>COORDINADOR DE PROGRAMA (SAPNNAET)</v>
      </c>
      <c r="E20" s="952">
        <f>+NOMINA!H24</f>
        <v>39454</v>
      </c>
      <c r="F20" s="953">
        <f>+NOMINA!BL24</f>
        <v>26.36</v>
      </c>
      <c r="G20" s="953">
        <f>+NOMINA!BM24</f>
        <v>3.29</v>
      </c>
      <c r="H20" s="608"/>
      <c r="I20" s="609"/>
      <c r="J20" s="609"/>
      <c r="K20" s="609"/>
      <c r="L20" s="609"/>
    </row>
    <row r="21" spans="1:12" ht="15.75" customHeight="1">
      <c r="A21" s="951">
        <f t="shared" si="0"/>
        <v>9</v>
      </c>
      <c r="B21" s="949">
        <f>+NOMINA!C25</f>
        <v>11315315</v>
      </c>
      <c r="C21" s="949" t="str">
        <f>+NOMINA!D25</f>
        <v>Guillen Mendoza Edgar Daniel</v>
      </c>
      <c r="D21" s="949" t="str">
        <f>+NOMINA!O25</f>
        <v>COORDINADOR DE PROGRAMA (SAPNNAET)</v>
      </c>
      <c r="E21" s="952">
        <f>+NOMINA!H25</f>
        <v>45505</v>
      </c>
      <c r="F21" s="953">
        <f>+NOMINA!BL25</f>
        <v>17.649999999999999</v>
      </c>
      <c r="G21" s="953">
        <f>+NOMINA!BM25</f>
        <v>2.21</v>
      </c>
      <c r="H21" s="608"/>
      <c r="I21" s="609"/>
      <c r="J21" s="609"/>
      <c r="K21" s="609"/>
      <c r="L21" s="609"/>
    </row>
    <row r="22" spans="1:12" ht="15.75" customHeight="1">
      <c r="A22" s="951">
        <f t="shared" si="0"/>
        <v>10</v>
      </c>
      <c r="B22" s="949">
        <f>+NOMINA!C26</f>
        <v>12542413</v>
      </c>
      <c r="C22" s="949" t="str">
        <f>+NOMINA!D26</f>
        <v>Aponte Matheus Richard Alexander</v>
      </c>
      <c r="D22" s="949" t="str">
        <f>+NOMINA!O26</f>
        <v>COORDINADOR DE PROGRAMA (SAPNNAET)</v>
      </c>
      <c r="E22" s="952">
        <f>+NOMINA!H26</f>
        <v>36434</v>
      </c>
      <c r="F22" s="953">
        <f>+NOMINA!BL26</f>
        <v>21.5</v>
      </c>
      <c r="G22" s="953">
        <f>+NOMINA!BM26</f>
        <v>2.69</v>
      </c>
      <c r="H22" s="608"/>
      <c r="I22" s="609"/>
      <c r="J22" s="609"/>
      <c r="K22" s="609"/>
      <c r="L22" s="609"/>
    </row>
    <row r="23" spans="1:12" ht="15.75" customHeight="1">
      <c r="A23" s="951">
        <f t="shared" si="0"/>
        <v>11</v>
      </c>
      <c r="B23" s="949">
        <f>+NOMINA!C27</f>
        <v>18457406</v>
      </c>
      <c r="C23" s="949" t="str">
        <f>+NOMINA!D27</f>
        <v>Rivero Zambrano Herluis Jose</v>
      </c>
      <c r="D23" s="949" t="str">
        <f>+NOMINA!O27</f>
        <v>COORDINADOR DE PROGRAMA (SAPNNAET)</v>
      </c>
      <c r="E23" s="952">
        <f>+NOMINA!H27</f>
        <v>41548</v>
      </c>
      <c r="F23" s="953">
        <f>+NOMINA!BL27</f>
        <v>24.63</v>
      </c>
      <c r="G23" s="953">
        <f>+NOMINA!BM27</f>
        <v>3.08</v>
      </c>
      <c r="H23" s="608"/>
      <c r="I23" s="609"/>
      <c r="J23" s="609"/>
      <c r="K23" s="609"/>
      <c r="L23" s="609"/>
    </row>
    <row r="24" spans="1:12" ht="15.75" customHeight="1">
      <c r="A24" s="951">
        <f t="shared" si="0"/>
        <v>12</v>
      </c>
      <c r="B24" s="949">
        <f>+NOMINA!C28</f>
        <v>11895772</v>
      </c>
      <c r="C24" s="949" t="str">
        <f>+NOMINA!D28</f>
        <v>Rangel Rivas Ildemaro</v>
      </c>
      <c r="D24" s="949" t="str">
        <f>+NOMINA!O28</f>
        <v>COORDINADOR DE PROGRAMA (SAPNNAET)</v>
      </c>
      <c r="E24" s="952">
        <f>+NOMINA!H28</f>
        <v>44743</v>
      </c>
      <c r="F24" s="953">
        <f>+NOMINA!BL28</f>
        <v>22.04</v>
      </c>
      <c r="G24" s="953">
        <f>+NOMINA!BM28</f>
        <v>2.76</v>
      </c>
      <c r="H24" s="608"/>
      <c r="I24" s="609"/>
      <c r="J24" s="609"/>
      <c r="K24" s="609"/>
      <c r="L24" s="609"/>
    </row>
    <row r="25" spans="1:12" ht="15.75" customHeight="1">
      <c r="A25" s="951">
        <f t="shared" si="0"/>
        <v>13</v>
      </c>
      <c r="B25" s="949">
        <f>+NOMINA!C29</f>
        <v>9495661</v>
      </c>
      <c r="C25" s="949" t="str">
        <f>+NOMINA!D29</f>
        <v>Aguial Carrillo Gregoria Coromoto</v>
      </c>
      <c r="D25" s="949" t="str">
        <f>+NOMINA!O29</f>
        <v>COORDINADOR DE PROGRAMA (SAPNNAET)</v>
      </c>
      <c r="E25" s="952">
        <f>+NOMINA!H29</f>
        <v>39692</v>
      </c>
      <c r="F25" s="953">
        <f>+NOMINA!BL29</f>
        <v>20.170000000000002</v>
      </c>
      <c r="G25" s="953">
        <f>+NOMINA!BM29</f>
        <v>2.52</v>
      </c>
      <c r="H25" s="608"/>
      <c r="I25" s="609"/>
      <c r="J25" s="609"/>
      <c r="K25" s="609"/>
      <c r="L25" s="609"/>
    </row>
    <row r="26" spans="1:12" ht="15.75" customHeight="1">
      <c r="A26" s="951">
        <f t="shared" si="0"/>
        <v>14</v>
      </c>
      <c r="B26" s="949">
        <f>+NOMINA!C30</f>
        <v>5348397</v>
      </c>
      <c r="C26" s="949" t="str">
        <f>+NOMINA!D30</f>
        <v>Araujo Manzanilla Carlos Antonio</v>
      </c>
      <c r="D26" s="949" t="str">
        <f>+NOMINA!O30</f>
        <v>COORDINADOR DE PROGRAMA (SAPNNAET)</v>
      </c>
      <c r="E26" s="952">
        <f>+NOMINA!H30</f>
        <v>43359</v>
      </c>
      <c r="F26" s="953">
        <f>+NOMINA!BL30</f>
        <v>25.53</v>
      </c>
      <c r="G26" s="953">
        <f>+NOMINA!BM30</f>
        <v>3.19</v>
      </c>
      <c r="H26" s="608"/>
      <c r="I26" s="609"/>
      <c r="J26" s="609"/>
      <c r="K26" s="609"/>
      <c r="L26" s="609"/>
    </row>
    <row r="27" spans="1:12" ht="15.75" customHeight="1">
      <c r="A27" s="951">
        <f t="shared" si="0"/>
        <v>15</v>
      </c>
      <c r="B27" s="949">
        <f>+NOMINA!C31</f>
        <v>9314132</v>
      </c>
      <c r="C27" s="949" t="str">
        <f>+NOMINA!D31</f>
        <v>Viloria Montilla Gerardo</v>
      </c>
      <c r="D27" s="949" t="str">
        <f>+NOMINA!O31</f>
        <v>COORDINADOR DE PROGRAMA (SAPNNAET)</v>
      </c>
      <c r="E27" s="952">
        <f>+NOMINA!H31</f>
        <v>44348</v>
      </c>
      <c r="F27" s="953">
        <f>+NOMINA!BL31</f>
        <v>24.35</v>
      </c>
      <c r="G27" s="953">
        <f>+NOMINA!BM31</f>
        <v>3.04</v>
      </c>
      <c r="H27" s="608"/>
      <c r="I27" s="609"/>
      <c r="J27" s="609"/>
      <c r="K27" s="609"/>
      <c r="L27" s="609"/>
    </row>
    <row r="28" spans="1:12" ht="15.75" customHeight="1">
      <c r="A28" s="951">
        <f t="shared" si="0"/>
        <v>16</v>
      </c>
      <c r="B28" s="949">
        <f>+NOMINA!C32</f>
        <v>11320533</v>
      </c>
      <c r="C28" s="949" t="str">
        <f>+NOMINA!D32</f>
        <v>Suarez Chiquin Yaritza Josefina</v>
      </c>
      <c r="D28" s="949" t="str">
        <f>+NOMINA!O32</f>
        <v>COORDINADOR DE PROGRAMA (SAPNNAET)</v>
      </c>
      <c r="E28" s="952">
        <f>+NOMINA!H32</f>
        <v>37629</v>
      </c>
      <c r="F28" s="953">
        <f>+NOMINA!BL32</f>
        <v>27.39</v>
      </c>
      <c r="G28" s="953">
        <f>+NOMINA!BM32</f>
        <v>3.42</v>
      </c>
      <c r="H28" s="608"/>
      <c r="I28" s="609"/>
      <c r="J28" s="609"/>
      <c r="K28" s="609"/>
      <c r="L28" s="609"/>
    </row>
    <row r="29" spans="1:12" ht="15.75" customHeight="1">
      <c r="A29" s="951">
        <f t="shared" si="0"/>
        <v>17</v>
      </c>
      <c r="B29" s="949">
        <f>+NOMINA!C33</f>
        <v>10912595</v>
      </c>
      <c r="C29" s="949" t="str">
        <f>+NOMINA!D33</f>
        <v>Delfin Bustos Jose Hercilio</v>
      </c>
      <c r="D29" s="949" t="str">
        <f>+NOMINA!O33</f>
        <v>COORDINADOR DE PROGRAMA (SAPNNAET)</v>
      </c>
      <c r="E29" s="952">
        <f>+NOMINA!H33</f>
        <v>36039</v>
      </c>
      <c r="F29" s="953">
        <f>+NOMINA!BL33</f>
        <v>21.5</v>
      </c>
      <c r="G29" s="953">
        <f>+NOMINA!BM33</f>
        <v>2.69</v>
      </c>
      <c r="H29" s="608"/>
      <c r="I29" s="609"/>
      <c r="J29" s="609"/>
      <c r="K29" s="609"/>
      <c r="L29" s="609"/>
    </row>
    <row r="30" spans="1:12" ht="15.75" customHeight="1">
      <c r="A30" s="951">
        <f t="shared" si="0"/>
        <v>18</v>
      </c>
      <c r="B30" s="949">
        <f>+NOMINA!C34</f>
        <v>4306476</v>
      </c>
      <c r="C30" s="949" t="str">
        <f>+NOMINA!D34</f>
        <v xml:space="preserve">Triviño De Bastidas Dioni De La Coromoto </v>
      </c>
      <c r="D30" s="949" t="str">
        <f>+NOMINA!O34</f>
        <v>COORDINADOR DE PROGRAMA (SAPNNAET)</v>
      </c>
      <c r="E30" s="952">
        <f>+NOMINA!H34</f>
        <v>44409</v>
      </c>
      <c r="F30" s="953">
        <f>+NOMINA!BL34</f>
        <v>29.03</v>
      </c>
      <c r="G30" s="953">
        <f>+NOMINA!BM34</f>
        <v>3.63</v>
      </c>
      <c r="H30" s="608"/>
      <c r="I30" s="609"/>
      <c r="J30" s="609"/>
      <c r="K30" s="609"/>
      <c r="L30" s="609"/>
    </row>
    <row r="31" spans="1:12" ht="15.75" customHeight="1">
      <c r="A31" s="951">
        <f t="shared" si="0"/>
        <v>19</v>
      </c>
      <c r="B31" s="949">
        <f>+NOMINA!C35</f>
        <v>13568733</v>
      </c>
      <c r="C31" s="949" t="str">
        <f>+NOMINA!D35</f>
        <v>Campos de Velazquez Nilda Carolina</v>
      </c>
      <c r="D31" s="949" t="str">
        <f>+NOMINA!O35</f>
        <v>COORDINADOR DE PROGRAMA (SAPNNAET)</v>
      </c>
      <c r="E31" s="952">
        <f>+NOMINA!H35</f>
        <v>44805</v>
      </c>
      <c r="F31" s="953">
        <f>+NOMINA!BL35</f>
        <v>22.96</v>
      </c>
      <c r="G31" s="953">
        <f>+NOMINA!BM35</f>
        <v>2.87</v>
      </c>
      <c r="H31" s="608"/>
      <c r="I31" s="609"/>
      <c r="J31" s="609"/>
      <c r="K31" s="609"/>
      <c r="L31" s="609"/>
    </row>
    <row r="32" spans="1:12" ht="15.75" customHeight="1">
      <c r="A32" s="951">
        <f t="shared" si="0"/>
        <v>20</v>
      </c>
      <c r="B32" s="949">
        <f>+NOMINA!C36</f>
        <v>20790947</v>
      </c>
      <c r="C32" s="949" t="str">
        <f>+NOMINA!D36</f>
        <v>Urbina Cuellar Tannessy Lenery</v>
      </c>
      <c r="D32" s="949" t="str">
        <f>+NOMINA!O36</f>
        <v>COORDINADOR DE PROGRAMA (SAPNNAET)</v>
      </c>
      <c r="E32" s="952">
        <f>+NOMINA!H36</f>
        <v>43967</v>
      </c>
      <c r="F32" s="953">
        <f>+NOMINA!BL36</f>
        <v>23.28</v>
      </c>
      <c r="G32" s="953">
        <f>+NOMINA!BM36</f>
        <v>2.91</v>
      </c>
      <c r="H32" s="608"/>
      <c r="I32" s="609"/>
      <c r="J32" s="609"/>
      <c r="K32" s="609"/>
      <c r="L32" s="609"/>
    </row>
    <row r="33" spans="1:12" ht="15.75" customHeight="1">
      <c r="A33" s="951">
        <f t="shared" si="0"/>
        <v>21</v>
      </c>
      <c r="B33" s="949">
        <f>+NOMINA!C37</f>
        <v>15752183</v>
      </c>
      <c r="C33" s="949" t="str">
        <f>+NOMINA!D37</f>
        <v>Delduca Adriana Del Valle</v>
      </c>
      <c r="D33" s="949" t="str">
        <f>+NOMINA!O37</f>
        <v>COORDINADOR DE PROGRAMA (SAPNNAET)</v>
      </c>
      <c r="E33" s="952">
        <f>+NOMINA!H37</f>
        <v>38930</v>
      </c>
      <c r="F33" s="953">
        <f>+NOMINA!BL37</f>
        <v>21.5</v>
      </c>
      <c r="G33" s="953">
        <f>+NOMINA!BM37</f>
        <v>2.69</v>
      </c>
      <c r="H33" s="608"/>
      <c r="I33" s="609"/>
      <c r="J33" s="609"/>
      <c r="K33" s="609"/>
      <c r="L33" s="609"/>
    </row>
    <row r="34" spans="1:12" ht="15.75" customHeight="1">
      <c r="A34" s="951">
        <f t="shared" si="0"/>
        <v>22</v>
      </c>
      <c r="B34" s="949">
        <f>+NOMINA!C38</f>
        <v>16739081</v>
      </c>
      <c r="C34" s="949" t="str">
        <f>+NOMINA!D38</f>
        <v>Albarran Araujo Yely Coromoto</v>
      </c>
      <c r="D34" s="949" t="str">
        <f>+NOMINA!O38</f>
        <v>COORDINADOR DE PROGRAMA (SAPNNAET)</v>
      </c>
      <c r="E34" s="952">
        <f>+NOMINA!H38</f>
        <v>42948</v>
      </c>
      <c r="F34" s="953">
        <f>+NOMINA!BL38</f>
        <v>23.43</v>
      </c>
      <c r="G34" s="953">
        <f>+NOMINA!BM38</f>
        <v>2.93</v>
      </c>
      <c r="H34" s="608"/>
      <c r="I34" s="609"/>
      <c r="J34" s="609"/>
      <c r="K34" s="609"/>
      <c r="L34" s="609"/>
    </row>
    <row r="35" spans="1:12" ht="15.75" customHeight="1">
      <c r="A35" s="951">
        <f t="shared" si="0"/>
        <v>23</v>
      </c>
      <c r="B35" s="949">
        <f>+NOMINA!C39</f>
        <v>12781930</v>
      </c>
      <c r="C35" s="949" t="str">
        <f>+NOMINA!D39</f>
        <v>Berrios Gomez Neida Marina</v>
      </c>
      <c r="D35" s="949" t="str">
        <f>+NOMINA!O39</f>
        <v>COORDINADOR DE PROGRAMA (SAPNNAET)</v>
      </c>
      <c r="E35" s="952">
        <f>+NOMINA!H39</f>
        <v>44652</v>
      </c>
      <c r="F35" s="953">
        <f>+NOMINA!BL39</f>
        <v>22.38</v>
      </c>
      <c r="G35" s="953">
        <f>+NOMINA!BM39</f>
        <v>2.8</v>
      </c>
      <c r="H35" s="608"/>
      <c r="I35" s="609"/>
      <c r="J35" s="609"/>
      <c r="K35" s="609"/>
      <c r="L35" s="609"/>
    </row>
    <row r="36" spans="1:12" ht="15.75" customHeight="1" thickBot="1">
      <c r="A36" s="951">
        <f t="shared" si="0"/>
        <v>24</v>
      </c>
      <c r="B36" s="949">
        <f>+NOMINA!C40</f>
        <v>13896239</v>
      </c>
      <c r="C36" s="949" t="str">
        <f>+NOMINA!D40</f>
        <v>Sulbaran Campos Yusneida Ayarith</v>
      </c>
      <c r="D36" s="949" t="str">
        <f>+NOMINA!O40</f>
        <v>COORDINADOR DE PROGRAMA (SAPNNAET)</v>
      </c>
      <c r="E36" s="952">
        <f>+NOMINA!H40</f>
        <v>42416</v>
      </c>
      <c r="F36" s="953">
        <f>+NOMINA!BL40</f>
        <v>19.22</v>
      </c>
      <c r="G36" s="953">
        <f>+NOMINA!BM40</f>
        <v>2.4</v>
      </c>
      <c r="H36" s="608"/>
      <c r="I36" s="609"/>
      <c r="J36" s="609"/>
      <c r="K36" s="609"/>
      <c r="L36" s="609"/>
    </row>
    <row r="37" spans="1:12" ht="15.75" customHeight="1" thickBot="1">
      <c r="A37" s="951"/>
      <c r="B37" s="949"/>
      <c r="C37" s="949"/>
      <c r="D37" s="607" t="s">
        <v>5791</v>
      </c>
      <c r="E37" s="884"/>
      <c r="F37" s="887">
        <f>SUM(F13:F36)</f>
        <v>572.55000000000007</v>
      </c>
      <c r="G37" s="887">
        <f>SUM(G13:G36)</f>
        <v>71.580000000000013</v>
      </c>
      <c r="H37" s="608">
        <f>+NOMINA!BL41</f>
        <v>572.55000000000007</v>
      </c>
      <c r="I37" s="609">
        <f>+F37-H37</f>
        <v>0</v>
      </c>
      <c r="J37" s="608">
        <f>+NOMINA!BM41</f>
        <v>71.580000000000013</v>
      </c>
      <c r="K37" s="609">
        <f>+G37-J37</f>
        <v>0</v>
      </c>
      <c r="L37" s="609"/>
    </row>
    <row r="38" spans="1:12" ht="15.75" customHeight="1">
      <c r="A38" s="610"/>
      <c r="B38" s="954"/>
      <c r="C38" s="954"/>
      <c r="D38" s="954"/>
      <c r="E38" s="611"/>
      <c r="F38" s="613"/>
      <c r="G38" s="613"/>
      <c r="H38" s="608"/>
      <c r="I38" s="609"/>
      <c r="J38" s="609"/>
      <c r="K38" s="609"/>
      <c r="L38" s="609"/>
    </row>
    <row r="39" spans="1:12" ht="15.75" customHeight="1">
      <c r="A39" s="610"/>
      <c r="B39" s="612"/>
      <c r="C39" s="612"/>
      <c r="D39" s="612"/>
      <c r="E39" s="611"/>
      <c r="F39" s="613"/>
      <c r="G39" s="613"/>
      <c r="H39" s="608"/>
      <c r="I39" s="609"/>
      <c r="J39" s="609"/>
      <c r="K39" s="609"/>
      <c r="L39" s="609"/>
    </row>
    <row r="40" spans="1:12" ht="15.75" customHeight="1">
      <c r="A40" s="610"/>
      <c r="B40" s="612"/>
      <c r="C40" s="604" t="s">
        <v>5840</v>
      </c>
      <c r="F40" s="604" t="s">
        <v>5841</v>
      </c>
      <c r="H40" s="608"/>
      <c r="I40" s="609"/>
      <c r="J40" s="609"/>
      <c r="K40" s="609"/>
      <c r="L40" s="609"/>
    </row>
    <row r="41" spans="1:12" ht="15.75" customHeight="1">
      <c r="A41" s="610"/>
      <c r="B41" s="612"/>
      <c r="H41" s="608"/>
      <c r="I41" s="609"/>
      <c r="J41" s="609"/>
      <c r="K41" s="609"/>
      <c r="L41" s="609"/>
    </row>
    <row r="42" spans="1:12" ht="15.75" customHeight="1">
      <c r="A42" s="610"/>
      <c r="B42" s="612"/>
      <c r="H42" s="608"/>
      <c r="I42" s="609"/>
      <c r="J42" s="609"/>
      <c r="K42" s="609"/>
      <c r="L42" s="609"/>
    </row>
    <row r="43" spans="1:12" ht="15.75" customHeight="1">
      <c r="A43" s="610"/>
      <c r="B43" s="612"/>
      <c r="C43" s="614" t="s">
        <v>5842</v>
      </c>
      <c r="F43" s="615" t="s">
        <v>5843</v>
      </c>
      <c r="H43" s="608"/>
      <c r="I43" s="609"/>
      <c r="J43" s="609"/>
      <c r="K43" s="609"/>
      <c r="L43" s="609"/>
    </row>
    <row r="44" spans="1:12" ht="15.75" customHeight="1">
      <c r="A44" s="610"/>
      <c r="B44" s="612"/>
      <c r="C44" s="614" t="s">
        <v>5844</v>
      </c>
      <c r="F44" s="614" t="s">
        <v>5845</v>
      </c>
      <c r="G44" s="618"/>
      <c r="H44" s="608"/>
      <c r="I44" s="609"/>
      <c r="J44" s="609"/>
      <c r="K44" s="609"/>
      <c r="L44" s="609"/>
    </row>
    <row r="45" spans="1:12" ht="15.75" customHeight="1">
      <c r="A45" s="610"/>
      <c r="B45" s="612"/>
      <c r="C45" s="612"/>
      <c r="D45" s="612"/>
      <c r="E45" s="611"/>
      <c r="F45" s="613"/>
      <c r="G45" s="613"/>
      <c r="H45" s="608"/>
      <c r="I45" s="609"/>
      <c r="J45" s="609"/>
      <c r="K45" s="609"/>
      <c r="L45" s="609"/>
    </row>
    <row r="46" spans="1:12" ht="15.75" customHeight="1">
      <c r="A46" s="621" t="s">
        <v>4561</v>
      </c>
      <c r="B46" s="622"/>
      <c r="C46" s="622"/>
      <c r="D46" s="622"/>
      <c r="E46" s="623"/>
      <c r="F46" s="624"/>
      <c r="G46" s="624"/>
      <c r="H46" s="608"/>
      <c r="I46" s="609"/>
      <c r="J46" s="609"/>
      <c r="K46" s="609"/>
      <c r="L46" s="609"/>
    </row>
    <row r="47" spans="1:12" ht="15.75" customHeight="1">
      <c r="A47" s="951">
        <v>1</v>
      </c>
      <c r="B47" s="949">
        <f>+NOMINA!C43</f>
        <v>4324055</v>
      </c>
      <c r="C47" s="949" t="str">
        <f>+NOMINA!D43</f>
        <v>Mejia Linares Alexis de Jesus</v>
      </c>
      <c r="D47" s="949" t="str">
        <f>+NOMINA!O43</f>
        <v>Abogado II</v>
      </c>
      <c r="E47" s="952">
        <f>+NOMINA!H43</f>
        <v>44470</v>
      </c>
      <c r="F47" s="953">
        <f>+NOMINA!BL43</f>
        <v>19.170000000000002</v>
      </c>
      <c r="G47" s="953">
        <f>+NOMINA!BM43</f>
        <v>2.4</v>
      </c>
      <c r="H47" s="608"/>
      <c r="I47" s="609"/>
      <c r="J47" s="609"/>
      <c r="K47" s="609"/>
      <c r="L47" s="609"/>
    </row>
    <row r="48" spans="1:12" ht="15.75" customHeight="1">
      <c r="A48" s="951">
        <f>+A47+1</f>
        <v>2</v>
      </c>
      <c r="B48" s="949">
        <f>+NOMINA!C44</f>
        <v>4657974</v>
      </c>
      <c r="C48" s="949" t="str">
        <f>+NOMINA!D44</f>
        <v>Balestrini Nuñez Ulises Ramon</v>
      </c>
      <c r="D48" s="949" t="str">
        <f>+NOMINA!O44</f>
        <v>Promotor Cultural I</v>
      </c>
      <c r="E48" s="952">
        <f>+NOMINA!H44</f>
        <v>39463</v>
      </c>
      <c r="F48" s="953">
        <f>+NOMINA!BL44</f>
        <v>12.68</v>
      </c>
      <c r="G48" s="953">
        <f>+NOMINA!BM44</f>
        <v>1.58</v>
      </c>
      <c r="H48" s="608"/>
      <c r="I48" s="609"/>
      <c r="J48" s="609"/>
      <c r="K48" s="609"/>
      <c r="L48" s="609"/>
    </row>
    <row r="49" spans="1:12" ht="15.75" customHeight="1">
      <c r="A49" s="951">
        <f t="shared" ref="A49:A112" si="1">+A48+1</f>
        <v>3</v>
      </c>
      <c r="B49" s="949">
        <f>+NOMINA!C45</f>
        <v>5762861</v>
      </c>
      <c r="C49" s="949" t="str">
        <f>+NOMINA!D45</f>
        <v>Aldana Duran Delia Mercedes</v>
      </c>
      <c r="D49" s="949" t="str">
        <f>+NOMINA!O45</f>
        <v>Jefe de Centro</v>
      </c>
      <c r="E49" s="952">
        <f>+NOMINA!H45</f>
        <v>37851</v>
      </c>
      <c r="F49" s="953">
        <f>+NOMINA!BL45</f>
        <v>0</v>
      </c>
      <c r="G49" s="953">
        <f>+NOMINA!BM45</f>
        <v>0</v>
      </c>
      <c r="H49" s="608"/>
      <c r="I49" s="609"/>
      <c r="J49" s="609"/>
      <c r="K49" s="609"/>
      <c r="L49" s="609"/>
    </row>
    <row r="50" spans="1:12" ht="15.75" customHeight="1">
      <c r="A50" s="951">
        <f t="shared" si="1"/>
        <v>4</v>
      </c>
      <c r="B50" s="949">
        <f>+NOMINA!C46</f>
        <v>5782060</v>
      </c>
      <c r="C50" s="949" t="str">
        <f>+NOMINA!D46</f>
        <v>Linares Araujo Adolfo Jose</v>
      </c>
      <c r="D50" s="949" t="str">
        <f>+NOMINA!O46</f>
        <v>Asistente Administrativo III</v>
      </c>
      <c r="E50" s="952">
        <f>+NOMINA!H46</f>
        <v>39539</v>
      </c>
      <c r="F50" s="953">
        <f>+NOMINA!BL46</f>
        <v>17.739999999999998</v>
      </c>
      <c r="G50" s="953">
        <f>+NOMINA!BM46</f>
        <v>2.2200000000000002</v>
      </c>
      <c r="H50" s="608"/>
      <c r="I50" s="609"/>
      <c r="J50" s="609"/>
      <c r="K50" s="609"/>
      <c r="L50" s="609"/>
    </row>
    <row r="51" spans="1:12" ht="15.75" customHeight="1">
      <c r="A51" s="951">
        <f t="shared" si="1"/>
        <v>5</v>
      </c>
      <c r="B51" s="949">
        <f>+NOMINA!C47</f>
        <v>5790501</v>
      </c>
      <c r="C51" s="949" t="str">
        <f>+NOMINA!D47</f>
        <v>Castellanos de Araujo Maria Eustoquia</v>
      </c>
      <c r="D51" s="949" t="str">
        <f>+NOMINA!O47</f>
        <v>Asistente de Analista III</v>
      </c>
      <c r="E51" s="952">
        <f>+NOMINA!H47</f>
        <v>39707</v>
      </c>
      <c r="F51" s="953">
        <f>+NOMINA!BL47</f>
        <v>19.09</v>
      </c>
      <c r="G51" s="953">
        <f>+NOMINA!BM47</f>
        <v>2.39</v>
      </c>
      <c r="H51" s="608"/>
      <c r="I51" s="609"/>
      <c r="J51" s="609"/>
      <c r="K51" s="609"/>
      <c r="L51" s="609"/>
    </row>
    <row r="52" spans="1:12" ht="15.75" customHeight="1">
      <c r="A52" s="951">
        <f t="shared" si="1"/>
        <v>6</v>
      </c>
      <c r="B52" s="949">
        <f>+NOMINA!C48</f>
        <v>7744688</v>
      </c>
      <c r="C52" s="949" t="str">
        <f>+NOMINA!D48</f>
        <v>Aguilera Carroz Gerardo Raul</v>
      </c>
      <c r="D52" s="949" t="str">
        <f>+NOMINA!O48</f>
        <v>Asistente Administrativo III</v>
      </c>
      <c r="E52" s="952">
        <f>+NOMINA!H48</f>
        <v>44713</v>
      </c>
      <c r="F52" s="953">
        <f>+NOMINA!BL48</f>
        <v>14.44</v>
      </c>
      <c r="G52" s="953">
        <f>+NOMINA!BM48</f>
        <v>1.8</v>
      </c>
      <c r="H52" s="608"/>
      <c r="I52" s="609"/>
      <c r="J52" s="609"/>
      <c r="K52" s="609"/>
      <c r="L52" s="609"/>
    </row>
    <row r="53" spans="1:12" ht="15.75" customHeight="1">
      <c r="A53" s="951">
        <f t="shared" si="1"/>
        <v>7</v>
      </c>
      <c r="B53" s="949">
        <f>+NOMINA!C49</f>
        <v>7890070</v>
      </c>
      <c r="C53" s="949" t="str">
        <f>+NOMINA!D49</f>
        <v>Pacheco Bermudez Bebsabeth Coromoto</v>
      </c>
      <c r="D53" s="949" t="str">
        <f>+NOMINA!O49</f>
        <v>Guia de Centro II</v>
      </c>
      <c r="E53" s="952">
        <f>+NOMINA!H49</f>
        <v>38930</v>
      </c>
      <c r="F53" s="953">
        <f>+NOMINA!BL49</f>
        <v>13.3</v>
      </c>
      <c r="G53" s="953">
        <f>+NOMINA!BM49</f>
        <v>1.66</v>
      </c>
      <c r="H53" s="608"/>
      <c r="I53" s="609"/>
      <c r="J53" s="609"/>
      <c r="K53" s="609"/>
      <c r="L53" s="609"/>
    </row>
    <row r="54" spans="1:12" ht="15.75" customHeight="1">
      <c r="A54" s="951">
        <f t="shared" si="1"/>
        <v>8</v>
      </c>
      <c r="B54" s="949">
        <f>+NOMINA!C50</f>
        <v>8719807</v>
      </c>
      <c r="C54" s="949" t="str">
        <f>+NOMINA!D50</f>
        <v>Perez Saavedra Isabel Teresa</v>
      </c>
      <c r="D54" s="949" t="str">
        <f>+NOMINA!O50</f>
        <v>Abogado Jefe</v>
      </c>
      <c r="E54" s="952">
        <f>+NOMINA!H50</f>
        <v>39874</v>
      </c>
      <c r="F54" s="953">
        <f>+NOMINA!BL50</f>
        <v>0</v>
      </c>
      <c r="G54" s="953">
        <f>+NOMINA!BM50</f>
        <v>0</v>
      </c>
      <c r="H54" s="608"/>
      <c r="I54" s="609"/>
      <c r="J54" s="609"/>
      <c r="K54" s="609"/>
      <c r="L54" s="609"/>
    </row>
    <row r="55" spans="1:12" ht="15.75" customHeight="1">
      <c r="A55" s="951">
        <f t="shared" si="1"/>
        <v>9</v>
      </c>
      <c r="B55" s="949">
        <f>+NOMINA!C51</f>
        <v>8266170</v>
      </c>
      <c r="C55" s="949" t="str">
        <f>+NOMINA!D51</f>
        <v>Aguana Sanchez Yraida Josefina</v>
      </c>
      <c r="D55" s="949" t="str">
        <f>+NOMINA!O51</f>
        <v>Guia de Centro I</v>
      </c>
      <c r="E55" s="952">
        <f>+NOMINA!H51</f>
        <v>45323</v>
      </c>
      <c r="F55" s="953">
        <f>+NOMINA!BL51</f>
        <v>20.65</v>
      </c>
      <c r="G55" s="953">
        <f>+NOMINA!BM51</f>
        <v>2.58</v>
      </c>
      <c r="H55" s="608"/>
      <c r="I55" s="609"/>
      <c r="J55" s="609"/>
      <c r="K55" s="609"/>
      <c r="L55" s="609"/>
    </row>
    <row r="56" spans="1:12" ht="15.75" customHeight="1">
      <c r="A56" s="951">
        <f t="shared" si="1"/>
        <v>10</v>
      </c>
      <c r="B56" s="949">
        <f>+NOMINA!C52</f>
        <v>9162178</v>
      </c>
      <c r="C56" s="949" t="str">
        <f>+NOMINA!D52</f>
        <v>Duarte de Bastidas Gladys Margarita</v>
      </c>
      <c r="D56" s="949" t="str">
        <f>+NOMINA!O52</f>
        <v>Guia de Centro II</v>
      </c>
      <c r="E56" s="952">
        <f>+NOMINA!H52</f>
        <v>39566</v>
      </c>
      <c r="F56" s="953">
        <f>+NOMINA!BL52</f>
        <v>16.95</v>
      </c>
      <c r="G56" s="953">
        <f>+NOMINA!BM52</f>
        <v>2.12</v>
      </c>
      <c r="H56" s="608"/>
      <c r="I56" s="609"/>
      <c r="J56" s="609"/>
      <c r="K56" s="609"/>
      <c r="L56" s="609"/>
    </row>
    <row r="57" spans="1:12" ht="15.75" customHeight="1">
      <c r="A57" s="951">
        <f t="shared" si="1"/>
        <v>11</v>
      </c>
      <c r="B57" s="949">
        <f>+NOMINA!C53</f>
        <v>9162243</v>
      </c>
      <c r="C57" s="949" t="str">
        <f>+NOMINA!D53</f>
        <v>Valera Borrero Marcos Tulio</v>
      </c>
      <c r="D57" s="949" t="str">
        <f>+NOMINA!O53</f>
        <v>Guia de Centro II</v>
      </c>
      <c r="E57" s="952">
        <f>+NOMINA!H53</f>
        <v>35535</v>
      </c>
      <c r="F57" s="953">
        <f>+NOMINA!BL53</f>
        <v>13.3</v>
      </c>
      <c r="G57" s="953">
        <f>+NOMINA!BM53</f>
        <v>1.66</v>
      </c>
      <c r="H57" s="608"/>
      <c r="I57" s="609"/>
      <c r="J57" s="609"/>
      <c r="K57" s="609"/>
      <c r="L57" s="609"/>
    </row>
    <row r="58" spans="1:12" ht="15.75" customHeight="1">
      <c r="A58" s="951">
        <f t="shared" si="1"/>
        <v>12</v>
      </c>
      <c r="B58" s="949">
        <f>+NOMINA!C54</f>
        <v>9170647</v>
      </c>
      <c r="C58" s="949" t="str">
        <f>+NOMINA!D54</f>
        <v>Torres Gonzalez Meris Del Carmen</v>
      </c>
      <c r="D58" s="949" t="str">
        <f>+NOMINA!O54</f>
        <v>Guia de Centro II</v>
      </c>
      <c r="E58" s="952">
        <f>+NOMINA!H54</f>
        <v>39238</v>
      </c>
      <c r="F58" s="953">
        <f>+NOMINA!BL54</f>
        <v>23.27</v>
      </c>
      <c r="G58" s="953">
        <f>+NOMINA!BM54</f>
        <v>2.91</v>
      </c>
      <c r="H58" s="608"/>
      <c r="I58" s="609"/>
      <c r="J58" s="609"/>
      <c r="K58" s="609"/>
      <c r="L58" s="609"/>
    </row>
    <row r="59" spans="1:12" ht="15.75" customHeight="1">
      <c r="A59" s="951">
        <f t="shared" si="1"/>
        <v>13</v>
      </c>
      <c r="B59" s="949">
        <f>+NOMINA!C55</f>
        <v>9177323</v>
      </c>
      <c r="C59" s="949" t="str">
        <f>+NOMINA!D55</f>
        <v>Simancas De Mendoza Alix Josefina</v>
      </c>
      <c r="D59" s="949" t="str">
        <f>+NOMINA!O55</f>
        <v>Asistente Administrativo III</v>
      </c>
      <c r="E59" s="952">
        <f>+NOMINA!H55</f>
        <v>37879</v>
      </c>
      <c r="F59" s="953">
        <f>+NOMINA!BL55</f>
        <v>0</v>
      </c>
      <c r="G59" s="953">
        <f>+NOMINA!BM55</f>
        <v>0</v>
      </c>
      <c r="H59" s="608"/>
      <c r="I59" s="609"/>
      <c r="J59" s="609"/>
      <c r="K59" s="609"/>
      <c r="L59" s="609"/>
    </row>
    <row r="60" spans="1:12" ht="15.75" customHeight="1">
      <c r="A60" s="951">
        <f t="shared" si="1"/>
        <v>14</v>
      </c>
      <c r="B60" s="949">
        <f>+NOMINA!C56</f>
        <v>9178087</v>
      </c>
      <c r="C60" s="949" t="str">
        <f>+NOMINA!D56</f>
        <v>Saavedra Juan Jose</v>
      </c>
      <c r="D60" s="949" t="str">
        <f>+NOMINA!O56</f>
        <v>Asistente Administrativo III</v>
      </c>
      <c r="E60" s="952">
        <f>+NOMINA!H56</f>
        <v>37622</v>
      </c>
      <c r="F60" s="953">
        <f>+NOMINA!BL56</f>
        <v>13.27</v>
      </c>
      <c r="G60" s="953">
        <f>+NOMINA!BM56</f>
        <v>1.66</v>
      </c>
      <c r="H60" s="608"/>
      <c r="I60" s="609"/>
      <c r="J60" s="609"/>
      <c r="K60" s="609"/>
      <c r="L60" s="609"/>
    </row>
    <row r="61" spans="1:12" ht="15.75" customHeight="1">
      <c r="A61" s="951">
        <f t="shared" si="1"/>
        <v>15</v>
      </c>
      <c r="B61" s="949">
        <f>+NOMINA!C57</f>
        <v>9179981</v>
      </c>
      <c r="C61" s="949" t="str">
        <f>+NOMINA!D57</f>
        <v>Manzanilla Molina Alfredo Jose</v>
      </c>
      <c r="D61" s="949" t="str">
        <f>+NOMINA!O57</f>
        <v>Instructor Agropecuario III</v>
      </c>
      <c r="E61" s="952">
        <f>+NOMINA!H57</f>
        <v>45597</v>
      </c>
      <c r="F61" s="953">
        <f>+NOMINA!BL57</f>
        <v>16.61</v>
      </c>
      <c r="G61" s="953">
        <f>+NOMINA!BM57</f>
        <v>2.08</v>
      </c>
      <c r="H61" s="608"/>
      <c r="I61" s="609"/>
      <c r="J61" s="609"/>
      <c r="K61" s="609"/>
      <c r="L61" s="609"/>
    </row>
    <row r="62" spans="1:12" ht="15.75" customHeight="1">
      <c r="A62" s="951">
        <f t="shared" si="1"/>
        <v>16</v>
      </c>
      <c r="B62" s="949">
        <f>+NOMINA!C58</f>
        <v>9311822</v>
      </c>
      <c r="C62" s="949" t="str">
        <f>+NOMINA!D58</f>
        <v>Rojo Sanchez Alexis O.</v>
      </c>
      <c r="D62" s="949" t="str">
        <f>+NOMINA!O58</f>
        <v>Asistente Administrativo III</v>
      </c>
      <c r="E62" s="952">
        <f>+NOMINA!H58</f>
        <v>37662</v>
      </c>
      <c r="F62" s="953">
        <f>+NOMINA!BL58</f>
        <v>0</v>
      </c>
      <c r="G62" s="953">
        <f>+NOMINA!BM58</f>
        <v>0</v>
      </c>
      <c r="H62" s="608"/>
      <c r="I62" s="609"/>
      <c r="J62" s="609"/>
      <c r="K62" s="609"/>
      <c r="L62" s="609"/>
    </row>
    <row r="63" spans="1:12" ht="15.75" customHeight="1">
      <c r="A63" s="951">
        <f t="shared" si="1"/>
        <v>17</v>
      </c>
      <c r="B63" s="949">
        <f>+NOMINA!C59</f>
        <v>9315117</v>
      </c>
      <c r="C63" s="949" t="str">
        <f>+NOMINA!D59</f>
        <v>Palma de Briceño Sonia Josefina</v>
      </c>
      <c r="D63" s="949" t="str">
        <f>+NOMINA!O59</f>
        <v>Analista de Personal V</v>
      </c>
      <c r="E63" s="952">
        <f>+NOMINA!H59</f>
        <v>38412</v>
      </c>
      <c r="F63" s="953">
        <f>+NOMINA!BL59</f>
        <v>22.48</v>
      </c>
      <c r="G63" s="953">
        <f>+NOMINA!BM59</f>
        <v>2.81</v>
      </c>
      <c r="H63" s="608"/>
      <c r="I63" s="609"/>
      <c r="J63" s="609"/>
      <c r="K63" s="609"/>
      <c r="L63" s="609"/>
    </row>
    <row r="64" spans="1:12" ht="15.75" customHeight="1">
      <c r="A64" s="951">
        <f t="shared" si="1"/>
        <v>18</v>
      </c>
      <c r="B64" s="949">
        <f>+NOMINA!C60</f>
        <v>9315325</v>
      </c>
      <c r="C64" s="949" t="str">
        <f>+NOMINA!D60</f>
        <v>Gonzalez Hernandez Marianela</v>
      </c>
      <c r="D64" s="949" t="str">
        <f>+NOMINA!O60</f>
        <v>Asistente Administrativo IV</v>
      </c>
      <c r="E64" s="952">
        <f>+NOMINA!H60</f>
        <v>39678</v>
      </c>
      <c r="F64" s="953">
        <f>+NOMINA!BL60</f>
        <v>18.170000000000002</v>
      </c>
      <c r="G64" s="953">
        <f>+NOMINA!BM60</f>
        <v>2.27</v>
      </c>
      <c r="H64" s="608"/>
      <c r="I64" s="609"/>
      <c r="J64" s="609"/>
      <c r="K64" s="609"/>
      <c r="L64" s="609"/>
    </row>
    <row r="65" spans="1:12" ht="15.75" customHeight="1">
      <c r="A65" s="951">
        <f t="shared" si="1"/>
        <v>19</v>
      </c>
      <c r="B65" s="949">
        <f>+NOMINA!C61</f>
        <v>9316224</v>
      </c>
      <c r="C65" s="949" t="str">
        <f>+NOMINA!D61</f>
        <v>Sanchez Barrios Magalis del Carmen</v>
      </c>
      <c r="D65" s="949" t="str">
        <f>+NOMINA!O61</f>
        <v>Tecnico Superior en Trabajo Social II</v>
      </c>
      <c r="E65" s="952">
        <f>+NOMINA!H61</f>
        <v>44317</v>
      </c>
      <c r="F65" s="953">
        <f>+NOMINA!BL61</f>
        <v>15.75</v>
      </c>
      <c r="G65" s="953">
        <f>+NOMINA!BM61</f>
        <v>1.97</v>
      </c>
      <c r="H65" s="608"/>
      <c r="I65" s="609"/>
      <c r="J65" s="609"/>
      <c r="K65" s="609"/>
      <c r="L65" s="609"/>
    </row>
    <row r="66" spans="1:12" ht="15.75" customHeight="1">
      <c r="A66" s="951">
        <f t="shared" si="1"/>
        <v>20</v>
      </c>
      <c r="B66" s="949">
        <f>+NOMINA!C62</f>
        <v>9323927</v>
      </c>
      <c r="C66" s="949" t="str">
        <f>+NOMINA!D62</f>
        <v>Cardozo Garcia Jorge Antonio</v>
      </c>
      <c r="D66" s="949" t="str">
        <f>+NOMINA!O62</f>
        <v>Guia de Centro II</v>
      </c>
      <c r="E66" s="952">
        <f>+NOMINA!H62</f>
        <v>35704</v>
      </c>
      <c r="F66" s="953">
        <f>+NOMINA!BL62</f>
        <v>13.3</v>
      </c>
      <c r="G66" s="953">
        <f>+NOMINA!BM62</f>
        <v>1.66</v>
      </c>
      <c r="H66" s="608"/>
      <c r="I66" s="609"/>
      <c r="J66" s="609"/>
      <c r="K66" s="609"/>
      <c r="L66" s="609"/>
    </row>
    <row r="67" spans="1:12" ht="15.75" customHeight="1">
      <c r="A67" s="951">
        <f t="shared" si="1"/>
        <v>21</v>
      </c>
      <c r="B67" s="949">
        <f>+NOMINA!C63</f>
        <v>9327253</v>
      </c>
      <c r="C67" s="949" t="str">
        <f>+NOMINA!D63</f>
        <v>Garcia Araujo Jose Domingo</v>
      </c>
      <c r="D67" s="949" t="str">
        <f>+NOMINA!O63</f>
        <v>Analista de Presupuesto III</v>
      </c>
      <c r="E67" s="952">
        <f>+NOMINA!H63</f>
        <v>38930</v>
      </c>
      <c r="F67" s="953">
        <f>+NOMINA!BL63</f>
        <v>18.27</v>
      </c>
      <c r="G67" s="953">
        <f>+NOMINA!BM63</f>
        <v>2.2799999999999998</v>
      </c>
      <c r="H67" s="608"/>
      <c r="I67" s="609"/>
      <c r="J67" s="609"/>
      <c r="K67" s="609"/>
      <c r="L67" s="609"/>
    </row>
    <row r="68" spans="1:12" ht="15.75" customHeight="1">
      <c r="A68" s="951">
        <f t="shared" si="1"/>
        <v>22</v>
      </c>
      <c r="B68" s="949">
        <f>+NOMINA!C64</f>
        <v>9328157</v>
      </c>
      <c r="C68" s="949" t="str">
        <f>+NOMINA!D64</f>
        <v>Perez Salas Olga Margarita</v>
      </c>
      <c r="D68" s="949" t="str">
        <f>+NOMINA!O64</f>
        <v>Guia de Centro II</v>
      </c>
      <c r="E68" s="952">
        <f>+NOMINA!H64</f>
        <v>41153</v>
      </c>
      <c r="F68" s="953">
        <f>+NOMINA!BL64</f>
        <v>12.11</v>
      </c>
      <c r="G68" s="953">
        <f>+NOMINA!BM64</f>
        <v>1.51</v>
      </c>
      <c r="H68" s="608"/>
      <c r="I68" s="609"/>
      <c r="J68" s="609"/>
      <c r="K68" s="609"/>
      <c r="L68" s="609"/>
    </row>
    <row r="69" spans="1:12" ht="15.75" customHeight="1">
      <c r="A69" s="951">
        <f t="shared" si="1"/>
        <v>23</v>
      </c>
      <c r="B69" s="949">
        <f>+NOMINA!C65</f>
        <v>9328224</v>
      </c>
      <c r="C69" s="949" t="str">
        <f>+NOMINA!D65</f>
        <v>Abreu Araujo Omar Antonio</v>
      </c>
      <c r="D69" s="949" t="str">
        <f>+NOMINA!O65</f>
        <v>Tecnico Agropecuario III</v>
      </c>
      <c r="E69" s="952">
        <f>+NOMINA!H65</f>
        <v>39356</v>
      </c>
      <c r="F69" s="953">
        <f>+NOMINA!BL65</f>
        <v>15.27</v>
      </c>
      <c r="G69" s="953">
        <f>+NOMINA!BM65</f>
        <v>1.91</v>
      </c>
      <c r="H69" s="608"/>
      <c r="I69" s="609"/>
      <c r="J69" s="609"/>
      <c r="K69" s="609"/>
      <c r="L69" s="609"/>
    </row>
    <row r="70" spans="1:12" ht="15.75" customHeight="1">
      <c r="A70" s="951">
        <f t="shared" si="1"/>
        <v>24</v>
      </c>
      <c r="B70" s="949">
        <f>+NOMINA!C66</f>
        <v>9495661</v>
      </c>
      <c r="C70" s="949" t="str">
        <f>+NOMINA!D66</f>
        <v>Aguial Carrillo Gregoria Coromoto</v>
      </c>
      <c r="D70" s="949" t="str">
        <f>+NOMINA!O66</f>
        <v>Jefe de Centro</v>
      </c>
      <c r="E70" s="952">
        <f>+NOMINA!H66</f>
        <v>39692</v>
      </c>
      <c r="F70" s="953">
        <f>+NOMINA!BL66</f>
        <v>0</v>
      </c>
      <c r="G70" s="953">
        <f>+NOMINA!BM66</f>
        <v>0</v>
      </c>
      <c r="H70" s="608"/>
      <c r="I70" s="609"/>
      <c r="J70" s="609"/>
      <c r="K70" s="609"/>
      <c r="L70" s="609"/>
    </row>
    <row r="71" spans="1:12" ht="15.75" customHeight="1">
      <c r="A71" s="951">
        <f t="shared" si="1"/>
        <v>25</v>
      </c>
      <c r="B71" s="949">
        <f>+NOMINA!C67</f>
        <v>9496860</v>
      </c>
      <c r="C71" s="949" t="str">
        <f>+NOMINA!D67</f>
        <v>Hernandez Valero Jose Alfredo</v>
      </c>
      <c r="D71" s="949" t="str">
        <f>+NOMINA!O67</f>
        <v>AUDITOR III</v>
      </c>
      <c r="E71" s="952">
        <f>+NOMINA!H67</f>
        <v>43877</v>
      </c>
      <c r="F71" s="953">
        <f>+NOMINA!BL67</f>
        <v>21.05</v>
      </c>
      <c r="G71" s="953">
        <f>+NOMINA!BM67</f>
        <v>2.63</v>
      </c>
      <c r="H71" s="608"/>
      <c r="I71" s="609"/>
      <c r="J71" s="609"/>
      <c r="K71" s="609"/>
      <c r="L71" s="609"/>
    </row>
    <row r="72" spans="1:12" ht="15.75" customHeight="1">
      <c r="A72" s="951">
        <f t="shared" si="1"/>
        <v>26</v>
      </c>
      <c r="B72" s="949">
        <f>+NOMINA!C68</f>
        <v>9497151</v>
      </c>
      <c r="C72" s="949" t="str">
        <f>+NOMINA!D68</f>
        <v>Mendoza Vieras Pedro Luis</v>
      </c>
      <c r="D72" s="949" t="str">
        <f>+NOMINA!O68</f>
        <v>Ingeniero Industrial II</v>
      </c>
      <c r="E72" s="952">
        <f>+NOMINA!H68</f>
        <v>36770</v>
      </c>
      <c r="F72" s="953">
        <f>+NOMINA!BL68</f>
        <v>23.22</v>
      </c>
      <c r="G72" s="953">
        <f>+NOMINA!BM68</f>
        <v>2.9</v>
      </c>
      <c r="H72" s="608"/>
      <c r="I72" s="609"/>
      <c r="J72" s="609"/>
      <c r="K72" s="609"/>
      <c r="L72" s="609"/>
    </row>
    <row r="73" spans="1:12" ht="15.75" customHeight="1">
      <c r="A73" s="951">
        <f t="shared" si="1"/>
        <v>27</v>
      </c>
      <c r="B73" s="949">
        <f>+NOMINA!C69</f>
        <v>10033119</v>
      </c>
      <c r="C73" s="949" t="str">
        <f>+NOMINA!D69</f>
        <v>Artigas de Hernandez Ana Maria</v>
      </c>
      <c r="D73" s="949" t="str">
        <f>+NOMINA!O69</f>
        <v>Tutor Facilitador III</v>
      </c>
      <c r="E73" s="952">
        <f>+NOMINA!H69</f>
        <v>43359</v>
      </c>
      <c r="F73" s="953">
        <f>+NOMINA!BL69</f>
        <v>19.68</v>
      </c>
      <c r="G73" s="953">
        <f>+NOMINA!BM69</f>
        <v>2.46</v>
      </c>
      <c r="H73" s="608"/>
      <c r="I73" s="609"/>
      <c r="J73" s="609"/>
      <c r="K73" s="609"/>
      <c r="L73" s="609"/>
    </row>
    <row r="74" spans="1:12" ht="15.75" customHeight="1">
      <c r="A74" s="951">
        <f t="shared" si="1"/>
        <v>28</v>
      </c>
      <c r="B74" s="949">
        <f>+NOMINA!C70</f>
        <v>10035540</v>
      </c>
      <c r="C74" s="949" t="str">
        <f>+NOMINA!D70</f>
        <v xml:space="preserve">Linares Linares Emma Teresa </v>
      </c>
      <c r="D74" s="949" t="str">
        <f>+NOMINA!O70</f>
        <v>Tecnico Superior en Trabajo Social II</v>
      </c>
      <c r="E74" s="952">
        <f>+NOMINA!H70</f>
        <v>43236</v>
      </c>
      <c r="F74" s="953">
        <f>+NOMINA!BL70</f>
        <v>16.829999999999998</v>
      </c>
      <c r="G74" s="953">
        <f>+NOMINA!BM70</f>
        <v>2.1</v>
      </c>
      <c r="H74" s="608"/>
      <c r="I74" s="609"/>
      <c r="J74" s="609"/>
      <c r="K74" s="609"/>
      <c r="L74" s="609"/>
    </row>
    <row r="75" spans="1:12" ht="15.75" customHeight="1">
      <c r="A75" s="951">
        <f t="shared" si="1"/>
        <v>29</v>
      </c>
      <c r="B75" s="949">
        <f>+NOMINA!C71</f>
        <v>10037054</v>
      </c>
      <c r="C75" s="949" t="str">
        <f>+NOMINA!D71</f>
        <v>Aguial Carrillo Deris Margarita</v>
      </c>
      <c r="D75" s="949" t="str">
        <f>+NOMINA!O71</f>
        <v>Guia de Centro II</v>
      </c>
      <c r="E75" s="952">
        <f>+NOMINA!H71</f>
        <v>39820</v>
      </c>
      <c r="F75" s="953">
        <f>+NOMINA!BL71</f>
        <v>16.34</v>
      </c>
      <c r="G75" s="953">
        <f>+NOMINA!BM71</f>
        <v>2.04</v>
      </c>
      <c r="H75" s="608"/>
      <c r="I75" s="609"/>
      <c r="J75" s="609"/>
      <c r="K75" s="609"/>
      <c r="L75" s="609"/>
    </row>
    <row r="76" spans="1:12" ht="15.75" customHeight="1">
      <c r="A76" s="951">
        <f t="shared" si="1"/>
        <v>30</v>
      </c>
      <c r="B76" s="949">
        <f>+NOMINA!C72</f>
        <v>10175616</v>
      </c>
      <c r="C76" s="949" t="str">
        <f>+NOMINA!D72</f>
        <v>Carrillo Prato Blanca Isabel</v>
      </c>
      <c r="D76" s="949" t="str">
        <f>+NOMINA!O72</f>
        <v>Medico jefe I</v>
      </c>
      <c r="E76" s="952">
        <f>+NOMINA!H72</f>
        <v>44228</v>
      </c>
      <c r="F76" s="953">
        <f>+NOMINA!BL72</f>
        <v>21.42</v>
      </c>
      <c r="G76" s="953">
        <f>+NOMINA!BM72</f>
        <v>2.68</v>
      </c>
      <c r="H76" s="608"/>
      <c r="I76" s="609"/>
      <c r="J76" s="609"/>
      <c r="K76" s="609"/>
      <c r="L76" s="609"/>
    </row>
    <row r="77" spans="1:12" ht="15.75" customHeight="1">
      <c r="A77" s="951">
        <f t="shared" si="1"/>
        <v>31</v>
      </c>
      <c r="B77" s="949">
        <f>+NOMINA!C73</f>
        <v>10257016</v>
      </c>
      <c r="C77" s="949" t="str">
        <f>+NOMINA!D73</f>
        <v>Torres Dulma Ramona</v>
      </c>
      <c r="D77" s="949" t="str">
        <f>+NOMINA!O73</f>
        <v>Tutor Facilitador III</v>
      </c>
      <c r="E77" s="952">
        <f>+NOMINA!H73</f>
        <v>35947</v>
      </c>
      <c r="F77" s="953">
        <f>+NOMINA!BL73</f>
        <v>23.22</v>
      </c>
      <c r="G77" s="953">
        <f>+NOMINA!BM73</f>
        <v>2.9</v>
      </c>
      <c r="H77" s="608"/>
      <c r="I77" s="609"/>
      <c r="J77" s="609"/>
      <c r="K77" s="609"/>
      <c r="L77" s="609"/>
    </row>
    <row r="78" spans="1:12" ht="15.75" customHeight="1">
      <c r="A78" s="951">
        <f t="shared" si="1"/>
        <v>32</v>
      </c>
      <c r="B78" s="949">
        <f>+NOMINA!C74</f>
        <v>10315803</v>
      </c>
      <c r="C78" s="949" t="str">
        <f>+NOMINA!D74</f>
        <v>Frias Jacson Daniel</v>
      </c>
      <c r="D78" s="949" t="str">
        <f>+NOMINA!O74</f>
        <v>Guia de Centro II</v>
      </c>
      <c r="E78" s="952">
        <f>+NOMINA!H74</f>
        <v>35415</v>
      </c>
      <c r="F78" s="953">
        <f>+NOMINA!BL74</f>
        <v>17.28</v>
      </c>
      <c r="G78" s="953">
        <f>+NOMINA!BM74</f>
        <v>2.16</v>
      </c>
      <c r="H78" s="608"/>
      <c r="I78" s="609"/>
      <c r="J78" s="609"/>
      <c r="K78" s="609"/>
      <c r="L78" s="609"/>
    </row>
    <row r="79" spans="1:12" ht="15.75" customHeight="1">
      <c r="A79" s="951">
        <f t="shared" si="1"/>
        <v>33</v>
      </c>
      <c r="B79" s="949">
        <f>+NOMINA!C75</f>
        <v>10319457</v>
      </c>
      <c r="C79" s="949" t="str">
        <f>+NOMINA!D75</f>
        <v>Marquez Marquez Maribel del Valle</v>
      </c>
      <c r="D79" s="949" t="str">
        <f>+NOMINA!O75</f>
        <v>Secretario Ejecutivo III</v>
      </c>
      <c r="E79" s="952">
        <f>+NOMINA!H75</f>
        <v>38831</v>
      </c>
      <c r="F79" s="953">
        <f>+NOMINA!BL75</f>
        <v>13.29</v>
      </c>
      <c r="G79" s="953">
        <f>+NOMINA!BM75</f>
        <v>1.66</v>
      </c>
      <c r="H79" s="608"/>
      <c r="I79" s="609"/>
      <c r="J79" s="609"/>
      <c r="K79" s="609"/>
      <c r="L79" s="609"/>
    </row>
    <row r="80" spans="1:12" ht="15.75" customHeight="1">
      <c r="A80" s="951">
        <f t="shared" si="1"/>
        <v>34</v>
      </c>
      <c r="B80" s="949">
        <f>+NOMINA!C76</f>
        <v>10396379</v>
      </c>
      <c r="C80" s="949" t="str">
        <f>+NOMINA!D76</f>
        <v>Ruiz Luis Alfonzo</v>
      </c>
      <c r="D80" s="949" t="str">
        <f>+NOMINA!O76</f>
        <v>ENTRENADOR DEPORTIVO II</v>
      </c>
      <c r="E80" s="952">
        <f>+NOMINA!H76</f>
        <v>44743</v>
      </c>
      <c r="F80" s="953">
        <f>+NOMINA!BL76</f>
        <v>9.6999999999999993</v>
      </c>
      <c r="G80" s="953">
        <f>+NOMINA!BM76</f>
        <v>1.21</v>
      </c>
      <c r="H80" s="608"/>
      <c r="I80" s="609"/>
      <c r="J80" s="609"/>
      <c r="K80" s="609"/>
      <c r="L80" s="609"/>
    </row>
    <row r="81" spans="1:12" ht="15.75" customHeight="1">
      <c r="A81" s="951">
        <f t="shared" si="1"/>
        <v>35</v>
      </c>
      <c r="B81" s="949">
        <f>+NOMINA!C77</f>
        <v>10398694</v>
      </c>
      <c r="C81" s="949" t="str">
        <f>+NOMINA!D77</f>
        <v>Santana Briceño Jose Gregorio</v>
      </c>
      <c r="D81" s="949" t="str">
        <f>+NOMINA!O77</f>
        <v>Guia de Centro I</v>
      </c>
      <c r="E81" s="952">
        <f>+NOMINA!H77</f>
        <v>44743</v>
      </c>
      <c r="F81" s="953">
        <f>+NOMINA!BL77</f>
        <v>24.56</v>
      </c>
      <c r="G81" s="953">
        <f>+NOMINA!BM77</f>
        <v>3.07</v>
      </c>
      <c r="H81" s="608"/>
      <c r="I81" s="609"/>
      <c r="J81" s="609"/>
      <c r="K81" s="609"/>
      <c r="L81" s="609"/>
    </row>
    <row r="82" spans="1:12" ht="15.75" customHeight="1">
      <c r="A82" s="951">
        <f t="shared" si="1"/>
        <v>36</v>
      </c>
      <c r="B82" s="949">
        <f>+NOMINA!C78</f>
        <v>10399064</v>
      </c>
      <c r="C82" s="949" t="str">
        <f>+NOMINA!D78</f>
        <v>Perdomo Perdomo Angela Aurora</v>
      </c>
      <c r="D82" s="949" t="str">
        <f>+NOMINA!O78</f>
        <v>Guia de Centro II</v>
      </c>
      <c r="E82" s="952">
        <f>+NOMINA!H78</f>
        <v>39328</v>
      </c>
      <c r="F82" s="953">
        <f>+NOMINA!BL78</f>
        <v>23.27</v>
      </c>
      <c r="G82" s="953">
        <f>+NOMINA!BM78</f>
        <v>2.91</v>
      </c>
      <c r="H82" s="608"/>
      <c r="I82" s="609"/>
      <c r="J82" s="609"/>
      <c r="K82" s="609"/>
      <c r="L82" s="609"/>
    </row>
    <row r="83" spans="1:12" ht="15.75" customHeight="1">
      <c r="A83" s="951">
        <f t="shared" si="1"/>
        <v>37</v>
      </c>
      <c r="B83" s="949">
        <f>+NOMINA!C79</f>
        <v>10400214</v>
      </c>
      <c r="C83" s="949" t="str">
        <f>+NOMINA!D79</f>
        <v>Bastidas Yanitza Del Valle</v>
      </c>
      <c r="D83" s="949" t="str">
        <f>+NOMINA!O79</f>
        <v>Guia de Centro II</v>
      </c>
      <c r="E83" s="952">
        <f>+NOMINA!H79</f>
        <v>41153</v>
      </c>
      <c r="F83" s="953">
        <f>+NOMINA!BL79</f>
        <v>22.24</v>
      </c>
      <c r="G83" s="953">
        <f>+NOMINA!BM79</f>
        <v>2.78</v>
      </c>
      <c r="H83" s="608"/>
      <c r="I83" s="609"/>
      <c r="J83" s="609"/>
      <c r="K83" s="609"/>
      <c r="L83" s="609"/>
    </row>
    <row r="84" spans="1:12" ht="15.75" customHeight="1">
      <c r="A84" s="951">
        <f t="shared" si="1"/>
        <v>38</v>
      </c>
      <c r="B84" s="949">
        <f>+NOMINA!C80</f>
        <v>10400365</v>
      </c>
      <c r="C84" s="949" t="str">
        <f>+NOMINA!D80</f>
        <v>Briceño Ruiz Sara Josefina</v>
      </c>
      <c r="D84" s="949" t="str">
        <f>+NOMINA!O80</f>
        <v>Supervisor de Servicios Generales IV</v>
      </c>
      <c r="E84" s="952">
        <f>+NOMINA!H80</f>
        <v>39328</v>
      </c>
      <c r="F84" s="953">
        <f>+NOMINA!BL80</f>
        <v>17.899999999999999</v>
      </c>
      <c r="G84" s="953">
        <f>+NOMINA!BM80</f>
        <v>2.2400000000000002</v>
      </c>
      <c r="H84" s="608"/>
      <c r="I84" s="609"/>
      <c r="J84" s="609"/>
      <c r="K84" s="609"/>
      <c r="L84" s="609"/>
    </row>
    <row r="85" spans="1:12" ht="15.75" customHeight="1">
      <c r="A85" s="951">
        <f t="shared" si="1"/>
        <v>39</v>
      </c>
      <c r="B85" s="949">
        <f>+NOMINA!C81</f>
        <v>10400876</v>
      </c>
      <c r="C85" s="949" t="str">
        <f>+NOMINA!D81</f>
        <v>Ramirez Vergara Graciela De Jesus</v>
      </c>
      <c r="D85" s="949" t="str">
        <f>+NOMINA!O81</f>
        <v>Analista de Procesamiento de Datos I</v>
      </c>
      <c r="E85" s="952">
        <f>+NOMINA!H81</f>
        <v>43556</v>
      </c>
      <c r="F85" s="953">
        <f>+NOMINA!BL81</f>
        <v>17.579999999999998</v>
      </c>
      <c r="G85" s="953">
        <f>+NOMINA!BM81</f>
        <v>2.2000000000000002</v>
      </c>
      <c r="H85" s="608"/>
      <c r="I85" s="609"/>
      <c r="J85" s="609"/>
      <c r="K85" s="609"/>
      <c r="L85" s="609"/>
    </row>
    <row r="86" spans="1:12" ht="15.75" customHeight="1">
      <c r="A86" s="951">
        <f t="shared" si="1"/>
        <v>40</v>
      </c>
      <c r="B86" s="949">
        <f>+NOMINA!C82</f>
        <v>10404528</v>
      </c>
      <c r="C86" s="949" t="str">
        <f>+NOMINA!D82</f>
        <v>Perez Castellano Javier Horacio</v>
      </c>
      <c r="D86" s="949" t="str">
        <f>+NOMINA!O82</f>
        <v>Administrador IV</v>
      </c>
      <c r="E86" s="952">
        <f>+NOMINA!H82</f>
        <v>37622</v>
      </c>
      <c r="F86" s="953">
        <f>+NOMINA!BL82</f>
        <v>0</v>
      </c>
      <c r="G86" s="953">
        <f>+NOMINA!BM82</f>
        <v>0</v>
      </c>
      <c r="H86" s="608"/>
      <c r="I86" s="609"/>
      <c r="J86" s="609"/>
      <c r="K86" s="609"/>
      <c r="L86" s="609"/>
    </row>
    <row r="87" spans="1:12" ht="15.75" customHeight="1">
      <c r="A87" s="951">
        <f t="shared" si="1"/>
        <v>41</v>
      </c>
      <c r="B87" s="949">
        <f>+NOMINA!C83</f>
        <v>10906110</v>
      </c>
      <c r="C87" s="949" t="str">
        <f>+NOMINA!D83</f>
        <v>Linares Prato Yraima Gregoria</v>
      </c>
      <c r="D87" s="949" t="str">
        <f>+NOMINA!O83</f>
        <v>Guia de Centro I</v>
      </c>
      <c r="E87" s="952">
        <f>+NOMINA!H83</f>
        <v>45292</v>
      </c>
      <c r="F87" s="953">
        <f>+NOMINA!BL83</f>
        <v>12.54</v>
      </c>
      <c r="G87" s="953">
        <f>+NOMINA!BM83</f>
        <v>1.57</v>
      </c>
      <c r="H87" s="608"/>
      <c r="I87" s="609"/>
      <c r="J87" s="609"/>
      <c r="K87" s="609"/>
      <c r="L87" s="609"/>
    </row>
    <row r="88" spans="1:12" ht="15.75" customHeight="1">
      <c r="A88" s="951">
        <f t="shared" si="1"/>
        <v>42</v>
      </c>
      <c r="B88" s="949">
        <f>+NOMINA!C84</f>
        <v>10906923</v>
      </c>
      <c r="C88" s="949" t="str">
        <f>+NOMINA!D84</f>
        <v>Cruz de Rodriguez Yanet Coromoto</v>
      </c>
      <c r="D88" s="949" t="str">
        <f>+NOMINA!O84</f>
        <v>Guia de Centro I</v>
      </c>
      <c r="E88" s="952">
        <f>+NOMINA!H84</f>
        <v>44636</v>
      </c>
      <c r="F88" s="953">
        <f>+NOMINA!BL84</f>
        <v>14.99</v>
      </c>
      <c r="G88" s="953">
        <f>+NOMINA!BM84</f>
        <v>1.87</v>
      </c>
      <c r="H88" s="608"/>
      <c r="I88" s="609"/>
      <c r="J88" s="609"/>
      <c r="K88" s="609"/>
      <c r="L88" s="609"/>
    </row>
    <row r="89" spans="1:12" ht="15.75" customHeight="1">
      <c r="A89" s="951">
        <f t="shared" si="1"/>
        <v>43</v>
      </c>
      <c r="B89" s="949">
        <f>+NOMINA!C85</f>
        <v>10908510</v>
      </c>
      <c r="C89" s="949" t="str">
        <f>+NOMINA!D85</f>
        <v>Castro de Vielma Yanira Rosa</v>
      </c>
      <c r="D89" s="949" t="str">
        <f>+NOMINA!O85</f>
        <v>Jefe de Centro</v>
      </c>
      <c r="E89" s="952">
        <f>+NOMINA!H85</f>
        <v>39874</v>
      </c>
      <c r="F89" s="953">
        <f>+NOMINA!BL85</f>
        <v>22.93</v>
      </c>
      <c r="G89" s="953">
        <f>+NOMINA!BM85</f>
        <v>2.87</v>
      </c>
      <c r="H89" s="608"/>
      <c r="I89" s="609"/>
      <c r="J89" s="609"/>
      <c r="K89" s="609"/>
      <c r="L89" s="609"/>
    </row>
    <row r="90" spans="1:12" ht="15.75" customHeight="1">
      <c r="A90" s="951">
        <f t="shared" si="1"/>
        <v>44</v>
      </c>
      <c r="B90" s="949">
        <f>+NOMINA!C86</f>
        <v>10909245</v>
      </c>
      <c r="C90" s="949" t="str">
        <f>+NOMINA!D86</f>
        <v>Delduca Moreno Luisa</v>
      </c>
      <c r="D90" s="949" t="str">
        <f>+NOMINA!O86</f>
        <v>Guia de Centro II</v>
      </c>
      <c r="E90" s="952">
        <f>+NOMINA!H86</f>
        <v>36054</v>
      </c>
      <c r="F90" s="953">
        <f>+NOMINA!BL86</f>
        <v>24.56</v>
      </c>
      <c r="G90" s="953">
        <f>+NOMINA!BM86</f>
        <v>3.07</v>
      </c>
      <c r="H90" s="608"/>
      <c r="I90" s="609"/>
      <c r="J90" s="609"/>
      <c r="K90" s="609"/>
      <c r="L90" s="609"/>
    </row>
    <row r="91" spans="1:12" ht="15.75" customHeight="1">
      <c r="A91" s="951">
        <f t="shared" si="1"/>
        <v>45</v>
      </c>
      <c r="B91" s="949">
        <f>+NOMINA!C87</f>
        <v>10910698</v>
      </c>
      <c r="C91" s="949" t="str">
        <f>+NOMINA!D87</f>
        <v>Rangel Briceño Marcial Segundo</v>
      </c>
      <c r="D91" s="949" t="str">
        <f>+NOMINA!O87</f>
        <v>Asistente Administrativo II</v>
      </c>
      <c r="E91" s="952">
        <f>+NOMINA!H87</f>
        <v>43891</v>
      </c>
      <c r="F91" s="953">
        <f>+NOMINA!BL87</f>
        <v>10.56</v>
      </c>
      <c r="G91" s="953">
        <f>+NOMINA!BM87</f>
        <v>1.32</v>
      </c>
      <c r="H91" s="608"/>
      <c r="I91" s="609"/>
      <c r="J91" s="609"/>
      <c r="K91" s="609"/>
      <c r="L91" s="609"/>
    </row>
    <row r="92" spans="1:12" ht="15.75" customHeight="1">
      <c r="A92" s="951">
        <f t="shared" si="1"/>
        <v>46</v>
      </c>
      <c r="B92" s="949">
        <f>+NOMINA!C88</f>
        <v>10912595</v>
      </c>
      <c r="C92" s="949" t="str">
        <f>+NOMINA!D88</f>
        <v>Delfin Bustos Jose Hercilio</v>
      </c>
      <c r="D92" s="949" t="str">
        <f>+NOMINA!O88</f>
        <v>Guia de Centro II</v>
      </c>
      <c r="E92" s="952">
        <f>+NOMINA!H88</f>
        <v>36039</v>
      </c>
      <c r="F92" s="953">
        <f>+NOMINA!BL88</f>
        <v>0</v>
      </c>
      <c r="G92" s="953">
        <f>+NOMINA!BM88</f>
        <v>0</v>
      </c>
      <c r="H92" s="608"/>
      <c r="I92" s="609"/>
      <c r="J92" s="609"/>
      <c r="K92" s="609"/>
      <c r="L92" s="609"/>
    </row>
    <row r="93" spans="1:12" ht="15.75" customHeight="1">
      <c r="A93" s="951">
        <f t="shared" si="1"/>
        <v>47</v>
      </c>
      <c r="B93" s="949">
        <f>+NOMINA!C89</f>
        <v>10913178</v>
      </c>
      <c r="C93" s="949" t="str">
        <f>+NOMINA!D89</f>
        <v>Garcia Moreno Iris Josefina</v>
      </c>
      <c r="D93" s="949" t="str">
        <f>+NOMINA!O89</f>
        <v>Asistente de Servicio Social</v>
      </c>
      <c r="E93" s="952">
        <f>+NOMINA!H89</f>
        <v>44805</v>
      </c>
      <c r="F93" s="953">
        <f>+NOMINA!BL89</f>
        <v>11.94</v>
      </c>
      <c r="G93" s="953">
        <f>+NOMINA!BM89</f>
        <v>1.49</v>
      </c>
      <c r="H93" s="608"/>
      <c r="I93" s="609"/>
      <c r="J93" s="609"/>
      <c r="K93" s="609"/>
      <c r="L93" s="609"/>
    </row>
    <row r="94" spans="1:12" ht="15.75" customHeight="1">
      <c r="A94" s="951">
        <f t="shared" si="1"/>
        <v>48</v>
      </c>
      <c r="B94" s="949">
        <f>+NOMINA!C90</f>
        <v>10913637</v>
      </c>
      <c r="C94" s="949" t="str">
        <f>+NOMINA!D90</f>
        <v>Angarita Hernandez Ana Del Carmen</v>
      </c>
      <c r="D94" s="949" t="str">
        <f>+NOMINA!O90</f>
        <v>Guia de Centro II</v>
      </c>
      <c r="E94" s="952">
        <f>+NOMINA!H90</f>
        <v>40664</v>
      </c>
      <c r="F94" s="953">
        <f>+NOMINA!BL90</f>
        <v>27.36</v>
      </c>
      <c r="G94" s="953">
        <f>+NOMINA!BM90</f>
        <v>3.42</v>
      </c>
      <c r="H94" s="608"/>
      <c r="I94" s="609"/>
      <c r="J94" s="609"/>
      <c r="K94" s="609"/>
      <c r="L94" s="609"/>
    </row>
    <row r="95" spans="1:12" ht="15.75" customHeight="1">
      <c r="A95" s="951">
        <f t="shared" si="1"/>
        <v>49</v>
      </c>
      <c r="B95" s="949">
        <f>+NOMINA!C91</f>
        <v>10915223</v>
      </c>
      <c r="C95" s="949" t="str">
        <f>+NOMINA!D91</f>
        <v>Contreras Rojo Gerardo Alexander</v>
      </c>
      <c r="D95" s="949" t="str">
        <f>+NOMINA!O91</f>
        <v>Tutor Facilitador III</v>
      </c>
      <c r="E95" s="952">
        <f>+NOMINA!H91</f>
        <v>35339</v>
      </c>
      <c r="F95" s="953">
        <f>+NOMINA!BL91</f>
        <v>26.96</v>
      </c>
      <c r="G95" s="953">
        <f>+NOMINA!BM91</f>
        <v>3.37</v>
      </c>
      <c r="H95" s="608"/>
      <c r="I95" s="609"/>
      <c r="J95" s="609"/>
      <c r="K95" s="609"/>
      <c r="L95" s="609"/>
    </row>
    <row r="96" spans="1:12" ht="15.75" customHeight="1">
      <c r="A96" s="951">
        <f t="shared" si="1"/>
        <v>50</v>
      </c>
      <c r="B96" s="949">
        <f>+NOMINA!C92</f>
        <v>10915384</v>
      </c>
      <c r="C96" s="949" t="str">
        <f>+NOMINA!D92</f>
        <v>Rojas Hernandez Morela Del Carmen</v>
      </c>
      <c r="D96" s="949" t="str">
        <f>+NOMINA!O92</f>
        <v>Guia de Centro II</v>
      </c>
      <c r="E96" s="952">
        <f>+NOMINA!H92</f>
        <v>43147</v>
      </c>
      <c r="F96" s="953">
        <f>+NOMINA!BL92</f>
        <v>21.01</v>
      </c>
      <c r="G96" s="953">
        <f>+NOMINA!BM92</f>
        <v>2.63</v>
      </c>
      <c r="H96" s="608"/>
      <c r="I96" s="609"/>
      <c r="J96" s="609"/>
      <c r="K96" s="609"/>
      <c r="L96" s="609"/>
    </row>
    <row r="97" spans="1:12" ht="15.75" customHeight="1">
      <c r="A97" s="951">
        <f t="shared" si="1"/>
        <v>51</v>
      </c>
      <c r="B97" s="949">
        <f>+NOMINA!C93</f>
        <v>10915597</v>
      </c>
      <c r="C97" s="949" t="str">
        <f>+NOMINA!D93</f>
        <v>Carrillo Altuve Maria Mercedes</v>
      </c>
      <c r="D97" s="949" t="str">
        <f>+NOMINA!O93</f>
        <v>Guia de Centro I</v>
      </c>
      <c r="E97" s="952">
        <f>+NOMINA!H93</f>
        <v>44501</v>
      </c>
      <c r="F97" s="953">
        <f>+NOMINA!BL93</f>
        <v>23.89</v>
      </c>
      <c r="G97" s="953">
        <f>+NOMINA!BM93</f>
        <v>2.99</v>
      </c>
      <c r="H97" s="608"/>
      <c r="I97" s="609"/>
      <c r="J97" s="609"/>
      <c r="K97" s="609"/>
      <c r="L97" s="609"/>
    </row>
    <row r="98" spans="1:12" ht="15.75" customHeight="1">
      <c r="A98" s="951">
        <f t="shared" si="1"/>
        <v>52</v>
      </c>
      <c r="B98" s="949">
        <f>+NOMINA!C94</f>
        <v>11128954</v>
      </c>
      <c r="C98" s="949" t="str">
        <f>+NOMINA!D94</f>
        <v>Soto Lopez Rafael Maria</v>
      </c>
      <c r="D98" s="949" t="str">
        <f>+NOMINA!O94</f>
        <v>Guia de Centro I</v>
      </c>
      <c r="E98" s="952">
        <f>+NOMINA!H94</f>
        <v>45170</v>
      </c>
      <c r="F98" s="953">
        <f>+NOMINA!BL94</f>
        <v>25.28</v>
      </c>
      <c r="G98" s="953">
        <f>+NOMINA!BM94</f>
        <v>3.16</v>
      </c>
      <c r="H98" s="608"/>
      <c r="I98" s="609"/>
      <c r="J98" s="609"/>
      <c r="K98" s="609"/>
      <c r="L98" s="609"/>
    </row>
    <row r="99" spans="1:12" ht="15.75" customHeight="1">
      <c r="A99" s="951">
        <f t="shared" si="1"/>
        <v>53</v>
      </c>
      <c r="B99" s="949">
        <f>+NOMINA!C95</f>
        <v>11132900</v>
      </c>
      <c r="C99" s="949" t="str">
        <f>+NOMINA!D95</f>
        <v>Morillo Valero Ender Ramon</v>
      </c>
      <c r="D99" s="949" t="str">
        <f>+NOMINA!O95</f>
        <v>Guia de Centro I</v>
      </c>
      <c r="E99" s="952">
        <f>+NOMINA!H95</f>
        <v>44866</v>
      </c>
      <c r="F99" s="953">
        <f>+NOMINA!BL95</f>
        <v>18.77</v>
      </c>
      <c r="G99" s="953">
        <f>+NOMINA!BM95</f>
        <v>2.35</v>
      </c>
      <c r="H99" s="608"/>
      <c r="I99" s="609"/>
      <c r="J99" s="609"/>
      <c r="K99" s="609"/>
      <c r="L99" s="609"/>
    </row>
    <row r="100" spans="1:12" ht="15.75" customHeight="1">
      <c r="A100" s="951">
        <f t="shared" si="1"/>
        <v>54</v>
      </c>
      <c r="B100" s="949">
        <f>+NOMINA!C96</f>
        <v>11132943</v>
      </c>
      <c r="C100" s="949" t="str">
        <f>+NOMINA!D96</f>
        <v>Materano Delgado Yoleida Josefina</v>
      </c>
      <c r="D100" s="949" t="str">
        <f>+NOMINA!O96</f>
        <v>Guia de Centro II</v>
      </c>
      <c r="E100" s="952">
        <f>+NOMINA!H96</f>
        <v>39738</v>
      </c>
      <c r="F100" s="953">
        <f>+NOMINA!BL96</f>
        <v>12.57</v>
      </c>
      <c r="G100" s="953">
        <f>+NOMINA!BM96</f>
        <v>1.57</v>
      </c>
      <c r="H100" s="608"/>
      <c r="I100" s="609"/>
      <c r="J100" s="609"/>
      <c r="K100" s="609"/>
      <c r="L100" s="609"/>
    </row>
    <row r="101" spans="1:12" ht="15.75" customHeight="1">
      <c r="A101" s="951">
        <f t="shared" si="1"/>
        <v>55</v>
      </c>
      <c r="B101" s="949">
        <f>+NOMINA!C97</f>
        <v>11132979</v>
      </c>
      <c r="C101" s="949" t="str">
        <f>+NOMINA!D97</f>
        <v>Olivar Santana Maria Valbina</v>
      </c>
      <c r="D101" s="949" t="str">
        <f>+NOMINA!O97</f>
        <v>Guia de Centro II</v>
      </c>
      <c r="E101" s="952">
        <f>+NOMINA!H97</f>
        <v>44348</v>
      </c>
      <c r="F101" s="953">
        <f>+NOMINA!BL97</f>
        <v>28.73</v>
      </c>
      <c r="G101" s="953">
        <f>+NOMINA!BM97</f>
        <v>3.59</v>
      </c>
      <c r="H101" s="608"/>
      <c r="I101" s="609"/>
      <c r="J101" s="609"/>
      <c r="K101" s="609"/>
      <c r="L101" s="609"/>
    </row>
    <row r="102" spans="1:12" ht="15.75" customHeight="1">
      <c r="A102" s="951">
        <f t="shared" si="1"/>
        <v>56</v>
      </c>
      <c r="B102" s="949">
        <f>+NOMINA!C98</f>
        <v>11257247</v>
      </c>
      <c r="C102" s="949" t="str">
        <f>+NOMINA!D98</f>
        <v>Chacin Sanchez Eduard Fabian</v>
      </c>
      <c r="D102" s="949" t="str">
        <f>+NOMINA!O98</f>
        <v>DELEGADO PRUEBA III</v>
      </c>
      <c r="E102" s="952">
        <f>+NOMINA!H98</f>
        <v>42492</v>
      </c>
      <c r="F102" s="953">
        <f>+NOMINA!BL98</f>
        <v>20.56</v>
      </c>
      <c r="G102" s="953">
        <f>+NOMINA!BM98</f>
        <v>2.57</v>
      </c>
      <c r="H102" s="608"/>
      <c r="I102" s="609"/>
      <c r="J102" s="609"/>
      <c r="K102" s="609"/>
      <c r="L102" s="609"/>
    </row>
    <row r="103" spans="1:12" ht="15.75" customHeight="1">
      <c r="A103" s="951">
        <f t="shared" si="1"/>
        <v>57</v>
      </c>
      <c r="B103" s="949">
        <f>+NOMINA!C99</f>
        <v>11318142</v>
      </c>
      <c r="C103" s="949" t="str">
        <f>+NOMINA!D99</f>
        <v>Perdomo Rosales Modesto Ramon</v>
      </c>
      <c r="D103" s="949" t="str">
        <f>+NOMINA!O99</f>
        <v>Almacenista II</v>
      </c>
      <c r="E103" s="952">
        <f>+NOMINA!H99</f>
        <v>43983</v>
      </c>
      <c r="F103" s="953">
        <f>+NOMINA!BL99</f>
        <v>10.56</v>
      </c>
      <c r="G103" s="953">
        <f>+NOMINA!BM99</f>
        <v>1.32</v>
      </c>
      <c r="H103" s="608"/>
      <c r="I103" s="609"/>
      <c r="J103" s="609"/>
      <c r="K103" s="609"/>
      <c r="L103" s="609"/>
    </row>
    <row r="104" spans="1:12" ht="15.75" customHeight="1">
      <c r="A104" s="951">
        <f t="shared" si="1"/>
        <v>58</v>
      </c>
      <c r="B104" s="949">
        <f>+NOMINA!C100</f>
        <v>11318697</v>
      </c>
      <c r="C104" s="949" t="str">
        <f>+NOMINA!D100</f>
        <v>Sardi Hernandez Gladis Josefina</v>
      </c>
      <c r="D104" s="949" t="str">
        <f>+NOMINA!O100</f>
        <v>Asistente Administrativo III</v>
      </c>
      <c r="E104" s="952">
        <f>+NOMINA!H100</f>
        <v>39539</v>
      </c>
      <c r="F104" s="953">
        <f>+NOMINA!BL100</f>
        <v>12.57</v>
      </c>
      <c r="G104" s="953">
        <f>+NOMINA!BM100</f>
        <v>1.57</v>
      </c>
      <c r="H104" s="608"/>
      <c r="I104" s="609"/>
      <c r="J104" s="609"/>
      <c r="K104" s="609"/>
      <c r="L104" s="609"/>
    </row>
    <row r="105" spans="1:12" ht="15.75" customHeight="1">
      <c r="A105" s="951">
        <f t="shared" si="1"/>
        <v>59</v>
      </c>
      <c r="B105" s="949">
        <f>+NOMINA!C101</f>
        <v>11319154</v>
      </c>
      <c r="C105" s="949" t="str">
        <f>+NOMINA!D101</f>
        <v>Peña Villegas Lisette Carolina</v>
      </c>
      <c r="D105" s="949" t="str">
        <f>+NOMINA!O101</f>
        <v>Guia de Centro II</v>
      </c>
      <c r="E105" s="952">
        <f>+NOMINA!H101</f>
        <v>34428</v>
      </c>
      <c r="F105" s="953">
        <f>+NOMINA!BL101</f>
        <v>26.96</v>
      </c>
      <c r="G105" s="953">
        <f>+NOMINA!BM101</f>
        <v>3.37</v>
      </c>
      <c r="H105" s="608"/>
      <c r="I105" s="609"/>
      <c r="J105" s="609"/>
      <c r="K105" s="609"/>
      <c r="L105" s="609"/>
    </row>
    <row r="106" spans="1:12" ht="15.75" customHeight="1">
      <c r="A106" s="951">
        <f t="shared" si="1"/>
        <v>60</v>
      </c>
      <c r="B106" s="949">
        <f>+NOMINA!C102</f>
        <v>11320533</v>
      </c>
      <c r="C106" s="949" t="str">
        <f>+NOMINA!D102</f>
        <v>Suarez Chiquin Yaritza Josefina</v>
      </c>
      <c r="D106" s="949" t="str">
        <f>+NOMINA!O102</f>
        <v>Administrador IV</v>
      </c>
      <c r="E106" s="952">
        <f>+NOMINA!H102</f>
        <v>37629</v>
      </c>
      <c r="F106" s="953">
        <f>+NOMINA!BL102</f>
        <v>0</v>
      </c>
      <c r="G106" s="953">
        <f>+NOMINA!BM102</f>
        <v>0</v>
      </c>
      <c r="H106" s="608"/>
      <c r="I106" s="609"/>
      <c r="J106" s="609"/>
      <c r="K106" s="609"/>
      <c r="L106" s="609"/>
    </row>
    <row r="107" spans="1:12" ht="15.75" customHeight="1">
      <c r="A107" s="951">
        <f t="shared" si="1"/>
        <v>61</v>
      </c>
      <c r="B107" s="949">
        <f>+NOMINA!C103</f>
        <v>11322871</v>
      </c>
      <c r="C107" s="949" t="str">
        <f>+NOMINA!D103</f>
        <v>Rivas Albarran Martin Antonio</v>
      </c>
      <c r="D107" s="949" t="str">
        <f>+NOMINA!O103</f>
        <v>Tutor Facilitador III</v>
      </c>
      <c r="E107" s="952">
        <f>+NOMINA!H103</f>
        <v>38718</v>
      </c>
      <c r="F107" s="953">
        <f>+NOMINA!BL103</f>
        <v>22.48</v>
      </c>
      <c r="G107" s="953">
        <f>+NOMINA!BM103</f>
        <v>2.81</v>
      </c>
      <c r="H107" s="608"/>
      <c r="I107" s="609"/>
      <c r="J107" s="609"/>
      <c r="K107" s="609"/>
      <c r="L107" s="609"/>
    </row>
    <row r="108" spans="1:12" ht="15.75" customHeight="1">
      <c r="A108" s="951">
        <f t="shared" si="1"/>
        <v>62</v>
      </c>
      <c r="B108" s="949">
        <f>+NOMINA!C104</f>
        <v>11616673</v>
      </c>
      <c r="C108" s="949" t="str">
        <f>+NOMINA!D104</f>
        <v>Perdomo Orlando Jose</v>
      </c>
      <c r="D108" s="949" t="str">
        <f>+NOMINA!O104</f>
        <v>Tutor Facilitador III</v>
      </c>
      <c r="E108" s="952">
        <f>+NOMINA!H104</f>
        <v>35066</v>
      </c>
      <c r="F108" s="953">
        <f>+NOMINA!BL104</f>
        <v>23.22</v>
      </c>
      <c r="G108" s="953">
        <f>+NOMINA!BM104</f>
        <v>2.9</v>
      </c>
      <c r="H108" s="608"/>
      <c r="I108" s="609"/>
      <c r="J108" s="609"/>
      <c r="K108" s="609"/>
      <c r="L108" s="609"/>
    </row>
    <row r="109" spans="1:12" ht="15.75" customHeight="1">
      <c r="A109" s="951">
        <f t="shared" si="1"/>
        <v>63</v>
      </c>
      <c r="B109" s="949">
        <f>+NOMINA!C105</f>
        <v>11734553</v>
      </c>
      <c r="C109" s="949" t="str">
        <f>+NOMINA!D105</f>
        <v>Teran Torres Olga del Carmen</v>
      </c>
      <c r="D109" s="949" t="str">
        <f>+NOMINA!O105</f>
        <v>Tutor Facilitador III</v>
      </c>
      <c r="E109" s="952">
        <f>+NOMINA!H105</f>
        <v>43206</v>
      </c>
      <c r="F109" s="953">
        <f>+NOMINA!BL105</f>
        <v>22.78</v>
      </c>
      <c r="G109" s="953">
        <f>+NOMINA!BM105</f>
        <v>2.85</v>
      </c>
      <c r="H109" s="608"/>
      <c r="I109" s="609"/>
      <c r="J109" s="609"/>
      <c r="K109" s="609"/>
      <c r="L109" s="609"/>
    </row>
    <row r="110" spans="1:12" ht="15.75" customHeight="1">
      <c r="A110" s="951">
        <f t="shared" si="1"/>
        <v>64</v>
      </c>
      <c r="B110" s="949">
        <f>+NOMINA!C106</f>
        <v>11894534</v>
      </c>
      <c r="C110" s="949" t="str">
        <f>+NOMINA!D106</f>
        <v>Olmos Rodriguez Eberto de Jesus</v>
      </c>
      <c r="D110" s="949" t="str">
        <f>+NOMINA!O106</f>
        <v>Administrador Jefe</v>
      </c>
      <c r="E110" s="952">
        <f>+NOMINA!H106</f>
        <v>40909</v>
      </c>
      <c r="F110" s="953">
        <f>+NOMINA!BL106</f>
        <v>0</v>
      </c>
      <c r="G110" s="953">
        <f>+NOMINA!BM106</f>
        <v>0</v>
      </c>
      <c r="H110" s="608"/>
      <c r="I110" s="609"/>
      <c r="J110" s="609"/>
      <c r="K110" s="609"/>
      <c r="L110" s="609"/>
    </row>
    <row r="111" spans="1:12" ht="15.75" customHeight="1">
      <c r="A111" s="951">
        <f t="shared" si="1"/>
        <v>65</v>
      </c>
      <c r="B111" s="949">
        <f>+NOMINA!C107</f>
        <v>11895772</v>
      </c>
      <c r="C111" s="949" t="str">
        <f>+NOMINA!D107</f>
        <v>Rangel Rivas Ildemaro</v>
      </c>
      <c r="D111" s="949" t="str">
        <f>+NOMINA!O107</f>
        <v>Entrenador Deportivo II</v>
      </c>
      <c r="E111" s="952">
        <f>+NOMINA!H107</f>
        <v>44743</v>
      </c>
      <c r="F111" s="953">
        <f>+NOMINA!BL107</f>
        <v>0</v>
      </c>
      <c r="G111" s="953">
        <f>+NOMINA!BM107</f>
        <v>0</v>
      </c>
      <c r="H111" s="608"/>
      <c r="I111" s="609"/>
      <c r="J111" s="609"/>
      <c r="K111" s="609"/>
      <c r="L111" s="609"/>
    </row>
    <row r="112" spans="1:12" ht="15.75" customHeight="1">
      <c r="A112" s="951">
        <f t="shared" si="1"/>
        <v>66</v>
      </c>
      <c r="B112" s="949">
        <f>+NOMINA!C108</f>
        <v>11896941</v>
      </c>
      <c r="C112" s="949" t="str">
        <f>+NOMINA!D108</f>
        <v>Justo Angel Jannessy</v>
      </c>
      <c r="D112" s="949" t="str">
        <f>+NOMINA!O108</f>
        <v>Analista de Presupuesto III</v>
      </c>
      <c r="E112" s="952">
        <f>+NOMINA!H108</f>
        <v>38698</v>
      </c>
      <c r="F112" s="953">
        <f>+NOMINA!BL108</f>
        <v>0</v>
      </c>
      <c r="G112" s="953">
        <f>+NOMINA!BM108</f>
        <v>0</v>
      </c>
      <c r="H112" s="608"/>
      <c r="I112" s="609"/>
      <c r="J112" s="609"/>
      <c r="K112" s="609"/>
      <c r="L112" s="609"/>
    </row>
    <row r="113" spans="1:12" ht="15.75" customHeight="1">
      <c r="A113" s="951">
        <f t="shared" ref="A113:A176" si="2">+A112+1</f>
        <v>67</v>
      </c>
      <c r="B113" s="949">
        <f>+NOMINA!C109</f>
        <v>11898486</v>
      </c>
      <c r="C113" s="949" t="str">
        <f>+NOMINA!D109</f>
        <v>Linares Hernandez Thaiz Yoconda</v>
      </c>
      <c r="D113" s="949" t="str">
        <f>+NOMINA!O109</f>
        <v>Asistente Administrativo III</v>
      </c>
      <c r="E113" s="952">
        <f>+NOMINA!H109</f>
        <v>40065</v>
      </c>
      <c r="F113" s="953">
        <f>+NOMINA!BL109</f>
        <v>17.579999999999998</v>
      </c>
      <c r="G113" s="953">
        <f>+NOMINA!BM109</f>
        <v>2.2000000000000002</v>
      </c>
      <c r="H113" s="608"/>
      <c r="I113" s="609"/>
      <c r="J113" s="609"/>
      <c r="K113" s="609"/>
      <c r="L113" s="609"/>
    </row>
    <row r="114" spans="1:12" ht="15.75" customHeight="1">
      <c r="A114" s="951">
        <f t="shared" si="2"/>
        <v>68</v>
      </c>
      <c r="B114" s="949">
        <f>+NOMINA!C110</f>
        <v>12040792</v>
      </c>
      <c r="C114" s="949" t="str">
        <f>+NOMINA!D110</f>
        <v>Sulbaran Campos Jesus Alberto</v>
      </c>
      <c r="D114" s="949" t="str">
        <f>+NOMINA!O110</f>
        <v>Supervisor de Servicios Generales III</v>
      </c>
      <c r="E114" s="952">
        <f>+NOMINA!H110</f>
        <v>43236</v>
      </c>
      <c r="F114" s="953">
        <f>+NOMINA!BL110</f>
        <v>13.93</v>
      </c>
      <c r="G114" s="953">
        <f>+NOMINA!BM110</f>
        <v>1.74</v>
      </c>
      <c r="H114" s="608"/>
      <c r="I114" s="609"/>
      <c r="J114" s="609"/>
      <c r="K114" s="609"/>
      <c r="L114" s="609"/>
    </row>
    <row r="115" spans="1:12" ht="15.75" customHeight="1">
      <c r="A115" s="951">
        <f t="shared" si="2"/>
        <v>69</v>
      </c>
      <c r="B115" s="949">
        <f>+NOMINA!C111</f>
        <v>12042855</v>
      </c>
      <c r="C115" s="949" t="str">
        <f>+NOMINA!D111</f>
        <v>Alburguez  Manzanilla Neira Josefina</v>
      </c>
      <c r="D115" s="949" t="str">
        <f>+NOMINA!O111</f>
        <v>Enfermera Jefe I</v>
      </c>
      <c r="E115" s="952">
        <f>+NOMINA!H111</f>
        <v>44028</v>
      </c>
      <c r="F115" s="953">
        <f>+NOMINA!BL111</f>
        <v>16.510000000000002</v>
      </c>
      <c r="G115" s="953">
        <f>+NOMINA!BM111</f>
        <v>2.06</v>
      </c>
      <c r="H115" s="608"/>
      <c r="I115" s="609"/>
      <c r="J115" s="609"/>
      <c r="K115" s="609"/>
      <c r="L115" s="609"/>
    </row>
    <row r="116" spans="1:12" ht="15.75" customHeight="1">
      <c r="A116" s="951">
        <f t="shared" si="2"/>
        <v>70</v>
      </c>
      <c r="B116" s="949">
        <f>+NOMINA!C112</f>
        <v>12045335</v>
      </c>
      <c r="C116" s="949" t="str">
        <f>+NOMINA!D112</f>
        <v>Gonzalez De Briceño Yasmin Coromoto</v>
      </c>
      <c r="D116" s="949" t="str">
        <f>+NOMINA!O112</f>
        <v>Guia de Centro I</v>
      </c>
      <c r="E116" s="952">
        <f>+NOMINA!H112</f>
        <v>45505</v>
      </c>
      <c r="F116" s="953">
        <f>+NOMINA!BL112</f>
        <v>22.56</v>
      </c>
      <c r="G116" s="953">
        <f>+NOMINA!BM112</f>
        <v>2.82</v>
      </c>
      <c r="H116" s="608"/>
      <c r="I116" s="609"/>
      <c r="J116" s="609"/>
      <c r="K116" s="609"/>
      <c r="L116" s="609"/>
    </row>
    <row r="117" spans="1:12" ht="15.75" customHeight="1">
      <c r="A117" s="951">
        <f t="shared" si="2"/>
        <v>71</v>
      </c>
      <c r="B117" s="949">
        <f>+NOMINA!C113</f>
        <v>12045360</v>
      </c>
      <c r="C117" s="949" t="str">
        <f>+NOMINA!D113</f>
        <v>Montilla Lamus Ana Cristina</v>
      </c>
      <c r="D117" s="949" t="str">
        <f>+NOMINA!O113</f>
        <v>Guia de Centro I</v>
      </c>
      <c r="E117" s="952">
        <f>+NOMINA!H113</f>
        <v>39238</v>
      </c>
      <c r="F117" s="953">
        <f>+NOMINA!BL113</f>
        <v>13.14</v>
      </c>
      <c r="G117" s="953">
        <f>+NOMINA!BM113</f>
        <v>1.64</v>
      </c>
      <c r="H117" s="608"/>
      <c r="I117" s="609"/>
      <c r="J117" s="609"/>
      <c r="K117" s="609"/>
      <c r="L117" s="609"/>
    </row>
    <row r="118" spans="1:12" ht="15.75" customHeight="1">
      <c r="A118" s="951">
        <f t="shared" si="2"/>
        <v>72</v>
      </c>
      <c r="B118" s="949">
        <f>+NOMINA!C114</f>
        <v>12045504</v>
      </c>
      <c r="C118" s="949" t="str">
        <f>+NOMINA!D114</f>
        <v>Sanchez Olivar Denis Josefina</v>
      </c>
      <c r="D118" s="949" t="str">
        <f>+NOMINA!O114</f>
        <v>Asistente Administrativo II</v>
      </c>
      <c r="E118" s="952">
        <f>+NOMINA!H114</f>
        <v>43862</v>
      </c>
      <c r="F118" s="953">
        <f>+NOMINA!BL114</f>
        <v>11.48</v>
      </c>
      <c r="G118" s="953">
        <f>+NOMINA!BM114</f>
        <v>1.44</v>
      </c>
      <c r="H118" s="608"/>
      <c r="I118" s="609"/>
      <c r="J118" s="609"/>
      <c r="K118" s="609"/>
      <c r="L118" s="609"/>
    </row>
    <row r="119" spans="1:12" ht="15.75" customHeight="1">
      <c r="A119" s="951">
        <f t="shared" si="2"/>
        <v>73</v>
      </c>
      <c r="B119" s="949">
        <f>+NOMINA!C115</f>
        <v>12045934</v>
      </c>
      <c r="C119" s="949" t="str">
        <f>+NOMINA!D115</f>
        <v>Mendez Olmos Tulio Enrique</v>
      </c>
      <c r="D119" s="949" t="str">
        <f>+NOMINA!O115</f>
        <v>Especialista en Informatica I</v>
      </c>
      <c r="E119" s="952">
        <f>+NOMINA!H115</f>
        <v>36342</v>
      </c>
      <c r="F119" s="953">
        <f>+NOMINA!BL115</f>
        <v>23.22</v>
      </c>
      <c r="G119" s="953">
        <f>+NOMINA!BM115</f>
        <v>2.9</v>
      </c>
      <c r="H119" s="608"/>
      <c r="I119" s="609"/>
      <c r="J119" s="609"/>
      <c r="K119" s="609"/>
      <c r="L119" s="609"/>
    </row>
    <row r="120" spans="1:12" ht="15.75" customHeight="1">
      <c r="A120" s="951">
        <f t="shared" si="2"/>
        <v>74</v>
      </c>
      <c r="B120" s="949">
        <f>+NOMINA!C116</f>
        <v>12457981</v>
      </c>
      <c r="C120" s="949" t="str">
        <f>+NOMINA!D116</f>
        <v>Escalona Ruiz Luis Alberto</v>
      </c>
      <c r="D120" s="949" t="str">
        <f>+NOMINA!O116</f>
        <v>Medico Especialista II</v>
      </c>
      <c r="E120" s="952">
        <f>+NOMINA!H116</f>
        <v>44348</v>
      </c>
      <c r="F120" s="953">
        <f>+NOMINA!BL116</f>
        <v>16.329999999999998</v>
      </c>
      <c r="G120" s="953">
        <f>+NOMINA!BM116</f>
        <v>2.04</v>
      </c>
      <c r="H120" s="608"/>
      <c r="I120" s="609"/>
      <c r="J120" s="609"/>
      <c r="K120" s="609"/>
      <c r="L120" s="609"/>
    </row>
    <row r="121" spans="1:12" ht="15.75" customHeight="1">
      <c r="A121" s="951">
        <f t="shared" si="2"/>
        <v>75</v>
      </c>
      <c r="B121" s="949">
        <f>+NOMINA!C117</f>
        <v>12458811</v>
      </c>
      <c r="C121" s="949" t="str">
        <f>+NOMINA!D117</f>
        <v>Segovia Rondon Milagros Del Valle</v>
      </c>
      <c r="D121" s="949" t="str">
        <f>+NOMINA!O117</f>
        <v>Analista de Presupuesto Jefe</v>
      </c>
      <c r="E121" s="952">
        <f>+NOMINA!H117</f>
        <v>39514</v>
      </c>
      <c r="F121" s="953">
        <f>+NOMINA!BL117</f>
        <v>26.56</v>
      </c>
      <c r="G121" s="953">
        <f>+NOMINA!BM117</f>
        <v>3.32</v>
      </c>
      <c r="H121" s="608"/>
      <c r="I121" s="609"/>
      <c r="J121" s="609"/>
      <c r="K121" s="609"/>
      <c r="L121" s="609"/>
    </row>
    <row r="122" spans="1:12" ht="15.75" customHeight="1">
      <c r="A122" s="951">
        <f t="shared" si="2"/>
        <v>76</v>
      </c>
      <c r="B122" s="949">
        <f>+NOMINA!C118</f>
        <v>12458942</v>
      </c>
      <c r="C122" s="949" t="str">
        <f>+NOMINA!D118</f>
        <v>Mendoza Mendoza Mirian Del Milagro</v>
      </c>
      <c r="D122" s="949" t="str">
        <f>+NOMINA!O118</f>
        <v>Administrador Jefe</v>
      </c>
      <c r="E122" s="952">
        <f>+NOMINA!H118</f>
        <v>44424</v>
      </c>
      <c r="F122" s="953">
        <f>+NOMINA!BL118</f>
        <v>0</v>
      </c>
      <c r="G122" s="953">
        <f>+NOMINA!BM118</f>
        <v>0</v>
      </c>
      <c r="H122" s="608"/>
      <c r="I122" s="609"/>
      <c r="J122" s="609"/>
      <c r="K122" s="609"/>
      <c r="L122" s="609"/>
    </row>
    <row r="123" spans="1:12" ht="15.75" customHeight="1">
      <c r="A123" s="951">
        <f t="shared" si="2"/>
        <v>77</v>
      </c>
      <c r="B123" s="949">
        <f>+NOMINA!C119</f>
        <v>12541044</v>
      </c>
      <c r="C123" s="949" t="str">
        <f>+NOMINA!D119</f>
        <v>Rojas Telles Lisbeth Josefina</v>
      </c>
      <c r="D123" s="949" t="str">
        <f>+NOMINA!O119</f>
        <v>Tutor Facilitador I</v>
      </c>
      <c r="E123" s="952">
        <f>+NOMINA!H119</f>
        <v>45597</v>
      </c>
      <c r="F123" s="953">
        <f>+NOMINA!BL119</f>
        <v>17.93</v>
      </c>
      <c r="G123" s="953">
        <f>+NOMINA!BM119</f>
        <v>2.2400000000000002</v>
      </c>
      <c r="H123" s="608"/>
      <c r="I123" s="609"/>
      <c r="J123" s="609"/>
      <c r="K123" s="609"/>
      <c r="L123" s="609"/>
    </row>
    <row r="124" spans="1:12" ht="15.75" customHeight="1">
      <c r="A124" s="951">
        <f t="shared" si="2"/>
        <v>78</v>
      </c>
      <c r="B124" s="949">
        <f>+NOMINA!C120</f>
        <v>12542413</v>
      </c>
      <c r="C124" s="949" t="str">
        <f>+NOMINA!D120</f>
        <v>Aponte Matheus Richard Alexander</v>
      </c>
      <c r="D124" s="949" t="str">
        <f>+NOMINA!O120</f>
        <v>Guia de Centro II</v>
      </c>
      <c r="E124" s="952">
        <f>+NOMINA!H120</f>
        <v>36434</v>
      </c>
      <c r="F124" s="953">
        <f>+NOMINA!BL120</f>
        <v>0</v>
      </c>
      <c r="G124" s="953">
        <f>+NOMINA!BM120</f>
        <v>0</v>
      </c>
      <c r="H124" s="608"/>
      <c r="I124" s="609"/>
      <c r="J124" s="609"/>
      <c r="K124" s="609"/>
      <c r="L124" s="609"/>
    </row>
    <row r="125" spans="1:12" ht="15.75" customHeight="1">
      <c r="A125" s="951">
        <f t="shared" si="2"/>
        <v>79</v>
      </c>
      <c r="B125" s="949">
        <f>+NOMINA!C121</f>
        <v>12798604</v>
      </c>
      <c r="C125" s="949" t="str">
        <f>+NOMINA!D121</f>
        <v>Camacho Gomez Trina Margarita</v>
      </c>
      <c r="D125" s="949" t="str">
        <f>+NOMINA!O121</f>
        <v>Guia de Centro II</v>
      </c>
      <c r="E125" s="952">
        <f>+NOMINA!H121</f>
        <v>35384</v>
      </c>
      <c r="F125" s="953">
        <f>+NOMINA!BL121</f>
        <v>13.76</v>
      </c>
      <c r="G125" s="953">
        <f>+NOMINA!BM121</f>
        <v>1.72</v>
      </c>
      <c r="H125" s="608"/>
      <c r="I125" s="609"/>
      <c r="J125" s="609"/>
      <c r="K125" s="609"/>
      <c r="L125" s="609"/>
    </row>
    <row r="126" spans="1:12" ht="15.75" customHeight="1">
      <c r="A126" s="951">
        <f t="shared" si="2"/>
        <v>80</v>
      </c>
      <c r="B126" s="949">
        <f>+NOMINA!C122</f>
        <v>12798736</v>
      </c>
      <c r="C126" s="949" t="str">
        <f>+NOMINA!D122</f>
        <v>Gonzalez Pabon Marianela</v>
      </c>
      <c r="D126" s="949" t="str">
        <f>+NOMINA!O122</f>
        <v>Analista de Personal VI</v>
      </c>
      <c r="E126" s="952">
        <f>+NOMINA!H122</f>
        <v>39479</v>
      </c>
      <c r="F126" s="953">
        <f>+NOMINA!BL122</f>
        <v>25.54</v>
      </c>
      <c r="G126" s="953">
        <f>+NOMINA!BM122</f>
        <v>3.19</v>
      </c>
      <c r="H126" s="608"/>
      <c r="I126" s="609"/>
      <c r="J126" s="609"/>
      <c r="K126" s="609"/>
      <c r="L126" s="609"/>
    </row>
    <row r="127" spans="1:12" ht="15.75" customHeight="1">
      <c r="A127" s="951">
        <f t="shared" si="2"/>
        <v>81</v>
      </c>
      <c r="B127" s="949">
        <f>+NOMINA!C123</f>
        <v>12939010</v>
      </c>
      <c r="C127" s="949" t="str">
        <f>+NOMINA!D123</f>
        <v>Mendez de Viloria Yelitza Del Valle</v>
      </c>
      <c r="D127" s="949" t="str">
        <f>+NOMINA!O123</f>
        <v>Asistente Administrativo III</v>
      </c>
      <c r="E127" s="952">
        <f>+NOMINA!H123</f>
        <v>42948</v>
      </c>
      <c r="F127" s="953">
        <f>+NOMINA!BL123</f>
        <v>16.95</v>
      </c>
      <c r="G127" s="953">
        <f>+NOMINA!BM123</f>
        <v>2.12</v>
      </c>
      <c r="H127" s="608"/>
      <c r="I127" s="609"/>
      <c r="J127" s="609"/>
      <c r="K127" s="609"/>
      <c r="L127" s="609"/>
    </row>
    <row r="128" spans="1:12" ht="15.75" customHeight="1">
      <c r="A128" s="951">
        <f t="shared" si="2"/>
        <v>82</v>
      </c>
      <c r="B128" s="949">
        <f>+NOMINA!C124</f>
        <v>12941385</v>
      </c>
      <c r="C128" s="949" t="str">
        <f>+NOMINA!D124</f>
        <v>Torres de Gonzalez Milangela Maria</v>
      </c>
      <c r="D128" s="949" t="str">
        <f>+NOMINA!O124</f>
        <v>Tutor Facilitador III</v>
      </c>
      <c r="E128" s="952">
        <f>+NOMINA!H124</f>
        <v>42948</v>
      </c>
      <c r="F128" s="953">
        <f>+NOMINA!BL124</f>
        <v>19.829999999999998</v>
      </c>
      <c r="G128" s="953">
        <f>+NOMINA!BM124</f>
        <v>2.48</v>
      </c>
      <c r="H128" s="608"/>
      <c r="I128" s="609"/>
      <c r="J128" s="609"/>
      <c r="K128" s="609"/>
      <c r="L128" s="609"/>
    </row>
    <row r="129" spans="1:12" ht="15.75" customHeight="1">
      <c r="A129" s="951">
        <f t="shared" si="2"/>
        <v>83</v>
      </c>
      <c r="B129" s="949">
        <f>+NOMINA!C125</f>
        <v>13117904</v>
      </c>
      <c r="C129" s="949" t="str">
        <f>+NOMINA!D125</f>
        <v>Villegas Jaime Antonio</v>
      </c>
      <c r="D129" s="949" t="str">
        <f>+NOMINA!O125</f>
        <v>Guia de Centro I</v>
      </c>
      <c r="E129" s="952">
        <f>+NOMINA!H125</f>
        <v>43693</v>
      </c>
      <c r="F129" s="953">
        <f>+NOMINA!BL125</f>
        <v>14.4</v>
      </c>
      <c r="G129" s="953">
        <f>+NOMINA!BM125</f>
        <v>1.8</v>
      </c>
      <c r="H129" s="608"/>
      <c r="I129" s="609"/>
      <c r="J129" s="609"/>
      <c r="K129" s="609"/>
      <c r="L129" s="609"/>
    </row>
    <row r="130" spans="1:12" ht="15.75" customHeight="1">
      <c r="A130" s="951">
        <f t="shared" si="2"/>
        <v>84</v>
      </c>
      <c r="B130" s="949">
        <f>+NOMINA!C126</f>
        <v>13206767</v>
      </c>
      <c r="C130" s="949" t="str">
        <f>+NOMINA!D126</f>
        <v>Bastidas Guerra Soralis del Valle</v>
      </c>
      <c r="D130" s="949" t="str">
        <f>+NOMINA!O126</f>
        <v>Abogado I</v>
      </c>
      <c r="E130" s="952">
        <f>+NOMINA!H126</f>
        <v>44713</v>
      </c>
      <c r="F130" s="953">
        <f>+NOMINA!BL126</f>
        <v>0</v>
      </c>
      <c r="G130" s="953">
        <f>+NOMINA!BM126</f>
        <v>0</v>
      </c>
      <c r="H130" s="608"/>
      <c r="I130" s="609"/>
      <c r="J130" s="609"/>
      <c r="K130" s="609"/>
      <c r="L130" s="609"/>
    </row>
    <row r="131" spans="1:12" ht="15.75" customHeight="1">
      <c r="A131" s="951">
        <f t="shared" si="2"/>
        <v>85</v>
      </c>
      <c r="B131" s="949">
        <f>+NOMINA!C127</f>
        <v>13207692</v>
      </c>
      <c r="C131" s="949" t="str">
        <f>+NOMINA!D127</f>
        <v>Macias Briceño Alejandra Coromoto</v>
      </c>
      <c r="D131" s="949" t="str">
        <f>+NOMINA!O127</f>
        <v>Administrador III</v>
      </c>
      <c r="E131" s="952">
        <f>+NOMINA!H127</f>
        <v>38504</v>
      </c>
      <c r="F131" s="953">
        <f>+NOMINA!BL127</f>
        <v>23.63</v>
      </c>
      <c r="G131" s="953">
        <f>+NOMINA!BM127</f>
        <v>2.95</v>
      </c>
      <c r="H131" s="608"/>
      <c r="I131" s="609"/>
      <c r="J131" s="609"/>
      <c r="K131" s="609"/>
      <c r="L131" s="609"/>
    </row>
    <row r="132" spans="1:12" ht="15.75" customHeight="1">
      <c r="A132" s="951">
        <f t="shared" si="2"/>
        <v>86</v>
      </c>
      <c r="B132" s="949">
        <f>+NOMINA!C128</f>
        <v>13260050</v>
      </c>
      <c r="C132" s="949" t="str">
        <f>+NOMINA!D128</f>
        <v>Mendoza Vieras Maria Elena</v>
      </c>
      <c r="D132" s="949" t="str">
        <f>+NOMINA!O128</f>
        <v>ADMINISTRADOR III</v>
      </c>
      <c r="E132" s="952">
        <f>+NOMINA!H128</f>
        <v>45444</v>
      </c>
      <c r="F132" s="953">
        <f>+NOMINA!BL128</f>
        <v>20.86</v>
      </c>
      <c r="G132" s="953">
        <f>+NOMINA!BM128</f>
        <v>2.61</v>
      </c>
      <c r="H132" s="608"/>
      <c r="I132" s="609"/>
      <c r="J132" s="609"/>
      <c r="K132" s="609"/>
      <c r="L132" s="609"/>
    </row>
    <row r="133" spans="1:12" ht="15.75" customHeight="1">
      <c r="A133" s="951">
        <f t="shared" si="2"/>
        <v>87</v>
      </c>
      <c r="B133" s="949">
        <f>+NOMINA!C129</f>
        <v>13260933</v>
      </c>
      <c r="C133" s="949" t="str">
        <f>+NOMINA!D129</f>
        <v>Venegas Azuaje Freddy Jose</v>
      </c>
      <c r="D133" s="949" t="str">
        <f>+NOMINA!O129</f>
        <v>Guia de Centro I</v>
      </c>
      <c r="E133" s="952">
        <f>+NOMINA!H129</f>
        <v>45474</v>
      </c>
      <c r="F133" s="953">
        <f>+NOMINA!BL129</f>
        <v>12.48</v>
      </c>
      <c r="G133" s="953">
        <f>+NOMINA!BM129</f>
        <v>1.56</v>
      </c>
      <c r="H133" s="608"/>
      <c r="I133" s="609"/>
      <c r="J133" s="609"/>
      <c r="K133" s="609"/>
      <c r="L133" s="609"/>
    </row>
    <row r="134" spans="1:12" ht="15.75" customHeight="1">
      <c r="A134" s="951">
        <f t="shared" si="2"/>
        <v>88</v>
      </c>
      <c r="B134" s="949">
        <f>+NOMINA!C130</f>
        <v>13261035</v>
      </c>
      <c r="C134" s="949" t="str">
        <f>+NOMINA!D130</f>
        <v>Henry Peña Yokary Nakary</v>
      </c>
      <c r="D134" s="949" t="str">
        <f>+NOMINA!O130</f>
        <v>Entrenador Deportivo V</v>
      </c>
      <c r="E134" s="952">
        <f>+NOMINA!H130</f>
        <v>43770</v>
      </c>
      <c r="F134" s="953">
        <f>+NOMINA!BL130</f>
        <v>19.420000000000002</v>
      </c>
      <c r="G134" s="953">
        <f>+NOMINA!BM130</f>
        <v>2.4300000000000002</v>
      </c>
      <c r="H134" s="608"/>
      <c r="I134" s="609"/>
      <c r="J134" s="609"/>
      <c r="K134" s="609"/>
      <c r="L134" s="609"/>
    </row>
    <row r="135" spans="1:12" ht="15.75" customHeight="1">
      <c r="A135" s="951">
        <f t="shared" si="2"/>
        <v>89</v>
      </c>
      <c r="B135" s="949">
        <f>+NOMINA!C131</f>
        <v>13261229</v>
      </c>
      <c r="C135" s="949" t="str">
        <f>+NOMINA!D131</f>
        <v>Abreu Rodriguez Eva Del Carmen</v>
      </c>
      <c r="D135" s="949" t="str">
        <f>+NOMINA!O131</f>
        <v>Asistente Administrativo III</v>
      </c>
      <c r="E135" s="952">
        <f>+NOMINA!H131</f>
        <v>42644</v>
      </c>
      <c r="F135" s="953">
        <f>+NOMINA!BL131</f>
        <v>16.95</v>
      </c>
      <c r="G135" s="953">
        <f>+NOMINA!BM131</f>
        <v>2.12</v>
      </c>
      <c r="H135" s="608"/>
      <c r="I135" s="609"/>
      <c r="J135" s="609"/>
      <c r="K135" s="609"/>
      <c r="L135" s="609"/>
    </row>
    <row r="136" spans="1:12" ht="15.75" customHeight="1">
      <c r="A136" s="951">
        <f t="shared" si="2"/>
        <v>90</v>
      </c>
      <c r="B136" s="949">
        <f>+NOMINA!C132</f>
        <v>13461747</v>
      </c>
      <c r="C136" s="949" t="str">
        <f>+NOMINA!D132</f>
        <v>Santos Hernandez Karine Yenilet</v>
      </c>
      <c r="D136" s="949" t="str">
        <f>+NOMINA!O132</f>
        <v>Asistente Administrativo III</v>
      </c>
      <c r="E136" s="952">
        <f>+NOMINA!H132</f>
        <v>44683</v>
      </c>
      <c r="F136" s="953">
        <f>+NOMINA!BL132</f>
        <v>15.85</v>
      </c>
      <c r="G136" s="953">
        <f>+NOMINA!BM132</f>
        <v>1.98</v>
      </c>
      <c r="H136" s="608"/>
      <c r="I136" s="609"/>
      <c r="J136" s="609"/>
      <c r="K136" s="609"/>
      <c r="L136" s="609"/>
    </row>
    <row r="137" spans="1:12" ht="15.75" customHeight="1">
      <c r="A137" s="951">
        <f t="shared" si="2"/>
        <v>91</v>
      </c>
      <c r="B137" s="949">
        <f>+NOMINA!C133</f>
        <v>13461934</v>
      </c>
      <c r="C137" s="949" t="str">
        <f>+NOMINA!D133</f>
        <v>Ramirez Ayala Jenny Marisela</v>
      </c>
      <c r="D137" s="949" t="str">
        <f>+NOMINA!O133</f>
        <v>Guia de Centro II</v>
      </c>
      <c r="E137" s="952">
        <f>+NOMINA!H133</f>
        <v>43252</v>
      </c>
      <c r="F137" s="953">
        <f>+NOMINA!BL133</f>
        <v>14.91</v>
      </c>
      <c r="G137" s="953">
        <f>+NOMINA!BM133</f>
        <v>1.86</v>
      </c>
      <c r="H137" s="608"/>
      <c r="I137" s="609"/>
      <c r="J137" s="609"/>
      <c r="K137" s="609"/>
      <c r="L137" s="609"/>
    </row>
    <row r="138" spans="1:12" ht="15.75" customHeight="1">
      <c r="A138" s="951">
        <f t="shared" si="2"/>
        <v>92</v>
      </c>
      <c r="B138" s="949">
        <f>+NOMINA!C134</f>
        <v>13462933</v>
      </c>
      <c r="C138" s="949" t="str">
        <f>+NOMINA!D134</f>
        <v>Frias Aldana Maria Yaritza</v>
      </c>
      <c r="D138" s="949" t="str">
        <f>+NOMINA!O134</f>
        <v>Administrador Jefe</v>
      </c>
      <c r="E138" s="952">
        <f>+NOMINA!H134</f>
        <v>39454</v>
      </c>
      <c r="F138" s="953">
        <f>+NOMINA!BL134</f>
        <v>0</v>
      </c>
      <c r="G138" s="953">
        <f>+NOMINA!BM134</f>
        <v>0</v>
      </c>
      <c r="H138" s="608"/>
      <c r="I138" s="609"/>
      <c r="J138" s="609"/>
      <c r="K138" s="609"/>
      <c r="L138" s="609"/>
    </row>
    <row r="139" spans="1:12" ht="15.75" customHeight="1">
      <c r="A139" s="951">
        <f t="shared" si="2"/>
        <v>93</v>
      </c>
      <c r="B139" s="949">
        <f>+NOMINA!C135</f>
        <v>13462511</v>
      </c>
      <c r="C139" s="949" t="str">
        <f>+NOMINA!D135</f>
        <v>Vielma Jenifer</v>
      </c>
      <c r="D139" s="949" t="str">
        <f>+NOMINA!O135</f>
        <v>CRIMINOLOGO</v>
      </c>
      <c r="E139" s="952">
        <f>+NOMINA!H135</f>
        <v>43738</v>
      </c>
      <c r="F139" s="953">
        <f>+NOMINA!BL135</f>
        <v>25.02</v>
      </c>
      <c r="G139" s="953">
        <f>+NOMINA!BM135</f>
        <v>3.13</v>
      </c>
      <c r="H139" s="608"/>
      <c r="I139" s="609"/>
      <c r="J139" s="609"/>
      <c r="K139" s="609"/>
      <c r="L139" s="609"/>
    </row>
    <row r="140" spans="1:12" ht="15.75" customHeight="1">
      <c r="A140" s="951">
        <f t="shared" si="2"/>
        <v>94</v>
      </c>
      <c r="B140" s="949">
        <f>+NOMINA!C136</f>
        <v>13522518</v>
      </c>
      <c r="C140" s="949" t="str">
        <f>+NOMINA!D136</f>
        <v>Altuve Diaz Jose Antonio</v>
      </c>
      <c r="D140" s="949" t="str">
        <f>+NOMINA!O136</f>
        <v>Almacenista II</v>
      </c>
      <c r="E140" s="952">
        <f>+NOMINA!H136</f>
        <v>43739</v>
      </c>
      <c r="F140" s="953">
        <f>+NOMINA!BL136</f>
        <v>11.08</v>
      </c>
      <c r="G140" s="953">
        <f>+NOMINA!BM136</f>
        <v>1.38</v>
      </c>
      <c r="H140" s="608"/>
      <c r="I140" s="609"/>
      <c r="J140" s="609"/>
      <c r="K140" s="609"/>
      <c r="L140" s="609"/>
    </row>
    <row r="141" spans="1:12" ht="15.75" customHeight="1">
      <c r="A141" s="951">
        <f t="shared" si="2"/>
        <v>95</v>
      </c>
      <c r="B141" s="949">
        <f>+NOMINA!C137</f>
        <v>13523075</v>
      </c>
      <c r="C141" s="949" t="str">
        <f>+NOMINA!D137</f>
        <v>Zambrano Castellanos Maria Alejandra</v>
      </c>
      <c r="D141" s="949" t="str">
        <f>+NOMINA!O137</f>
        <v>Planificador V</v>
      </c>
      <c r="E141" s="952">
        <f>+NOMINA!H137</f>
        <v>37718</v>
      </c>
      <c r="F141" s="953">
        <f>+NOMINA!BL137</f>
        <v>19.78</v>
      </c>
      <c r="G141" s="953">
        <f>+NOMINA!BM137</f>
        <v>2.4700000000000002</v>
      </c>
      <c r="H141" s="608"/>
      <c r="I141" s="609"/>
      <c r="J141" s="609"/>
      <c r="K141" s="609"/>
      <c r="L141" s="609"/>
    </row>
    <row r="142" spans="1:12" ht="15.75" customHeight="1">
      <c r="A142" s="951">
        <f t="shared" si="2"/>
        <v>96</v>
      </c>
      <c r="B142" s="949">
        <f>+NOMINA!C138</f>
        <v>13745803</v>
      </c>
      <c r="C142" s="949" t="str">
        <f>+NOMINA!D138</f>
        <v>Materan Riveros Yorvis Alexis</v>
      </c>
      <c r="D142" s="949" t="str">
        <f>+NOMINA!O138</f>
        <v>Tutor Facilitador III</v>
      </c>
      <c r="E142" s="952">
        <f>+NOMINA!H138</f>
        <v>44774</v>
      </c>
      <c r="F142" s="953">
        <f>+NOMINA!BL138</f>
        <v>23.22</v>
      </c>
      <c r="G142" s="953">
        <f>+NOMINA!BM138</f>
        <v>2.9</v>
      </c>
      <c r="H142" s="608"/>
      <c r="I142" s="609"/>
      <c r="J142" s="609"/>
      <c r="K142" s="609"/>
      <c r="L142" s="609"/>
    </row>
    <row r="143" spans="1:12" ht="15.75" customHeight="1">
      <c r="A143" s="951">
        <f t="shared" si="2"/>
        <v>97</v>
      </c>
      <c r="B143" s="949">
        <f>+NOMINA!C139</f>
        <v>13765028</v>
      </c>
      <c r="C143" s="949" t="str">
        <f>+NOMINA!D139</f>
        <v xml:space="preserve">Diaz Ramirez Mileyda Del Valle </v>
      </c>
      <c r="D143" s="949" t="str">
        <f>+NOMINA!O139</f>
        <v>Guia de Centro II</v>
      </c>
      <c r="E143" s="952">
        <f>+NOMINA!H139</f>
        <v>44348</v>
      </c>
      <c r="F143" s="953">
        <f>+NOMINA!BL139</f>
        <v>21.75</v>
      </c>
      <c r="G143" s="953">
        <f>+NOMINA!BM139</f>
        <v>2.72</v>
      </c>
      <c r="H143" s="608"/>
      <c r="I143" s="609"/>
      <c r="J143" s="609"/>
      <c r="K143" s="609"/>
      <c r="L143" s="609"/>
    </row>
    <row r="144" spans="1:12" ht="15.75" customHeight="1">
      <c r="A144" s="951">
        <f t="shared" si="2"/>
        <v>98</v>
      </c>
      <c r="B144" s="949">
        <f>+NOMINA!C140</f>
        <v>13896147</v>
      </c>
      <c r="C144" s="949" t="str">
        <f>+NOMINA!D140</f>
        <v>Carrizo Blanco Belquis Cecilia</v>
      </c>
      <c r="D144" s="949" t="str">
        <f>+NOMINA!O140</f>
        <v>Administrador III</v>
      </c>
      <c r="E144" s="952">
        <f>+NOMINA!H140</f>
        <v>41334</v>
      </c>
      <c r="F144" s="953">
        <f>+NOMINA!BL140</f>
        <v>20.58</v>
      </c>
      <c r="G144" s="953">
        <f>+NOMINA!BM140</f>
        <v>2.57</v>
      </c>
      <c r="H144" s="608"/>
      <c r="I144" s="609"/>
      <c r="J144" s="609"/>
      <c r="K144" s="609"/>
      <c r="L144" s="609"/>
    </row>
    <row r="145" spans="1:12" ht="15.75" customHeight="1">
      <c r="A145" s="951">
        <f t="shared" si="2"/>
        <v>99</v>
      </c>
      <c r="B145" s="949">
        <f>+NOMINA!C141</f>
        <v>13896239</v>
      </c>
      <c r="C145" s="949" t="str">
        <f>+NOMINA!D141</f>
        <v>Sulbaran Campos Yusneida Ayarith</v>
      </c>
      <c r="D145" s="949" t="str">
        <f>+NOMINA!O141</f>
        <v>Analista de Presupuesto IV</v>
      </c>
      <c r="E145" s="952">
        <f>+NOMINA!H141</f>
        <v>42416</v>
      </c>
      <c r="F145" s="953">
        <f>+NOMINA!BL141</f>
        <v>0</v>
      </c>
      <c r="G145" s="953">
        <f>+NOMINA!BM141</f>
        <v>0</v>
      </c>
      <c r="H145" s="608"/>
      <c r="I145" s="609"/>
      <c r="J145" s="609"/>
      <c r="K145" s="609"/>
      <c r="L145" s="609"/>
    </row>
    <row r="146" spans="1:12" ht="15.75" customHeight="1">
      <c r="A146" s="951">
        <f t="shared" si="2"/>
        <v>100</v>
      </c>
      <c r="B146" s="949">
        <f>+NOMINA!C142</f>
        <v>13897046</v>
      </c>
      <c r="C146" s="949" t="str">
        <f>+NOMINA!D142</f>
        <v>Artigas Sanchez Mireya Carolina</v>
      </c>
      <c r="D146" s="949" t="str">
        <f>+NOMINA!O142</f>
        <v>Tecnico Superior en Trabajo Social II</v>
      </c>
      <c r="E146" s="952">
        <f>+NOMINA!H142</f>
        <v>42384</v>
      </c>
      <c r="F146" s="953">
        <f>+NOMINA!BL142</f>
        <v>17.72</v>
      </c>
      <c r="G146" s="953">
        <f>+NOMINA!BM142</f>
        <v>2.21</v>
      </c>
      <c r="H146" s="608"/>
      <c r="I146" s="609"/>
      <c r="J146" s="609"/>
      <c r="K146" s="609"/>
      <c r="L146" s="609"/>
    </row>
    <row r="147" spans="1:12" ht="15.75" customHeight="1">
      <c r="A147" s="951">
        <f t="shared" si="2"/>
        <v>101</v>
      </c>
      <c r="B147" s="949">
        <f>+NOMINA!C143</f>
        <v>13897695</v>
      </c>
      <c r="C147" s="949" t="str">
        <f>+NOMINA!D143</f>
        <v>Araujo Matheus Alba Mariela</v>
      </c>
      <c r="D147" s="949" t="str">
        <f>+NOMINA!O143</f>
        <v>Analista de Presupuesto Jefe</v>
      </c>
      <c r="E147" s="952">
        <f>+NOMINA!H143</f>
        <v>39496</v>
      </c>
      <c r="F147" s="953">
        <f>+NOMINA!BL143</f>
        <v>23.63</v>
      </c>
      <c r="G147" s="953">
        <f>+NOMINA!BM143</f>
        <v>2.95</v>
      </c>
      <c r="H147" s="608"/>
      <c r="I147" s="609"/>
      <c r="J147" s="609"/>
      <c r="K147" s="609"/>
      <c r="L147" s="609"/>
    </row>
    <row r="148" spans="1:12" ht="15.75" customHeight="1">
      <c r="A148" s="951">
        <f t="shared" si="2"/>
        <v>102</v>
      </c>
      <c r="B148" s="949">
        <f>+NOMINA!C144</f>
        <v>13996024</v>
      </c>
      <c r="C148" s="949" t="str">
        <f>+NOMINA!D144</f>
        <v>Perez Barrios Helenmar</v>
      </c>
      <c r="D148" s="949" t="str">
        <f>+NOMINA!O144</f>
        <v>Contador III</v>
      </c>
      <c r="E148" s="952">
        <f>+NOMINA!H144</f>
        <v>40028</v>
      </c>
      <c r="F148" s="953">
        <f>+NOMINA!BL144</f>
        <v>22.1</v>
      </c>
      <c r="G148" s="953">
        <f>+NOMINA!BM144</f>
        <v>2.76</v>
      </c>
      <c r="H148" s="608"/>
      <c r="I148" s="609"/>
      <c r="J148" s="609"/>
      <c r="K148" s="609"/>
      <c r="L148" s="609"/>
    </row>
    <row r="149" spans="1:12" ht="15.75" customHeight="1">
      <c r="A149" s="951">
        <f t="shared" si="2"/>
        <v>103</v>
      </c>
      <c r="B149" s="949">
        <f>+NOMINA!C145</f>
        <v>14106648</v>
      </c>
      <c r="C149" s="949" t="str">
        <f>+NOMINA!D145</f>
        <v>Aguilar Flores Heidy Coromoto</v>
      </c>
      <c r="D149" s="949" t="str">
        <f>+NOMINA!O145</f>
        <v>Asistente Administrativo IV</v>
      </c>
      <c r="E149" s="952">
        <f>+NOMINA!H145</f>
        <v>40787</v>
      </c>
      <c r="F149" s="953">
        <f>+NOMINA!BL145</f>
        <v>18.88</v>
      </c>
      <c r="G149" s="953">
        <f>+NOMINA!BM145</f>
        <v>2.36</v>
      </c>
      <c r="H149" s="608"/>
      <c r="I149" s="609"/>
      <c r="J149" s="609"/>
      <c r="K149" s="609"/>
      <c r="L149" s="609"/>
    </row>
    <row r="150" spans="1:12" ht="15.75" customHeight="1">
      <c r="A150" s="951">
        <f t="shared" si="2"/>
        <v>104</v>
      </c>
      <c r="B150" s="949">
        <f>+NOMINA!C146</f>
        <v>14329448</v>
      </c>
      <c r="C150" s="949" t="str">
        <f>+NOMINA!D146</f>
        <v>Leal Mejia Jociany Trinny</v>
      </c>
      <c r="D150" s="949" t="str">
        <f>+NOMINA!O146</f>
        <v>Tutor Facilitador I</v>
      </c>
      <c r="E150" s="952">
        <f>+NOMINA!H146</f>
        <v>44743</v>
      </c>
      <c r="F150" s="953">
        <f>+NOMINA!BL146</f>
        <v>18.16</v>
      </c>
      <c r="G150" s="953">
        <f>+NOMINA!BM146</f>
        <v>2.27</v>
      </c>
      <c r="H150" s="608"/>
      <c r="I150" s="609"/>
      <c r="J150" s="609"/>
      <c r="K150" s="609"/>
      <c r="L150" s="609"/>
    </row>
    <row r="151" spans="1:12" ht="15.75" customHeight="1">
      <c r="A151" s="951">
        <f t="shared" si="2"/>
        <v>105</v>
      </c>
      <c r="B151" s="949">
        <f>+NOMINA!C147</f>
        <v>14406240</v>
      </c>
      <c r="C151" s="949" t="str">
        <f>+NOMINA!D147</f>
        <v>Sarmiento Suarez Karem Yanira</v>
      </c>
      <c r="D151" s="949" t="str">
        <f>+NOMINA!O147</f>
        <v>Tecnico Superior en Trabajo Social II</v>
      </c>
      <c r="E151" s="952">
        <f>+NOMINA!H147</f>
        <v>43785</v>
      </c>
      <c r="F151" s="953">
        <f>+NOMINA!BL147</f>
        <v>18.48</v>
      </c>
      <c r="G151" s="953">
        <f>+NOMINA!BM147</f>
        <v>2.31</v>
      </c>
      <c r="H151" s="608"/>
      <c r="I151" s="609"/>
      <c r="J151" s="609"/>
      <c r="K151" s="609"/>
      <c r="L151" s="609"/>
    </row>
    <row r="152" spans="1:12" ht="15.75" customHeight="1">
      <c r="A152" s="951">
        <f t="shared" si="2"/>
        <v>106</v>
      </c>
      <c r="B152" s="949">
        <f>+NOMINA!C148</f>
        <v>14459607</v>
      </c>
      <c r="C152" s="949" t="str">
        <f>+NOMINA!D148</f>
        <v>Martinez Leal Deyanira Yusissan</v>
      </c>
      <c r="D152" s="949" t="str">
        <f>+NOMINA!O148</f>
        <v>Tecnico Superior en Trabajo Social II</v>
      </c>
      <c r="E152" s="952">
        <f>+NOMINA!H148</f>
        <v>43116</v>
      </c>
      <c r="F152" s="953">
        <f>+NOMINA!BL148</f>
        <v>17.38</v>
      </c>
      <c r="G152" s="953">
        <f>+NOMINA!BM148</f>
        <v>2.17</v>
      </c>
      <c r="H152" s="608"/>
      <c r="I152" s="609"/>
      <c r="J152" s="609"/>
      <c r="K152" s="609"/>
      <c r="L152" s="609"/>
    </row>
    <row r="153" spans="1:12" ht="15.75" customHeight="1">
      <c r="A153" s="951">
        <f t="shared" si="2"/>
        <v>107</v>
      </c>
      <c r="B153" s="949">
        <f>+NOMINA!C149</f>
        <v>14598170</v>
      </c>
      <c r="C153" s="949" t="str">
        <f>+NOMINA!D149</f>
        <v>Rendon Utrilla Gerson Paul</v>
      </c>
      <c r="D153" s="949" t="str">
        <f>+NOMINA!O149</f>
        <v>Tutor Facilitador III</v>
      </c>
      <c r="E153" s="952">
        <f>+NOMINA!H149</f>
        <v>43435</v>
      </c>
      <c r="F153" s="953">
        <f>+NOMINA!BL149</f>
        <v>20.25</v>
      </c>
      <c r="G153" s="953">
        <f>+NOMINA!BM149</f>
        <v>2.5299999999999998</v>
      </c>
      <c r="H153" s="608"/>
      <c r="I153" s="609"/>
      <c r="J153" s="609"/>
      <c r="K153" s="609"/>
      <c r="L153" s="609"/>
    </row>
    <row r="154" spans="1:12" ht="15.75" customHeight="1">
      <c r="A154" s="951">
        <f t="shared" si="2"/>
        <v>108</v>
      </c>
      <c r="B154" s="949">
        <f>+NOMINA!C150</f>
        <v>14598687</v>
      </c>
      <c r="C154" s="949" t="str">
        <f>+NOMINA!D150</f>
        <v>Godoy Bracamonte Juan Carlos</v>
      </c>
      <c r="D154" s="949" t="str">
        <f>+NOMINA!O150</f>
        <v>Entrenador Deportivo IV</v>
      </c>
      <c r="E154" s="952">
        <f>+NOMINA!H150</f>
        <v>44332</v>
      </c>
      <c r="F154" s="953">
        <f>+NOMINA!BL150</f>
        <v>22.86</v>
      </c>
      <c r="G154" s="953">
        <f>+NOMINA!BM150</f>
        <v>2.86</v>
      </c>
      <c r="H154" s="608"/>
      <c r="I154" s="609"/>
      <c r="J154" s="609"/>
      <c r="K154" s="609"/>
      <c r="L154" s="609"/>
    </row>
    <row r="155" spans="1:12" ht="15.75" customHeight="1">
      <c r="A155" s="951">
        <f t="shared" si="2"/>
        <v>109</v>
      </c>
      <c r="B155" s="949">
        <f>+NOMINA!C151</f>
        <v>14719639</v>
      </c>
      <c r="C155" s="949" t="str">
        <f>+NOMINA!D151</f>
        <v xml:space="preserve">Coy de Dorante Sandra Liliana </v>
      </c>
      <c r="D155" s="949" t="str">
        <f>+NOMINA!O151</f>
        <v>Guia de Centro I</v>
      </c>
      <c r="E155" s="952">
        <f>+NOMINA!H151</f>
        <v>44896</v>
      </c>
      <c r="F155" s="953">
        <f>+NOMINA!BL151</f>
        <v>13.8</v>
      </c>
      <c r="G155" s="953">
        <f>+NOMINA!BM151</f>
        <v>1.73</v>
      </c>
      <c r="H155" s="608"/>
      <c r="I155" s="609"/>
      <c r="J155" s="609"/>
      <c r="K155" s="609"/>
      <c r="L155" s="609"/>
    </row>
    <row r="156" spans="1:12" ht="15.75" customHeight="1">
      <c r="A156" s="951">
        <f t="shared" si="2"/>
        <v>110</v>
      </c>
      <c r="B156" s="949">
        <f>+NOMINA!C152</f>
        <v>14739168</v>
      </c>
      <c r="C156" s="949" t="str">
        <f>+NOMINA!D152</f>
        <v>Briceño Hernandez Yeny Del Carmen</v>
      </c>
      <c r="D156" s="949" t="str">
        <f>+NOMINA!O152</f>
        <v>Trabajador Social III</v>
      </c>
      <c r="E156" s="952">
        <f>+NOMINA!H152</f>
        <v>38841</v>
      </c>
      <c r="F156" s="953">
        <f>+NOMINA!BL152</f>
        <v>18.72</v>
      </c>
      <c r="G156" s="953">
        <f>+NOMINA!BM152</f>
        <v>2.34</v>
      </c>
      <c r="H156" s="608"/>
      <c r="I156" s="609"/>
      <c r="J156" s="609"/>
      <c r="K156" s="609"/>
      <c r="L156" s="609"/>
    </row>
    <row r="157" spans="1:12" ht="15.75" customHeight="1">
      <c r="A157" s="951">
        <f t="shared" si="2"/>
        <v>111</v>
      </c>
      <c r="B157" s="949">
        <f>+NOMINA!C153</f>
        <v>14928034</v>
      </c>
      <c r="C157" s="949" t="str">
        <f>+NOMINA!D153</f>
        <v>Ramirez Palomares Mariana Teresa</v>
      </c>
      <c r="D157" s="949" t="str">
        <f>+NOMINA!O153</f>
        <v>Promotor Cultural I</v>
      </c>
      <c r="E157" s="952">
        <f>+NOMINA!H153</f>
        <v>44302</v>
      </c>
      <c r="F157" s="953">
        <f>+NOMINA!BL153</f>
        <v>12.29</v>
      </c>
      <c r="G157" s="953">
        <f>+NOMINA!BM153</f>
        <v>1.54</v>
      </c>
      <c r="H157" s="608"/>
      <c r="I157" s="609"/>
      <c r="J157" s="609"/>
      <c r="K157" s="609"/>
      <c r="L157" s="609"/>
    </row>
    <row r="158" spans="1:12" ht="15.75" customHeight="1">
      <c r="A158" s="951">
        <f t="shared" si="2"/>
        <v>112</v>
      </c>
      <c r="B158" s="949">
        <f>+NOMINA!C154</f>
        <v>14928260</v>
      </c>
      <c r="C158" s="949" t="str">
        <f>+NOMINA!D154</f>
        <v>Rivas Ana Lucila</v>
      </c>
      <c r="D158" s="949" t="str">
        <f>+NOMINA!O154</f>
        <v>Tutor Facilitador I</v>
      </c>
      <c r="E158" s="952">
        <f>+NOMINA!H154</f>
        <v>39104</v>
      </c>
      <c r="F158" s="953">
        <f>+NOMINA!BL154</f>
        <v>18.72</v>
      </c>
      <c r="G158" s="953">
        <f>+NOMINA!BM154</f>
        <v>2.34</v>
      </c>
      <c r="H158" s="608"/>
      <c r="I158" s="609"/>
      <c r="J158" s="609"/>
      <c r="K158" s="609"/>
      <c r="L158" s="609"/>
    </row>
    <row r="159" spans="1:12" ht="15.75" customHeight="1">
      <c r="A159" s="951">
        <f t="shared" si="2"/>
        <v>113</v>
      </c>
      <c r="B159" s="949">
        <f>+NOMINA!C155</f>
        <v>14929642</v>
      </c>
      <c r="C159" s="949" t="str">
        <f>+NOMINA!D155</f>
        <v>Alvarran Arjona Ismenia Del Carmen</v>
      </c>
      <c r="D159" s="949" t="str">
        <f>+NOMINA!O155</f>
        <v>GUIA DE CENTRO II</v>
      </c>
      <c r="E159" s="952">
        <f>+NOMINA!H155</f>
        <v>43419</v>
      </c>
      <c r="F159" s="953">
        <f>+NOMINA!BL155</f>
        <v>21.73</v>
      </c>
      <c r="G159" s="953">
        <f>+NOMINA!BM155</f>
        <v>2.72</v>
      </c>
      <c r="H159" s="608"/>
      <c r="I159" s="609"/>
      <c r="J159" s="609"/>
      <c r="K159" s="609"/>
      <c r="L159" s="609"/>
    </row>
    <row r="160" spans="1:12" ht="15.75" customHeight="1">
      <c r="A160" s="951">
        <f t="shared" si="2"/>
        <v>114</v>
      </c>
      <c r="B160" s="949">
        <f>+NOMINA!C156</f>
        <v>14986675</v>
      </c>
      <c r="C160" s="949" t="str">
        <f>+NOMINA!D156</f>
        <v>Mecias Nuñez Shirly Ygnacia</v>
      </c>
      <c r="D160" s="949" t="str">
        <f>+NOMINA!O156</f>
        <v>Tutor Facilitador I</v>
      </c>
      <c r="E160" s="952">
        <f>+NOMINA!H156</f>
        <v>44805</v>
      </c>
      <c r="F160" s="953">
        <f>+NOMINA!BL156</f>
        <v>18.73</v>
      </c>
      <c r="G160" s="953">
        <f>+NOMINA!BM156</f>
        <v>2.34</v>
      </c>
      <c r="H160" s="608"/>
      <c r="I160" s="609"/>
      <c r="J160" s="609"/>
      <c r="K160" s="609"/>
      <c r="L160" s="609"/>
    </row>
    <row r="161" spans="1:12" ht="15.75" customHeight="1">
      <c r="A161" s="951">
        <f t="shared" si="2"/>
        <v>115</v>
      </c>
      <c r="B161" s="949">
        <f>+NOMINA!C157</f>
        <v>15188927</v>
      </c>
      <c r="C161" s="949" t="str">
        <f>+NOMINA!D157</f>
        <v>Linares Villarreal Rosmely del Carmen</v>
      </c>
      <c r="D161" s="949" t="str">
        <f>+NOMINA!O157</f>
        <v>Guia de Centro II</v>
      </c>
      <c r="E161" s="952">
        <f>+NOMINA!H157</f>
        <v>44409</v>
      </c>
      <c r="F161" s="953">
        <f>+NOMINA!BL157</f>
        <v>14.86</v>
      </c>
      <c r="G161" s="953">
        <f>+NOMINA!BM157</f>
        <v>1.86</v>
      </c>
      <c r="H161" s="608"/>
      <c r="I161" s="609"/>
      <c r="J161" s="609"/>
      <c r="K161" s="609"/>
      <c r="L161" s="609"/>
    </row>
    <row r="162" spans="1:12" ht="15.75" customHeight="1">
      <c r="A162" s="951">
        <f t="shared" si="2"/>
        <v>116</v>
      </c>
      <c r="B162" s="949">
        <f>+NOMINA!C158</f>
        <v>15560762</v>
      </c>
      <c r="C162" s="949" t="str">
        <f>+NOMINA!D158</f>
        <v>Villalobos Javier Jose</v>
      </c>
      <c r="D162" s="949" t="str">
        <f>+NOMINA!O158</f>
        <v>Entrenador Deportivo IV</v>
      </c>
      <c r="E162" s="952">
        <f>+NOMINA!H158</f>
        <v>45474</v>
      </c>
      <c r="F162" s="953">
        <f>+NOMINA!BL158</f>
        <v>17.93</v>
      </c>
      <c r="G162" s="953">
        <f>+NOMINA!BM158</f>
        <v>2.2400000000000002</v>
      </c>
      <c r="H162" s="608"/>
      <c r="I162" s="609"/>
      <c r="J162" s="609"/>
      <c r="K162" s="609"/>
      <c r="L162" s="609"/>
    </row>
    <row r="163" spans="1:12" ht="15.75" customHeight="1">
      <c r="A163" s="951">
        <f t="shared" si="2"/>
        <v>117</v>
      </c>
      <c r="B163" s="949">
        <f>+NOMINA!C159</f>
        <v>15583745</v>
      </c>
      <c r="C163" s="949" t="str">
        <f>+NOMINA!D159</f>
        <v>Briceño Araujo Alexander Javier</v>
      </c>
      <c r="D163" s="949" t="str">
        <f>+NOMINA!O159</f>
        <v>Administrador II</v>
      </c>
      <c r="E163" s="952">
        <f>+NOMINA!H159</f>
        <v>43481</v>
      </c>
      <c r="F163" s="953">
        <f>+NOMINA!BL159</f>
        <v>19.68</v>
      </c>
      <c r="G163" s="953">
        <f>+NOMINA!BM159</f>
        <v>2.46</v>
      </c>
      <c r="H163" s="608"/>
      <c r="I163" s="609"/>
      <c r="J163" s="609"/>
      <c r="K163" s="609"/>
      <c r="L163" s="609"/>
    </row>
    <row r="164" spans="1:12" ht="15.75" customHeight="1">
      <c r="A164" s="951">
        <f t="shared" si="2"/>
        <v>118</v>
      </c>
      <c r="B164" s="949">
        <f>+NOMINA!C160</f>
        <v>15588470</v>
      </c>
      <c r="C164" s="949" t="str">
        <f>+NOMINA!D160</f>
        <v>Briceño Lozada Maraiby Coromoto</v>
      </c>
      <c r="D164" s="949" t="str">
        <f>+NOMINA!O160</f>
        <v>Trabajador Social II</v>
      </c>
      <c r="E164" s="952">
        <f>+NOMINA!H160</f>
        <v>39098</v>
      </c>
      <c r="F164" s="953">
        <f>+NOMINA!BL160</f>
        <v>18.72</v>
      </c>
      <c r="G164" s="953">
        <f>+NOMINA!BM160</f>
        <v>2.34</v>
      </c>
      <c r="H164" s="608"/>
      <c r="I164" s="609"/>
      <c r="J164" s="609"/>
      <c r="K164" s="609"/>
      <c r="L164" s="609"/>
    </row>
    <row r="165" spans="1:12" ht="15.75" customHeight="1">
      <c r="A165" s="951">
        <f t="shared" si="2"/>
        <v>119</v>
      </c>
      <c r="B165" s="949">
        <f>+NOMINA!C161</f>
        <v>15752048</v>
      </c>
      <c r="C165" s="949" t="str">
        <f>+NOMINA!D161</f>
        <v>Briceño Rangel Sudney Dayan</v>
      </c>
      <c r="D165" s="949" t="str">
        <f>+NOMINA!O161</f>
        <v>Guia de Centro II</v>
      </c>
      <c r="E165" s="952">
        <f>+NOMINA!H161</f>
        <v>39679</v>
      </c>
      <c r="F165" s="953">
        <f>+NOMINA!BL161</f>
        <v>25.2</v>
      </c>
      <c r="G165" s="953">
        <f>+NOMINA!BM161</f>
        <v>3.15</v>
      </c>
      <c r="H165" s="608"/>
      <c r="I165" s="609"/>
      <c r="J165" s="609"/>
      <c r="K165" s="609"/>
      <c r="L165" s="609"/>
    </row>
    <row r="166" spans="1:12" ht="15.75" customHeight="1">
      <c r="A166" s="951">
        <f t="shared" si="2"/>
        <v>120</v>
      </c>
      <c r="B166" s="949">
        <f>+NOMINA!C162</f>
        <v>15752183</v>
      </c>
      <c r="C166" s="949" t="str">
        <f>+NOMINA!D162</f>
        <v>Delduca Adriana Del Valle</v>
      </c>
      <c r="D166" s="949" t="str">
        <f>+NOMINA!O162</f>
        <v>Analista de Presupuesto IV</v>
      </c>
      <c r="E166" s="952">
        <f>+NOMINA!H162</f>
        <v>38930</v>
      </c>
      <c r="F166" s="953">
        <f>+NOMINA!BL162</f>
        <v>0</v>
      </c>
      <c r="G166" s="953">
        <f>+NOMINA!BM162</f>
        <v>0</v>
      </c>
      <c r="H166" s="608"/>
      <c r="I166" s="609"/>
      <c r="J166" s="609"/>
      <c r="K166" s="609"/>
      <c r="L166" s="609"/>
    </row>
    <row r="167" spans="1:12" ht="15.75" customHeight="1">
      <c r="A167" s="951">
        <f t="shared" si="2"/>
        <v>121</v>
      </c>
      <c r="B167" s="949">
        <f>+NOMINA!C163</f>
        <v>15752386</v>
      </c>
      <c r="C167" s="949" t="str">
        <f>+NOMINA!D163</f>
        <v>Villegas Gonzalez Mileide Karine</v>
      </c>
      <c r="D167" s="949" t="str">
        <f>+NOMINA!O163</f>
        <v>Guia de Centro II</v>
      </c>
      <c r="E167" s="952">
        <f>+NOMINA!H163</f>
        <v>38930</v>
      </c>
      <c r="F167" s="953">
        <f>+NOMINA!BL163</f>
        <v>25.05</v>
      </c>
      <c r="G167" s="953">
        <f>+NOMINA!BM163</f>
        <v>3.13</v>
      </c>
      <c r="H167" s="608"/>
      <c r="I167" s="609"/>
      <c r="J167" s="609"/>
      <c r="K167" s="609"/>
      <c r="L167" s="609"/>
    </row>
    <row r="168" spans="1:12" ht="15.75" customHeight="1">
      <c r="A168" s="951">
        <f t="shared" si="2"/>
        <v>122</v>
      </c>
      <c r="B168" s="949">
        <f>+NOMINA!C164</f>
        <v>15752435</v>
      </c>
      <c r="C168" s="949" t="str">
        <f>+NOMINA!D164</f>
        <v>Gonzalez de Sayago Damarys Coromoto</v>
      </c>
      <c r="D168" s="949" t="str">
        <f>+NOMINA!O164</f>
        <v>Trabajador Social II</v>
      </c>
      <c r="E168" s="952">
        <f>+NOMINA!H164</f>
        <v>38930</v>
      </c>
      <c r="F168" s="953">
        <f>+NOMINA!BL164</f>
        <v>19.27</v>
      </c>
      <c r="G168" s="953">
        <f>+NOMINA!BM164</f>
        <v>2.41</v>
      </c>
      <c r="H168" s="608"/>
      <c r="I168" s="609"/>
      <c r="J168" s="609"/>
      <c r="K168" s="609"/>
      <c r="L168" s="609"/>
    </row>
    <row r="169" spans="1:12" ht="15.75" customHeight="1">
      <c r="A169" s="951">
        <f t="shared" si="2"/>
        <v>123</v>
      </c>
      <c r="B169" s="949">
        <f>+NOMINA!C165</f>
        <v>15780354</v>
      </c>
      <c r="C169" s="949" t="str">
        <f>+NOMINA!D165</f>
        <v>Yndriago Blanco Lismiley Andreina</v>
      </c>
      <c r="D169" s="949" t="str">
        <f>+NOMINA!O165</f>
        <v>Guia de Centro I</v>
      </c>
      <c r="E169" s="952">
        <f>+NOMINA!H165</f>
        <v>44409</v>
      </c>
      <c r="F169" s="953">
        <f>+NOMINA!BL165</f>
        <v>21.33</v>
      </c>
      <c r="G169" s="953">
        <f>+NOMINA!BM165</f>
        <v>2.67</v>
      </c>
      <c r="H169" s="608"/>
      <c r="I169" s="609"/>
      <c r="J169" s="609"/>
      <c r="K169" s="609"/>
      <c r="L169" s="609"/>
    </row>
    <row r="170" spans="1:12" ht="15.75" customHeight="1">
      <c r="A170" s="951">
        <f t="shared" si="2"/>
        <v>124</v>
      </c>
      <c r="B170" s="949">
        <f>+NOMINA!C166</f>
        <v>15824548</v>
      </c>
      <c r="C170" s="949" t="str">
        <f>+NOMINA!D166</f>
        <v>Moreno Maria Angelica</v>
      </c>
      <c r="D170" s="949" t="str">
        <f>+NOMINA!O166</f>
        <v>Tecnico Superior en Trabajo Social II</v>
      </c>
      <c r="E170" s="952">
        <f>+NOMINA!H166</f>
        <v>44317</v>
      </c>
      <c r="F170" s="953">
        <f>+NOMINA!BL166</f>
        <v>16.309999999999999</v>
      </c>
      <c r="G170" s="953">
        <f>+NOMINA!BM166</f>
        <v>2.04</v>
      </c>
      <c r="H170" s="608"/>
      <c r="I170" s="609"/>
      <c r="J170" s="609"/>
      <c r="K170" s="609"/>
      <c r="L170" s="609"/>
    </row>
    <row r="171" spans="1:12" ht="15.75" customHeight="1">
      <c r="A171" s="951">
        <f t="shared" si="2"/>
        <v>125</v>
      </c>
      <c r="B171" s="949">
        <f>+NOMINA!C167</f>
        <v>15904692</v>
      </c>
      <c r="C171" s="949" t="str">
        <f>+NOMINA!D167</f>
        <v>Sifontes Sosa Mayulis Dayana</v>
      </c>
      <c r="D171" s="949" t="str">
        <f>+NOMINA!O167</f>
        <v>Guia de Centro II</v>
      </c>
      <c r="E171" s="952">
        <f>+NOMINA!H167</f>
        <v>39756</v>
      </c>
      <c r="F171" s="953">
        <f>+NOMINA!BL167</f>
        <v>24.5</v>
      </c>
      <c r="G171" s="953">
        <f>+NOMINA!BM167</f>
        <v>3.06</v>
      </c>
      <c r="H171" s="608"/>
      <c r="I171" s="609"/>
      <c r="J171" s="609"/>
      <c r="K171" s="609"/>
      <c r="L171" s="609"/>
    </row>
    <row r="172" spans="1:12" ht="15.75" customHeight="1">
      <c r="A172" s="951">
        <f t="shared" si="2"/>
        <v>126</v>
      </c>
      <c r="B172" s="949">
        <f>+NOMINA!C168</f>
        <v>16015833</v>
      </c>
      <c r="C172" s="949" t="str">
        <f>+NOMINA!D168</f>
        <v>Briceño Doris Elena</v>
      </c>
      <c r="D172" s="949" t="str">
        <f>+NOMINA!O168</f>
        <v>Guia de Centro II</v>
      </c>
      <c r="E172" s="952">
        <f>+NOMINA!H168</f>
        <v>42948</v>
      </c>
      <c r="F172" s="953">
        <f>+NOMINA!BL168</f>
        <v>26.53</v>
      </c>
      <c r="G172" s="953">
        <f>+NOMINA!BM168</f>
        <v>3.32</v>
      </c>
      <c r="H172" s="608"/>
      <c r="I172" s="609"/>
      <c r="J172" s="609"/>
      <c r="K172" s="609"/>
      <c r="L172" s="609"/>
    </row>
    <row r="173" spans="1:12" ht="15.75" customHeight="1">
      <c r="A173" s="951">
        <f t="shared" si="2"/>
        <v>127</v>
      </c>
      <c r="B173" s="949">
        <f>+NOMINA!C169</f>
        <v>16065580</v>
      </c>
      <c r="C173" s="949" t="str">
        <f>+NOMINA!D169</f>
        <v>Paredes de Rendon Zuly Josefina</v>
      </c>
      <c r="D173" s="949" t="str">
        <f>+NOMINA!O169</f>
        <v>Tutor Facilitador II</v>
      </c>
      <c r="E173" s="952">
        <f>+NOMINA!H169</f>
        <v>44363</v>
      </c>
      <c r="F173" s="953">
        <f>+NOMINA!BL169</f>
        <v>19.739999999999998</v>
      </c>
      <c r="G173" s="953">
        <f>+NOMINA!BM169</f>
        <v>2.4700000000000002</v>
      </c>
      <c r="H173" s="608"/>
      <c r="I173" s="609"/>
      <c r="J173" s="609"/>
      <c r="K173" s="609"/>
      <c r="L173" s="609"/>
    </row>
    <row r="174" spans="1:12" ht="15.75" customHeight="1">
      <c r="A174" s="951">
        <f t="shared" si="2"/>
        <v>128</v>
      </c>
      <c r="B174" s="949">
        <f>+NOMINA!C170</f>
        <v>16065861</v>
      </c>
      <c r="C174" s="949" t="str">
        <f>+NOMINA!D170</f>
        <v>Gonzalez Pineda Eduardo Manuel</v>
      </c>
      <c r="D174" s="949" t="str">
        <f>+NOMINA!O170</f>
        <v>Entrenador Deportivo VI</v>
      </c>
      <c r="E174" s="952">
        <f>+NOMINA!H170</f>
        <v>43906</v>
      </c>
      <c r="F174" s="953">
        <f>+NOMINA!BL170</f>
        <v>21.94</v>
      </c>
      <c r="G174" s="953">
        <f>+NOMINA!BM170</f>
        <v>2.74</v>
      </c>
      <c r="H174" s="608"/>
      <c r="I174" s="609"/>
      <c r="J174" s="609"/>
      <c r="K174" s="609"/>
      <c r="L174" s="609"/>
    </row>
    <row r="175" spans="1:12" ht="15.75" customHeight="1">
      <c r="A175" s="951">
        <f t="shared" si="2"/>
        <v>129</v>
      </c>
      <c r="B175" s="949">
        <f>+NOMINA!C171</f>
        <v>16066524</v>
      </c>
      <c r="C175" s="949" t="str">
        <f>+NOMINA!D171</f>
        <v>Carmona Peñaloza Yaneth Coromoto</v>
      </c>
      <c r="D175" s="949" t="str">
        <f>+NOMINA!O171</f>
        <v>Asistente Administrativo III</v>
      </c>
      <c r="E175" s="952">
        <f>+NOMINA!H171</f>
        <v>41456</v>
      </c>
      <c r="F175" s="953">
        <f>+NOMINA!BL171</f>
        <v>17.97</v>
      </c>
      <c r="G175" s="953">
        <f>+NOMINA!BM171</f>
        <v>2.25</v>
      </c>
      <c r="H175" s="608"/>
      <c r="I175" s="609"/>
      <c r="J175" s="609"/>
      <c r="K175" s="609"/>
      <c r="L175" s="609"/>
    </row>
    <row r="176" spans="1:12" ht="15.75" customHeight="1">
      <c r="A176" s="951">
        <f t="shared" si="2"/>
        <v>130</v>
      </c>
      <c r="B176" s="949">
        <f>+NOMINA!C172</f>
        <v>16066554</v>
      </c>
      <c r="C176" s="949" t="str">
        <f>+NOMINA!D172</f>
        <v>Gonzalez Huerta Maria Josefina</v>
      </c>
      <c r="D176" s="949" t="str">
        <f>+NOMINA!O172</f>
        <v>Auditor IV</v>
      </c>
      <c r="E176" s="952">
        <f>+NOMINA!H172</f>
        <v>38797</v>
      </c>
      <c r="F176" s="953">
        <f>+NOMINA!BL172</f>
        <v>23.42</v>
      </c>
      <c r="G176" s="953">
        <f>+NOMINA!BM172</f>
        <v>2.93</v>
      </c>
      <c r="H176" s="608"/>
      <c r="I176" s="609"/>
      <c r="J176" s="609"/>
      <c r="K176" s="609"/>
      <c r="L176" s="609"/>
    </row>
    <row r="177" spans="1:12" ht="15.75" customHeight="1">
      <c r="A177" s="951">
        <f t="shared" ref="A177:A240" si="3">+A176+1</f>
        <v>131</v>
      </c>
      <c r="B177" s="949">
        <f>+NOMINA!C173</f>
        <v>16266033</v>
      </c>
      <c r="C177" s="949" t="str">
        <f>+NOMINA!D173</f>
        <v>Montilla de Davila Nileidy del Valle</v>
      </c>
      <c r="D177" s="949" t="str">
        <f>+NOMINA!O173</f>
        <v>Guia de Centro I</v>
      </c>
      <c r="E177" s="952">
        <f>+NOMINA!H173</f>
        <v>44713</v>
      </c>
      <c r="F177" s="953">
        <f>+NOMINA!BL173</f>
        <v>21.05</v>
      </c>
      <c r="G177" s="953">
        <f>+NOMINA!BM173</f>
        <v>2.63</v>
      </c>
      <c r="H177" s="608"/>
      <c r="I177" s="609"/>
      <c r="J177" s="609"/>
      <c r="K177" s="609"/>
      <c r="L177" s="609"/>
    </row>
    <row r="178" spans="1:12" ht="15.75" customHeight="1">
      <c r="A178" s="951">
        <f t="shared" si="3"/>
        <v>132</v>
      </c>
      <c r="B178" s="949">
        <f>+NOMINA!C174</f>
        <v>16266989</v>
      </c>
      <c r="C178" s="949" t="str">
        <f>+NOMINA!D174</f>
        <v>Rincon Quevedo Angela Adriana</v>
      </c>
      <c r="D178" s="949" t="str">
        <f>+NOMINA!O174</f>
        <v>Guia de Centro II</v>
      </c>
      <c r="E178" s="952">
        <f>+NOMINA!H174</f>
        <v>43040</v>
      </c>
      <c r="F178" s="953">
        <f>+NOMINA!BL174</f>
        <v>27.28</v>
      </c>
      <c r="G178" s="953">
        <f>+NOMINA!BM174</f>
        <v>3.41</v>
      </c>
      <c r="H178" s="608"/>
      <c r="I178" s="609"/>
      <c r="J178" s="609"/>
      <c r="K178" s="609"/>
      <c r="L178" s="609"/>
    </row>
    <row r="179" spans="1:12" ht="15.75" customHeight="1">
      <c r="A179" s="951">
        <f t="shared" si="3"/>
        <v>133</v>
      </c>
      <c r="B179" s="949">
        <f>+NOMINA!C175</f>
        <v>16267940</v>
      </c>
      <c r="C179" s="949" t="str">
        <f>+NOMINA!D175</f>
        <v>Araujo Moreno Elisaelith</v>
      </c>
      <c r="D179" s="949" t="str">
        <f>+NOMINA!O175</f>
        <v>Tecnico Superior en Trabajo Social II</v>
      </c>
      <c r="E179" s="952">
        <f>+NOMINA!H175</f>
        <v>44600</v>
      </c>
      <c r="F179" s="953">
        <f>+NOMINA!BL175</f>
        <v>15.54</v>
      </c>
      <c r="G179" s="953">
        <f>+NOMINA!BM175</f>
        <v>1.94</v>
      </c>
      <c r="H179" s="608"/>
      <c r="I179" s="609"/>
      <c r="J179" s="609"/>
      <c r="K179" s="609"/>
      <c r="L179" s="609"/>
    </row>
    <row r="180" spans="1:12" ht="15.75" customHeight="1">
      <c r="A180" s="951">
        <f t="shared" si="3"/>
        <v>134</v>
      </c>
      <c r="B180" s="949">
        <f>+NOMINA!C176</f>
        <v>16376534</v>
      </c>
      <c r="C180" s="949" t="str">
        <f>+NOMINA!D176</f>
        <v>Lugo Moreno Yenny Katiuska</v>
      </c>
      <c r="D180" s="949" t="str">
        <f>+NOMINA!O176</f>
        <v>Guia de Centro II</v>
      </c>
      <c r="E180" s="952">
        <f>+NOMINA!H176</f>
        <v>43754</v>
      </c>
      <c r="F180" s="953">
        <f>+NOMINA!BL176</f>
        <v>26</v>
      </c>
      <c r="G180" s="953">
        <f>+NOMINA!BM176</f>
        <v>3.25</v>
      </c>
      <c r="H180" s="608"/>
      <c r="I180" s="609"/>
      <c r="J180" s="609"/>
      <c r="K180" s="609"/>
      <c r="L180" s="609"/>
    </row>
    <row r="181" spans="1:12" ht="15.75" customHeight="1">
      <c r="A181" s="951">
        <f t="shared" si="3"/>
        <v>135</v>
      </c>
      <c r="B181" s="949">
        <f>+NOMINA!C177</f>
        <v>16376698</v>
      </c>
      <c r="C181" s="949" t="str">
        <f>+NOMINA!D177</f>
        <v>Barreto Maldonado Jose Luis</v>
      </c>
      <c r="D181" s="949" t="str">
        <f>+NOMINA!O177</f>
        <v>Supervisor de Servicios Generales IV</v>
      </c>
      <c r="E181" s="952">
        <f>+NOMINA!H177</f>
        <v>40909</v>
      </c>
      <c r="F181" s="953">
        <f>+NOMINA!BL177</f>
        <v>13.12</v>
      </c>
      <c r="G181" s="953">
        <f>+NOMINA!BM177</f>
        <v>1.64</v>
      </c>
      <c r="H181" s="608"/>
      <c r="I181" s="609"/>
      <c r="J181" s="609"/>
      <c r="K181" s="609"/>
      <c r="L181" s="609"/>
    </row>
    <row r="182" spans="1:12" ht="15.75" customHeight="1">
      <c r="A182" s="951">
        <f t="shared" si="3"/>
        <v>136</v>
      </c>
      <c r="B182" s="949">
        <f>+NOMINA!C178</f>
        <v>16376781</v>
      </c>
      <c r="C182" s="949" t="str">
        <f>+NOMINA!D178</f>
        <v>Viloria de Utrilla Arelis del Carmen</v>
      </c>
      <c r="D182" s="949" t="str">
        <f>+NOMINA!O178</f>
        <v>Guia de Centro I</v>
      </c>
      <c r="E182" s="952">
        <f>+NOMINA!H178</f>
        <v>45413</v>
      </c>
      <c r="F182" s="953">
        <f>+NOMINA!BL178</f>
        <v>19.989999999999998</v>
      </c>
      <c r="G182" s="953">
        <f>+NOMINA!BM178</f>
        <v>2.5</v>
      </c>
      <c r="H182" s="608"/>
      <c r="I182" s="609"/>
      <c r="J182" s="609"/>
      <c r="K182" s="609"/>
      <c r="L182" s="609"/>
    </row>
    <row r="183" spans="1:12" ht="15.75" customHeight="1">
      <c r="A183" s="951">
        <f t="shared" si="3"/>
        <v>137</v>
      </c>
      <c r="B183" s="949">
        <f>+NOMINA!C179</f>
        <v>16377159</v>
      </c>
      <c r="C183" s="949" t="str">
        <f>+NOMINA!D179</f>
        <v>Carrillo Uzcategui Tahiyuani Carolina</v>
      </c>
      <c r="D183" s="949" t="str">
        <f>+NOMINA!O179</f>
        <v>Guia de Centro I</v>
      </c>
      <c r="E183" s="952">
        <f>+NOMINA!H179</f>
        <v>44743</v>
      </c>
      <c r="F183" s="953">
        <f>+NOMINA!BL179</f>
        <v>20.21</v>
      </c>
      <c r="G183" s="953">
        <f>+NOMINA!BM179</f>
        <v>2.5299999999999998</v>
      </c>
      <c r="H183" s="608"/>
      <c r="I183" s="609"/>
      <c r="J183" s="609"/>
      <c r="K183" s="609"/>
      <c r="L183" s="609"/>
    </row>
    <row r="184" spans="1:12" ht="15.75" customHeight="1">
      <c r="A184" s="951">
        <f t="shared" si="3"/>
        <v>138</v>
      </c>
      <c r="B184" s="949">
        <f>+NOMINA!C180</f>
        <v>16377588</v>
      </c>
      <c r="C184" s="949" t="str">
        <f>+NOMINA!D180</f>
        <v>Perdomo Linares Alejandra Carolina</v>
      </c>
      <c r="D184" s="949" t="str">
        <f>+NOMINA!O180</f>
        <v>Tutor Facilitador II</v>
      </c>
      <c r="E184" s="952">
        <f>+NOMINA!H180</f>
        <v>44059</v>
      </c>
      <c r="F184" s="953">
        <f>+NOMINA!BL180</f>
        <v>19.87</v>
      </c>
      <c r="G184" s="953">
        <f>+NOMINA!BM180</f>
        <v>2.48</v>
      </c>
      <c r="H184" s="608"/>
      <c r="I184" s="609"/>
      <c r="J184" s="609"/>
      <c r="K184" s="609"/>
      <c r="L184" s="609"/>
    </row>
    <row r="185" spans="1:12" ht="15.75" customHeight="1">
      <c r="A185" s="951">
        <f t="shared" si="3"/>
        <v>139</v>
      </c>
      <c r="B185" s="949">
        <f>+NOMINA!C181</f>
        <v>16377628</v>
      </c>
      <c r="C185" s="949" t="str">
        <f>+NOMINA!D181</f>
        <v>Peña Nava Maria Gabriela</v>
      </c>
      <c r="D185" s="949" t="str">
        <f>+NOMINA!O181</f>
        <v>Guia de Centro II</v>
      </c>
      <c r="E185" s="952">
        <f>+NOMINA!H181</f>
        <v>44743</v>
      </c>
      <c r="F185" s="953">
        <f>+NOMINA!BL181</f>
        <v>27.5</v>
      </c>
      <c r="G185" s="953">
        <f>+NOMINA!BM181</f>
        <v>3.44</v>
      </c>
      <c r="H185" s="608"/>
      <c r="I185" s="609"/>
      <c r="J185" s="609"/>
      <c r="K185" s="609"/>
      <c r="L185" s="609"/>
    </row>
    <row r="186" spans="1:12" ht="15.75" customHeight="1">
      <c r="A186" s="951">
        <f t="shared" si="3"/>
        <v>140</v>
      </c>
      <c r="B186" s="949">
        <f>+NOMINA!C182</f>
        <v>16533566</v>
      </c>
      <c r="C186" s="949" t="str">
        <f>+NOMINA!D182</f>
        <v>Materan Gallardo Vivian Katiana</v>
      </c>
      <c r="D186" s="949" t="str">
        <f>+NOMINA!O182</f>
        <v>Guia de Centro I</v>
      </c>
      <c r="E186" s="952">
        <f>+NOMINA!H182</f>
        <v>44683</v>
      </c>
      <c r="F186" s="953">
        <f>+NOMINA!BL182</f>
        <v>13.8</v>
      </c>
      <c r="G186" s="953">
        <f>+NOMINA!BM182</f>
        <v>1.73</v>
      </c>
      <c r="H186" s="608"/>
      <c r="I186" s="609"/>
      <c r="J186" s="609"/>
      <c r="K186" s="609"/>
      <c r="L186" s="609"/>
    </row>
    <row r="187" spans="1:12" ht="15.75" customHeight="1">
      <c r="A187" s="951">
        <f t="shared" si="3"/>
        <v>141</v>
      </c>
      <c r="B187" s="949">
        <f>+NOMINA!C183</f>
        <v>16533615</v>
      </c>
      <c r="C187" s="949" t="str">
        <f>+NOMINA!D183</f>
        <v>Valero Sulbaran Urquia Del Mar</v>
      </c>
      <c r="D187" s="949" t="str">
        <f>+NOMINA!O183</f>
        <v>Guia de Centro I</v>
      </c>
      <c r="E187" s="952">
        <f>+NOMINA!H183</f>
        <v>45474</v>
      </c>
      <c r="F187" s="953">
        <f>+NOMINA!BL183</f>
        <v>23.31</v>
      </c>
      <c r="G187" s="953">
        <f>+NOMINA!BM183</f>
        <v>2.91</v>
      </c>
      <c r="H187" s="608"/>
      <c r="I187" s="609"/>
      <c r="J187" s="609"/>
      <c r="K187" s="609"/>
      <c r="L187" s="609"/>
    </row>
    <row r="188" spans="1:12" ht="15.75" customHeight="1">
      <c r="A188" s="951">
        <f t="shared" si="3"/>
        <v>142</v>
      </c>
      <c r="B188" s="949">
        <f>+NOMINA!C184</f>
        <v>16533986</v>
      </c>
      <c r="C188" s="949" t="str">
        <f>+NOMINA!D184</f>
        <v>Serrada Bustos Gladys Magaly</v>
      </c>
      <c r="D188" s="949" t="str">
        <f>+NOMINA!O184</f>
        <v>INGENIERO ELECTRICISTA JEFE</v>
      </c>
      <c r="E188" s="952">
        <f>+NOMINA!H184</f>
        <v>42948</v>
      </c>
      <c r="F188" s="953">
        <f>+NOMINA!BL184</f>
        <v>20.41</v>
      </c>
      <c r="G188" s="953">
        <f>+NOMINA!BM184</f>
        <v>2.5499999999999998</v>
      </c>
      <c r="H188" s="608"/>
      <c r="I188" s="609"/>
      <c r="J188" s="609"/>
      <c r="K188" s="609"/>
      <c r="L188" s="609"/>
    </row>
    <row r="189" spans="1:12" ht="15.75" customHeight="1">
      <c r="A189" s="951">
        <f t="shared" si="3"/>
        <v>143</v>
      </c>
      <c r="B189" s="949">
        <f>+NOMINA!C185</f>
        <v>16739081</v>
      </c>
      <c r="C189" s="949" t="str">
        <f>+NOMINA!D185</f>
        <v>Albarran Araujo Yely Coromoto</v>
      </c>
      <c r="D189" s="949" t="str">
        <f>+NOMINA!O185</f>
        <v>Asistente Administrativo III</v>
      </c>
      <c r="E189" s="952">
        <f>+NOMINA!H185</f>
        <v>42948</v>
      </c>
      <c r="F189" s="953">
        <f>+NOMINA!BL185</f>
        <v>0</v>
      </c>
      <c r="G189" s="953">
        <f>+NOMINA!BM185</f>
        <v>0</v>
      </c>
      <c r="H189" s="608"/>
      <c r="I189" s="609"/>
      <c r="J189" s="609"/>
      <c r="K189" s="609"/>
      <c r="L189" s="609"/>
    </row>
    <row r="190" spans="1:12" ht="15.75" customHeight="1">
      <c r="A190" s="951">
        <f t="shared" si="3"/>
        <v>144</v>
      </c>
      <c r="B190" s="949">
        <f>+NOMINA!C186</f>
        <v>16740261</v>
      </c>
      <c r="C190" s="949" t="str">
        <f>+NOMINA!D186</f>
        <v>Rivas Briceño Nathaly Del Carmen</v>
      </c>
      <c r="D190" s="949" t="str">
        <f>+NOMINA!O186</f>
        <v>Tecnico Superior en Trabajo Social I</v>
      </c>
      <c r="E190" s="952">
        <f>+NOMINA!H186</f>
        <v>45505</v>
      </c>
      <c r="F190" s="953">
        <f>+NOMINA!BL186</f>
        <v>14.82</v>
      </c>
      <c r="G190" s="953">
        <f>+NOMINA!BM186</f>
        <v>1.85</v>
      </c>
      <c r="H190" s="608"/>
      <c r="I190" s="609"/>
      <c r="J190" s="609"/>
      <c r="K190" s="609"/>
      <c r="L190" s="609"/>
    </row>
    <row r="191" spans="1:12" ht="15.75" customHeight="1">
      <c r="A191" s="951">
        <f t="shared" si="3"/>
        <v>145</v>
      </c>
      <c r="B191" s="949">
        <f>+NOMINA!C187</f>
        <v>16881384</v>
      </c>
      <c r="C191" s="949" t="str">
        <f>+NOMINA!D187</f>
        <v>Perez Ramirez Yonathan Jesus</v>
      </c>
      <c r="D191" s="949" t="str">
        <f>+NOMINA!O187</f>
        <v>Guia de Centro II</v>
      </c>
      <c r="E191" s="952">
        <f>+NOMINA!H187</f>
        <v>43906</v>
      </c>
      <c r="F191" s="953">
        <f>+NOMINA!BL187</f>
        <v>22.42</v>
      </c>
      <c r="G191" s="953">
        <f>+NOMINA!BM187</f>
        <v>2.8</v>
      </c>
      <c r="H191" s="608"/>
      <c r="I191" s="609"/>
      <c r="J191" s="609"/>
      <c r="K191" s="609"/>
      <c r="L191" s="609"/>
    </row>
    <row r="192" spans="1:12" ht="15.75" customHeight="1">
      <c r="A192" s="951">
        <f t="shared" si="3"/>
        <v>146</v>
      </c>
      <c r="B192" s="949">
        <f>+NOMINA!C188</f>
        <v>16882467</v>
      </c>
      <c r="C192" s="949" t="str">
        <f>+NOMINA!D188</f>
        <v>Mejia Araujo Sandra Coromoto</v>
      </c>
      <c r="D192" s="949" t="str">
        <f>+NOMINA!O188</f>
        <v>Analista de Personal IV</v>
      </c>
      <c r="E192" s="952">
        <f>+NOMINA!H188</f>
        <v>42948</v>
      </c>
      <c r="F192" s="953">
        <f>+NOMINA!BL188</f>
        <v>21.81</v>
      </c>
      <c r="G192" s="953">
        <f>+NOMINA!BM188</f>
        <v>2.73</v>
      </c>
      <c r="H192" s="608"/>
      <c r="I192" s="609"/>
      <c r="J192" s="609"/>
      <c r="K192" s="609"/>
      <c r="L192" s="609"/>
    </row>
    <row r="193" spans="1:12" ht="15.75" customHeight="1">
      <c r="A193" s="951">
        <f t="shared" si="3"/>
        <v>147</v>
      </c>
      <c r="B193" s="949">
        <f>+NOMINA!C189</f>
        <v>16883267</v>
      </c>
      <c r="C193" s="949" t="str">
        <f>+NOMINA!D189</f>
        <v>Matheus Rondon Aida</v>
      </c>
      <c r="D193" s="949" t="str">
        <f>+NOMINA!O189</f>
        <v>Guia de Centro II</v>
      </c>
      <c r="E193" s="952">
        <f>+NOMINA!H189</f>
        <v>38930</v>
      </c>
      <c r="F193" s="953">
        <f>+NOMINA!BL189</f>
        <v>18.170000000000002</v>
      </c>
      <c r="G193" s="953">
        <f>+NOMINA!BM189</f>
        <v>2.27</v>
      </c>
      <c r="H193" s="608"/>
      <c r="I193" s="609"/>
      <c r="J193" s="609"/>
      <c r="K193" s="609"/>
      <c r="L193" s="609"/>
    </row>
    <row r="194" spans="1:12" ht="15.75" customHeight="1">
      <c r="A194" s="951">
        <f t="shared" si="3"/>
        <v>148</v>
      </c>
      <c r="B194" s="949">
        <f>+NOMINA!C190</f>
        <v>17037244</v>
      </c>
      <c r="C194" s="949" t="str">
        <f>+NOMINA!D190</f>
        <v>Bastidas Yelitza Del Carmen</v>
      </c>
      <c r="D194" s="949" t="str">
        <f>+NOMINA!O190</f>
        <v>Guia de Centro II</v>
      </c>
      <c r="E194" s="952">
        <f>+NOMINA!H190</f>
        <v>40087</v>
      </c>
      <c r="F194" s="953">
        <f>+NOMINA!BL190</f>
        <v>24.29</v>
      </c>
      <c r="G194" s="953">
        <f>+NOMINA!BM190</f>
        <v>3.04</v>
      </c>
      <c r="H194" s="608"/>
      <c r="I194" s="609"/>
      <c r="J194" s="609"/>
      <c r="K194" s="609"/>
      <c r="L194" s="609"/>
    </row>
    <row r="195" spans="1:12" ht="15.75" customHeight="1">
      <c r="A195" s="951">
        <f t="shared" si="3"/>
        <v>149</v>
      </c>
      <c r="B195" s="949">
        <f>+NOMINA!C191</f>
        <v>17094419</v>
      </c>
      <c r="C195" s="949" t="str">
        <f>+NOMINA!D191</f>
        <v>Aponte Rivera Lenismar del Valle</v>
      </c>
      <c r="D195" s="949" t="str">
        <f>+NOMINA!O191</f>
        <v>Guia de Centro I</v>
      </c>
      <c r="E195" s="952">
        <f>+NOMINA!H191</f>
        <v>44409</v>
      </c>
      <c r="F195" s="953">
        <f>+NOMINA!BL191</f>
        <v>13.66</v>
      </c>
      <c r="G195" s="953">
        <f>+NOMINA!BM191</f>
        <v>1.71</v>
      </c>
      <c r="H195" s="608"/>
      <c r="I195" s="609"/>
      <c r="J195" s="609"/>
      <c r="K195" s="609"/>
      <c r="L195" s="609"/>
    </row>
    <row r="196" spans="1:12" ht="15.75" customHeight="1">
      <c r="A196" s="951">
        <f t="shared" si="3"/>
        <v>150</v>
      </c>
      <c r="B196" s="949">
        <f>+NOMINA!C192</f>
        <v>17094426</v>
      </c>
      <c r="C196" s="949" t="str">
        <f>+NOMINA!D192</f>
        <v>Manzanilla Araujo Richard Jose</v>
      </c>
      <c r="D196" s="949" t="str">
        <f>+NOMINA!O192</f>
        <v>Guia de Centro II</v>
      </c>
      <c r="E196" s="952">
        <f>+NOMINA!H192</f>
        <v>43344</v>
      </c>
      <c r="F196" s="953">
        <f>+NOMINA!BL192</f>
        <v>26.33</v>
      </c>
      <c r="G196" s="953">
        <f>+NOMINA!BM192</f>
        <v>3.29</v>
      </c>
      <c r="H196" s="608"/>
      <c r="I196" s="609"/>
      <c r="J196" s="609"/>
      <c r="K196" s="609"/>
      <c r="L196" s="609"/>
    </row>
    <row r="197" spans="1:12" ht="15.75" customHeight="1">
      <c r="A197" s="951">
        <f t="shared" si="3"/>
        <v>151</v>
      </c>
      <c r="B197" s="949">
        <f>+NOMINA!C193</f>
        <v>17130893</v>
      </c>
      <c r="C197" s="949" t="str">
        <f>+NOMINA!D193</f>
        <v>Leon Valero Ceila Maria</v>
      </c>
      <c r="D197" s="949" t="str">
        <f>+NOMINA!O193</f>
        <v>Tutor Facilitador III</v>
      </c>
      <c r="E197" s="952">
        <f>+NOMINA!H193</f>
        <v>39602</v>
      </c>
      <c r="F197" s="953">
        <f>+NOMINA!BL193</f>
        <v>22.89</v>
      </c>
      <c r="G197" s="953">
        <f>+NOMINA!BM193</f>
        <v>2.86</v>
      </c>
      <c r="H197" s="608"/>
      <c r="I197" s="609"/>
      <c r="J197" s="609"/>
      <c r="K197" s="609"/>
      <c r="L197" s="609"/>
    </row>
    <row r="198" spans="1:12" ht="15.75" customHeight="1">
      <c r="A198" s="951">
        <f t="shared" si="3"/>
        <v>152</v>
      </c>
      <c r="B198" s="949">
        <f>+NOMINA!C194</f>
        <v>17265093</v>
      </c>
      <c r="C198" s="949" t="str">
        <f>+NOMINA!D194</f>
        <v>Vielma Viloria Dublasca del Valle</v>
      </c>
      <c r="D198" s="949" t="str">
        <f>+NOMINA!O194</f>
        <v>Psicologo I</v>
      </c>
      <c r="E198" s="952">
        <f>+NOMINA!H194</f>
        <v>45323</v>
      </c>
      <c r="F198" s="953">
        <f>+NOMINA!BL194</f>
        <v>22.46</v>
      </c>
      <c r="G198" s="953">
        <f>+NOMINA!BM194</f>
        <v>2.81</v>
      </c>
      <c r="H198" s="608"/>
      <c r="I198" s="609"/>
      <c r="J198" s="609"/>
      <c r="K198" s="609"/>
      <c r="L198" s="609"/>
    </row>
    <row r="199" spans="1:12" ht="15.75" customHeight="1">
      <c r="A199" s="951">
        <f t="shared" si="3"/>
        <v>153</v>
      </c>
      <c r="B199" s="949">
        <f>+NOMINA!C195</f>
        <v>17265578</v>
      </c>
      <c r="C199" s="949" t="str">
        <f>+NOMINA!D195</f>
        <v>Briceño Aguilar Rebeca Andreina</v>
      </c>
      <c r="D199" s="949" t="str">
        <f>+NOMINA!O195</f>
        <v>Tecnico Superior en Trabajo Social II</v>
      </c>
      <c r="E199" s="952">
        <f>+NOMINA!H195</f>
        <v>45047</v>
      </c>
      <c r="F199" s="953">
        <f>+NOMINA!BL195</f>
        <v>16.86</v>
      </c>
      <c r="G199" s="953">
        <f>+NOMINA!BM195</f>
        <v>2.11</v>
      </c>
      <c r="H199" s="608"/>
      <c r="I199" s="609"/>
      <c r="J199" s="609"/>
      <c r="K199" s="609"/>
      <c r="L199" s="609"/>
    </row>
    <row r="200" spans="1:12" ht="15.75" customHeight="1">
      <c r="A200" s="951">
        <f t="shared" si="3"/>
        <v>154</v>
      </c>
      <c r="B200" s="949">
        <f>+NOMINA!C196</f>
        <v>17265648</v>
      </c>
      <c r="C200" s="949" t="str">
        <f>+NOMINA!D196</f>
        <v>Carrizo Mary Alejandra</v>
      </c>
      <c r="D200" s="949" t="str">
        <f>+NOMINA!O196</f>
        <v>Guia de Centro II</v>
      </c>
      <c r="E200" s="952">
        <f>+NOMINA!H196</f>
        <v>43709</v>
      </c>
      <c r="F200" s="953">
        <f>+NOMINA!BL196</f>
        <v>15</v>
      </c>
      <c r="G200" s="953">
        <f>+NOMINA!BM196</f>
        <v>1.88</v>
      </c>
      <c r="H200" s="608"/>
      <c r="I200" s="609"/>
      <c r="J200" s="609"/>
      <c r="K200" s="609"/>
      <c r="L200" s="609"/>
    </row>
    <row r="201" spans="1:12" ht="15.75" customHeight="1">
      <c r="A201" s="951">
        <f t="shared" si="3"/>
        <v>155</v>
      </c>
      <c r="B201" s="949">
        <f>+NOMINA!C197</f>
        <v>17267324</v>
      </c>
      <c r="C201" s="949" t="str">
        <f>+NOMINA!D197</f>
        <v>Urdaneta Soto Katherine Esther</v>
      </c>
      <c r="D201" s="949" t="str">
        <f>+NOMINA!O197</f>
        <v>Guia de Centro II</v>
      </c>
      <c r="E201" s="952">
        <f>+NOMINA!H197</f>
        <v>43785</v>
      </c>
      <c r="F201" s="953">
        <f>+NOMINA!BL197</f>
        <v>15</v>
      </c>
      <c r="G201" s="953">
        <f>+NOMINA!BM197</f>
        <v>1.88</v>
      </c>
      <c r="H201" s="608"/>
      <c r="I201" s="609"/>
      <c r="J201" s="609"/>
      <c r="K201" s="609"/>
      <c r="L201" s="609"/>
    </row>
    <row r="202" spans="1:12" ht="15.75" customHeight="1">
      <c r="A202" s="951">
        <f t="shared" si="3"/>
        <v>156</v>
      </c>
      <c r="B202" s="949">
        <f>+NOMINA!C198</f>
        <v>17391316</v>
      </c>
      <c r="C202" s="949" t="str">
        <f>+NOMINA!D198</f>
        <v>Torres Aranguren Lilibeth del Valle</v>
      </c>
      <c r="D202" s="949" t="str">
        <f>+NOMINA!O198</f>
        <v>Guia de Centro I</v>
      </c>
      <c r="E202" s="952">
        <f>+NOMINA!H198</f>
        <v>44713</v>
      </c>
      <c r="F202" s="953">
        <f>+NOMINA!BL198</f>
        <v>19.489999999999998</v>
      </c>
      <c r="G202" s="953">
        <f>+NOMINA!BM198</f>
        <v>2.44</v>
      </c>
      <c r="H202" s="608"/>
      <c r="I202" s="609"/>
      <c r="J202" s="609"/>
      <c r="K202" s="609"/>
      <c r="L202" s="609"/>
    </row>
    <row r="203" spans="1:12" ht="15.75" customHeight="1">
      <c r="A203" s="951">
        <f t="shared" si="3"/>
        <v>157</v>
      </c>
      <c r="B203" s="949">
        <f>+NOMINA!C199</f>
        <v>17391892</v>
      </c>
      <c r="C203" s="949" t="str">
        <f>+NOMINA!D199</f>
        <v>Godoy Padilla Darcy Yaneth</v>
      </c>
      <c r="D203" s="949" t="str">
        <f>+NOMINA!O199</f>
        <v>Analista de Personal I</v>
      </c>
      <c r="E203" s="952">
        <f>+NOMINA!H199</f>
        <v>45323</v>
      </c>
      <c r="F203" s="953">
        <f>+NOMINA!BL199</f>
        <v>18.73</v>
      </c>
      <c r="G203" s="953">
        <f>+NOMINA!BM199</f>
        <v>2.34</v>
      </c>
      <c r="H203" s="608"/>
      <c r="I203" s="609"/>
      <c r="J203" s="609"/>
      <c r="K203" s="609"/>
      <c r="L203" s="609"/>
    </row>
    <row r="204" spans="1:12" ht="15.75" customHeight="1">
      <c r="A204" s="951">
        <f t="shared" si="3"/>
        <v>158</v>
      </c>
      <c r="B204" s="949">
        <f>+NOMINA!C200</f>
        <v>17392309</v>
      </c>
      <c r="C204" s="949" t="str">
        <f>+NOMINA!D200</f>
        <v>Torres Briceño Yarelis Del Carmen</v>
      </c>
      <c r="D204" s="949" t="str">
        <f>+NOMINA!O200</f>
        <v>Administrador II</v>
      </c>
      <c r="E204" s="952">
        <f>+NOMINA!H200</f>
        <v>43116</v>
      </c>
      <c r="F204" s="953">
        <f>+NOMINA!BL200</f>
        <v>20.98</v>
      </c>
      <c r="G204" s="953">
        <f>+NOMINA!BM200</f>
        <v>2.62</v>
      </c>
      <c r="H204" s="608"/>
      <c r="I204" s="609"/>
      <c r="J204" s="609"/>
      <c r="K204" s="609"/>
      <c r="L204" s="609"/>
    </row>
    <row r="205" spans="1:12" ht="15.75" customHeight="1">
      <c r="A205" s="951">
        <f t="shared" si="3"/>
        <v>159</v>
      </c>
      <c r="B205" s="949">
        <f>+NOMINA!C201</f>
        <v>17393693</v>
      </c>
      <c r="C205" s="949" t="str">
        <f>+NOMINA!D201</f>
        <v>Nuñez Maria Gusmara</v>
      </c>
      <c r="D205" s="949" t="str">
        <f>+NOMINA!O201</f>
        <v>Asistente Administrativo II</v>
      </c>
      <c r="E205" s="952">
        <f>+NOMINA!H201</f>
        <v>44516</v>
      </c>
      <c r="F205" s="953">
        <f>+NOMINA!BL201</f>
        <v>11.43</v>
      </c>
      <c r="G205" s="953">
        <f>+NOMINA!BM201</f>
        <v>1.43</v>
      </c>
      <c r="H205" s="608"/>
      <c r="I205" s="609"/>
      <c r="J205" s="609"/>
      <c r="K205" s="609"/>
      <c r="L205" s="609"/>
    </row>
    <row r="206" spans="1:12" ht="15.75" customHeight="1">
      <c r="A206" s="951">
        <f t="shared" si="3"/>
        <v>160</v>
      </c>
      <c r="B206" s="949">
        <f>+NOMINA!C202</f>
        <v>17596844</v>
      </c>
      <c r="C206" s="949" t="str">
        <f>+NOMINA!D202</f>
        <v>Colmenares Jorge Luis</v>
      </c>
      <c r="D206" s="949" t="str">
        <f>+NOMINA!O202</f>
        <v>Guia de Centro I</v>
      </c>
      <c r="E206" s="952">
        <f>+NOMINA!H202</f>
        <v>45474</v>
      </c>
      <c r="F206" s="953">
        <f>+NOMINA!BL202</f>
        <v>19.989999999999998</v>
      </c>
      <c r="G206" s="953">
        <f>+NOMINA!BM202</f>
        <v>2.5</v>
      </c>
      <c r="H206" s="608"/>
      <c r="I206" s="609"/>
      <c r="J206" s="609"/>
      <c r="K206" s="609"/>
      <c r="L206" s="609"/>
    </row>
    <row r="207" spans="1:12" ht="15.75" customHeight="1">
      <c r="A207" s="951">
        <f t="shared" si="3"/>
        <v>161</v>
      </c>
      <c r="B207" s="949">
        <f>+NOMINA!C203</f>
        <v>17597257</v>
      </c>
      <c r="C207" s="949" t="str">
        <f>+NOMINA!D203</f>
        <v>Linares Barreto Jorge Luis</v>
      </c>
      <c r="D207" s="949" t="str">
        <f>+NOMINA!O203</f>
        <v>GUIA DE CENTRO I</v>
      </c>
      <c r="E207" s="952">
        <f>+NOMINA!H203</f>
        <v>45536</v>
      </c>
      <c r="F207" s="953">
        <f>+NOMINA!BL203</f>
        <v>18.55</v>
      </c>
      <c r="G207" s="953">
        <f>+NOMINA!BM203</f>
        <v>2.3199999999999998</v>
      </c>
      <c r="H207" s="608"/>
      <c r="I207" s="609"/>
      <c r="J207" s="609"/>
      <c r="K207" s="609"/>
      <c r="L207" s="609"/>
    </row>
    <row r="208" spans="1:12" ht="15.75" customHeight="1">
      <c r="A208" s="951">
        <f t="shared" si="3"/>
        <v>162</v>
      </c>
      <c r="B208" s="949">
        <f>+NOMINA!C204</f>
        <v>17597285</v>
      </c>
      <c r="C208" s="949" t="str">
        <f>+NOMINA!D204</f>
        <v>Duarte Portillo Dani Vicente</v>
      </c>
      <c r="D208" s="949" t="str">
        <f>+NOMINA!O204</f>
        <v>Tecnico Superior en Trabajo Social II</v>
      </c>
      <c r="E208" s="952">
        <f>+NOMINA!H204</f>
        <v>42782</v>
      </c>
      <c r="F208" s="953">
        <f>+NOMINA!BL204</f>
        <v>16.28</v>
      </c>
      <c r="G208" s="953">
        <f>+NOMINA!BM204</f>
        <v>2.0299999999999998</v>
      </c>
      <c r="H208" s="608"/>
      <c r="I208" s="609"/>
      <c r="J208" s="609"/>
      <c r="K208" s="609"/>
      <c r="L208" s="609"/>
    </row>
    <row r="209" spans="1:12" ht="15.75" customHeight="1">
      <c r="A209" s="951">
        <f t="shared" si="3"/>
        <v>163</v>
      </c>
      <c r="B209" s="949">
        <f>+NOMINA!C205</f>
        <v>17604568</v>
      </c>
      <c r="C209" s="949" t="str">
        <f>+NOMINA!D205</f>
        <v>Rivera Gil Christian Rafael</v>
      </c>
      <c r="D209" s="949" t="str">
        <f>+NOMINA!O205</f>
        <v>Tecnico en Reparacion y Mantenimiento I</v>
      </c>
      <c r="E209" s="952">
        <f>+NOMINA!H205</f>
        <v>43831</v>
      </c>
      <c r="F209" s="953">
        <f>+NOMINA!BL205</f>
        <v>17.059999999999999</v>
      </c>
      <c r="G209" s="953">
        <f>+NOMINA!BM205</f>
        <v>2.13</v>
      </c>
      <c r="H209" s="608"/>
      <c r="I209" s="609"/>
      <c r="J209" s="609"/>
      <c r="K209" s="609"/>
      <c r="L209" s="609"/>
    </row>
    <row r="210" spans="1:12" ht="15.75" customHeight="1">
      <c r="A210" s="951">
        <f t="shared" si="3"/>
        <v>164</v>
      </c>
      <c r="B210" s="949">
        <f>+NOMINA!C206</f>
        <v>17605222</v>
      </c>
      <c r="C210" s="949" t="str">
        <f>+NOMINA!D206</f>
        <v>Aguial Dayana Carolina</v>
      </c>
      <c r="D210" s="949" t="str">
        <f>+NOMINA!O206</f>
        <v>Guia de Centro II</v>
      </c>
      <c r="E210" s="952">
        <f>+NOMINA!H206</f>
        <v>42737</v>
      </c>
      <c r="F210" s="953">
        <f>+NOMINA!BL206</f>
        <v>22.2</v>
      </c>
      <c r="G210" s="953">
        <f>+NOMINA!BM206</f>
        <v>2.78</v>
      </c>
      <c r="H210" s="608"/>
      <c r="I210" s="609"/>
      <c r="J210" s="609"/>
      <c r="K210" s="609"/>
      <c r="L210" s="609"/>
    </row>
    <row r="211" spans="1:12" ht="15.75" customHeight="1">
      <c r="A211" s="951">
        <f t="shared" si="3"/>
        <v>165</v>
      </c>
      <c r="B211" s="949">
        <f>+NOMINA!C207</f>
        <v>17605492</v>
      </c>
      <c r="C211" s="949" t="str">
        <f>+NOMINA!D207</f>
        <v>Briceño Briceño Naibely Carolina</v>
      </c>
      <c r="D211" s="949" t="str">
        <f>+NOMINA!O207</f>
        <v>Asistente Administrativo V</v>
      </c>
      <c r="E211" s="952">
        <f>+NOMINA!H207</f>
        <v>43967</v>
      </c>
      <c r="F211" s="953">
        <f>+NOMINA!BL207</f>
        <v>19.3</v>
      </c>
      <c r="G211" s="953">
        <f>+NOMINA!BM207</f>
        <v>2.41</v>
      </c>
      <c r="H211" s="608"/>
      <c r="I211" s="609"/>
      <c r="J211" s="609"/>
      <c r="K211" s="609"/>
      <c r="L211" s="609"/>
    </row>
    <row r="212" spans="1:12" ht="15.75" customHeight="1">
      <c r="A212" s="951">
        <f t="shared" si="3"/>
        <v>166</v>
      </c>
      <c r="B212" s="949">
        <f>+NOMINA!C208</f>
        <v>17606237</v>
      </c>
      <c r="C212" s="949" t="str">
        <f>+NOMINA!D208</f>
        <v>Castellano Rivera Maria Antonina</v>
      </c>
      <c r="D212" s="949" t="str">
        <f>+NOMINA!O208</f>
        <v>Asistente Administrativo III</v>
      </c>
      <c r="E212" s="952">
        <f>+NOMINA!H208</f>
        <v>40909</v>
      </c>
      <c r="F212" s="953">
        <f>+NOMINA!BL208</f>
        <v>15.2</v>
      </c>
      <c r="G212" s="953">
        <f>+NOMINA!BM208</f>
        <v>1.9</v>
      </c>
      <c r="H212" s="608"/>
      <c r="I212" s="609"/>
      <c r="J212" s="609"/>
      <c r="K212" s="609"/>
      <c r="L212" s="609"/>
    </row>
    <row r="213" spans="1:12" ht="15.75" customHeight="1">
      <c r="A213" s="951">
        <f t="shared" si="3"/>
        <v>167</v>
      </c>
      <c r="B213" s="949">
        <f>+NOMINA!C209</f>
        <v>17830972</v>
      </c>
      <c r="C213" s="949" t="str">
        <f>+NOMINA!D209</f>
        <v>Bastidas Franco Dianellys Sarain</v>
      </c>
      <c r="D213" s="949" t="str">
        <f>+NOMINA!O209</f>
        <v>Entrenador Deportivo IV</v>
      </c>
      <c r="E213" s="952">
        <f>+NOMINA!H209</f>
        <v>44713</v>
      </c>
      <c r="F213" s="953">
        <f>+NOMINA!BL209</f>
        <v>17.579999999999998</v>
      </c>
      <c r="G213" s="953">
        <f>+NOMINA!BM209</f>
        <v>2.2000000000000002</v>
      </c>
      <c r="H213" s="608"/>
      <c r="I213" s="609"/>
      <c r="J213" s="609"/>
      <c r="K213" s="609"/>
      <c r="L213" s="609"/>
    </row>
    <row r="214" spans="1:12" ht="15.75" customHeight="1">
      <c r="A214" s="951">
        <f t="shared" si="3"/>
        <v>168</v>
      </c>
      <c r="B214" s="949">
        <f>+NOMINA!C210</f>
        <v>17831012</v>
      </c>
      <c r="C214" s="949" t="str">
        <f>+NOMINA!D210</f>
        <v>Valera Briceño Jesus Enrique</v>
      </c>
      <c r="D214" s="949" t="str">
        <f>+NOMINA!O210</f>
        <v>Guia de Centro I</v>
      </c>
      <c r="E214" s="952">
        <f>+NOMINA!H210</f>
        <v>45474</v>
      </c>
      <c r="F214" s="953">
        <f>+NOMINA!BL210</f>
        <v>14.4</v>
      </c>
      <c r="G214" s="953">
        <f>+NOMINA!BM210</f>
        <v>1.8</v>
      </c>
      <c r="H214" s="608"/>
      <c r="I214" s="609"/>
      <c r="J214" s="609"/>
      <c r="K214" s="609"/>
      <c r="L214" s="609"/>
    </row>
    <row r="215" spans="1:12" ht="15.75" customHeight="1">
      <c r="A215" s="951">
        <f t="shared" si="3"/>
        <v>169</v>
      </c>
      <c r="B215" s="949">
        <f>+NOMINA!C211</f>
        <v>17831231</v>
      </c>
      <c r="C215" s="949" t="str">
        <f>+NOMINA!D211</f>
        <v>Blanco Torres Beixy Coromoto</v>
      </c>
      <c r="D215" s="949" t="str">
        <f>+NOMINA!O211</f>
        <v>Abogado III</v>
      </c>
      <c r="E215" s="952">
        <f>+NOMINA!H211</f>
        <v>44200</v>
      </c>
      <c r="F215" s="953">
        <f>+NOMINA!BL211</f>
        <v>21.15</v>
      </c>
      <c r="G215" s="953">
        <f>+NOMINA!BM211</f>
        <v>2.64</v>
      </c>
      <c r="H215" s="608"/>
      <c r="I215" s="609"/>
      <c r="J215" s="609"/>
      <c r="K215" s="609"/>
      <c r="L215" s="609"/>
    </row>
    <row r="216" spans="1:12" ht="15.75" customHeight="1">
      <c r="A216" s="951">
        <f t="shared" si="3"/>
        <v>170</v>
      </c>
      <c r="B216" s="949">
        <f>+NOMINA!C212</f>
        <v>17831384</v>
      </c>
      <c r="C216" s="949" t="str">
        <f>+NOMINA!D212</f>
        <v>Nieve Briceño Glorys Carolina</v>
      </c>
      <c r="D216" s="949" t="str">
        <f>+NOMINA!O212</f>
        <v>Guia de Centro II</v>
      </c>
      <c r="E216" s="952">
        <f>+NOMINA!H212</f>
        <v>42339</v>
      </c>
      <c r="F216" s="953">
        <f>+NOMINA!BL212</f>
        <v>27.06</v>
      </c>
      <c r="G216" s="953">
        <f>+NOMINA!BM212</f>
        <v>3.38</v>
      </c>
      <c r="H216" s="608"/>
      <c r="I216" s="609"/>
      <c r="J216" s="609"/>
      <c r="K216" s="609"/>
      <c r="L216" s="609"/>
    </row>
    <row r="217" spans="1:12" ht="15.75" customHeight="1">
      <c r="A217" s="951">
        <f t="shared" si="3"/>
        <v>171</v>
      </c>
      <c r="B217" s="949">
        <f>+NOMINA!C213</f>
        <v>17832396</v>
      </c>
      <c r="C217" s="949" t="str">
        <f>+NOMINA!D213</f>
        <v>Pulido Sanchez Joalina Vanessa</v>
      </c>
      <c r="D217" s="949" t="str">
        <f>+NOMINA!O213</f>
        <v>Enfermera Jefe I</v>
      </c>
      <c r="E217" s="952">
        <f>+NOMINA!H213</f>
        <v>43191</v>
      </c>
      <c r="F217" s="953">
        <f>+NOMINA!BL213</f>
        <v>17.170000000000002</v>
      </c>
      <c r="G217" s="953">
        <f>+NOMINA!BM213</f>
        <v>2.15</v>
      </c>
      <c r="H217" s="608"/>
      <c r="I217" s="609"/>
      <c r="J217" s="609"/>
      <c r="K217" s="609"/>
      <c r="L217" s="609"/>
    </row>
    <row r="218" spans="1:12" ht="15.75" customHeight="1">
      <c r="A218" s="951">
        <f t="shared" si="3"/>
        <v>172</v>
      </c>
      <c r="B218" s="949">
        <f>+NOMINA!C214</f>
        <v>17865154</v>
      </c>
      <c r="C218" s="949" t="str">
        <f>+NOMINA!D214</f>
        <v>Serrano Ingrid Maria</v>
      </c>
      <c r="D218" s="949" t="str">
        <f>+NOMINA!O214</f>
        <v>Guia de Centro I</v>
      </c>
      <c r="E218" s="952">
        <f>+NOMINA!H214</f>
        <v>43846</v>
      </c>
      <c r="F218" s="953">
        <f>+NOMINA!BL214</f>
        <v>13.8</v>
      </c>
      <c r="G218" s="953">
        <f>+NOMINA!BM214</f>
        <v>1.73</v>
      </c>
      <c r="H218" s="608"/>
      <c r="I218" s="609"/>
      <c r="J218" s="609"/>
      <c r="K218" s="609"/>
      <c r="L218" s="609"/>
    </row>
    <row r="219" spans="1:12" ht="15.75" customHeight="1">
      <c r="A219" s="951">
        <f t="shared" si="3"/>
        <v>173</v>
      </c>
      <c r="B219" s="949">
        <f>+NOMINA!C215</f>
        <v>18036203</v>
      </c>
      <c r="C219" s="949" t="str">
        <f>+NOMINA!D215</f>
        <v>Yepes Caceres Mervis Javier</v>
      </c>
      <c r="D219" s="949" t="str">
        <f>+NOMINA!O215</f>
        <v>Guia de Centro I</v>
      </c>
      <c r="E219" s="952">
        <f>+NOMINA!H215</f>
        <v>45505</v>
      </c>
      <c r="F219" s="953">
        <f>+NOMINA!BL215</f>
        <v>13.68</v>
      </c>
      <c r="G219" s="953">
        <f>+NOMINA!BM215</f>
        <v>1.71</v>
      </c>
      <c r="H219" s="608"/>
      <c r="I219" s="609"/>
      <c r="J219" s="609"/>
      <c r="K219" s="609"/>
      <c r="L219" s="609"/>
    </row>
    <row r="220" spans="1:12" ht="15.75" customHeight="1">
      <c r="A220" s="951">
        <f t="shared" si="3"/>
        <v>174</v>
      </c>
      <c r="B220" s="949">
        <f>+NOMINA!C216</f>
        <v>18036156</v>
      </c>
      <c r="C220" s="949" t="str">
        <f>+NOMINA!D216</f>
        <v>Ruiz Vasquez Endri Ramon</v>
      </c>
      <c r="D220" s="949" t="str">
        <f>+NOMINA!O216</f>
        <v>Guia de Centro I</v>
      </c>
      <c r="E220" s="952">
        <f>+NOMINA!H216</f>
        <v>45597</v>
      </c>
      <c r="F220" s="953">
        <f>+NOMINA!BL216</f>
        <v>12.48</v>
      </c>
      <c r="G220" s="953">
        <f>+NOMINA!BM216</f>
        <v>1.56</v>
      </c>
      <c r="H220" s="608"/>
      <c r="I220" s="609"/>
      <c r="J220" s="609"/>
      <c r="K220" s="609"/>
      <c r="L220" s="609"/>
    </row>
    <row r="221" spans="1:12" ht="15.75" customHeight="1">
      <c r="A221" s="951">
        <f t="shared" si="3"/>
        <v>175</v>
      </c>
      <c r="B221" s="949">
        <f>+NOMINA!C217</f>
        <v>18095603</v>
      </c>
      <c r="C221" s="949" t="str">
        <f>+NOMINA!D217</f>
        <v>Lozada Bencomo Daniela Carolina</v>
      </c>
      <c r="D221" s="949" t="str">
        <f>+NOMINA!O217</f>
        <v>Tecnico Superior en Trabajo Social II</v>
      </c>
      <c r="E221" s="952">
        <f>+NOMINA!H217</f>
        <v>42963</v>
      </c>
      <c r="F221" s="953">
        <f>+NOMINA!BL217</f>
        <v>17.53</v>
      </c>
      <c r="G221" s="953">
        <f>+NOMINA!BM217</f>
        <v>2.19</v>
      </c>
      <c r="H221" s="608"/>
      <c r="I221" s="609"/>
      <c r="J221" s="609"/>
      <c r="K221" s="609"/>
      <c r="L221" s="609"/>
    </row>
    <row r="222" spans="1:12" ht="15.75" customHeight="1">
      <c r="A222" s="951">
        <f t="shared" si="3"/>
        <v>176</v>
      </c>
      <c r="B222" s="949">
        <f>+NOMINA!C218</f>
        <v>18096996</v>
      </c>
      <c r="C222" s="949" t="str">
        <f>+NOMINA!D218</f>
        <v>Diaz Maldonado Anny Jackeline</v>
      </c>
      <c r="D222" s="949" t="str">
        <f>+NOMINA!O218</f>
        <v>CONTABILISTA III</v>
      </c>
      <c r="E222" s="952">
        <f>+NOMINA!H218</f>
        <v>44743</v>
      </c>
      <c r="F222" s="953">
        <f>+NOMINA!BL218</f>
        <v>14.99</v>
      </c>
      <c r="G222" s="953">
        <f>+NOMINA!BM218</f>
        <v>1.87</v>
      </c>
      <c r="H222" s="608"/>
      <c r="I222" s="609"/>
      <c r="J222" s="609"/>
      <c r="K222" s="609"/>
      <c r="L222" s="609"/>
    </row>
    <row r="223" spans="1:12" ht="15.75" customHeight="1">
      <c r="A223" s="951">
        <f t="shared" si="3"/>
        <v>177</v>
      </c>
      <c r="B223" s="949">
        <f>+NOMINA!C219</f>
        <v>18097528</v>
      </c>
      <c r="C223" s="949" t="str">
        <f>+NOMINA!D219</f>
        <v>Godoy Suarez Nelson Jose</v>
      </c>
      <c r="D223" s="949" t="str">
        <f>+NOMINA!O219</f>
        <v>Guia de Centro I</v>
      </c>
      <c r="E223" s="952">
        <f>+NOMINA!H219</f>
        <v>45536</v>
      </c>
      <c r="F223" s="953">
        <f>+NOMINA!BL219</f>
        <v>13.68</v>
      </c>
      <c r="G223" s="953">
        <f>+NOMINA!BM219</f>
        <v>1.71</v>
      </c>
      <c r="H223" s="608"/>
      <c r="I223" s="609"/>
      <c r="J223" s="609"/>
      <c r="K223" s="609"/>
      <c r="L223" s="609"/>
    </row>
    <row r="224" spans="1:12" ht="15.75" customHeight="1">
      <c r="A224" s="951">
        <f t="shared" si="3"/>
        <v>178</v>
      </c>
      <c r="B224" s="949">
        <f>+NOMINA!C220</f>
        <v>18097873</v>
      </c>
      <c r="C224" s="949" t="str">
        <f>+NOMINA!D220</f>
        <v>Villarreal Prada Yoriangela Nataly</v>
      </c>
      <c r="D224" s="949" t="str">
        <f>+NOMINA!O220</f>
        <v>Guia de Centro I</v>
      </c>
      <c r="E224" s="952">
        <f>+NOMINA!H220</f>
        <v>44531</v>
      </c>
      <c r="F224" s="953">
        <f>+NOMINA!BL220</f>
        <v>14.86</v>
      </c>
      <c r="G224" s="953">
        <f>+NOMINA!BM220</f>
        <v>1.86</v>
      </c>
      <c r="H224" s="608"/>
      <c r="I224" s="609"/>
      <c r="J224" s="609"/>
      <c r="K224" s="609"/>
      <c r="L224" s="609"/>
    </row>
    <row r="225" spans="1:12" ht="15.75" customHeight="1">
      <c r="A225" s="951">
        <f t="shared" si="3"/>
        <v>179</v>
      </c>
      <c r="B225" s="949">
        <f>+NOMINA!C221</f>
        <v>18348317</v>
      </c>
      <c r="C225" s="949" t="str">
        <f>+NOMINA!D221</f>
        <v>Abreu Araujo Gilmer Francisco</v>
      </c>
      <c r="D225" s="949" t="str">
        <f>+NOMINA!O221</f>
        <v>Tutor Facilitador III</v>
      </c>
      <c r="E225" s="952">
        <f>+NOMINA!H221</f>
        <v>43160</v>
      </c>
      <c r="F225" s="953">
        <f>+NOMINA!BL221</f>
        <v>21.06</v>
      </c>
      <c r="G225" s="953">
        <f>+NOMINA!BM221</f>
        <v>2.63</v>
      </c>
      <c r="H225" s="608"/>
      <c r="I225" s="609"/>
      <c r="J225" s="609"/>
      <c r="K225" s="609"/>
      <c r="L225" s="609"/>
    </row>
    <row r="226" spans="1:12" ht="15.75" customHeight="1">
      <c r="A226" s="951">
        <f t="shared" si="3"/>
        <v>180</v>
      </c>
      <c r="B226" s="949">
        <f>+NOMINA!C222</f>
        <v>18348721</v>
      </c>
      <c r="C226" s="949" t="str">
        <f>+NOMINA!D222</f>
        <v>Villarreal Lusana Carolina</v>
      </c>
      <c r="D226" s="949" t="str">
        <f>+NOMINA!O222</f>
        <v>Tecnico Superior en Trabajo Social II</v>
      </c>
      <c r="E226" s="952">
        <f>+NOMINA!H222</f>
        <v>42948</v>
      </c>
      <c r="F226" s="953">
        <f>+NOMINA!BL222</f>
        <v>17.38</v>
      </c>
      <c r="G226" s="953">
        <f>+NOMINA!BM222</f>
        <v>2.17</v>
      </c>
      <c r="H226" s="608"/>
      <c r="I226" s="609"/>
      <c r="J226" s="609"/>
      <c r="K226" s="609"/>
      <c r="L226" s="609"/>
    </row>
    <row r="227" spans="1:12" ht="15.75" customHeight="1">
      <c r="A227" s="951">
        <f t="shared" si="3"/>
        <v>181</v>
      </c>
      <c r="B227" s="949">
        <f>+NOMINA!C223</f>
        <v>18349021</v>
      </c>
      <c r="C227" s="949" t="str">
        <f>+NOMINA!D223</f>
        <v>Godoy Linares Amenaida del Valle</v>
      </c>
      <c r="D227" s="949" t="str">
        <f>+NOMINA!O223</f>
        <v>Guia de Centro I</v>
      </c>
      <c r="E227" s="952">
        <f>+NOMINA!H223</f>
        <v>44683</v>
      </c>
      <c r="F227" s="953">
        <f>+NOMINA!BL223</f>
        <v>20.3</v>
      </c>
      <c r="G227" s="953">
        <f>+NOMINA!BM223</f>
        <v>2.54</v>
      </c>
      <c r="H227" s="608"/>
      <c r="I227" s="609"/>
      <c r="J227" s="609"/>
      <c r="K227" s="609"/>
      <c r="L227" s="609"/>
    </row>
    <row r="228" spans="1:12" ht="15.75" customHeight="1">
      <c r="A228" s="951">
        <f t="shared" si="3"/>
        <v>182</v>
      </c>
      <c r="B228" s="949">
        <f>+NOMINA!C224</f>
        <v>18349553</v>
      </c>
      <c r="C228" s="949" t="str">
        <f>+NOMINA!D224</f>
        <v>Quiroga Valdes Nayla Carolina</v>
      </c>
      <c r="D228" s="949" t="str">
        <f>+NOMINA!O224</f>
        <v>Guia de Centro I</v>
      </c>
      <c r="E228" s="952">
        <f>+NOMINA!H224</f>
        <v>45566</v>
      </c>
      <c r="F228" s="953">
        <f>+NOMINA!BL224</f>
        <v>22.56</v>
      </c>
      <c r="G228" s="953">
        <f>+NOMINA!BM224</f>
        <v>2.82</v>
      </c>
      <c r="H228" s="608"/>
      <c r="I228" s="609"/>
      <c r="J228" s="609"/>
      <c r="K228" s="609"/>
      <c r="L228" s="609"/>
    </row>
    <row r="229" spans="1:12" ht="15.75" customHeight="1">
      <c r="A229" s="951">
        <f t="shared" si="3"/>
        <v>183</v>
      </c>
      <c r="B229" s="949">
        <f>+NOMINA!C225</f>
        <v>18349653</v>
      </c>
      <c r="C229" s="949" t="str">
        <f>+NOMINA!D225</f>
        <v>Baptista Finol Violexy del Valle</v>
      </c>
      <c r="D229" s="949" t="str">
        <f>+NOMINA!O225</f>
        <v>Guia de Centro I</v>
      </c>
      <c r="E229" s="952">
        <f>+NOMINA!H225</f>
        <v>45627</v>
      </c>
      <c r="F229" s="953">
        <f>+NOMINA!BL225</f>
        <v>20.82</v>
      </c>
      <c r="G229" s="953">
        <f>+NOMINA!BM225</f>
        <v>2.6</v>
      </c>
      <c r="H229" s="608"/>
      <c r="I229" s="609"/>
      <c r="J229" s="609"/>
      <c r="K229" s="609"/>
      <c r="L229" s="609"/>
    </row>
    <row r="230" spans="1:12" ht="15.75" customHeight="1">
      <c r="A230" s="951">
        <f t="shared" si="3"/>
        <v>184</v>
      </c>
      <c r="B230" s="949">
        <f>+NOMINA!C226</f>
        <v>18350884</v>
      </c>
      <c r="C230" s="949" t="str">
        <f>+NOMINA!D226</f>
        <v>Araujo Mendoza Mirelis Carolina</v>
      </c>
      <c r="D230" s="949" t="str">
        <f>+NOMINA!O226</f>
        <v>Guia de Centro I</v>
      </c>
      <c r="E230" s="952">
        <f>+NOMINA!H226</f>
        <v>45474</v>
      </c>
      <c r="F230" s="953">
        <f>+NOMINA!BL226</f>
        <v>13.08</v>
      </c>
      <c r="G230" s="953">
        <f>+NOMINA!BM226</f>
        <v>1.64</v>
      </c>
      <c r="H230" s="608"/>
      <c r="I230" s="609"/>
      <c r="J230" s="609"/>
      <c r="K230" s="609"/>
      <c r="L230" s="609"/>
    </row>
    <row r="231" spans="1:12" ht="15.75" customHeight="1">
      <c r="A231" s="951">
        <f t="shared" si="3"/>
        <v>185</v>
      </c>
      <c r="B231" s="949">
        <f>+NOMINA!C227</f>
        <v>18378985</v>
      </c>
      <c r="C231" s="949" t="str">
        <f>+NOMINA!D227</f>
        <v>Quintero Paradas Ilse Maria</v>
      </c>
      <c r="D231" s="949" t="str">
        <f>+NOMINA!O227</f>
        <v>Analista de Procesamiento de Datos II</v>
      </c>
      <c r="E231" s="952">
        <f>+NOMINA!H227</f>
        <v>43147</v>
      </c>
      <c r="F231" s="953">
        <f>+NOMINA!BL227</f>
        <v>20.25</v>
      </c>
      <c r="G231" s="953">
        <f>+NOMINA!BM227</f>
        <v>2.5299999999999998</v>
      </c>
      <c r="H231" s="608"/>
      <c r="I231" s="609"/>
      <c r="J231" s="609"/>
      <c r="K231" s="609"/>
      <c r="L231" s="609"/>
    </row>
    <row r="232" spans="1:12" ht="15.75" customHeight="1">
      <c r="A232" s="951">
        <f t="shared" si="3"/>
        <v>186</v>
      </c>
      <c r="B232" s="949">
        <f>+NOMINA!C228</f>
        <v>18456345</v>
      </c>
      <c r="C232" s="949" t="str">
        <f>+NOMINA!D228</f>
        <v>Peñaloza Olmos Eduardo Jose</v>
      </c>
      <c r="D232" s="949" t="str">
        <f>+NOMINA!O228</f>
        <v>ESPECIALISTA EN INFORMATICA I</v>
      </c>
      <c r="E232" s="952">
        <f>+NOMINA!H228</f>
        <v>44774</v>
      </c>
      <c r="F232" s="953">
        <f>+NOMINA!BL228</f>
        <v>17.579999999999998</v>
      </c>
      <c r="G232" s="953">
        <f>+NOMINA!BM228</f>
        <v>2.2000000000000002</v>
      </c>
      <c r="H232" s="608"/>
      <c r="I232" s="609"/>
      <c r="J232" s="609"/>
      <c r="K232" s="609"/>
      <c r="L232" s="609"/>
    </row>
    <row r="233" spans="1:12" ht="15.75" customHeight="1">
      <c r="A233" s="951">
        <f t="shared" si="3"/>
        <v>187</v>
      </c>
      <c r="B233" s="949">
        <f>+NOMINA!C229</f>
        <v>18457406</v>
      </c>
      <c r="C233" s="949" t="str">
        <f>+NOMINA!D229</f>
        <v>Rivero Zambrano Herluis Jose</v>
      </c>
      <c r="D233" s="949" t="str">
        <f>+NOMINA!O229</f>
        <v>Ingeniero Agronomo IV</v>
      </c>
      <c r="E233" s="952">
        <f>+NOMINA!H229</f>
        <v>41548</v>
      </c>
      <c r="F233" s="953">
        <f>+NOMINA!BL229</f>
        <v>0</v>
      </c>
      <c r="G233" s="953">
        <f>+NOMINA!BM229</f>
        <v>0</v>
      </c>
      <c r="H233" s="608"/>
      <c r="I233" s="609"/>
      <c r="J233" s="609"/>
      <c r="K233" s="609"/>
      <c r="L233" s="609"/>
    </row>
    <row r="234" spans="1:12" ht="15.75" customHeight="1">
      <c r="A234" s="951">
        <f t="shared" si="3"/>
        <v>188</v>
      </c>
      <c r="B234" s="949">
        <f>+NOMINA!C230</f>
        <v>18458012</v>
      </c>
      <c r="C234" s="949" t="str">
        <f>+NOMINA!D230</f>
        <v>Briceño Uzcategui Maria Esperanza</v>
      </c>
      <c r="D234" s="949" t="str">
        <f>+NOMINA!O230</f>
        <v>Asistente Administrativo III</v>
      </c>
      <c r="E234" s="952">
        <f>+NOMINA!H230</f>
        <v>44636</v>
      </c>
      <c r="F234" s="953">
        <f>+NOMINA!BL230</f>
        <v>15.54</v>
      </c>
      <c r="G234" s="953">
        <f>+NOMINA!BM230</f>
        <v>1.94</v>
      </c>
      <c r="H234" s="608"/>
      <c r="I234" s="609"/>
      <c r="J234" s="609"/>
      <c r="K234" s="609"/>
      <c r="L234" s="609"/>
    </row>
    <row r="235" spans="1:12" ht="15.75" customHeight="1">
      <c r="A235" s="951">
        <f t="shared" si="3"/>
        <v>189</v>
      </c>
      <c r="B235" s="949">
        <f>+NOMINA!C231</f>
        <v>18670458</v>
      </c>
      <c r="C235" s="949" t="str">
        <f>+NOMINA!D231</f>
        <v>Gervasi de Valera Solanye Dairilyn</v>
      </c>
      <c r="D235" s="949" t="str">
        <f>+NOMINA!O231</f>
        <v>Entrenador Deportivo IV</v>
      </c>
      <c r="E235" s="952">
        <f>+NOMINA!H231</f>
        <v>42741</v>
      </c>
      <c r="F235" s="953">
        <f>+NOMINA!BL231</f>
        <v>21.14</v>
      </c>
      <c r="G235" s="953">
        <f>+NOMINA!BM231</f>
        <v>2.64</v>
      </c>
      <c r="H235" s="608"/>
      <c r="I235" s="609"/>
      <c r="J235" s="609"/>
      <c r="K235" s="609"/>
      <c r="L235" s="609"/>
    </row>
    <row r="236" spans="1:12" ht="15.75" customHeight="1">
      <c r="A236" s="951">
        <f t="shared" si="3"/>
        <v>190</v>
      </c>
      <c r="B236" s="949">
        <f>+NOMINA!C232</f>
        <v>18733682</v>
      </c>
      <c r="C236" s="949" t="str">
        <f>+NOMINA!D232</f>
        <v>Ocanto Ramirez Maria Alejandra</v>
      </c>
      <c r="D236" s="949" t="str">
        <f>+NOMINA!O232</f>
        <v>Guia de Centro I</v>
      </c>
      <c r="E236" s="952">
        <f>+NOMINA!H232</f>
        <v>45474</v>
      </c>
      <c r="F236" s="953">
        <f>+NOMINA!BL232</f>
        <v>13.08</v>
      </c>
      <c r="G236" s="953">
        <f>+NOMINA!BM232</f>
        <v>1.64</v>
      </c>
      <c r="H236" s="608"/>
      <c r="I236" s="609"/>
      <c r="J236" s="609"/>
      <c r="K236" s="609"/>
      <c r="L236" s="609"/>
    </row>
    <row r="237" spans="1:12" ht="15.75" customHeight="1">
      <c r="A237" s="951">
        <f t="shared" si="3"/>
        <v>191</v>
      </c>
      <c r="B237" s="949">
        <f>+NOMINA!C233</f>
        <v>18801597</v>
      </c>
      <c r="C237" s="949" t="str">
        <f>+NOMINA!D233</f>
        <v>Rodriguez Salas Mary Carmen</v>
      </c>
      <c r="D237" s="949" t="str">
        <f>+NOMINA!O233</f>
        <v>Tutor Facilitador III</v>
      </c>
      <c r="E237" s="952">
        <f>+NOMINA!H233</f>
        <v>43359</v>
      </c>
      <c r="F237" s="953">
        <f>+NOMINA!BL233</f>
        <v>20.83</v>
      </c>
      <c r="G237" s="953">
        <f>+NOMINA!BM233</f>
        <v>2.6</v>
      </c>
      <c r="H237" s="608"/>
      <c r="I237" s="609"/>
      <c r="J237" s="609"/>
      <c r="K237" s="609"/>
      <c r="L237" s="609"/>
    </row>
    <row r="238" spans="1:12" ht="15.75" customHeight="1">
      <c r="A238" s="951">
        <f t="shared" si="3"/>
        <v>192</v>
      </c>
      <c r="B238" s="949">
        <f>+NOMINA!C234</f>
        <v>18802405</v>
      </c>
      <c r="C238" s="949" t="str">
        <f>+NOMINA!D234</f>
        <v>Ramirez Rodriguez Rudys Arelys</v>
      </c>
      <c r="D238" s="949" t="str">
        <f>+NOMINA!O234</f>
        <v>Tutor Facilitador I</v>
      </c>
      <c r="E238" s="952">
        <f>+NOMINA!H234</f>
        <v>44332</v>
      </c>
      <c r="F238" s="953">
        <f>+NOMINA!BL234</f>
        <v>17.559999999999999</v>
      </c>
      <c r="G238" s="953">
        <f>+NOMINA!BM234</f>
        <v>2.2000000000000002</v>
      </c>
      <c r="H238" s="608"/>
      <c r="I238" s="609"/>
      <c r="J238" s="609"/>
      <c r="K238" s="609"/>
      <c r="L238" s="609"/>
    </row>
    <row r="239" spans="1:12" ht="15.75" customHeight="1">
      <c r="A239" s="951">
        <f t="shared" si="3"/>
        <v>193</v>
      </c>
      <c r="B239" s="949">
        <f>+NOMINA!C235</f>
        <v>18984406</v>
      </c>
      <c r="C239" s="949" t="str">
        <f>+NOMINA!D235</f>
        <v>Torres Santiago Eduardo David</v>
      </c>
      <c r="D239" s="949" t="str">
        <f>+NOMINA!O235</f>
        <v>Guia de Centro I</v>
      </c>
      <c r="E239" s="952">
        <f>+NOMINA!H235</f>
        <v>45200</v>
      </c>
      <c r="F239" s="953">
        <f>+NOMINA!BL235</f>
        <v>12.54</v>
      </c>
      <c r="G239" s="953">
        <f>+NOMINA!BM235</f>
        <v>1.57</v>
      </c>
      <c r="H239" s="608"/>
      <c r="I239" s="609"/>
      <c r="J239" s="609"/>
      <c r="K239" s="609"/>
      <c r="L239" s="609"/>
    </row>
    <row r="240" spans="1:12" ht="15.75" customHeight="1">
      <c r="A240" s="951">
        <f t="shared" si="3"/>
        <v>194</v>
      </c>
      <c r="B240" s="949">
        <f>+NOMINA!C236</f>
        <v>19101647</v>
      </c>
      <c r="C240" s="949" t="str">
        <f>+NOMINA!D236</f>
        <v>Uzcategui Urbina Madeley Tatiana</v>
      </c>
      <c r="D240" s="949" t="str">
        <f>+NOMINA!O236</f>
        <v>Guia de Centro I</v>
      </c>
      <c r="E240" s="952">
        <f>+NOMINA!H236</f>
        <v>43845</v>
      </c>
      <c r="F240" s="953">
        <f>+NOMINA!BL236</f>
        <v>15</v>
      </c>
      <c r="G240" s="953">
        <f>+NOMINA!BM236</f>
        <v>1.88</v>
      </c>
      <c r="H240" s="608"/>
      <c r="I240" s="609"/>
      <c r="J240" s="609"/>
      <c r="K240" s="609"/>
      <c r="L240" s="609"/>
    </row>
    <row r="241" spans="1:12" ht="15.75" customHeight="1">
      <c r="A241" s="951">
        <f t="shared" ref="A241:A304" si="4">+A240+1</f>
        <v>195</v>
      </c>
      <c r="B241" s="949">
        <f>+NOMINA!C237</f>
        <v>19101773</v>
      </c>
      <c r="C241" s="949" t="str">
        <f>+NOMINA!D237</f>
        <v>Gil Molina Maite Karina</v>
      </c>
      <c r="D241" s="949" t="str">
        <f>+NOMINA!O237</f>
        <v>Guia de Centro I</v>
      </c>
      <c r="E241" s="952">
        <f>+NOMINA!H237</f>
        <v>45200</v>
      </c>
      <c r="F241" s="953">
        <f>+NOMINA!BL237</f>
        <v>19.38</v>
      </c>
      <c r="G241" s="953">
        <f>+NOMINA!BM237</f>
        <v>2.42</v>
      </c>
      <c r="H241" s="608"/>
      <c r="I241" s="609"/>
      <c r="J241" s="609"/>
      <c r="K241" s="609"/>
      <c r="L241" s="609"/>
    </row>
    <row r="242" spans="1:12" ht="15.75" customHeight="1">
      <c r="A242" s="951">
        <f t="shared" si="4"/>
        <v>196</v>
      </c>
      <c r="B242" s="949">
        <f>+NOMINA!C238</f>
        <v>19103118</v>
      </c>
      <c r="C242" s="949" t="str">
        <f>+NOMINA!D238</f>
        <v>Plaza Quintero Orelis Maria</v>
      </c>
      <c r="D242" s="949" t="str">
        <f>+NOMINA!O238</f>
        <v>Tecnico Superior en Trabajo Social II</v>
      </c>
      <c r="E242" s="952">
        <f>+NOMINA!H238</f>
        <v>43724</v>
      </c>
      <c r="F242" s="953">
        <f>+NOMINA!BL238</f>
        <v>17.059999999999999</v>
      </c>
      <c r="G242" s="953">
        <f>+NOMINA!BM238</f>
        <v>2.13</v>
      </c>
      <c r="H242" s="608"/>
      <c r="I242" s="609"/>
      <c r="J242" s="609"/>
      <c r="K242" s="609"/>
      <c r="L242" s="609"/>
    </row>
    <row r="243" spans="1:12" ht="15.75" customHeight="1">
      <c r="A243" s="951">
        <f t="shared" si="4"/>
        <v>197</v>
      </c>
      <c r="B243" s="949">
        <f>+NOMINA!C239</f>
        <v>19103604</v>
      </c>
      <c r="C243" s="949" t="str">
        <f>+NOMINA!D239</f>
        <v>Hernandez Graterol Gleidys Coromoto</v>
      </c>
      <c r="D243" s="949" t="str">
        <f>+NOMINA!O239</f>
        <v>Asistente Administrativo III</v>
      </c>
      <c r="E243" s="952">
        <f>+NOMINA!H239</f>
        <v>44600</v>
      </c>
      <c r="F243" s="953">
        <f>+NOMINA!BL239</f>
        <v>15.54</v>
      </c>
      <c r="G243" s="953">
        <f>+NOMINA!BM239</f>
        <v>1.94</v>
      </c>
      <c r="H243" s="608"/>
      <c r="I243" s="609"/>
      <c r="J243" s="609"/>
      <c r="K243" s="609"/>
      <c r="L243" s="609"/>
    </row>
    <row r="244" spans="1:12" ht="15.75" customHeight="1">
      <c r="A244" s="951">
        <f t="shared" si="4"/>
        <v>198</v>
      </c>
      <c r="B244" s="949">
        <f>+NOMINA!C240</f>
        <v>19103823</v>
      </c>
      <c r="C244" s="949" t="str">
        <f>+NOMINA!D240</f>
        <v>Valero Sanchez Zulay del Valle</v>
      </c>
      <c r="D244" s="949" t="str">
        <f>+NOMINA!O240</f>
        <v>Tutor Facilitador III</v>
      </c>
      <c r="E244" s="952">
        <f>+NOMINA!H240</f>
        <v>42795</v>
      </c>
      <c r="F244" s="953">
        <f>+NOMINA!BL240</f>
        <v>23.59</v>
      </c>
      <c r="G244" s="953">
        <f>+NOMINA!BM240</f>
        <v>2.95</v>
      </c>
      <c r="H244" s="608"/>
      <c r="I244" s="609"/>
      <c r="J244" s="609"/>
      <c r="K244" s="609"/>
      <c r="L244" s="609"/>
    </row>
    <row r="245" spans="1:12" ht="15.75" customHeight="1">
      <c r="A245" s="951">
        <f t="shared" si="4"/>
        <v>199</v>
      </c>
      <c r="B245" s="949">
        <f>+NOMINA!C241</f>
        <v>19286780</v>
      </c>
      <c r="C245" s="949" t="str">
        <f>+NOMINA!D241</f>
        <v>Mejia Rosales Katiusca Josefina</v>
      </c>
      <c r="D245" s="949" t="str">
        <f>+NOMINA!O241</f>
        <v>Asistente Administrativo III</v>
      </c>
      <c r="E245" s="952">
        <f>+NOMINA!H241</f>
        <v>42492</v>
      </c>
      <c r="F245" s="953">
        <f>+NOMINA!BL241</f>
        <v>17.5</v>
      </c>
      <c r="G245" s="953">
        <f>+NOMINA!BM241</f>
        <v>2.19</v>
      </c>
      <c r="H245" s="608"/>
      <c r="I245" s="609"/>
      <c r="J245" s="609"/>
      <c r="K245" s="609"/>
      <c r="L245" s="609"/>
    </row>
    <row r="246" spans="1:12" ht="15.75" customHeight="1">
      <c r="A246" s="951">
        <f t="shared" si="4"/>
        <v>200</v>
      </c>
      <c r="B246" s="949">
        <f>+NOMINA!C242</f>
        <v>19287100</v>
      </c>
      <c r="C246" s="949" t="str">
        <f>+NOMINA!D242</f>
        <v>Leal Mejia Fraineli Yoset</v>
      </c>
      <c r="D246" s="949" t="str">
        <f>+NOMINA!O242</f>
        <v>Tecnico Superior en Trabajo Social II</v>
      </c>
      <c r="E246" s="952">
        <f>+NOMINA!H242</f>
        <v>44713</v>
      </c>
      <c r="F246" s="953">
        <f>+NOMINA!BL242</f>
        <v>15.54</v>
      </c>
      <c r="G246" s="953">
        <f>+NOMINA!BM242</f>
        <v>1.94</v>
      </c>
      <c r="H246" s="608"/>
      <c r="I246" s="609"/>
      <c r="J246" s="609"/>
      <c r="K246" s="609"/>
      <c r="L246" s="609"/>
    </row>
    <row r="247" spans="1:12" ht="15.75" customHeight="1">
      <c r="A247" s="951">
        <f t="shared" si="4"/>
        <v>201</v>
      </c>
      <c r="B247" s="949">
        <f>+NOMINA!C243</f>
        <v>19372791</v>
      </c>
      <c r="C247" s="949" t="str">
        <f>+NOMINA!D243</f>
        <v>Reveron Araujo Andreina Oscarelis</v>
      </c>
      <c r="D247" s="949" t="str">
        <f>+NOMINA!O243</f>
        <v>Guia de Centro I</v>
      </c>
      <c r="E247" s="952">
        <f>+NOMINA!H243</f>
        <v>45627</v>
      </c>
      <c r="F247" s="953">
        <f>+NOMINA!BL243</f>
        <v>20.07</v>
      </c>
      <c r="G247" s="953">
        <f>+NOMINA!BM243</f>
        <v>2.5099999999999998</v>
      </c>
      <c r="H247" s="608"/>
      <c r="I247" s="609"/>
      <c r="J247" s="609"/>
      <c r="K247" s="609"/>
      <c r="L247" s="609"/>
    </row>
    <row r="248" spans="1:12" ht="15.75" customHeight="1">
      <c r="A248" s="951">
        <f t="shared" si="4"/>
        <v>202</v>
      </c>
      <c r="B248" s="949">
        <f>+NOMINA!C244</f>
        <v>19610534</v>
      </c>
      <c r="C248" s="949" t="str">
        <f>+NOMINA!D244</f>
        <v>Santos Saavedra Greosmar Johan</v>
      </c>
      <c r="D248" s="949" t="str">
        <f>+NOMINA!O244</f>
        <v>Guia de Centro I</v>
      </c>
      <c r="E248" s="952">
        <f>+NOMINA!H244</f>
        <v>44713</v>
      </c>
      <c r="F248" s="953">
        <f>+NOMINA!BL244</f>
        <v>19.489999999999998</v>
      </c>
      <c r="G248" s="953">
        <f>+NOMINA!BM244</f>
        <v>2.44</v>
      </c>
      <c r="H248" s="608"/>
      <c r="I248" s="609"/>
      <c r="J248" s="609"/>
      <c r="K248" s="609"/>
      <c r="L248" s="609"/>
    </row>
    <row r="249" spans="1:12" ht="15.75" customHeight="1">
      <c r="A249" s="951">
        <f t="shared" si="4"/>
        <v>203</v>
      </c>
      <c r="B249" s="949">
        <f>+NOMINA!C245</f>
        <v>19610565</v>
      </c>
      <c r="C249" s="949" t="str">
        <f>+NOMINA!D245</f>
        <v>Uzcategui Uzcategui Saray Cristina</v>
      </c>
      <c r="D249" s="949" t="str">
        <f>+NOMINA!O245</f>
        <v>Guia de Centro I</v>
      </c>
      <c r="E249" s="952">
        <f>+NOMINA!H245</f>
        <v>44713</v>
      </c>
      <c r="F249" s="953">
        <f>+NOMINA!BL245</f>
        <v>21.05</v>
      </c>
      <c r="G249" s="953">
        <f>+NOMINA!BM245</f>
        <v>2.63</v>
      </c>
      <c r="H249" s="608"/>
      <c r="I249" s="609"/>
      <c r="J249" s="609"/>
      <c r="K249" s="609"/>
      <c r="L249" s="609"/>
    </row>
    <row r="250" spans="1:12" ht="15.75" customHeight="1">
      <c r="A250" s="951">
        <f t="shared" si="4"/>
        <v>204</v>
      </c>
      <c r="B250" s="949">
        <f>+NOMINA!C246</f>
        <v>19643405</v>
      </c>
      <c r="C250" s="949" t="str">
        <f>+NOMINA!D246</f>
        <v>Valero Mejia Aleidy Rosana</v>
      </c>
      <c r="D250" s="949" t="str">
        <f>+NOMINA!O246</f>
        <v>Guia de Centro II</v>
      </c>
      <c r="E250" s="952">
        <f>+NOMINA!H246</f>
        <v>43221</v>
      </c>
      <c r="F250" s="953">
        <f>+NOMINA!BL246</f>
        <v>21.73</v>
      </c>
      <c r="G250" s="953">
        <f>+NOMINA!BM246</f>
        <v>2.72</v>
      </c>
      <c r="H250" s="608"/>
      <c r="I250" s="609"/>
      <c r="J250" s="609"/>
      <c r="K250" s="609"/>
      <c r="L250" s="609"/>
    </row>
    <row r="251" spans="1:12" ht="15.75" customHeight="1">
      <c r="A251" s="951">
        <f t="shared" si="4"/>
        <v>205</v>
      </c>
      <c r="B251" s="949">
        <f>+NOMINA!C247</f>
        <v>19643806</v>
      </c>
      <c r="C251" s="949" t="str">
        <f>+NOMINA!D247</f>
        <v>Vazquez Hernandez Doris Mercedes</v>
      </c>
      <c r="D251" s="949" t="str">
        <f>+NOMINA!O247</f>
        <v>Asistente Administrativo III</v>
      </c>
      <c r="E251" s="952">
        <f>+NOMINA!H247</f>
        <v>45505</v>
      </c>
      <c r="F251" s="953">
        <f>+NOMINA!BL247</f>
        <v>16.02</v>
      </c>
      <c r="G251" s="953">
        <f>+NOMINA!BM247</f>
        <v>2</v>
      </c>
      <c r="H251" s="608"/>
      <c r="I251" s="609"/>
      <c r="J251" s="609"/>
      <c r="K251" s="609"/>
      <c r="L251" s="609"/>
    </row>
    <row r="252" spans="1:12" ht="15.75" customHeight="1">
      <c r="A252" s="951">
        <f t="shared" si="4"/>
        <v>206</v>
      </c>
      <c r="B252" s="949">
        <f>+NOMINA!C248</f>
        <v>19644743</v>
      </c>
      <c r="C252" s="949" t="str">
        <f>+NOMINA!D248</f>
        <v>Villa Daniela Carolina</v>
      </c>
      <c r="D252" s="949" t="str">
        <f>+NOMINA!O248</f>
        <v>Analista de Procesamiento de Datos II</v>
      </c>
      <c r="E252" s="952">
        <f>+NOMINA!H248</f>
        <v>43967</v>
      </c>
      <c r="F252" s="953">
        <f>+NOMINA!BL248</f>
        <v>20.45</v>
      </c>
      <c r="G252" s="953">
        <f>+NOMINA!BM248</f>
        <v>2.56</v>
      </c>
      <c r="H252" s="608"/>
      <c r="I252" s="609"/>
      <c r="J252" s="609"/>
      <c r="K252" s="609"/>
      <c r="L252" s="609"/>
    </row>
    <row r="253" spans="1:12" ht="15.75" customHeight="1">
      <c r="A253" s="951">
        <f t="shared" si="4"/>
        <v>207</v>
      </c>
      <c r="B253" s="949">
        <f>+NOMINA!C249</f>
        <v>19644756</v>
      </c>
      <c r="C253" s="949" t="str">
        <f>+NOMINA!D249</f>
        <v>Mejia Aldana Norbelys Carolina</v>
      </c>
      <c r="D253" s="949" t="str">
        <f>+NOMINA!O249</f>
        <v>Economa II</v>
      </c>
      <c r="E253" s="952">
        <f>+NOMINA!H249</f>
        <v>44470</v>
      </c>
      <c r="F253" s="953">
        <f>+NOMINA!BL249</f>
        <v>11.43</v>
      </c>
      <c r="G253" s="953">
        <f>+NOMINA!BM249</f>
        <v>1.43</v>
      </c>
      <c r="H253" s="608"/>
      <c r="I253" s="609"/>
      <c r="J253" s="609"/>
      <c r="K253" s="609"/>
      <c r="L253" s="609"/>
    </row>
    <row r="254" spans="1:12" ht="15.75" customHeight="1">
      <c r="A254" s="951">
        <f t="shared" si="4"/>
        <v>208</v>
      </c>
      <c r="B254" s="949">
        <f>+NOMINA!C250</f>
        <v>19794217</v>
      </c>
      <c r="C254" s="949" t="str">
        <f>+NOMINA!D250</f>
        <v>Suarez Leal Betzabeth Daimar</v>
      </c>
      <c r="D254" s="949" t="str">
        <f>+NOMINA!O250</f>
        <v>Guia de Centro I</v>
      </c>
      <c r="E254" s="952">
        <f>+NOMINA!H250</f>
        <v>44683</v>
      </c>
      <c r="F254" s="953">
        <f>+NOMINA!BL250</f>
        <v>19.489999999999998</v>
      </c>
      <c r="G254" s="953">
        <f>+NOMINA!BM250</f>
        <v>2.44</v>
      </c>
      <c r="H254" s="608"/>
      <c r="I254" s="609"/>
      <c r="J254" s="609"/>
      <c r="K254" s="609"/>
      <c r="L254" s="609"/>
    </row>
    <row r="255" spans="1:12" ht="15.75" customHeight="1">
      <c r="A255" s="951">
        <f t="shared" si="4"/>
        <v>209</v>
      </c>
      <c r="B255" s="949">
        <f>+NOMINA!C251</f>
        <v>20038162</v>
      </c>
      <c r="C255" s="949" t="str">
        <f>+NOMINA!D251</f>
        <v>Jerez Rangel Gleidy Andreina</v>
      </c>
      <c r="D255" s="949" t="str">
        <f>+NOMINA!O251</f>
        <v>Guia de Centro I</v>
      </c>
      <c r="E255" s="952">
        <f>+NOMINA!H251</f>
        <v>45597</v>
      </c>
      <c r="F255" s="953">
        <f>+NOMINA!BL251</f>
        <v>20.82</v>
      </c>
      <c r="G255" s="953">
        <f>+NOMINA!BM251</f>
        <v>2.6</v>
      </c>
      <c r="H255" s="608"/>
      <c r="I255" s="609"/>
      <c r="J255" s="609"/>
      <c r="K255" s="609"/>
      <c r="L255" s="609"/>
    </row>
    <row r="256" spans="1:12" ht="15.75" customHeight="1">
      <c r="A256" s="951">
        <f t="shared" si="4"/>
        <v>210</v>
      </c>
      <c r="B256" s="949">
        <f>+NOMINA!C252</f>
        <v>20655363</v>
      </c>
      <c r="C256" s="949" t="str">
        <f>+NOMINA!D252</f>
        <v>Sarache Ramirez Maryelis Stefani</v>
      </c>
      <c r="D256" s="949" t="str">
        <f>+NOMINA!O252</f>
        <v>Guia de Centro I</v>
      </c>
      <c r="E256" s="952">
        <f>+NOMINA!H252</f>
        <v>45323</v>
      </c>
      <c r="F256" s="953">
        <f>+NOMINA!BL252</f>
        <v>20.82</v>
      </c>
      <c r="G256" s="953">
        <f>+NOMINA!BM252</f>
        <v>2.6</v>
      </c>
      <c r="H256" s="608"/>
      <c r="I256" s="609"/>
      <c r="J256" s="609"/>
      <c r="K256" s="609"/>
      <c r="L256" s="609"/>
    </row>
    <row r="257" spans="1:12" ht="15.75" customHeight="1">
      <c r="A257" s="951">
        <f t="shared" si="4"/>
        <v>211</v>
      </c>
      <c r="B257" s="949">
        <f>+NOMINA!C253</f>
        <v>20401711</v>
      </c>
      <c r="C257" s="949" t="str">
        <f>+NOMINA!D253</f>
        <v>Mendez Giro Maryely Roxana</v>
      </c>
      <c r="D257" s="949" t="str">
        <f>+NOMINA!O253</f>
        <v>Guia de Centro II</v>
      </c>
      <c r="E257" s="952">
        <f>+NOMINA!H253</f>
        <v>44363</v>
      </c>
      <c r="F257" s="953">
        <f>+NOMINA!BL253</f>
        <v>22.17</v>
      </c>
      <c r="G257" s="953">
        <f>+NOMINA!BM253</f>
        <v>2.77</v>
      </c>
      <c r="H257" s="608"/>
      <c r="I257" s="609"/>
      <c r="J257" s="609"/>
      <c r="K257" s="609"/>
      <c r="L257" s="609"/>
    </row>
    <row r="258" spans="1:12" ht="15.75" customHeight="1">
      <c r="A258" s="951">
        <f t="shared" si="4"/>
        <v>212</v>
      </c>
      <c r="B258" s="949">
        <f>+NOMINA!C254</f>
        <v>20428039</v>
      </c>
      <c r="C258" s="949" t="str">
        <f>+NOMINA!D254</f>
        <v>Manzanilla Juan Roberto Antonio</v>
      </c>
      <c r="D258" s="949" t="str">
        <f>+NOMINA!O254</f>
        <v>Guia de Centro I</v>
      </c>
      <c r="E258" s="952">
        <f>+NOMINA!H254</f>
        <v>45566</v>
      </c>
      <c r="F258" s="953">
        <f>+NOMINA!BL254</f>
        <v>13.68</v>
      </c>
      <c r="G258" s="953">
        <f>+NOMINA!BM254</f>
        <v>1.71</v>
      </c>
      <c r="H258" s="608"/>
      <c r="I258" s="609"/>
      <c r="J258" s="609"/>
      <c r="K258" s="609"/>
      <c r="L258" s="609"/>
    </row>
    <row r="259" spans="1:12" ht="15.75" customHeight="1">
      <c r="A259" s="951">
        <f t="shared" si="4"/>
        <v>213</v>
      </c>
      <c r="B259" s="949">
        <f>+NOMINA!C255</f>
        <v>20430884</v>
      </c>
      <c r="C259" s="949" t="str">
        <f>+NOMINA!D255</f>
        <v>Ruiz Olmos Diana Carolina</v>
      </c>
      <c r="D259" s="949" t="str">
        <f>+NOMINA!O255</f>
        <v>Guia de Centro I</v>
      </c>
      <c r="E259" s="952">
        <f>+NOMINA!H255</f>
        <v>45292</v>
      </c>
      <c r="F259" s="953">
        <f>+NOMINA!BL255</f>
        <v>18.66</v>
      </c>
      <c r="G259" s="953">
        <f>+NOMINA!BM255</f>
        <v>2.33</v>
      </c>
      <c r="H259" s="608"/>
      <c r="I259" s="609"/>
      <c r="J259" s="609"/>
      <c r="K259" s="609"/>
      <c r="L259" s="609"/>
    </row>
    <row r="260" spans="1:12" ht="15.75" customHeight="1">
      <c r="A260" s="951">
        <f t="shared" si="4"/>
        <v>214</v>
      </c>
      <c r="B260" s="949">
        <f>+NOMINA!C256</f>
        <v>20603227</v>
      </c>
      <c r="C260" s="949" t="str">
        <f>+NOMINA!D256</f>
        <v>Morillo Garces Yeniree Lourdes</v>
      </c>
      <c r="D260" s="949" t="str">
        <f>+NOMINA!O256</f>
        <v>Tecnico Superior en Trabajo Social II</v>
      </c>
      <c r="E260" s="952">
        <f>+NOMINA!H256</f>
        <v>44470</v>
      </c>
      <c r="F260" s="953">
        <f>+NOMINA!BL256</f>
        <v>16.86</v>
      </c>
      <c r="G260" s="953">
        <f>+NOMINA!BM256</f>
        <v>2.11</v>
      </c>
      <c r="H260" s="608"/>
      <c r="I260" s="609"/>
      <c r="J260" s="609"/>
      <c r="K260" s="609"/>
      <c r="L260" s="609"/>
    </row>
    <row r="261" spans="1:12" ht="15.75" customHeight="1">
      <c r="A261" s="951">
        <f t="shared" si="4"/>
        <v>215</v>
      </c>
      <c r="B261" s="949">
        <f>+NOMINA!C257</f>
        <v>20707490</v>
      </c>
      <c r="C261" s="949" t="str">
        <f>+NOMINA!D257</f>
        <v>Saavedra Valera Keila Andreina</v>
      </c>
      <c r="D261" s="949" t="str">
        <f>+NOMINA!O257</f>
        <v>Tutor Facilitador III</v>
      </c>
      <c r="E261" s="952">
        <f>+NOMINA!H257</f>
        <v>42751</v>
      </c>
      <c r="F261" s="953">
        <f>+NOMINA!BL257</f>
        <v>16.91</v>
      </c>
      <c r="G261" s="953">
        <f>+NOMINA!BM257</f>
        <v>2.11</v>
      </c>
      <c r="H261" s="608"/>
      <c r="I261" s="609"/>
      <c r="J261" s="609"/>
      <c r="K261" s="609"/>
      <c r="L261" s="609"/>
    </row>
    <row r="262" spans="1:12" ht="15.75" customHeight="1">
      <c r="A262" s="951">
        <f t="shared" si="4"/>
        <v>216</v>
      </c>
      <c r="B262" s="949">
        <f>+NOMINA!C258</f>
        <v>20789286</v>
      </c>
      <c r="C262" s="949" t="str">
        <f>+NOMINA!D258</f>
        <v xml:space="preserve">Viloria Jessica del Carmen </v>
      </c>
      <c r="D262" s="949" t="str">
        <f>+NOMINA!O258</f>
        <v>Asistente Administrativo IV</v>
      </c>
      <c r="E262" s="952">
        <f>+NOMINA!H258</f>
        <v>44713</v>
      </c>
      <c r="F262" s="953">
        <f>+NOMINA!BL258</f>
        <v>18.16</v>
      </c>
      <c r="G262" s="953">
        <f>+NOMINA!BM258</f>
        <v>2.27</v>
      </c>
      <c r="H262" s="608"/>
      <c r="I262" s="609"/>
      <c r="J262" s="609"/>
      <c r="K262" s="609"/>
      <c r="L262" s="609"/>
    </row>
    <row r="263" spans="1:12" ht="15.75" customHeight="1">
      <c r="A263" s="951">
        <f t="shared" si="4"/>
        <v>217</v>
      </c>
      <c r="B263" s="949">
        <f>+NOMINA!C259</f>
        <v>20790947</v>
      </c>
      <c r="C263" s="949" t="str">
        <f>+NOMINA!D259</f>
        <v>Urbina Cuellar Tannessy Lenery</v>
      </c>
      <c r="D263" s="949" t="str">
        <f>+NOMINA!O259</f>
        <v>Asistente Administrativo IV</v>
      </c>
      <c r="E263" s="952">
        <f>+NOMINA!H259</f>
        <v>43967</v>
      </c>
      <c r="F263" s="953">
        <f>+NOMINA!BL259</f>
        <v>0</v>
      </c>
      <c r="G263" s="953">
        <f>+NOMINA!BM259</f>
        <v>0</v>
      </c>
      <c r="H263" s="608"/>
      <c r="I263" s="609"/>
      <c r="J263" s="609"/>
      <c r="K263" s="609"/>
      <c r="L263" s="609"/>
    </row>
    <row r="264" spans="1:12" ht="15.75" customHeight="1">
      <c r="A264" s="951">
        <f t="shared" si="4"/>
        <v>218</v>
      </c>
      <c r="B264" s="949">
        <f>+NOMINA!C260</f>
        <v>21061126</v>
      </c>
      <c r="C264" s="949" t="str">
        <f>+NOMINA!D260</f>
        <v>Olivar Nava Robinson de Jesus</v>
      </c>
      <c r="D264" s="949" t="str">
        <f>+NOMINA!O260</f>
        <v>Guia de Centro I</v>
      </c>
      <c r="E264" s="952">
        <f>+NOMINA!H260</f>
        <v>45047</v>
      </c>
      <c r="F264" s="953">
        <f>+NOMINA!BL260</f>
        <v>19.440000000000001</v>
      </c>
      <c r="G264" s="953">
        <f>+NOMINA!BM260</f>
        <v>2.4300000000000002</v>
      </c>
      <c r="H264" s="608"/>
      <c r="I264" s="609"/>
      <c r="J264" s="609"/>
      <c r="K264" s="609"/>
      <c r="L264" s="609"/>
    </row>
    <row r="265" spans="1:12" ht="15.75" customHeight="1">
      <c r="A265" s="951">
        <f t="shared" si="4"/>
        <v>219</v>
      </c>
      <c r="B265" s="949">
        <f>+NOMINA!C261</f>
        <v>21061789</v>
      </c>
      <c r="C265" s="949" t="str">
        <f>+NOMINA!D261</f>
        <v xml:space="preserve">Suarez Briceño Daiver Jose </v>
      </c>
      <c r="D265" s="949" t="str">
        <f>+NOMINA!O261</f>
        <v>Abogado I</v>
      </c>
      <c r="E265" s="952">
        <f>+NOMINA!H261</f>
        <v>44713</v>
      </c>
      <c r="F265" s="953">
        <f>+NOMINA!BL261</f>
        <v>17.579999999999998</v>
      </c>
      <c r="G265" s="953">
        <f>+NOMINA!BM261</f>
        <v>2.2000000000000002</v>
      </c>
      <c r="H265" s="608"/>
      <c r="I265" s="609"/>
      <c r="J265" s="609"/>
      <c r="K265" s="609"/>
      <c r="L265" s="609"/>
    </row>
    <row r="266" spans="1:12" ht="15.75" customHeight="1">
      <c r="A266" s="951">
        <f t="shared" si="4"/>
        <v>220</v>
      </c>
      <c r="B266" s="949">
        <f>+NOMINA!C262</f>
        <v>21365212</v>
      </c>
      <c r="C266" s="949" t="str">
        <f>+NOMINA!D262</f>
        <v>Manzanilla Gonzalez Landkler Josue</v>
      </c>
      <c r="D266" s="949" t="str">
        <f>+NOMINA!O262</f>
        <v>Asistente Administrativo II</v>
      </c>
      <c r="E266" s="952">
        <f>+NOMINA!H262</f>
        <v>44317</v>
      </c>
      <c r="F266" s="953">
        <f>+NOMINA!BL262</f>
        <v>10.5</v>
      </c>
      <c r="G266" s="953">
        <f>+NOMINA!BM262</f>
        <v>1.31</v>
      </c>
      <c r="H266" s="608"/>
      <c r="I266" s="609"/>
      <c r="J266" s="609"/>
      <c r="K266" s="609"/>
      <c r="L266" s="609"/>
    </row>
    <row r="267" spans="1:12" ht="15.75" customHeight="1">
      <c r="A267" s="951">
        <f t="shared" si="4"/>
        <v>221</v>
      </c>
      <c r="B267" s="949">
        <f>+NOMINA!C263</f>
        <v>21592108</v>
      </c>
      <c r="C267" s="949" t="str">
        <f>+NOMINA!D263</f>
        <v>Coy Andara Darlin Gabriela</v>
      </c>
      <c r="D267" s="949" t="str">
        <f>+NOMINA!O263</f>
        <v>PLANIFICADOR I</v>
      </c>
      <c r="E267" s="952">
        <f>+NOMINA!H263</f>
        <v>43024</v>
      </c>
      <c r="F267" s="953">
        <f>+NOMINA!BL263</f>
        <v>0</v>
      </c>
      <c r="G267" s="953">
        <f>+NOMINA!BM263</f>
        <v>0</v>
      </c>
      <c r="H267" s="608"/>
      <c r="I267" s="609"/>
      <c r="J267" s="609"/>
      <c r="K267" s="609"/>
      <c r="L267" s="609"/>
    </row>
    <row r="268" spans="1:12" ht="15.75" customHeight="1">
      <c r="A268" s="951">
        <f t="shared" si="4"/>
        <v>222</v>
      </c>
      <c r="B268" s="949">
        <f>+NOMINA!C264</f>
        <v>22622493</v>
      </c>
      <c r="C268" s="949" t="str">
        <f>+NOMINA!D264</f>
        <v xml:space="preserve">Barrios Olivar Geraldine Katiusca </v>
      </c>
      <c r="D268" s="949" t="str">
        <f>+NOMINA!O264</f>
        <v>Guia de Centro I</v>
      </c>
      <c r="E268" s="952">
        <f>+NOMINA!H264</f>
        <v>44363</v>
      </c>
      <c r="F268" s="953">
        <f>+NOMINA!BL264</f>
        <v>14.86</v>
      </c>
      <c r="G268" s="953">
        <f>+NOMINA!BM264</f>
        <v>1.86</v>
      </c>
      <c r="H268" s="608"/>
      <c r="I268" s="609"/>
      <c r="J268" s="609"/>
      <c r="K268" s="609"/>
      <c r="L268" s="609"/>
    </row>
    <row r="269" spans="1:12" ht="15.75" customHeight="1">
      <c r="A269" s="951">
        <f t="shared" si="4"/>
        <v>223</v>
      </c>
      <c r="B269" s="949">
        <f>+NOMINA!C265</f>
        <v>23782360</v>
      </c>
      <c r="C269" s="949" t="str">
        <f>+NOMINA!D265</f>
        <v>Rivera Sandoval Ilva Azucena</v>
      </c>
      <c r="D269" s="949" t="str">
        <f>+NOMINA!O265</f>
        <v>Administrador III</v>
      </c>
      <c r="E269" s="952">
        <f>+NOMINA!H265</f>
        <v>39203</v>
      </c>
      <c r="F269" s="953">
        <f>+NOMINA!BL265</f>
        <v>21.94</v>
      </c>
      <c r="G269" s="953">
        <f>+NOMINA!BM265</f>
        <v>2.74</v>
      </c>
      <c r="H269" s="608"/>
      <c r="I269" s="609"/>
      <c r="J269" s="609"/>
      <c r="K269" s="609"/>
      <c r="L269" s="609"/>
    </row>
    <row r="270" spans="1:12" ht="15.75" customHeight="1">
      <c r="A270" s="951">
        <f t="shared" si="4"/>
        <v>224</v>
      </c>
      <c r="B270" s="949">
        <f>+NOMINA!C266</f>
        <v>23960738</v>
      </c>
      <c r="C270" s="949" t="str">
        <f>+NOMINA!D266</f>
        <v>Molina Briceño Maria de los Angeles</v>
      </c>
      <c r="D270" s="949" t="str">
        <f>+NOMINA!O266</f>
        <v>Psicologo II</v>
      </c>
      <c r="E270" s="952">
        <f>+NOMINA!H266</f>
        <v>43497</v>
      </c>
      <c r="F270" s="953">
        <f>+NOMINA!BL266</f>
        <v>19.420000000000002</v>
      </c>
      <c r="G270" s="953">
        <f>+NOMINA!BM266</f>
        <v>2.4300000000000002</v>
      </c>
      <c r="H270" s="608"/>
      <c r="I270" s="609"/>
      <c r="J270" s="609"/>
      <c r="K270" s="609"/>
      <c r="L270" s="609"/>
    </row>
    <row r="271" spans="1:12" ht="15.75" customHeight="1">
      <c r="A271" s="951">
        <f t="shared" si="4"/>
        <v>225</v>
      </c>
      <c r="B271" s="949">
        <f>+NOMINA!C267</f>
        <v>24135378</v>
      </c>
      <c r="C271" s="949" t="str">
        <f>+NOMINA!D267</f>
        <v>Rivas Hurtado Orleidys Betania</v>
      </c>
      <c r="D271" s="949" t="str">
        <f>+NOMINA!O267</f>
        <v>Asistente Administrativo IV</v>
      </c>
      <c r="E271" s="952">
        <f>+NOMINA!H267</f>
        <v>43862</v>
      </c>
      <c r="F271" s="953">
        <f>+NOMINA!BL267</f>
        <v>20.45</v>
      </c>
      <c r="G271" s="953">
        <f>+NOMINA!BM267</f>
        <v>2.56</v>
      </c>
      <c r="H271" s="608"/>
      <c r="I271" s="609"/>
      <c r="J271" s="609"/>
      <c r="K271" s="609"/>
      <c r="L271" s="609"/>
    </row>
    <row r="272" spans="1:12" ht="15.75" customHeight="1">
      <c r="A272" s="951">
        <f t="shared" si="4"/>
        <v>226</v>
      </c>
      <c r="B272" s="949">
        <f>+NOMINA!C268</f>
        <v>24136795</v>
      </c>
      <c r="C272" s="949" t="str">
        <f>+NOMINA!D268</f>
        <v xml:space="preserve">Viloria Maldonado Gerardo Jesus </v>
      </c>
      <c r="D272" s="949" t="str">
        <f>+NOMINA!O268</f>
        <v>Entrenador Deportivo II</v>
      </c>
      <c r="E272" s="952">
        <f>+NOMINA!H268</f>
        <v>44600</v>
      </c>
      <c r="F272" s="953">
        <f>+NOMINA!BL268</f>
        <v>10.62</v>
      </c>
      <c r="G272" s="953">
        <f>+NOMINA!BM268</f>
        <v>1.33</v>
      </c>
      <c r="H272" s="608"/>
      <c r="I272" s="609"/>
      <c r="J272" s="609"/>
      <c r="K272" s="609"/>
      <c r="L272" s="609"/>
    </row>
    <row r="273" spans="1:12" ht="15.75" customHeight="1">
      <c r="A273" s="951">
        <f t="shared" si="4"/>
        <v>227</v>
      </c>
      <c r="B273" s="949">
        <f>+NOMINA!C269</f>
        <v>24385729</v>
      </c>
      <c r="C273" s="949" t="str">
        <f>+NOMINA!D269</f>
        <v>Cordova Rivero Liseth Carolina</v>
      </c>
      <c r="D273" s="949" t="str">
        <f>+NOMINA!O269</f>
        <v>Secretario I</v>
      </c>
      <c r="E273" s="952">
        <f>+NOMINA!H269</f>
        <v>45597</v>
      </c>
      <c r="F273" s="953">
        <f>+NOMINA!BL269</f>
        <v>10.11</v>
      </c>
      <c r="G273" s="953">
        <f>+NOMINA!BM269</f>
        <v>1.26</v>
      </c>
      <c r="H273" s="608"/>
      <c r="I273" s="609"/>
      <c r="J273" s="609"/>
      <c r="K273" s="609"/>
      <c r="L273" s="609"/>
    </row>
    <row r="274" spans="1:12" ht="15.75" customHeight="1">
      <c r="A274" s="951">
        <f t="shared" si="4"/>
        <v>228</v>
      </c>
      <c r="B274" s="949">
        <f>+NOMINA!C270</f>
        <v>23254845</v>
      </c>
      <c r="C274" s="949" t="str">
        <f>+NOMINA!D270</f>
        <v>Castellanos Paredes Luis Gregorio</v>
      </c>
      <c r="D274" s="949" t="str">
        <f>+NOMINA!O270</f>
        <v>Entrenador Deportivo II</v>
      </c>
      <c r="E274" s="952">
        <f>+NOMINA!H270</f>
        <v>44332</v>
      </c>
      <c r="F274" s="953">
        <f>+NOMINA!BL270</f>
        <v>10.5</v>
      </c>
      <c r="G274" s="953">
        <f>+NOMINA!BM270</f>
        <v>1.31</v>
      </c>
      <c r="H274" s="608"/>
      <c r="I274" s="609"/>
      <c r="J274" s="609"/>
      <c r="K274" s="609"/>
      <c r="L274" s="609"/>
    </row>
    <row r="275" spans="1:12" ht="15.75" customHeight="1">
      <c r="A275" s="951">
        <f t="shared" si="4"/>
        <v>229</v>
      </c>
      <c r="B275" s="949">
        <f>+NOMINA!C271</f>
        <v>23594366</v>
      </c>
      <c r="C275" s="949" t="str">
        <f>+NOMINA!D271</f>
        <v>Quintero Montilla Merly Paula</v>
      </c>
      <c r="D275" s="949" t="str">
        <f>+NOMINA!O271</f>
        <v>Tutor Facilitador I</v>
      </c>
      <c r="E275" s="952">
        <f>+NOMINA!H271</f>
        <v>45413</v>
      </c>
      <c r="F275" s="953">
        <f>+NOMINA!BL271</f>
        <v>17.350000000000001</v>
      </c>
      <c r="G275" s="953">
        <f>+NOMINA!BM271</f>
        <v>2.17</v>
      </c>
      <c r="H275" s="608"/>
      <c r="I275" s="609"/>
      <c r="J275" s="609"/>
      <c r="K275" s="609"/>
      <c r="L275" s="609"/>
    </row>
    <row r="276" spans="1:12" ht="15.75" customHeight="1">
      <c r="A276" s="951">
        <f t="shared" si="4"/>
        <v>230</v>
      </c>
      <c r="B276" s="949">
        <f>+NOMINA!C272</f>
        <v>23775734</v>
      </c>
      <c r="C276" s="949" t="str">
        <f>+NOMINA!D272</f>
        <v>Gonzalez Torres Klerwin Alfonso</v>
      </c>
      <c r="D276" s="949" t="str">
        <f>+NOMINA!O272</f>
        <v>Guia de Centro I</v>
      </c>
      <c r="E276" s="952">
        <f>+NOMINA!H272</f>
        <v>45627</v>
      </c>
      <c r="F276" s="953">
        <f>+NOMINA!BL272</f>
        <v>13.39</v>
      </c>
      <c r="G276" s="953">
        <f>+NOMINA!BM272</f>
        <v>1.67</v>
      </c>
      <c r="H276" s="608"/>
      <c r="I276" s="609"/>
      <c r="J276" s="609"/>
      <c r="K276" s="609"/>
      <c r="L276" s="609"/>
    </row>
    <row r="277" spans="1:12" ht="15.75" customHeight="1">
      <c r="A277" s="951">
        <f t="shared" si="4"/>
        <v>231</v>
      </c>
      <c r="B277" s="949">
        <f>+NOMINA!C273</f>
        <v>24565372</v>
      </c>
      <c r="C277" s="949" t="str">
        <f>+NOMINA!D273</f>
        <v>Moreno Silva Alfredy Jose</v>
      </c>
      <c r="D277" s="949" t="str">
        <f>+NOMINA!O273</f>
        <v>Asistente de Relaciones Publicas</v>
      </c>
      <c r="E277" s="952">
        <f>+NOMINA!H273</f>
        <v>40360</v>
      </c>
      <c r="F277" s="953">
        <f>+NOMINA!BL273</f>
        <v>0</v>
      </c>
      <c r="G277" s="953">
        <f>+NOMINA!BM273</f>
        <v>0</v>
      </c>
      <c r="H277" s="608"/>
      <c r="I277" s="609"/>
      <c r="J277" s="609"/>
      <c r="K277" s="609"/>
      <c r="L277" s="609"/>
    </row>
    <row r="278" spans="1:12" ht="15.75" customHeight="1">
      <c r="A278" s="951">
        <f t="shared" si="4"/>
        <v>232</v>
      </c>
      <c r="B278" s="949">
        <f>+NOMINA!C274</f>
        <v>25006139</v>
      </c>
      <c r="C278" s="949" t="str">
        <f>+NOMINA!D274</f>
        <v>Ramirez Palomares Carmen Beatriz</v>
      </c>
      <c r="D278" s="949" t="str">
        <f>+NOMINA!O274</f>
        <v>Guia de Centro I</v>
      </c>
      <c r="E278" s="952">
        <f>+NOMINA!H274</f>
        <v>43512</v>
      </c>
      <c r="F278" s="953">
        <f>+NOMINA!BL274</f>
        <v>14.4</v>
      </c>
      <c r="G278" s="953">
        <f>+NOMINA!BM274</f>
        <v>1.8</v>
      </c>
      <c r="H278" s="608"/>
      <c r="I278" s="609"/>
      <c r="J278" s="609"/>
      <c r="K278" s="609"/>
      <c r="L278" s="609"/>
    </row>
    <row r="279" spans="1:12" ht="15.75" customHeight="1">
      <c r="A279" s="951">
        <f t="shared" si="4"/>
        <v>233</v>
      </c>
      <c r="B279" s="949">
        <f>+NOMINA!C275</f>
        <v>25006878</v>
      </c>
      <c r="C279" s="949" t="str">
        <f>+NOMINA!D275</f>
        <v>Fernandez Garcia Rafael Ramon</v>
      </c>
      <c r="D279" s="949" t="str">
        <f>+NOMINA!O275</f>
        <v>Guia de Centro I</v>
      </c>
      <c r="E279" s="952">
        <f>+NOMINA!H275</f>
        <v>44986</v>
      </c>
      <c r="F279" s="953">
        <f>+NOMINA!BL275</f>
        <v>15.7</v>
      </c>
      <c r="G279" s="953">
        <f>+NOMINA!BM275</f>
        <v>1.96</v>
      </c>
      <c r="H279" s="608"/>
      <c r="I279" s="609"/>
      <c r="J279" s="609"/>
      <c r="K279" s="609"/>
      <c r="L279" s="609"/>
    </row>
    <row r="280" spans="1:12" ht="15.75" customHeight="1">
      <c r="A280" s="951">
        <f t="shared" si="4"/>
        <v>234</v>
      </c>
      <c r="B280" s="949">
        <f>+NOMINA!C276</f>
        <v>25096069</v>
      </c>
      <c r="C280" s="949" t="str">
        <f>+NOMINA!D276</f>
        <v>Coello Diaz Yormileidys del Carmen</v>
      </c>
      <c r="D280" s="949" t="str">
        <f>+NOMINA!O276</f>
        <v>Guia de Centro I</v>
      </c>
      <c r="E280" s="952">
        <f>+NOMINA!H276</f>
        <v>44599</v>
      </c>
      <c r="F280" s="953">
        <f>+NOMINA!BL276</f>
        <v>20.3</v>
      </c>
      <c r="G280" s="953">
        <f>+NOMINA!BM276</f>
        <v>2.54</v>
      </c>
      <c r="H280" s="608"/>
      <c r="I280" s="609"/>
      <c r="J280" s="609"/>
      <c r="K280" s="609"/>
      <c r="L280" s="609"/>
    </row>
    <row r="281" spans="1:12" ht="15.75" customHeight="1">
      <c r="A281" s="951">
        <f t="shared" si="4"/>
        <v>235</v>
      </c>
      <c r="B281" s="949">
        <f>+NOMINA!C277</f>
        <v>25173139</v>
      </c>
      <c r="C281" s="949" t="str">
        <f>+NOMINA!D277</f>
        <v>Viloria Albornoz Arelis Andreina</v>
      </c>
      <c r="D281" s="949" t="str">
        <f>+NOMINA!O277</f>
        <v>PLANIFICADOR I</v>
      </c>
      <c r="E281" s="952">
        <f>+NOMINA!H277</f>
        <v>45536</v>
      </c>
      <c r="F281" s="953">
        <f>+NOMINA!BL277</f>
        <v>17.93</v>
      </c>
      <c r="G281" s="953">
        <f>+NOMINA!BM277</f>
        <v>2.2400000000000002</v>
      </c>
      <c r="H281" s="608"/>
      <c r="I281" s="609"/>
      <c r="J281" s="609"/>
      <c r="K281" s="609"/>
      <c r="L281" s="609"/>
    </row>
    <row r="282" spans="1:12" ht="15.75" customHeight="1">
      <c r="A282" s="951">
        <f t="shared" si="4"/>
        <v>236</v>
      </c>
      <c r="B282" s="949">
        <f>+NOMINA!C278</f>
        <v>25173983</v>
      </c>
      <c r="C282" s="949" t="str">
        <f>+NOMINA!D278</f>
        <v>Guanda Barazarte Roxely Andreina</v>
      </c>
      <c r="D282" s="949" t="str">
        <f>+NOMINA!O278</f>
        <v>Guia de Centro I</v>
      </c>
      <c r="E282" s="952">
        <f>+NOMINA!H278</f>
        <v>44363</v>
      </c>
      <c r="F282" s="953">
        <f>+NOMINA!BL278</f>
        <v>14.26</v>
      </c>
      <c r="G282" s="953">
        <f>+NOMINA!BM278</f>
        <v>1.78</v>
      </c>
      <c r="H282" s="608"/>
      <c r="I282" s="609"/>
      <c r="J282" s="609"/>
      <c r="K282" s="609"/>
      <c r="L282" s="609"/>
    </row>
    <row r="283" spans="1:12" ht="15.75" customHeight="1">
      <c r="A283" s="951">
        <f t="shared" si="4"/>
        <v>237</v>
      </c>
      <c r="B283" s="949">
        <f>+NOMINA!C279</f>
        <v>25303390</v>
      </c>
      <c r="C283" s="949" t="str">
        <f>+NOMINA!D279</f>
        <v>Graterol Castillo Yoselyn Zunedy</v>
      </c>
      <c r="D283" s="949" t="str">
        <f>+NOMINA!O279</f>
        <v>Guia de Centro I</v>
      </c>
      <c r="E283" s="952">
        <f>+NOMINA!H279</f>
        <v>43862</v>
      </c>
      <c r="F283" s="953">
        <f>+NOMINA!BL279</f>
        <v>14.93</v>
      </c>
      <c r="G283" s="953">
        <f>+NOMINA!BM279</f>
        <v>1.87</v>
      </c>
      <c r="H283" s="608"/>
      <c r="I283" s="609"/>
      <c r="J283" s="609"/>
      <c r="K283" s="609"/>
      <c r="L283" s="609"/>
    </row>
    <row r="284" spans="1:12" ht="15.75" customHeight="1">
      <c r="A284" s="951">
        <f t="shared" si="4"/>
        <v>238</v>
      </c>
      <c r="B284" s="949">
        <f>+NOMINA!C280</f>
        <v>25454143</v>
      </c>
      <c r="C284" s="949" t="str">
        <f>+NOMINA!D280</f>
        <v>Briceño Ana Beatriz</v>
      </c>
      <c r="D284" s="949" t="str">
        <f>+NOMINA!O280</f>
        <v>Guia de Centro I</v>
      </c>
      <c r="E284" s="952">
        <f>+NOMINA!H280</f>
        <v>45536</v>
      </c>
      <c r="F284" s="953">
        <f>+NOMINA!BL280</f>
        <v>13.08</v>
      </c>
      <c r="G284" s="953">
        <f>+NOMINA!BM280</f>
        <v>1.64</v>
      </c>
      <c r="H284" s="608"/>
      <c r="I284" s="609"/>
      <c r="J284" s="609"/>
      <c r="K284" s="609"/>
      <c r="L284" s="609"/>
    </row>
    <row r="285" spans="1:12" ht="15.75" customHeight="1">
      <c r="A285" s="951">
        <f t="shared" si="4"/>
        <v>239</v>
      </c>
      <c r="B285" s="949">
        <f>+NOMINA!C281</f>
        <v>25604733</v>
      </c>
      <c r="C285" s="949" t="str">
        <f>+NOMINA!D281</f>
        <v>Nava Carrillo Oriana Daniela</v>
      </c>
      <c r="D285" s="949" t="str">
        <f>+NOMINA!O281</f>
        <v>Entrenador Deportivo II</v>
      </c>
      <c r="E285" s="952">
        <f>+NOMINA!H281</f>
        <v>43754</v>
      </c>
      <c r="F285" s="953">
        <f>+NOMINA!BL281</f>
        <v>10.62</v>
      </c>
      <c r="G285" s="953">
        <f>+NOMINA!BM281</f>
        <v>1.33</v>
      </c>
      <c r="H285" s="608"/>
      <c r="I285" s="609"/>
      <c r="J285" s="609"/>
      <c r="K285" s="609"/>
      <c r="L285" s="609"/>
    </row>
    <row r="286" spans="1:12" ht="15.75" customHeight="1">
      <c r="A286" s="951">
        <f t="shared" si="4"/>
        <v>240</v>
      </c>
      <c r="B286" s="949">
        <f>+NOMINA!C282</f>
        <v>25619540</v>
      </c>
      <c r="C286" s="949" t="str">
        <f>+NOMINA!D282</f>
        <v xml:space="preserve">Balza Vetencourt Maria Gabriela </v>
      </c>
      <c r="D286" s="949" t="str">
        <f>+NOMINA!O282</f>
        <v>Guia de Centro I</v>
      </c>
      <c r="E286" s="952">
        <f>+NOMINA!H282</f>
        <v>44743</v>
      </c>
      <c r="F286" s="953">
        <f>+NOMINA!BL282</f>
        <v>13.8</v>
      </c>
      <c r="G286" s="953">
        <f>+NOMINA!BM282</f>
        <v>1.73</v>
      </c>
      <c r="H286" s="608"/>
      <c r="I286" s="609"/>
      <c r="J286" s="609"/>
      <c r="K286" s="609"/>
      <c r="L286" s="609"/>
    </row>
    <row r="287" spans="1:12" ht="15.75" customHeight="1">
      <c r="A287" s="951">
        <f t="shared" si="4"/>
        <v>241</v>
      </c>
      <c r="B287" s="949">
        <f>+NOMINA!C283</f>
        <v>26094609</v>
      </c>
      <c r="C287" s="949" t="str">
        <f>+NOMINA!D283</f>
        <v>Andara Moreno Marielena Nathaly</v>
      </c>
      <c r="D287" s="949" t="str">
        <f>+NOMINA!O283</f>
        <v>Abogado I</v>
      </c>
      <c r="E287" s="952">
        <f>+NOMINA!H283</f>
        <v>44713</v>
      </c>
      <c r="F287" s="953">
        <f>+NOMINA!BL283</f>
        <v>17.579999999999998</v>
      </c>
      <c r="G287" s="953">
        <f>+NOMINA!BM283</f>
        <v>2.2000000000000002</v>
      </c>
      <c r="H287" s="608"/>
      <c r="I287" s="609"/>
      <c r="J287" s="609"/>
      <c r="K287" s="609"/>
      <c r="L287" s="609"/>
    </row>
    <row r="288" spans="1:12" ht="15.75" customHeight="1">
      <c r="A288" s="951">
        <f t="shared" si="4"/>
        <v>242</v>
      </c>
      <c r="B288" s="949">
        <f>+NOMINA!C284</f>
        <v>26094690</v>
      </c>
      <c r="C288" s="949" t="str">
        <f>+NOMINA!D284</f>
        <v>Fernandez Romero Numa Manuel</v>
      </c>
      <c r="D288" s="949" t="str">
        <f>+NOMINA!O284</f>
        <v>Guia de Centro I</v>
      </c>
      <c r="E288" s="952">
        <f>+NOMINA!H284</f>
        <v>45017</v>
      </c>
      <c r="F288" s="953">
        <f>+NOMINA!BL284</f>
        <v>13.74</v>
      </c>
      <c r="G288" s="953">
        <f>+NOMINA!BM284</f>
        <v>1.72</v>
      </c>
      <c r="H288" s="608"/>
      <c r="I288" s="609"/>
      <c r="J288" s="609"/>
      <c r="K288" s="609"/>
      <c r="L288" s="609"/>
    </row>
    <row r="289" spans="1:12" ht="15.75" customHeight="1">
      <c r="A289" s="951">
        <f t="shared" si="4"/>
        <v>243</v>
      </c>
      <c r="B289" s="949">
        <f>+NOMINA!C285</f>
        <v>26114271</v>
      </c>
      <c r="C289" s="949" t="str">
        <f>+NOMINA!D285</f>
        <v>Moncayo Perez Ruddy Bellaliz</v>
      </c>
      <c r="D289" s="949" t="str">
        <f>+NOMINA!O285</f>
        <v>Abogado I</v>
      </c>
      <c r="E289" s="952">
        <f>+NOMINA!H285</f>
        <v>44636</v>
      </c>
      <c r="F289" s="953">
        <f>+NOMINA!BL285</f>
        <v>17.579999999999998</v>
      </c>
      <c r="G289" s="953">
        <f>+NOMINA!BM285</f>
        <v>2.2000000000000002</v>
      </c>
      <c r="H289" s="608"/>
      <c r="I289" s="609"/>
      <c r="J289" s="609"/>
      <c r="K289" s="609"/>
      <c r="L289" s="609"/>
    </row>
    <row r="290" spans="1:12" ht="15.75" customHeight="1">
      <c r="A290" s="951">
        <f t="shared" si="4"/>
        <v>244</v>
      </c>
      <c r="B290" s="949">
        <f>+NOMINA!C286</f>
        <v>26191823</v>
      </c>
      <c r="C290" s="949" t="str">
        <f>+NOMINA!D286</f>
        <v>Briceño Espinoza Brayhan Jose</v>
      </c>
      <c r="D290" s="949" t="str">
        <f>+NOMINA!O286</f>
        <v>Abogado II</v>
      </c>
      <c r="E290" s="952">
        <f>+NOMINA!H286</f>
        <v>44470</v>
      </c>
      <c r="F290" s="953">
        <f>+NOMINA!BL286</f>
        <v>19.170000000000002</v>
      </c>
      <c r="G290" s="953">
        <f>+NOMINA!BM286</f>
        <v>2.4</v>
      </c>
      <c r="H290" s="608"/>
      <c r="I290" s="609"/>
      <c r="J290" s="609"/>
      <c r="K290" s="609"/>
      <c r="L290" s="609"/>
    </row>
    <row r="291" spans="1:12" ht="15.75" customHeight="1">
      <c r="A291" s="951">
        <f t="shared" si="4"/>
        <v>245</v>
      </c>
      <c r="B291" s="949">
        <f>+NOMINA!C287</f>
        <v>26235963</v>
      </c>
      <c r="C291" s="949" t="str">
        <f>+NOMINA!D287</f>
        <v>Segovia Segovia Freylu Margarita</v>
      </c>
      <c r="D291" s="949" t="str">
        <f>+NOMINA!O287</f>
        <v>Psicologo I</v>
      </c>
      <c r="E291" s="952">
        <f>+NOMINA!H287</f>
        <v>45383</v>
      </c>
      <c r="F291" s="953">
        <f>+NOMINA!BL287</f>
        <v>17.93</v>
      </c>
      <c r="G291" s="953">
        <f>+NOMINA!BM287</f>
        <v>2.2400000000000002</v>
      </c>
      <c r="H291" s="608"/>
      <c r="I291" s="609"/>
      <c r="J291" s="609"/>
      <c r="K291" s="609"/>
      <c r="L291" s="609"/>
    </row>
    <row r="292" spans="1:12" ht="15.75" customHeight="1">
      <c r="A292" s="951">
        <f t="shared" si="4"/>
        <v>246</v>
      </c>
      <c r="B292" s="949">
        <f>+NOMINA!C288</f>
        <v>26413871</v>
      </c>
      <c r="C292" s="949" t="str">
        <f>+NOMINA!D288</f>
        <v>Molina Rojas Genesis Angely</v>
      </c>
      <c r="D292" s="949" t="str">
        <f>+NOMINA!O288</f>
        <v>Guia de Centro I</v>
      </c>
      <c r="E292" s="952">
        <f>+NOMINA!H288</f>
        <v>44228</v>
      </c>
      <c r="F292" s="953">
        <f>+NOMINA!BL288</f>
        <v>14.86</v>
      </c>
      <c r="G292" s="953">
        <f>+NOMINA!BM288</f>
        <v>1.86</v>
      </c>
      <c r="H292" s="608"/>
      <c r="I292" s="609"/>
      <c r="J292" s="609"/>
      <c r="K292" s="609"/>
      <c r="L292" s="609"/>
    </row>
    <row r="293" spans="1:12" ht="15.75" customHeight="1">
      <c r="A293" s="951">
        <f t="shared" si="4"/>
        <v>247</v>
      </c>
      <c r="B293" s="949">
        <f>+NOMINA!C289</f>
        <v>26591879</v>
      </c>
      <c r="C293" s="949" t="str">
        <f>+NOMINA!D289</f>
        <v>Delgado Cabezas Rosa Magdalena</v>
      </c>
      <c r="D293" s="949" t="str">
        <f>+NOMINA!O289</f>
        <v>Psicologo II</v>
      </c>
      <c r="E293" s="952">
        <f>+NOMINA!H289</f>
        <v>43587</v>
      </c>
      <c r="F293" s="953">
        <f>+NOMINA!BL289</f>
        <v>20</v>
      </c>
      <c r="G293" s="953">
        <f>+NOMINA!BM289</f>
        <v>2.5</v>
      </c>
      <c r="H293" s="608"/>
      <c r="I293" s="609"/>
      <c r="J293" s="609"/>
      <c r="K293" s="609"/>
      <c r="L293" s="609"/>
    </row>
    <row r="294" spans="1:12" ht="15.75" customHeight="1">
      <c r="A294" s="951">
        <f t="shared" si="4"/>
        <v>248</v>
      </c>
      <c r="B294" s="949">
        <f>+NOMINA!C290</f>
        <v>26690908</v>
      </c>
      <c r="C294" s="949" t="str">
        <f>+NOMINA!D290</f>
        <v>Segovia Lisbeira del Carmen</v>
      </c>
      <c r="D294" s="949" t="str">
        <f>+NOMINA!O290</f>
        <v>Guia de Centro I</v>
      </c>
      <c r="E294" s="952">
        <f>+NOMINA!H290</f>
        <v>44228</v>
      </c>
      <c r="F294" s="953">
        <f>+NOMINA!BL290</f>
        <v>14.26</v>
      </c>
      <c r="G294" s="953">
        <f>+NOMINA!BM290</f>
        <v>1.78</v>
      </c>
      <c r="H294" s="608"/>
      <c r="I294" s="609"/>
      <c r="J294" s="609"/>
      <c r="K294" s="609"/>
      <c r="L294" s="609"/>
    </row>
    <row r="295" spans="1:12" ht="15.75" customHeight="1">
      <c r="A295" s="951">
        <f t="shared" si="4"/>
        <v>249</v>
      </c>
      <c r="B295" s="949">
        <f>+NOMINA!C291</f>
        <v>26962104</v>
      </c>
      <c r="C295" s="949" t="str">
        <f>+NOMINA!D291</f>
        <v>Rubio Briceño Diana Carolina</v>
      </c>
      <c r="D295" s="949" t="str">
        <f>+NOMINA!O291</f>
        <v>Asistente Administrativo II</v>
      </c>
      <c r="E295" s="952">
        <f>+NOMINA!H291</f>
        <v>44393</v>
      </c>
      <c r="F295" s="953">
        <f>+NOMINA!BL291</f>
        <v>10.97</v>
      </c>
      <c r="G295" s="953">
        <f>+NOMINA!BM291</f>
        <v>1.37</v>
      </c>
      <c r="H295" s="608"/>
      <c r="I295" s="609"/>
      <c r="J295" s="609"/>
      <c r="K295" s="609"/>
      <c r="L295" s="609"/>
    </row>
    <row r="296" spans="1:12" ht="15.75" customHeight="1">
      <c r="A296" s="951">
        <f t="shared" si="4"/>
        <v>250</v>
      </c>
      <c r="B296" s="949">
        <f>+NOMINA!C292</f>
        <v>27251392</v>
      </c>
      <c r="C296" s="949" t="str">
        <f>+NOMINA!D292</f>
        <v>Rangel Maria Antonia</v>
      </c>
      <c r="D296" s="949" t="str">
        <f>+NOMINA!O292</f>
        <v>Guia de Centro I</v>
      </c>
      <c r="E296" s="952">
        <f>+NOMINA!H292</f>
        <v>45627</v>
      </c>
      <c r="F296" s="953">
        <f>+NOMINA!BL292</f>
        <v>13.08</v>
      </c>
      <c r="G296" s="953">
        <f>+NOMINA!BM292</f>
        <v>1.64</v>
      </c>
      <c r="H296" s="608"/>
      <c r="I296" s="609"/>
      <c r="J296" s="609"/>
      <c r="K296" s="609"/>
      <c r="L296" s="609"/>
    </row>
    <row r="297" spans="1:12" ht="15.75" customHeight="1">
      <c r="A297" s="951">
        <f t="shared" si="4"/>
        <v>251</v>
      </c>
      <c r="B297" s="949">
        <f>+NOMINA!C293</f>
        <v>27251885</v>
      </c>
      <c r="C297" s="949" t="str">
        <f>+NOMINA!D293</f>
        <v>Barrozo Godoy Kellem Daniela</v>
      </c>
      <c r="D297" s="949" t="str">
        <f>+NOMINA!O293</f>
        <v>Guia de Centro I</v>
      </c>
      <c r="E297" s="952">
        <f>+NOMINA!H293</f>
        <v>45474</v>
      </c>
      <c r="F297" s="953">
        <f>+NOMINA!BL293</f>
        <v>13.08</v>
      </c>
      <c r="G297" s="953">
        <f>+NOMINA!BM293</f>
        <v>1.64</v>
      </c>
      <c r="H297" s="608"/>
      <c r="I297" s="609"/>
      <c r="J297" s="609"/>
      <c r="K297" s="609"/>
      <c r="L297" s="609"/>
    </row>
    <row r="298" spans="1:12" ht="15.75" customHeight="1">
      <c r="A298" s="951">
        <f t="shared" si="4"/>
        <v>252</v>
      </c>
      <c r="B298" s="949">
        <f>+NOMINA!C294</f>
        <v>27251899</v>
      </c>
      <c r="C298" s="949" t="str">
        <f>+NOMINA!D294</f>
        <v>Perez Gonzalez Maria Ines</v>
      </c>
      <c r="D298" s="949" t="str">
        <f>+NOMINA!O294</f>
        <v>Guia de Centro I</v>
      </c>
      <c r="E298" s="952">
        <f>+NOMINA!H294</f>
        <v>45474</v>
      </c>
      <c r="F298" s="953">
        <f>+NOMINA!BL294</f>
        <v>13.08</v>
      </c>
      <c r="G298" s="953">
        <f>+NOMINA!BM294</f>
        <v>1.64</v>
      </c>
      <c r="H298" s="608"/>
      <c r="I298" s="609"/>
      <c r="J298" s="609"/>
      <c r="K298" s="609"/>
      <c r="L298" s="609"/>
    </row>
    <row r="299" spans="1:12" ht="15.75" customHeight="1">
      <c r="A299" s="951">
        <f t="shared" si="4"/>
        <v>253</v>
      </c>
      <c r="B299" s="949">
        <f>+NOMINA!C295</f>
        <v>27363633</v>
      </c>
      <c r="C299" s="949" t="str">
        <f>+NOMINA!D295</f>
        <v>Padilla Blanco Melany Marian</v>
      </c>
      <c r="D299" s="949" t="str">
        <f>+NOMINA!O295</f>
        <v>Guia de Centro I</v>
      </c>
      <c r="E299" s="952">
        <f>+NOMINA!H295</f>
        <v>45627</v>
      </c>
      <c r="F299" s="953">
        <f>+NOMINA!BL295</f>
        <v>12.48</v>
      </c>
      <c r="G299" s="953">
        <f>+NOMINA!BM295</f>
        <v>1.56</v>
      </c>
      <c r="H299" s="608"/>
      <c r="I299" s="609"/>
      <c r="J299" s="609"/>
      <c r="K299" s="609"/>
      <c r="L299" s="609"/>
    </row>
    <row r="300" spans="1:12" ht="15.75" customHeight="1">
      <c r="A300" s="951">
        <f t="shared" si="4"/>
        <v>254</v>
      </c>
      <c r="B300" s="949">
        <f>+NOMINA!C296</f>
        <v>27415737</v>
      </c>
      <c r="C300" s="949" t="str">
        <f>+NOMINA!D296</f>
        <v>Rivas Torres Rosa Alba</v>
      </c>
      <c r="D300" s="949" t="str">
        <f>+NOMINA!O296</f>
        <v>Asistente Administrativo II</v>
      </c>
      <c r="E300" s="952">
        <f>+NOMINA!H296</f>
        <v>44363</v>
      </c>
      <c r="F300" s="953">
        <f>+NOMINA!BL296</f>
        <v>10.97</v>
      </c>
      <c r="G300" s="953">
        <f>+NOMINA!BM296</f>
        <v>1.37</v>
      </c>
      <c r="H300" s="608"/>
      <c r="I300" s="609"/>
      <c r="J300" s="609"/>
      <c r="K300" s="609"/>
      <c r="L300" s="609"/>
    </row>
    <row r="301" spans="1:12" ht="15.75" customHeight="1">
      <c r="A301" s="951">
        <f t="shared" si="4"/>
        <v>255</v>
      </c>
      <c r="B301" s="949">
        <f>+NOMINA!C297</f>
        <v>27415888</v>
      </c>
      <c r="C301" s="949" t="str">
        <f>+NOMINA!D297</f>
        <v>Perdomo Juarez Jose De Jesus</v>
      </c>
      <c r="D301" s="949" t="str">
        <f>+NOMINA!O297</f>
        <v>Entrenador Deportivo II</v>
      </c>
      <c r="E301" s="952">
        <f>+NOMINA!H297</f>
        <v>44713</v>
      </c>
      <c r="F301" s="953">
        <f>+NOMINA!BL297</f>
        <v>10.62</v>
      </c>
      <c r="G301" s="953">
        <f>+NOMINA!BM297</f>
        <v>1.33</v>
      </c>
      <c r="H301" s="608"/>
      <c r="I301" s="609"/>
      <c r="J301" s="609"/>
      <c r="K301" s="609"/>
      <c r="L301" s="609"/>
    </row>
    <row r="302" spans="1:12" ht="15.75" customHeight="1">
      <c r="A302" s="951">
        <f t="shared" si="4"/>
        <v>256</v>
      </c>
      <c r="B302" s="949">
        <f>+NOMINA!C298</f>
        <v>27628603</v>
      </c>
      <c r="C302" s="949" t="str">
        <f>+NOMINA!D298</f>
        <v>Mendoza Mendoza Kelasky Kixuy</v>
      </c>
      <c r="D302" s="949" t="str">
        <f>+NOMINA!O298</f>
        <v>Instructor De Formacion Empresarial</v>
      </c>
      <c r="E302" s="952">
        <f>+NOMINA!H298</f>
        <v>45139</v>
      </c>
      <c r="F302" s="953">
        <f>+NOMINA!BL298</f>
        <v>10.11</v>
      </c>
      <c r="G302" s="953">
        <f>+NOMINA!BM298</f>
        <v>1.26</v>
      </c>
      <c r="H302" s="608"/>
      <c r="I302" s="609"/>
      <c r="J302" s="609"/>
      <c r="K302" s="609"/>
      <c r="L302" s="609"/>
    </row>
    <row r="303" spans="1:12" ht="15.75" customHeight="1">
      <c r="A303" s="951">
        <f t="shared" si="4"/>
        <v>257</v>
      </c>
      <c r="B303" s="949">
        <f>+NOMINA!C299</f>
        <v>27677242</v>
      </c>
      <c r="C303" s="949" t="str">
        <f>+NOMINA!D299</f>
        <v>Ramirez Torres Darwin Jose</v>
      </c>
      <c r="D303" s="949" t="str">
        <f>+NOMINA!O299</f>
        <v>Recreador</v>
      </c>
      <c r="E303" s="952">
        <f>+NOMINA!H299</f>
        <v>45139</v>
      </c>
      <c r="F303" s="953">
        <f>+NOMINA!BL299</f>
        <v>9.65</v>
      </c>
      <c r="G303" s="953">
        <f>+NOMINA!BM299</f>
        <v>1.21</v>
      </c>
      <c r="H303" s="608"/>
      <c r="I303" s="609"/>
      <c r="J303" s="609"/>
      <c r="K303" s="609"/>
      <c r="L303" s="609"/>
    </row>
    <row r="304" spans="1:12" ht="15.75" customHeight="1">
      <c r="A304" s="951">
        <f t="shared" si="4"/>
        <v>258</v>
      </c>
      <c r="B304" s="949">
        <f>+NOMINA!C300</f>
        <v>27889180</v>
      </c>
      <c r="C304" s="949" t="str">
        <f>+NOMINA!D300</f>
        <v>Moreno Andreina del Valle</v>
      </c>
      <c r="D304" s="949" t="str">
        <f>+NOMINA!O300</f>
        <v>Asistente Administrativo II</v>
      </c>
      <c r="E304" s="952">
        <f>+NOMINA!H300</f>
        <v>44393</v>
      </c>
      <c r="F304" s="953">
        <f>+NOMINA!BL300</f>
        <v>10.97</v>
      </c>
      <c r="G304" s="953">
        <f>+NOMINA!BM300</f>
        <v>1.37</v>
      </c>
      <c r="H304" s="608"/>
      <c r="I304" s="609"/>
      <c r="J304" s="609"/>
      <c r="K304" s="609"/>
      <c r="L304" s="609"/>
    </row>
    <row r="305" spans="1:12" ht="15.75" customHeight="1">
      <c r="A305" s="951">
        <f t="shared" ref="A305:A313" si="5">+A304+1</f>
        <v>259</v>
      </c>
      <c r="B305" s="949">
        <f>+NOMINA!C301</f>
        <v>28079765</v>
      </c>
      <c r="C305" s="949" t="str">
        <f>+NOMINA!D301</f>
        <v>Mendoza Cardozo Josue Vicensio</v>
      </c>
      <c r="D305" s="949" t="str">
        <f>+NOMINA!O301</f>
        <v>Asistente Administrativo II</v>
      </c>
      <c r="E305" s="952">
        <f>+NOMINA!H301</f>
        <v>44348</v>
      </c>
      <c r="F305" s="953">
        <f>+NOMINA!BL301</f>
        <v>15.75</v>
      </c>
      <c r="G305" s="953">
        <f>+NOMINA!BM301</f>
        <v>1.97</v>
      </c>
      <c r="H305" s="608"/>
      <c r="I305" s="609"/>
      <c r="J305" s="609"/>
      <c r="K305" s="609"/>
      <c r="L305" s="609"/>
    </row>
    <row r="306" spans="1:12" ht="15.75" customHeight="1">
      <c r="A306" s="951">
        <f t="shared" si="5"/>
        <v>260</v>
      </c>
      <c r="B306" s="949">
        <f>+NOMINA!C302</f>
        <v>28096003</v>
      </c>
      <c r="C306" s="949" t="str">
        <f>+NOMINA!D302</f>
        <v>Quintero Peña Maria Alejandra</v>
      </c>
      <c r="D306" s="949" t="str">
        <f>+NOMINA!O302</f>
        <v>Guia de Centro I</v>
      </c>
      <c r="E306" s="952">
        <f>+NOMINA!H302</f>
        <v>44228</v>
      </c>
      <c r="F306" s="953">
        <f>+NOMINA!BL302</f>
        <v>13.66</v>
      </c>
      <c r="G306" s="953">
        <f>+NOMINA!BM302</f>
        <v>1.71</v>
      </c>
      <c r="H306" s="608"/>
      <c r="I306" s="609"/>
      <c r="J306" s="609"/>
      <c r="K306" s="609"/>
      <c r="L306" s="609"/>
    </row>
    <row r="307" spans="1:12" ht="15.75" customHeight="1">
      <c r="A307" s="951">
        <f t="shared" si="5"/>
        <v>261</v>
      </c>
      <c r="B307" s="949">
        <f>+NOMINA!C303</f>
        <v>28096576</v>
      </c>
      <c r="C307" s="949" t="str">
        <f>+NOMINA!D303</f>
        <v>Gutierrez Betania Belsally</v>
      </c>
      <c r="D307" s="949" t="str">
        <f>+NOMINA!O303</f>
        <v>Asistente Administrativo I</v>
      </c>
      <c r="E307" s="952">
        <f>+NOMINA!H303</f>
        <v>45017</v>
      </c>
      <c r="F307" s="953">
        <f>+NOMINA!BL303</f>
        <v>10.57</v>
      </c>
      <c r="G307" s="953">
        <f>+NOMINA!BM303</f>
        <v>1.32</v>
      </c>
      <c r="H307" s="608"/>
      <c r="I307" s="609"/>
      <c r="J307" s="609"/>
      <c r="K307" s="609"/>
      <c r="L307" s="609"/>
    </row>
    <row r="308" spans="1:12" ht="15.75" customHeight="1">
      <c r="A308" s="951">
        <f t="shared" si="5"/>
        <v>262</v>
      </c>
      <c r="B308" s="949">
        <f>+NOMINA!C304</f>
        <v>28445465</v>
      </c>
      <c r="C308" s="949" t="str">
        <f>+NOMINA!D304</f>
        <v>Castillo Carrizo Katherine Cecilia</v>
      </c>
      <c r="D308" s="949" t="str">
        <f>+NOMINA!O304</f>
        <v>Asistente Administrativo II</v>
      </c>
      <c r="E308" s="952">
        <f>+NOMINA!H304</f>
        <v>43770</v>
      </c>
      <c r="F308" s="953">
        <f>+NOMINA!BL304</f>
        <v>10.62</v>
      </c>
      <c r="G308" s="953">
        <f>+NOMINA!BM304</f>
        <v>1.33</v>
      </c>
      <c r="H308" s="608"/>
      <c r="I308" s="609"/>
      <c r="J308" s="609"/>
      <c r="K308" s="609"/>
      <c r="L308" s="609"/>
    </row>
    <row r="309" spans="1:12" ht="15.75" customHeight="1">
      <c r="A309" s="951">
        <f t="shared" si="5"/>
        <v>263</v>
      </c>
      <c r="B309" s="949">
        <f>+NOMINA!C305</f>
        <v>29585477</v>
      </c>
      <c r="C309" s="949" t="str">
        <f>+NOMINA!D305</f>
        <v>Gil Ruiz Marianyeli Sarait</v>
      </c>
      <c r="D309" s="949" t="str">
        <f>+NOMINA!O305</f>
        <v>Entrenador Deportivo II</v>
      </c>
      <c r="E309" s="952">
        <f>+NOMINA!H305</f>
        <v>43512</v>
      </c>
      <c r="F309" s="953">
        <f>+NOMINA!BL305</f>
        <v>11.08</v>
      </c>
      <c r="G309" s="953">
        <f>+NOMINA!BM305</f>
        <v>1.38</v>
      </c>
      <c r="H309" s="608"/>
      <c r="I309" s="609"/>
      <c r="J309" s="609"/>
      <c r="K309" s="609"/>
      <c r="L309" s="609"/>
    </row>
    <row r="310" spans="1:12" ht="15.75" customHeight="1">
      <c r="A310" s="951">
        <f t="shared" si="5"/>
        <v>264</v>
      </c>
      <c r="B310" s="949">
        <f>+NOMINA!C306</f>
        <v>29916508</v>
      </c>
      <c r="C310" s="949" t="str">
        <f>+NOMINA!D306</f>
        <v>Zambrano Briceño Elio Jesus</v>
      </c>
      <c r="D310" s="949" t="str">
        <f>+NOMINA!O306</f>
        <v>Guia de Centro I</v>
      </c>
      <c r="E310" s="952">
        <f>+NOMINA!H306</f>
        <v>44378</v>
      </c>
      <c r="F310" s="953">
        <f>+NOMINA!BL306</f>
        <v>13.66</v>
      </c>
      <c r="G310" s="953">
        <f>+NOMINA!BM306</f>
        <v>1.71</v>
      </c>
      <c r="H310" s="608"/>
      <c r="I310" s="609"/>
      <c r="J310" s="609"/>
      <c r="K310" s="609"/>
      <c r="L310" s="609"/>
    </row>
    <row r="311" spans="1:12" ht="15.75" customHeight="1">
      <c r="A311" s="951">
        <f t="shared" si="5"/>
        <v>265</v>
      </c>
      <c r="B311" s="949">
        <f>+NOMINA!C307</f>
        <v>30190238</v>
      </c>
      <c r="C311" s="949" t="str">
        <f>+NOMINA!D307</f>
        <v>Mendoza Osuna Zaida Liseth</v>
      </c>
      <c r="D311" s="949" t="str">
        <f>+NOMINA!O307</f>
        <v>Guia de Centro I</v>
      </c>
      <c r="E311" s="952">
        <f>+NOMINA!H307</f>
        <v>45200</v>
      </c>
      <c r="F311" s="953">
        <f>+NOMINA!BL307</f>
        <v>12.54</v>
      </c>
      <c r="G311" s="953">
        <f>+NOMINA!BM307</f>
        <v>1.57</v>
      </c>
      <c r="H311" s="608"/>
      <c r="I311" s="609"/>
      <c r="J311" s="609"/>
      <c r="K311" s="609"/>
      <c r="L311" s="609"/>
    </row>
    <row r="312" spans="1:12" ht="15.75" customHeight="1">
      <c r="A312" s="951">
        <f t="shared" si="5"/>
        <v>266</v>
      </c>
      <c r="B312" s="949">
        <f>+NOMINA!C308</f>
        <v>30438508</v>
      </c>
      <c r="C312" s="949" t="str">
        <f>+NOMINA!D308</f>
        <v xml:space="preserve">Teran Araujo Marihangeli Nicoll </v>
      </c>
      <c r="D312" s="949" t="str">
        <f>+NOMINA!O308</f>
        <v>Asistente Administrativo II</v>
      </c>
      <c r="E312" s="952">
        <f>+NOMINA!H308</f>
        <v>45200</v>
      </c>
      <c r="F312" s="953">
        <f>+NOMINA!BL308</f>
        <v>10.62</v>
      </c>
      <c r="G312" s="953">
        <f>+NOMINA!BM308</f>
        <v>1.33</v>
      </c>
      <c r="H312" s="608"/>
      <c r="I312" s="609"/>
      <c r="J312" s="609"/>
      <c r="K312" s="609"/>
      <c r="L312" s="609"/>
    </row>
    <row r="313" spans="1:12" ht="15.75" customHeight="1" thickBot="1">
      <c r="A313" s="951">
        <f t="shared" si="5"/>
        <v>267</v>
      </c>
      <c r="B313" s="949">
        <f>+NOMINA!C309</f>
        <v>30600641</v>
      </c>
      <c r="C313" s="949" t="str">
        <f>+NOMINA!D309</f>
        <v>Gonzalez Justo Jariana Roxanny</v>
      </c>
      <c r="D313" s="949" t="str">
        <f>+NOMINA!O309</f>
        <v>Asistente Administrativo I</v>
      </c>
      <c r="E313" s="952">
        <f>+NOMINA!H309</f>
        <v>44455</v>
      </c>
      <c r="F313" s="953">
        <f>+NOMINA!BL309</f>
        <v>0</v>
      </c>
      <c r="G313" s="953">
        <f>+NOMINA!BM309</f>
        <v>0</v>
      </c>
      <c r="H313" s="608"/>
      <c r="I313" s="609"/>
      <c r="J313" s="609"/>
      <c r="K313" s="609"/>
      <c r="L313" s="609"/>
    </row>
    <row r="314" spans="1:12" ht="15.75" customHeight="1" thickBot="1">
      <c r="A314" s="888"/>
      <c r="B314" s="889"/>
      <c r="C314" s="889"/>
      <c r="D314" s="890" t="s">
        <v>4562</v>
      </c>
      <c r="E314" s="891" t="s">
        <v>5846</v>
      </c>
      <c r="F314" s="887">
        <f>SUM(F47:F313)</f>
        <v>4360.0999999999967</v>
      </c>
      <c r="G314" s="892">
        <f>SUM(G47:G313)</f>
        <v>545.07000000000016</v>
      </c>
      <c r="H314" s="608">
        <f>+NOMINA!BL309</f>
        <v>0</v>
      </c>
      <c r="I314" s="609">
        <f>+F314-H314</f>
        <v>4360.0999999999967</v>
      </c>
      <c r="J314" s="608">
        <f>+NOMINA!BM309</f>
        <v>0</v>
      </c>
      <c r="K314" s="609">
        <f>+G314-J314</f>
        <v>545.07000000000016</v>
      </c>
      <c r="L314" s="609"/>
    </row>
    <row r="315" spans="1:12" ht="15.75" customHeight="1">
      <c r="A315" s="610"/>
      <c r="B315" s="612"/>
      <c r="C315" s="612"/>
      <c r="D315" s="612"/>
      <c r="E315" s="617"/>
      <c r="F315" s="613"/>
      <c r="G315" s="613"/>
      <c r="H315" s="608"/>
      <c r="I315" s="609"/>
      <c r="J315" s="609"/>
      <c r="K315" s="609"/>
      <c r="L315" s="609"/>
    </row>
    <row r="316" spans="1:12" ht="15.75" customHeight="1">
      <c r="A316" s="610"/>
      <c r="B316" s="612"/>
      <c r="C316" s="604" t="s">
        <v>5840</v>
      </c>
      <c r="E316" s="604" t="s">
        <v>5841</v>
      </c>
      <c r="F316" s="604" t="s">
        <v>5841</v>
      </c>
      <c r="H316" s="608"/>
      <c r="I316" s="609"/>
      <c r="J316" s="609"/>
      <c r="K316" s="609"/>
      <c r="L316" s="609"/>
    </row>
    <row r="317" spans="1:12" ht="15.75" customHeight="1">
      <c r="A317" s="610"/>
      <c r="B317" s="612"/>
      <c r="H317" s="608"/>
      <c r="I317" s="609"/>
      <c r="J317" s="609"/>
      <c r="K317" s="609"/>
      <c r="L317" s="609"/>
    </row>
    <row r="318" spans="1:12" ht="15.75" customHeight="1">
      <c r="A318" s="610"/>
      <c r="B318" s="612"/>
      <c r="H318" s="608"/>
      <c r="I318" s="609"/>
      <c r="J318" s="609"/>
      <c r="K318" s="609"/>
      <c r="L318" s="609"/>
    </row>
    <row r="319" spans="1:12" ht="15.75" customHeight="1">
      <c r="A319" s="610"/>
      <c r="B319" s="612"/>
      <c r="C319" s="614" t="s">
        <v>5842</v>
      </c>
      <c r="E319" s="615" t="s">
        <v>5853</v>
      </c>
      <c r="F319" s="615" t="s">
        <v>5843</v>
      </c>
      <c r="H319" s="608"/>
      <c r="I319" s="609"/>
      <c r="J319" s="609"/>
      <c r="K319" s="609"/>
      <c r="L319" s="609"/>
    </row>
    <row r="320" spans="1:12" ht="15.75" customHeight="1">
      <c r="A320" s="610"/>
      <c r="B320" s="612"/>
      <c r="C320" s="614" t="s">
        <v>5844</v>
      </c>
      <c r="E320" s="614" t="s">
        <v>5845</v>
      </c>
      <c r="F320" s="614" t="s">
        <v>5845</v>
      </c>
      <c r="G320" s="618"/>
      <c r="H320" s="608"/>
      <c r="I320" s="609"/>
      <c r="J320" s="609"/>
      <c r="K320" s="609"/>
      <c r="L320" s="609"/>
    </row>
    <row r="321" spans="1:12" ht="15.75" customHeight="1">
      <c r="A321" s="610"/>
      <c r="B321" s="612"/>
      <c r="C321" s="612"/>
      <c r="D321" s="612"/>
      <c r="E321" s="617"/>
      <c r="F321" s="613"/>
      <c r="G321" s="613"/>
      <c r="H321" s="608"/>
      <c r="I321" s="609"/>
      <c r="J321" s="609"/>
      <c r="K321" s="609"/>
      <c r="L321" s="609"/>
    </row>
    <row r="322" spans="1:12" ht="15.75" customHeight="1">
      <c r="A322" s="621" t="s">
        <v>4563</v>
      </c>
      <c r="B322" s="622"/>
      <c r="C322" s="622"/>
      <c r="D322" s="622"/>
      <c r="E322" s="623"/>
      <c r="F322" s="624"/>
      <c r="G322" s="624"/>
      <c r="H322" s="608"/>
      <c r="I322" s="609"/>
      <c r="J322" s="609"/>
      <c r="K322" s="609"/>
      <c r="L322" s="609"/>
    </row>
    <row r="323" spans="1:12" ht="15.75" customHeight="1">
      <c r="A323" s="951">
        <v>1</v>
      </c>
      <c r="B323" s="949">
        <f>+NOMINA!C312</f>
        <v>5505183</v>
      </c>
      <c r="C323" s="949" t="str">
        <f>+NOMINA!D312</f>
        <v>Paredes Marquez Eduardo Jesus</v>
      </c>
      <c r="D323" s="949" t="str">
        <f>+NOMINA!O312</f>
        <v>Ayudante de Servicios Generales</v>
      </c>
      <c r="E323" s="952">
        <f>+NOMINA!H312</f>
        <v>44562</v>
      </c>
      <c r="F323" s="953">
        <f>+NOMINA!BL312</f>
        <v>11.19</v>
      </c>
      <c r="G323" s="953">
        <f>+NOMINA!BM312</f>
        <v>1.4</v>
      </c>
      <c r="H323" s="608"/>
      <c r="I323" s="609"/>
      <c r="J323" s="609"/>
      <c r="K323" s="609"/>
      <c r="L323" s="609"/>
    </row>
    <row r="324" spans="1:12" ht="15.75" customHeight="1">
      <c r="A324" s="951">
        <f>+A323+1</f>
        <v>2</v>
      </c>
      <c r="B324" s="949">
        <f>+NOMINA!C313</f>
        <v>5757455</v>
      </c>
      <c r="C324" s="949" t="str">
        <f>+NOMINA!D313</f>
        <v>Ramirez Garcia Maria Perpetua</v>
      </c>
      <c r="D324" s="949" t="str">
        <f>+NOMINA!O313</f>
        <v>Cocinera</v>
      </c>
      <c r="E324" s="952">
        <f>+NOMINA!H313</f>
        <v>39409</v>
      </c>
      <c r="F324" s="953">
        <f>+NOMINA!BL313</f>
        <v>0</v>
      </c>
      <c r="G324" s="953">
        <f>+NOMINA!BM313</f>
        <v>0</v>
      </c>
      <c r="H324" s="608"/>
      <c r="I324" s="609"/>
      <c r="J324" s="609"/>
      <c r="K324" s="609"/>
      <c r="L324" s="609"/>
    </row>
    <row r="325" spans="1:12" ht="15.75" customHeight="1">
      <c r="A325" s="951">
        <f t="shared" ref="A325:A388" si="6">+A324+1</f>
        <v>3</v>
      </c>
      <c r="B325" s="949">
        <f>+NOMINA!C314</f>
        <v>5762185</v>
      </c>
      <c r="C325" s="949" t="str">
        <f>+NOMINA!D314</f>
        <v>Salas Quintero Jose Gregorio</v>
      </c>
      <c r="D325" s="949" t="str">
        <f>+NOMINA!O314</f>
        <v xml:space="preserve">Vigilante  </v>
      </c>
      <c r="E325" s="952">
        <f>+NOMINA!H314</f>
        <v>37622</v>
      </c>
      <c r="F325" s="953">
        <f>+NOMINA!BL314</f>
        <v>12.98</v>
      </c>
      <c r="G325" s="953">
        <f>+NOMINA!BM314</f>
        <v>1.62</v>
      </c>
      <c r="H325" s="608"/>
      <c r="I325" s="609"/>
      <c r="J325" s="609"/>
      <c r="K325" s="609"/>
      <c r="L325" s="609"/>
    </row>
    <row r="326" spans="1:12" ht="15.75" customHeight="1">
      <c r="A326" s="951">
        <f t="shared" si="6"/>
        <v>4</v>
      </c>
      <c r="B326" s="949">
        <f>+NOMINA!C315</f>
        <v>6332524</v>
      </c>
      <c r="C326" s="949" t="str">
        <f>+NOMINA!D315</f>
        <v>Flores Diana Yamilet</v>
      </c>
      <c r="D326" s="949" t="str">
        <f>+NOMINA!O315</f>
        <v>Cocinera</v>
      </c>
      <c r="E326" s="952">
        <f>+NOMINA!H315</f>
        <v>42948</v>
      </c>
      <c r="F326" s="953">
        <f>+NOMINA!BL315</f>
        <v>11.58</v>
      </c>
      <c r="G326" s="953">
        <f>+NOMINA!BM315</f>
        <v>1.45</v>
      </c>
      <c r="H326" s="608"/>
      <c r="I326" s="609"/>
      <c r="J326" s="609"/>
      <c r="K326" s="609"/>
      <c r="L326" s="609"/>
    </row>
    <row r="327" spans="1:12" ht="15.75" customHeight="1">
      <c r="A327" s="951">
        <f t="shared" si="6"/>
        <v>5</v>
      </c>
      <c r="B327" s="949">
        <f>+NOMINA!C316</f>
        <v>6902701</v>
      </c>
      <c r="C327" s="949" t="str">
        <f>+NOMINA!D316</f>
        <v>Santiago Torres Jose Ramon</v>
      </c>
      <c r="D327" s="949" t="str">
        <f>+NOMINA!O316</f>
        <v>Mensajero</v>
      </c>
      <c r="E327" s="952">
        <f>+NOMINA!H316</f>
        <v>44228</v>
      </c>
      <c r="F327" s="953">
        <f>+NOMINA!BL316</f>
        <v>10.66</v>
      </c>
      <c r="G327" s="953">
        <f>+NOMINA!BM316</f>
        <v>1.33</v>
      </c>
      <c r="H327" s="608"/>
      <c r="I327" s="609"/>
      <c r="J327" s="609"/>
      <c r="K327" s="609"/>
      <c r="L327" s="609"/>
    </row>
    <row r="328" spans="1:12" ht="15.75" customHeight="1">
      <c r="A328" s="951">
        <f t="shared" si="6"/>
        <v>6</v>
      </c>
      <c r="B328" s="949">
        <f>+NOMINA!C317</f>
        <v>7252065</v>
      </c>
      <c r="C328" s="949" t="str">
        <f>+NOMINA!D317</f>
        <v>Rivas Rivas Jose Gerardo</v>
      </c>
      <c r="D328" s="949" t="str">
        <f>+NOMINA!O317</f>
        <v>Ayudante de Servicios Generales</v>
      </c>
      <c r="E328" s="952">
        <f>+NOMINA!H317</f>
        <v>43891</v>
      </c>
      <c r="F328" s="953">
        <f>+NOMINA!BL317</f>
        <v>13.83</v>
      </c>
      <c r="G328" s="953">
        <f>+NOMINA!BM317</f>
        <v>1.73</v>
      </c>
      <c r="H328" s="608"/>
      <c r="I328" s="609"/>
      <c r="J328" s="609"/>
      <c r="K328" s="609"/>
      <c r="L328" s="609"/>
    </row>
    <row r="329" spans="1:12" ht="15.75" customHeight="1">
      <c r="A329" s="951">
        <f t="shared" si="6"/>
        <v>7</v>
      </c>
      <c r="B329" s="949">
        <f>+NOMINA!C318</f>
        <v>9008311</v>
      </c>
      <c r="C329" s="949" t="str">
        <f>+NOMINA!D318</f>
        <v>Toro Margi Enrique</v>
      </c>
      <c r="D329" s="949" t="str">
        <f>+NOMINA!O318</f>
        <v>Ayudante de Servicios Generales</v>
      </c>
      <c r="E329" s="952">
        <f>+NOMINA!H318</f>
        <v>39265</v>
      </c>
      <c r="F329" s="953">
        <f>+NOMINA!BL318</f>
        <v>11.6</v>
      </c>
      <c r="G329" s="953">
        <f>+NOMINA!BM318</f>
        <v>1.45</v>
      </c>
      <c r="H329" s="608"/>
      <c r="I329" s="609"/>
      <c r="J329" s="609"/>
      <c r="K329" s="609"/>
      <c r="L329" s="609"/>
    </row>
    <row r="330" spans="1:12" ht="15.75" customHeight="1">
      <c r="A330" s="951">
        <f t="shared" si="6"/>
        <v>8</v>
      </c>
      <c r="B330" s="949">
        <f>+NOMINA!C319</f>
        <v>9011963</v>
      </c>
      <c r="C330" s="949" t="str">
        <f>+NOMINA!D319</f>
        <v>Alarcon Argenio</v>
      </c>
      <c r="D330" s="949" t="str">
        <f>+NOMINA!O319</f>
        <v>Ayudante de Servicios Generales</v>
      </c>
      <c r="E330" s="952">
        <f>+NOMINA!H319</f>
        <v>39820</v>
      </c>
      <c r="F330" s="953">
        <f>+NOMINA!BL319</f>
        <v>0</v>
      </c>
      <c r="G330" s="953">
        <f>+NOMINA!BM319</f>
        <v>0</v>
      </c>
      <c r="H330" s="608"/>
      <c r="I330" s="609"/>
      <c r="J330" s="609"/>
      <c r="K330" s="609"/>
      <c r="L330" s="609"/>
    </row>
    <row r="331" spans="1:12" ht="15.75" customHeight="1">
      <c r="A331" s="951">
        <f t="shared" si="6"/>
        <v>9</v>
      </c>
      <c r="B331" s="949">
        <f>+NOMINA!C320</f>
        <v>9100500</v>
      </c>
      <c r="C331" s="949" t="str">
        <f>+NOMINA!D320</f>
        <v>Hernandez de Villegas Zoraida Elodia</v>
      </c>
      <c r="D331" s="949" t="str">
        <f>+NOMINA!O320</f>
        <v>Aseadora</v>
      </c>
      <c r="E331" s="952">
        <f>+NOMINA!H320</f>
        <v>39496</v>
      </c>
      <c r="F331" s="953">
        <f>+NOMINA!BL320</f>
        <v>10.54</v>
      </c>
      <c r="G331" s="953">
        <f>+NOMINA!BM320</f>
        <v>1.32</v>
      </c>
      <c r="H331" s="608"/>
      <c r="I331" s="609"/>
      <c r="J331" s="609"/>
      <c r="K331" s="609"/>
      <c r="L331" s="609"/>
    </row>
    <row r="332" spans="1:12" ht="15.75" customHeight="1">
      <c r="A332" s="951">
        <f t="shared" si="6"/>
        <v>10</v>
      </c>
      <c r="B332" s="949">
        <f>+NOMINA!C321</f>
        <v>9110498</v>
      </c>
      <c r="C332" s="949" t="str">
        <f>+NOMINA!D321</f>
        <v>Ruiz Alberto Jose</v>
      </c>
      <c r="D332" s="949" t="str">
        <f>+NOMINA!O321</f>
        <v>Ayudante de Servicios Generales</v>
      </c>
      <c r="E332" s="952">
        <f>+NOMINA!H321</f>
        <v>37508</v>
      </c>
      <c r="F332" s="953">
        <f>+NOMINA!BL321</f>
        <v>12.07</v>
      </c>
      <c r="G332" s="953">
        <f>+NOMINA!BM321</f>
        <v>1.51</v>
      </c>
      <c r="H332" s="608"/>
      <c r="I332" s="609"/>
      <c r="J332" s="609"/>
      <c r="K332" s="609"/>
      <c r="L332" s="609"/>
    </row>
    <row r="333" spans="1:12" ht="15.75" customHeight="1">
      <c r="A333" s="951">
        <f t="shared" si="6"/>
        <v>11</v>
      </c>
      <c r="B333" s="949">
        <f>+NOMINA!C322</f>
        <v>9163994</v>
      </c>
      <c r="C333" s="949" t="str">
        <f>+NOMINA!D322</f>
        <v>Rodriguez Fernandez Carlos Eduardo</v>
      </c>
      <c r="D333" s="949" t="str">
        <f>+NOMINA!O322</f>
        <v>Ayudante de Almacen</v>
      </c>
      <c r="E333" s="952">
        <f>+NOMINA!H322</f>
        <v>43770</v>
      </c>
      <c r="F333" s="953">
        <f>+NOMINA!BL322</f>
        <v>11.43</v>
      </c>
      <c r="G333" s="953">
        <f>+NOMINA!BM322</f>
        <v>1.43</v>
      </c>
      <c r="H333" s="608"/>
      <c r="I333" s="609"/>
      <c r="J333" s="609"/>
      <c r="K333" s="609"/>
      <c r="L333" s="609"/>
    </row>
    <row r="334" spans="1:12" ht="15.75" customHeight="1">
      <c r="A334" s="951">
        <f t="shared" si="6"/>
        <v>12</v>
      </c>
      <c r="B334" s="949">
        <f>+NOMINA!C323</f>
        <v>9167342</v>
      </c>
      <c r="C334" s="949" t="str">
        <f>+NOMINA!D323</f>
        <v>Gutierrez Briceño Jose Justimiano</v>
      </c>
      <c r="D334" s="949" t="str">
        <f>+NOMINA!O323</f>
        <v>Ayudante Agropecuario</v>
      </c>
      <c r="E334" s="952">
        <f>+NOMINA!H323</f>
        <v>43845</v>
      </c>
      <c r="F334" s="953">
        <f>+NOMINA!BL323</f>
        <v>10.69</v>
      </c>
      <c r="G334" s="953">
        <f>+NOMINA!BM323</f>
        <v>1.34</v>
      </c>
      <c r="H334" s="608"/>
      <c r="I334" s="609"/>
      <c r="J334" s="609"/>
      <c r="K334" s="609"/>
      <c r="L334" s="609"/>
    </row>
    <row r="335" spans="1:12" ht="15.75" customHeight="1">
      <c r="A335" s="951">
        <f t="shared" si="6"/>
        <v>13</v>
      </c>
      <c r="B335" s="949">
        <f>+NOMINA!C324</f>
        <v>9310477</v>
      </c>
      <c r="C335" s="949" t="str">
        <f>+NOMINA!D324</f>
        <v>Campos Muchacho Rafael Angel</v>
      </c>
      <c r="D335" s="949" t="str">
        <f>+NOMINA!O324</f>
        <v>Ayudante Agropecuario</v>
      </c>
      <c r="E335" s="952">
        <f>+NOMINA!H324</f>
        <v>44075</v>
      </c>
      <c r="F335" s="953">
        <f>+NOMINA!BL324</f>
        <v>10.64</v>
      </c>
      <c r="G335" s="953">
        <f>+NOMINA!BM324</f>
        <v>1.33</v>
      </c>
      <c r="H335" s="608"/>
      <c r="I335" s="609"/>
      <c r="J335" s="609"/>
      <c r="K335" s="609"/>
      <c r="L335" s="609"/>
    </row>
    <row r="336" spans="1:12" ht="15.75" customHeight="1">
      <c r="A336" s="951">
        <f t="shared" si="6"/>
        <v>14</v>
      </c>
      <c r="B336" s="949">
        <f>+NOMINA!C325</f>
        <v>9323739</v>
      </c>
      <c r="C336" s="949" t="str">
        <f>+NOMINA!D325</f>
        <v>Vargas Benitez Jose Nerio</v>
      </c>
      <c r="D336" s="949" t="str">
        <f>+NOMINA!O325</f>
        <v>Ayudante de Servicios Generales</v>
      </c>
      <c r="E336" s="952">
        <f>+NOMINA!H325</f>
        <v>39300</v>
      </c>
      <c r="F336" s="953">
        <f>+NOMINA!BL325</f>
        <v>11.6</v>
      </c>
      <c r="G336" s="953">
        <f>+NOMINA!BM325</f>
        <v>1.45</v>
      </c>
      <c r="H336" s="608"/>
      <c r="I336" s="609"/>
      <c r="J336" s="609"/>
      <c r="K336" s="609"/>
      <c r="L336" s="609"/>
    </row>
    <row r="337" spans="1:12" ht="15.75" customHeight="1">
      <c r="A337" s="951">
        <f t="shared" si="6"/>
        <v>15</v>
      </c>
      <c r="B337" s="949">
        <f>+NOMINA!C326</f>
        <v>9325664</v>
      </c>
      <c r="C337" s="949" t="str">
        <f>+NOMINA!D326</f>
        <v>Lobo Mendoza Luz Marina</v>
      </c>
      <c r="D337" s="949" t="str">
        <f>+NOMINA!O326</f>
        <v>Ayudante de Servicios Generales</v>
      </c>
      <c r="E337" s="952">
        <f>+NOMINA!H326</f>
        <v>42948</v>
      </c>
      <c r="F337" s="953">
        <f>+NOMINA!BL326</f>
        <v>10.83</v>
      </c>
      <c r="G337" s="953">
        <f>+NOMINA!BM326</f>
        <v>1.35</v>
      </c>
      <c r="H337" s="608"/>
      <c r="I337" s="609"/>
      <c r="J337" s="609"/>
      <c r="K337" s="609"/>
      <c r="L337" s="609"/>
    </row>
    <row r="338" spans="1:12" ht="15.75" customHeight="1">
      <c r="A338" s="951">
        <f t="shared" si="6"/>
        <v>16</v>
      </c>
      <c r="B338" s="949">
        <f>+NOMINA!C327</f>
        <v>9328045</v>
      </c>
      <c r="C338" s="949" t="str">
        <f>+NOMINA!D327</f>
        <v>Paredes Quintero Jose Benigno</v>
      </c>
      <c r="D338" s="949" t="str">
        <f>+NOMINA!O327</f>
        <v>Ayudante de Servicios Generales</v>
      </c>
      <c r="E338" s="952">
        <f>+NOMINA!H327</f>
        <v>44212</v>
      </c>
      <c r="F338" s="953">
        <f>+NOMINA!BL327</f>
        <v>10.64</v>
      </c>
      <c r="G338" s="953">
        <f>+NOMINA!BM327</f>
        <v>1.33</v>
      </c>
      <c r="H338" s="608"/>
      <c r="I338" s="609"/>
      <c r="J338" s="609"/>
      <c r="K338" s="609"/>
      <c r="L338" s="609"/>
    </row>
    <row r="339" spans="1:12" ht="15.75" customHeight="1">
      <c r="A339" s="951">
        <f t="shared" si="6"/>
        <v>17</v>
      </c>
      <c r="B339" s="949">
        <f>+NOMINA!C328</f>
        <v>10178456</v>
      </c>
      <c r="C339" s="949" t="str">
        <f>+NOMINA!D328</f>
        <v>Figueroa Roa Yudith Griselda</v>
      </c>
      <c r="D339" s="949" t="str">
        <f>+NOMINA!O328</f>
        <v>Aseadora</v>
      </c>
      <c r="E339" s="952">
        <f>+NOMINA!H328</f>
        <v>44287</v>
      </c>
      <c r="F339" s="953">
        <f>+NOMINA!BL328</f>
        <v>9.74</v>
      </c>
      <c r="G339" s="953">
        <f>+NOMINA!BM328</f>
        <v>1.22</v>
      </c>
      <c r="H339" s="608"/>
      <c r="I339" s="609"/>
      <c r="J339" s="609"/>
      <c r="K339" s="609"/>
      <c r="L339" s="609"/>
    </row>
    <row r="340" spans="1:12" ht="15.75" customHeight="1">
      <c r="A340" s="951">
        <f t="shared" si="6"/>
        <v>18</v>
      </c>
      <c r="B340" s="949">
        <f>+NOMINA!C329</f>
        <v>10317435</v>
      </c>
      <c r="C340" s="949" t="str">
        <f>+NOMINA!D329</f>
        <v>Milla Ana Julia</v>
      </c>
      <c r="D340" s="949" t="str">
        <f>+NOMINA!O329</f>
        <v>Aseadora</v>
      </c>
      <c r="E340" s="952">
        <f>+NOMINA!H329</f>
        <v>39559</v>
      </c>
      <c r="F340" s="953">
        <f>+NOMINA!BL329</f>
        <v>10.54</v>
      </c>
      <c r="G340" s="953">
        <f>+NOMINA!BM329</f>
        <v>1.32</v>
      </c>
      <c r="H340" s="608"/>
      <c r="I340" s="609"/>
      <c r="J340" s="609"/>
      <c r="K340" s="609"/>
      <c r="L340" s="609"/>
    </row>
    <row r="341" spans="1:12" ht="15.75" customHeight="1">
      <c r="A341" s="951">
        <f t="shared" si="6"/>
        <v>19</v>
      </c>
      <c r="B341" s="949">
        <f>+NOMINA!C330</f>
        <v>10396367</v>
      </c>
      <c r="C341" s="949" t="str">
        <f>+NOMINA!D330</f>
        <v>Hidalgo Linares Gloria Margarita</v>
      </c>
      <c r="D341" s="949" t="str">
        <f>+NOMINA!O330</f>
        <v>Cocinera</v>
      </c>
      <c r="E341" s="952">
        <f>+NOMINA!H330</f>
        <v>39722</v>
      </c>
      <c r="F341" s="953">
        <f>+NOMINA!BL330</f>
        <v>12.35</v>
      </c>
      <c r="G341" s="953">
        <f>+NOMINA!BM330</f>
        <v>1.54</v>
      </c>
      <c r="H341" s="608"/>
      <c r="I341" s="609"/>
      <c r="J341" s="609"/>
      <c r="K341" s="609"/>
      <c r="L341" s="609"/>
    </row>
    <row r="342" spans="1:12" ht="15.75" customHeight="1">
      <c r="A342" s="951">
        <f t="shared" si="6"/>
        <v>20</v>
      </c>
      <c r="B342" s="949">
        <f>+NOMINA!C331</f>
        <v>10399474</v>
      </c>
      <c r="C342" s="949" t="str">
        <f>+NOMINA!D331</f>
        <v>Ramirez Araujo Teresa Maria</v>
      </c>
      <c r="D342" s="949" t="str">
        <f>+NOMINA!O331</f>
        <v>Ayudante de Servicios Generales</v>
      </c>
      <c r="E342" s="952">
        <f>+NOMINA!H331</f>
        <v>45597</v>
      </c>
      <c r="F342" s="953">
        <f>+NOMINA!BL331</f>
        <v>10.039999999999999</v>
      </c>
      <c r="G342" s="953">
        <f>+NOMINA!BM331</f>
        <v>1.26</v>
      </c>
      <c r="H342" s="608"/>
      <c r="I342" s="609"/>
      <c r="J342" s="609"/>
      <c r="K342" s="609"/>
      <c r="L342" s="609"/>
    </row>
    <row r="343" spans="1:12" ht="15.75" customHeight="1">
      <c r="A343" s="951">
        <f t="shared" si="6"/>
        <v>21</v>
      </c>
      <c r="B343" s="949">
        <f>+NOMINA!C332</f>
        <v>10401329</v>
      </c>
      <c r="C343" s="949" t="str">
        <f>+NOMINA!D332</f>
        <v>Gonzalez Torres Orangel Ramon</v>
      </c>
      <c r="D343" s="949" t="str">
        <f>+NOMINA!O332</f>
        <v>Chofer De Transporte</v>
      </c>
      <c r="E343" s="952">
        <f>+NOMINA!H332</f>
        <v>39539</v>
      </c>
      <c r="F343" s="953">
        <f>+NOMINA!BL332</f>
        <v>16.059999999999999</v>
      </c>
      <c r="G343" s="953">
        <f>+NOMINA!BM332</f>
        <v>2.0099999999999998</v>
      </c>
      <c r="H343" s="608"/>
      <c r="I343" s="609"/>
      <c r="J343" s="609"/>
      <c r="K343" s="609"/>
      <c r="L343" s="609"/>
    </row>
    <row r="344" spans="1:12" ht="15.75" customHeight="1">
      <c r="A344" s="951">
        <f t="shared" si="6"/>
        <v>22</v>
      </c>
      <c r="B344" s="949">
        <f>+NOMINA!C333</f>
        <v>10907687</v>
      </c>
      <c r="C344" s="949" t="str">
        <f>+NOMINA!D333</f>
        <v>Viloria Garcia Karina Liseth</v>
      </c>
      <c r="D344" s="949" t="str">
        <f>+NOMINA!O333</f>
        <v>Cocinera</v>
      </c>
      <c r="E344" s="952">
        <f>+NOMINA!H333</f>
        <v>38749</v>
      </c>
      <c r="F344" s="953">
        <f>+NOMINA!BL333</f>
        <v>12.55</v>
      </c>
      <c r="G344" s="953">
        <f>+NOMINA!BM333</f>
        <v>1.57</v>
      </c>
      <c r="H344" s="608"/>
      <c r="I344" s="609"/>
      <c r="J344" s="609"/>
      <c r="K344" s="609"/>
      <c r="L344" s="609"/>
    </row>
    <row r="345" spans="1:12" ht="15.75" customHeight="1">
      <c r="A345" s="951">
        <f t="shared" si="6"/>
        <v>23</v>
      </c>
      <c r="B345" s="949">
        <f>+NOMINA!C334</f>
        <v>10908543</v>
      </c>
      <c r="C345" s="949" t="str">
        <f>+NOMINA!D334</f>
        <v>Quintero Eric Ludwig</v>
      </c>
      <c r="D345" s="949" t="str">
        <f>+NOMINA!O334</f>
        <v>Cocinero</v>
      </c>
      <c r="E345" s="952">
        <f>+NOMINA!H334</f>
        <v>42751</v>
      </c>
      <c r="F345" s="953">
        <f>+NOMINA!BL334</f>
        <v>11.66</v>
      </c>
      <c r="G345" s="953">
        <f>+NOMINA!BM334</f>
        <v>1.46</v>
      </c>
      <c r="H345" s="608"/>
      <c r="I345" s="609"/>
      <c r="J345" s="609"/>
      <c r="K345" s="609"/>
      <c r="L345" s="609"/>
    </row>
    <row r="346" spans="1:12" ht="15.75" customHeight="1">
      <c r="A346" s="951">
        <f t="shared" si="6"/>
        <v>24</v>
      </c>
      <c r="B346" s="949">
        <f>+NOMINA!C335</f>
        <v>10909678</v>
      </c>
      <c r="C346" s="949" t="str">
        <f>+NOMINA!D335</f>
        <v>Delgado Jose Argenis</v>
      </c>
      <c r="D346" s="949" t="str">
        <f>+NOMINA!O335</f>
        <v>Aseador</v>
      </c>
      <c r="E346" s="952">
        <f>+NOMINA!H335</f>
        <v>43952</v>
      </c>
      <c r="F346" s="953">
        <f>+NOMINA!BL335</f>
        <v>9.7899999999999991</v>
      </c>
      <c r="G346" s="953">
        <f>+NOMINA!BM335</f>
        <v>1.22</v>
      </c>
      <c r="H346" s="608"/>
      <c r="I346" s="609"/>
      <c r="J346" s="609"/>
      <c r="K346" s="609"/>
      <c r="L346" s="609"/>
    </row>
    <row r="347" spans="1:12" ht="15.75" customHeight="1">
      <c r="A347" s="951">
        <f t="shared" si="6"/>
        <v>25</v>
      </c>
      <c r="B347" s="949">
        <f>+NOMINA!C336</f>
        <v>10909819</v>
      </c>
      <c r="C347" s="949" t="str">
        <f>+NOMINA!D336</f>
        <v>Carrizo Jose Waldo</v>
      </c>
      <c r="D347" s="949" t="str">
        <f>+NOMINA!O336</f>
        <v>Cocinero</v>
      </c>
      <c r="E347" s="952">
        <f>+NOMINA!H336</f>
        <v>43359</v>
      </c>
      <c r="F347" s="953">
        <f>+NOMINA!BL336</f>
        <v>11.51</v>
      </c>
      <c r="G347" s="953">
        <f>+NOMINA!BM336</f>
        <v>1.44</v>
      </c>
      <c r="H347" s="608"/>
      <c r="I347" s="609"/>
      <c r="J347" s="609"/>
      <c r="K347" s="609"/>
      <c r="L347" s="609"/>
    </row>
    <row r="348" spans="1:12" ht="15.75" customHeight="1">
      <c r="A348" s="951">
        <f t="shared" si="6"/>
        <v>26</v>
      </c>
      <c r="B348" s="949">
        <f>+NOMINA!C337</f>
        <v>10912635</v>
      </c>
      <c r="C348" s="949" t="str">
        <f>+NOMINA!D337</f>
        <v>Gutierrez Briceño Jose Orangel</v>
      </c>
      <c r="D348" s="949" t="str">
        <f>+NOMINA!O337</f>
        <v>Ayudante Agropecuario</v>
      </c>
      <c r="E348" s="952">
        <f>+NOMINA!H337</f>
        <v>44348</v>
      </c>
      <c r="F348" s="953">
        <f>+NOMINA!BL337</f>
        <v>10.58</v>
      </c>
      <c r="G348" s="953">
        <f>+NOMINA!BM337</f>
        <v>1.32</v>
      </c>
      <c r="H348" s="608"/>
      <c r="I348" s="609"/>
      <c r="J348" s="609"/>
      <c r="K348" s="609"/>
      <c r="L348" s="609"/>
    </row>
    <row r="349" spans="1:12" ht="15.75" customHeight="1">
      <c r="A349" s="951">
        <f t="shared" si="6"/>
        <v>27</v>
      </c>
      <c r="B349" s="949">
        <f>+NOMINA!C338</f>
        <v>10915274</v>
      </c>
      <c r="C349" s="949" t="str">
        <f>+NOMINA!D338</f>
        <v>Montilla Vergara Belkys Josefina</v>
      </c>
      <c r="D349" s="949" t="str">
        <f>+NOMINA!O338</f>
        <v>Ayudante de Servicios Generales</v>
      </c>
      <c r="E349" s="952">
        <f>+NOMINA!H338</f>
        <v>44635</v>
      </c>
      <c r="F349" s="953">
        <f>+NOMINA!BL338</f>
        <v>10.52</v>
      </c>
      <c r="G349" s="953">
        <f>+NOMINA!BM338</f>
        <v>1.32</v>
      </c>
      <c r="H349" s="608"/>
      <c r="I349" s="609"/>
      <c r="J349" s="609"/>
      <c r="K349" s="609"/>
      <c r="L349" s="609"/>
    </row>
    <row r="350" spans="1:12" ht="15.75" customHeight="1">
      <c r="A350" s="951">
        <f t="shared" si="6"/>
        <v>28</v>
      </c>
      <c r="B350" s="949">
        <f>+NOMINA!C339</f>
        <v>11129355</v>
      </c>
      <c r="C350" s="949" t="str">
        <f>+NOMINA!D339</f>
        <v xml:space="preserve">Luque Azuaje Rigoberto </v>
      </c>
      <c r="D350" s="949" t="str">
        <f>+NOMINA!O339</f>
        <v>Ayudante de Servicios Generales</v>
      </c>
      <c r="E350" s="952">
        <f>+NOMINA!H339</f>
        <v>39539</v>
      </c>
      <c r="F350" s="953">
        <f>+NOMINA!BL339</f>
        <v>14.97</v>
      </c>
      <c r="G350" s="953">
        <f>+NOMINA!BM339</f>
        <v>1.87</v>
      </c>
      <c r="H350" s="608"/>
      <c r="I350" s="609"/>
      <c r="J350" s="609"/>
      <c r="K350" s="609"/>
      <c r="L350" s="609"/>
    </row>
    <row r="351" spans="1:12" ht="15.75" customHeight="1">
      <c r="A351" s="951">
        <f t="shared" si="6"/>
        <v>29</v>
      </c>
      <c r="B351" s="949">
        <f>+NOMINA!C340</f>
        <v>11315202</v>
      </c>
      <c r="C351" s="949" t="str">
        <f>+NOMINA!D340</f>
        <v>Barreto Maria Ramona</v>
      </c>
      <c r="D351" s="949" t="str">
        <f>+NOMINA!O340</f>
        <v>Cocinera</v>
      </c>
      <c r="E351" s="952">
        <f>+NOMINA!H340</f>
        <v>39539</v>
      </c>
      <c r="F351" s="953">
        <f>+NOMINA!BL340</f>
        <v>12.35</v>
      </c>
      <c r="G351" s="953">
        <f>+NOMINA!BM340</f>
        <v>1.54</v>
      </c>
      <c r="H351" s="608"/>
      <c r="I351" s="609"/>
      <c r="J351" s="609"/>
      <c r="K351" s="609"/>
      <c r="L351" s="609"/>
    </row>
    <row r="352" spans="1:12" ht="15.75" customHeight="1">
      <c r="A352" s="951">
        <f t="shared" si="6"/>
        <v>30</v>
      </c>
      <c r="B352" s="949">
        <f>+NOMINA!C341</f>
        <v>11321681</v>
      </c>
      <c r="C352" s="949" t="str">
        <f>+NOMINA!D341</f>
        <v>Bentancourt Rivas Luis Enrique</v>
      </c>
      <c r="D352" s="949" t="str">
        <f>+NOMINA!O341</f>
        <v>Ayudante de Servicios Generales</v>
      </c>
      <c r="E352" s="952">
        <f>+NOMINA!H341</f>
        <v>44805</v>
      </c>
      <c r="F352" s="953">
        <f>+NOMINA!BL341</f>
        <v>10.52</v>
      </c>
      <c r="G352" s="953">
        <f>+NOMINA!BM341</f>
        <v>1.32</v>
      </c>
      <c r="H352" s="608"/>
      <c r="I352" s="609"/>
      <c r="J352" s="609"/>
      <c r="K352" s="609"/>
      <c r="L352" s="609"/>
    </row>
    <row r="353" spans="1:12" ht="15.75" customHeight="1">
      <c r="A353" s="951">
        <f t="shared" si="6"/>
        <v>31</v>
      </c>
      <c r="B353" s="949">
        <f>+NOMINA!C342</f>
        <v>11321782</v>
      </c>
      <c r="C353" s="949" t="str">
        <f>+NOMINA!D342</f>
        <v>Flores Camacho Maria Zoraida</v>
      </c>
      <c r="D353" s="949" t="str">
        <f>+NOMINA!O342</f>
        <v>Cocinera</v>
      </c>
      <c r="E353" s="952">
        <f>+NOMINA!H342</f>
        <v>43815</v>
      </c>
      <c r="F353" s="953">
        <f>+NOMINA!BL342</f>
        <v>11.43</v>
      </c>
      <c r="G353" s="953">
        <f>+NOMINA!BM342</f>
        <v>1.43</v>
      </c>
      <c r="H353" s="608"/>
      <c r="I353" s="609"/>
      <c r="J353" s="609"/>
      <c r="K353" s="609"/>
      <c r="L353" s="609"/>
    </row>
    <row r="354" spans="1:12" ht="15.75" customHeight="1">
      <c r="A354" s="951">
        <f t="shared" si="6"/>
        <v>32</v>
      </c>
      <c r="B354" s="949">
        <f>+NOMINA!C343</f>
        <v>11324931</v>
      </c>
      <c r="C354" s="949" t="str">
        <f>+NOMINA!D343</f>
        <v xml:space="preserve">Sulbaran De Araujo Magaly </v>
      </c>
      <c r="D354" s="949" t="str">
        <f>+NOMINA!O343</f>
        <v>Cocinera</v>
      </c>
      <c r="E354" s="952">
        <f>+NOMINA!H343</f>
        <v>38784</v>
      </c>
      <c r="F354" s="953">
        <f>+NOMINA!BL343</f>
        <v>12.55</v>
      </c>
      <c r="G354" s="953">
        <f>+NOMINA!BM343</f>
        <v>1.57</v>
      </c>
      <c r="H354" s="608"/>
      <c r="I354" s="609"/>
      <c r="J354" s="609"/>
      <c r="K354" s="609"/>
      <c r="L354" s="609"/>
    </row>
    <row r="355" spans="1:12" ht="15.75" customHeight="1">
      <c r="A355" s="951">
        <f t="shared" si="6"/>
        <v>33</v>
      </c>
      <c r="B355" s="949">
        <f>+NOMINA!C344</f>
        <v>11894400</v>
      </c>
      <c r="C355" s="949" t="str">
        <f>+NOMINA!D344</f>
        <v>Aldana Olivar Maria del Carmen</v>
      </c>
      <c r="D355" s="949" t="str">
        <f>+NOMINA!O344</f>
        <v>Cocinera</v>
      </c>
      <c r="E355" s="952">
        <f>+NOMINA!H344</f>
        <v>44287</v>
      </c>
      <c r="F355" s="953">
        <f>+NOMINA!BL344</f>
        <v>11.3</v>
      </c>
      <c r="G355" s="953">
        <f>+NOMINA!BM344</f>
        <v>1.41</v>
      </c>
      <c r="H355" s="608"/>
      <c r="I355" s="609"/>
      <c r="J355" s="609"/>
      <c r="K355" s="609"/>
      <c r="L355" s="609"/>
    </row>
    <row r="356" spans="1:12" ht="15.75" customHeight="1">
      <c r="A356" s="951">
        <f t="shared" si="6"/>
        <v>34</v>
      </c>
      <c r="B356" s="949">
        <f>+NOMINA!C345</f>
        <v>11897863</v>
      </c>
      <c r="C356" s="949" t="str">
        <f>+NOMINA!D345</f>
        <v>Rodriguez Maria Ibel</v>
      </c>
      <c r="D356" s="949" t="str">
        <f>+NOMINA!O345</f>
        <v>Aseadora</v>
      </c>
      <c r="E356" s="952">
        <f>+NOMINA!H345</f>
        <v>41548</v>
      </c>
      <c r="F356" s="953">
        <f>+NOMINA!BL345</f>
        <v>10.199999999999999</v>
      </c>
      <c r="G356" s="953">
        <f>+NOMINA!BM345</f>
        <v>1.27</v>
      </c>
      <c r="H356" s="608"/>
      <c r="I356" s="609"/>
      <c r="J356" s="609"/>
      <c r="K356" s="609"/>
      <c r="L356" s="609"/>
    </row>
    <row r="357" spans="1:12" ht="15.75" customHeight="1">
      <c r="A357" s="951">
        <f t="shared" si="6"/>
        <v>35</v>
      </c>
      <c r="B357" s="949">
        <f>+NOMINA!C346</f>
        <v>12038359</v>
      </c>
      <c r="C357" s="949" t="str">
        <f>+NOMINA!D346</f>
        <v>Amaya Perez Carmen Elena</v>
      </c>
      <c r="D357" s="949" t="str">
        <f>+NOMINA!O346</f>
        <v>Cocinera</v>
      </c>
      <c r="E357" s="952">
        <f>+NOMINA!H346</f>
        <v>38103</v>
      </c>
      <c r="F357" s="953">
        <f>+NOMINA!BL346</f>
        <v>12.76</v>
      </c>
      <c r="G357" s="953">
        <f>+NOMINA!BM346</f>
        <v>1.59</v>
      </c>
      <c r="H357" s="608"/>
      <c r="I357" s="609"/>
      <c r="J357" s="609"/>
      <c r="K357" s="609"/>
      <c r="L357" s="609"/>
    </row>
    <row r="358" spans="1:12" ht="15.75" customHeight="1">
      <c r="A358" s="951">
        <f t="shared" si="6"/>
        <v>36</v>
      </c>
      <c r="B358" s="949">
        <f>+NOMINA!C347</f>
        <v>12042930</v>
      </c>
      <c r="C358" s="949" t="str">
        <f>+NOMINA!D347</f>
        <v>Barroeta Cardozo Leonid Andrei</v>
      </c>
      <c r="D358" s="949" t="str">
        <f>+NOMINA!O347</f>
        <v>Ayudante de Servicios Generales</v>
      </c>
      <c r="E358" s="952">
        <f>+NOMINA!H347</f>
        <v>44986</v>
      </c>
      <c r="F358" s="953">
        <f>+NOMINA!BL347</f>
        <v>10.47</v>
      </c>
      <c r="G358" s="953">
        <f>+NOMINA!BM347</f>
        <v>1.31</v>
      </c>
      <c r="H358" s="608"/>
      <c r="I358" s="609"/>
      <c r="J358" s="609"/>
      <c r="K358" s="609"/>
      <c r="L358" s="609"/>
    </row>
    <row r="359" spans="1:12" ht="15.75" customHeight="1">
      <c r="A359" s="951">
        <f t="shared" si="6"/>
        <v>37</v>
      </c>
      <c r="B359" s="949">
        <f>+NOMINA!C348</f>
        <v>12043135</v>
      </c>
      <c r="C359" s="949" t="str">
        <f>+NOMINA!D348</f>
        <v>Avila Salvio Rodolfo</v>
      </c>
      <c r="D359" s="949" t="str">
        <f>+NOMINA!O348</f>
        <v>Cocinero</v>
      </c>
      <c r="E359" s="952">
        <f>+NOMINA!H348</f>
        <v>43724</v>
      </c>
      <c r="F359" s="953">
        <f>+NOMINA!BL348</f>
        <v>11.43</v>
      </c>
      <c r="G359" s="953">
        <f>+NOMINA!BM348</f>
        <v>1.43</v>
      </c>
      <c r="H359" s="608"/>
      <c r="I359" s="609"/>
      <c r="J359" s="609"/>
      <c r="K359" s="609"/>
      <c r="L359" s="609"/>
    </row>
    <row r="360" spans="1:12" ht="15.75" customHeight="1">
      <c r="A360" s="951">
        <f t="shared" si="6"/>
        <v>38</v>
      </c>
      <c r="B360" s="949">
        <f>+NOMINA!C349</f>
        <v>12044124</v>
      </c>
      <c r="C360" s="949" t="str">
        <f>+NOMINA!D349</f>
        <v>Rivas Carlos Luis</v>
      </c>
      <c r="D360" s="949" t="str">
        <f>+NOMINA!O349</f>
        <v>Ayudante de Servicios Generales</v>
      </c>
      <c r="E360" s="952">
        <f>+NOMINA!H349</f>
        <v>39539</v>
      </c>
      <c r="F360" s="953">
        <f>+NOMINA!BL349</f>
        <v>14.97</v>
      </c>
      <c r="G360" s="953">
        <f>+NOMINA!BM349</f>
        <v>1.87</v>
      </c>
      <c r="H360" s="608"/>
      <c r="I360" s="609"/>
      <c r="J360" s="609"/>
      <c r="K360" s="609"/>
      <c r="L360" s="609"/>
    </row>
    <row r="361" spans="1:12" ht="15.75" customHeight="1">
      <c r="A361" s="951">
        <f t="shared" si="6"/>
        <v>39</v>
      </c>
      <c r="B361" s="949">
        <f>+NOMINA!C350</f>
        <v>12044754</v>
      </c>
      <c r="C361" s="949" t="str">
        <f>+NOMINA!D350</f>
        <v>Briceño Graterol Oscar Antonio</v>
      </c>
      <c r="D361" s="949" t="str">
        <f>+NOMINA!O350</f>
        <v>Ayudante de Servicios Generales</v>
      </c>
      <c r="E361" s="952">
        <f>+NOMINA!H350</f>
        <v>43481</v>
      </c>
      <c r="F361" s="953">
        <f>+NOMINA!BL350</f>
        <v>10.76</v>
      </c>
      <c r="G361" s="953">
        <f>+NOMINA!BM350</f>
        <v>1.35</v>
      </c>
      <c r="H361" s="608"/>
      <c r="I361" s="609"/>
      <c r="J361" s="609"/>
      <c r="K361" s="609"/>
      <c r="L361" s="609"/>
    </row>
    <row r="362" spans="1:12" ht="15.75" customHeight="1">
      <c r="A362" s="951">
        <f t="shared" si="6"/>
        <v>40</v>
      </c>
      <c r="B362" s="949">
        <f>+NOMINA!C351</f>
        <v>12046834</v>
      </c>
      <c r="C362" s="949" t="str">
        <f>+NOMINA!D351</f>
        <v>Perez Montilla William Jose</v>
      </c>
      <c r="D362" s="949" t="str">
        <f>+NOMINA!O351</f>
        <v>Cocinero</v>
      </c>
      <c r="E362" s="952">
        <f>+NOMINA!H351</f>
        <v>43313</v>
      </c>
      <c r="F362" s="953">
        <f>+NOMINA!BL351</f>
        <v>13.22</v>
      </c>
      <c r="G362" s="953">
        <f>+NOMINA!BM351</f>
        <v>1.65</v>
      </c>
      <c r="H362" s="608"/>
      <c r="I362" s="609"/>
      <c r="J362" s="609"/>
      <c r="K362" s="609"/>
      <c r="L362" s="609"/>
    </row>
    <row r="363" spans="1:12" ht="15.75" customHeight="1">
      <c r="A363" s="951">
        <f t="shared" si="6"/>
        <v>41</v>
      </c>
      <c r="B363" s="949">
        <f>+NOMINA!C352</f>
        <v>12047016</v>
      </c>
      <c r="C363" s="949" t="str">
        <f>+NOMINA!D352</f>
        <v>Lozada de Estenoz Maria Edicta</v>
      </c>
      <c r="D363" s="949" t="str">
        <f>+NOMINA!O352</f>
        <v>Cocinera</v>
      </c>
      <c r="E363" s="952">
        <f>+NOMINA!H352</f>
        <v>42948</v>
      </c>
      <c r="F363" s="953">
        <f>+NOMINA!BL352</f>
        <v>12.04</v>
      </c>
      <c r="G363" s="953">
        <f>+NOMINA!BM352</f>
        <v>1.51</v>
      </c>
      <c r="H363" s="608"/>
      <c r="I363" s="609"/>
      <c r="J363" s="609"/>
      <c r="K363" s="609"/>
      <c r="L363" s="609"/>
    </row>
    <row r="364" spans="1:12" ht="15.75" customHeight="1">
      <c r="A364" s="951">
        <f t="shared" si="6"/>
        <v>42</v>
      </c>
      <c r="B364" s="949">
        <f>+NOMINA!C353</f>
        <v>12797543</v>
      </c>
      <c r="C364" s="949" t="str">
        <f>+NOMINA!D353</f>
        <v>Carrizo Blanco Doris Coromoto</v>
      </c>
      <c r="D364" s="949" t="str">
        <f>+NOMINA!O353</f>
        <v>Ayudante de Servicios Generales</v>
      </c>
      <c r="E364" s="952">
        <f>+NOMINA!H353</f>
        <v>42948</v>
      </c>
      <c r="F364" s="953">
        <f>+NOMINA!BL353</f>
        <v>10.83</v>
      </c>
      <c r="G364" s="953">
        <f>+NOMINA!BM353</f>
        <v>1.35</v>
      </c>
      <c r="H364" s="608"/>
      <c r="I364" s="609"/>
      <c r="J364" s="609"/>
      <c r="K364" s="609"/>
      <c r="L364" s="609"/>
    </row>
    <row r="365" spans="1:12" ht="15.75" customHeight="1">
      <c r="A365" s="951">
        <f t="shared" si="6"/>
        <v>43</v>
      </c>
      <c r="B365" s="949">
        <f>+NOMINA!C354</f>
        <v>12797598</v>
      </c>
      <c r="C365" s="949" t="str">
        <f>+NOMINA!D354</f>
        <v>Gutierrez Briceño Jose Gabriel</v>
      </c>
      <c r="D365" s="949" t="str">
        <f>+NOMINA!O354</f>
        <v>Cocinero</v>
      </c>
      <c r="E365" s="952">
        <f>+NOMINA!H354</f>
        <v>44635</v>
      </c>
      <c r="F365" s="953">
        <f>+NOMINA!BL354</f>
        <v>11.7</v>
      </c>
      <c r="G365" s="953">
        <f>+NOMINA!BM354</f>
        <v>1.46</v>
      </c>
      <c r="H365" s="608"/>
      <c r="I365" s="609"/>
      <c r="J365" s="609"/>
      <c r="K365" s="609"/>
      <c r="L365" s="609"/>
    </row>
    <row r="366" spans="1:12" ht="15.75" customHeight="1">
      <c r="A366" s="951">
        <f t="shared" si="6"/>
        <v>44</v>
      </c>
      <c r="B366" s="949">
        <f>+NOMINA!C355</f>
        <v>13049800</v>
      </c>
      <c r="C366" s="949" t="str">
        <f>+NOMINA!D355</f>
        <v>Artigas Sanchez Mereldes Corina</v>
      </c>
      <c r="D366" s="949" t="str">
        <f>+NOMINA!O355</f>
        <v>Aseadora</v>
      </c>
      <c r="E366" s="952">
        <f>+NOMINA!H355</f>
        <v>42171</v>
      </c>
      <c r="F366" s="953">
        <f>+NOMINA!BL355</f>
        <v>10.07</v>
      </c>
      <c r="G366" s="953">
        <f>+NOMINA!BM355</f>
        <v>1.26</v>
      </c>
      <c r="H366" s="608"/>
      <c r="I366" s="609"/>
      <c r="J366" s="609"/>
      <c r="K366" s="609"/>
      <c r="L366" s="609"/>
    </row>
    <row r="367" spans="1:12" ht="15.75" customHeight="1">
      <c r="A367" s="951">
        <f t="shared" si="6"/>
        <v>45</v>
      </c>
      <c r="B367" s="949">
        <f>+NOMINA!C356</f>
        <v>13260758</v>
      </c>
      <c r="C367" s="949" t="str">
        <f>+NOMINA!D356</f>
        <v>Zerpa Silva Frank Michael</v>
      </c>
      <c r="D367" s="949" t="str">
        <f>+NOMINA!O356</f>
        <v>Vigilante</v>
      </c>
      <c r="E367" s="952">
        <f>+NOMINA!H356</f>
        <v>39118</v>
      </c>
      <c r="F367" s="953">
        <f>+NOMINA!BL356</f>
        <v>16.190000000000001</v>
      </c>
      <c r="G367" s="953">
        <f>+NOMINA!BM356</f>
        <v>2.02</v>
      </c>
      <c r="H367" s="608"/>
      <c r="I367" s="609"/>
      <c r="J367" s="609"/>
      <c r="K367" s="609"/>
      <c r="L367" s="609"/>
    </row>
    <row r="368" spans="1:12" ht="15.75" customHeight="1">
      <c r="A368" s="951">
        <f t="shared" si="6"/>
        <v>46</v>
      </c>
      <c r="B368" s="949">
        <f>+NOMINA!C357</f>
        <v>13376729</v>
      </c>
      <c r="C368" s="949" t="str">
        <f>+NOMINA!D357</f>
        <v>Briceño Aldana Yhon Mario</v>
      </c>
      <c r="D368" s="949" t="str">
        <f>+NOMINA!O357</f>
        <v>Vigilante</v>
      </c>
      <c r="E368" s="952">
        <f>+NOMINA!H357</f>
        <v>42948</v>
      </c>
      <c r="F368" s="953">
        <f>+NOMINA!BL357</f>
        <v>15.66</v>
      </c>
      <c r="G368" s="953">
        <f>+NOMINA!BM357</f>
        <v>1.96</v>
      </c>
      <c r="H368" s="608"/>
      <c r="I368" s="609"/>
      <c r="J368" s="609"/>
      <c r="K368" s="609"/>
      <c r="L368" s="609"/>
    </row>
    <row r="369" spans="1:12" ht="15.75" customHeight="1">
      <c r="A369" s="951">
        <f t="shared" si="6"/>
        <v>47</v>
      </c>
      <c r="B369" s="949">
        <f>+NOMINA!C358</f>
        <v>13404824</v>
      </c>
      <c r="C369" s="949" t="str">
        <f>+NOMINA!D358</f>
        <v>Malpica Rivas Julio Enrique</v>
      </c>
      <c r="D369" s="949" t="str">
        <f>+NOMINA!O358</f>
        <v>Ayudante de Servicios Generales</v>
      </c>
      <c r="E369" s="952">
        <f>+NOMINA!H358</f>
        <v>45474</v>
      </c>
      <c r="F369" s="953">
        <f>+NOMINA!BL358</f>
        <v>10.41</v>
      </c>
      <c r="G369" s="953">
        <f>+NOMINA!BM358</f>
        <v>1.3</v>
      </c>
      <c r="H369" s="608"/>
      <c r="I369" s="609"/>
      <c r="J369" s="609"/>
      <c r="K369" s="609"/>
      <c r="L369" s="609"/>
    </row>
    <row r="370" spans="1:12" ht="15.75" customHeight="1">
      <c r="A370" s="951">
        <f t="shared" si="6"/>
        <v>48</v>
      </c>
      <c r="B370" s="949">
        <f>+NOMINA!C359</f>
        <v>13522771</v>
      </c>
      <c r="C370" s="949" t="str">
        <f>+NOMINA!D359</f>
        <v>Briceño Leal Ana Edelmira</v>
      </c>
      <c r="D370" s="949" t="str">
        <f>+NOMINA!O359</f>
        <v>Aseadora</v>
      </c>
      <c r="E370" s="952">
        <f>+NOMINA!H359</f>
        <v>44228</v>
      </c>
      <c r="F370" s="953">
        <f>+NOMINA!BL359</f>
        <v>10.210000000000001</v>
      </c>
      <c r="G370" s="953">
        <f>+NOMINA!BM359</f>
        <v>1.28</v>
      </c>
      <c r="H370" s="608"/>
      <c r="I370" s="609"/>
      <c r="J370" s="609"/>
      <c r="K370" s="609"/>
      <c r="L370" s="609"/>
    </row>
    <row r="371" spans="1:12" ht="15.75" customHeight="1">
      <c r="A371" s="951">
        <f t="shared" si="6"/>
        <v>49</v>
      </c>
      <c r="B371" s="949">
        <f>+NOMINA!C360</f>
        <v>13745328</v>
      </c>
      <c r="C371" s="949" t="str">
        <f>+NOMINA!D360</f>
        <v>Arroyo Williams Jose</v>
      </c>
      <c r="D371" s="949" t="str">
        <f>+NOMINA!O360</f>
        <v>Ayudante de Servicios Generales</v>
      </c>
      <c r="E371" s="952">
        <f>+NOMINA!H360</f>
        <v>44805</v>
      </c>
      <c r="F371" s="953">
        <f>+NOMINA!BL360</f>
        <v>14.28</v>
      </c>
      <c r="G371" s="953">
        <f>+NOMINA!BM360</f>
        <v>1.79</v>
      </c>
      <c r="H371" s="608"/>
      <c r="I371" s="609"/>
      <c r="J371" s="609"/>
      <c r="K371" s="609"/>
      <c r="L371" s="609"/>
    </row>
    <row r="372" spans="1:12" ht="15.75" customHeight="1">
      <c r="A372" s="951">
        <f t="shared" si="6"/>
        <v>50</v>
      </c>
      <c r="B372" s="949">
        <f>+NOMINA!C361</f>
        <v>13996661</v>
      </c>
      <c r="C372" s="949" t="str">
        <f>+NOMINA!D361</f>
        <v>Perez Montilla Yosmer Alexander</v>
      </c>
      <c r="D372" s="949" t="str">
        <f>+NOMINA!O361</f>
        <v>Chofer</v>
      </c>
      <c r="E372" s="952">
        <f>+NOMINA!H361</f>
        <v>44743</v>
      </c>
      <c r="F372" s="953">
        <f>+NOMINA!BL361</f>
        <v>14.72</v>
      </c>
      <c r="G372" s="953">
        <f>+NOMINA!BM361</f>
        <v>1.84</v>
      </c>
      <c r="H372" s="608"/>
      <c r="I372" s="609"/>
      <c r="J372" s="609"/>
      <c r="K372" s="609"/>
      <c r="L372" s="609"/>
    </row>
    <row r="373" spans="1:12" ht="15.75" customHeight="1">
      <c r="A373" s="951">
        <f t="shared" si="6"/>
        <v>51</v>
      </c>
      <c r="B373" s="949">
        <f>+NOMINA!C362</f>
        <v>13996885</v>
      </c>
      <c r="C373" s="949" t="str">
        <f>+NOMINA!D362</f>
        <v>Pulido Rojo Wilmer Jose</v>
      </c>
      <c r="D373" s="949" t="str">
        <f>+NOMINA!O362</f>
        <v>Chofer</v>
      </c>
      <c r="E373" s="952">
        <f>+NOMINA!H362</f>
        <v>44363</v>
      </c>
      <c r="F373" s="953">
        <f>+NOMINA!BL362</f>
        <v>14.2</v>
      </c>
      <c r="G373" s="953">
        <f>+NOMINA!BM362</f>
        <v>1.77</v>
      </c>
      <c r="H373" s="608"/>
      <c r="I373" s="609"/>
      <c r="J373" s="609"/>
      <c r="K373" s="609"/>
      <c r="L373" s="609"/>
    </row>
    <row r="374" spans="1:12" ht="15.75" customHeight="1">
      <c r="A374" s="951">
        <f t="shared" si="6"/>
        <v>52</v>
      </c>
      <c r="B374" s="949">
        <f>+NOMINA!C363</f>
        <v>14149971</v>
      </c>
      <c r="C374" s="949" t="str">
        <f>+NOMINA!D363</f>
        <v>Rivera Virginia del Carmen</v>
      </c>
      <c r="D374" s="949" t="str">
        <f>+NOMINA!O363</f>
        <v>Aseadora</v>
      </c>
      <c r="E374" s="952">
        <f>+NOMINA!H363</f>
        <v>41091</v>
      </c>
      <c r="F374" s="953">
        <f>+NOMINA!BL363</f>
        <v>10.72</v>
      </c>
      <c r="G374" s="953">
        <f>+NOMINA!BM363</f>
        <v>1.34</v>
      </c>
      <c r="H374" s="608"/>
      <c r="I374" s="609"/>
      <c r="J374" s="609"/>
      <c r="K374" s="609"/>
      <c r="L374" s="609"/>
    </row>
    <row r="375" spans="1:12" ht="15.75" customHeight="1">
      <c r="A375" s="951">
        <f t="shared" si="6"/>
        <v>53</v>
      </c>
      <c r="B375" s="949">
        <f>+NOMINA!C364</f>
        <v>14150495</v>
      </c>
      <c r="C375" s="949" t="str">
        <f>+NOMINA!D364</f>
        <v>Umbria de Segovia Alexandra del Carmen</v>
      </c>
      <c r="D375" s="949" t="str">
        <f>+NOMINA!O364</f>
        <v>Ayudante de Almacen</v>
      </c>
      <c r="E375" s="952">
        <f>+NOMINA!H364</f>
        <v>44228</v>
      </c>
      <c r="F375" s="953">
        <f>+NOMINA!BL364</f>
        <v>11.3</v>
      </c>
      <c r="G375" s="953">
        <f>+NOMINA!BM364</f>
        <v>1.41</v>
      </c>
      <c r="H375" s="608"/>
      <c r="I375" s="609"/>
      <c r="J375" s="609"/>
      <c r="K375" s="609"/>
      <c r="L375" s="609"/>
    </row>
    <row r="376" spans="1:12" ht="15.75" customHeight="1">
      <c r="A376" s="951">
        <f t="shared" si="6"/>
        <v>54</v>
      </c>
      <c r="B376" s="949">
        <f>+NOMINA!C365</f>
        <v>14599616</v>
      </c>
      <c r="C376" s="949" t="str">
        <f>+NOMINA!D365</f>
        <v>Andara Briceño Jean Carlos</v>
      </c>
      <c r="D376" s="949" t="str">
        <f>+NOMINA!O365</f>
        <v>Aseador</v>
      </c>
      <c r="E376" s="952">
        <f>+NOMINA!H365</f>
        <v>43525</v>
      </c>
      <c r="F376" s="953">
        <f>+NOMINA!BL365</f>
        <v>9.84</v>
      </c>
      <c r="G376" s="953">
        <f>+NOMINA!BM365</f>
        <v>1.23</v>
      </c>
      <c r="H376" s="608"/>
      <c r="I376" s="609"/>
      <c r="J376" s="609"/>
      <c r="K376" s="609"/>
      <c r="L376" s="609"/>
    </row>
    <row r="377" spans="1:12" ht="15.75" customHeight="1">
      <c r="A377" s="951">
        <f t="shared" si="6"/>
        <v>55</v>
      </c>
      <c r="B377" s="949">
        <f>+NOMINA!C366</f>
        <v>14718369</v>
      </c>
      <c r="C377" s="949" t="str">
        <f>+NOMINA!D366</f>
        <v>Pacheco Yudith Del Valle</v>
      </c>
      <c r="D377" s="949" t="str">
        <f>+NOMINA!O366</f>
        <v>Aseadora</v>
      </c>
      <c r="E377" s="952">
        <f>+NOMINA!H366</f>
        <v>43147</v>
      </c>
      <c r="F377" s="953">
        <f>+NOMINA!BL366</f>
        <v>9.9</v>
      </c>
      <c r="G377" s="953">
        <f>+NOMINA!BM366</f>
        <v>1.24</v>
      </c>
      <c r="H377" s="608"/>
      <c r="I377" s="609"/>
      <c r="J377" s="609"/>
      <c r="K377" s="609"/>
      <c r="L377" s="609"/>
    </row>
    <row r="378" spans="1:12" ht="15.75" customHeight="1">
      <c r="A378" s="951">
        <f t="shared" si="6"/>
        <v>56</v>
      </c>
      <c r="B378" s="949">
        <f>+NOMINA!C367</f>
        <v>14718468</v>
      </c>
      <c r="C378" s="949" t="str">
        <f>+NOMINA!D367</f>
        <v>Frias Aldana Yhonny Ramon</v>
      </c>
      <c r="D378" s="949" t="str">
        <f>+NOMINA!O367</f>
        <v>Ayudante De Almacen</v>
      </c>
      <c r="E378" s="952">
        <f>+NOMINA!H367</f>
        <v>42948</v>
      </c>
      <c r="F378" s="953">
        <f>+NOMINA!BL367</f>
        <v>12.04</v>
      </c>
      <c r="G378" s="953">
        <f>+NOMINA!BM367</f>
        <v>1.51</v>
      </c>
      <c r="H378" s="608"/>
      <c r="I378" s="609"/>
      <c r="J378" s="609"/>
      <c r="K378" s="609"/>
      <c r="L378" s="609"/>
    </row>
    <row r="379" spans="1:12" ht="15.75" customHeight="1">
      <c r="A379" s="951">
        <f t="shared" si="6"/>
        <v>57</v>
      </c>
      <c r="B379" s="949">
        <f>+NOMINA!C368</f>
        <v>14719205</v>
      </c>
      <c r="C379" s="949" t="str">
        <f>+NOMINA!D368</f>
        <v>Chinchilla Perez Jean Carlos</v>
      </c>
      <c r="D379" s="949" t="str">
        <f>+NOMINA!O368</f>
        <v>Ayudante de Servicios Generales</v>
      </c>
      <c r="E379" s="952">
        <f>+NOMINA!H368</f>
        <v>39861</v>
      </c>
      <c r="F379" s="953">
        <f>+NOMINA!BL368</f>
        <v>11.42</v>
      </c>
      <c r="G379" s="953">
        <f>+NOMINA!BM368</f>
        <v>1.43</v>
      </c>
      <c r="H379" s="608"/>
      <c r="I379" s="609"/>
      <c r="J379" s="609"/>
      <c r="K379" s="609"/>
      <c r="L379" s="609"/>
    </row>
    <row r="380" spans="1:12" ht="15.75" customHeight="1">
      <c r="A380" s="951">
        <f t="shared" si="6"/>
        <v>58</v>
      </c>
      <c r="B380" s="949">
        <f>+NOMINA!C369</f>
        <v>14719356</v>
      </c>
      <c r="C380" s="949" t="str">
        <f>+NOMINA!D369</f>
        <v>Linares Montilla Gerardo Enrique</v>
      </c>
      <c r="D380" s="949" t="str">
        <f>+NOMINA!O369</f>
        <v>Ayudante de Servicios Generales</v>
      </c>
      <c r="E380" s="952">
        <f>+NOMINA!H369</f>
        <v>44348</v>
      </c>
      <c r="F380" s="953">
        <f>+NOMINA!BL369</f>
        <v>11.5</v>
      </c>
      <c r="G380" s="953">
        <f>+NOMINA!BM369</f>
        <v>1.44</v>
      </c>
      <c r="H380" s="608"/>
      <c r="I380" s="609"/>
      <c r="J380" s="609"/>
      <c r="K380" s="609"/>
      <c r="L380" s="609"/>
    </row>
    <row r="381" spans="1:12" ht="15.75" customHeight="1">
      <c r="A381" s="951">
        <f t="shared" si="6"/>
        <v>59</v>
      </c>
      <c r="B381" s="949">
        <f>+NOMINA!C370</f>
        <v>14780893</v>
      </c>
      <c r="C381" s="949" t="str">
        <f>+NOMINA!D370</f>
        <v>Perez Gonzalez Reinaldo Andre</v>
      </c>
      <c r="D381" s="949" t="str">
        <f>+NOMINA!O370</f>
        <v>Ayudante de Servicios Generales</v>
      </c>
      <c r="E381" s="952">
        <f>+NOMINA!H370</f>
        <v>41570</v>
      </c>
      <c r="F381" s="953">
        <f>+NOMINA!BL370</f>
        <v>11.11</v>
      </c>
      <c r="G381" s="953">
        <f>+NOMINA!BM370</f>
        <v>1.39</v>
      </c>
      <c r="H381" s="608"/>
      <c r="I381" s="609"/>
      <c r="J381" s="609"/>
      <c r="K381" s="609"/>
      <c r="L381" s="609"/>
    </row>
    <row r="382" spans="1:12" ht="15.75" customHeight="1">
      <c r="A382" s="951">
        <f t="shared" si="6"/>
        <v>60</v>
      </c>
      <c r="B382" s="949">
        <f>+NOMINA!C371</f>
        <v>14928047</v>
      </c>
      <c r="C382" s="949" t="str">
        <f>+NOMINA!D371</f>
        <v>Becerra Teran Maria Alejandra</v>
      </c>
      <c r="D382" s="949" t="str">
        <f>+NOMINA!O371</f>
        <v>Cocinera</v>
      </c>
      <c r="E382" s="952">
        <f>+NOMINA!H371</f>
        <v>43297</v>
      </c>
      <c r="F382" s="953">
        <f>+NOMINA!BL371</f>
        <v>11.51</v>
      </c>
      <c r="G382" s="953">
        <f>+NOMINA!BM371</f>
        <v>1.44</v>
      </c>
      <c r="H382" s="608"/>
      <c r="I382" s="609"/>
      <c r="J382" s="609"/>
      <c r="K382" s="609"/>
      <c r="L382" s="609"/>
    </row>
    <row r="383" spans="1:12" ht="15.75" customHeight="1">
      <c r="A383" s="951">
        <f t="shared" si="6"/>
        <v>61</v>
      </c>
      <c r="B383" s="949">
        <f>+NOMINA!C372</f>
        <v>15042683</v>
      </c>
      <c r="C383" s="949" t="str">
        <f>+NOMINA!D372</f>
        <v>Rivera Hermes Edixon</v>
      </c>
      <c r="D383" s="949" t="str">
        <f>+NOMINA!O372</f>
        <v>Aseador</v>
      </c>
      <c r="E383" s="952">
        <f>+NOMINA!H372</f>
        <v>45292</v>
      </c>
      <c r="F383" s="953">
        <f>+NOMINA!BL372</f>
        <v>10.11</v>
      </c>
      <c r="G383" s="953">
        <f>+NOMINA!BM372</f>
        <v>1.26</v>
      </c>
      <c r="H383" s="608"/>
      <c r="I383" s="609"/>
      <c r="J383" s="609"/>
      <c r="K383" s="609"/>
      <c r="L383" s="609"/>
    </row>
    <row r="384" spans="1:12" ht="15.75" customHeight="1">
      <c r="A384" s="951">
        <f t="shared" si="6"/>
        <v>62</v>
      </c>
      <c r="B384" s="949">
        <f>+NOMINA!C373</f>
        <v>15583194</v>
      </c>
      <c r="C384" s="949" t="str">
        <f>+NOMINA!D373</f>
        <v>Garcia Briceño Wuiston Andres</v>
      </c>
      <c r="D384" s="949" t="str">
        <f>+NOMINA!O373</f>
        <v>Cocinero</v>
      </c>
      <c r="E384" s="952">
        <f>+NOMINA!H373</f>
        <v>44166</v>
      </c>
      <c r="F384" s="953">
        <f>+NOMINA!BL373</f>
        <v>12.91</v>
      </c>
      <c r="G384" s="953">
        <f>+NOMINA!BM373</f>
        <v>1.61</v>
      </c>
      <c r="H384" s="608"/>
      <c r="I384" s="609"/>
      <c r="J384" s="609"/>
      <c r="K384" s="609"/>
      <c r="L384" s="609"/>
    </row>
    <row r="385" spans="1:12" ht="15.75" customHeight="1">
      <c r="A385" s="951">
        <f t="shared" si="6"/>
        <v>63</v>
      </c>
      <c r="B385" s="949">
        <f>+NOMINA!C374</f>
        <v>14928592</v>
      </c>
      <c r="C385" s="949" t="str">
        <f>+NOMINA!D374</f>
        <v>Rosales Ruiz Jesus Alberto</v>
      </c>
      <c r="D385" s="949" t="str">
        <f>+NOMINA!O374</f>
        <v>Cocinero</v>
      </c>
      <c r="E385" s="952">
        <f>+NOMINA!H374</f>
        <v>45017</v>
      </c>
      <c r="F385" s="953">
        <f>+NOMINA!BL374</f>
        <v>11.18</v>
      </c>
      <c r="G385" s="953">
        <f>+NOMINA!BM374</f>
        <v>1.4</v>
      </c>
      <c r="H385" s="608"/>
      <c r="I385" s="609"/>
      <c r="J385" s="609"/>
      <c r="K385" s="609"/>
      <c r="L385" s="609"/>
    </row>
    <row r="386" spans="1:12" ht="15.75" customHeight="1">
      <c r="A386" s="951">
        <f t="shared" si="6"/>
        <v>64</v>
      </c>
      <c r="B386" s="949">
        <f>+NOMINA!C375</f>
        <v>15952512</v>
      </c>
      <c r="C386" s="949" t="str">
        <f>+NOMINA!D375</f>
        <v>Graterol Gonzalez Maria Ysela</v>
      </c>
      <c r="D386" s="949" t="str">
        <f>+NOMINA!O375</f>
        <v>Aseadora</v>
      </c>
      <c r="E386" s="952">
        <f>+NOMINA!H375</f>
        <v>40725</v>
      </c>
      <c r="F386" s="953">
        <f>+NOMINA!BL375</f>
        <v>10.33</v>
      </c>
      <c r="G386" s="953">
        <f>+NOMINA!BM375</f>
        <v>1.29</v>
      </c>
      <c r="H386" s="608"/>
      <c r="I386" s="609"/>
      <c r="J386" s="609"/>
      <c r="K386" s="609"/>
      <c r="L386" s="609"/>
    </row>
    <row r="387" spans="1:12" ht="15.75" customHeight="1">
      <c r="A387" s="951">
        <f t="shared" si="6"/>
        <v>65</v>
      </c>
      <c r="B387" s="949">
        <f>+NOMINA!C376</f>
        <v>15953703</v>
      </c>
      <c r="C387" s="949" t="str">
        <f>+NOMINA!D376</f>
        <v>Briceño Salas Jose Leonardo</v>
      </c>
      <c r="D387" s="949" t="str">
        <f>+NOMINA!O376</f>
        <v>Ayudante de Servicios Generales</v>
      </c>
      <c r="E387" s="952">
        <f>+NOMINA!H376</f>
        <v>38718</v>
      </c>
      <c r="F387" s="953">
        <f>+NOMINA!BL376</f>
        <v>12.7</v>
      </c>
      <c r="G387" s="953">
        <f>+NOMINA!BM376</f>
        <v>1.59</v>
      </c>
      <c r="H387" s="608"/>
      <c r="I387" s="609"/>
      <c r="J387" s="609"/>
      <c r="K387" s="609"/>
      <c r="L387" s="609"/>
    </row>
    <row r="388" spans="1:12" ht="15.75" customHeight="1">
      <c r="A388" s="951">
        <f t="shared" si="6"/>
        <v>66</v>
      </c>
      <c r="B388" s="949">
        <f>+NOMINA!C377</f>
        <v>16266801</v>
      </c>
      <c r="C388" s="949" t="str">
        <f>+NOMINA!D377</f>
        <v>Briceño Gonzalez Mirla Carolina</v>
      </c>
      <c r="D388" s="949" t="str">
        <f>+NOMINA!O377</f>
        <v>Cocinera</v>
      </c>
      <c r="E388" s="952">
        <f>+NOMINA!H377</f>
        <v>39496</v>
      </c>
      <c r="F388" s="953">
        <f>+NOMINA!BL377</f>
        <v>12.81</v>
      </c>
      <c r="G388" s="953">
        <f>+NOMINA!BM377</f>
        <v>1.6</v>
      </c>
      <c r="H388" s="608"/>
      <c r="I388" s="609"/>
      <c r="J388" s="609"/>
      <c r="K388" s="609"/>
      <c r="L388" s="609"/>
    </row>
    <row r="389" spans="1:12" ht="15.75" customHeight="1">
      <c r="A389" s="951">
        <f t="shared" ref="A389:A414" si="7">+A388+1</f>
        <v>67</v>
      </c>
      <c r="B389" s="949">
        <f>+NOMINA!C378</f>
        <v>16739958</v>
      </c>
      <c r="C389" s="949" t="str">
        <f>+NOMINA!D378</f>
        <v>Ramirez Ramirez Natali Gabriela</v>
      </c>
      <c r="D389" s="949" t="str">
        <f>+NOMINA!O378</f>
        <v>Ayud. Serv. De Cocina</v>
      </c>
      <c r="E389" s="952">
        <f>+NOMINA!H378</f>
        <v>44866</v>
      </c>
      <c r="F389" s="953">
        <f>+NOMINA!BL378</f>
        <v>11.07</v>
      </c>
      <c r="G389" s="953">
        <f>+NOMINA!BM378</f>
        <v>1.38</v>
      </c>
      <c r="H389" s="608"/>
      <c r="I389" s="609"/>
      <c r="J389" s="609"/>
      <c r="K389" s="609"/>
      <c r="L389" s="609"/>
    </row>
    <row r="390" spans="1:12" ht="15.75" customHeight="1">
      <c r="A390" s="951">
        <f t="shared" si="7"/>
        <v>68</v>
      </c>
      <c r="B390" s="949">
        <f>+NOMINA!C379</f>
        <v>16881526</v>
      </c>
      <c r="C390" s="949" t="str">
        <f>+NOMINA!D379</f>
        <v>Montilla Mendoza Addy Coromoto</v>
      </c>
      <c r="D390" s="949" t="str">
        <f>+NOMINA!O379</f>
        <v>Aseador</v>
      </c>
      <c r="E390" s="952">
        <f>+NOMINA!H379</f>
        <v>44470</v>
      </c>
      <c r="F390" s="953">
        <f>+NOMINA!BL379</f>
        <v>10.67</v>
      </c>
      <c r="G390" s="953">
        <f>+NOMINA!BM379</f>
        <v>1.33</v>
      </c>
      <c r="H390" s="608"/>
      <c r="I390" s="609"/>
      <c r="J390" s="609"/>
      <c r="K390" s="609"/>
      <c r="L390" s="609"/>
    </row>
    <row r="391" spans="1:12" ht="15.75" customHeight="1">
      <c r="A391" s="951">
        <f t="shared" si="7"/>
        <v>69</v>
      </c>
      <c r="B391" s="949">
        <f>+NOMINA!C380</f>
        <v>17093567</v>
      </c>
      <c r="C391" s="949" t="str">
        <f>+NOMINA!D380</f>
        <v>Torres Villarreal Yenny del Carmen</v>
      </c>
      <c r="D391" s="949" t="str">
        <f>+NOMINA!O380</f>
        <v>Ayudante de Servicios Generales</v>
      </c>
      <c r="E391" s="952">
        <f>+NOMINA!H380</f>
        <v>39449</v>
      </c>
      <c r="F391" s="953">
        <f>+NOMINA!BL380</f>
        <v>11.6</v>
      </c>
      <c r="G391" s="953">
        <f>+NOMINA!BM380</f>
        <v>1.45</v>
      </c>
      <c r="H391" s="608"/>
      <c r="I391" s="609"/>
      <c r="J391" s="609"/>
      <c r="K391" s="609"/>
      <c r="L391" s="609"/>
    </row>
    <row r="392" spans="1:12" ht="15.75" customHeight="1">
      <c r="A392" s="951">
        <f t="shared" si="7"/>
        <v>70</v>
      </c>
      <c r="B392" s="949">
        <f>+NOMINA!C381</f>
        <v>17093846</v>
      </c>
      <c r="C392" s="949" t="str">
        <f>+NOMINA!D381</f>
        <v>Bastidas Rivera Junior Antonio</v>
      </c>
      <c r="D392" s="949" t="str">
        <f>+NOMINA!O381</f>
        <v>Ayudante de Servicios Generales</v>
      </c>
      <c r="E392" s="952">
        <f>+NOMINA!H381</f>
        <v>45017</v>
      </c>
      <c r="F392" s="953">
        <f>+NOMINA!BL381</f>
        <v>10.47</v>
      </c>
      <c r="G392" s="953">
        <f>+NOMINA!BM381</f>
        <v>1.31</v>
      </c>
      <c r="H392" s="608"/>
      <c r="I392" s="609"/>
      <c r="J392" s="609"/>
      <c r="K392" s="609"/>
      <c r="L392" s="609"/>
    </row>
    <row r="393" spans="1:12" ht="15.75" customHeight="1">
      <c r="A393" s="951">
        <f t="shared" si="7"/>
        <v>71</v>
      </c>
      <c r="B393" s="949">
        <f>+NOMINA!C382</f>
        <v>17095084</v>
      </c>
      <c r="C393" s="949" t="str">
        <f>+NOMINA!D382</f>
        <v>Gonzalez Simancas Yulimar del Valle</v>
      </c>
      <c r="D393" s="949" t="str">
        <f>+NOMINA!O382</f>
        <v>Cocinera</v>
      </c>
      <c r="E393" s="952">
        <f>+NOMINA!H382</f>
        <v>44317</v>
      </c>
      <c r="F393" s="953">
        <f>+NOMINA!BL382</f>
        <v>12.23</v>
      </c>
      <c r="G393" s="953">
        <f>+NOMINA!BM382</f>
        <v>1.53</v>
      </c>
      <c r="H393" s="608"/>
      <c r="I393" s="609"/>
      <c r="J393" s="609"/>
      <c r="K393" s="609"/>
      <c r="L393" s="609"/>
    </row>
    <row r="394" spans="1:12" ht="15.75" customHeight="1">
      <c r="A394" s="951">
        <f t="shared" si="7"/>
        <v>72</v>
      </c>
      <c r="B394" s="949">
        <f>+NOMINA!C383</f>
        <v>17267173</v>
      </c>
      <c r="C394" s="949" t="str">
        <f>+NOMINA!D383</f>
        <v>Torres Alvarez Olga Josefina</v>
      </c>
      <c r="D394" s="949" t="str">
        <f>+NOMINA!O383</f>
        <v>AYUDANTE DE ALMACEN</v>
      </c>
      <c r="E394" s="952">
        <f>+NOMINA!H383</f>
        <v>44317</v>
      </c>
      <c r="F394" s="953">
        <f>+NOMINA!BL383</f>
        <v>11.3</v>
      </c>
      <c r="G394" s="953">
        <f>+NOMINA!BM383</f>
        <v>1.41</v>
      </c>
      <c r="H394" s="608"/>
      <c r="I394" s="609"/>
      <c r="J394" s="609"/>
      <c r="K394" s="609"/>
      <c r="L394" s="609"/>
    </row>
    <row r="395" spans="1:12" ht="15.75" customHeight="1">
      <c r="A395" s="951">
        <f t="shared" si="7"/>
        <v>73</v>
      </c>
      <c r="B395" s="949">
        <f>+NOMINA!C384</f>
        <v>17267546</v>
      </c>
      <c r="C395" s="949" t="str">
        <f>+NOMINA!D384</f>
        <v>Bastidas Rivera Franklin Enrique</v>
      </c>
      <c r="D395" s="949" t="str">
        <f>+NOMINA!O384</f>
        <v>Ayudante de Servicios Generales</v>
      </c>
      <c r="E395" s="952">
        <f>+NOMINA!H384</f>
        <v>39197</v>
      </c>
      <c r="F395" s="953">
        <f>+NOMINA!BL384</f>
        <v>12.06</v>
      </c>
      <c r="G395" s="953">
        <f>+NOMINA!BM384</f>
        <v>1.51</v>
      </c>
      <c r="H395" s="608"/>
      <c r="I395" s="609"/>
      <c r="J395" s="609"/>
      <c r="K395" s="609"/>
      <c r="L395" s="609"/>
    </row>
    <row r="396" spans="1:12" ht="15.75" customHeight="1">
      <c r="A396" s="951">
        <f t="shared" si="7"/>
        <v>74</v>
      </c>
      <c r="B396" s="949">
        <f>+NOMINA!C385</f>
        <v>18096032</v>
      </c>
      <c r="C396" s="949" t="str">
        <f>+NOMINA!D385</f>
        <v>Graterol Graterol Isidro Antonio</v>
      </c>
      <c r="D396" s="949" t="str">
        <f>+NOMINA!O385</f>
        <v>Chofer</v>
      </c>
      <c r="E396" s="952">
        <f>+NOMINA!H385</f>
        <v>45566</v>
      </c>
      <c r="F396" s="953">
        <f>+NOMINA!BL385</f>
        <v>16.68</v>
      </c>
      <c r="G396" s="953">
        <f>+NOMINA!BM385</f>
        <v>2.09</v>
      </c>
      <c r="H396" s="608"/>
      <c r="I396" s="609"/>
      <c r="J396" s="609"/>
      <c r="K396" s="609"/>
      <c r="L396" s="609"/>
    </row>
    <row r="397" spans="1:12" ht="15.75" customHeight="1">
      <c r="A397" s="951">
        <f t="shared" si="7"/>
        <v>75</v>
      </c>
      <c r="B397" s="949">
        <f>+NOMINA!C386</f>
        <v>18096338</v>
      </c>
      <c r="C397" s="949" t="str">
        <f>+NOMINA!D386</f>
        <v>Ramirez Manzanilla Jose Jesus</v>
      </c>
      <c r="D397" s="949" t="str">
        <f>+NOMINA!O386</f>
        <v>Cocinero</v>
      </c>
      <c r="E397" s="952">
        <f>+NOMINA!H386</f>
        <v>39463</v>
      </c>
      <c r="F397" s="953">
        <f>+NOMINA!BL386</f>
        <v>13.22</v>
      </c>
      <c r="G397" s="953">
        <f>+NOMINA!BM386</f>
        <v>1.65</v>
      </c>
      <c r="H397" s="608"/>
      <c r="I397" s="609"/>
      <c r="J397" s="609"/>
      <c r="K397" s="609"/>
      <c r="L397" s="609"/>
    </row>
    <row r="398" spans="1:12" ht="15.75" customHeight="1">
      <c r="A398" s="951">
        <f t="shared" si="7"/>
        <v>76</v>
      </c>
      <c r="B398" s="949">
        <f>+NOMINA!C387</f>
        <v>18350780</v>
      </c>
      <c r="C398" s="949" t="str">
        <f>+NOMINA!D387</f>
        <v>Frias Aldana Giovanny Jacinto</v>
      </c>
      <c r="D398" s="949" t="str">
        <f>+NOMINA!O387</f>
        <v>Vigilante</v>
      </c>
      <c r="E398" s="952">
        <f>+NOMINA!H387</f>
        <v>43116</v>
      </c>
      <c r="F398" s="953">
        <f>+NOMINA!BL387</f>
        <v>15.66</v>
      </c>
      <c r="G398" s="953">
        <f>+NOMINA!BM387</f>
        <v>1.96</v>
      </c>
      <c r="H398" s="608"/>
      <c r="I398" s="609"/>
      <c r="J398" s="609"/>
      <c r="K398" s="609"/>
      <c r="L398" s="609"/>
    </row>
    <row r="399" spans="1:12" ht="15.75" customHeight="1">
      <c r="A399" s="951">
        <f t="shared" si="7"/>
        <v>77</v>
      </c>
      <c r="B399" s="949">
        <f>+NOMINA!C388</f>
        <v>18456167</v>
      </c>
      <c r="C399" s="949" t="str">
        <f>+NOMINA!D388</f>
        <v>Olmos Linares Luis Alberto</v>
      </c>
      <c r="D399" s="949" t="str">
        <f>+NOMINA!O388</f>
        <v>Cocinero</v>
      </c>
      <c r="E399" s="952">
        <f>+NOMINA!H388</f>
        <v>44516</v>
      </c>
      <c r="F399" s="953">
        <f>+NOMINA!BL388</f>
        <v>12.23</v>
      </c>
      <c r="G399" s="953">
        <f>+NOMINA!BM388</f>
        <v>1.53</v>
      </c>
      <c r="H399" s="608"/>
      <c r="I399" s="609"/>
      <c r="J399" s="609"/>
      <c r="K399" s="609"/>
      <c r="L399" s="609"/>
    </row>
    <row r="400" spans="1:12" ht="15.75" customHeight="1">
      <c r="A400" s="951">
        <f t="shared" si="7"/>
        <v>78</v>
      </c>
      <c r="B400" s="949">
        <f>+NOMINA!C389</f>
        <v>18456576</v>
      </c>
      <c r="C400" s="949" t="str">
        <f>+NOMINA!D389</f>
        <v>Quintero Duran Emilio Alfonso</v>
      </c>
      <c r="D400" s="949" t="str">
        <f>+NOMINA!O389</f>
        <v>Chofer</v>
      </c>
      <c r="E400" s="952">
        <f>+NOMINA!H389</f>
        <v>44743</v>
      </c>
      <c r="F400" s="953">
        <f>+NOMINA!BL389</f>
        <v>15.32</v>
      </c>
      <c r="G400" s="953">
        <f>+NOMINA!BM389</f>
        <v>1.92</v>
      </c>
      <c r="H400" s="608"/>
      <c r="I400" s="609"/>
      <c r="J400" s="609"/>
      <c r="K400" s="609"/>
      <c r="L400" s="609"/>
    </row>
    <row r="401" spans="1:12" ht="15.75" customHeight="1">
      <c r="A401" s="951">
        <f t="shared" si="7"/>
        <v>79</v>
      </c>
      <c r="B401" s="949">
        <f>+NOMINA!C390</f>
        <v>20039961</v>
      </c>
      <c r="C401" s="949" t="str">
        <f>+NOMINA!D390</f>
        <v>Torres Villarreal Lisbeth Carolina</v>
      </c>
      <c r="D401" s="949" t="str">
        <f>+NOMINA!O390</f>
        <v>Aseadora</v>
      </c>
      <c r="E401" s="952">
        <f>+NOMINA!H390</f>
        <v>38412</v>
      </c>
      <c r="F401" s="953">
        <f>+NOMINA!BL390</f>
        <v>11.69</v>
      </c>
      <c r="G401" s="953">
        <f>+NOMINA!BM390</f>
        <v>1.46</v>
      </c>
      <c r="H401" s="608"/>
      <c r="I401" s="609"/>
      <c r="J401" s="609"/>
      <c r="K401" s="609"/>
      <c r="L401" s="609"/>
    </row>
    <row r="402" spans="1:12" ht="15.75" customHeight="1">
      <c r="A402" s="951">
        <f t="shared" si="7"/>
        <v>80</v>
      </c>
      <c r="B402" s="949">
        <f>+NOMINA!C391</f>
        <v>20040649</v>
      </c>
      <c r="C402" s="949" t="str">
        <f>+NOMINA!D391</f>
        <v>Isarra Materan Jose de La Paz</v>
      </c>
      <c r="D402" s="949" t="str">
        <f>+NOMINA!O391</f>
        <v>Chofer</v>
      </c>
      <c r="E402" s="952">
        <f>+NOMINA!H391</f>
        <v>44743</v>
      </c>
      <c r="F402" s="953">
        <f>+NOMINA!BL391</f>
        <v>15.32</v>
      </c>
      <c r="G402" s="953">
        <f>+NOMINA!BM391</f>
        <v>1.92</v>
      </c>
      <c r="H402" s="608"/>
      <c r="I402" s="609"/>
      <c r="J402" s="609"/>
      <c r="K402" s="609"/>
      <c r="L402" s="609"/>
    </row>
    <row r="403" spans="1:12" ht="15.75" customHeight="1">
      <c r="A403" s="951">
        <f t="shared" si="7"/>
        <v>81</v>
      </c>
      <c r="B403" s="949">
        <f>+NOMINA!C392</f>
        <v>21366579</v>
      </c>
      <c r="C403" s="949" t="str">
        <f>+NOMINA!D392</f>
        <v>Azuaje Espinoza Erick Enrique</v>
      </c>
      <c r="D403" s="949" t="str">
        <f>+NOMINA!O392</f>
        <v>Mensajero</v>
      </c>
      <c r="E403" s="952">
        <f>+NOMINA!H392</f>
        <v>44774</v>
      </c>
      <c r="F403" s="953">
        <f>+NOMINA!BL392</f>
        <v>10.61</v>
      </c>
      <c r="G403" s="953">
        <f>+NOMINA!BM392</f>
        <v>1.33</v>
      </c>
      <c r="H403" s="608"/>
      <c r="I403" s="609"/>
      <c r="J403" s="609"/>
      <c r="K403" s="609"/>
      <c r="L403" s="609"/>
    </row>
    <row r="404" spans="1:12" ht="15.75" customHeight="1">
      <c r="A404" s="951">
        <f t="shared" si="7"/>
        <v>82</v>
      </c>
      <c r="B404" s="949">
        <f>+NOMINA!C393</f>
        <v>23594381</v>
      </c>
      <c r="C404" s="949" t="str">
        <f>+NOMINA!D393</f>
        <v>Albornoz Montilla Daniel Enrique</v>
      </c>
      <c r="D404" s="949" t="str">
        <f>+NOMINA!O393</f>
        <v>Ayudante de Servicios Generales</v>
      </c>
      <c r="E404" s="952">
        <f>+NOMINA!H393</f>
        <v>45597</v>
      </c>
      <c r="F404" s="953">
        <f>+NOMINA!BL393</f>
        <v>10.5</v>
      </c>
      <c r="G404" s="953">
        <f>+NOMINA!BM393</f>
        <v>1.31</v>
      </c>
      <c r="H404" s="608"/>
      <c r="I404" s="609"/>
      <c r="J404" s="609"/>
      <c r="K404" s="609"/>
      <c r="L404" s="609"/>
    </row>
    <row r="405" spans="1:12" ht="15.75" customHeight="1">
      <c r="A405" s="951">
        <f t="shared" si="7"/>
        <v>83</v>
      </c>
      <c r="B405" s="949">
        <f>+NOMINA!C394</f>
        <v>25173228</v>
      </c>
      <c r="C405" s="949" t="str">
        <f>+NOMINA!D394</f>
        <v>Davila Sanchez Eduar Alexander</v>
      </c>
      <c r="D405" s="949" t="str">
        <f>+NOMINA!O394</f>
        <v>Ayudante de Servicios Generales</v>
      </c>
      <c r="E405" s="952">
        <f>+NOMINA!H394</f>
        <v>44531</v>
      </c>
      <c r="F405" s="953">
        <f>+NOMINA!BL394</f>
        <v>14.95</v>
      </c>
      <c r="G405" s="953">
        <f>+NOMINA!BM394</f>
        <v>1.87</v>
      </c>
      <c r="H405" s="608"/>
      <c r="I405" s="609"/>
      <c r="J405" s="609"/>
      <c r="K405" s="609"/>
      <c r="L405" s="609"/>
    </row>
    <row r="406" spans="1:12" ht="15.75" customHeight="1">
      <c r="A406" s="951">
        <f t="shared" si="7"/>
        <v>84</v>
      </c>
      <c r="B406" s="949">
        <f>+NOMINA!C395</f>
        <v>25631811</v>
      </c>
      <c r="C406" s="949" t="str">
        <f>+NOMINA!D395</f>
        <v>Barrios Briceño Christian Xavier</v>
      </c>
      <c r="D406" s="949" t="str">
        <f>+NOMINA!O395</f>
        <v>Cocinero</v>
      </c>
      <c r="E406" s="952">
        <f>+NOMINA!H395</f>
        <v>44440</v>
      </c>
      <c r="F406" s="953">
        <f>+NOMINA!BL395</f>
        <v>11.3</v>
      </c>
      <c r="G406" s="953">
        <f>+NOMINA!BM395</f>
        <v>1.41</v>
      </c>
      <c r="H406" s="608"/>
      <c r="I406" s="609"/>
      <c r="J406" s="609"/>
      <c r="K406" s="609"/>
      <c r="L406" s="609"/>
    </row>
    <row r="407" spans="1:12" ht="15.75" customHeight="1">
      <c r="A407" s="951">
        <f t="shared" si="7"/>
        <v>85</v>
      </c>
      <c r="B407" s="949">
        <f>+NOMINA!C396</f>
        <v>25919888</v>
      </c>
      <c r="C407" s="949" t="str">
        <f>+NOMINA!D396</f>
        <v>Rivero Lamus Ninoska del Valle</v>
      </c>
      <c r="D407" s="949" t="str">
        <f>+NOMINA!O396</f>
        <v>Aseadora</v>
      </c>
      <c r="E407" s="952">
        <f>+NOMINA!H396</f>
        <v>44805</v>
      </c>
      <c r="F407" s="953">
        <f>+NOMINA!BL396</f>
        <v>10.62</v>
      </c>
      <c r="G407" s="953">
        <f>+NOMINA!BM396</f>
        <v>1.33</v>
      </c>
      <c r="H407" s="608"/>
      <c r="I407" s="609"/>
      <c r="J407" s="609"/>
      <c r="K407" s="609"/>
      <c r="L407" s="609"/>
    </row>
    <row r="408" spans="1:12" ht="15.75" customHeight="1">
      <c r="A408" s="951">
        <f t="shared" si="7"/>
        <v>86</v>
      </c>
      <c r="B408" s="949">
        <f>+NOMINA!C397</f>
        <v>26235670</v>
      </c>
      <c r="C408" s="949" t="str">
        <f>+NOMINA!D397</f>
        <v>Viloria Garcia Kieny Keyvit</v>
      </c>
      <c r="D408" s="949" t="str">
        <f>+NOMINA!O397</f>
        <v>Ayudante de Servicios Generales</v>
      </c>
      <c r="E408" s="952">
        <f>+NOMINA!H397</f>
        <v>45597</v>
      </c>
      <c r="F408" s="953">
        <f>+NOMINA!BL397</f>
        <v>10.5</v>
      </c>
      <c r="G408" s="953">
        <f>+NOMINA!BM397</f>
        <v>1.31</v>
      </c>
      <c r="H408" s="608"/>
      <c r="I408" s="609"/>
      <c r="J408" s="609"/>
      <c r="K408" s="609"/>
      <c r="L408" s="609"/>
    </row>
    <row r="409" spans="1:12" ht="15.75" customHeight="1">
      <c r="A409" s="951">
        <f t="shared" si="7"/>
        <v>87</v>
      </c>
      <c r="B409" s="949">
        <f>+NOMINA!C398</f>
        <v>26482867</v>
      </c>
      <c r="C409" s="949" t="str">
        <f>+NOMINA!D398</f>
        <v>Valecillos Duran Brando Jose</v>
      </c>
      <c r="D409" s="949" t="str">
        <f>+NOMINA!O398</f>
        <v>Ayudante de Servicios Generales</v>
      </c>
      <c r="E409" s="952">
        <f>+NOMINA!H398</f>
        <v>45078</v>
      </c>
      <c r="F409" s="953">
        <f>+NOMINA!BL398</f>
        <v>10.47</v>
      </c>
      <c r="G409" s="953">
        <f>+NOMINA!BM398</f>
        <v>1.31</v>
      </c>
      <c r="H409" s="608"/>
      <c r="I409" s="609"/>
      <c r="J409" s="609"/>
      <c r="K409" s="609"/>
      <c r="L409" s="609"/>
    </row>
    <row r="410" spans="1:12" ht="15.75" customHeight="1">
      <c r="A410" s="951">
        <f t="shared" si="7"/>
        <v>88</v>
      </c>
      <c r="B410" s="949">
        <f>+NOMINA!C399</f>
        <v>27415509</v>
      </c>
      <c r="C410" s="949" t="str">
        <f>+NOMINA!D399</f>
        <v>Barreto Rivero Luis Diego</v>
      </c>
      <c r="D410" s="949" t="str">
        <f>+NOMINA!O399</f>
        <v>Ayudante de Servicios Generales</v>
      </c>
      <c r="E410" s="952">
        <f>+NOMINA!H399</f>
        <v>43678</v>
      </c>
      <c r="F410" s="953">
        <f>+NOMINA!BL399</f>
        <v>10.69</v>
      </c>
      <c r="G410" s="953">
        <f>+NOMINA!BM399</f>
        <v>1.34</v>
      </c>
      <c r="H410" s="608"/>
      <c r="I410" s="609"/>
      <c r="J410" s="609"/>
      <c r="K410" s="609"/>
      <c r="L410" s="609"/>
    </row>
    <row r="411" spans="1:12" ht="15.75" customHeight="1">
      <c r="A411" s="951">
        <f t="shared" si="7"/>
        <v>89</v>
      </c>
      <c r="B411" s="949">
        <f>+NOMINA!C400</f>
        <v>27470077</v>
      </c>
      <c r="C411" s="949" t="str">
        <f>+NOMINA!D400</f>
        <v>Gonzalez Castellanos Yusberly Yohandri</v>
      </c>
      <c r="D411" s="949" t="str">
        <f>+NOMINA!O400</f>
        <v>Aseadora</v>
      </c>
      <c r="E411" s="952">
        <f>+NOMINA!H400</f>
        <v>44743</v>
      </c>
      <c r="F411" s="953">
        <f>+NOMINA!BL400</f>
        <v>10.16</v>
      </c>
      <c r="G411" s="953">
        <f>+NOMINA!BM400</f>
        <v>1.27</v>
      </c>
      <c r="H411" s="608"/>
      <c r="I411" s="609"/>
      <c r="J411" s="609"/>
      <c r="K411" s="609"/>
      <c r="L411" s="609"/>
    </row>
    <row r="412" spans="1:12" ht="15.75" customHeight="1">
      <c r="A412" s="951">
        <f t="shared" si="7"/>
        <v>90</v>
      </c>
      <c r="B412" s="949">
        <f>+NOMINA!C401</f>
        <v>29539270</v>
      </c>
      <c r="C412" s="949" t="str">
        <f>+NOMINA!D401</f>
        <v>Rojas Carrillo Laureano Augusto</v>
      </c>
      <c r="D412" s="949" t="str">
        <f>+NOMINA!O401</f>
        <v>Ayudante de Servicios Generales</v>
      </c>
      <c r="E412" s="952">
        <f>+NOMINA!H401</f>
        <v>44287</v>
      </c>
      <c r="F412" s="953">
        <f>+NOMINA!BL401</f>
        <v>10.58</v>
      </c>
      <c r="G412" s="953">
        <f>+NOMINA!BM401</f>
        <v>1.32</v>
      </c>
      <c r="H412" s="608"/>
      <c r="I412" s="609"/>
      <c r="J412" s="609"/>
      <c r="K412" s="609"/>
      <c r="L412" s="609"/>
    </row>
    <row r="413" spans="1:12" ht="15.75" customHeight="1">
      <c r="A413" s="951">
        <f t="shared" si="7"/>
        <v>91</v>
      </c>
      <c r="B413" s="949">
        <f>+NOMINA!C402</f>
        <v>29994277</v>
      </c>
      <c r="C413" s="949" t="str">
        <f>+NOMINA!D402</f>
        <v>Quintero Rangel Jose Arsenio</v>
      </c>
      <c r="D413" s="949" t="str">
        <f>+NOMINA!O402</f>
        <v>Ayudante de Servicios Generales</v>
      </c>
      <c r="E413" s="952">
        <f>+NOMINA!H402</f>
        <v>44562</v>
      </c>
      <c r="F413" s="953">
        <f>+NOMINA!BL402</f>
        <v>10.58</v>
      </c>
      <c r="G413" s="953">
        <f>+NOMINA!BM402</f>
        <v>1.32</v>
      </c>
      <c r="H413" s="608"/>
      <c r="I413" s="609"/>
      <c r="J413" s="609"/>
      <c r="K413" s="609"/>
      <c r="L413" s="609"/>
    </row>
    <row r="414" spans="1:12" ht="15.75" customHeight="1" thickBot="1">
      <c r="A414" s="951">
        <f t="shared" si="7"/>
        <v>92</v>
      </c>
      <c r="B414" s="949">
        <f>+NOMINA!C403</f>
        <v>32084560</v>
      </c>
      <c r="C414" s="949" t="str">
        <f>+NOMINA!D403</f>
        <v>Hernandez Gomez Carmen Elena</v>
      </c>
      <c r="D414" s="949" t="str">
        <f>+NOMINA!O403</f>
        <v xml:space="preserve">Cocinera </v>
      </c>
      <c r="E414" s="952">
        <f>+NOMINA!H403</f>
        <v>44348</v>
      </c>
      <c r="F414" s="953">
        <f>+NOMINA!BL403</f>
        <v>11.3</v>
      </c>
      <c r="G414" s="953">
        <f>+NOMINA!BM403</f>
        <v>1.41</v>
      </c>
      <c r="H414" s="608"/>
      <c r="I414" s="609"/>
      <c r="J414" s="609"/>
      <c r="K414" s="609"/>
      <c r="L414" s="609"/>
    </row>
    <row r="415" spans="1:12" ht="15.75" customHeight="1" thickBot="1">
      <c r="A415" s="951"/>
      <c r="B415" s="949"/>
      <c r="C415" s="949"/>
      <c r="D415" s="965" t="s">
        <v>4493</v>
      </c>
      <c r="E415" s="616" t="s">
        <v>5847</v>
      </c>
      <c r="F415" s="950">
        <f>SUM(F323:F414)</f>
        <v>1064.02</v>
      </c>
      <c r="G415" s="950">
        <f>SUM(G323:G414)</f>
        <v>133.03000000000003</v>
      </c>
      <c r="H415" s="608">
        <f>+NOMINA!BL395</f>
        <v>11.3</v>
      </c>
      <c r="I415" s="609">
        <f>+F415-H415</f>
        <v>1052.72</v>
      </c>
      <c r="J415" s="608">
        <f>+NOMINA!BM395</f>
        <v>1.41</v>
      </c>
      <c r="K415" s="609">
        <f>+G415-J415</f>
        <v>131.62000000000003</v>
      </c>
      <c r="L415" s="609"/>
    </row>
    <row r="416" spans="1:12" ht="8.25" customHeight="1">
      <c r="A416" s="967"/>
      <c r="B416" s="954"/>
      <c r="C416" s="968"/>
      <c r="D416" s="968"/>
      <c r="E416" s="969"/>
      <c r="F416" s="970"/>
      <c r="G416" s="970"/>
      <c r="H416" s="608"/>
    </row>
    <row r="417" spans="1:11" ht="8.25" customHeight="1" thickBot="1">
      <c r="A417" s="626"/>
      <c r="B417" s="622"/>
      <c r="C417" s="627"/>
      <c r="D417" s="627"/>
      <c r="E417" s="625"/>
      <c r="F417" s="624"/>
      <c r="G417" s="624"/>
      <c r="H417" s="608"/>
    </row>
    <row r="418" spans="1:11" ht="19.5" thickBot="1">
      <c r="A418" s="961"/>
      <c r="B418" s="962"/>
      <c r="C418" s="963"/>
      <c r="D418" s="966" t="s">
        <v>5848</v>
      </c>
      <c r="E418" s="616" t="s">
        <v>5848</v>
      </c>
      <c r="F418" s="964">
        <f>+F415+F314+F37</f>
        <v>5996.6699999999973</v>
      </c>
      <c r="G418" s="964">
        <f>+G415+G314+G37</f>
        <v>749.68000000000018</v>
      </c>
      <c r="H418" s="608">
        <f>+NOMINA!BL399</f>
        <v>10.69</v>
      </c>
      <c r="I418" s="609">
        <f>+F418-H418</f>
        <v>5985.9799999999977</v>
      </c>
      <c r="J418" s="608">
        <f>+NOMINA!BM399</f>
        <v>1.34</v>
      </c>
      <c r="K418" s="609">
        <f>+G418-J418</f>
        <v>748.34000000000015</v>
      </c>
    </row>
    <row r="419" spans="1:11" ht="13.5" customHeight="1">
      <c r="H419" s="609"/>
      <c r="I419" s="609"/>
    </row>
    <row r="420" spans="1:11">
      <c r="C420" s="604" t="s">
        <v>5840</v>
      </c>
      <c r="E420" s="604" t="s">
        <v>5841</v>
      </c>
      <c r="F420" s="604" t="s">
        <v>5841</v>
      </c>
    </row>
    <row r="423" spans="1:11" ht="17.25">
      <c r="C423" s="614" t="s">
        <v>5842</v>
      </c>
      <c r="E423" s="615" t="s">
        <v>5853</v>
      </c>
      <c r="F423" s="615" t="s">
        <v>5843</v>
      </c>
    </row>
    <row r="424" spans="1:11" ht="17.25">
      <c r="C424" s="614" t="s">
        <v>5844</v>
      </c>
      <c r="E424" s="614" t="s">
        <v>5845</v>
      </c>
      <c r="F424" s="614" t="s">
        <v>5845</v>
      </c>
      <c r="G424" s="618"/>
      <c r="H424" s="618"/>
    </row>
    <row r="425" spans="1:11">
      <c r="G425" s="620"/>
      <c r="H425" s="619"/>
      <c r="I425" s="619"/>
    </row>
    <row r="426" spans="1:11">
      <c r="H426" s="609"/>
      <c r="I426" s="609"/>
    </row>
  </sheetData>
  <mergeCells count="8">
    <mergeCell ref="A8:G8"/>
    <mergeCell ref="A9:G9"/>
    <mergeCell ref="A1:G1"/>
    <mergeCell ref="A2:G2"/>
    <mergeCell ref="A3:G3"/>
    <mergeCell ref="A4:G4"/>
    <mergeCell ref="A5:G5"/>
    <mergeCell ref="A6:G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2" manualBreakCount="2">
    <brk id="45" max="6" man="1"/>
    <brk id="321" max="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15">
    <tabColor rgb="FFFF0000"/>
  </sheetPr>
  <dimension ref="A1:AH471"/>
  <sheetViews>
    <sheetView view="pageBreakPreview" topLeftCell="T11" zoomScale="80" zoomScaleNormal="60" zoomScaleSheetLayoutView="80" workbookViewId="0">
      <pane ySplit="1500" topLeftCell="A434" activePane="bottomLeft"/>
      <selection activeCell="N11" sqref="N11"/>
      <selection pane="bottomLeft" activeCell="AB447" sqref="AB447"/>
    </sheetView>
  </sheetViews>
  <sheetFormatPr baseColWidth="10" defaultRowHeight="15"/>
  <cols>
    <col min="1" max="1" width="16.5703125" style="603" hidden="1" customWidth="1"/>
    <col min="2" max="2" width="7.5703125" style="263" customWidth="1"/>
    <col min="3" max="3" width="14.85546875" style="265" customWidth="1"/>
    <col min="4" max="4" width="41.85546875" style="737" customWidth="1"/>
    <col min="5" max="5" width="13.42578125" style="265" hidden="1" customWidth="1"/>
    <col min="6" max="6" width="17" style="737" hidden="1" customWidth="1"/>
    <col min="7" max="7" width="8.7109375" style="603" hidden="1" customWidth="1"/>
    <col min="8" max="8" width="13.7109375" style="738" customWidth="1"/>
    <col min="9" max="9" width="9" style="603" hidden="1" customWidth="1"/>
    <col min="10" max="11" width="10.140625" style="603" hidden="1" customWidth="1"/>
    <col min="12" max="12" width="21.42578125" style="603" hidden="1" customWidth="1"/>
    <col min="13" max="13" width="14.140625" style="603" hidden="1" customWidth="1"/>
    <col min="14" max="14" width="39.7109375" style="265" customWidth="1"/>
    <col min="15" max="15" width="39.7109375" style="265" hidden="1" customWidth="1"/>
    <col min="16" max="16" width="13.5703125" style="263" customWidth="1"/>
    <col min="17" max="17" width="14.28515625" style="263" hidden="1" customWidth="1"/>
    <col min="18" max="18" width="15.7109375" style="739" customWidth="1"/>
    <col min="19" max="19" width="16.5703125" style="739" customWidth="1"/>
    <col min="20" max="20" width="14.7109375" style="739" customWidth="1"/>
    <col min="21" max="22" width="14.42578125" style="739" customWidth="1"/>
    <col min="23" max="23" width="14.7109375" style="829" customWidth="1"/>
    <col min="24" max="24" width="16" style="829" customWidth="1"/>
    <col min="25" max="26" width="18.140625" style="829" customWidth="1"/>
    <col min="27" max="27" width="16" style="829" customWidth="1"/>
    <col min="28" max="28" width="18.5703125" style="740" customWidth="1"/>
    <col min="29" max="33" width="11.42578125" style="265"/>
    <col min="34" max="34" width="27.42578125" style="265" bestFit="1" customWidth="1"/>
    <col min="35" max="16384" width="11.42578125" style="265"/>
  </cols>
  <sheetData>
    <row r="1" spans="1:34" s="629" customFormat="1" ht="22.5" customHeight="1">
      <c r="A1" s="1603"/>
      <c r="B1" s="628"/>
      <c r="D1" s="630">
        <f>F9</f>
        <v>0</v>
      </c>
      <c r="F1" s="631"/>
      <c r="G1" s="1603"/>
      <c r="H1" s="632"/>
      <c r="I1" s="1603"/>
      <c r="J1" s="1603"/>
      <c r="K1" s="1603"/>
      <c r="L1" s="1603"/>
      <c r="M1" s="1603"/>
      <c r="P1" s="628"/>
      <c r="Q1" s="628"/>
      <c r="R1" s="633"/>
      <c r="S1" s="633"/>
      <c r="T1" s="633"/>
      <c r="U1" s="633"/>
      <c r="V1" s="633"/>
      <c r="W1" s="741"/>
      <c r="X1" s="741"/>
      <c r="Y1" s="741"/>
      <c r="Z1" s="741"/>
      <c r="AA1" s="741"/>
      <c r="AB1" s="634"/>
    </row>
    <row r="2" spans="1:34" s="629" customFormat="1" hidden="1">
      <c r="A2" s="1603"/>
      <c r="B2" s="628"/>
      <c r="D2" s="631"/>
      <c r="F2" s="631"/>
      <c r="G2" s="1603"/>
      <c r="H2" s="632"/>
      <c r="I2" s="1603"/>
      <c r="J2" s="1603"/>
      <c r="K2" s="1603"/>
      <c r="L2" s="1603"/>
      <c r="M2" s="1603"/>
      <c r="P2" s="628"/>
      <c r="Q2" s="628"/>
      <c r="R2" s="633"/>
      <c r="S2" s="633"/>
      <c r="T2" s="633"/>
      <c r="U2" s="633"/>
      <c r="V2" s="633"/>
      <c r="W2" s="741"/>
      <c r="X2" s="741"/>
      <c r="Y2" s="741"/>
      <c r="Z2" s="741"/>
      <c r="AA2" s="741"/>
      <c r="AB2" s="634"/>
    </row>
    <row r="3" spans="1:34" s="629" customFormat="1" hidden="1">
      <c r="A3" s="1603"/>
      <c r="B3" s="628"/>
      <c r="D3" s="631"/>
      <c r="F3" s="631"/>
      <c r="G3" s="1603"/>
      <c r="H3" s="632"/>
      <c r="I3" s="1603"/>
      <c r="J3" s="1603"/>
      <c r="K3" s="1603"/>
      <c r="L3" s="1603"/>
      <c r="M3" s="1603"/>
      <c r="P3" s="628"/>
      <c r="Q3" s="628"/>
      <c r="R3" s="633"/>
      <c r="S3" s="633"/>
      <c r="T3" s="633"/>
      <c r="U3" s="633"/>
      <c r="V3" s="633"/>
      <c r="W3" s="741"/>
      <c r="X3" s="741"/>
      <c r="Y3" s="741"/>
      <c r="Z3" s="741"/>
      <c r="AA3" s="741"/>
      <c r="AB3" s="634"/>
    </row>
    <row r="4" spans="1:34" s="629" customFormat="1" hidden="1">
      <c r="A4" s="1603"/>
      <c r="B4" s="628"/>
      <c r="D4" s="631"/>
      <c r="F4" s="631"/>
      <c r="G4" s="1603"/>
      <c r="H4" s="632"/>
      <c r="I4" s="1603"/>
      <c r="J4" s="1603"/>
      <c r="K4" s="1603"/>
      <c r="L4" s="1603"/>
      <c r="M4" s="1603"/>
      <c r="P4" s="628"/>
      <c r="Q4" s="628"/>
      <c r="R4" s="633"/>
      <c r="S4" s="633"/>
      <c r="T4" s="633"/>
      <c r="U4" s="633"/>
      <c r="V4" s="633"/>
      <c r="W4" s="741"/>
      <c r="X4" s="741"/>
      <c r="Y4" s="741"/>
      <c r="Z4" s="741"/>
      <c r="AA4" s="741"/>
      <c r="AB4" s="634"/>
    </row>
    <row r="5" spans="1:34" s="629" customFormat="1">
      <c r="A5" s="1603"/>
      <c r="B5" s="628"/>
      <c r="D5" s="631"/>
      <c r="F5" s="631"/>
      <c r="G5" s="1603"/>
      <c r="H5" s="632"/>
      <c r="I5" s="1603"/>
      <c r="J5" s="1603"/>
      <c r="K5" s="1603"/>
      <c r="L5" s="1603"/>
      <c r="M5" s="1603"/>
      <c r="P5" s="628"/>
      <c r="Q5" s="628"/>
      <c r="R5" s="633"/>
      <c r="S5" s="633"/>
      <c r="T5" s="633"/>
      <c r="U5" s="633"/>
      <c r="V5" s="633"/>
      <c r="W5" s="741"/>
      <c r="X5" s="741"/>
      <c r="Y5" s="741"/>
      <c r="Z5" s="741"/>
      <c r="AA5" s="741"/>
      <c r="AB5" s="634"/>
    </row>
    <row r="6" spans="1:34" s="629" customFormat="1">
      <c r="A6" s="1603"/>
      <c r="B6" s="628"/>
      <c r="D6" s="631"/>
      <c r="F6" s="631"/>
      <c r="G6" s="1603"/>
      <c r="H6" s="632"/>
      <c r="I6" s="1603"/>
      <c r="J6" s="1603"/>
      <c r="K6" s="1603"/>
      <c r="L6" s="1603"/>
      <c r="M6" s="1603"/>
      <c r="P6" s="628"/>
      <c r="Q6" s="628"/>
      <c r="R6" s="633"/>
      <c r="S6" s="633"/>
      <c r="T6" s="633"/>
      <c r="U6" s="633"/>
      <c r="V6" s="633"/>
      <c r="W6" s="741"/>
      <c r="X6" s="741"/>
      <c r="Y6" s="741"/>
      <c r="Z6" s="741"/>
      <c r="AA6" s="741"/>
      <c r="AB6" s="634"/>
    </row>
    <row r="7" spans="1:34" s="629" customFormat="1" ht="37.5" customHeight="1">
      <c r="A7" s="1603"/>
      <c r="B7" s="628"/>
      <c r="D7" s="631"/>
      <c r="F7" s="631"/>
      <c r="G7" s="1603"/>
      <c r="H7" s="632"/>
      <c r="I7" s="1603"/>
      <c r="J7" s="1603"/>
      <c r="K7" s="1603"/>
      <c r="L7" s="1603"/>
      <c r="M7" s="1603"/>
      <c r="P7" s="628"/>
      <c r="Q7" s="628"/>
      <c r="R7" s="633"/>
      <c r="S7" s="633"/>
      <c r="T7" s="633"/>
      <c r="U7" s="633"/>
      <c r="V7" s="633"/>
      <c r="W7" s="741"/>
      <c r="X7" s="741"/>
      <c r="Y7" s="741"/>
      <c r="Z7" s="741"/>
      <c r="AA7" s="741"/>
      <c r="AB7" s="634"/>
    </row>
    <row r="8" spans="1:34" s="629" customFormat="1" ht="21" customHeight="1">
      <c r="A8" s="1603"/>
      <c r="B8" s="628"/>
      <c r="D8" s="631"/>
      <c r="F8" s="631"/>
      <c r="G8" s="1603"/>
      <c r="H8" s="632"/>
      <c r="I8" s="1603"/>
      <c r="J8" s="1603"/>
      <c r="K8" s="1603"/>
      <c r="L8" s="1603"/>
      <c r="M8" s="1603"/>
      <c r="P8" s="628"/>
      <c r="Q8" s="628"/>
      <c r="R8" s="633"/>
      <c r="S8" s="633"/>
      <c r="T8" s="633"/>
      <c r="U8" s="633"/>
      <c r="V8" s="633"/>
      <c r="W8" s="741"/>
      <c r="X8" s="741"/>
      <c r="Y8" s="741"/>
      <c r="Z8" s="741"/>
      <c r="AA8" s="741"/>
      <c r="AB8" s="634"/>
    </row>
    <row r="9" spans="1:34" s="629" customFormat="1" ht="29.25" customHeight="1" thickBot="1">
      <c r="A9" s="1603"/>
      <c r="B9" s="628"/>
      <c r="C9" s="1720" t="str">
        <f>+"4TO PAGO AGUINALDOS"</f>
        <v>4TO PAGO AGUINALDOS</v>
      </c>
      <c r="D9" s="1720"/>
      <c r="E9" s="1720"/>
      <c r="F9" s="1720"/>
      <c r="G9" s="1720"/>
      <c r="H9" s="1720"/>
      <c r="I9" s="1720"/>
      <c r="J9" s="1720"/>
      <c r="K9" s="639"/>
      <c r="L9" s="639"/>
      <c r="M9" s="1603"/>
      <c r="N9" s="1568"/>
      <c r="P9" s="628"/>
      <c r="Q9" s="628"/>
      <c r="R9" s="633"/>
      <c r="S9" s="633"/>
      <c r="T9" s="633"/>
      <c r="U9" s="633"/>
      <c r="V9" s="633"/>
      <c r="W9" s="741"/>
      <c r="X9" s="741"/>
      <c r="Y9" s="741"/>
      <c r="Z9" s="741"/>
      <c r="AA9" s="741"/>
      <c r="AB9" s="634"/>
    </row>
    <row r="10" spans="1:34" s="642" customFormat="1" ht="27.75" customHeight="1" thickBot="1">
      <c r="A10" s="641"/>
      <c r="B10" s="641"/>
      <c r="D10" s="643"/>
      <c r="F10" s="643"/>
      <c r="G10" s="641"/>
      <c r="H10" s="644"/>
      <c r="I10" s="641"/>
      <c r="J10" s="641"/>
      <c r="K10" s="641"/>
      <c r="L10" s="1721" t="s">
        <v>4627</v>
      </c>
      <c r="M10" s="1722"/>
      <c r="N10" s="629"/>
      <c r="O10" s="629"/>
      <c r="P10" s="641"/>
      <c r="Q10" s="641"/>
      <c r="R10" s="1723"/>
      <c r="S10" s="1723"/>
      <c r="T10" s="1605"/>
      <c r="U10" s="1605"/>
      <c r="V10" s="1605"/>
      <c r="W10" s="743"/>
      <c r="X10" s="744"/>
      <c r="Y10" s="745"/>
      <c r="Z10" s="1569"/>
      <c r="AA10" s="1569"/>
      <c r="AB10" s="1570">
        <v>4</v>
      </c>
    </row>
    <row r="11" spans="1:34" s="629" customFormat="1" ht="78.75" customHeight="1" thickBot="1">
      <c r="A11" s="652" t="s">
        <v>2840</v>
      </c>
      <c r="B11" s="653" t="s">
        <v>0</v>
      </c>
      <c r="C11" s="654" t="s">
        <v>2</v>
      </c>
      <c r="D11" s="655" t="s">
        <v>3</v>
      </c>
      <c r="E11" s="654" t="s">
        <v>4619</v>
      </c>
      <c r="F11" s="656" t="s">
        <v>4580</v>
      </c>
      <c r="G11" s="654" t="s">
        <v>4623</v>
      </c>
      <c r="H11" s="654" t="s">
        <v>4</v>
      </c>
      <c r="I11" s="654" t="s">
        <v>4625</v>
      </c>
      <c r="J11" s="654" t="s">
        <v>4624</v>
      </c>
      <c r="K11" s="654" t="s">
        <v>4574</v>
      </c>
      <c r="L11" s="751" t="s">
        <v>4636</v>
      </c>
      <c r="M11" s="751" t="s">
        <v>4573</v>
      </c>
      <c r="N11" s="654" t="s">
        <v>5</v>
      </c>
      <c r="O11" s="654" t="s">
        <v>5102</v>
      </c>
      <c r="P11" s="654" t="s">
        <v>6840</v>
      </c>
      <c r="Q11" s="654" t="s">
        <v>7370</v>
      </c>
      <c r="R11" s="752" t="s">
        <v>7371</v>
      </c>
      <c r="S11" s="654" t="s">
        <v>7372</v>
      </c>
      <c r="T11" s="654" t="s">
        <v>7373</v>
      </c>
      <c r="U11" s="1604" t="s">
        <v>7374</v>
      </c>
      <c r="V11" s="882" t="s">
        <v>9</v>
      </c>
      <c r="W11" s="753" t="s">
        <v>5818</v>
      </c>
      <c r="X11" s="753" t="s">
        <v>5819</v>
      </c>
      <c r="Y11" s="753" t="s">
        <v>5823</v>
      </c>
      <c r="Z11" s="657" t="s">
        <v>7393</v>
      </c>
      <c r="AA11" s="657" t="s">
        <v>2859</v>
      </c>
      <c r="AB11" s="657" t="s">
        <v>7375</v>
      </c>
    </row>
    <row r="12" spans="1:34" s="629" customFormat="1" ht="21.75" customHeight="1" thickBot="1">
      <c r="A12" s="757"/>
      <c r="B12" s="758" t="str">
        <f>+"PERSONAL EN COMISION DE SERVICIO_NOMINA_4TO PAGO AGUINALDOS"</f>
        <v>PERSONAL EN COMISION DE SERVICIO_NOMINA_4TO PAGO AGUINALDOS</v>
      </c>
      <c r="C12" s="759"/>
      <c r="D12" s="760"/>
      <c r="E12" s="759"/>
      <c r="F12" s="760"/>
      <c r="G12" s="761"/>
      <c r="H12" s="762"/>
      <c r="I12" s="763"/>
      <c r="J12" s="763"/>
      <c r="K12" s="763"/>
      <c r="L12" s="763"/>
      <c r="M12" s="763"/>
      <c r="N12" s="764"/>
      <c r="O12" s="764"/>
      <c r="P12" s="765"/>
      <c r="Q12" s="765"/>
      <c r="R12" s="766"/>
      <c r="S12" s="766"/>
      <c r="T12" s="766"/>
      <c r="U12" s="766"/>
      <c r="V12" s="768"/>
      <c r="W12" s="767"/>
      <c r="X12" s="767"/>
      <c r="Y12" s="767"/>
      <c r="Z12" s="1571"/>
      <c r="AA12" s="1571"/>
    </row>
    <row r="13" spans="1:34" s="629" customFormat="1" ht="20.100000000000001" customHeight="1">
      <c r="A13" s="770" t="s">
        <v>2846</v>
      </c>
      <c r="B13" s="771">
        <v>1</v>
      </c>
      <c r="C13" s="1145">
        <f>NOMINA!C13</f>
        <v>19591141</v>
      </c>
      <c r="D13" s="1146" t="str">
        <f>NOMINA!D13</f>
        <v>Almazan Barragan Maria de los Angeles</v>
      </c>
      <c r="E13" s="1602" t="s">
        <v>4622</v>
      </c>
      <c r="F13" s="1153">
        <v>32351</v>
      </c>
      <c r="G13" s="1602" t="s">
        <v>4620</v>
      </c>
      <c r="H13" s="1572">
        <f>NOMINA!H13</f>
        <v>44537</v>
      </c>
      <c r="I13" s="1148">
        <f>NOMINA!I13</f>
        <v>3</v>
      </c>
      <c r="J13" s="1149">
        <f>NOMINA!J13</f>
        <v>0</v>
      </c>
      <c r="K13" s="1148">
        <f>I13+J13</f>
        <v>3</v>
      </c>
      <c r="L13" s="1149" t="s">
        <v>4932</v>
      </c>
      <c r="M13" s="1149"/>
      <c r="N13" s="1573" t="str">
        <f>NOMINA!O13</f>
        <v>DIRECTOR GENERAL</v>
      </c>
      <c r="O13" s="1149" t="s">
        <v>5213</v>
      </c>
      <c r="P13" s="1150">
        <f>ROUND(+NOMINA!T13,2)</f>
        <v>0</v>
      </c>
      <c r="Q13" s="1151">
        <f>ROUND(NOMINA!W13,2)</f>
        <v>0</v>
      </c>
      <c r="R13" s="1151">
        <f>ROUND(+NOMINA!AA13,2)</f>
        <v>0</v>
      </c>
      <c r="S13" s="1151">
        <f>ROUND(+NOMINA!AB13,2)</f>
        <v>0</v>
      </c>
      <c r="T13" s="1151">
        <f>ROUND(+NOMINA!AC13,2)</f>
        <v>0</v>
      </c>
      <c r="U13" s="1151">
        <f>ROUND(+NOMINA!AD13,2)</f>
        <v>0</v>
      </c>
      <c r="V13" s="1151">
        <f>ROUND(NOMINA!AQ13,2)</f>
        <v>0</v>
      </c>
      <c r="W13" s="1151">
        <f>+NOMINA!AS13</f>
        <v>0</v>
      </c>
      <c r="X13" s="1151">
        <f>+NOMINA!AT13</f>
        <v>0</v>
      </c>
      <c r="Y13" s="1151">
        <f>+NOMINA!AU13</f>
        <v>0</v>
      </c>
      <c r="Z13" s="1151">
        <f>+NOMINA!BW13</f>
        <v>0</v>
      </c>
      <c r="AA13" s="1151">
        <f>+NOMINA!BX13</f>
        <v>0</v>
      </c>
      <c r="AB13" s="1151">
        <f>+Z13+AA13</f>
        <v>0</v>
      </c>
      <c r="AH13" s="1610" t="str">
        <f>NOMINA!P13</f>
        <v>01020876910000061829</v>
      </c>
    </row>
    <row r="14" spans="1:34" s="629" customFormat="1" ht="20.100000000000001" customHeight="1" thickBot="1">
      <c r="A14" s="1160" t="s">
        <v>2846</v>
      </c>
      <c r="B14" s="771">
        <f ca="1">OFFSET(B14,-1,0)+1</f>
        <v>2</v>
      </c>
      <c r="C14" s="1145">
        <f>NOMINA!C14</f>
        <v>15827671</v>
      </c>
      <c r="D14" s="1146" t="str">
        <f>NOMINA!D14</f>
        <v>Montilla Macias Lucy Margarita</v>
      </c>
      <c r="E14" s="1602" t="s">
        <v>4622</v>
      </c>
      <c r="F14" s="1153">
        <v>32351</v>
      </c>
      <c r="G14" s="1602" t="s">
        <v>4620</v>
      </c>
      <c r="H14" s="1572">
        <f>NOMINA!H14</f>
        <v>44545</v>
      </c>
      <c r="I14" s="1148">
        <f>NOMINA!I14</f>
        <v>3</v>
      </c>
      <c r="J14" s="1149">
        <f>NOMINA!J14</f>
        <v>1</v>
      </c>
      <c r="K14" s="1148">
        <f>I14+J14</f>
        <v>4</v>
      </c>
      <c r="L14" s="1149" t="s">
        <v>4932</v>
      </c>
      <c r="M14" s="1149"/>
      <c r="N14" s="1573" t="str">
        <f>NOMINA!O14</f>
        <v>JEFE DE DEPARTAMENTO</v>
      </c>
      <c r="O14" s="1149" t="s">
        <v>5213</v>
      </c>
      <c r="P14" s="1150">
        <f>ROUND(NOMINA!W14,2)</f>
        <v>26.5</v>
      </c>
      <c r="Q14" s="1151">
        <f>ROUND(NOMINA!W14,2)*0</f>
        <v>0</v>
      </c>
      <c r="R14" s="1151">
        <f>ROUND(+NOMINA!AA14,2)</f>
        <v>2.12</v>
      </c>
      <c r="S14" s="1151">
        <f>ROUND(+NOMINA!AB14,2)</f>
        <v>0</v>
      </c>
      <c r="T14" s="1151">
        <f>ROUND(+NOMINA!AC14,2)</f>
        <v>0</v>
      </c>
      <c r="U14" s="1151">
        <f>ROUND(+NOMINA!AD14,2)</f>
        <v>13.78</v>
      </c>
      <c r="V14" s="1151">
        <f>ROUND(NOMINA!AQ14,2)</f>
        <v>0</v>
      </c>
      <c r="W14" s="1151">
        <f>+NOMINA!AS14</f>
        <v>0</v>
      </c>
      <c r="X14" s="1151">
        <f>+NOMINA!AT14</f>
        <v>0</v>
      </c>
      <c r="Y14" s="1151">
        <f>+NOMINA!AU14</f>
        <v>68.900000000000006</v>
      </c>
      <c r="Z14" s="1151">
        <f>+NOMINA!BX14</f>
        <v>129.19</v>
      </c>
      <c r="AA14" s="1151">
        <f>+NOMINA!BY14</f>
        <v>0</v>
      </c>
      <c r="AB14" s="1151">
        <f>+Z14+AA14</f>
        <v>129.19</v>
      </c>
      <c r="AH14" s="1610" t="str">
        <f>NOMINA!P14</f>
        <v>01020369470000060626</v>
      </c>
    </row>
    <row r="15" spans="1:34" s="629" customFormat="1" ht="24.95" customHeight="1" thickBot="1">
      <c r="A15" s="1160"/>
      <c r="B15" s="676"/>
      <c r="C15" s="772"/>
      <c r="D15" s="773"/>
      <c r="E15" s="774"/>
      <c r="F15" s="775"/>
      <c r="G15" s="774"/>
      <c r="H15" s="1574"/>
      <c r="I15" s="776"/>
      <c r="J15" s="777"/>
      <c r="K15" s="607" t="s">
        <v>5873</v>
      </c>
      <c r="L15" s="1575"/>
      <c r="M15" s="777"/>
      <c r="N15" s="1576"/>
      <c r="O15" s="777"/>
      <c r="P15" s="694">
        <f t="shared" ref="P15:AB15" si="0">SUM(P13:P14)</f>
        <v>26.5</v>
      </c>
      <c r="Q15" s="694">
        <f t="shared" si="0"/>
        <v>0</v>
      </c>
      <c r="R15" s="694">
        <f t="shared" si="0"/>
        <v>2.12</v>
      </c>
      <c r="S15" s="694">
        <f t="shared" si="0"/>
        <v>0</v>
      </c>
      <c r="T15" s="694">
        <f t="shared" si="0"/>
        <v>0</v>
      </c>
      <c r="U15" s="694">
        <f t="shared" si="0"/>
        <v>13.78</v>
      </c>
      <c r="V15" s="694">
        <f t="shared" si="0"/>
        <v>0</v>
      </c>
      <c r="W15" s="694">
        <f t="shared" si="0"/>
        <v>0</v>
      </c>
      <c r="X15" s="694">
        <f t="shared" si="0"/>
        <v>0</v>
      </c>
      <c r="Y15" s="694">
        <f t="shared" si="0"/>
        <v>68.900000000000006</v>
      </c>
      <c r="Z15" s="694">
        <f t="shared" si="0"/>
        <v>129.19</v>
      </c>
      <c r="AA15" s="694">
        <f t="shared" si="0"/>
        <v>0</v>
      </c>
      <c r="AB15" s="694">
        <f t="shared" si="0"/>
        <v>129.19</v>
      </c>
      <c r="AC15" s="634"/>
      <c r="AD15" s="634"/>
      <c r="AH15" s="773"/>
    </row>
    <row r="16" spans="1:34" s="629" customFormat="1" ht="20.100000000000001" customHeight="1">
      <c r="A16" s="1160"/>
      <c r="B16" s="778"/>
      <c r="C16" s="779"/>
      <c r="D16" s="780"/>
      <c r="E16" s="781"/>
      <c r="F16" s="782"/>
      <c r="G16" s="781"/>
      <c r="H16" s="783"/>
      <c r="I16" s="784"/>
      <c r="J16" s="785"/>
      <c r="K16" s="786"/>
      <c r="L16" s="787"/>
      <c r="M16" s="785"/>
      <c r="N16" s="788"/>
      <c r="O16" s="785"/>
      <c r="P16" s="789"/>
      <c r="Q16" s="789"/>
      <c r="R16" s="789"/>
      <c r="S16" s="789"/>
      <c r="T16" s="789"/>
      <c r="U16" s="789"/>
      <c r="V16" s="789"/>
      <c r="W16" s="789"/>
      <c r="X16" s="789"/>
      <c r="Y16" s="789"/>
      <c r="Z16" s="789"/>
      <c r="AA16" s="789"/>
      <c r="AB16" s="789"/>
      <c r="AH16" s="780"/>
    </row>
    <row r="17" spans="1:34" s="629" customFormat="1" ht="20.100000000000001" customHeight="1">
      <c r="A17" s="1160"/>
      <c r="B17" s="790"/>
      <c r="C17" s="791"/>
      <c r="D17" s="792"/>
      <c r="E17" s="708"/>
      <c r="F17" s="793"/>
      <c r="G17" s="708"/>
      <c r="H17" s="794"/>
      <c r="I17" s="795"/>
      <c r="J17" s="796"/>
      <c r="K17" s="611"/>
      <c r="L17" s="797"/>
      <c r="M17" s="796"/>
      <c r="N17" s="798"/>
      <c r="O17" s="796"/>
      <c r="P17" s="799"/>
      <c r="Q17" s="799"/>
      <c r="R17" s="799"/>
      <c r="S17" s="799"/>
      <c r="T17" s="799"/>
      <c r="U17" s="799"/>
      <c r="V17" s="799"/>
      <c r="W17" s="799"/>
      <c r="X17" s="799"/>
      <c r="Y17" s="799"/>
      <c r="Z17" s="799"/>
      <c r="AA17" s="799"/>
      <c r="AB17" s="799"/>
      <c r="AH17" s="792"/>
    </row>
    <row r="18" spans="1:34" s="629" customFormat="1" ht="20.100000000000001" customHeight="1">
      <c r="A18" s="1160"/>
      <c r="B18" s="790"/>
      <c r="C18" s="791"/>
      <c r="D18" s="792"/>
      <c r="E18" s="708"/>
      <c r="F18" s="793"/>
      <c r="G18" s="708"/>
      <c r="H18" s="794"/>
      <c r="I18" s="795"/>
      <c r="J18" s="796"/>
      <c r="K18" s="611"/>
      <c r="L18" s="797"/>
      <c r="M18" s="796"/>
      <c r="N18" s="798"/>
      <c r="O18" s="796"/>
      <c r="P18" s="799"/>
      <c r="Q18" s="799"/>
      <c r="R18" s="799"/>
      <c r="S18" s="799"/>
      <c r="T18" s="799"/>
      <c r="U18" s="799"/>
      <c r="V18" s="799"/>
      <c r="W18" s="799"/>
      <c r="X18" s="799"/>
      <c r="Y18" s="799"/>
      <c r="Z18" s="799"/>
      <c r="AA18" s="799"/>
      <c r="AB18" s="799"/>
      <c r="AH18" s="792"/>
    </row>
    <row r="19" spans="1:34" s="629" customFormat="1" ht="20.100000000000001" customHeight="1">
      <c r="A19" s="1160"/>
      <c r="B19" s="790"/>
      <c r="C19" s="791"/>
      <c r="D19" s="792"/>
      <c r="E19" s="708"/>
      <c r="F19" s="793"/>
      <c r="G19" s="708"/>
      <c r="H19" s="794"/>
      <c r="I19" s="795"/>
      <c r="J19" s="796"/>
      <c r="K19" s="611"/>
      <c r="L19" s="797"/>
      <c r="M19" s="796"/>
      <c r="N19" s="798"/>
      <c r="O19" s="796"/>
      <c r="P19" s="799"/>
      <c r="Q19" s="799"/>
      <c r="R19" s="799"/>
      <c r="S19" s="799"/>
      <c r="T19" s="799"/>
      <c r="U19" s="799"/>
      <c r="V19" s="799"/>
      <c r="W19" s="799"/>
      <c r="X19" s="799"/>
      <c r="Y19" s="799"/>
      <c r="Z19" s="799"/>
      <c r="AA19" s="799"/>
      <c r="AB19" s="799"/>
      <c r="AH19" s="792"/>
    </row>
    <row r="20" spans="1:34" s="629" customFormat="1" ht="20.100000000000001" customHeight="1">
      <c r="A20" s="1160"/>
      <c r="B20" s="790"/>
      <c r="C20" s="791"/>
      <c r="D20" s="792"/>
      <c r="E20" s="708"/>
      <c r="F20" s="793"/>
      <c r="G20" s="708"/>
      <c r="H20" s="794"/>
      <c r="I20" s="795"/>
      <c r="J20" s="796"/>
      <c r="K20" s="611"/>
      <c r="L20" s="797"/>
      <c r="M20" s="796"/>
      <c r="N20" s="798"/>
      <c r="O20" s="796"/>
      <c r="P20" s="799"/>
      <c r="Q20" s="799"/>
      <c r="R20" s="799"/>
      <c r="S20" s="799"/>
      <c r="T20" s="799"/>
      <c r="U20" s="799"/>
      <c r="V20" s="799"/>
      <c r="W20" s="799"/>
      <c r="X20" s="799"/>
      <c r="Y20" s="799"/>
      <c r="Z20" s="799"/>
      <c r="AA20" s="799"/>
      <c r="AB20" s="799"/>
      <c r="AH20" s="792"/>
    </row>
    <row r="21" spans="1:34" s="629" customFormat="1" ht="20.100000000000001" customHeight="1">
      <c r="A21" s="1160"/>
      <c r="B21" s="790"/>
      <c r="C21" s="791"/>
      <c r="D21" s="735" t="s">
        <v>5860</v>
      </c>
      <c r="E21" s="708"/>
      <c r="F21" s="793"/>
      <c r="G21" s="708"/>
      <c r="H21" s="794"/>
      <c r="I21" s="795"/>
      <c r="J21" s="796"/>
      <c r="K21" s="611"/>
      <c r="L21" s="797"/>
      <c r="M21" s="796"/>
      <c r="N21" s="798"/>
      <c r="O21" s="796"/>
      <c r="P21" s="726" t="s">
        <v>5861</v>
      </c>
      <c r="Q21" s="799"/>
      <c r="R21" s="799"/>
      <c r="S21" s="799"/>
      <c r="T21" s="799"/>
      <c r="U21" s="799"/>
      <c r="V21" s="799"/>
      <c r="W21" s="799"/>
      <c r="X21" s="799"/>
      <c r="Y21" s="724" t="s">
        <v>5862</v>
      </c>
      <c r="Z21" s="724"/>
      <c r="AA21" s="724"/>
      <c r="AB21" s="799"/>
      <c r="AH21" s="735"/>
    </row>
    <row r="22" spans="1:34" s="629" customFormat="1" ht="20.100000000000001" customHeight="1">
      <c r="A22" s="1160"/>
      <c r="B22" s="790"/>
      <c r="C22" s="791"/>
      <c r="D22" s="792"/>
      <c r="E22" s="708"/>
      <c r="F22" s="793"/>
      <c r="G22" s="708"/>
      <c r="H22" s="794"/>
      <c r="I22" s="795"/>
      <c r="J22" s="796"/>
      <c r="K22" s="611"/>
      <c r="L22" s="797"/>
      <c r="M22" s="796"/>
      <c r="N22" s="798"/>
      <c r="O22" s="796"/>
      <c r="P22" s="799"/>
      <c r="Q22" s="799"/>
      <c r="R22" s="799"/>
      <c r="S22" s="799"/>
      <c r="T22" s="799"/>
      <c r="U22" s="799"/>
      <c r="V22" s="799"/>
      <c r="W22" s="799"/>
      <c r="X22" s="799"/>
      <c r="Y22" s="799"/>
      <c r="Z22" s="799"/>
      <c r="AA22" s="799"/>
      <c r="AB22" s="799"/>
      <c r="AH22" s="792"/>
    </row>
    <row r="23" spans="1:34" s="629" customFormat="1" ht="20.100000000000001" customHeight="1">
      <c r="A23" s="1160"/>
      <c r="B23" s="790"/>
      <c r="C23" s="791"/>
      <c r="D23" s="792"/>
      <c r="E23" s="708"/>
      <c r="F23" s="793"/>
      <c r="G23" s="708"/>
      <c r="H23" s="794"/>
      <c r="I23" s="795"/>
      <c r="J23" s="796"/>
      <c r="K23" s="611"/>
      <c r="L23" s="797"/>
      <c r="M23" s="796"/>
      <c r="N23" s="798"/>
      <c r="O23" s="796"/>
      <c r="P23" s="799"/>
      <c r="Q23" s="799"/>
      <c r="R23" s="799"/>
      <c r="S23" s="799"/>
      <c r="T23" s="799"/>
      <c r="U23" s="799"/>
      <c r="V23" s="799"/>
      <c r="W23" s="799"/>
      <c r="X23" s="799"/>
      <c r="Y23" s="799"/>
      <c r="Z23" s="799"/>
      <c r="AA23" s="799"/>
      <c r="AB23" s="799"/>
      <c r="AH23" s="792"/>
    </row>
    <row r="24" spans="1:34" s="629" customFormat="1" ht="20.100000000000001" customHeight="1">
      <c r="A24" s="1160"/>
      <c r="B24" s="790"/>
      <c r="C24" s="791"/>
      <c r="D24" s="792"/>
      <c r="E24" s="708"/>
      <c r="F24" s="793"/>
      <c r="G24" s="708"/>
      <c r="H24" s="794"/>
      <c r="I24" s="795"/>
      <c r="J24" s="796"/>
      <c r="K24" s="611"/>
      <c r="L24" s="797"/>
      <c r="M24" s="796"/>
      <c r="N24" s="798"/>
      <c r="O24" s="796"/>
      <c r="P24" s="799"/>
      <c r="Q24" s="799"/>
      <c r="R24" s="799"/>
      <c r="S24" s="799"/>
      <c r="T24" s="799"/>
      <c r="U24" s="799"/>
      <c r="V24" s="799"/>
      <c r="W24" s="799"/>
      <c r="X24" s="799"/>
      <c r="Y24" s="799"/>
      <c r="Z24" s="799"/>
      <c r="AA24" s="799"/>
      <c r="AB24" s="799"/>
      <c r="AH24" s="792"/>
    </row>
    <row r="25" spans="1:34" s="629" customFormat="1" ht="20.100000000000001" customHeight="1">
      <c r="A25" s="1160"/>
      <c r="B25" s="734" t="s">
        <v>6879</v>
      </c>
      <c r="C25" s="735"/>
      <c r="D25" s="733"/>
      <c r="E25" s="733"/>
      <c r="F25" s="733"/>
      <c r="G25" s="733"/>
      <c r="H25" s="734" t="s">
        <v>6152</v>
      </c>
      <c r="I25" s="734"/>
      <c r="K25" s="611"/>
      <c r="L25" s="797"/>
      <c r="M25" s="796"/>
      <c r="N25" s="798"/>
      <c r="O25" s="796"/>
      <c r="P25" s="736" t="s">
        <v>5863</v>
      </c>
      <c r="Q25" s="799"/>
      <c r="R25" s="799"/>
      <c r="S25" s="799"/>
      <c r="T25" s="799"/>
      <c r="U25" s="799"/>
      <c r="V25" s="799"/>
      <c r="W25" s="799"/>
      <c r="X25" s="799"/>
      <c r="Y25" s="724" t="s">
        <v>5874</v>
      </c>
      <c r="Z25" s="724"/>
      <c r="AA25" s="724"/>
      <c r="AB25" s="799"/>
      <c r="AH25" s="733"/>
    </row>
    <row r="26" spans="1:34" s="629" customFormat="1" ht="20.100000000000001" customHeight="1">
      <c r="A26" s="1160"/>
      <c r="B26" s="734" t="s">
        <v>6880</v>
      </c>
      <c r="C26" s="735"/>
      <c r="D26" s="733"/>
      <c r="E26" s="733"/>
      <c r="F26" s="733"/>
      <c r="G26" s="733"/>
      <c r="H26" s="734" t="s">
        <v>6153</v>
      </c>
      <c r="I26" s="734"/>
      <c r="K26" s="611"/>
      <c r="L26" s="797"/>
      <c r="M26" s="796"/>
      <c r="N26" s="798"/>
      <c r="O26" s="796"/>
      <c r="P26" s="736" t="s">
        <v>5865</v>
      </c>
      <c r="Q26" s="799"/>
      <c r="R26" s="799"/>
      <c r="S26" s="799"/>
      <c r="T26" s="799"/>
      <c r="U26" s="799"/>
      <c r="V26" s="799"/>
      <c r="W26" s="799"/>
      <c r="X26" s="799"/>
      <c r="Y26" s="734" t="s">
        <v>5866</v>
      </c>
      <c r="Z26" s="734"/>
      <c r="AA26" s="734"/>
      <c r="AB26" s="799"/>
      <c r="AH26" s="733"/>
    </row>
    <row r="27" spans="1:34" s="629" customFormat="1" ht="20.100000000000001" customHeight="1">
      <c r="A27" s="1160"/>
      <c r="B27" s="734" t="s">
        <v>5244</v>
      </c>
      <c r="C27" s="735"/>
      <c r="D27" s="733"/>
      <c r="E27" s="733"/>
      <c r="F27" s="733"/>
      <c r="G27" s="733"/>
      <c r="H27" s="734" t="s">
        <v>5265</v>
      </c>
      <c r="I27" s="734"/>
      <c r="K27" s="611"/>
      <c r="L27" s="797"/>
      <c r="M27" s="796"/>
      <c r="N27" s="798"/>
      <c r="O27" s="796"/>
      <c r="P27" s="736" t="s">
        <v>5867</v>
      </c>
      <c r="Q27" s="799"/>
      <c r="R27" s="799"/>
      <c r="S27" s="799"/>
      <c r="T27" s="799"/>
      <c r="U27" s="799"/>
      <c r="V27" s="799"/>
      <c r="W27" s="799"/>
      <c r="X27" s="799"/>
      <c r="Y27" s="724" t="s">
        <v>5868</v>
      </c>
      <c r="Z27" s="724"/>
      <c r="AA27" s="724"/>
      <c r="AB27" s="799"/>
      <c r="AH27" s="733"/>
    </row>
    <row r="28" spans="1:34" s="629" customFormat="1" ht="20.100000000000001" customHeight="1">
      <c r="A28" s="1160"/>
      <c r="B28" s="790"/>
      <c r="C28" s="791"/>
      <c r="D28" s="792"/>
      <c r="E28" s="708"/>
      <c r="F28" s="793"/>
      <c r="G28" s="708"/>
      <c r="H28" s="794"/>
      <c r="I28" s="795"/>
      <c r="J28" s="796"/>
      <c r="K28" s="611"/>
      <c r="L28" s="797"/>
      <c r="M28" s="796"/>
      <c r="N28" s="798"/>
      <c r="O28" s="796"/>
      <c r="P28" s="799"/>
      <c r="Q28" s="799"/>
      <c r="R28" s="799"/>
      <c r="S28" s="799"/>
      <c r="T28" s="799"/>
      <c r="U28" s="799"/>
      <c r="V28" s="799"/>
      <c r="W28" s="799"/>
      <c r="X28" s="799"/>
      <c r="Y28" s="799"/>
      <c r="Z28" s="799"/>
      <c r="AA28" s="799"/>
      <c r="AB28" s="799"/>
      <c r="AH28" s="792"/>
    </row>
    <row r="29" spans="1:34" s="629" customFormat="1" ht="20.100000000000001" customHeight="1">
      <c r="A29" s="1160"/>
      <c r="B29" s="790"/>
      <c r="C29" s="791"/>
      <c r="D29" s="792"/>
      <c r="E29" s="708"/>
      <c r="F29" s="793"/>
      <c r="G29" s="708"/>
      <c r="H29" s="794"/>
      <c r="I29" s="795"/>
      <c r="J29" s="796"/>
      <c r="K29" s="611"/>
      <c r="L29" s="797"/>
      <c r="M29" s="796"/>
      <c r="N29" s="798"/>
      <c r="O29" s="796"/>
      <c r="P29" s="799"/>
      <c r="Q29" s="799"/>
      <c r="R29" s="799"/>
      <c r="S29" s="799"/>
      <c r="T29" s="799"/>
      <c r="U29" s="799"/>
      <c r="V29" s="799"/>
      <c r="W29" s="799"/>
      <c r="X29" s="799"/>
      <c r="Y29" s="799"/>
      <c r="Z29" s="799"/>
      <c r="AA29" s="799"/>
      <c r="AB29" s="799"/>
      <c r="AH29" s="792"/>
    </row>
    <row r="30" spans="1:34" s="629" customFormat="1" ht="20.100000000000001" customHeight="1">
      <c r="A30" s="1160"/>
      <c r="B30" s="790"/>
      <c r="C30" s="791"/>
      <c r="D30" s="792"/>
      <c r="E30" s="708"/>
      <c r="F30" s="793"/>
      <c r="G30" s="708"/>
      <c r="H30" s="794"/>
      <c r="I30" s="795"/>
      <c r="J30" s="796"/>
      <c r="K30" s="611"/>
      <c r="L30" s="797"/>
      <c r="M30" s="796"/>
      <c r="N30" s="798"/>
      <c r="O30" s="796"/>
      <c r="P30" s="799"/>
      <c r="Q30" s="799"/>
      <c r="R30" s="799"/>
      <c r="S30" s="799"/>
      <c r="T30" s="799"/>
      <c r="U30" s="799"/>
      <c r="V30" s="799"/>
      <c r="W30" s="799"/>
      <c r="X30" s="799"/>
      <c r="Y30" s="799"/>
      <c r="Z30" s="799"/>
      <c r="AA30" s="799"/>
      <c r="AB30" s="799"/>
      <c r="AH30" s="792"/>
    </row>
    <row r="31" spans="1:34" s="629" customFormat="1" ht="20.100000000000001" customHeight="1" thickBot="1">
      <c r="A31" s="1160"/>
      <c r="B31" s="790"/>
      <c r="C31" s="791"/>
      <c r="D31" s="792"/>
      <c r="E31" s="708"/>
      <c r="F31" s="793"/>
      <c r="G31" s="708"/>
      <c r="H31" s="794"/>
      <c r="I31" s="795"/>
      <c r="J31" s="796"/>
      <c r="K31" s="611"/>
      <c r="L31" s="797"/>
      <c r="M31" s="796"/>
      <c r="N31" s="798"/>
      <c r="O31" s="796"/>
      <c r="P31" s="799"/>
      <c r="Q31" s="799"/>
      <c r="R31" s="799"/>
      <c r="S31" s="799"/>
      <c r="T31" s="799"/>
      <c r="U31" s="799"/>
      <c r="V31" s="799"/>
      <c r="W31" s="799"/>
      <c r="X31" s="799"/>
      <c r="Y31" s="799"/>
      <c r="Z31" s="799"/>
      <c r="AA31" s="799"/>
      <c r="AB31" s="799"/>
      <c r="AH31" s="792"/>
    </row>
    <row r="32" spans="1:34" s="629" customFormat="1" ht="20.100000000000001" customHeight="1">
      <c r="A32" s="1160"/>
      <c r="B32" s="665" t="str">
        <f>+"ALTO NIVEL Y DIRECCION_NOMINA_4TO PAGO AGUINALDO"</f>
        <v>ALTO NIVEL Y DIRECCION_NOMINA_4TO PAGO AGUINALDO</v>
      </c>
      <c r="C32" s="800"/>
      <c r="D32" s="801"/>
      <c r="E32" s="802"/>
      <c r="F32" s="803"/>
      <c r="G32" s="802"/>
      <c r="H32" s="804"/>
      <c r="I32" s="805"/>
      <c r="J32" s="806"/>
      <c r="K32" s="805"/>
      <c r="L32" s="807"/>
      <c r="M32" s="806"/>
      <c r="N32" s="808"/>
      <c r="O32" s="806"/>
      <c r="P32" s="809"/>
      <c r="Q32" s="810"/>
      <c r="R32" s="809"/>
      <c r="S32" s="809"/>
      <c r="T32" s="809"/>
      <c r="U32" s="809"/>
      <c r="V32" s="809"/>
      <c r="W32" s="809"/>
      <c r="X32" s="811"/>
      <c r="Y32" s="812"/>
      <c r="Z32" s="1577"/>
      <c r="AA32" s="1577"/>
      <c r="AB32" s="813"/>
      <c r="AH32" s="801"/>
    </row>
    <row r="33" spans="1:34" s="629" customFormat="1" ht="20.100000000000001" customHeight="1">
      <c r="A33" s="1160" t="s">
        <v>2846</v>
      </c>
      <c r="B33" s="771">
        <v>1</v>
      </c>
      <c r="C33" s="1145">
        <f>NOMINA!C17</f>
        <v>11894534</v>
      </c>
      <c r="D33" s="1146" t="str">
        <f>NOMINA!D17</f>
        <v>Olmos Rodriguez Eberto de Jesus</v>
      </c>
      <c r="E33" s="1602" t="s">
        <v>4622</v>
      </c>
      <c r="F33" s="1153">
        <v>32351</v>
      </c>
      <c r="G33" s="1602" t="s">
        <v>4620</v>
      </c>
      <c r="H33" s="1572">
        <f>NOMINA!H17</f>
        <v>40909</v>
      </c>
      <c r="I33" s="1148">
        <f>NOMINA!I17</f>
        <v>13</v>
      </c>
      <c r="J33" s="1149">
        <f>NOMINA!J17</f>
        <v>13</v>
      </c>
      <c r="K33" s="1148">
        <f>I33+J33</f>
        <v>26</v>
      </c>
      <c r="L33" s="1149" t="s">
        <v>4932</v>
      </c>
      <c r="M33" s="1149"/>
      <c r="N33" s="1573" t="str">
        <f>NOMINA!O17</f>
        <v>JEFE DE DEPARTAMENTO</v>
      </c>
      <c r="O33" s="1149">
        <v>1.02087691000006E+18</v>
      </c>
      <c r="P33" s="1150">
        <f>ROUND(+NOMINA!T17,2)</f>
        <v>363</v>
      </c>
      <c r="Q33" s="1151">
        <v>0</v>
      </c>
      <c r="R33" s="1151">
        <f>ROUND(+NOMINA!AA17,2)</f>
        <v>108.9</v>
      </c>
      <c r="S33" s="1151">
        <f>ROUND(+NOMINA!AB17,2)</f>
        <v>130</v>
      </c>
      <c r="T33" s="1151">
        <f>ROUND(+NOMINA!AC17,2)</f>
        <v>0</v>
      </c>
      <c r="U33" s="1151">
        <f>ROUND(+NOMINA!AD17,2)</f>
        <v>150.47999999999999</v>
      </c>
      <c r="V33" s="1151">
        <f>ROUND(NOMINA!AQ17,2)</f>
        <v>0</v>
      </c>
      <c r="W33" s="1151">
        <f>+NOMINA!AS17</f>
        <v>0</v>
      </c>
      <c r="X33" s="1151">
        <f>+NOMINA!AT17</f>
        <v>0</v>
      </c>
      <c r="Y33" s="1151">
        <f>+NOMINA!AU17</f>
        <v>752.38</v>
      </c>
      <c r="Z33" s="1151">
        <f>+NOMINA!BX17</f>
        <v>1410.71</v>
      </c>
      <c r="AA33" s="1151">
        <f>+NOMINA!BY17</f>
        <v>0</v>
      </c>
      <c r="AB33" s="1151">
        <f>+Z33+AA33</f>
        <v>1410.71</v>
      </c>
      <c r="AH33" s="1610" t="str">
        <f>NOMINA!P17</f>
        <v>01020373290000440013</v>
      </c>
    </row>
    <row r="34" spans="1:34" s="629" customFormat="1" ht="20.100000000000001" customHeight="1">
      <c r="A34" s="1160" t="s">
        <v>2846</v>
      </c>
      <c r="B34" s="771">
        <f>+B33+1</f>
        <v>2</v>
      </c>
      <c r="C34" s="1145">
        <f>NOMINA!C18</f>
        <v>12458942</v>
      </c>
      <c r="D34" s="1146" t="str">
        <f>NOMINA!D18</f>
        <v>Mendoza Mendoza Mirian del Milagro</v>
      </c>
      <c r="E34" s="1602" t="s">
        <v>4622</v>
      </c>
      <c r="F34" s="1153">
        <v>32351</v>
      </c>
      <c r="G34" s="1602" t="s">
        <v>4620</v>
      </c>
      <c r="H34" s="1572">
        <f>NOMINA!H18</f>
        <v>44424</v>
      </c>
      <c r="I34" s="1148">
        <f>NOMINA!I18</f>
        <v>3</v>
      </c>
      <c r="J34" s="1149">
        <f>NOMINA!J18</f>
        <v>19</v>
      </c>
      <c r="K34" s="1148">
        <f t="shared" ref="K34:K57" si="1">I34+J34</f>
        <v>22</v>
      </c>
      <c r="L34" s="1149" t="s">
        <v>4932</v>
      </c>
      <c r="M34" s="1149"/>
      <c r="N34" s="1573" t="str">
        <f>NOMINA!O18</f>
        <v>JEFE DE DEPARTAMENTO</v>
      </c>
      <c r="O34" s="1149">
        <v>1.02087691000006E+18</v>
      </c>
      <c r="P34" s="1150">
        <f>ROUND(+NOMINA!T18,2)</f>
        <v>363</v>
      </c>
      <c r="Q34" s="1151">
        <v>0</v>
      </c>
      <c r="R34" s="1151">
        <f>ROUND(+NOMINA!AA18,2)</f>
        <v>107.45</v>
      </c>
      <c r="S34" s="1151">
        <f>ROUND(+NOMINA!AB18,2)</f>
        <v>130</v>
      </c>
      <c r="T34" s="1151">
        <f>ROUND(+NOMINA!AC18,2)</f>
        <v>0</v>
      </c>
      <c r="U34" s="1151">
        <f>ROUND(+NOMINA!AD18,2)</f>
        <v>180.14</v>
      </c>
      <c r="V34" s="1151">
        <f>ROUND(NOMINA!AQ18,2)</f>
        <v>0</v>
      </c>
      <c r="W34" s="1151">
        <f>+NOMINA!AS18</f>
        <v>0</v>
      </c>
      <c r="X34" s="1151">
        <f>+NOMINA!AT18</f>
        <v>0</v>
      </c>
      <c r="Y34" s="1151">
        <f>+NOMINA!AU18</f>
        <v>780.58999999999992</v>
      </c>
      <c r="Z34" s="1151">
        <f>+NOMINA!BX18</f>
        <v>1463.61</v>
      </c>
      <c r="AA34" s="1151">
        <f>+NOMINA!BY18</f>
        <v>0</v>
      </c>
      <c r="AB34" s="1151">
        <f t="shared" ref="AB34:AB57" si="2">+Z34+AA34</f>
        <v>1463.61</v>
      </c>
      <c r="AH34" s="1610" t="str">
        <f>NOMINA!P18</f>
        <v>01020373280000439419</v>
      </c>
    </row>
    <row r="35" spans="1:34" s="629" customFormat="1" ht="20.100000000000001" customHeight="1">
      <c r="A35" s="1160" t="s">
        <v>2846</v>
      </c>
      <c r="B35" s="771">
        <f t="shared" ref="B35:B57" si="3">+B34+1</f>
        <v>3</v>
      </c>
      <c r="C35" s="1145">
        <f>NOMINA!C19</f>
        <v>8719807</v>
      </c>
      <c r="D35" s="1146" t="str">
        <f>NOMINA!D19</f>
        <v>Perez Saavedra Isabel Teresa</v>
      </c>
      <c r="E35" s="1602" t="s">
        <v>4622</v>
      </c>
      <c r="F35" s="1153">
        <v>32351</v>
      </c>
      <c r="G35" s="1602" t="s">
        <v>4620</v>
      </c>
      <c r="H35" s="1572">
        <f>NOMINA!H19</f>
        <v>39874</v>
      </c>
      <c r="I35" s="1148">
        <f>NOMINA!I19</f>
        <v>15</v>
      </c>
      <c r="J35" s="1149">
        <f>NOMINA!J19</f>
        <v>4</v>
      </c>
      <c r="K35" s="1148">
        <f t="shared" si="1"/>
        <v>19</v>
      </c>
      <c r="L35" s="1149" t="s">
        <v>4932</v>
      </c>
      <c r="M35" s="1149"/>
      <c r="N35" s="1573" t="str">
        <f>NOMINA!O19</f>
        <v>JEFE DE DEPARTAMENTO</v>
      </c>
      <c r="O35" s="1149">
        <v>1.02087691000006E+18</v>
      </c>
      <c r="P35" s="1150">
        <f>ROUND(+NOMINA!T19,2)</f>
        <v>363</v>
      </c>
      <c r="Q35" s="1151">
        <v>0</v>
      </c>
      <c r="R35" s="1151">
        <f>ROUND(+NOMINA!AA19,2)</f>
        <v>88.57</v>
      </c>
      <c r="S35" s="1151">
        <f>ROUND(+NOMINA!AB19,2)</f>
        <v>130</v>
      </c>
      <c r="T35" s="1151">
        <f>ROUND(+NOMINA!AC19,2)</f>
        <v>0</v>
      </c>
      <c r="U35" s="1151">
        <f>ROUND(+NOMINA!AD19,2)</f>
        <v>145.38999999999999</v>
      </c>
      <c r="V35" s="1151">
        <f>ROUND(NOMINA!AQ19,2)</f>
        <v>0</v>
      </c>
      <c r="W35" s="1151">
        <f>+NOMINA!AS19</f>
        <v>0</v>
      </c>
      <c r="X35" s="1151">
        <f>+NOMINA!AT19</f>
        <v>0</v>
      </c>
      <c r="Y35" s="1151">
        <f>+NOMINA!AU19</f>
        <v>726.96</v>
      </c>
      <c r="Z35" s="1151">
        <f>+NOMINA!BX19</f>
        <v>1363.05</v>
      </c>
      <c r="AA35" s="1151">
        <f>+NOMINA!BY19</f>
        <v>0</v>
      </c>
      <c r="AB35" s="1151">
        <f t="shared" si="2"/>
        <v>1363.05</v>
      </c>
      <c r="AH35" s="1610" t="str">
        <f>NOMINA!P19</f>
        <v>01020373220000438999</v>
      </c>
    </row>
    <row r="36" spans="1:34" s="629" customFormat="1" ht="20.100000000000001" customHeight="1">
      <c r="A36" s="1160" t="s">
        <v>2846</v>
      </c>
      <c r="B36" s="771">
        <f t="shared" si="3"/>
        <v>4</v>
      </c>
      <c r="C36" s="1145">
        <f>NOMINA!C20</f>
        <v>10404528</v>
      </c>
      <c r="D36" s="1146" t="str">
        <f>NOMINA!D20</f>
        <v>Perez Castellano Javier Horacio</v>
      </c>
      <c r="E36" s="1602" t="s">
        <v>4622</v>
      </c>
      <c r="F36" s="1153">
        <v>32351</v>
      </c>
      <c r="G36" s="1602" t="s">
        <v>4620</v>
      </c>
      <c r="H36" s="1572">
        <f>NOMINA!H20</f>
        <v>37622</v>
      </c>
      <c r="I36" s="1148">
        <f>NOMINA!I20</f>
        <v>22</v>
      </c>
      <c r="J36" s="1149">
        <f>NOMINA!J20</f>
        <v>0</v>
      </c>
      <c r="K36" s="1148">
        <f t="shared" si="1"/>
        <v>22</v>
      </c>
      <c r="L36" s="1149" t="s">
        <v>4932</v>
      </c>
      <c r="M36" s="1149"/>
      <c r="N36" s="1573" t="str">
        <f>NOMINA!O20</f>
        <v>JEFE DE DEPARTAMENTO</v>
      </c>
      <c r="O36" s="1149">
        <v>1.02087691000006E+18</v>
      </c>
      <c r="P36" s="1150">
        <f>ROUND(+NOMINA!T20,2)</f>
        <v>363</v>
      </c>
      <c r="Q36" s="1151">
        <v>0</v>
      </c>
      <c r="R36" s="1151">
        <f>ROUND(+NOMINA!AA20,2)</f>
        <v>107.45</v>
      </c>
      <c r="S36" s="1151">
        <f>ROUND(+NOMINA!AB20,2)</f>
        <v>130</v>
      </c>
      <c r="T36" s="1151">
        <f>ROUND(+NOMINA!AC20,2)</f>
        <v>12.5</v>
      </c>
      <c r="U36" s="1151">
        <f>ROUND(+NOMINA!AD20,2)</f>
        <v>153.24</v>
      </c>
      <c r="V36" s="1151">
        <f>ROUND(NOMINA!AQ20,2)</f>
        <v>0</v>
      </c>
      <c r="W36" s="1151">
        <f>+NOMINA!AS20</f>
        <v>0</v>
      </c>
      <c r="X36" s="1151">
        <f>+NOMINA!AT20</f>
        <v>12.5</v>
      </c>
      <c r="Y36" s="1151">
        <f>+NOMINA!AU20</f>
        <v>766.19</v>
      </c>
      <c r="Z36" s="1151">
        <f>+NOMINA!BX20</f>
        <v>1436.61</v>
      </c>
      <c r="AA36" s="1151">
        <f>+NOMINA!BY20</f>
        <v>0</v>
      </c>
      <c r="AB36" s="1151">
        <f t="shared" si="2"/>
        <v>1436.61</v>
      </c>
      <c r="AH36" s="1610" t="str">
        <f>NOMINA!P20</f>
        <v>01020373260000442189</v>
      </c>
    </row>
    <row r="37" spans="1:34" s="629" customFormat="1" ht="20.100000000000001" customHeight="1">
      <c r="A37" s="1160" t="s">
        <v>2846</v>
      </c>
      <c r="B37" s="771">
        <f t="shared" si="3"/>
        <v>5</v>
      </c>
      <c r="C37" s="1145">
        <f>NOMINA!C21</f>
        <v>9311822</v>
      </c>
      <c r="D37" s="1146" t="str">
        <f>NOMINA!D21</f>
        <v>Rojo Sanchez Alexis O.</v>
      </c>
      <c r="E37" s="1602" t="s">
        <v>4622</v>
      </c>
      <c r="F37" s="1153">
        <v>32351</v>
      </c>
      <c r="G37" s="1602" t="s">
        <v>4620</v>
      </c>
      <c r="H37" s="1572">
        <f>NOMINA!H21</f>
        <v>37662</v>
      </c>
      <c r="I37" s="1148">
        <f>NOMINA!I21</f>
        <v>21</v>
      </c>
      <c r="J37" s="1149">
        <f>NOMINA!J21</f>
        <v>0</v>
      </c>
      <c r="K37" s="1148">
        <f t="shared" si="1"/>
        <v>21</v>
      </c>
      <c r="L37" s="1149" t="s">
        <v>4932</v>
      </c>
      <c r="M37" s="1149"/>
      <c r="N37" s="1573" t="str">
        <f>NOMINA!O21</f>
        <v>JEFE DE DEPARTAMENTO</v>
      </c>
      <c r="O37" s="1149">
        <v>1.02087691000006E+18</v>
      </c>
      <c r="P37" s="1150">
        <f>ROUND(+NOMINA!T21,2)</f>
        <v>363</v>
      </c>
      <c r="Q37" s="1151">
        <v>0</v>
      </c>
      <c r="R37" s="1151">
        <f>ROUND(+NOMINA!AA21,2)</f>
        <v>100.91</v>
      </c>
      <c r="S37" s="1151">
        <f>ROUND(+NOMINA!AB21,2)</f>
        <v>130</v>
      </c>
      <c r="T37" s="1151">
        <f>ROUND(+NOMINA!AC21,2)</f>
        <v>0</v>
      </c>
      <c r="U37" s="1151">
        <f>ROUND(+NOMINA!AD21,2)</f>
        <v>0</v>
      </c>
      <c r="V37" s="1151">
        <f>ROUND(NOMINA!AQ21,2)</f>
        <v>0</v>
      </c>
      <c r="W37" s="1151">
        <f>+NOMINA!AS21</f>
        <v>0</v>
      </c>
      <c r="X37" s="1151">
        <f>+NOMINA!AT21</f>
        <v>0</v>
      </c>
      <c r="Y37" s="1151">
        <f>+NOMINA!AU21</f>
        <v>593.91</v>
      </c>
      <c r="Z37" s="1151">
        <f>+NOMINA!BX21</f>
        <v>1113.58</v>
      </c>
      <c r="AA37" s="1151">
        <f>+NOMINA!BY21</f>
        <v>0</v>
      </c>
      <c r="AB37" s="1151">
        <f t="shared" si="2"/>
        <v>1113.58</v>
      </c>
      <c r="AH37" s="1610" t="str">
        <f>NOMINA!P21</f>
        <v>01020373290000440657</v>
      </c>
    </row>
    <row r="38" spans="1:34" s="629" customFormat="1" ht="20.100000000000001" customHeight="1">
      <c r="A38" s="1160" t="s">
        <v>2846</v>
      </c>
      <c r="B38" s="771">
        <f t="shared" si="3"/>
        <v>6</v>
      </c>
      <c r="C38" s="1145">
        <f>NOMINA!C22</f>
        <v>21592108</v>
      </c>
      <c r="D38" s="1146" t="str">
        <f>NOMINA!D22</f>
        <v>Coy Andara Darlin Gabriela</v>
      </c>
      <c r="E38" s="1602" t="s">
        <v>4622</v>
      </c>
      <c r="F38" s="1153">
        <v>32351</v>
      </c>
      <c r="G38" s="1602" t="s">
        <v>4620</v>
      </c>
      <c r="H38" s="1572">
        <f>NOMINA!H22</f>
        <v>43024</v>
      </c>
      <c r="I38" s="1148">
        <f>NOMINA!I22</f>
        <v>7</v>
      </c>
      <c r="J38" s="1149">
        <f>NOMINA!J22</f>
        <v>0</v>
      </c>
      <c r="K38" s="1148">
        <f t="shared" si="1"/>
        <v>7</v>
      </c>
      <c r="L38" s="1149" t="s">
        <v>4932</v>
      </c>
      <c r="M38" s="1149"/>
      <c r="N38" s="1573" t="str">
        <f>NOMINA!O22</f>
        <v>JEFE DE DEPARTAMENTO</v>
      </c>
      <c r="O38" s="1149">
        <v>1.02087691000006E+18</v>
      </c>
      <c r="P38" s="1150">
        <f>ROUND(+NOMINA!T22,2)</f>
        <v>363</v>
      </c>
      <c r="Q38" s="1151">
        <v>0</v>
      </c>
      <c r="R38" s="1151">
        <f>ROUND(+NOMINA!AA22,2)</f>
        <v>26.86</v>
      </c>
      <c r="S38" s="1151">
        <f>ROUND(+NOMINA!AB22,2)</f>
        <v>130</v>
      </c>
      <c r="T38" s="1151">
        <f>ROUND(+NOMINA!AC22,2)</f>
        <v>12.5</v>
      </c>
      <c r="U38" s="1151">
        <f>ROUND(+NOMINA!AD22,2)</f>
        <v>106.47</v>
      </c>
      <c r="V38" s="1151">
        <f>ROUND(NOMINA!AQ22,2)</f>
        <v>0</v>
      </c>
      <c r="W38" s="1151">
        <f>+NOMINA!AS22</f>
        <v>0</v>
      </c>
      <c r="X38" s="1151">
        <f>+NOMINA!AT22</f>
        <v>0</v>
      </c>
      <c r="Y38" s="1151">
        <f>+NOMINA!AU22</f>
        <v>638.83000000000004</v>
      </c>
      <c r="Z38" s="1151">
        <f>+NOMINA!BX22</f>
        <v>1197.81</v>
      </c>
      <c r="AA38" s="1151">
        <f>+NOMINA!BY22</f>
        <v>0</v>
      </c>
      <c r="AB38" s="1151">
        <f t="shared" si="2"/>
        <v>1197.81</v>
      </c>
      <c r="AH38" s="1610" t="str">
        <f>NOMINA!P22</f>
        <v>01020373250000478991</v>
      </c>
    </row>
    <row r="39" spans="1:34" s="629" customFormat="1" ht="20.100000000000001" customHeight="1">
      <c r="A39" s="1160" t="s">
        <v>2846</v>
      </c>
      <c r="B39" s="771">
        <f t="shared" si="3"/>
        <v>7</v>
      </c>
      <c r="C39" s="1145">
        <f>NOMINA!C23</f>
        <v>13206767</v>
      </c>
      <c r="D39" s="1146" t="str">
        <f>NOMINA!D23</f>
        <v>Bastidas Guerra Soralis del Valle</v>
      </c>
      <c r="E39" s="1602" t="s">
        <v>4622</v>
      </c>
      <c r="F39" s="1153">
        <v>32351</v>
      </c>
      <c r="G39" s="1602" t="s">
        <v>4620</v>
      </c>
      <c r="H39" s="1572">
        <f>NOMINA!H23</f>
        <v>44713</v>
      </c>
      <c r="I39" s="1148">
        <f>NOMINA!I23</f>
        <v>2</v>
      </c>
      <c r="J39" s="1149">
        <f>NOMINA!J23</f>
        <v>0</v>
      </c>
      <c r="K39" s="1148">
        <f t="shared" si="1"/>
        <v>2</v>
      </c>
      <c r="L39" s="1149" t="s">
        <v>4932</v>
      </c>
      <c r="M39" s="1149"/>
      <c r="N39" s="1573" t="str">
        <f>NOMINA!O23</f>
        <v>COORDINADOR DE PROGRAMA (SAPNNAET)</v>
      </c>
      <c r="O39" s="1149">
        <v>1.02087691000006E+18</v>
      </c>
      <c r="P39" s="1150">
        <f>ROUND(+NOMINA!T23,2)</f>
        <v>348</v>
      </c>
      <c r="Q39" s="1151">
        <v>0</v>
      </c>
      <c r="R39" s="1151">
        <f>ROUND(+NOMINA!AA23,2)</f>
        <v>6.96</v>
      </c>
      <c r="S39" s="1151">
        <f>ROUND(+NOMINA!AB23,2)</f>
        <v>130</v>
      </c>
      <c r="T39" s="1151">
        <f>ROUND(+NOMINA!AC23,2)</f>
        <v>0</v>
      </c>
      <c r="U39" s="1151">
        <f>ROUND(+NOMINA!AD23,2)</f>
        <v>121.24</v>
      </c>
      <c r="V39" s="1151">
        <f>ROUND(NOMINA!AQ23,2)</f>
        <v>0</v>
      </c>
      <c r="W39" s="1151">
        <f>+NOMINA!AS23</f>
        <v>0</v>
      </c>
      <c r="X39" s="1151">
        <f>+NOMINA!AT23</f>
        <v>0</v>
      </c>
      <c r="Y39" s="1151">
        <f>+NOMINA!AU23</f>
        <v>606.20000000000005</v>
      </c>
      <c r="Z39" s="1151">
        <f>+NOMINA!BX23</f>
        <v>1136.6300000000001</v>
      </c>
      <c r="AA39" s="1151">
        <f>+NOMINA!BY23</f>
        <v>0</v>
      </c>
      <c r="AB39" s="1151">
        <f t="shared" si="2"/>
        <v>1136.6300000000001</v>
      </c>
      <c r="AH39" s="1610" t="str">
        <f>NOMINA!P23</f>
        <v>01020345720000067289</v>
      </c>
    </row>
    <row r="40" spans="1:34" s="629" customFormat="1" ht="20.100000000000001" customHeight="1">
      <c r="A40" s="1160" t="s">
        <v>2846</v>
      </c>
      <c r="B40" s="771">
        <f t="shared" si="3"/>
        <v>8</v>
      </c>
      <c r="C40" s="1145">
        <f>NOMINA!C24</f>
        <v>13462933</v>
      </c>
      <c r="D40" s="1146" t="str">
        <f>NOMINA!D24</f>
        <v>Frias Aldana Maria Yaritza</v>
      </c>
      <c r="E40" s="1602" t="s">
        <v>4622</v>
      </c>
      <c r="F40" s="1153">
        <v>32351</v>
      </c>
      <c r="G40" s="1602" t="s">
        <v>4620</v>
      </c>
      <c r="H40" s="1572">
        <f>NOMINA!H24</f>
        <v>39454</v>
      </c>
      <c r="I40" s="1148">
        <f>NOMINA!I24</f>
        <v>17</v>
      </c>
      <c r="J40" s="1149">
        <f>NOMINA!J24</f>
        <v>6</v>
      </c>
      <c r="K40" s="1148">
        <f t="shared" si="1"/>
        <v>23</v>
      </c>
      <c r="L40" s="1149" t="s">
        <v>4932</v>
      </c>
      <c r="M40" s="1149"/>
      <c r="N40" s="1573" t="str">
        <f>NOMINA!O24</f>
        <v>COORDINADOR DE PROGRAMA (SAPNNAET)</v>
      </c>
      <c r="O40" s="1149">
        <v>1.02087691000006E+18</v>
      </c>
      <c r="P40" s="1150">
        <f>ROUND(+NOMINA!T24,2)</f>
        <v>348</v>
      </c>
      <c r="Q40" s="1151">
        <v>0</v>
      </c>
      <c r="R40" s="1151">
        <f>ROUND(+NOMINA!AA24,2)</f>
        <v>104.4</v>
      </c>
      <c r="S40" s="1151">
        <f>ROUND(+NOMINA!AB24,2)</f>
        <v>130</v>
      </c>
      <c r="T40" s="1151">
        <f>ROUND(+NOMINA!AC24,2)</f>
        <v>12.5</v>
      </c>
      <c r="U40" s="1151">
        <f>ROUND(+NOMINA!AD24,2)</f>
        <v>118.98</v>
      </c>
      <c r="V40" s="1151">
        <f>ROUND(NOMINA!AQ24,2)</f>
        <v>0</v>
      </c>
      <c r="W40" s="1151">
        <f>+NOMINA!AS24</f>
        <v>0</v>
      </c>
      <c r="X40" s="1151">
        <f>+NOMINA!AT24</f>
        <v>12.5</v>
      </c>
      <c r="Y40" s="1151">
        <f>+NOMINA!AU24</f>
        <v>713.88</v>
      </c>
      <c r="Z40" s="1151">
        <f>+NOMINA!BX24</f>
        <v>1338.53</v>
      </c>
      <c r="AA40" s="1151">
        <f>+NOMINA!BY24</f>
        <v>0</v>
      </c>
      <c r="AB40" s="1151">
        <f t="shared" si="2"/>
        <v>1338.53</v>
      </c>
      <c r="AH40" s="1610" t="str">
        <f>NOMINA!P24</f>
        <v>01020373210000440521</v>
      </c>
    </row>
    <row r="41" spans="1:34" s="629" customFormat="1" ht="20.100000000000001" customHeight="1">
      <c r="A41" s="1160" t="s">
        <v>2846</v>
      </c>
      <c r="B41" s="771">
        <f t="shared" si="3"/>
        <v>9</v>
      </c>
      <c r="C41" s="1145">
        <f>NOMINA!C25</f>
        <v>11315315</v>
      </c>
      <c r="D41" s="1146" t="str">
        <f>NOMINA!D25</f>
        <v>Guillen Mendoza Edgar Daniel</v>
      </c>
      <c r="E41" s="1602" t="s">
        <v>4622</v>
      </c>
      <c r="F41" s="1153">
        <v>32351</v>
      </c>
      <c r="G41" s="1602" t="s">
        <v>4620</v>
      </c>
      <c r="H41" s="1572">
        <f>NOMINA!H25</f>
        <v>45505</v>
      </c>
      <c r="I41" s="1148">
        <f>NOMINA!I25</f>
        <v>0</v>
      </c>
      <c r="J41" s="1149">
        <f>NOMINA!J25</f>
        <v>0</v>
      </c>
      <c r="K41" s="1148">
        <f t="shared" si="1"/>
        <v>0</v>
      </c>
      <c r="L41" s="1149" t="s">
        <v>4932</v>
      </c>
      <c r="M41" s="1149"/>
      <c r="N41" s="1573" t="str">
        <f>NOMINA!O25</f>
        <v>COORDINADOR DE PROGRAMA (SAPNNAET)</v>
      </c>
      <c r="O41" s="1149">
        <v>1.02087691000006E+18</v>
      </c>
      <c r="P41" s="1150">
        <f>ROUND(+NOMINA!T25,2)</f>
        <v>348</v>
      </c>
      <c r="Q41" s="1151">
        <v>0</v>
      </c>
      <c r="R41" s="1151">
        <f>ROUND(+NOMINA!AA25,2)</f>
        <v>0</v>
      </c>
      <c r="S41" s="1151">
        <f>ROUND(+NOMINA!AB25,2)</f>
        <v>130</v>
      </c>
      <c r="T41" s="1151">
        <f>ROUND(+NOMINA!AC25,2)</f>
        <v>0</v>
      </c>
      <c r="U41" s="1151">
        <f>ROUND(+NOMINA!AD25,2)</f>
        <v>0</v>
      </c>
      <c r="V41" s="1151">
        <f>ROUND(NOMINA!AQ25,2)</f>
        <v>0</v>
      </c>
      <c r="W41" s="1151">
        <f>+NOMINA!AS25</f>
        <v>0</v>
      </c>
      <c r="X41" s="1151">
        <f>+NOMINA!AT25</f>
        <v>0</v>
      </c>
      <c r="Y41" s="1151">
        <f>+NOMINA!AU25</f>
        <v>478</v>
      </c>
      <c r="Z41" s="1151">
        <f>+NOMINA!BX25</f>
        <v>300.83</v>
      </c>
      <c r="AA41" s="1151">
        <f>+NOMINA!BY25</f>
        <v>0</v>
      </c>
      <c r="AB41" s="1151">
        <f t="shared" si="2"/>
        <v>300.83</v>
      </c>
      <c r="AH41" s="1610" t="str">
        <f>NOMINA!P25</f>
        <v>01020446170000086312</v>
      </c>
    </row>
    <row r="42" spans="1:34" s="629" customFormat="1" ht="20.100000000000001" customHeight="1">
      <c r="A42" s="1160" t="s">
        <v>2846</v>
      </c>
      <c r="B42" s="771">
        <f t="shared" si="3"/>
        <v>10</v>
      </c>
      <c r="C42" s="1145" t="e">
        <f>NOMINA!#REF!</f>
        <v>#REF!</v>
      </c>
      <c r="D42" s="1146" t="e">
        <f>NOMINA!#REF!</f>
        <v>#REF!</v>
      </c>
      <c r="E42" s="1602" t="s">
        <v>4622</v>
      </c>
      <c r="F42" s="1153">
        <v>32351</v>
      </c>
      <c r="G42" s="1602" t="s">
        <v>4620</v>
      </c>
      <c r="H42" s="1572" t="e">
        <f>NOMINA!#REF!</f>
        <v>#REF!</v>
      </c>
      <c r="I42" s="1148" t="e">
        <f>NOMINA!#REF!</f>
        <v>#REF!</v>
      </c>
      <c r="J42" s="1149" t="e">
        <f>NOMINA!#REF!</f>
        <v>#REF!</v>
      </c>
      <c r="K42" s="1148" t="e">
        <f t="shared" si="1"/>
        <v>#REF!</v>
      </c>
      <c r="L42" s="1149" t="s">
        <v>4932</v>
      </c>
      <c r="M42" s="1149"/>
      <c r="N42" s="1573" t="e">
        <f>NOMINA!#REF!</f>
        <v>#REF!</v>
      </c>
      <c r="O42" s="1149">
        <v>1.02087691000006E+18</v>
      </c>
      <c r="P42" s="1150" t="e">
        <f>ROUND(+NOMINA!#REF!,2)</f>
        <v>#REF!</v>
      </c>
      <c r="Q42" s="1151">
        <v>0</v>
      </c>
      <c r="R42" s="1151" t="e">
        <f>ROUND(+NOMINA!#REF!,2)</f>
        <v>#REF!</v>
      </c>
      <c r="S42" s="1151" t="e">
        <f>ROUND(+NOMINA!#REF!,2)</f>
        <v>#REF!</v>
      </c>
      <c r="T42" s="1151" t="e">
        <f>ROUND(+NOMINA!#REF!,2)</f>
        <v>#REF!</v>
      </c>
      <c r="U42" s="1151" t="e">
        <f>ROUND(+NOMINA!#REF!,2)</f>
        <v>#REF!</v>
      </c>
      <c r="V42" s="1151" t="e">
        <f>ROUND(NOMINA!#REF!,2)</f>
        <v>#REF!</v>
      </c>
      <c r="W42" s="1151" t="e">
        <f>+NOMINA!#REF!</f>
        <v>#REF!</v>
      </c>
      <c r="X42" s="1151" t="e">
        <f>+NOMINA!#REF!</f>
        <v>#REF!</v>
      </c>
      <c r="Y42" s="1151" t="e">
        <f>+NOMINA!#REF!</f>
        <v>#REF!</v>
      </c>
      <c r="Z42" s="1151" t="e">
        <f>+NOMINA!#REF!</f>
        <v>#REF!</v>
      </c>
      <c r="AA42" s="1151" t="e">
        <f>+NOMINA!#REF!</f>
        <v>#REF!</v>
      </c>
      <c r="AB42" s="1151" t="e">
        <f t="shared" si="2"/>
        <v>#REF!</v>
      </c>
      <c r="AH42" s="1610" t="e">
        <f>NOMINA!#REF!</f>
        <v>#REF!</v>
      </c>
    </row>
    <row r="43" spans="1:34" s="629" customFormat="1" ht="20.100000000000001" customHeight="1">
      <c r="A43" s="1160" t="s">
        <v>2846</v>
      </c>
      <c r="B43" s="771">
        <f t="shared" si="3"/>
        <v>11</v>
      </c>
      <c r="C43" s="1145">
        <f>NOMINA!C26</f>
        <v>12542413</v>
      </c>
      <c r="D43" s="1146" t="str">
        <f>NOMINA!D26</f>
        <v>Aponte Matheus Richard Alexander</v>
      </c>
      <c r="E43" s="1602" t="s">
        <v>4622</v>
      </c>
      <c r="F43" s="1153">
        <v>32351</v>
      </c>
      <c r="G43" s="1602" t="s">
        <v>4620</v>
      </c>
      <c r="H43" s="1572">
        <f>NOMINA!H26</f>
        <v>36434</v>
      </c>
      <c r="I43" s="1148">
        <f>NOMINA!I26</f>
        <v>25</v>
      </c>
      <c r="J43" s="1149">
        <f>NOMINA!J26</f>
        <v>0</v>
      </c>
      <c r="K43" s="1148">
        <f t="shared" si="1"/>
        <v>25</v>
      </c>
      <c r="L43" s="1149" t="s">
        <v>4932</v>
      </c>
      <c r="M43" s="1149"/>
      <c r="N43" s="1573" t="str">
        <f>NOMINA!O26</f>
        <v>COORDINADOR DE PROGRAMA (SAPNNAET)</v>
      </c>
      <c r="O43" s="1149">
        <v>1.02087691000006E+18</v>
      </c>
      <c r="P43" s="1150">
        <f>ROUND(+NOMINA!T26,2)</f>
        <v>348</v>
      </c>
      <c r="Q43" s="1151">
        <v>0</v>
      </c>
      <c r="R43" s="1151">
        <f>ROUND(+NOMINA!AA26,2)</f>
        <v>104.4</v>
      </c>
      <c r="S43" s="1151">
        <f>ROUND(+NOMINA!AB26,2)</f>
        <v>130</v>
      </c>
      <c r="T43" s="1151">
        <f>ROUND(+NOMINA!AC26,2)</f>
        <v>0</v>
      </c>
      <c r="U43" s="1151">
        <f>ROUND(+NOMINA!AD26,2)</f>
        <v>0</v>
      </c>
      <c r="V43" s="1151">
        <f>ROUND(NOMINA!AQ26,2)</f>
        <v>0</v>
      </c>
      <c r="W43" s="1151">
        <f>+NOMINA!AS26</f>
        <v>0</v>
      </c>
      <c r="X43" s="1151">
        <f>+NOMINA!AT26</f>
        <v>0</v>
      </c>
      <c r="Y43" s="1151">
        <f>+NOMINA!AU26</f>
        <v>582.4</v>
      </c>
      <c r="Z43" s="1151">
        <f>+NOMINA!BX26</f>
        <v>1092</v>
      </c>
      <c r="AA43" s="1151">
        <f>+NOMINA!BY26</f>
        <v>0</v>
      </c>
      <c r="AB43" s="1151">
        <f t="shared" si="2"/>
        <v>1092</v>
      </c>
      <c r="AH43" s="1610" t="str">
        <f>NOMINA!P26</f>
        <v>01020373200000439435</v>
      </c>
    </row>
    <row r="44" spans="1:34" s="629" customFormat="1" ht="20.100000000000001" customHeight="1">
      <c r="A44" s="1160" t="s">
        <v>2846</v>
      </c>
      <c r="B44" s="771">
        <f t="shared" si="3"/>
        <v>12</v>
      </c>
      <c r="C44" s="1145">
        <f>NOMINA!C27</f>
        <v>18457406</v>
      </c>
      <c r="D44" s="1146" t="str">
        <f>NOMINA!D27</f>
        <v>Rivero Zambrano Herluis Jose</v>
      </c>
      <c r="E44" s="1602" t="s">
        <v>4622</v>
      </c>
      <c r="F44" s="1153">
        <v>32351</v>
      </c>
      <c r="G44" s="1602" t="s">
        <v>4620</v>
      </c>
      <c r="H44" s="1572">
        <f>NOMINA!H27</f>
        <v>41548</v>
      </c>
      <c r="I44" s="1148">
        <f>NOMINA!I27</f>
        <v>11</v>
      </c>
      <c r="J44" s="1149">
        <f>NOMINA!J27</f>
        <v>0</v>
      </c>
      <c r="K44" s="1148">
        <f t="shared" si="1"/>
        <v>11</v>
      </c>
      <c r="L44" s="1149" t="s">
        <v>4932</v>
      </c>
      <c r="M44" s="1149"/>
      <c r="N44" s="1573" t="str">
        <f>NOMINA!O27</f>
        <v>COORDINADOR DE PROGRAMA (SAPNNAET)</v>
      </c>
      <c r="O44" s="1149">
        <v>1.02087691000006E+18</v>
      </c>
      <c r="P44" s="1150">
        <f>ROUND(+NOMINA!T27,2)</f>
        <v>348</v>
      </c>
      <c r="Q44" s="1151">
        <v>0</v>
      </c>
      <c r="R44" s="1151">
        <f>ROUND(+NOMINA!AA27,2)</f>
        <v>43.15</v>
      </c>
      <c r="S44" s="1151">
        <f>ROUND(+NOMINA!AB27,2)</f>
        <v>130</v>
      </c>
      <c r="T44" s="1151">
        <f>ROUND(+NOMINA!AC27,2)</f>
        <v>12.5</v>
      </c>
      <c r="U44" s="1151">
        <f>ROUND(+NOMINA!AD27,2)</f>
        <v>133.41</v>
      </c>
      <c r="V44" s="1151">
        <f>ROUND(NOMINA!AQ27,2)</f>
        <v>0</v>
      </c>
      <c r="W44" s="1151">
        <f>+NOMINA!AS27</f>
        <v>0</v>
      </c>
      <c r="X44" s="1151">
        <f>+NOMINA!AT27</f>
        <v>12.5</v>
      </c>
      <c r="Y44" s="1151">
        <f>+NOMINA!AU27</f>
        <v>667.06</v>
      </c>
      <c r="Z44" s="1151">
        <f>+NOMINA!BX27</f>
        <v>1250.74</v>
      </c>
      <c r="AA44" s="1151">
        <f>+NOMINA!BY27</f>
        <v>0</v>
      </c>
      <c r="AB44" s="1151">
        <f t="shared" si="2"/>
        <v>1250.74</v>
      </c>
      <c r="AH44" s="1610" t="str">
        <f>NOMINA!P27</f>
        <v>01020373280000441669</v>
      </c>
    </row>
    <row r="45" spans="1:34" s="629" customFormat="1" ht="20.100000000000001" customHeight="1">
      <c r="A45" s="1160" t="s">
        <v>2846</v>
      </c>
      <c r="B45" s="771">
        <f t="shared" si="3"/>
        <v>13</v>
      </c>
      <c r="C45" s="1145">
        <f>NOMINA!C28</f>
        <v>11895772</v>
      </c>
      <c r="D45" s="1146" t="str">
        <f>NOMINA!D28</f>
        <v>Rangel Rivas Ildemaro</v>
      </c>
      <c r="E45" s="1602" t="s">
        <v>4622</v>
      </c>
      <c r="F45" s="1153">
        <v>32351</v>
      </c>
      <c r="G45" s="1602" t="s">
        <v>4620</v>
      </c>
      <c r="H45" s="1572">
        <f>NOMINA!H28</f>
        <v>44743</v>
      </c>
      <c r="I45" s="1148">
        <f>NOMINA!I28</f>
        <v>2</v>
      </c>
      <c r="J45" s="1149">
        <f>NOMINA!J28</f>
        <v>0</v>
      </c>
      <c r="K45" s="1148">
        <f t="shared" si="1"/>
        <v>2</v>
      </c>
      <c r="L45" s="1149" t="s">
        <v>4932</v>
      </c>
      <c r="M45" s="1149"/>
      <c r="N45" s="1573" t="str">
        <f>NOMINA!O28</f>
        <v>COORDINADOR DE PROGRAMA (SAPNNAET)</v>
      </c>
      <c r="O45" s="1149">
        <v>1.02087691000006E+18</v>
      </c>
      <c r="P45" s="1150">
        <f>ROUND(+NOMINA!T28,2)</f>
        <v>348</v>
      </c>
      <c r="Q45" s="1151">
        <v>0</v>
      </c>
      <c r="R45" s="1151">
        <f>ROUND(+NOMINA!AA28,2)</f>
        <v>6.96</v>
      </c>
      <c r="S45" s="1151">
        <f>ROUND(+NOMINA!AB28,2)</f>
        <v>130</v>
      </c>
      <c r="T45" s="1151">
        <f>ROUND(+NOMINA!AC28,2)</f>
        <v>12.5</v>
      </c>
      <c r="U45" s="1151">
        <f>ROUND(+NOMINA!AD28,2)</f>
        <v>99.49</v>
      </c>
      <c r="V45" s="1151">
        <f>ROUND(NOMINA!AQ28,2)</f>
        <v>0</v>
      </c>
      <c r="W45" s="1151">
        <f>+NOMINA!AS28</f>
        <v>0</v>
      </c>
      <c r="X45" s="1151">
        <f>+NOMINA!AT28</f>
        <v>12.5</v>
      </c>
      <c r="Y45" s="1151">
        <f>+NOMINA!AU28</f>
        <v>596.95000000000005</v>
      </c>
      <c r="Z45" s="1151">
        <f>+NOMINA!BX28</f>
        <v>1119.28</v>
      </c>
      <c r="AA45" s="1151">
        <f>+NOMINA!BY28</f>
        <v>0</v>
      </c>
      <c r="AB45" s="1151">
        <f t="shared" si="2"/>
        <v>1119.28</v>
      </c>
      <c r="AH45" s="1610" t="str">
        <f>NOMINA!P28</f>
        <v>01020494110000059129</v>
      </c>
    </row>
    <row r="46" spans="1:34" s="629" customFormat="1" ht="20.100000000000001" customHeight="1">
      <c r="A46" s="1160" t="s">
        <v>2846</v>
      </c>
      <c r="B46" s="771">
        <f t="shared" si="3"/>
        <v>14</v>
      </c>
      <c r="C46" s="1145">
        <f>NOMINA!C29</f>
        <v>9495661</v>
      </c>
      <c r="D46" s="1146" t="str">
        <f>NOMINA!D29</f>
        <v>Aguial Carrillo Gregoria Coromoto</v>
      </c>
      <c r="E46" s="1602" t="s">
        <v>4622</v>
      </c>
      <c r="F46" s="1153">
        <v>32351</v>
      </c>
      <c r="G46" s="1602" t="s">
        <v>4620</v>
      </c>
      <c r="H46" s="1572">
        <f>NOMINA!H29</f>
        <v>39692</v>
      </c>
      <c r="I46" s="1148">
        <f>NOMINA!I29</f>
        <v>16</v>
      </c>
      <c r="J46" s="1149">
        <f>NOMINA!J29</f>
        <v>0</v>
      </c>
      <c r="K46" s="1148">
        <f t="shared" si="1"/>
        <v>16</v>
      </c>
      <c r="L46" s="1149" t="s">
        <v>4932</v>
      </c>
      <c r="M46" s="1149"/>
      <c r="N46" s="1573" t="str">
        <f>NOMINA!O29</f>
        <v>COORDINADOR DE PROGRAMA (SAPNNAET)</v>
      </c>
      <c r="O46" s="1149">
        <v>1.02087691000006E+18</v>
      </c>
      <c r="P46" s="1150">
        <f>ROUND(+NOMINA!T29,2)</f>
        <v>348</v>
      </c>
      <c r="Q46" s="1151">
        <v>0</v>
      </c>
      <c r="R46" s="1151">
        <f>ROUND(+NOMINA!AA29,2)</f>
        <v>68.209999999999994</v>
      </c>
      <c r="S46" s="1151">
        <f>ROUND(+NOMINA!AB29,2)</f>
        <v>130</v>
      </c>
      <c r="T46" s="1151">
        <f>ROUND(+NOMINA!AC29,2)</f>
        <v>0</v>
      </c>
      <c r="U46" s="1151">
        <f>ROUND(+NOMINA!AD29,2)</f>
        <v>0</v>
      </c>
      <c r="V46" s="1151">
        <f>ROUND(NOMINA!AQ29,2)</f>
        <v>0</v>
      </c>
      <c r="W46" s="1151">
        <f>+NOMINA!AS29</f>
        <v>0</v>
      </c>
      <c r="X46" s="1151">
        <f>+NOMINA!AT29</f>
        <v>0</v>
      </c>
      <c r="Y46" s="1151">
        <f>+NOMINA!AU29</f>
        <v>546.21</v>
      </c>
      <c r="Z46" s="1151">
        <f>+NOMINA!BX29</f>
        <v>1024.1500000000001</v>
      </c>
      <c r="AA46" s="1151">
        <f>+NOMINA!BY29</f>
        <v>0</v>
      </c>
      <c r="AB46" s="1151">
        <f t="shared" si="2"/>
        <v>1024.1500000000001</v>
      </c>
      <c r="AH46" s="1610" t="str">
        <f>NOMINA!P29</f>
        <v>01020373260000439244</v>
      </c>
    </row>
    <row r="47" spans="1:34" s="629" customFormat="1" ht="20.100000000000001" customHeight="1">
      <c r="A47" s="1160" t="s">
        <v>2846</v>
      </c>
      <c r="B47" s="771">
        <f t="shared" si="3"/>
        <v>15</v>
      </c>
      <c r="C47" s="1145">
        <f>NOMINA!C30</f>
        <v>5348397</v>
      </c>
      <c r="D47" s="1146" t="str">
        <f>NOMINA!D30</f>
        <v>Araujo Manzanilla Carlos Antonio</v>
      </c>
      <c r="E47" s="1602" t="s">
        <v>4622</v>
      </c>
      <c r="F47" s="1153">
        <v>32351</v>
      </c>
      <c r="G47" s="1602" t="s">
        <v>4620</v>
      </c>
      <c r="H47" s="1572">
        <f>NOMINA!H30</f>
        <v>43359</v>
      </c>
      <c r="I47" s="1148">
        <f>NOMINA!I30</f>
        <v>6</v>
      </c>
      <c r="J47" s="1149">
        <f>NOMINA!J30</f>
        <v>0</v>
      </c>
      <c r="K47" s="1148">
        <f t="shared" si="1"/>
        <v>6</v>
      </c>
      <c r="L47" s="1149" t="s">
        <v>4932</v>
      </c>
      <c r="M47" s="1149"/>
      <c r="N47" s="1573" t="str">
        <f>NOMINA!O30</f>
        <v>COORDINADOR DE PROGRAMA (SAPNNAET)</v>
      </c>
      <c r="O47" s="1149">
        <v>1.02087691000006E+18</v>
      </c>
      <c r="P47" s="1150">
        <f>ROUND(+NOMINA!T30,2)</f>
        <v>348</v>
      </c>
      <c r="Q47" s="1151">
        <v>0</v>
      </c>
      <c r="R47" s="1151">
        <f>ROUND(+NOMINA!AA30,2)</f>
        <v>21.58</v>
      </c>
      <c r="S47" s="1151">
        <f>ROUND(+NOMINA!AB30,2)</f>
        <v>130</v>
      </c>
      <c r="T47" s="1151">
        <f>ROUND(+NOMINA!AC30,2)</f>
        <v>12.5</v>
      </c>
      <c r="U47" s="1151">
        <f>ROUND(+NOMINA!AD30,2)</f>
        <v>179.23</v>
      </c>
      <c r="V47" s="1151">
        <f>ROUND(NOMINA!AQ30,2)</f>
        <v>0</v>
      </c>
      <c r="W47" s="1151">
        <f>+NOMINA!AS30</f>
        <v>0</v>
      </c>
      <c r="X47" s="1151">
        <f>+NOMINA!AT30</f>
        <v>0</v>
      </c>
      <c r="Y47" s="1151">
        <f>+NOMINA!AU30</f>
        <v>691.31</v>
      </c>
      <c r="Z47" s="1151">
        <f>+NOMINA!BX30</f>
        <v>1296.21</v>
      </c>
      <c r="AA47" s="1151">
        <f>+NOMINA!BY30</f>
        <v>0</v>
      </c>
      <c r="AB47" s="1151">
        <f t="shared" si="2"/>
        <v>1296.21</v>
      </c>
      <c r="AH47" s="1610" t="str">
        <f>NOMINA!P30</f>
        <v>01020747950000327987</v>
      </c>
    </row>
    <row r="48" spans="1:34" s="629" customFormat="1" ht="20.100000000000001" customHeight="1">
      <c r="A48" s="1160" t="s">
        <v>2846</v>
      </c>
      <c r="B48" s="771">
        <f t="shared" si="3"/>
        <v>16</v>
      </c>
      <c r="C48" s="1145">
        <f>NOMINA!C31</f>
        <v>9314132</v>
      </c>
      <c r="D48" s="1146" t="str">
        <f>NOMINA!D31</f>
        <v>Viloria Montilla Gerardo</v>
      </c>
      <c r="E48" s="1602" t="s">
        <v>4622</v>
      </c>
      <c r="F48" s="1153">
        <v>32351</v>
      </c>
      <c r="G48" s="1602" t="s">
        <v>4620</v>
      </c>
      <c r="H48" s="1572">
        <f>NOMINA!H31</f>
        <v>44348</v>
      </c>
      <c r="I48" s="1148">
        <f>NOMINA!I31</f>
        <v>3</v>
      </c>
      <c r="J48" s="1149">
        <f>NOMINA!J31</f>
        <v>0</v>
      </c>
      <c r="K48" s="1148">
        <f t="shared" si="1"/>
        <v>3</v>
      </c>
      <c r="L48" s="1149" t="s">
        <v>4932</v>
      </c>
      <c r="M48" s="1149"/>
      <c r="N48" s="1573" t="str">
        <f>NOMINA!O31</f>
        <v>COORDINADOR DE PROGRAMA (SAPNNAET)</v>
      </c>
      <c r="O48" s="1149">
        <v>1.02087691000006E+18</v>
      </c>
      <c r="P48" s="1150">
        <f>ROUND(+NOMINA!T31,2)</f>
        <v>348</v>
      </c>
      <c r="Q48" s="1151">
        <v>0</v>
      </c>
      <c r="R48" s="1151">
        <f>ROUND(+NOMINA!AA31,2)</f>
        <v>10.44</v>
      </c>
      <c r="S48" s="1151">
        <f>ROUND(+NOMINA!AB31,2)</f>
        <v>130</v>
      </c>
      <c r="T48" s="1151">
        <f>ROUND(+NOMINA!AC31,2)</f>
        <v>0</v>
      </c>
      <c r="U48" s="1151">
        <f>ROUND(+NOMINA!AD31,2)</f>
        <v>170.95</v>
      </c>
      <c r="V48" s="1151">
        <f>ROUND(NOMINA!AQ31,2)</f>
        <v>0</v>
      </c>
      <c r="W48" s="1151">
        <f>+NOMINA!AS31</f>
        <v>0</v>
      </c>
      <c r="X48" s="1151">
        <f>+NOMINA!AT31</f>
        <v>0</v>
      </c>
      <c r="Y48" s="1151">
        <f>+NOMINA!AU31</f>
        <v>659.39</v>
      </c>
      <c r="Z48" s="1151">
        <f>+NOMINA!BX31</f>
        <v>1236.3599999999999</v>
      </c>
      <c r="AA48" s="1151">
        <f>+NOMINA!BY31</f>
        <v>0</v>
      </c>
      <c r="AB48" s="1151">
        <f t="shared" si="2"/>
        <v>1236.3599999999999</v>
      </c>
      <c r="AH48" s="1610" t="str">
        <f>NOMINA!P31</f>
        <v>01020369460001033238</v>
      </c>
    </row>
    <row r="49" spans="1:34" s="629" customFormat="1" ht="20.100000000000001" customHeight="1">
      <c r="A49" s="1160" t="s">
        <v>2846</v>
      </c>
      <c r="B49" s="771">
        <f t="shared" si="3"/>
        <v>17</v>
      </c>
      <c r="C49" s="1145">
        <f>NOMINA!C32</f>
        <v>11320533</v>
      </c>
      <c r="D49" s="1146" t="str">
        <f>NOMINA!D32</f>
        <v>Suarez Chiquin Yaritza Josefina</v>
      </c>
      <c r="E49" s="1602" t="s">
        <v>4622</v>
      </c>
      <c r="F49" s="1153">
        <v>32351</v>
      </c>
      <c r="G49" s="1602" t="s">
        <v>4620</v>
      </c>
      <c r="H49" s="1572">
        <f>NOMINA!H32</f>
        <v>37629</v>
      </c>
      <c r="I49" s="1148">
        <f>NOMINA!I32</f>
        <v>22</v>
      </c>
      <c r="J49" s="1149">
        <f>NOMINA!J32</f>
        <v>0</v>
      </c>
      <c r="K49" s="1148">
        <f t="shared" si="1"/>
        <v>22</v>
      </c>
      <c r="L49" s="1149" t="s">
        <v>4932</v>
      </c>
      <c r="M49" s="1149"/>
      <c r="N49" s="1573" t="str">
        <f>NOMINA!O32</f>
        <v>COORDINADOR DE PROGRAMA (SAPNNAET)</v>
      </c>
      <c r="O49" s="1149">
        <v>1.02087691000006E+18</v>
      </c>
      <c r="P49" s="1150">
        <f>ROUND(+NOMINA!T32,2)</f>
        <v>348</v>
      </c>
      <c r="Q49" s="1151">
        <v>0</v>
      </c>
      <c r="R49" s="1151">
        <f>ROUND(+NOMINA!AA32,2)</f>
        <v>103.01</v>
      </c>
      <c r="S49" s="1151">
        <f>ROUND(+NOMINA!AB32,2)</f>
        <v>130</v>
      </c>
      <c r="T49" s="1151">
        <f>ROUND(+NOMINA!AC32,2)</f>
        <v>12.5</v>
      </c>
      <c r="U49" s="1151">
        <f>ROUND(+NOMINA!AD32,2)</f>
        <v>148.38</v>
      </c>
      <c r="V49" s="1151">
        <f>ROUND(NOMINA!AQ32,2)</f>
        <v>0</v>
      </c>
      <c r="W49" s="1151">
        <f>+NOMINA!AS32</f>
        <v>0</v>
      </c>
      <c r="X49" s="1151">
        <f>+NOMINA!AT32</f>
        <v>0</v>
      </c>
      <c r="Y49" s="1151">
        <f>+NOMINA!AU32</f>
        <v>741.89</v>
      </c>
      <c r="Z49" s="1151">
        <f>+NOMINA!BX32</f>
        <v>1391.05</v>
      </c>
      <c r="AA49" s="1151">
        <f>+NOMINA!BY32</f>
        <v>0</v>
      </c>
      <c r="AB49" s="1151">
        <f t="shared" si="2"/>
        <v>1391.05</v>
      </c>
      <c r="AH49" s="1610" t="str">
        <f>NOMINA!P32</f>
        <v>01020373290000439914</v>
      </c>
    </row>
    <row r="50" spans="1:34" s="629" customFormat="1" ht="20.100000000000001" customHeight="1">
      <c r="A50" s="1160" t="s">
        <v>2846</v>
      </c>
      <c r="B50" s="771">
        <f t="shared" si="3"/>
        <v>18</v>
      </c>
      <c r="C50" s="1145">
        <f>NOMINA!C33</f>
        <v>10912595</v>
      </c>
      <c r="D50" s="1146" t="str">
        <f>NOMINA!D33</f>
        <v>Delfin Bustos Jose Hercilio</v>
      </c>
      <c r="E50" s="1602" t="s">
        <v>4622</v>
      </c>
      <c r="F50" s="1153">
        <v>32351</v>
      </c>
      <c r="G50" s="1602" t="s">
        <v>4620</v>
      </c>
      <c r="H50" s="1572">
        <f>NOMINA!H33</f>
        <v>36039</v>
      </c>
      <c r="I50" s="1148">
        <f>NOMINA!I33</f>
        <v>26</v>
      </c>
      <c r="J50" s="1149">
        <f>NOMINA!J33</f>
        <v>0</v>
      </c>
      <c r="K50" s="1148">
        <f t="shared" si="1"/>
        <v>26</v>
      </c>
      <c r="L50" s="1149" t="s">
        <v>4932</v>
      </c>
      <c r="M50" s="1149"/>
      <c r="N50" s="1573" t="str">
        <f>NOMINA!O33</f>
        <v>COORDINADOR DE PROGRAMA (SAPNNAET)</v>
      </c>
      <c r="O50" s="1149">
        <v>1.02087691000006E+18</v>
      </c>
      <c r="P50" s="1150">
        <f>ROUND(+NOMINA!T33,2)</f>
        <v>348</v>
      </c>
      <c r="Q50" s="1151">
        <v>0</v>
      </c>
      <c r="R50" s="1151">
        <f>ROUND(+NOMINA!AA33,2)</f>
        <v>104.4</v>
      </c>
      <c r="S50" s="1151">
        <f>ROUND(+NOMINA!AB33,2)</f>
        <v>130</v>
      </c>
      <c r="T50" s="1151">
        <f>ROUND(+NOMINA!AC33,2)</f>
        <v>0</v>
      </c>
      <c r="U50" s="1151">
        <f>ROUND(+NOMINA!AD33,2)</f>
        <v>0</v>
      </c>
      <c r="V50" s="1151">
        <f>ROUND(NOMINA!AQ33,2)</f>
        <v>0</v>
      </c>
      <c r="W50" s="1151">
        <f>+NOMINA!AS33</f>
        <v>0</v>
      </c>
      <c r="X50" s="1151">
        <f>+NOMINA!AT33</f>
        <v>0</v>
      </c>
      <c r="Y50" s="1151">
        <f>+NOMINA!AU33</f>
        <v>582.4</v>
      </c>
      <c r="Z50" s="1151">
        <f>+NOMINA!BX33</f>
        <v>1092</v>
      </c>
      <c r="AA50" s="1151">
        <f>+NOMINA!BY33</f>
        <v>0</v>
      </c>
      <c r="AB50" s="1151">
        <f t="shared" si="2"/>
        <v>1092</v>
      </c>
      <c r="AH50" s="1610" t="str">
        <f>NOMINA!P33</f>
        <v>01020373200000442299</v>
      </c>
    </row>
    <row r="51" spans="1:34" s="629" customFormat="1" ht="20.100000000000001" customHeight="1">
      <c r="A51" s="1160" t="s">
        <v>2846</v>
      </c>
      <c r="B51" s="771">
        <f t="shared" si="3"/>
        <v>19</v>
      </c>
      <c r="C51" s="1145">
        <f>NOMINA!C34</f>
        <v>4306476</v>
      </c>
      <c r="D51" s="1146" t="str">
        <f>NOMINA!D34</f>
        <v xml:space="preserve">Triviño De Bastidas Dioni De La Coromoto </v>
      </c>
      <c r="E51" s="1602" t="s">
        <v>4622</v>
      </c>
      <c r="F51" s="1153">
        <v>32351</v>
      </c>
      <c r="G51" s="1602" t="s">
        <v>4620</v>
      </c>
      <c r="H51" s="1572">
        <f>NOMINA!H34</f>
        <v>44409</v>
      </c>
      <c r="I51" s="1148">
        <f>NOMINA!I34</f>
        <v>3</v>
      </c>
      <c r="J51" s="1149">
        <f>NOMINA!J34</f>
        <v>25</v>
      </c>
      <c r="K51" s="1148">
        <f t="shared" si="1"/>
        <v>28</v>
      </c>
      <c r="L51" s="1149" t="s">
        <v>4932</v>
      </c>
      <c r="M51" s="1149"/>
      <c r="N51" s="1573" t="str">
        <f>NOMINA!O34</f>
        <v>COORDINADOR DE PROGRAMA (SAPNNAET)</v>
      </c>
      <c r="O51" s="1149">
        <v>1.02087691000006E+18</v>
      </c>
      <c r="P51" s="1150">
        <f>ROUND(+NOMINA!T34,2)</f>
        <v>348</v>
      </c>
      <c r="Q51" s="1151">
        <v>0</v>
      </c>
      <c r="R51" s="1151">
        <f>ROUND(+NOMINA!AA34,2)</f>
        <v>104.4</v>
      </c>
      <c r="S51" s="1151">
        <f>ROUND(+NOMINA!AB34,2)</f>
        <v>130</v>
      </c>
      <c r="T51" s="1151">
        <f>ROUND(+NOMINA!AC34,2)</f>
        <v>0</v>
      </c>
      <c r="U51" s="1151">
        <f>ROUND(+NOMINA!AD34,2)</f>
        <v>203.84</v>
      </c>
      <c r="V51" s="1151">
        <f>ROUND(NOMINA!AQ34,2)</f>
        <v>0</v>
      </c>
      <c r="W51" s="1151">
        <f>+NOMINA!AS34</f>
        <v>0</v>
      </c>
      <c r="X51" s="1151">
        <f>+NOMINA!AT34</f>
        <v>0</v>
      </c>
      <c r="Y51" s="1151">
        <f>+NOMINA!AU34</f>
        <v>786.24</v>
      </c>
      <c r="Z51" s="1151">
        <f>+NOMINA!BX34</f>
        <v>1474.2</v>
      </c>
      <c r="AA51" s="1151">
        <f>+NOMINA!BY34</f>
        <v>0</v>
      </c>
      <c r="AB51" s="1151">
        <f t="shared" si="2"/>
        <v>1474.2</v>
      </c>
      <c r="AH51" s="1610" t="str">
        <f>NOMINA!P34</f>
        <v>01020373220000439053</v>
      </c>
    </row>
    <row r="52" spans="1:34" s="629" customFormat="1" ht="20.100000000000001" customHeight="1">
      <c r="A52" s="1160" t="s">
        <v>2846</v>
      </c>
      <c r="B52" s="771">
        <f t="shared" si="3"/>
        <v>20</v>
      </c>
      <c r="C52" s="1145">
        <f>NOMINA!C35</f>
        <v>13568733</v>
      </c>
      <c r="D52" s="1146" t="str">
        <f>NOMINA!D35</f>
        <v>Campos de Velazquez Nilda Carolina</v>
      </c>
      <c r="E52" s="1602" t="s">
        <v>4622</v>
      </c>
      <c r="F52" s="1153">
        <v>32351</v>
      </c>
      <c r="G52" s="1602" t="s">
        <v>4620</v>
      </c>
      <c r="H52" s="1572">
        <f>NOMINA!H35</f>
        <v>44805</v>
      </c>
      <c r="I52" s="1148">
        <f>NOMINA!I35</f>
        <v>2</v>
      </c>
      <c r="J52" s="1149">
        <f>NOMINA!J35</f>
        <v>0</v>
      </c>
      <c r="K52" s="1148">
        <f t="shared" si="1"/>
        <v>2</v>
      </c>
      <c r="L52" s="1149" t="s">
        <v>4932</v>
      </c>
      <c r="M52" s="1149"/>
      <c r="N52" s="1573" t="str">
        <f>NOMINA!O35</f>
        <v>COORDINADOR DE PROGRAMA (SAPNNAET)</v>
      </c>
      <c r="O52" s="1149">
        <v>1.02087691000006E+18</v>
      </c>
      <c r="P52" s="1150">
        <f>ROUND(+NOMINA!T35,2)</f>
        <v>348</v>
      </c>
      <c r="Q52" s="1151">
        <v>0</v>
      </c>
      <c r="R52" s="1151">
        <f>ROUND(+NOMINA!AA35,2)</f>
        <v>6.96</v>
      </c>
      <c r="S52" s="1151">
        <f>ROUND(+NOMINA!AB35,2)</f>
        <v>130</v>
      </c>
      <c r="T52" s="1151">
        <f>ROUND(+NOMINA!AC35,2)</f>
        <v>12.5</v>
      </c>
      <c r="U52" s="1151">
        <f>ROUND(+NOMINA!AD35,2)</f>
        <v>124.37</v>
      </c>
      <c r="V52" s="1151">
        <f>ROUND(NOMINA!AQ35,2)</f>
        <v>0</v>
      </c>
      <c r="W52" s="1151">
        <f>+NOMINA!AS35</f>
        <v>0</v>
      </c>
      <c r="X52" s="1151">
        <f>+NOMINA!AT35</f>
        <v>12.5</v>
      </c>
      <c r="Y52" s="1151">
        <f>+NOMINA!AU35</f>
        <v>621.83000000000004</v>
      </c>
      <c r="Z52" s="1151">
        <f>+NOMINA!BX35</f>
        <v>1165.93</v>
      </c>
      <c r="AA52" s="1151">
        <f>+NOMINA!BY35</f>
        <v>0</v>
      </c>
      <c r="AB52" s="1151">
        <f t="shared" si="2"/>
        <v>1165.93</v>
      </c>
      <c r="AH52" s="1610" t="str">
        <f>NOMINA!P35</f>
        <v>01020493380000044516</v>
      </c>
    </row>
    <row r="53" spans="1:34" s="629" customFormat="1" ht="20.100000000000001" customHeight="1">
      <c r="A53" s="1160" t="s">
        <v>2846</v>
      </c>
      <c r="B53" s="771">
        <f t="shared" si="3"/>
        <v>21</v>
      </c>
      <c r="C53" s="1145">
        <f>NOMINA!C36</f>
        <v>20790947</v>
      </c>
      <c r="D53" s="1146" t="str">
        <f>NOMINA!D36</f>
        <v>Urbina Cuellar Tannessy Lenery</v>
      </c>
      <c r="E53" s="1602" t="s">
        <v>4622</v>
      </c>
      <c r="F53" s="1153">
        <v>32351</v>
      </c>
      <c r="G53" s="1602" t="s">
        <v>4620</v>
      </c>
      <c r="H53" s="1572">
        <f>NOMINA!H36</f>
        <v>43967</v>
      </c>
      <c r="I53" s="1148">
        <f>NOMINA!I36</f>
        <v>4</v>
      </c>
      <c r="J53" s="1149">
        <f>NOMINA!J36</f>
        <v>0</v>
      </c>
      <c r="K53" s="1148">
        <f t="shared" si="1"/>
        <v>4</v>
      </c>
      <c r="L53" s="1149" t="s">
        <v>4932</v>
      </c>
      <c r="M53" s="1149"/>
      <c r="N53" s="1573" t="str">
        <f>NOMINA!O36</f>
        <v>COORDINADOR DE PROGRAMA (SAPNNAET)</v>
      </c>
      <c r="O53" s="1149">
        <v>1.02087691000006E+18</v>
      </c>
      <c r="P53" s="1150">
        <f>ROUND(+NOMINA!T36,2)</f>
        <v>348</v>
      </c>
      <c r="Q53" s="1151">
        <v>0</v>
      </c>
      <c r="R53" s="1151">
        <f>ROUND(+NOMINA!AA36,2)</f>
        <v>13.92</v>
      </c>
      <c r="S53" s="1151">
        <f>ROUND(+NOMINA!AB36,2)</f>
        <v>130</v>
      </c>
      <c r="T53" s="1151">
        <f>ROUND(+NOMINA!AC36,2)</f>
        <v>12.5</v>
      </c>
      <c r="U53" s="1151">
        <f>ROUND(+NOMINA!AD36,2)</f>
        <v>126.11</v>
      </c>
      <c r="V53" s="1151">
        <f>ROUND(NOMINA!AQ36,2)</f>
        <v>0</v>
      </c>
      <c r="W53" s="1151">
        <f>+NOMINA!AS36</f>
        <v>0</v>
      </c>
      <c r="X53" s="1151">
        <f>+NOMINA!AT36</f>
        <v>12.5</v>
      </c>
      <c r="Y53" s="1151">
        <f>+NOMINA!AU36</f>
        <v>630.53</v>
      </c>
      <c r="Z53" s="1151">
        <f>+NOMINA!BX36</f>
        <v>1182.25</v>
      </c>
      <c r="AA53" s="1151">
        <f>+NOMINA!BY36</f>
        <v>0</v>
      </c>
      <c r="AB53" s="1151">
        <f t="shared" si="2"/>
        <v>1182.25</v>
      </c>
      <c r="AH53" s="1610" t="str">
        <f>NOMINA!P36</f>
        <v>01020373270000678283</v>
      </c>
    </row>
    <row r="54" spans="1:34" s="629" customFormat="1" ht="20.100000000000001" customHeight="1">
      <c r="A54" s="1160" t="s">
        <v>2846</v>
      </c>
      <c r="B54" s="771">
        <f t="shared" si="3"/>
        <v>22</v>
      </c>
      <c r="C54" s="1145">
        <f>NOMINA!C37</f>
        <v>15752183</v>
      </c>
      <c r="D54" s="1146" t="str">
        <f>NOMINA!D37</f>
        <v>Delduca Adriana Del Valle</v>
      </c>
      <c r="E54" s="1602" t="s">
        <v>4622</v>
      </c>
      <c r="F54" s="1153">
        <v>32351</v>
      </c>
      <c r="G54" s="1602" t="s">
        <v>4620</v>
      </c>
      <c r="H54" s="1572">
        <f>NOMINA!H37</f>
        <v>38930</v>
      </c>
      <c r="I54" s="1148">
        <f>NOMINA!I37</f>
        <v>18</v>
      </c>
      <c r="J54" s="1149">
        <f>NOMINA!J37</f>
        <v>0</v>
      </c>
      <c r="K54" s="1148">
        <f t="shared" si="1"/>
        <v>18</v>
      </c>
      <c r="L54" s="1149" t="s">
        <v>4932</v>
      </c>
      <c r="M54" s="1149"/>
      <c r="N54" s="1573" t="str">
        <f>NOMINA!O37</f>
        <v>COORDINADOR DE PROGRAMA (SAPNNAET)</v>
      </c>
      <c r="O54" s="1149">
        <v>1.02087691000006E+18</v>
      </c>
      <c r="P54" s="1150">
        <f>ROUND(+NOMINA!T37,2)</f>
        <v>348</v>
      </c>
      <c r="Q54" s="1151">
        <v>0</v>
      </c>
      <c r="R54" s="1151">
        <f>ROUND(+NOMINA!AA37,2)</f>
        <v>79.34</v>
      </c>
      <c r="S54" s="1151">
        <f>ROUND(+NOMINA!AB37,2)</f>
        <v>130</v>
      </c>
      <c r="T54" s="1151">
        <f>ROUND(+NOMINA!AC37,2)</f>
        <v>25</v>
      </c>
      <c r="U54" s="1151">
        <f>ROUND(+NOMINA!AD37,2)</f>
        <v>0</v>
      </c>
      <c r="V54" s="1151">
        <f>ROUND(NOMINA!AQ37,2)</f>
        <v>0</v>
      </c>
      <c r="W54" s="1151">
        <f>+NOMINA!AS37</f>
        <v>0</v>
      </c>
      <c r="X54" s="1151">
        <f>+NOMINA!AT37</f>
        <v>0</v>
      </c>
      <c r="Y54" s="1151">
        <f>+NOMINA!AU37</f>
        <v>582.34</v>
      </c>
      <c r="Z54" s="1151">
        <f>+NOMINA!BX37</f>
        <v>1091.8900000000001</v>
      </c>
      <c r="AA54" s="1151">
        <f>+NOMINA!BY37</f>
        <v>0</v>
      </c>
      <c r="AB54" s="1151">
        <f t="shared" si="2"/>
        <v>1091.8900000000001</v>
      </c>
      <c r="AH54" s="1610" t="str">
        <f>NOMINA!P37</f>
        <v>01020373260000441009</v>
      </c>
    </row>
    <row r="55" spans="1:34" s="629" customFormat="1" ht="20.100000000000001" customHeight="1">
      <c r="A55" s="1160" t="s">
        <v>2846</v>
      </c>
      <c r="B55" s="771">
        <f t="shared" si="3"/>
        <v>23</v>
      </c>
      <c r="C55" s="1145">
        <f>NOMINA!C38</f>
        <v>16739081</v>
      </c>
      <c r="D55" s="1146" t="str">
        <f>NOMINA!D38</f>
        <v>Albarran Araujo Yely Coromoto</v>
      </c>
      <c r="E55" s="1602" t="s">
        <v>4622</v>
      </c>
      <c r="F55" s="1153">
        <v>32351</v>
      </c>
      <c r="G55" s="1602" t="s">
        <v>4620</v>
      </c>
      <c r="H55" s="1572">
        <f>NOMINA!H38</f>
        <v>42948</v>
      </c>
      <c r="I55" s="1148">
        <f>NOMINA!I38</f>
        <v>7</v>
      </c>
      <c r="J55" s="1149">
        <f>NOMINA!J38</f>
        <v>0</v>
      </c>
      <c r="K55" s="1148">
        <f t="shared" si="1"/>
        <v>7</v>
      </c>
      <c r="L55" s="1149" t="s">
        <v>4932</v>
      </c>
      <c r="M55" s="1149"/>
      <c r="N55" s="1573" t="str">
        <f>NOMINA!O38</f>
        <v>COORDINADOR DE PROGRAMA (SAPNNAET)</v>
      </c>
      <c r="O55" s="1149">
        <v>1.02087691000006E+18</v>
      </c>
      <c r="P55" s="1150">
        <f>ROUND(+NOMINA!T38,2)</f>
        <v>348</v>
      </c>
      <c r="Q55" s="1151">
        <v>0</v>
      </c>
      <c r="R55" s="1151">
        <f>ROUND(+NOMINA!AA38,2)</f>
        <v>25.75</v>
      </c>
      <c r="S55" s="1151">
        <f>ROUND(+NOMINA!AB38,2)</f>
        <v>130</v>
      </c>
      <c r="T55" s="1151">
        <f>ROUND(+NOMINA!AC38,2)</f>
        <v>25</v>
      </c>
      <c r="U55" s="1151">
        <f>ROUND(+NOMINA!AD38,2)</f>
        <v>105.75</v>
      </c>
      <c r="V55" s="1151">
        <f>ROUND(NOMINA!AQ38,2)</f>
        <v>0</v>
      </c>
      <c r="W55" s="1151">
        <f>+NOMINA!AS38</f>
        <v>0</v>
      </c>
      <c r="X55" s="1151">
        <f>+NOMINA!AT38</f>
        <v>0</v>
      </c>
      <c r="Y55" s="1151">
        <f>+NOMINA!AU38</f>
        <v>634.5</v>
      </c>
      <c r="Z55" s="1151">
        <f>+NOMINA!BX38</f>
        <v>1189.69</v>
      </c>
      <c r="AA55" s="1151">
        <f>+NOMINA!BY38</f>
        <v>0</v>
      </c>
      <c r="AB55" s="1151">
        <f t="shared" si="2"/>
        <v>1189.69</v>
      </c>
      <c r="AH55" s="1610" t="str">
        <f>NOMINA!P38</f>
        <v>01020373230000462839</v>
      </c>
    </row>
    <row r="56" spans="1:34" s="629" customFormat="1" ht="20.100000000000001" customHeight="1">
      <c r="A56" s="1160"/>
      <c r="B56" s="771">
        <f t="shared" si="3"/>
        <v>24</v>
      </c>
      <c r="C56" s="1145">
        <f>NOMINA!C39</f>
        <v>12781930</v>
      </c>
      <c r="D56" s="1146" t="str">
        <f>NOMINA!D39</f>
        <v>Berrios Gomez Neida Marina</v>
      </c>
      <c r="E56" s="1602" t="s">
        <v>4622</v>
      </c>
      <c r="F56" s="1153">
        <v>32351</v>
      </c>
      <c r="G56" s="1602" t="s">
        <v>4620</v>
      </c>
      <c r="H56" s="1572">
        <f>NOMINA!H39</f>
        <v>44652</v>
      </c>
      <c r="I56" s="1148">
        <f>NOMINA!I39</f>
        <v>2</v>
      </c>
      <c r="J56" s="1149">
        <f>NOMINA!J39</f>
        <v>0</v>
      </c>
      <c r="K56" s="1148">
        <f t="shared" si="1"/>
        <v>2</v>
      </c>
      <c r="L56" s="1149" t="s">
        <v>4932</v>
      </c>
      <c r="M56" s="1149"/>
      <c r="N56" s="1573" t="str">
        <f>NOMINA!O39</f>
        <v>COORDINADOR DE PROGRAMA (SAPNNAET)</v>
      </c>
      <c r="O56" s="1149">
        <v>1.02087691000006E+18</v>
      </c>
      <c r="P56" s="1150">
        <f>ROUND(+NOMINA!T39,2)</f>
        <v>348</v>
      </c>
      <c r="Q56" s="1151">
        <v>0</v>
      </c>
      <c r="R56" s="1151">
        <f>ROUND(+NOMINA!AA39,2)</f>
        <v>6.96</v>
      </c>
      <c r="S56" s="1151">
        <f>ROUND(+NOMINA!AB39,2)</f>
        <v>130</v>
      </c>
      <c r="T56" s="1151">
        <f>ROUND(+NOMINA!AC39,2)</f>
        <v>0</v>
      </c>
      <c r="U56" s="1151">
        <f>ROUND(+NOMINA!AD39,2)</f>
        <v>121.24</v>
      </c>
      <c r="V56" s="1151">
        <f>ROUND(NOMINA!AQ39,2)</f>
        <v>0</v>
      </c>
      <c r="W56" s="1151">
        <f>+NOMINA!AS39</f>
        <v>0</v>
      </c>
      <c r="X56" s="1151">
        <f>+NOMINA!AT39</f>
        <v>0</v>
      </c>
      <c r="Y56" s="1151">
        <f>+NOMINA!AU39</f>
        <v>606.20000000000005</v>
      </c>
      <c r="Z56" s="1151">
        <f>+NOMINA!BX39</f>
        <v>1136.6300000000001</v>
      </c>
      <c r="AA56" s="1151">
        <f>+NOMINA!BY39</f>
        <v>0</v>
      </c>
      <c r="AB56" s="1151">
        <f t="shared" si="2"/>
        <v>1136.6300000000001</v>
      </c>
      <c r="AH56" s="1610" t="str">
        <f>NOMINA!P39</f>
        <v>01020118700000111203</v>
      </c>
    </row>
    <row r="57" spans="1:34" s="629" customFormat="1" ht="20.100000000000001" customHeight="1" thickBot="1">
      <c r="A57" s="1160"/>
      <c r="B57" s="771">
        <f t="shared" si="3"/>
        <v>25</v>
      </c>
      <c r="C57" s="1145">
        <f>NOMINA!C40</f>
        <v>13896239</v>
      </c>
      <c r="D57" s="1146" t="str">
        <f>NOMINA!D40</f>
        <v>Sulbaran Campos Yusneida Ayarith</v>
      </c>
      <c r="E57" s="1602" t="s">
        <v>4622</v>
      </c>
      <c r="F57" s="1153">
        <v>32351</v>
      </c>
      <c r="G57" s="1602" t="s">
        <v>4620</v>
      </c>
      <c r="H57" s="1572">
        <f>NOMINA!H40</f>
        <v>42416</v>
      </c>
      <c r="I57" s="1148">
        <f>NOMINA!I40</f>
        <v>8</v>
      </c>
      <c r="J57" s="1149">
        <f>NOMINA!J40</f>
        <v>0</v>
      </c>
      <c r="K57" s="1148">
        <f t="shared" si="1"/>
        <v>8</v>
      </c>
      <c r="L57" s="1149" t="s">
        <v>4932</v>
      </c>
      <c r="M57" s="1149"/>
      <c r="N57" s="1573" t="str">
        <f>NOMINA!O40</f>
        <v>COORDINADOR DE PROGRAMA (SAPNNAET)</v>
      </c>
      <c r="O57" s="1149">
        <v>1.02087691000006E+18</v>
      </c>
      <c r="P57" s="1150">
        <f>ROUND(+NOMINA!T40,2)</f>
        <v>348</v>
      </c>
      <c r="Q57" s="1151">
        <v>0</v>
      </c>
      <c r="R57" s="1151">
        <f>ROUND(+NOMINA!AA40,2)</f>
        <v>29.93</v>
      </c>
      <c r="S57" s="1151">
        <f>ROUND(+NOMINA!AB40,2)</f>
        <v>130</v>
      </c>
      <c r="T57" s="1151">
        <f>ROUND(+NOMINA!AC40,2)</f>
        <v>12.5</v>
      </c>
      <c r="U57" s="1151">
        <f>ROUND(+NOMINA!AD40,2)</f>
        <v>0</v>
      </c>
      <c r="V57" s="1151">
        <f>ROUND(NOMINA!AQ40,2)</f>
        <v>0</v>
      </c>
      <c r="W57" s="1151">
        <f>+NOMINA!AS40</f>
        <v>0</v>
      </c>
      <c r="X57" s="1151">
        <f>+NOMINA!AT40</f>
        <v>12.5</v>
      </c>
      <c r="Y57" s="1151">
        <f>+NOMINA!AU40</f>
        <v>520.43000000000006</v>
      </c>
      <c r="Z57" s="1151">
        <f>+NOMINA!BX40</f>
        <v>975.81</v>
      </c>
      <c r="AA57" s="1151">
        <f>+NOMINA!BY40</f>
        <v>0</v>
      </c>
      <c r="AB57" s="1151">
        <f t="shared" si="2"/>
        <v>975.81</v>
      </c>
      <c r="AH57" s="1610" t="str">
        <f>NOMINA!P40</f>
        <v>01020373220000439781</v>
      </c>
    </row>
    <row r="58" spans="1:34" s="629" customFormat="1" ht="19.5" customHeight="1" thickBot="1">
      <c r="A58" s="675"/>
      <c r="B58" s="676"/>
      <c r="C58" s="677"/>
      <c r="D58" s="677"/>
      <c r="E58" s="677"/>
      <c r="F58" s="677"/>
      <c r="G58" s="677"/>
      <c r="H58" s="678"/>
      <c r="I58" s="677"/>
      <c r="J58" s="677"/>
      <c r="K58" s="607" t="s">
        <v>5839</v>
      </c>
      <c r="L58" s="677"/>
      <c r="M58" s="677"/>
      <c r="N58" s="677"/>
      <c r="O58" s="677"/>
      <c r="P58" s="679" t="e">
        <f t="shared" ref="P58:AB58" si="4">SUM(P33:P57)</f>
        <v>#REF!</v>
      </c>
      <c r="Q58" s="679">
        <f t="shared" si="4"/>
        <v>0</v>
      </c>
      <c r="R58" s="679" t="e">
        <f t="shared" si="4"/>
        <v>#REF!</v>
      </c>
      <c r="S58" s="679" t="e">
        <f t="shared" si="4"/>
        <v>#REF!</v>
      </c>
      <c r="T58" s="679" t="e">
        <f t="shared" si="4"/>
        <v>#REF!</v>
      </c>
      <c r="U58" s="679" t="e">
        <f t="shared" si="4"/>
        <v>#REF!</v>
      </c>
      <c r="V58" s="679" t="e">
        <f t="shared" si="4"/>
        <v>#REF!</v>
      </c>
      <c r="W58" s="679" t="e">
        <f t="shared" si="4"/>
        <v>#REF!</v>
      </c>
      <c r="X58" s="679" t="e">
        <f t="shared" si="4"/>
        <v>#REF!</v>
      </c>
      <c r="Y58" s="679" t="e">
        <f t="shared" si="4"/>
        <v>#REF!</v>
      </c>
      <c r="Z58" s="679" t="e">
        <f t="shared" si="4"/>
        <v>#REF!</v>
      </c>
      <c r="AA58" s="679" t="e">
        <f t="shared" si="4"/>
        <v>#REF!</v>
      </c>
      <c r="AB58" s="681" t="e">
        <f t="shared" si="4"/>
        <v>#REF!</v>
      </c>
      <c r="AC58" s="634"/>
      <c r="AD58" s="634"/>
      <c r="AH58" s="677"/>
    </row>
    <row r="59" spans="1:34" s="629" customFormat="1" ht="19.5" customHeight="1">
      <c r="A59" s="675"/>
      <c r="B59" s="778"/>
      <c r="C59" s="814"/>
      <c r="D59" s="814"/>
      <c r="E59" s="814"/>
      <c r="F59" s="814"/>
      <c r="G59" s="814"/>
      <c r="H59" s="815"/>
      <c r="I59" s="814"/>
      <c r="J59" s="814"/>
      <c r="K59" s="786"/>
      <c r="L59" s="814"/>
      <c r="M59" s="814"/>
      <c r="N59" s="814"/>
      <c r="O59" s="814"/>
      <c r="P59" s="816"/>
      <c r="Q59" s="816"/>
      <c r="R59" s="816"/>
      <c r="S59" s="816"/>
      <c r="T59" s="816"/>
      <c r="U59" s="816"/>
      <c r="V59" s="816"/>
      <c r="W59" s="816"/>
      <c r="X59" s="816"/>
      <c r="Y59" s="816"/>
      <c r="Z59" s="816"/>
      <c r="AA59" s="816"/>
      <c r="AB59" s="816"/>
      <c r="AH59" s="814"/>
    </row>
    <row r="60" spans="1:34" s="629" customFormat="1" ht="19.5" customHeight="1">
      <c r="A60" s="675"/>
      <c r="B60" s="790"/>
      <c r="C60" s="791"/>
      <c r="D60" s="735" t="s">
        <v>5860</v>
      </c>
      <c r="E60" s="708"/>
      <c r="F60" s="793"/>
      <c r="G60" s="708"/>
      <c r="H60" s="794"/>
      <c r="I60" s="795"/>
      <c r="J60" s="796"/>
      <c r="K60" s="611"/>
      <c r="L60" s="797"/>
      <c r="M60" s="796"/>
      <c r="N60" s="798"/>
      <c r="O60" s="796"/>
      <c r="P60" s="726" t="s">
        <v>5861</v>
      </c>
      <c r="Q60" s="799"/>
      <c r="R60" s="799"/>
      <c r="S60" s="799"/>
      <c r="T60" s="799"/>
      <c r="U60" s="799"/>
      <c r="V60" s="799"/>
      <c r="W60" s="799"/>
      <c r="X60" s="799"/>
      <c r="Y60" s="724" t="s">
        <v>5862</v>
      </c>
      <c r="Z60" s="724"/>
      <c r="AA60" s="724"/>
      <c r="AB60" s="817"/>
      <c r="AH60" s="735"/>
    </row>
    <row r="61" spans="1:34" s="629" customFormat="1" ht="19.5" customHeight="1">
      <c r="A61" s="675"/>
      <c r="B61" s="790"/>
      <c r="C61" s="791"/>
      <c r="D61" s="792"/>
      <c r="E61" s="708"/>
      <c r="F61" s="793"/>
      <c r="G61" s="708"/>
      <c r="H61" s="794"/>
      <c r="I61" s="795"/>
      <c r="J61" s="796"/>
      <c r="K61" s="611"/>
      <c r="L61" s="797"/>
      <c r="M61" s="796"/>
      <c r="N61" s="798"/>
      <c r="O61" s="796"/>
      <c r="P61" s="799"/>
      <c r="Q61" s="799"/>
      <c r="R61" s="799"/>
      <c r="S61" s="799"/>
      <c r="T61" s="799"/>
      <c r="U61" s="799"/>
      <c r="V61" s="799"/>
      <c r="W61" s="799"/>
      <c r="X61" s="799"/>
      <c r="Y61" s="799"/>
      <c r="Z61" s="799"/>
      <c r="AA61" s="799"/>
      <c r="AB61" s="817"/>
      <c r="AH61" s="792"/>
    </row>
    <row r="62" spans="1:34" s="629" customFormat="1" ht="19.5" customHeight="1">
      <c r="A62" s="675"/>
      <c r="B62" s="790"/>
      <c r="C62" s="791"/>
      <c r="D62" s="792"/>
      <c r="E62" s="708"/>
      <c r="F62" s="793"/>
      <c r="G62" s="708"/>
      <c r="H62" s="794"/>
      <c r="I62" s="795"/>
      <c r="J62" s="796"/>
      <c r="K62" s="611"/>
      <c r="L62" s="797"/>
      <c r="M62" s="796"/>
      <c r="N62" s="798"/>
      <c r="O62" s="796"/>
      <c r="P62" s="799"/>
      <c r="Q62" s="799"/>
      <c r="R62" s="799"/>
      <c r="S62" s="799"/>
      <c r="T62" s="799"/>
      <c r="U62" s="799"/>
      <c r="V62" s="799"/>
      <c r="W62" s="799"/>
      <c r="X62" s="799"/>
      <c r="Y62" s="799"/>
      <c r="Z62" s="799"/>
      <c r="AA62" s="799"/>
      <c r="AB62" s="817"/>
      <c r="AH62" s="792"/>
    </row>
    <row r="63" spans="1:34" s="629" customFormat="1" ht="19.5" customHeight="1">
      <c r="A63" s="675"/>
      <c r="B63" s="790"/>
      <c r="C63" s="791"/>
      <c r="D63" s="792"/>
      <c r="E63" s="708"/>
      <c r="F63" s="793"/>
      <c r="G63" s="708"/>
      <c r="H63" s="794"/>
      <c r="I63" s="795"/>
      <c r="J63" s="796"/>
      <c r="K63" s="611"/>
      <c r="L63" s="797"/>
      <c r="M63" s="796"/>
      <c r="N63" s="798"/>
      <c r="O63" s="796"/>
      <c r="P63" s="799"/>
      <c r="Q63" s="799"/>
      <c r="R63" s="799"/>
      <c r="S63" s="799"/>
      <c r="T63" s="799"/>
      <c r="U63" s="799"/>
      <c r="V63" s="799"/>
      <c r="W63" s="799"/>
      <c r="X63" s="799"/>
      <c r="Y63" s="799"/>
      <c r="Z63" s="799"/>
      <c r="AA63" s="799"/>
      <c r="AB63" s="817"/>
      <c r="AH63" s="792"/>
    </row>
    <row r="64" spans="1:34" s="629" customFormat="1" ht="19.5" customHeight="1">
      <c r="A64" s="675"/>
      <c r="B64" s="734" t="s">
        <v>6879</v>
      </c>
      <c r="C64" s="735"/>
      <c r="D64" s="733"/>
      <c r="E64" s="733"/>
      <c r="F64" s="733"/>
      <c r="G64" s="733"/>
      <c r="H64" s="734" t="s">
        <v>6152</v>
      </c>
      <c r="I64" s="734"/>
      <c r="K64" s="611"/>
      <c r="L64" s="797"/>
      <c r="M64" s="796"/>
      <c r="N64" s="798"/>
      <c r="O64" s="796"/>
      <c r="P64" s="736" t="s">
        <v>5863</v>
      </c>
      <c r="Q64" s="799"/>
      <c r="R64" s="799"/>
      <c r="S64" s="799"/>
      <c r="T64" s="799"/>
      <c r="U64" s="799"/>
      <c r="V64" s="799"/>
      <c r="W64" s="799"/>
      <c r="X64" s="799"/>
      <c r="Y64" s="724" t="s">
        <v>5874</v>
      </c>
      <c r="Z64" s="724"/>
      <c r="AA64" s="724"/>
      <c r="AB64" s="817"/>
      <c r="AH64" s="733"/>
    </row>
    <row r="65" spans="1:34" s="629" customFormat="1" ht="19.5" customHeight="1">
      <c r="A65" s="675"/>
      <c r="B65" s="734" t="s">
        <v>6880</v>
      </c>
      <c r="C65" s="735"/>
      <c r="D65" s="733"/>
      <c r="E65" s="733"/>
      <c r="F65" s="733"/>
      <c r="G65" s="733"/>
      <c r="H65" s="734" t="s">
        <v>6153</v>
      </c>
      <c r="I65" s="734"/>
      <c r="K65" s="611"/>
      <c r="L65" s="797"/>
      <c r="M65" s="796"/>
      <c r="N65" s="798"/>
      <c r="O65" s="796"/>
      <c r="P65" s="736" t="s">
        <v>5865</v>
      </c>
      <c r="Q65" s="799"/>
      <c r="R65" s="799"/>
      <c r="S65" s="799"/>
      <c r="T65" s="799"/>
      <c r="U65" s="799"/>
      <c r="V65" s="799"/>
      <c r="W65" s="799"/>
      <c r="X65" s="799"/>
      <c r="Y65" s="734" t="s">
        <v>5866</v>
      </c>
      <c r="Z65" s="734"/>
      <c r="AA65" s="734"/>
      <c r="AB65" s="817"/>
      <c r="AH65" s="733"/>
    </row>
    <row r="66" spans="1:34" s="629" customFormat="1" ht="19.5" customHeight="1" thickBot="1">
      <c r="A66" s="675"/>
      <c r="B66" s="734" t="s">
        <v>5244</v>
      </c>
      <c r="C66" s="735"/>
      <c r="D66" s="733"/>
      <c r="E66" s="733"/>
      <c r="F66" s="733"/>
      <c r="G66" s="733"/>
      <c r="H66" s="734" t="s">
        <v>5265</v>
      </c>
      <c r="I66" s="734"/>
      <c r="K66" s="611"/>
      <c r="L66" s="797"/>
      <c r="M66" s="796"/>
      <c r="N66" s="798"/>
      <c r="O66" s="796"/>
      <c r="P66" s="736" t="s">
        <v>5867</v>
      </c>
      <c r="Q66" s="799"/>
      <c r="R66" s="799"/>
      <c r="S66" s="799"/>
      <c r="T66" s="799"/>
      <c r="U66" s="799"/>
      <c r="V66" s="799"/>
      <c r="W66" s="799"/>
      <c r="X66" s="799"/>
      <c r="Y66" s="724" t="s">
        <v>5868</v>
      </c>
      <c r="Z66" s="724"/>
      <c r="AA66" s="724"/>
      <c r="AB66" s="817"/>
      <c r="AH66" s="733"/>
    </row>
    <row r="67" spans="1:34" s="692" customFormat="1" ht="25.5" customHeight="1" thickBot="1">
      <c r="A67" s="683" t="s">
        <v>4561</v>
      </c>
      <c r="B67" s="665" t="str">
        <f>+"EMPLEADOS FIJOS_NOMINA_4TO PAGO AGUINALDOS"</f>
        <v>EMPLEADOS FIJOS_NOMINA_4TO PAGO AGUINALDOS</v>
      </c>
      <c r="C67" s="684"/>
      <c r="D67" s="685"/>
      <c r="E67" s="684"/>
      <c r="F67" s="685"/>
      <c r="G67" s="686"/>
      <c r="H67" s="687"/>
      <c r="I67" s="688"/>
      <c r="J67" s="688"/>
      <c r="K67" s="688"/>
      <c r="L67" s="688"/>
      <c r="M67" s="688"/>
      <c r="N67" s="818"/>
      <c r="O67" s="688"/>
      <c r="P67" s="688"/>
      <c r="Q67" s="688"/>
      <c r="R67" s="689"/>
      <c r="S67" s="689"/>
      <c r="T67" s="689"/>
      <c r="U67" s="689"/>
      <c r="V67" s="689"/>
      <c r="W67" s="819"/>
      <c r="X67" s="819"/>
      <c r="Y67" s="819"/>
      <c r="Z67" s="824"/>
      <c r="AA67" s="824"/>
      <c r="AB67" s="691"/>
      <c r="AH67" s="685"/>
    </row>
    <row r="68" spans="1:34" s="629" customFormat="1" ht="20.100000000000001" customHeight="1" thickBot="1">
      <c r="A68" s="770" t="s">
        <v>2846</v>
      </c>
      <c r="B68" s="771">
        <v>1</v>
      </c>
      <c r="C68" s="1145">
        <f>NOMINA!C43</f>
        <v>4324055</v>
      </c>
      <c r="D68" s="1146" t="str">
        <f>NOMINA!D43</f>
        <v>Mejia Linares Alexis de Jesus</v>
      </c>
      <c r="E68" s="1602" t="s">
        <v>4622</v>
      </c>
      <c r="F68" s="1153">
        <v>32351</v>
      </c>
      <c r="G68" s="1602" t="s">
        <v>4620</v>
      </c>
      <c r="H68" s="1572">
        <f>NOMINA!H43</f>
        <v>44470</v>
      </c>
      <c r="I68" s="1148">
        <f>NOMINA!I44</f>
        <v>17</v>
      </c>
      <c r="J68" s="1149">
        <f>NOMINA!J44</f>
        <v>0</v>
      </c>
      <c r="K68" s="1148">
        <f t="shared" ref="K68" si="5">I68+J68</f>
        <v>17</v>
      </c>
      <c r="L68" s="1149" t="s">
        <v>4932</v>
      </c>
      <c r="M68" s="1149"/>
      <c r="N68" s="1573" t="str">
        <f>NOMINA!O43</f>
        <v>Abogado II</v>
      </c>
      <c r="O68" s="1149">
        <v>1.02087691000006E+18</v>
      </c>
      <c r="P68" s="1150">
        <f>ROUND(+NOMINA!T43,2)</f>
        <v>277</v>
      </c>
      <c r="Q68" s="1151">
        <v>0</v>
      </c>
      <c r="R68" s="1151">
        <f>ROUND(+NOMINA!AA43,2)</f>
        <v>8.31</v>
      </c>
      <c r="S68" s="1151">
        <f>ROUND(+NOMINA!AB43,2)</f>
        <v>130</v>
      </c>
      <c r="T68" s="1151">
        <f>ROUND(+NOMINA!AC43,2)</f>
        <v>0</v>
      </c>
      <c r="U68" s="1151">
        <f>ROUND(+NOMINA!AD43,2)</f>
        <v>103.83</v>
      </c>
      <c r="V68" s="1151">
        <f>ROUND(NOMINA!AQ43,2)</f>
        <v>0</v>
      </c>
      <c r="W68" s="1151">
        <f>+NOMINA!AS43</f>
        <v>0</v>
      </c>
      <c r="X68" s="1151">
        <f>+NOMINA!AT43</f>
        <v>0</v>
      </c>
      <c r="Y68" s="1151">
        <f>+NOMINA!AU43</f>
        <v>519.14</v>
      </c>
      <c r="Z68" s="1151">
        <f>+NOMINA!BX43</f>
        <v>973.39</v>
      </c>
      <c r="AA68" s="1151">
        <f>+NOMINA!BY43</f>
        <v>0</v>
      </c>
      <c r="AB68" s="1151">
        <f t="shared" ref="AB68" si="6">+Z68+AA68</f>
        <v>973.39</v>
      </c>
      <c r="AD68" s="634"/>
      <c r="AH68" s="1610" t="str">
        <f>NOMINA!P43</f>
        <v>01020494120000043575</v>
      </c>
    </row>
    <row r="69" spans="1:34" s="629" customFormat="1" ht="20.100000000000001" customHeight="1" thickBot="1">
      <c r="A69" s="770" t="s">
        <v>2846</v>
      </c>
      <c r="B69" s="771">
        <f>+B68+1</f>
        <v>2</v>
      </c>
      <c r="C69" s="1145">
        <f>NOMINA!C44</f>
        <v>4657974</v>
      </c>
      <c r="D69" s="1146" t="str">
        <f>NOMINA!D44</f>
        <v>Balestrini Nuñez Ulises Ramon</v>
      </c>
      <c r="E69" s="1613" t="s">
        <v>4622</v>
      </c>
      <c r="F69" s="1153">
        <v>32351</v>
      </c>
      <c r="G69" s="1613" t="s">
        <v>4620</v>
      </c>
      <c r="H69" s="1572">
        <f>NOMINA!H44</f>
        <v>39463</v>
      </c>
      <c r="I69" s="1148">
        <f>NOMINA!I45</f>
        <v>21</v>
      </c>
      <c r="J69" s="1149">
        <f>NOMINA!J45</f>
        <v>4</v>
      </c>
      <c r="K69" s="1148">
        <f t="shared" ref="K69:K132" si="7">I69+J69</f>
        <v>25</v>
      </c>
      <c r="L69" s="1149" t="s">
        <v>4932</v>
      </c>
      <c r="M69" s="1149"/>
      <c r="N69" s="1573" t="str">
        <f>NOMINA!O44</f>
        <v>Promotor Cultural I</v>
      </c>
      <c r="O69" s="1149">
        <v>1.02087691000006E+18</v>
      </c>
      <c r="P69" s="1150">
        <f>ROUND(+NOMINA!T44,2)</f>
        <v>176</v>
      </c>
      <c r="Q69" s="1151">
        <v>0</v>
      </c>
      <c r="R69" s="1151">
        <f>ROUND(+NOMINA!AA44,2)</f>
        <v>37.31</v>
      </c>
      <c r="S69" s="1151">
        <f>ROUND(+NOMINA!AB44,2)</f>
        <v>130</v>
      </c>
      <c r="T69" s="1151">
        <f>ROUND(+NOMINA!AC44,2)</f>
        <v>0</v>
      </c>
      <c r="U69" s="1151">
        <f>ROUND(+NOMINA!AD44,2)</f>
        <v>0</v>
      </c>
      <c r="V69" s="1151">
        <f>ROUND(NOMINA!AQ44,2)</f>
        <v>0</v>
      </c>
      <c r="W69" s="1151">
        <f>+NOMINA!AS44</f>
        <v>0</v>
      </c>
      <c r="X69" s="1151">
        <f>+NOMINA!AT44</f>
        <v>0</v>
      </c>
      <c r="Y69" s="1151">
        <f>+NOMINA!AU44</f>
        <v>343.31</v>
      </c>
      <c r="Z69" s="1151">
        <f>+NOMINA!BX44</f>
        <v>643.71</v>
      </c>
      <c r="AA69" s="1151">
        <f>+NOMINA!BY44</f>
        <v>0</v>
      </c>
      <c r="AB69" s="1151">
        <f t="shared" ref="AB69:AB132" si="8">+Z69+AA69</f>
        <v>643.71</v>
      </c>
      <c r="AD69" s="634"/>
      <c r="AH69" s="1610" t="str">
        <f>NOMINA!P44</f>
        <v>01020373290000399740</v>
      </c>
    </row>
    <row r="70" spans="1:34" s="629" customFormat="1" ht="20.100000000000001" customHeight="1" thickBot="1">
      <c r="A70" s="770" t="s">
        <v>2846</v>
      </c>
      <c r="B70" s="771">
        <f t="shared" ref="B70:B133" si="9">+B69+1</f>
        <v>3</v>
      </c>
      <c r="C70" s="1145">
        <f>NOMINA!C45</f>
        <v>5762861</v>
      </c>
      <c r="D70" s="1146" t="str">
        <f>NOMINA!D45</f>
        <v>Aldana Duran Delia Mercedes</v>
      </c>
      <c r="E70" s="1613" t="s">
        <v>4622</v>
      </c>
      <c r="F70" s="1153">
        <v>32351</v>
      </c>
      <c r="G70" s="1613" t="s">
        <v>4620</v>
      </c>
      <c r="H70" s="1572">
        <f>NOMINA!H45</f>
        <v>37851</v>
      </c>
      <c r="I70" s="1148">
        <f>NOMINA!I46</f>
        <v>16</v>
      </c>
      <c r="J70" s="1149">
        <f>NOMINA!J46</f>
        <v>0</v>
      </c>
      <c r="K70" s="1148">
        <f t="shared" si="7"/>
        <v>16</v>
      </c>
      <c r="L70" s="1149" t="s">
        <v>4932</v>
      </c>
      <c r="M70" s="1149"/>
      <c r="N70" s="1573" t="str">
        <f>NOMINA!O45</f>
        <v>Jefe de Centro</v>
      </c>
      <c r="O70" s="1149">
        <v>1.02087691000006E+18</v>
      </c>
      <c r="P70" s="1150">
        <f>ROUND(+NOMINA!T45,2)</f>
        <v>287</v>
      </c>
      <c r="Q70" s="1151">
        <v>0</v>
      </c>
      <c r="R70" s="1151">
        <f>ROUND(+NOMINA!AA45,2)</f>
        <v>86.1</v>
      </c>
      <c r="S70" s="1151">
        <f>ROUND(+NOMINA!AB45,2)</f>
        <v>130</v>
      </c>
      <c r="T70" s="1151">
        <f>ROUND(+NOMINA!AC45,2)</f>
        <v>0</v>
      </c>
      <c r="U70" s="1151">
        <f>ROUND(+NOMINA!AD45,2)</f>
        <v>125.78</v>
      </c>
      <c r="V70" s="1151">
        <f>ROUND(NOMINA!AQ45,2)</f>
        <v>0</v>
      </c>
      <c r="W70" s="1151">
        <f>+NOMINA!AS45</f>
        <v>0</v>
      </c>
      <c r="X70" s="1151">
        <f>+NOMINA!AT45</f>
        <v>0</v>
      </c>
      <c r="Y70" s="1151">
        <f>+NOMINA!AU45</f>
        <v>628.88</v>
      </c>
      <c r="Z70" s="1151">
        <f>+NOMINA!BX45</f>
        <v>1179.1500000000001</v>
      </c>
      <c r="AA70" s="1151">
        <f>+NOMINA!BY45</f>
        <v>0</v>
      </c>
      <c r="AB70" s="1151">
        <f t="shared" si="8"/>
        <v>1179.1500000000001</v>
      </c>
      <c r="AD70" s="634"/>
      <c r="AH70" s="1610" t="str">
        <f>NOMINA!P45</f>
        <v>01020373250000439642</v>
      </c>
    </row>
    <row r="71" spans="1:34" s="629" customFormat="1" ht="20.100000000000001" customHeight="1" thickBot="1">
      <c r="A71" s="770" t="s">
        <v>2846</v>
      </c>
      <c r="B71" s="771">
        <f t="shared" si="9"/>
        <v>4</v>
      </c>
      <c r="C71" s="1145">
        <f>NOMINA!C46</f>
        <v>5782060</v>
      </c>
      <c r="D71" s="1146" t="str">
        <f>NOMINA!D46</f>
        <v>Linares Araujo Adolfo Jose</v>
      </c>
      <c r="E71" s="1613" t="s">
        <v>4622</v>
      </c>
      <c r="F71" s="1153">
        <v>32351</v>
      </c>
      <c r="G71" s="1613" t="s">
        <v>4620</v>
      </c>
      <c r="H71" s="1572">
        <f>NOMINA!H46</f>
        <v>39539</v>
      </c>
      <c r="I71" s="1148">
        <f>NOMINA!I47</f>
        <v>16</v>
      </c>
      <c r="J71" s="1149">
        <f>NOMINA!J47</f>
        <v>3</v>
      </c>
      <c r="K71" s="1148">
        <f t="shared" si="7"/>
        <v>19</v>
      </c>
      <c r="L71" s="1149" t="s">
        <v>4932</v>
      </c>
      <c r="M71" s="1149"/>
      <c r="N71" s="1573" t="str">
        <f>NOMINA!O46</f>
        <v>Asistente Administrativo III</v>
      </c>
      <c r="O71" s="1149">
        <v>1.02087691000006E+18</v>
      </c>
      <c r="P71" s="1150">
        <f>ROUND(+NOMINA!T46,2)</f>
        <v>226</v>
      </c>
      <c r="Q71" s="1151">
        <v>0</v>
      </c>
      <c r="R71" s="1151">
        <f>ROUND(+NOMINA!AA46,2)</f>
        <v>44.3</v>
      </c>
      <c r="S71" s="1151">
        <f>ROUND(+NOMINA!AB46,2)</f>
        <v>130</v>
      </c>
      <c r="T71" s="1151">
        <f>ROUND(+NOMINA!AC46,2)</f>
        <v>0</v>
      </c>
      <c r="U71" s="1151">
        <f>ROUND(+NOMINA!AD46,2)</f>
        <v>80.06</v>
      </c>
      <c r="V71" s="1151">
        <f>ROUND(NOMINA!AQ46,2)</f>
        <v>0</v>
      </c>
      <c r="W71" s="1151">
        <f>+NOMINA!AS46</f>
        <v>0</v>
      </c>
      <c r="X71" s="1151">
        <f>+NOMINA!AT46</f>
        <v>0</v>
      </c>
      <c r="Y71" s="1151">
        <f>+NOMINA!AU46</f>
        <v>480.36</v>
      </c>
      <c r="Z71" s="1151">
        <f>+NOMINA!BX46</f>
        <v>900.68</v>
      </c>
      <c r="AA71" s="1151">
        <f>+NOMINA!BY46</f>
        <v>0</v>
      </c>
      <c r="AB71" s="1151">
        <f t="shared" si="8"/>
        <v>900.68</v>
      </c>
      <c r="AD71" s="634"/>
      <c r="AH71" s="1610" t="str">
        <f>NOMINA!P46</f>
        <v>01020373210000439684</v>
      </c>
    </row>
    <row r="72" spans="1:34" s="629" customFormat="1" ht="20.100000000000001" customHeight="1" thickBot="1">
      <c r="A72" s="770" t="s">
        <v>2846</v>
      </c>
      <c r="B72" s="771">
        <f t="shared" si="9"/>
        <v>5</v>
      </c>
      <c r="C72" s="1145">
        <f>NOMINA!C47</f>
        <v>5790501</v>
      </c>
      <c r="D72" s="1146" t="str">
        <f>NOMINA!D47</f>
        <v>Castellanos de Araujo Maria Eustoquia</v>
      </c>
      <c r="E72" s="1613" t="s">
        <v>4622</v>
      </c>
      <c r="F72" s="1153">
        <v>32351</v>
      </c>
      <c r="G72" s="1613" t="s">
        <v>4620</v>
      </c>
      <c r="H72" s="1572">
        <f>NOMINA!H47</f>
        <v>39707</v>
      </c>
      <c r="I72" s="1148">
        <f>NOMINA!I48</f>
        <v>2</v>
      </c>
      <c r="J72" s="1149">
        <f>NOMINA!J48</f>
        <v>0</v>
      </c>
      <c r="K72" s="1148">
        <f t="shared" si="7"/>
        <v>2</v>
      </c>
      <c r="L72" s="1149" t="s">
        <v>4932</v>
      </c>
      <c r="M72" s="1149"/>
      <c r="N72" s="1573" t="str">
        <f>NOMINA!O47</f>
        <v>Asistente de Analista III</v>
      </c>
      <c r="O72" s="1149">
        <v>1.02087691000006E+18</v>
      </c>
      <c r="P72" s="1150">
        <f>ROUND(+NOMINA!T47,2)</f>
        <v>228</v>
      </c>
      <c r="Q72" s="1151">
        <v>0</v>
      </c>
      <c r="R72" s="1151">
        <f>ROUND(+NOMINA!AA47,2)</f>
        <v>55.63</v>
      </c>
      <c r="S72" s="1151">
        <f>ROUND(+NOMINA!AB47,2)</f>
        <v>130</v>
      </c>
      <c r="T72" s="1151">
        <f>ROUND(+NOMINA!AC47,2)</f>
        <v>0</v>
      </c>
      <c r="U72" s="1151">
        <f>ROUND(+NOMINA!AD47,2)</f>
        <v>103.41</v>
      </c>
      <c r="V72" s="1151">
        <f>ROUND(NOMINA!AQ47,2)</f>
        <v>0</v>
      </c>
      <c r="W72" s="1151">
        <f>+NOMINA!AS47</f>
        <v>0</v>
      </c>
      <c r="X72" s="1151">
        <f>+NOMINA!AT47</f>
        <v>0</v>
      </c>
      <c r="Y72" s="1151">
        <f>+NOMINA!AU47</f>
        <v>517.04</v>
      </c>
      <c r="Z72" s="1151">
        <f>+NOMINA!BX47</f>
        <v>969.45</v>
      </c>
      <c r="AA72" s="1151">
        <f>+NOMINA!BY47</f>
        <v>0</v>
      </c>
      <c r="AB72" s="1151">
        <f t="shared" si="8"/>
        <v>969.45</v>
      </c>
      <c r="AD72" s="634"/>
      <c r="AH72" s="1610" t="str">
        <f>NOMINA!P47</f>
        <v>01020373250000439723</v>
      </c>
    </row>
    <row r="73" spans="1:34" s="629" customFormat="1" ht="20.100000000000001" customHeight="1" thickBot="1">
      <c r="A73" s="770" t="s">
        <v>2846</v>
      </c>
      <c r="B73" s="771">
        <f t="shared" si="9"/>
        <v>6</v>
      </c>
      <c r="C73" s="1145">
        <f>NOMINA!C48</f>
        <v>7744688</v>
      </c>
      <c r="D73" s="1146" t="str">
        <f>NOMINA!D48</f>
        <v>Aguilera Carroz Gerardo Raul</v>
      </c>
      <c r="E73" s="1613" t="s">
        <v>4622</v>
      </c>
      <c r="F73" s="1153">
        <v>32351</v>
      </c>
      <c r="G73" s="1613" t="s">
        <v>4620</v>
      </c>
      <c r="H73" s="1572">
        <f>NOMINA!H48</f>
        <v>44713</v>
      </c>
      <c r="I73" s="1148">
        <f>NOMINA!I49</f>
        <v>18</v>
      </c>
      <c r="J73" s="1149">
        <f>NOMINA!J49</f>
        <v>5</v>
      </c>
      <c r="K73" s="1148">
        <f t="shared" si="7"/>
        <v>23</v>
      </c>
      <c r="L73" s="1149" t="s">
        <v>4932</v>
      </c>
      <c r="M73" s="1149"/>
      <c r="N73" s="1573" t="str">
        <f>NOMINA!O48</f>
        <v>Asistente Administrativo III</v>
      </c>
      <c r="O73" s="1149">
        <v>1.02087691000006E+18</v>
      </c>
      <c r="P73" s="1150">
        <f>ROUND(+NOMINA!T48,2)</f>
        <v>192</v>
      </c>
      <c r="Q73" s="1151">
        <v>0</v>
      </c>
      <c r="R73" s="1151">
        <f>ROUND(+NOMINA!AA48,2)</f>
        <v>3.84</v>
      </c>
      <c r="S73" s="1151">
        <f>ROUND(+NOMINA!AB48,2)</f>
        <v>130</v>
      </c>
      <c r="T73" s="1151">
        <f>ROUND(+NOMINA!AC48,2)</f>
        <v>0</v>
      </c>
      <c r="U73" s="1151">
        <f>ROUND(+NOMINA!AD48,2)</f>
        <v>65.17</v>
      </c>
      <c r="V73" s="1151">
        <f>ROUND(NOMINA!AQ48,2)</f>
        <v>0</v>
      </c>
      <c r="W73" s="1151">
        <f>+NOMINA!AS48</f>
        <v>0</v>
      </c>
      <c r="X73" s="1151">
        <f>+NOMINA!AT48</f>
        <v>0</v>
      </c>
      <c r="Y73" s="1151">
        <f>+NOMINA!AU48</f>
        <v>391.01</v>
      </c>
      <c r="Z73" s="1151">
        <f>+NOMINA!BX48</f>
        <v>733.15</v>
      </c>
      <c r="AA73" s="1151">
        <f>+NOMINA!BY48</f>
        <v>0</v>
      </c>
      <c r="AB73" s="1151">
        <f t="shared" si="8"/>
        <v>733.15</v>
      </c>
      <c r="AD73" s="634"/>
      <c r="AH73" s="1610" t="str">
        <f>NOMINA!P48</f>
        <v>01020427590000460213</v>
      </c>
    </row>
    <row r="74" spans="1:34" s="629" customFormat="1" ht="20.100000000000001" customHeight="1" thickBot="1">
      <c r="A74" s="770" t="s">
        <v>2846</v>
      </c>
      <c r="B74" s="771">
        <f t="shared" si="9"/>
        <v>7</v>
      </c>
      <c r="C74" s="1145">
        <f>NOMINA!C49</f>
        <v>7890070</v>
      </c>
      <c r="D74" s="1146" t="str">
        <f>NOMINA!D49</f>
        <v>Pacheco Bermudez Bebsabeth Coromoto</v>
      </c>
      <c r="E74" s="1613" t="s">
        <v>4622</v>
      </c>
      <c r="F74" s="1153">
        <v>32351</v>
      </c>
      <c r="G74" s="1613" t="s">
        <v>4620</v>
      </c>
      <c r="H74" s="1572">
        <f>NOMINA!H49</f>
        <v>38930</v>
      </c>
      <c r="I74" s="1148">
        <f>NOMINA!I50</f>
        <v>15</v>
      </c>
      <c r="J74" s="1149">
        <f>NOMINA!J50</f>
        <v>4</v>
      </c>
      <c r="K74" s="1148">
        <f t="shared" si="7"/>
        <v>19</v>
      </c>
      <c r="L74" s="1149" t="s">
        <v>4932</v>
      </c>
      <c r="M74" s="1149"/>
      <c r="N74" s="1573" t="str">
        <f>NOMINA!O49</f>
        <v>Guia de Centro II</v>
      </c>
      <c r="O74" s="1149">
        <v>1.02087691000006E+18</v>
      </c>
      <c r="P74" s="1150">
        <f>ROUND(+NOMINA!T49,2)</f>
        <v>177</v>
      </c>
      <c r="Q74" s="1151">
        <v>0</v>
      </c>
      <c r="R74" s="1151">
        <f>ROUND(+NOMINA!AA49,2)</f>
        <v>53.1</v>
      </c>
      <c r="S74" s="1151">
        <f>ROUND(+NOMINA!AB49,2)</f>
        <v>130</v>
      </c>
      <c r="T74" s="1151">
        <f>ROUND(+NOMINA!AC49,2)</f>
        <v>0</v>
      </c>
      <c r="U74" s="1151">
        <f>ROUND(+NOMINA!AD49,2)</f>
        <v>0</v>
      </c>
      <c r="V74" s="1151">
        <f>ROUND(NOMINA!AQ49,2)</f>
        <v>0</v>
      </c>
      <c r="W74" s="1151">
        <f>+NOMINA!AS49</f>
        <v>0</v>
      </c>
      <c r="X74" s="1151">
        <f>+NOMINA!AT49</f>
        <v>0</v>
      </c>
      <c r="Y74" s="1151">
        <f>+NOMINA!AU49</f>
        <v>360.1</v>
      </c>
      <c r="Z74" s="1151">
        <f>+NOMINA!BX49</f>
        <v>675.19</v>
      </c>
      <c r="AA74" s="1151">
        <f>+NOMINA!BY49</f>
        <v>0</v>
      </c>
      <c r="AB74" s="1151">
        <f t="shared" si="8"/>
        <v>675.19</v>
      </c>
      <c r="AD74" s="634"/>
      <c r="AH74" s="1610" t="str">
        <f>NOMINA!P49</f>
        <v>01020373290000438973</v>
      </c>
    </row>
    <row r="75" spans="1:34" s="629" customFormat="1" ht="20.100000000000001" customHeight="1" thickBot="1">
      <c r="A75" s="770" t="s">
        <v>2846</v>
      </c>
      <c r="B75" s="771">
        <f t="shared" si="9"/>
        <v>8</v>
      </c>
      <c r="C75" s="1145">
        <f>NOMINA!C50</f>
        <v>8719807</v>
      </c>
      <c r="D75" s="1146" t="str">
        <f>NOMINA!D50</f>
        <v>Perez Saavedra Isabel Teresa</v>
      </c>
      <c r="E75" s="1613" t="s">
        <v>4622</v>
      </c>
      <c r="F75" s="1153">
        <v>32351</v>
      </c>
      <c r="G75" s="1613" t="s">
        <v>4620</v>
      </c>
      <c r="H75" s="1572">
        <f>NOMINA!H50</f>
        <v>39874</v>
      </c>
      <c r="I75" s="1148">
        <f>NOMINA!I51</f>
        <v>0</v>
      </c>
      <c r="J75" s="1149">
        <f>NOMINA!J51</f>
        <v>5</v>
      </c>
      <c r="K75" s="1148">
        <f t="shared" si="7"/>
        <v>5</v>
      </c>
      <c r="L75" s="1149" t="s">
        <v>4932</v>
      </c>
      <c r="M75" s="1149"/>
      <c r="N75" s="1573" t="str">
        <f>NOMINA!O50</f>
        <v>Abogado Jefe</v>
      </c>
      <c r="O75" s="1149">
        <v>1.02087691000006E+18</v>
      </c>
      <c r="P75" s="1150">
        <f>ROUND(+NOMINA!T50,2)</f>
        <v>0</v>
      </c>
      <c r="Q75" s="1151">
        <v>0</v>
      </c>
      <c r="R75" s="1151">
        <f>ROUND(+NOMINA!AA50,2)</f>
        <v>0</v>
      </c>
      <c r="S75" s="1151">
        <f>ROUND(+NOMINA!AB50,2)</f>
        <v>0</v>
      </c>
      <c r="T75" s="1151">
        <f>ROUND(+NOMINA!AC50,2)</f>
        <v>0</v>
      </c>
      <c r="U75" s="1151">
        <f>ROUND(+NOMINA!AD50,2)</f>
        <v>0</v>
      </c>
      <c r="V75" s="1151">
        <f>ROUND(NOMINA!AQ50,2)</f>
        <v>0</v>
      </c>
      <c r="W75" s="1151">
        <f>+NOMINA!AS50</f>
        <v>0</v>
      </c>
      <c r="X75" s="1151">
        <f>+NOMINA!AT50</f>
        <v>0</v>
      </c>
      <c r="Y75" s="1151">
        <f>+NOMINA!AU50</f>
        <v>0</v>
      </c>
      <c r="Z75" s="1151">
        <f>+NOMINA!BX50</f>
        <v>0</v>
      </c>
      <c r="AA75" s="1151">
        <f>+NOMINA!BY50</f>
        <v>0</v>
      </c>
      <c r="AB75" s="1151">
        <f t="shared" si="8"/>
        <v>0</v>
      </c>
      <c r="AD75" s="634"/>
      <c r="AH75" s="1610" t="str">
        <f>NOMINA!P50</f>
        <v>01020373220000438999</v>
      </c>
    </row>
    <row r="76" spans="1:34" s="629" customFormat="1" ht="20.100000000000001" customHeight="1" thickBot="1">
      <c r="A76" s="770" t="s">
        <v>2846</v>
      </c>
      <c r="B76" s="771">
        <f t="shared" si="9"/>
        <v>9</v>
      </c>
      <c r="C76" s="1145">
        <f>NOMINA!C51</f>
        <v>8266170</v>
      </c>
      <c r="D76" s="1146" t="str">
        <f>NOMINA!D51</f>
        <v>Aguana Sanchez Yraida Josefina</v>
      </c>
      <c r="E76" s="1613" t="s">
        <v>4622</v>
      </c>
      <c r="F76" s="1153">
        <v>32351</v>
      </c>
      <c r="G76" s="1613" t="s">
        <v>4620</v>
      </c>
      <c r="H76" s="1572">
        <f>NOMINA!H51</f>
        <v>45323</v>
      </c>
      <c r="I76" s="1148">
        <f>NOMINA!I52</f>
        <v>16</v>
      </c>
      <c r="J76" s="1149">
        <f>NOMINA!J52</f>
        <v>4</v>
      </c>
      <c r="K76" s="1148">
        <f t="shared" si="7"/>
        <v>20</v>
      </c>
      <c r="L76" s="1149" t="s">
        <v>4932</v>
      </c>
      <c r="M76" s="1149"/>
      <c r="N76" s="1573" t="str">
        <f>NOMINA!O51</f>
        <v>Guia de Centro I</v>
      </c>
      <c r="O76" s="1149">
        <v>1.02087691000006E+18</v>
      </c>
      <c r="P76" s="1150">
        <f>ROUND(+NOMINA!T51,2)</f>
        <v>192</v>
      </c>
      <c r="Q76" s="1151">
        <v>0</v>
      </c>
      <c r="R76" s="1151">
        <f>ROUND(+NOMINA!AA51,2)</f>
        <v>9.6</v>
      </c>
      <c r="S76" s="1151">
        <f>ROUND(+NOMINA!AB51,2)</f>
        <v>130</v>
      </c>
      <c r="T76" s="1151">
        <f>ROUND(+NOMINA!AC51,2)</f>
        <v>12.5</v>
      </c>
      <c r="U76" s="1151">
        <f>ROUND(+NOMINA!AD51,2)</f>
        <v>86.03</v>
      </c>
      <c r="V76" s="1151">
        <f>ROUND(NOMINA!AQ51,2)</f>
        <v>0</v>
      </c>
      <c r="W76" s="1151">
        <f>+NOMINA!AS51</f>
        <v>0</v>
      </c>
      <c r="X76" s="1151">
        <f>+NOMINA!AT51</f>
        <v>0</v>
      </c>
      <c r="Y76" s="1151">
        <f>+NOMINA!AU51</f>
        <v>559.16999999999996</v>
      </c>
      <c r="Z76" s="1151">
        <f>+NOMINA!BX51</f>
        <v>934.38</v>
      </c>
      <c r="AA76" s="1151">
        <f>+NOMINA!BY51</f>
        <v>0</v>
      </c>
      <c r="AB76" s="1151">
        <f t="shared" si="8"/>
        <v>934.38</v>
      </c>
      <c r="AD76" s="634"/>
      <c r="AH76" s="1610" t="str">
        <f>NOMINA!P51</f>
        <v>01020373250000457705</v>
      </c>
    </row>
    <row r="77" spans="1:34" s="629" customFormat="1" ht="20.100000000000001" customHeight="1" thickBot="1">
      <c r="A77" s="770" t="s">
        <v>2846</v>
      </c>
      <c r="B77" s="771">
        <f t="shared" si="9"/>
        <v>10</v>
      </c>
      <c r="C77" s="1145">
        <f>NOMINA!C52</f>
        <v>9162178</v>
      </c>
      <c r="D77" s="1146" t="str">
        <f>NOMINA!D52</f>
        <v>Duarte de Bastidas Gladys Margarita</v>
      </c>
      <c r="E77" s="1613" t="s">
        <v>4622</v>
      </c>
      <c r="F77" s="1153">
        <v>32351</v>
      </c>
      <c r="G77" s="1613" t="s">
        <v>4620</v>
      </c>
      <c r="H77" s="1572">
        <f>NOMINA!H52</f>
        <v>39566</v>
      </c>
      <c r="I77" s="1148">
        <f>NOMINA!I53</f>
        <v>27</v>
      </c>
      <c r="J77" s="1149">
        <f>NOMINA!J53</f>
        <v>0</v>
      </c>
      <c r="K77" s="1148">
        <f t="shared" si="7"/>
        <v>27</v>
      </c>
      <c r="L77" s="1149" t="s">
        <v>4932</v>
      </c>
      <c r="M77" s="1149"/>
      <c r="N77" s="1573" t="str">
        <f>NOMINA!O52</f>
        <v>Guia de Centro II</v>
      </c>
      <c r="O77" s="1149">
        <v>1.02087691000006E+18</v>
      </c>
      <c r="P77" s="1150">
        <f>ROUND(+NOMINA!T52,2)</f>
        <v>177</v>
      </c>
      <c r="Q77" s="1151">
        <v>0</v>
      </c>
      <c r="R77" s="1151">
        <f>ROUND(+NOMINA!AA52,2)</f>
        <v>46.02</v>
      </c>
      <c r="S77" s="1151">
        <f>ROUND(+NOMINA!AB52,2)</f>
        <v>130</v>
      </c>
      <c r="T77" s="1151">
        <f>ROUND(+NOMINA!AC52,2)</f>
        <v>0</v>
      </c>
      <c r="U77" s="1151">
        <f>ROUND(+NOMINA!AD52,2)</f>
        <v>0</v>
      </c>
      <c r="V77" s="1151">
        <f>ROUND(NOMINA!AQ52,2)</f>
        <v>0</v>
      </c>
      <c r="W77" s="1151">
        <f>+NOMINA!AS52</f>
        <v>0</v>
      </c>
      <c r="X77" s="1151">
        <f>+NOMINA!AT52</f>
        <v>0</v>
      </c>
      <c r="Y77" s="1151">
        <f>+NOMINA!AU52</f>
        <v>458.92999999999995</v>
      </c>
      <c r="Z77" s="1151">
        <f>+NOMINA!BX52</f>
        <v>860.5</v>
      </c>
      <c r="AA77" s="1151">
        <f>+NOMINA!BY52</f>
        <v>0</v>
      </c>
      <c r="AB77" s="1151">
        <f t="shared" si="8"/>
        <v>860.5</v>
      </c>
      <c r="AD77" s="634"/>
      <c r="AH77" s="1610" t="str">
        <f>NOMINA!P52</f>
        <v>01020373210000441287</v>
      </c>
    </row>
    <row r="78" spans="1:34" s="629" customFormat="1" ht="18.95" customHeight="1" thickBot="1">
      <c r="A78" s="770" t="s">
        <v>2846</v>
      </c>
      <c r="B78" s="771">
        <f t="shared" si="9"/>
        <v>11</v>
      </c>
      <c r="C78" s="1145">
        <f>NOMINA!C53</f>
        <v>9162243</v>
      </c>
      <c r="D78" s="1146" t="str">
        <f>NOMINA!D53</f>
        <v>Valera Borrero Marcos Tulio</v>
      </c>
      <c r="E78" s="1613" t="s">
        <v>4622</v>
      </c>
      <c r="F78" s="1153">
        <v>32351</v>
      </c>
      <c r="G78" s="1613" t="s">
        <v>4620</v>
      </c>
      <c r="H78" s="1572">
        <f>NOMINA!H53</f>
        <v>35535</v>
      </c>
      <c r="I78" s="1148">
        <f>NOMINA!I54</f>
        <v>17</v>
      </c>
      <c r="J78" s="1149">
        <f>NOMINA!J54</f>
        <v>0</v>
      </c>
      <c r="K78" s="1148">
        <f t="shared" si="7"/>
        <v>17</v>
      </c>
      <c r="L78" s="1149" t="s">
        <v>4932</v>
      </c>
      <c r="M78" s="1149"/>
      <c r="N78" s="1573" t="str">
        <f>NOMINA!O53</f>
        <v>Guia de Centro II</v>
      </c>
      <c r="O78" s="1149">
        <v>1.02087691000006E+18</v>
      </c>
      <c r="P78" s="1150">
        <f>ROUND(+NOMINA!T53,2)</f>
        <v>177</v>
      </c>
      <c r="Q78" s="1151">
        <v>0</v>
      </c>
      <c r="R78" s="1151">
        <f>ROUND(+NOMINA!AA53,2)</f>
        <v>53.1</v>
      </c>
      <c r="S78" s="1151">
        <f>ROUND(+NOMINA!AB53,2)</f>
        <v>130</v>
      </c>
      <c r="T78" s="1151">
        <f>ROUND(+NOMINA!AC53,2)</f>
        <v>0</v>
      </c>
      <c r="U78" s="1151">
        <f>ROUND(+NOMINA!AD53,2)</f>
        <v>0</v>
      </c>
      <c r="V78" s="1151">
        <f>ROUND(NOMINA!AQ53,2)</f>
        <v>0</v>
      </c>
      <c r="W78" s="1151">
        <f>+NOMINA!AS53</f>
        <v>0</v>
      </c>
      <c r="X78" s="1151">
        <f>+NOMINA!AT53</f>
        <v>0</v>
      </c>
      <c r="Y78" s="1151">
        <f>+NOMINA!AU53</f>
        <v>360.1</v>
      </c>
      <c r="Z78" s="1151">
        <f>+NOMINA!BX53</f>
        <v>675.19</v>
      </c>
      <c r="AA78" s="1151">
        <f>+NOMINA!BY53</f>
        <v>0</v>
      </c>
      <c r="AB78" s="1151">
        <f t="shared" si="8"/>
        <v>675.19</v>
      </c>
      <c r="AD78" s="634"/>
      <c r="AH78" s="1610" t="str">
        <f>NOMINA!P53</f>
        <v>01020373210000441290</v>
      </c>
    </row>
    <row r="79" spans="1:34" s="629" customFormat="1" ht="18.95" customHeight="1" thickBot="1">
      <c r="A79" s="770" t="s">
        <v>2846</v>
      </c>
      <c r="B79" s="771">
        <f t="shared" si="9"/>
        <v>12</v>
      </c>
      <c r="C79" s="1145">
        <f>NOMINA!C54</f>
        <v>9170647</v>
      </c>
      <c r="D79" s="1146" t="str">
        <f>NOMINA!D54</f>
        <v>Torres Gonzalez Meris Del Carmen</v>
      </c>
      <c r="E79" s="1613" t="s">
        <v>4622</v>
      </c>
      <c r="F79" s="1153">
        <v>32351</v>
      </c>
      <c r="G79" s="1613" t="s">
        <v>4620</v>
      </c>
      <c r="H79" s="1572">
        <f>NOMINA!H54</f>
        <v>39238</v>
      </c>
      <c r="I79" s="1148">
        <f>NOMINA!I55</f>
        <v>21</v>
      </c>
      <c r="J79" s="1149">
        <f>NOMINA!J55</f>
        <v>0</v>
      </c>
      <c r="K79" s="1148">
        <f t="shared" si="7"/>
        <v>21</v>
      </c>
      <c r="L79" s="1149" t="s">
        <v>4932</v>
      </c>
      <c r="M79" s="1149"/>
      <c r="N79" s="1573" t="str">
        <f>NOMINA!O54</f>
        <v>Guia de Centro II</v>
      </c>
      <c r="O79" s="1149">
        <v>1.02087691000006E+18</v>
      </c>
      <c r="P79" s="1150">
        <f>ROUND(+NOMINA!T54,2)</f>
        <v>226</v>
      </c>
      <c r="Q79" s="1151">
        <v>0</v>
      </c>
      <c r="R79" s="1151">
        <f>ROUND(+NOMINA!AA54,2)</f>
        <v>47.91</v>
      </c>
      <c r="S79" s="1151">
        <f>ROUND(+NOMINA!AB54,2)</f>
        <v>130</v>
      </c>
      <c r="T79" s="1151">
        <f>ROUND(+NOMINA!AC54,2)</f>
        <v>0</v>
      </c>
      <c r="U79" s="1151">
        <f>ROUND(+NOMINA!AD54,2)</f>
        <v>80.78</v>
      </c>
      <c r="V79" s="1151">
        <f>ROUND(NOMINA!AQ54,2)</f>
        <v>0</v>
      </c>
      <c r="W79" s="1151">
        <f>+NOMINA!AS54</f>
        <v>0</v>
      </c>
      <c r="X79" s="1151">
        <f>+NOMINA!AT54</f>
        <v>0</v>
      </c>
      <c r="Y79" s="1151">
        <f>+NOMINA!AU54</f>
        <v>630.1</v>
      </c>
      <c r="Z79" s="1151">
        <f>+NOMINA!BX54</f>
        <v>1181.44</v>
      </c>
      <c r="AA79" s="1151">
        <f>+NOMINA!BY54</f>
        <v>0</v>
      </c>
      <c r="AB79" s="1151">
        <f t="shared" si="8"/>
        <v>1181.44</v>
      </c>
      <c r="AD79" s="634"/>
      <c r="AH79" s="1610" t="str">
        <f>NOMINA!P54</f>
        <v>01020373270000441342</v>
      </c>
    </row>
    <row r="80" spans="1:34" s="629" customFormat="1" ht="18.95" customHeight="1" thickBot="1">
      <c r="A80" s="770" t="s">
        <v>2846</v>
      </c>
      <c r="B80" s="771">
        <f t="shared" si="9"/>
        <v>13</v>
      </c>
      <c r="C80" s="1145">
        <f>NOMINA!C55</f>
        <v>9177323</v>
      </c>
      <c r="D80" s="1146" t="str">
        <f>NOMINA!D55</f>
        <v>Simancas De Mendoza Alix Josefina</v>
      </c>
      <c r="E80" s="1613" t="s">
        <v>4622</v>
      </c>
      <c r="F80" s="1153">
        <v>32351</v>
      </c>
      <c r="G80" s="1613" t="s">
        <v>4620</v>
      </c>
      <c r="H80" s="1572">
        <f>NOMINA!H55</f>
        <v>37879</v>
      </c>
      <c r="I80" s="1148">
        <f>NOMINA!I56</f>
        <v>22</v>
      </c>
      <c r="J80" s="1149">
        <f>NOMINA!J56</f>
        <v>0</v>
      </c>
      <c r="K80" s="1148">
        <f t="shared" si="7"/>
        <v>22</v>
      </c>
      <c r="L80" s="1149" t="s">
        <v>4932</v>
      </c>
      <c r="M80" s="1149"/>
      <c r="N80" s="1573" t="str">
        <f>NOMINA!O55</f>
        <v>Asistente Administrativo III</v>
      </c>
      <c r="O80" s="1149">
        <v>1.02087691000006E+18</v>
      </c>
      <c r="P80" s="1150">
        <f>ROUND(+NOMINA!T55,2)</f>
        <v>177</v>
      </c>
      <c r="Q80" s="1151">
        <v>0</v>
      </c>
      <c r="R80" s="1151">
        <f>ROUND(+NOMINA!AA55,2)</f>
        <v>49.21</v>
      </c>
      <c r="S80" s="1151">
        <f>ROUND(+NOMINA!AB55,2)</f>
        <v>130</v>
      </c>
      <c r="T80" s="1151">
        <f>ROUND(+NOMINA!AC55,2)</f>
        <v>0</v>
      </c>
      <c r="U80" s="1151">
        <f>ROUND(+NOMINA!AD55,2)</f>
        <v>0</v>
      </c>
      <c r="V80" s="1151">
        <f>ROUND(NOMINA!AQ55,2)</f>
        <v>0</v>
      </c>
      <c r="W80" s="1151">
        <f>+NOMINA!AS55</f>
        <v>0</v>
      </c>
      <c r="X80" s="1151">
        <f>+NOMINA!AT55</f>
        <v>0</v>
      </c>
      <c r="Y80" s="1151">
        <f>+NOMINA!AU55</f>
        <v>356.21000000000004</v>
      </c>
      <c r="Z80" s="1151">
        <f>+NOMINA!BX55</f>
        <v>667.9</v>
      </c>
      <c r="AA80" s="1151">
        <f>+NOMINA!BY55</f>
        <v>0</v>
      </c>
      <c r="AB80" s="1151">
        <f t="shared" si="8"/>
        <v>667.9</v>
      </c>
      <c r="AD80" s="634"/>
      <c r="AH80" s="1610" t="str">
        <f>NOMINA!P55</f>
        <v>01020373210000441449</v>
      </c>
    </row>
    <row r="81" spans="1:34" s="629" customFormat="1" ht="18.95" customHeight="1" thickBot="1">
      <c r="A81" s="770" t="s">
        <v>2846</v>
      </c>
      <c r="B81" s="771">
        <f t="shared" si="9"/>
        <v>14</v>
      </c>
      <c r="C81" s="1145">
        <f>NOMINA!C56</f>
        <v>9178087</v>
      </c>
      <c r="D81" s="1146" t="str">
        <f>NOMINA!D56</f>
        <v>Saavedra Juan Jose</v>
      </c>
      <c r="E81" s="1613" t="s">
        <v>4622</v>
      </c>
      <c r="F81" s="1153">
        <v>32351</v>
      </c>
      <c r="G81" s="1613" t="s">
        <v>4620</v>
      </c>
      <c r="H81" s="1572">
        <f>NOMINA!H56</f>
        <v>37622</v>
      </c>
      <c r="I81" s="1148">
        <f>NOMINA!I57</f>
        <v>0</v>
      </c>
      <c r="J81" s="1149">
        <f>NOMINA!J57</f>
        <v>18</v>
      </c>
      <c r="K81" s="1148">
        <f t="shared" si="7"/>
        <v>18</v>
      </c>
      <c r="L81" s="1149" t="s">
        <v>4932</v>
      </c>
      <c r="M81" s="1149"/>
      <c r="N81" s="1573" t="str">
        <f>NOMINA!O56</f>
        <v>Asistente Administrativo III</v>
      </c>
      <c r="O81" s="1149">
        <v>1.02087691000006E+18</v>
      </c>
      <c r="P81" s="1150">
        <f>ROUND(+NOMINA!T56,2)</f>
        <v>177</v>
      </c>
      <c r="Q81" s="1151">
        <v>0</v>
      </c>
      <c r="R81" s="1151">
        <f>ROUND(+NOMINA!AA56,2)</f>
        <v>52.39</v>
      </c>
      <c r="S81" s="1151">
        <f>ROUND(+NOMINA!AB56,2)</f>
        <v>130</v>
      </c>
      <c r="T81" s="1151">
        <f>ROUND(+NOMINA!AC56,2)</f>
        <v>0</v>
      </c>
      <c r="U81" s="1151">
        <f>ROUND(+NOMINA!AD56,2)</f>
        <v>0</v>
      </c>
      <c r="V81" s="1151">
        <f>ROUND(NOMINA!AQ56,2)</f>
        <v>0</v>
      </c>
      <c r="W81" s="1151">
        <f>+NOMINA!AS56</f>
        <v>0</v>
      </c>
      <c r="X81" s="1151">
        <f>+NOMINA!AT56</f>
        <v>0</v>
      </c>
      <c r="Y81" s="1151">
        <f>+NOMINA!AU56</f>
        <v>359.39</v>
      </c>
      <c r="Z81" s="1151">
        <f>+NOMINA!BX56</f>
        <v>673.86</v>
      </c>
      <c r="AA81" s="1151">
        <f>+NOMINA!BY56</f>
        <v>0</v>
      </c>
      <c r="AB81" s="1151">
        <f t="shared" si="8"/>
        <v>673.86</v>
      </c>
      <c r="AD81" s="634"/>
      <c r="AH81" s="1610" t="str">
        <f>NOMINA!P56</f>
        <v>01020373210000441452</v>
      </c>
    </row>
    <row r="82" spans="1:34" s="629" customFormat="1" ht="18.95" customHeight="1" thickBot="1">
      <c r="A82" s="770" t="s">
        <v>2846</v>
      </c>
      <c r="B82" s="771">
        <f t="shared" si="9"/>
        <v>15</v>
      </c>
      <c r="C82" s="1145">
        <f>NOMINA!C57</f>
        <v>9179981</v>
      </c>
      <c r="D82" s="1146" t="str">
        <f>NOMINA!D57</f>
        <v>Manzanilla Molina Alfredo Jose</v>
      </c>
      <c r="E82" s="1613" t="s">
        <v>4622</v>
      </c>
      <c r="F82" s="1153">
        <v>32351</v>
      </c>
      <c r="G82" s="1613" t="s">
        <v>4620</v>
      </c>
      <c r="H82" s="1572">
        <f>NOMINA!H57</f>
        <v>45597</v>
      </c>
      <c r="I82" s="1148">
        <f>NOMINA!I58</f>
        <v>21</v>
      </c>
      <c r="J82" s="1149">
        <f>NOMINA!J58</f>
        <v>0</v>
      </c>
      <c r="K82" s="1148">
        <f t="shared" si="7"/>
        <v>21</v>
      </c>
      <c r="L82" s="1149" t="s">
        <v>4932</v>
      </c>
      <c r="M82" s="1149"/>
      <c r="N82" s="1573" t="str">
        <f>NOMINA!O57</f>
        <v>Instructor Agropecuario III</v>
      </c>
      <c r="O82" s="1149">
        <v>1.02087691000006E+18</v>
      </c>
      <c r="P82" s="1150">
        <f>ROUND(+NOMINA!T57,2)</f>
        <v>177</v>
      </c>
      <c r="Q82" s="1151">
        <v>0</v>
      </c>
      <c r="R82" s="1151">
        <f>ROUND(+NOMINA!AA57,2)</f>
        <v>40.36</v>
      </c>
      <c r="S82" s="1151">
        <f>ROUND(+NOMINA!AB57,2)</f>
        <v>130</v>
      </c>
      <c r="T82" s="1151">
        <f>ROUND(+NOMINA!AC57,2)</f>
        <v>12.5</v>
      </c>
      <c r="U82" s="1151">
        <f>ROUND(+NOMINA!AD57,2)</f>
        <v>89.97</v>
      </c>
      <c r="V82" s="1151">
        <f>ROUND(NOMINA!AQ57,2)</f>
        <v>0</v>
      </c>
      <c r="W82" s="1151">
        <f>+NOMINA!AS57</f>
        <v>0</v>
      </c>
      <c r="X82" s="1151">
        <f>+NOMINA!AT57</f>
        <v>0</v>
      </c>
      <c r="Y82" s="1151">
        <f>+NOMINA!AU57</f>
        <v>449.83000000000004</v>
      </c>
      <c r="Z82" s="1151">
        <f>+NOMINA!BX57</f>
        <v>135.37</v>
      </c>
      <c r="AA82" s="1151">
        <f>+NOMINA!BY57</f>
        <v>0</v>
      </c>
      <c r="AB82" s="1151">
        <f t="shared" si="8"/>
        <v>135.37</v>
      </c>
      <c r="AD82" s="634"/>
      <c r="AH82" s="1610" t="str">
        <f>NOMINA!P57</f>
        <v>01020373290000068592</v>
      </c>
    </row>
    <row r="83" spans="1:34" s="629" customFormat="1" ht="20.100000000000001" customHeight="1" thickBot="1">
      <c r="A83" s="770" t="s">
        <v>2846</v>
      </c>
      <c r="B83" s="771">
        <f t="shared" si="9"/>
        <v>16</v>
      </c>
      <c r="C83" s="1145">
        <f>NOMINA!C58</f>
        <v>9311822</v>
      </c>
      <c r="D83" s="1146" t="str">
        <f>NOMINA!D58</f>
        <v>Rojo Sanchez Alexis O.</v>
      </c>
      <c r="E83" s="1613" t="s">
        <v>4622</v>
      </c>
      <c r="F83" s="1153">
        <v>32351</v>
      </c>
      <c r="G83" s="1613" t="s">
        <v>4620</v>
      </c>
      <c r="H83" s="1572">
        <f>NOMINA!H58</f>
        <v>37662</v>
      </c>
      <c r="I83" s="1148">
        <f>NOMINA!I59</f>
        <v>19</v>
      </c>
      <c r="J83" s="1149">
        <f>NOMINA!J59</f>
        <v>0</v>
      </c>
      <c r="K83" s="1148">
        <f t="shared" si="7"/>
        <v>19</v>
      </c>
      <c r="L83" s="1149" t="s">
        <v>4932</v>
      </c>
      <c r="M83" s="1149"/>
      <c r="N83" s="1573" t="str">
        <f>NOMINA!O58</f>
        <v>Asistente Administrativo III</v>
      </c>
      <c r="O83" s="1149">
        <v>1.02087691000006E+18</v>
      </c>
      <c r="P83" s="1150">
        <f>ROUND(+NOMINA!T58,2)</f>
        <v>0</v>
      </c>
      <c r="Q83" s="1151">
        <v>0</v>
      </c>
      <c r="R83" s="1151">
        <f>ROUND(+NOMINA!AA58,2)</f>
        <v>0</v>
      </c>
      <c r="S83" s="1151">
        <f>ROUND(+NOMINA!AB58,2)</f>
        <v>0</v>
      </c>
      <c r="T83" s="1151">
        <f>ROUND(+NOMINA!AC58,2)</f>
        <v>0</v>
      </c>
      <c r="U83" s="1151">
        <f>ROUND(+NOMINA!AD58,2)</f>
        <v>0</v>
      </c>
      <c r="V83" s="1151">
        <f>ROUND(NOMINA!AQ58,2)</f>
        <v>0</v>
      </c>
      <c r="W83" s="1151">
        <f>+NOMINA!AS58</f>
        <v>0</v>
      </c>
      <c r="X83" s="1151">
        <f>+NOMINA!AT58</f>
        <v>0</v>
      </c>
      <c r="Y83" s="1151">
        <f>+NOMINA!AU58</f>
        <v>0</v>
      </c>
      <c r="Z83" s="1151">
        <f>+NOMINA!BX58</f>
        <v>0</v>
      </c>
      <c r="AA83" s="1151">
        <f>+NOMINA!BY58</f>
        <v>0</v>
      </c>
      <c r="AB83" s="1151">
        <f t="shared" si="8"/>
        <v>0</v>
      </c>
      <c r="AD83" s="634"/>
      <c r="AH83" s="1610" t="str">
        <f>NOMINA!P58</f>
        <v>01020373290000440657</v>
      </c>
    </row>
    <row r="84" spans="1:34" s="629" customFormat="1" ht="20.100000000000001" customHeight="1" thickBot="1">
      <c r="A84" s="770" t="s">
        <v>2846</v>
      </c>
      <c r="B84" s="771">
        <f t="shared" si="9"/>
        <v>17</v>
      </c>
      <c r="C84" s="1145">
        <f>NOMINA!C59</f>
        <v>9315117</v>
      </c>
      <c r="D84" s="1146" t="str">
        <f>NOMINA!D59</f>
        <v>Palma de Briceño Sonia Josefina</v>
      </c>
      <c r="E84" s="1613" t="s">
        <v>4622</v>
      </c>
      <c r="F84" s="1153">
        <v>32351</v>
      </c>
      <c r="G84" s="1613" t="s">
        <v>4620</v>
      </c>
      <c r="H84" s="1572">
        <f>NOMINA!H59</f>
        <v>38412</v>
      </c>
      <c r="I84" s="1148">
        <f>NOMINA!I60</f>
        <v>16</v>
      </c>
      <c r="J84" s="1149">
        <f>NOMINA!J60</f>
        <v>2</v>
      </c>
      <c r="K84" s="1148">
        <f t="shared" si="7"/>
        <v>18</v>
      </c>
      <c r="L84" s="1149" t="s">
        <v>4932</v>
      </c>
      <c r="M84" s="1149"/>
      <c r="N84" s="1573" t="str">
        <f>NOMINA!O59</f>
        <v>Analista de Personal V</v>
      </c>
      <c r="O84" s="1149">
        <v>1.02087691000006E+18</v>
      </c>
      <c r="P84" s="1150">
        <f>ROUND(+NOMINA!T59,2)</f>
        <v>287</v>
      </c>
      <c r="Q84" s="1151">
        <v>0</v>
      </c>
      <c r="R84" s="1151">
        <f>ROUND(+NOMINA!AA59,2)</f>
        <v>70.03</v>
      </c>
      <c r="S84" s="1151">
        <f>ROUND(+NOMINA!AB59,2)</f>
        <v>130</v>
      </c>
      <c r="T84" s="1151">
        <f>ROUND(+NOMINA!AC59,2)</f>
        <v>0</v>
      </c>
      <c r="U84" s="1151">
        <f>ROUND(+NOMINA!AD59,2)</f>
        <v>121.76</v>
      </c>
      <c r="V84" s="1151">
        <f>ROUND(NOMINA!AQ59,2)</f>
        <v>0</v>
      </c>
      <c r="W84" s="1151">
        <f>+NOMINA!AS59</f>
        <v>0</v>
      </c>
      <c r="X84" s="1151">
        <f>+NOMINA!AT59</f>
        <v>0</v>
      </c>
      <c r="Y84" s="1151">
        <f>+NOMINA!AU59</f>
        <v>608.79</v>
      </c>
      <c r="Z84" s="1151">
        <f>+NOMINA!BX59</f>
        <v>1141.48</v>
      </c>
      <c r="AA84" s="1151">
        <f>+NOMINA!BY59</f>
        <v>0</v>
      </c>
      <c r="AB84" s="1151">
        <f t="shared" si="8"/>
        <v>1141.48</v>
      </c>
      <c r="AD84" s="634"/>
      <c r="AH84" s="1610" t="str">
        <f>NOMINA!P59</f>
        <v>01020373240000440699</v>
      </c>
    </row>
    <row r="85" spans="1:34" s="629" customFormat="1" ht="20.100000000000001" customHeight="1" thickBot="1">
      <c r="A85" s="770" t="s">
        <v>2846</v>
      </c>
      <c r="B85" s="771">
        <f t="shared" si="9"/>
        <v>18</v>
      </c>
      <c r="C85" s="1145">
        <f>NOMINA!C60</f>
        <v>9315325</v>
      </c>
      <c r="D85" s="1146" t="str">
        <f>NOMINA!D60</f>
        <v>Gonzalez Hernandez Marianela</v>
      </c>
      <c r="E85" s="1613" t="s">
        <v>4622</v>
      </c>
      <c r="F85" s="1153">
        <v>32351</v>
      </c>
      <c r="G85" s="1613" t="s">
        <v>4620</v>
      </c>
      <c r="H85" s="1572">
        <f>NOMINA!H60</f>
        <v>39678</v>
      </c>
      <c r="I85" s="1148">
        <f>NOMINA!I61</f>
        <v>3</v>
      </c>
      <c r="J85" s="1149">
        <f>NOMINA!J61</f>
        <v>0</v>
      </c>
      <c r="K85" s="1148">
        <f t="shared" si="7"/>
        <v>3</v>
      </c>
      <c r="L85" s="1149" t="s">
        <v>4932</v>
      </c>
      <c r="M85" s="1149"/>
      <c r="N85" s="1573" t="str">
        <f>NOMINA!O60</f>
        <v>Asistente Administrativo IV</v>
      </c>
      <c r="O85" s="1149">
        <v>1.02087691000006E+18</v>
      </c>
      <c r="P85" s="1150">
        <f>ROUND(+NOMINA!T60,2)</f>
        <v>228</v>
      </c>
      <c r="Q85" s="1151">
        <v>0</v>
      </c>
      <c r="R85" s="1151">
        <f>ROUND(+NOMINA!AA60,2)</f>
        <v>51.98</v>
      </c>
      <c r="S85" s="1151">
        <f>ROUND(+NOMINA!AB60,2)</f>
        <v>130</v>
      </c>
      <c r="T85" s="1151">
        <f>ROUND(+NOMINA!AC60,2)</f>
        <v>0</v>
      </c>
      <c r="U85" s="1151">
        <f>ROUND(+NOMINA!AD60,2)</f>
        <v>82</v>
      </c>
      <c r="V85" s="1151">
        <f>ROUND(NOMINA!AQ60,2)</f>
        <v>0</v>
      </c>
      <c r="W85" s="1151">
        <f>+NOMINA!AS60</f>
        <v>0</v>
      </c>
      <c r="X85" s="1151">
        <f>+NOMINA!AT60</f>
        <v>0</v>
      </c>
      <c r="Y85" s="1151">
        <f>+NOMINA!AU60</f>
        <v>491.98</v>
      </c>
      <c r="Z85" s="1151">
        <f>+NOMINA!BX60</f>
        <v>922.46</v>
      </c>
      <c r="AA85" s="1151">
        <f>+NOMINA!BY60</f>
        <v>0</v>
      </c>
      <c r="AB85" s="1151">
        <f t="shared" si="8"/>
        <v>922.46</v>
      </c>
      <c r="AD85" s="634"/>
      <c r="AH85" s="1610" t="str">
        <f>NOMINA!P60</f>
        <v>01020373250000440709</v>
      </c>
    </row>
    <row r="86" spans="1:34" s="629" customFormat="1" ht="20.100000000000001" customHeight="1" thickBot="1">
      <c r="A86" s="770" t="s">
        <v>2846</v>
      </c>
      <c r="B86" s="771">
        <f t="shared" si="9"/>
        <v>19</v>
      </c>
      <c r="C86" s="1145">
        <f>NOMINA!C61</f>
        <v>9316224</v>
      </c>
      <c r="D86" s="1146" t="str">
        <f>NOMINA!D61</f>
        <v>Sanchez Barrios Magalis del Carmen</v>
      </c>
      <c r="E86" s="1613" t="s">
        <v>4622</v>
      </c>
      <c r="F86" s="1153">
        <v>32351</v>
      </c>
      <c r="G86" s="1613" t="s">
        <v>4620</v>
      </c>
      <c r="H86" s="1572">
        <f>NOMINA!H61</f>
        <v>44317</v>
      </c>
      <c r="I86" s="1148">
        <f>NOMINA!I62</f>
        <v>27</v>
      </c>
      <c r="J86" s="1149">
        <f>NOMINA!J62</f>
        <v>0</v>
      </c>
      <c r="K86" s="1148">
        <f t="shared" si="7"/>
        <v>27</v>
      </c>
      <c r="L86" s="1149" t="s">
        <v>4932</v>
      </c>
      <c r="M86" s="1149"/>
      <c r="N86" s="1573" t="str">
        <f>NOMINA!O61</f>
        <v>Tecnico Superior en Trabajo Social II</v>
      </c>
      <c r="O86" s="1149">
        <v>1.02087691000006E+18</v>
      </c>
      <c r="P86" s="1150">
        <f>ROUND(+NOMINA!T61,2)</f>
        <v>219</v>
      </c>
      <c r="Q86" s="1151">
        <v>0</v>
      </c>
      <c r="R86" s="1151">
        <f>ROUND(+NOMINA!AA61,2)</f>
        <v>6.57</v>
      </c>
      <c r="S86" s="1151">
        <f>ROUND(+NOMINA!AB61,2)</f>
        <v>130</v>
      </c>
      <c r="T86" s="1151">
        <f>ROUND(+NOMINA!AC61,2)</f>
        <v>0</v>
      </c>
      <c r="U86" s="1151">
        <f>ROUND(+NOMINA!AD61,2)</f>
        <v>71.11</v>
      </c>
      <c r="V86" s="1151">
        <f>ROUND(NOMINA!AQ61,2)</f>
        <v>0</v>
      </c>
      <c r="W86" s="1151">
        <f>+NOMINA!AS61</f>
        <v>0</v>
      </c>
      <c r="X86" s="1151">
        <f>+NOMINA!AT61</f>
        <v>0</v>
      </c>
      <c r="Y86" s="1151">
        <f>+NOMINA!AU61</f>
        <v>426.68</v>
      </c>
      <c r="Z86" s="1151">
        <f>+NOMINA!BX61</f>
        <v>800.03</v>
      </c>
      <c r="AA86" s="1151">
        <f>+NOMINA!BY61</f>
        <v>0</v>
      </c>
      <c r="AB86" s="1151">
        <f t="shared" si="8"/>
        <v>800.03</v>
      </c>
      <c r="AD86" s="634"/>
      <c r="AH86" s="1610" t="str">
        <f>NOMINA!P61</f>
        <v>01020369460000055631</v>
      </c>
    </row>
    <row r="87" spans="1:34" s="629" customFormat="1" ht="20.100000000000001" customHeight="1" thickBot="1">
      <c r="A87" s="770" t="s">
        <v>2846</v>
      </c>
      <c r="B87" s="771">
        <f t="shared" si="9"/>
        <v>20</v>
      </c>
      <c r="C87" s="1145">
        <f>NOMINA!C62</f>
        <v>9323927</v>
      </c>
      <c r="D87" s="1146" t="str">
        <f>NOMINA!D62</f>
        <v>Cardozo Garcia Jorge Antonio</v>
      </c>
      <c r="E87" s="1613" t="s">
        <v>4622</v>
      </c>
      <c r="F87" s="1153">
        <v>32351</v>
      </c>
      <c r="G87" s="1613" t="s">
        <v>4620</v>
      </c>
      <c r="H87" s="1572">
        <f>NOMINA!H62</f>
        <v>35704</v>
      </c>
      <c r="I87" s="1148">
        <f>NOMINA!I63</f>
        <v>18</v>
      </c>
      <c r="J87" s="1149">
        <f>NOMINA!J63</f>
        <v>0</v>
      </c>
      <c r="K87" s="1148">
        <f t="shared" si="7"/>
        <v>18</v>
      </c>
      <c r="L87" s="1149" t="s">
        <v>4932</v>
      </c>
      <c r="M87" s="1149"/>
      <c r="N87" s="1573" t="str">
        <f>NOMINA!O62</f>
        <v>Guia de Centro II</v>
      </c>
      <c r="O87" s="1149">
        <v>1.02087691000006E+18</v>
      </c>
      <c r="P87" s="1150">
        <f>ROUND(+NOMINA!T62,2)</f>
        <v>177</v>
      </c>
      <c r="Q87" s="1151">
        <v>0</v>
      </c>
      <c r="R87" s="1151">
        <f>ROUND(+NOMINA!AA62,2)</f>
        <v>53.1</v>
      </c>
      <c r="S87" s="1151">
        <f>ROUND(+NOMINA!AB62,2)</f>
        <v>130</v>
      </c>
      <c r="T87" s="1151">
        <f>ROUND(+NOMINA!AC62,2)</f>
        <v>0</v>
      </c>
      <c r="U87" s="1151">
        <f>ROUND(+NOMINA!AD62,2)</f>
        <v>0</v>
      </c>
      <c r="V87" s="1151">
        <f>ROUND(NOMINA!AQ62,2)</f>
        <v>0</v>
      </c>
      <c r="W87" s="1151">
        <f>+NOMINA!AS62</f>
        <v>0</v>
      </c>
      <c r="X87" s="1151">
        <f>+NOMINA!AT62</f>
        <v>0</v>
      </c>
      <c r="Y87" s="1151">
        <f>+NOMINA!AU62</f>
        <v>360.1</v>
      </c>
      <c r="Z87" s="1151">
        <f>+NOMINA!BX62</f>
        <v>675.19</v>
      </c>
      <c r="AA87" s="1151">
        <f>+NOMINA!BY62</f>
        <v>0</v>
      </c>
      <c r="AB87" s="1151">
        <f t="shared" si="8"/>
        <v>675.19</v>
      </c>
      <c r="AD87" s="634"/>
      <c r="AH87" s="1610" t="str">
        <f>NOMINA!P62</f>
        <v>01020373220000439134</v>
      </c>
    </row>
    <row r="88" spans="1:34" s="629" customFormat="1" ht="20.100000000000001" customHeight="1" thickBot="1">
      <c r="A88" s="770" t="s">
        <v>2846</v>
      </c>
      <c r="B88" s="771">
        <f t="shared" si="9"/>
        <v>21</v>
      </c>
      <c r="C88" s="1145">
        <f>NOMINA!C63</f>
        <v>9327253</v>
      </c>
      <c r="D88" s="1146" t="str">
        <f>NOMINA!D63</f>
        <v>Garcia Araujo Jose Domingo</v>
      </c>
      <c r="E88" s="1613" t="s">
        <v>4622</v>
      </c>
      <c r="F88" s="1153">
        <v>32351</v>
      </c>
      <c r="G88" s="1613" t="s">
        <v>4620</v>
      </c>
      <c r="H88" s="1572">
        <f>NOMINA!H63</f>
        <v>38930</v>
      </c>
      <c r="I88" s="1148">
        <f>NOMINA!I64</f>
        <v>12</v>
      </c>
      <c r="J88" s="1149">
        <f>NOMINA!J64</f>
        <v>0</v>
      </c>
      <c r="K88" s="1148">
        <f t="shared" si="7"/>
        <v>12</v>
      </c>
      <c r="L88" s="1149" t="s">
        <v>4932</v>
      </c>
      <c r="M88" s="1149"/>
      <c r="N88" s="1573" t="str">
        <f>NOMINA!O63</f>
        <v>Analista de Presupuesto III</v>
      </c>
      <c r="O88" s="1149">
        <v>1.02087691000006E+18</v>
      </c>
      <c r="P88" s="1150">
        <f>ROUND(+NOMINA!T63,2)</f>
        <v>287</v>
      </c>
      <c r="Q88" s="1151">
        <v>0</v>
      </c>
      <c r="R88" s="1151">
        <f>ROUND(+NOMINA!AA63,2)</f>
        <v>65.44</v>
      </c>
      <c r="S88" s="1151">
        <f>ROUND(+NOMINA!AB63,2)</f>
        <v>130</v>
      </c>
      <c r="T88" s="1151">
        <f>ROUND(+NOMINA!AC63,2)</f>
        <v>12.5</v>
      </c>
      <c r="U88" s="1151">
        <f>ROUND(+NOMINA!AD63,2)</f>
        <v>0</v>
      </c>
      <c r="V88" s="1151">
        <f>ROUND(NOMINA!AQ63,2)</f>
        <v>0</v>
      </c>
      <c r="W88" s="1151">
        <f>+NOMINA!AS63</f>
        <v>0</v>
      </c>
      <c r="X88" s="1151">
        <f>+NOMINA!AT63</f>
        <v>0</v>
      </c>
      <c r="Y88" s="1151">
        <f>+NOMINA!AU63</f>
        <v>494.94</v>
      </c>
      <c r="Z88" s="1151">
        <f>+NOMINA!BX63</f>
        <v>928.01</v>
      </c>
      <c r="AA88" s="1151">
        <f>+NOMINA!BY63</f>
        <v>0</v>
      </c>
      <c r="AB88" s="1151">
        <f t="shared" si="8"/>
        <v>928.01</v>
      </c>
      <c r="AD88" s="634"/>
      <c r="AH88" s="1610" t="str">
        <f>NOMINA!P63</f>
        <v>01020373200000439192</v>
      </c>
    </row>
    <row r="89" spans="1:34" s="629" customFormat="1" ht="20.100000000000001" customHeight="1" thickBot="1">
      <c r="A89" s="770" t="s">
        <v>2846</v>
      </c>
      <c r="B89" s="771">
        <f t="shared" si="9"/>
        <v>22</v>
      </c>
      <c r="C89" s="1145">
        <f>NOMINA!C64</f>
        <v>9328157</v>
      </c>
      <c r="D89" s="1146" t="str">
        <f>NOMINA!D64</f>
        <v>Perez Salas Olga Margarita</v>
      </c>
      <c r="E89" s="1613" t="s">
        <v>4622</v>
      </c>
      <c r="F89" s="1153">
        <v>32351</v>
      </c>
      <c r="G89" s="1613" t="s">
        <v>4620</v>
      </c>
      <c r="H89" s="1572">
        <f>NOMINA!H64</f>
        <v>41153</v>
      </c>
      <c r="I89" s="1148">
        <f>NOMINA!I65</f>
        <v>17</v>
      </c>
      <c r="J89" s="1149">
        <f>NOMINA!J65</f>
        <v>2</v>
      </c>
      <c r="K89" s="1148">
        <f t="shared" si="7"/>
        <v>19</v>
      </c>
      <c r="L89" s="1149" t="s">
        <v>4932</v>
      </c>
      <c r="M89" s="1149"/>
      <c r="N89" s="1573" t="str">
        <f>NOMINA!O64</f>
        <v>Guia de Centro II</v>
      </c>
      <c r="O89" s="1149">
        <v>1.02087691000006E+18</v>
      </c>
      <c r="P89" s="1150">
        <f>ROUND(+NOMINA!T64,2)</f>
        <v>174</v>
      </c>
      <c r="Q89" s="1151">
        <v>0</v>
      </c>
      <c r="R89" s="1151">
        <f>ROUND(+NOMINA!AA64,2)</f>
        <v>24.01</v>
      </c>
      <c r="S89" s="1151">
        <f>ROUND(+NOMINA!AB64,2)</f>
        <v>130</v>
      </c>
      <c r="T89" s="1151">
        <f>ROUND(+NOMINA!AC64,2)</f>
        <v>0</v>
      </c>
      <c r="U89" s="1151">
        <f>ROUND(+NOMINA!AD64,2)</f>
        <v>0</v>
      </c>
      <c r="V89" s="1151">
        <f>ROUND(NOMINA!AQ64,2)</f>
        <v>0</v>
      </c>
      <c r="W89" s="1151">
        <f>+NOMINA!AS64</f>
        <v>0</v>
      </c>
      <c r="X89" s="1151">
        <f>+NOMINA!AT64</f>
        <v>0</v>
      </c>
      <c r="Y89" s="1151">
        <f>+NOMINA!AU64</f>
        <v>328.01</v>
      </c>
      <c r="Z89" s="1151">
        <f>+NOMINA!BX64</f>
        <v>615.02</v>
      </c>
      <c r="AA89" s="1151">
        <f>+NOMINA!BY64</f>
        <v>0</v>
      </c>
      <c r="AB89" s="1151">
        <f t="shared" si="8"/>
        <v>615.02</v>
      </c>
      <c r="AD89" s="634"/>
      <c r="AH89" s="1610" t="str">
        <f>NOMINA!P64</f>
        <v>01020373220000439215</v>
      </c>
    </row>
    <row r="90" spans="1:34" s="629" customFormat="1" ht="20.100000000000001" customHeight="1" thickBot="1">
      <c r="A90" s="770" t="s">
        <v>2846</v>
      </c>
      <c r="B90" s="771">
        <f t="shared" si="9"/>
        <v>23</v>
      </c>
      <c r="C90" s="1145">
        <f>NOMINA!C65</f>
        <v>9328224</v>
      </c>
      <c r="D90" s="1146" t="str">
        <f>NOMINA!D65</f>
        <v>Abreu Araujo Omar Antonio</v>
      </c>
      <c r="E90" s="1613" t="s">
        <v>4622</v>
      </c>
      <c r="F90" s="1153">
        <v>32351</v>
      </c>
      <c r="G90" s="1613" t="s">
        <v>4620</v>
      </c>
      <c r="H90" s="1572">
        <f>NOMINA!H65</f>
        <v>39356</v>
      </c>
      <c r="I90" s="1148">
        <f>NOMINA!I66</f>
        <v>16</v>
      </c>
      <c r="J90" s="1149">
        <f>NOMINA!J66</f>
        <v>0</v>
      </c>
      <c r="K90" s="1148">
        <f t="shared" si="7"/>
        <v>16</v>
      </c>
      <c r="L90" s="1149" t="s">
        <v>4932</v>
      </c>
      <c r="M90" s="1149"/>
      <c r="N90" s="1573" t="str">
        <f>NOMINA!O65</f>
        <v>Tecnico Agropecuario III</v>
      </c>
      <c r="O90" s="1149">
        <v>1.02087691000006E+18</v>
      </c>
      <c r="P90" s="1150">
        <f>ROUND(+NOMINA!T65,2)</f>
        <v>228</v>
      </c>
      <c r="Q90" s="1151">
        <v>0</v>
      </c>
      <c r="R90" s="1151">
        <f>ROUND(+NOMINA!AA65,2)</f>
        <v>55.63</v>
      </c>
      <c r="S90" s="1151">
        <f>ROUND(+NOMINA!AB65,2)</f>
        <v>130</v>
      </c>
      <c r="T90" s="1151">
        <f>ROUND(+NOMINA!AC65,2)</f>
        <v>0</v>
      </c>
      <c r="U90" s="1151">
        <f>ROUND(+NOMINA!AD65,2)</f>
        <v>0</v>
      </c>
      <c r="V90" s="1151">
        <f>ROUND(NOMINA!AQ65,2)</f>
        <v>0</v>
      </c>
      <c r="W90" s="1151">
        <f>+NOMINA!AS65</f>
        <v>0</v>
      </c>
      <c r="X90" s="1151">
        <f>+NOMINA!AT65</f>
        <v>0</v>
      </c>
      <c r="Y90" s="1151">
        <f>+NOMINA!AU65</f>
        <v>413.63</v>
      </c>
      <c r="Z90" s="1151">
        <f>+NOMINA!BX65</f>
        <v>775.56</v>
      </c>
      <c r="AA90" s="1151">
        <f>+NOMINA!BY65</f>
        <v>0</v>
      </c>
      <c r="AB90" s="1151">
        <f t="shared" si="8"/>
        <v>775.56</v>
      </c>
      <c r="AD90" s="634"/>
      <c r="AH90" s="1610" t="str">
        <f>NOMINA!P65</f>
        <v>01020373240000439228</v>
      </c>
    </row>
    <row r="91" spans="1:34" s="629" customFormat="1" ht="20.100000000000001" customHeight="1" thickBot="1">
      <c r="A91" s="770" t="s">
        <v>2846</v>
      </c>
      <c r="B91" s="771">
        <f t="shared" si="9"/>
        <v>24</v>
      </c>
      <c r="C91" s="1145">
        <f>NOMINA!C66</f>
        <v>9495661</v>
      </c>
      <c r="D91" s="1146" t="str">
        <f>NOMINA!D66</f>
        <v>Aguial Carrillo Gregoria Coromoto</v>
      </c>
      <c r="E91" s="1613" t="s">
        <v>4622</v>
      </c>
      <c r="F91" s="1153">
        <v>32351</v>
      </c>
      <c r="G91" s="1613" t="s">
        <v>4620</v>
      </c>
      <c r="H91" s="1572">
        <f>NOMINA!H66</f>
        <v>39692</v>
      </c>
      <c r="I91" s="1148">
        <f>NOMINA!I67</f>
        <v>4</v>
      </c>
      <c r="J91" s="1149">
        <f>NOMINA!J67</f>
        <v>9</v>
      </c>
      <c r="K91" s="1148">
        <f t="shared" si="7"/>
        <v>13</v>
      </c>
      <c r="L91" s="1149" t="s">
        <v>4932</v>
      </c>
      <c r="M91" s="1149"/>
      <c r="N91" s="1573" t="str">
        <f>NOMINA!O66</f>
        <v>Jefe de Centro</v>
      </c>
      <c r="O91" s="1149">
        <v>1.02087691000006E+18</v>
      </c>
      <c r="P91" s="1150">
        <f>ROUND(+NOMINA!T66,2)</f>
        <v>0</v>
      </c>
      <c r="Q91" s="1151">
        <v>0</v>
      </c>
      <c r="R91" s="1151">
        <f>ROUND(+NOMINA!AA66,2)</f>
        <v>0</v>
      </c>
      <c r="S91" s="1151">
        <f>ROUND(+NOMINA!AB66,2)</f>
        <v>0</v>
      </c>
      <c r="T91" s="1151">
        <f>ROUND(+NOMINA!AC66,2)</f>
        <v>0</v>
      </c>
      <c r="U91" s="1151">
        <f>ROUND(+NOMINA!AD66,2)</f>
        <v>0</v>
      </c>
      <c r="V91" s="1151">
        <f>ROUND(NOMINA!AQ66,2)</f>
        <v>0</v>
      </c>
      <c r="W91" s="1151">
        <f>+NOMINA!AS66</f>
        <v>0</v>
      </c>
      <c r="X91" s="1151">
        <f>+NOMINA!AT66</f>
        <v>0</v>
      </c>
      <c r="Y91" s="1151">
        <f>+NOMINA!AU66</f>
        <v>0</v>
      </c>
      <c r="Z91" s="1151">
        <f>+NOMINA!BX66</f>
        <v>0</v>
      </c>
      <c r="AA91" s="1151">
        <f>+NOMINA!BY66</f>
        <v>0</v>
      </c>
      <c r="AB91" s="1151">
        <f t="shared" si="8"/>
        <v>0</v>
      </c>
      <c r="AD91" s="634"/>
      <c r="AH91" s="1610" t="str">
        <f>NOMINA!P66</f>
        <v>01020373260000439244</v>
      </c>
    </row>
    <row r="92" spans="1:34" s="629" customFormat="1" ht="20.100000000000001" customHeight="1" thickBot="1">
      <c r="A92" s="770" t="s">
        <v>2846</v>
      </c>
      <c r="B92" s="771">
        <f t="shared" si="9"/>
        <v>25</v>
      </c>
      <c r="C92" s="1145">
        <f>NOMINA!C67</f>
        <v>9496860</v>
      </c>
      <c r="D92" s="1146" t="str">
        <f>NOMINA!D67</f>
        <v>Hernandez Valero Jose Alfredo</v>
      </c>
      <c r="E92" s="1613" t="s">
        <v>4622</v>
      </c>
      <c r="F92" s="1153">
        <v>32351</v>
      </c>
      <c r="G92" s="1613" t="s">
        <v>4620</v>
      </c>
      <c r="H92" s="1572">
        <f>NOMINA!H67</f>
        <v>43877</v>
      </c>
      <c r="I92" s="1148">
        <f>NOMINA!I68</f>
        <v>24</v>
      </c>
      <c r="J92" s="1149">
        <f>NOMINA!J68</f>
        <v>0</v>
      </c>
      <c r="K92" s="1148">
        <f t="shared" si="7"/>
        <v>24</v>
      </c>
      <c r="L92" s="1149" t="s">
        <v>4932</v>
      </c>
      <c r="M92" s="1149"/>
      <c r="N92" s="1573" t="str">
        <f>NOMINA!O67</f>
        <v>AUDITOR III</v>
      </c>
      <c r="O92" s="1149">
        <v>1.02087691000006E+18</v>
      </c>
      <c r="P92" s="1150">
        <f>ROUND(+NOMINA!T67,2)</f>
        <v>283</v>
      </c>
      <c r="Q92" s="1151">
        <v>0</v>
      </c>
      <c r="R92" s="1151">
        <f>ROUND(+NOMINA!AA67,2)</f>
        <v>43.02</v>
      </c>
      <c r="S92" s="1151">
        <f>ROUND(+NOMINA!AB67,2)</f>
        <v>130</v>
      </c>
      <c r="T92" s="1151">
        <f>ROUND(+NOMINA!AC67,2)</f>
        <v>0</v>
      </c>
      <c r="U92" s="1151">
        <f>ROUND(+NOMINA!AD67,2)</f>
        <v>114.01</v>
      </c>
      <c r="V92" s="1151">
        <f>ROUND(NOMINA!AQ67,2)</f>
        <v>0</v>
      </c>
      <c r="W92" s="1151">
        <f>+NOMINA!AS67</f>
        <v>0</v>
      </c>
      <c r="X92" s="1151">
        <f>+NOMINA!AT67</f>
        <v>0</v>
      </c>
      <c r="Y92" s="1151">
        <f>+NOMINA!AU67</f>
        <v>570.03</v>
      </c>
      <c r="Z92" s="1151">
        <f>+NOMINA!BX67</f>
        <v>1068.81</v>
      </c>
      <c r="AA92" s="1151">
        <f>+NOMINA!BY67</f>
        <v>0</v>
      </c>
      <c r="AB92" s="1151">
        <f t="shared" si="8"/>
        <v>1068.81</v>
      </c>
      <c r="AD92" s="634"/>
      <c r="AH92" s="1610" t="str">
        <f>NOMINA!P67</f>
        <v>01020373250000676955</v>
      </c>
    </row>
    <row r="93" spans="1:34" s="629" customFormat="1" ht="20.100000000000001" customHeight="1" thickBot="1">
      <c r="A93" s="770" t="s">
        <v>2846</v>
      </c>
      <c r="B93" s="771">
        <f t="shared" si="9"/>
        <v>26</v>
      </c>
      <c r="C93" s="1145">
        <f>NOMINA!C68</f>
        <v>9497151</v>
      </c>
      <c r="D93" s="1146" t="str">
        <f>NOMINA!D68</f>
        <v>Mendoza Vieras Pedro Luis</v>
      </c>
      <c r="E93" s="1613" t="s">
        <v>4622</v>
      </c>
      <c r="F93" s="1153">
        <v>32351</v>
      </c>
      <c r="G93" s="1613" t="s">
        <v>4620</v>
      </c>
      <c r="H93" s="1572">
        <f>NOMINA!H68</f>
        <v>36770</v>
      </c>
      <c r="I93" s="1148">
        <f>NOMINA!I69</f>
        <v>6</v>
      </c>
      <c r="J93" s="1149">
        <f>NOMINA!J69</f>
        <v>0</v>
      </c>
      <c r="K93" s="1148">
        <f t="shared" si="7"/>
        <v>6</v>
      </c>
      <c r="L93" s="1149" t="s">
        <v>4932</v>
      </c>
      <c r="M93" s="1149"/>
      <c r="N93" s="1573" t="str">
        <f>NOMINA!O68</f>
        <v>Ingeniero Industrial II</v>
      </c>
      <c r="O93" s="1149">
        <v>1.02087691000006E+18</v>
      </c>
      <c r="P93" s="1150">
        <f>ROUND(+NOMINA!T68,2)</f>
        <v>287</v>
      </c>
      <c r="Q93" s="1151">
        <v>0</v>
      </c>
      <c r="R93" s="1151">
        <f>ROUND(+NOMINA!AA68,2)</f>
        <v>86.1</v>
      </c>
      <c r="S93" s="1151">
        <f>ROUND(+NOMINA!AB68,2)</f>
        <v>130</v>
      </c>
      <c r="T93" s="1151">
        <f>ROUND(+NOMINA!AC68,2)</f>
        <v>0</v>
      </c>
      <c r="U93" s="1151">
        <f>ROUND(+NOMINA!AD68,2)</f>
        <v>125.78</v>
      </c>
      <c r="V93" s="1151">
        <f>ROUND(NOMINA!AQ68,2)</f>
        <v>0</v>
      </c>
      <c r="W93" s="1151">
        <f>+NOMINA!AS68</f>
        <v>0</v>
      </c>
      <c r="X93" s="1151">
        <f>+NOMINA!AT68</f>
        <v>0</v>
      </c>
      <c r="Y93" s="1151">
        <f>+NOMINA!AU68</f>
        <v>628.88</v>
      </c>
      <c r="Z93" s="1151">
        <f>+NOMINA!BX68</f>
        <v>1179.1500000000001</v>
      </c>
      <c r="AA93" s="1151">
        <f>+NOMINA!BY68</f>
        <v>0</v>
      </c>
      <c r="AB93" s="1151">
        <f t="shared" si="8"/>
        <v>1179.1500000000001</v>
      </c>
      <c r="AD93" s="634"/>
      <c r="AH93" s="1610" t="str">
        <f>NOMINA!P68</f>
        <v>01020373280000439260</v>
      </c>
    </row>
    <row r="94" spans="1:34" s="629" customFormat="1" ht="20.100000000000001" customHeight="1" thickBot="1">
      <c r="A94" s="770" t="s">
        <v>2846</v>
      </c>
      <c r="B94" s="771">
        <f t="shared" si="9"/>
        <v>27</v>
      </c>
      <c r="C94" s="1145">
        <f>NOMINA!C69</f>
        <v>10033119</v>
      </c>
      <c r="D94" s="1146" t="str">
        <f>NOMINA!D69</f>
        <v>Artigas de Hernandez Ana Maria</v>
      </c>
      <c r="E94" s="1613" t="s">
        <v>4622</v>
      </c>
      <c r="F94" s="1153">
        <v>32351</v>
      </c>
      <c r="G94" s="1613" t="s">
        <v>4620</v>
      </c>
      <c r="H94" s="1572">
        <f>NOMINA!H69</f>
        <v>43359</v>
      </c>
      <c r="I94" s="1148">
        <f>NOMINA!I70</f>
        <v>6</v>
      </c>
      <c r="J94" s="1149">
        <f>NOMINA!J70</f>
        <v>0</v>
      </c>
      <c r="K94" s="1148">
        <f t="shared" si="7"/>
        <v>6</v>
      </c>
      <c r="L94" s="1149" t="s">
        <v>4932</v>
      </c>
      <c r="M94" s="1149"/>
      <c r="N94" s="1573" t="str">
        <f>NOMINA!O69</f>
        <v>Tutor Facilitador III</v>
      </c>
      <c r="O94" s="1149">
        <v>1.02087691000006E+18</v>
      </c>
      <c r="P94" s="1150">
        <f>ROUND(+NOMINA!T69,2)</f>
        <v>279</v>
      </c>
      <c r="Q94" s="1151">
        <v>0</v>
      </c>
      <c r="R94" s="1151">
        <f>ROUND(+NOMINA!AA69,2)</f>
        <v>17.3</v>
      </c>
      <c r="S94" s="1151">
        <f>ROUND(+NOMINA!AB69,2)</f>
        <v>130</v>
      </c>
      <c r="T94" s="1151">
        <f>ROUND(+NOMINA!AC69,2)</f>
        <v>0</v>
      </c>
      <c r="U94" s="1151">
        <f>ROUND(+NOMINA!AD69,2)</f>
        <v>106.58</v>
      </c>
      <c r="V94" s="1151">
        <f>ROUND(NOMINA!AQ69,2)</f>
        <v>0</v>
      </c>
      <c r="W94" s="1151">
        <f>+NOMINA!AS69</f>
        <v>0</v>
      </c>
      <c r="X94" s="1151">
        <f>+NOMINA!AT69</f>
        <v>0</v>
      </c>
      <c r="Y94" s="1151">
        <f>+NOMINA!AU69</f>
        <v>532.88</v>
      </c>
      <c r="Z94" s="1151">
        <f>+NOMINA!BX69</f>
        <v>999.15</v>
      </c>
      <c r="AA94" s="1151">
        <f>+NOMINA!BY69</f>
        <v>0</v>
      </c>
      <c r="AB94" s="1151">
        <f t="shared" si="8"/>
        <v>999.15</v>
      </c>
      <c r="AD94" s="634"/>
      <c r="AH94" s="1610" t="str">
        <f>NOMINA!P69</f>
        <v>01020373290000479961</v>
      </c>
    </row>
    <row r="95" spans="1:34" s="629" customFormat="1" ht="20.100000000000001" customHeight="1" thickBot="1">
      <c r="A95" s="770" t="s">
        <v>2846</v>
      </c>
      <c r="B95" s="771">
        <f t="shared" si="9"/>
        <v>28</v>
      </c>
      <c r="C95" s="1145">
        <f>NOMINA!C70</f>
        <v>10035540</v>
      </c>
      <c r="D95" s="1146" t="str">
        <f>NOMINA!D70</f>
        <v xml:space="preserve">Linares Linares Emma Teresa </v>
      </c>
      <c r="E95" s="1613" t="s">
        <v>4622</v>
      </c>
      <c r="F95" s="1153">
        <v>32351</v>
      </c>
      <c r="G95" s="1613" t="s">
        <v>4620</v>
      </c>
      <c r="H95" s="1572">
        <f>NOMINA!H70</f>
        <v>43236</v>
      </c>
      <c r="I95" s="1148">
        <f>NOMINA!I71</f>
        <v>16</v>
      </c>
      <c r="J95" s="1149">
        <f>NOMINA!J71</f>
        <v>0</v>
      </c>
      <c r="K95" s="1148">
        <f t="shared" si="7"/>
        <v>16</v>
      </c>
      <c r="L95" s="1149" t="s">
        <v>4932</v>
      </c>
      <c r="M95" s="1149"/>
      <c r="N95" s="1573" t="str">
        <f>NOMINA!O70</f>
        <v>Tecnico Superior en Trabajo Social II</v>
      </c>
      <c r="O95" s="1149">
        <v>1.02087691000006E+18</v>
      </c>
      <c r="P95" s="1150">
        <f>ROUND(+NOMINA!T70,2)</f>
        <v>221</v>
      </c>
      <c r="Q95" s="1151">
        <v>0</v>
      </c>
      <c r="R95" s="1151">
        <f>ROUND(+NOMINA!AA70,2)</f>
        <v>13.7</v>
      </c>
      <c r="S95" s="1151">
        <f>ROUND(+NOMINA!AB70,2)</f>
        <v>130</v>
      </c>
      <c r="T95" s="1151">
        <f>ROUND(+NOMINA!AC70,2)</f>
        <v>0</v>
      </c>
      <c r="U95" s="1151">
        <f>ROUND(+NOMINA!AD70,2)</f>
        <v>91.18</v>
      </c>
      <c r="V95" s="1151">
        <f>ROUND(NOMINA!AQ70,2)</f>
        <v>12.5</v>
      </c>
      <c r="W95" s="1151">
        <f>+NOMINA!AS70</f>
        <v>0</v>
      </c>
      <c r="X95" s="1151">
        <f>+NOMINA!AT70</f>
        <v>12.5</v>
      </c>
      <c r="Y95" s="1151">
        <f>+NOMINA!AU70</f>
        <v>455.88</v>
      </c>
      <c r="Z95" s="1151">
        <f>+NOMINA!BX70</f>
        <v>854.78</v>
      </c>
      <c r="AA95" s="1151">
        <f>+NOMINA!BY70</f>
        <v>0</v>
      </c>
      <c r="AB95" s="1151">
        <f t="shared" si="8"/>
        <v>854.78</v>
      </c>
      <c r="AD95" s="634"/>
      <c r="AH95" s="1610" t="str">
        <f>NOMINA!P70</f>
        <v>01020373290000539432</v>
      </c>
    </row>
    <row r="96" spans="1:34" s="629" customFormat="1" ht="20.100000000000001" customHeight="1" thickBot="1">
      <c r="A96" s="770" t="s">
        <v>2846</v>
      </c>
      <c r="B96" s="771">
        <f t="shared" si="9"/>
        <v>29</v>
      </c>
      <c r="C96" s="1145">
        <f>NOMINA!C71</f>
        <v>10037054</v>
      </c>
      <c r="D96" s="1146" t="str">
        <f>NOMINA!D71</f>
        <v>Aguial Carrillo Deris Margarita</v>
      </c>
      <c r="E96" s="1613" t="s">
        <v>4622</v>
      </c>
      <c r="F96" s="1153">
        <v>32351</v>
      </c>
      <c r="G96" s="1613" t="s">
        <v>4620</v>
      </c>
      <c r="H96" s="1572">
        <f>NOMINA!H71</f>
        <v>39820</v>
      </c>
      <c r="I96" s="1148">
        <f>NOMINA!I72</f>
        <v>3</v>
      </c>
      <c r="J96" s="1149">
        <f>NOMINA!J72</f>
        <v>0</v>
      </c>
      <c r="K96" s="1148">
        <f t="shared" si="7"/>
        <v>3</v>
      </c>
      <c r="L96" s="1149" t="s">
        <v>4932</v>
      </c>
      <c r="M96" s="1149"/>
      <c r="N96" s="1573" t="str">
        <f>NOMINA!O71</f>
        <v>Guia de Centro II</v>
      </c>
      <c r="O96" s="1149">
        <v>1.02087691000006E+18</v>
      </c>
      <c r="P96" s="1150">
        <f>ROUND(+NOMINA!T71,2)</f>
        <v>176</v>
      </c>
      <c r="Q96" s="1151">
        <v>0</v>
      </c>
      <c r="R96" s="1151">
        <f>ROUND(+NOMINA!AA71,2)</f>
        <v>34.5</v>
      </c>
      <c r="S96" s="1151">
        <f>ROUND(+NOMINA!AB71,2)</f>
        <v>130</v>
      </c>
      <c r="T96" s="1151">
        <f>ROUND(+NOMINA!AC71,2)</f>
        <v>0</v>
      </c>
      <c r="U96" s="1151">
        <f>ROUND(+NOMINA!AD71,2)</f>
        <v>0</v>
      </c>
      <c r="V96" s="1151">
        <f>ROUND(NOMINA!AQ71,2)</f>
        <v>0</v>
      </c>
      <c r="W96" s="1151">
        <f>+NOMINA!AS71</f>
        <v>0</v>
      </c>
      <c r="X96" s="1151">
        <f>+NOMINA!AT71</f>
        <v>0</v>
      </c>
      <c r="Y96" s="1151">
        <f>+NOMINA!AU71</f>
        <v>442.65</v>
      </c>
      <c r="Z96" s="1151">
        <f>+NOMINA!BX71</f>
        <v>829.97</v>
      </c>
      <c r="AA96" s="1151">
        <f>+NOMINA!BY71</f>
        <v>0</v>
      </c>
      <c r="AB96" s="1151">
        <f t="shared" si="8"/>
        <v>829.97</v>
      </c>
      <c r="AD96" s="634"/>
      <c r="AH96" s="1610" t="str">
        <f>NOMINA!P71</f>
        <v>01020373200000438656</v>
      </c>
    </row>
    <row r="97" spans="1:34" s="629" customFormat="1" ht="20.100000000000001" customHeight="1" thickBot="1">
      <c r="A97" s="770" t="s">
        <v>2846</v>
      </c>
      <c r="B97" s="771">
        <f t="shared" si="9"/>
        <v>30</v>
      </c>
      <c r="C97" s="1145">
        <f>NOMINA!C72</f>
        <v>10175616</v>
      </c>
      <c r="D97" s="1146" t="str">
        <f>NOMINA!D72</f>
        <v>Carrillo Prato Blanca Isabel</v>
      </c>
      <c r="E97" s="1613" t="s">
        <v>4622</v>
      </c>
      <c r="F97" s="1153">
        <v>32351</v>
      </c>
      <c r="G97" s="1613" t="s">
        <v>4620</v>
      </c>
      <c r="H97" s="1572">
        <f>NOMINA!H72</f>
        <v>44228</v>
      </c>
      <c r="I97" s="1148">
        <f>NOMINA!I73</f>
        <v>26</v>
      </c>
      <c r="J97" s="1149">
        <f>NOMINA!J73</f>
        <v>0</v>
      </c>
      <c r="K97" s="1148">
        <f t="shared" si="7"/>
        <v>26</v>
      </c>
      <c r="L97" s="1149" t="s">
        <v>4932</v>
      </c>
      <c r="M97" s="1149"/>
      <c r="N97" s="1573" t="str">
        <f>NOMINA!O72</f>
        <v>Medico jefe I</v>
      </c>
      <c r="O97" s="1149">
        <v>1.02087691000006E+18</v>
      </c>
      <c r="P97" s="1150">
        <f>ROUND(+NOMINA!T72,2)</f>
        <v>307</v>
      </c>
      <c r="Q97" s="1151">
        <v>0</v>
      </c>
      <c r="R97" s="1151">
        <f>ROUND(+NOMINA!AA72,2)</f>
        <v>9.2100000000000009</v>
      </c>
      <c r="S97" s="1151">
        <f>ROUND(+NOMINA!AB72,2)</f>
        <v>130</v>
      </c>
      <c r="T97" s="1151">
        <f>ROUND(+NOMINA!AC72,2)</f>
        <v>0</v>
      </c>
      <c r="U97" s="1151">
        <f>ROUND(+NOMINA!AD72,2)</f>
        <v>133.86000000000001</v>
      </c>
      <c r="V97" s="1151">
        <f>ROUND(NOMINA!AQ72,2)</f>
        <v>0</v>
      </c>
      <c r="W97" s="1151">
        <f>+NOMINA!AS72</f>
        <v>0</v>
      </c>
      <c r="X97" s="1151">
        <f>+NOMINA!AT72</f>
        <v>0</v>
      </c>
      <c r="Y97" s="1151">
        <f>+NOMINA!AU72</f>
        <v>580.07000000000005</v>
      </c>
      <c r="Z97" s="1151">
        <f>+NOMINA!BX72</f>
        <v>1087.6300000000001</v>
      </c>
      <c r="AA97" s="1151">
        <f>+NOMINA!BY72</f>
        <v>0</v>
      </c>
      <c r="AB97" s="1151">
        <f t="shared" si="8"/>
        <v>1087.6300000000001</v>
      </c>
      <c r="AD97" s="634"/>
      <c r="AH97" s="1610" t="str">
        <f>NOMINA!P72</f>
        <v>01020501840006794750</v>
      </c>
    </row>
    <row r="98" spans="1:34" s="629" customFormat="1" ht="20.100000000000001" customHeight="1" thickBot="1">
      <c r="A98" s="770" t="s">
        <v>2846</v>
      </c>
      <c r="B98" s="771">
        <f t="shared" si="9"/>
        <v>31</v>
      </c>
      <c r="C98" s="1145">
        <f>NOMINA!C73</f>
        <v>10257016</v>
      </c>
      <c r="D98" s="1146" t="str">
        <f>NOMINA!D73</f>
        <v>Torres Dulma Ramona</v>
      </c>
      <c r="E98" s="1613" t="s">
        <v>4622</v>
      </c>
      <c r="F98" s="1153">
        <v>32351</v>
      </c>
      <c r="G98" s="1613" t="s">
        <v>4620</v>
      </c>
      <c r="H98" s="1572">
        <f>NOMINA!H73</f>
        <v>35947</v>
      </c>
      <c r="I98" s="1148">
        <f>NOMINA!I74</f>
        <v>28</v>
      </c>
      <c r="J98" s="1149">
        <f>NOMINA!J74</f>
        <v>0</v>
      </c>
      <c r="K98" s="1148">
        <f t="shared" si="7"/>
        <v>28</v>
      </c>
      <c r="L98" s="1149" t="s">
        <v>4932</v>
      </c>
      <c r="M98" s="1149"/>
      <c r="N98" s="1573" t="str">
        <f>NOMINA!O73</f>
        <v>Tutor Facilitador III</v>
      </c>
      <c r="O98" s="1149">
        <v>1.02087691000006E+18</v>
      </c>
      <c r="P98" s="1150">
        <f>ROUND(+NOMINA!T73,2)</f>
        <v>287</v>
      </c>
      <c r="Q98" s="1151">
        <v>0</v>
      </c>
      <c r="R98" s="1151">
        <f>ROUND(+NOMINA!AA73,2)</f>
        <v>86.1</v>
      </c>
      <c r="S98" s="1151">
        <f>ROUND(+NOMINA!AB73,2)</f>
        <v>130</v>
      </c>
      <c r="T98" s="1151">
        <f>ROUND(+NOMINA!AC73,2)</f>
        <v>0</v>
      </c>
      <c r="U98" s="1151">
        <f>ROUND(+NOMINA!AD73,2)</f>
        <v>125.78</v>
      </c>
      <c r="V98" s="1151">
        <f>ROUND(NOMINA!AQ73,2)</f>
        <v>0</v>
      </c>
      <c r="W98" s="1151">
        <f>+NOMINA!AS73</f>
        <v>0</v>
      </c>
      <c r="X98" s="1151">
        <f>+NOMINA!AT73</f>
        <v>0</v>
      </c>
      <c r="Y98" s="1151">
        <f>+NOMINA!AU73</f>
        <v>628.88</v>
      </c>
      <c r="Z98" s="1151">
        <f>+NOMINA!BX73</f>
        <v>1179.1500000000001</v>
      </c>
      <c r="AA98" s="1151">
        <f>+NOMINA!BY73</f>
        <v>0</v>
      </c>
      <c r="AB98" s="1151">
        <f t="shared" si="8"/>
        <v>1179.1500000000001</v>
      </c>
      <c r="AD98" s="634"/>
      <c r="AH98" s="1610" t="str">
        <f>NOMINA!P73</f>
        <v>01020373210000438672</v>
      </c>
    </row>
    <row r="99" spans="1:34" s="629" customFormat="1" ht="20.100000000000001" customHeight="1" thickBot="1">
      <c r="A99" s="770" t="s">
        <v>2846</v>
      </c>
      <c r="B99" s="771">
        <f t="shared" si="9"/>
        <v>32</v>
      </c>
      <c r="C99" s="1145">
        <f>NOMINA!C74</f>
        <v>10315803</v>
      </c>
      <c r="D99" s="1146" t="str">
        <f>NOMINA!D74</f>
        <v>Frias Jacson Daniel</v>
      </c>
      <c r="E99" s="1613" t="s">
        <v>4622</v>
      </c>
      <c r="F99" s="1153">
        <v>32351</v>
      </c>
      <c r="G99" s="1613" t="s">
        <v>4620</v>
      </c>
      <c r="H99" s="1572">
        <f>NOMINA!H74</f>
        <v>35415</v>
      </c>
      <c r="I99" s="1148">
        <f>NOMINA!I75</f>
        <v>18</v>
      </c>
      <c r="J99" s="1149">
        <f>NOMINA!J75</f>
        <v>0</v>
      </c>
      <c r="K99" s="1148">
        <f t="shared" si="7"/>
        <v>18</v>
      </c>
      <c r="L99" s="1149" t="s">
        <v>4932</v>
      </c>
      <c r="M99" s="1149"/>
      <c r="N99" s="1573" t="str">
        <f>NOMINA!O74</f>
        <v>Guia de Centro II</v>
      </c>
      <c r="O99" s="1149">
        <v>1.02087691000006E+18</v>
      </c>
      <c r="P99" s="1150">
        <f>ROUND(+NOMINA!T74,2)</f>
        <v>177</v>
      </c>
      <c r="Q99" s="1151">
        <v>0</v>
      </c>
      <c r="R99" s="1151">
        <f>ROUND(+NOMINA!AA74,2)</f>
        <v>53.1</v>
      </c>
      <c r="S99" s="1151">
        <f>ROUND(+NOMINA!AB74,2)</f>
        <v>130</v>
      </c>
      <c r="T99" s="1151">
        <f>ROUND(+NOMINA!AC74,2)</f>
        <v>0</v>
      </c>
      <c r="U99" s="1151">
        <f>ROUND(+NOMINA!AD74,2)</f>
        <v>0</v>
      </c>
      <c r="V99" s="1151">
        <f>ROUND(NOMINA!AQ74,2)</f>
        <v>0</v>
      </c>
      <c r="W99" s="1151">
        <f>+NOMINA!AS74</f>
        <v>0</v>
      </c>
      <c r="X99" s="1151">
        <f>+NOMINA!AT74</f>
        <v>0</v>
      </c>
      <c r="Y99" s="1151">
        <f>+NOMINA!AU74</f>
        <v>468.13</v>
      </c>
      <c r="Z99" s="1151">
        <f>+NOMINA!BX74</f>
        <v>877.75</v>
      </c>
      <c r="AA99" s="1151">
        <f>+NOMINA!BY74</f>
        <v>0</v>
      </c>
      <c r="AB99" s="1151">
        <f t="shared" si="8"/>
        <v>877.75</v>
      </c>
      <c r="AD99" s="634"/>
      <c r="AH99" s="1610" t="str">
        <f>NOMINA!P74</f>
        <v>01020373250000438698</v>
      </c>
    </row>
    <row r="100" spans="1:34" s="629" customFormat="1" ht="20.100000000000001" customHeight="1" thickBot="1">
      <c r="A100" s="770" t="s">
        <v>2846</v>
      </c>
      <c r="B100" s="771">
        <f t="shared" si="9"/>
        <v>33</v>
      </c>
      <c r="C100" s="1145">
        <f>NOMINA!C75</f>
        <v>10319457</v>
      </c>
      <c r="D100" s="1146" t="str">
        <f>NOMINA!D75</f>
        <v>Marquez Marquez Maribel del Valle</v>
      </c>
      <c r="E100" s="1613" t="s">
        <v>4622</v>
      </c>
      <c r="F100" s="1153">
        <v>32351</v>
      </c>
      <c r="G100" s="1613" t="s">
        <v>4620</v>
      </c>
      <c r="H100" s="1572">
        <f>NOMINA!H75</f>
        <v>38831</v>
      </c>
      <c r="I100" s="1148">
        <f>NOMINA!I76</f>
        <v>2</v>
      </c>
      <c r="J100" s="1149">
        <f>NOMINA!J76</f>
        <v>0</v>
      </c>
      <c r="K100" s="1148">
        <f t="shared" si="7"/>
        <v>2</v>
      </c>
      <c r="L100" s="1149" t="s">
        <v>4932</v>
      </c>
      <c r="M100" s="1149"/>
      <c r="N100" s="1573" t="str">
        <f>NOMINA!O75</f>
        <v>Secretario Ejecutivo III</v>
      </c>
      <c r="O100" s="1149">
        <v>1.02087691000006E+18</v>
      </c>
      <c r="P100" s="1150">
        <f>ROUND(+NOMINA!T75,2)</f>
        <v>177</v>
      </c>
      <c r="Q100" s="1151">
        <v>0</v>
      </c>
      <c r="R100" s="1151">
        <f>ROUND(+NOMINA!AA75,2)</f>
        <v>40.36</v>
      </c>
      <c r="S100" s="1151">
        <f>ROUND(+NOMINA!AB75,2)</f>
        <v>130</v>
      </c>
      <c r="T100" s="1151">
        <f>ROUND(+NOMINA!AC75,2)</f>
        <v>12.5</v>
      </c>
      <c r="U100" s="1151">
        <f>ROUND(+NOMINA!AD75,2)</f>
        <v>0</v>
      </c>
      <c r="V100" s="1151">
        <f>ROUND(NOMINA!AQ75,2)</f>
        <v>0</v>
      </c>
      <c r="W100" s="1151">
        <f>+NOMINA!AS75</f>
        <v>0</v>
      </c>
      <c r="X100" s="1151">
        <f>+NOMINA!AT75</f>
        <v>0</v>
      </c>
      <c r="Y100" s="1151">
        <f>+NOMINA!AU75</f>
        <v>359.86</v>
      </c>
      <c r="Z100" s="1151">
        <f>+NOMINA!BX75</f>
        <v>674.74</v>
      </c>
      <c r="AA100" s="1151">
        <f>+NOMINA!BY75</f>
        <v>0</v>
      </c>
      <c r="AB100" s="1151">
        <f t="shared" si="8"/>
        <v>674.74</v>
      </c>
      <c r="AD100" s="634"/>
      <c r="AH100" s="1610" t="str">
        <f>NOMINA!P75</f>
        <v>01020373260000438711</v>
      </c>
    </row>
    <row r="101" spans="1:34" s="629" customFormat="1" ht="20.100000000000001" customHeight="1" thickBot="1">
      <c r="A101" s="770" t="s">
        <v>2846</v>
      </c>
      <c r="B101" s="771">
        <f t="shared" si="9"/>
        <v>34</v>
      </c>
      <c r="C101" s="1145">
        <f>NOMINA!C76</f>
        <v>10396379</v>
      </c>
      <c r="D101" s="1146" t="str">
        <f>NOMINA!D76</f>
        <v>Ruiz Luis Alfonzo</v>
      </c>
      <c r="E101" s="1613" t="s">
        <v>4622</v>
      </c>
      <c r="F101" s="1153">
        <v>32351</v>
      </c>
      <c r="G101" s="1613" t="s">
        <v>4620</v>
      </c>
      <c r="H101" s="1572">
        <f>NOMINA!H76</f>
        <v>44743</v>
      </c>
      <c r="I101" s="1148">
        <f>NOMINA!I77</f>
        <v>2</v>
      </c>
      <c r="J101" s="1149">
        <f>NOMINA!J77</f>
        <v>23</v>
      </c>
      <c r="K101" s="1148">
        <f t="shared" si="7"/>
        <v>25</v>
      </c>
      <c r="L101" s="1149" t="s">
        <v>4932</v>
      </c>
      <c r="M101" s="1149"/>
      <c r="N101" s="1573" t="str">
        <f>NOMINA!O76</f>
        <v>ENTRENADOR DEPORTIVO II</v>
      </c>
      <c r="O101" s="1149">
        <v>1.02087691000006E+18</v>
      </c>
      <c r="P101" s="1150">
        <f>ROUND(+NOMINA!T76,2)</f>
        <v>130</v>
      </c>
      <c r="Q101" s="1151">
        <v>0</v>
      </c>
      <c r="R101" s="1151">
        <f>ROUND(+NOMINA!AA76,2)</f>
        <v>2.6</v>
      </c>
      <c r="S101" s="1151">
        <f>ROUND(+NOMINA!AB76,2)</f>
        <v>130</v>
      </c>
      <c r="T101" s="1151">
        <f>ROUND(+NOMINA!AC76,2)</f>
        <v>0</v>
      </c>
      <c r="U101" s="1151">
        <f>ROUND(+NOMINA!AD76,2)</f>
        <v>0</v>
      </c>
      <c r="V101" s="1151">
        <f>ROUND(NOMINA!AQ76,2)</f>
        <v>0</v>
      </c>
      <c r="W101" s="1151">
        <f>+NOMINA!AS76</f>
        <v>0</v>
      </c>
      <c r="X101" s="1151">
        <f>+NOMINA!AT76</f>
        <v>0</v>
      </c>
      <c r="Y101" s="1151">
        <f>+NOMINA!AU76</f>
        <v>262.60000000000002</v>
      </c>
      <c r="Z101" s="1151">
        <f>+NOMINA!BX76</f>
        <v>492.38</v>
      </c>
      <c r="AA101" s="1151">
        <f>+NOMINA!BY76</f>
        <v>0</v>
      </c>
      <c r="AB101" s="1151">
        <f t="shared" si="8"/>
        <v>492.38</v>
      </c>
      <c r="AD101" s="634"/>
      <c r="AH101" s="1610" t="str">
        <f>NOMINA!P76</f>
        <v>01020373280000908380</v>
      </c>
    </row>
    <row r="102" spans="1:34" s="629" customFormat="1" ht="20.100000000000001" customHeight="1" thickBot="1">
      <c r="A102" s="770" t="s">
        <v>2846</v>
      </c>
      <c r="B102" s="771">
        <f t="shared" si="9"/>
        <v>35</v>
      </c>
      <c r="C102" s="1145">
        <f>NOMINA!C77</f>
        <v>10398694</v>
      </c>
      <c r="D102" s="1146" t="str">
        <f>NOMINA!D77</f>
        <v>Santana Briceño Jose Gregorio</v>
      </c>
      <c r="E102" s="1613" t="s">
        <v>4622</v>
      </c>
      <c r="F102" s="1153">
        <v>32351</v>
      </c>
      <c r="G102" s="1613" t="s">
        <v>4620</v>
      </c>
      <c r="H102" s="1572">
        <f>NOMINA!H77</f>
        <v>44743</v>
      </c>
      <c r="I102" s="1148">
        <f>NOMINA!I78</f>
        <v>17</v>
      </c>
      <c r="J102" s="1149">
        <f>NOMINA!J78</f>
        <v>0</v>
      </c>
      <c r="K102" s="1148">
        <f t="shared" si="7"/>
        <v>17</v>
      </c>
      <c r="L102" s="1149" t="s">
        <v>4932</v>
      </c>
      <c r="M102" s="1149"/>
      <c r="N102" s="1573" t="str">
        <f>NOMINA!O77</f>
        <v>Guia de Centro I</v>
      </c>
      <c r="O102" s="1149">
        <v>1.02087691000006E+18</v>
      </c>
      <c r="P102" s="1150">
        <f>ROUND(+NOMINA!T77,2)</f>
        <v>228</v>
      </c>
      <c r="Q102" s="1151">
        <v>0</v>
      </c>
      <c r="R102" s="1151">
        <f>ROUND(+NOMINA!AA77,2)</f>
        <v>68.400000000000006</v>
      </c>
      <c r="S102" s="1151">
        <f>ROUND(+NOMINA!AB77,2)</f>
        <v>130</v>
      </c>
      <c r="T102" s="1151">
        <f>ROUND(+NOMINA!AC77,2)</f>
        <v>0</v>
      </c>
      <c r="U102" s="1151">
        <f>ROUND(+NOMINA!AD77,2)</f>
        <v>85.28</v>
      </c>
      <c r="V102" s="1151">
        <f>ROUND(NOMINA!AQ77,2)</f>
        <v>0</v>
      </c>
      <c r="W102" s="1151">
        <f>+NOMINA!AS77</f>
        <v>0</v>
      </c>
      <c r="X102" s="1151">
        <f>+NOMINA!AT77</f>
        <v>0</v>
      </c>
      <c r="Y102" s="1151">
        <f>+NOMINA!AU77</f>
        <v>665.18000000000006</v>
      </c>
      <c r="Z102" s="1151">
        <f>+NOMINA!BX77</f>
        <v>1247.21</v>
      </c>
      <c r="AA102" s="1151">
        <f>+NOMINA!BY77</f>
        <v>0</v>
      </c>
      <c r="AB102" s="1151">
        <f t="shared" si="8"/>
        <v>1247.21</v>
      </c>
      <c r="AD102" s="634"/>
      <c r="AH102" s="1610" t="str">
        <f>NOMINA!P77</f>
        <v>01020373290000241267</v>
      </c>
    </row>
    <row r="103" spans="1:34" s="629" customFormat="1" ht="20.100000000000001" customHeight="1" thickBot="1">
      <c r="A103" s="770" t="s">
        <v>2846</v>
      </c>
      <c r="B103" s="771">
        <f t="shared" si="9"/>
        <v>36</v>
      </c>
      <c r="C103" s="1145">
        <f>NOMINA!C78</f>
        <v>10399064</v>
      </c>
      <c r="D103" s="1146" t="str">
        <f>NOMINA!D78</f>
        <v>Perdomo Perdomo Angela Aurora</v>
      </c>
      <c r="E103" s="1613" t="s">
        <v>4622</v>
      </c>
      <c r="F103" s="1153">
        <v>32351</v>
      </c>
      <c r="G103" s="1613" t="s">
        <v>4620</v>
      </c>
      <c r="H103" s="1572">
        <f>NOMINA!H78</f>
        <v>39328</v>
      </c>
      <c r="I103" s="1148">
        <f>NOMINA!I79</f>
        <v>12</v>
      </c>
      <c r="J103" s="1149">
        <f>NOMINA!J79</f>
        <v>0</v>
      </c>
      <c r="K103" s="1148">
        <f t="shared" si="7"/>
        <v>12</v>
      </c>
      <c r="L103" s="1149" t="s">
        <v>4932</v>
      </c>
      <c r="M103" s="1149"/>
      <c r="N103" s="1573" t="str">
        <f>NOMINA!O78</f>
        <v>Guia de Centro II</v>
      </c>
      <c r="O103" s="1149">
        <v>1.02087691000006E+18</v>
      </c>
      <c r="P103" s="1150">
        <f>ROUND(+NOMINA!T78,2)</f>
        <v>226</v>
      </c>
      <c r="Q103" s="1151">
        <v>0</v>
      </c>
      <c r="R103" s="1151">
        <f>ROUND(+NOMINA!AA78,2)</f>
        <v>47.91</v>
      </c>
      <c r="S103" s="1151">
        <f>ROUND(+NOMINA!AB78,2)</f>
        <v>130</v>
      </c>
      <c r="T103" s="1151">
        <f>ROUND(+NOMINA!AC78,2)</f>
        <v>0</v>
      </c>
      <c r="U103" s="1151">
        <f>ROUND(+NOMINA!AD78,2)</f>
        <v>80.78</v>
      </c>
      <c r="V103" s="1151">
        <f>ROUND(NOMINA!AQ78,2)</f>
        <v>0</v>
      </c>
      <c r="W103" s="1151">
        <f>+NOMINA!AS78</f>
        <v>0</v>
      </c>
      <c r="X103" s="1151">
        <f>+NOMINA!AT78</f>
        <v>0</v>
      </c>
      <c r="Y103" s="1151">
        <f>+NOMINA!AU78</f>
        <v>630.1</v>
      </c>
      <c r="Z103" s="1151">
        <f>+NOMINA!BX78</f>
        <v>1181.44</v>
      </c>
      <c r="AA103" s="1151">
        <f>+NOMINA!BY78</f>
        <v>0</v>
      </c>
      <c r="AB103" s="1151">
        <f t="shared" si="8"/>
        <v>1181.44</v>
      </c>
      <c r="AD103" s="634"/>
      <c r="AH103" s="1610" t="str">
        <f>NOMINA!P78</f>
        <v>01020373270000442040</v>
      </c>
    </row>
    <row r="104" spans="1:34" s="629" customFormat="1" ht="20.100000000000001" customHeight="1" thickBot="1">
      <c r="A104" s="770" t="s">
        <v>2846</v>
      </c>
      <c r="B104" s="771">
        <f t="shared" si="9"/>
        <v>37</v>
      </c>
      <c r="C104" s="1145">
        <f>NOMINA!C79</f>
        <v>10400214</v>
      </c>
      <c r="D104" s="1146" t="str">
        <f>NOMINA!D79</f>
        <v>Bastidas Yanitza Del Valle</v>
      </c>
      <c r="E104" s="1613" t="s">
        <v>4622</v>
      </c>
      <c r="F104" s="1153">
        <v>32351</v>
      </c>
      <c r="G104" s="1613" t="s">
        <v>4620</v>
      </c>
      <c r="H104" s="1572">
        <f>NOMINA!H79</f>
        <v>41153</v>
      </c>
      <c r="I104" s="1148">
        <f>NOMINA!I80</f>
        <v>17</v>
      </c>
      <c r="J104" s="1149">
        <f>NOMINA!J80</f>
        <v>0</v>
      </c>
      <c r="K104" s="1148">
        <f t="shared" si="7"/>
        <v>17</v>
      </c>
      <c r="L104" s="1149" t="s">
        <v>4932</v>
      </c>
      <c r="M104" s="1149"/>
      <c r="N104" s="1573" t="str">
        <f>NOMINA!O79</f>
        <v>Guia de Centro II</v>
      </c>
      <c r="O104" s="1149">
        <v>1.02087691000006E+18</v>
      </c>
      <c r="P104" s="1150">
        <f>ROUND(+NOMINA!T79,2)</f>
        <v>225</v>
      </c>
      <c r="Q104" s="1151">
        <v>0</v>
      </c>
      <c r="R104" s="1151">
        <f>ROUND(+NOMINA!AA79,2)</f>
        <v>31.05</v>
      </c>
      <c r="S104" s="1151">
        <f>ROUND(+NOMINA!AB79,2)</f>
        <v>130</v>
      </c>
      <c r="T104" s="1151">
        <f>ROUND(+NOMINA!AC79,2)</f>
        <v>0</v>
      </c>
      <c r="U104" s="1151">
        <f>ROUND(+NOMINA!AD79,2)</f>
        <v>77.209999999999994</v>
      </c>
      <c r="V104" s="1151">
        <f>ROUND(NOMINA!AQ79,2)</f>
        <v>0</v>
      </c>
      <c r="W104" s="1151">
        <f>+NOMINA!AS79</f>
        <v>0</v>
      </c>
      <c r="X104" s="1151">
        <f>+NOMINA!AT79</f>
        <v>0</v>
      </c>
      <c r="Y104" s="1151">
        <f>+NOMINA!AU79</f>
        <v>602.24</v>
      </c>
      <c r="Z104" s="1151">
        <f>+NOMINA!BX79</f>
        <v>1129.2</v>
      </c>
      <c r="AA104" s="1151">
        <f>+NOMINA!BY79</f>
        <v>0</v>
      </c>
      <c r="AB104" s="1151">
        <f t="shared" si="8"/>
        <v>1129.2</v>
      </c>
      <c r="AD104" s="634"/>
      <c r="AH104" s="1610" t="str">
        <f>NOMINA!P79</f>
        <v>01020373220000442079</v>
      </c>
    </row>
    <row r="105" spans="1:34" s="629" customFormat="1" ht="20.100000000000001" customHeight="1" thickBot="1">
      <c r="A105" s="770" t="s">
        <v>2846</v>
      </c>
      <c r="B105" s="771">
        <f t="shared" si="9"/>
        <v>38</v>
      </c>
      <c r="C105" s="1145">
        <f>NOMINA!C80</f>
        <v>10400365</v>
      </c>
      <c r="D105" s="1146" t="str">
        <f>NOMINA!D80</f>
        <v>Briceño Ruiz Sara Josefina</v>
      </c>
      <c r="E105" s="1613" t="s">
        <v>4622</v>
      </c>
      <c r="F105" s="1153">
        <v>32351</v>
      </c>
      <c r="G105" s="1613" t="s">
        <v>4620</v>
      </c>
      <c r="H105" s="1572">
        <f>NOMINA!H80</f>
        <v>39328</v>
      </c>
      <c r="I105" s="1148">
        <f>NOMINA!I81</f>
        <v>5</v>
      </c>
      <c r="J105" s="1149">
        <f>NOMINA!J81</f>
        <v>10</v>
      </c>
      <c r="K105" s="1148">
        <f t="shared" si="7"/>
        <v>15</v>
      </c>
      <c r="L105" s="1149" t="s">
        <v>4932</v>
      </c>
      <c r="M105" s="1149"/>
      <c r="N105" s="1573" t="str">
        <f>NOMINA!O80</f>
        <v>Supervisor de Servicios Generales IV</v>
      </c>
      <c r="O105" s="1149">
        <v>1.02087691000006E+18</v>
      </c>
      <c r="P105" s="1150">
        <f>ROUND(+NOMINA!T80,2)</f>
        <v>226</v>
      </c>
      <c r="Q105" s="1151">
        <v>0</v>
      </c>
      <c r="R105" s="1151">
        <f>ROUND(+NOMINA!AA80,2)</f>
        <v>47.91</v>
      </c>
      <c r="S105" s="1151">
        <f>ROUND(+NOMINA!AB80,2)</f>
        <v>130</v>
      </c>
      <c r="T105" s="1151">
        <f>ROUND(+NOMINA!AC80,2)</f>
        <v>0</v>
      </c>
      <c r="U105" s="1151">
        <f>ROUND(+NOMINA!AD80,2)</f>
        <v>80.78</v>
      </c>
      <c r="V105" s="1151">
        <f>ROUND(NOMINA!AQ80,2)</f>
        <v>0</v>
      </c>
      <c r="W105" s="1151">
        <f>+NOMINA!AS80</f>
        <v>0</v>
      </c>
      <c r="X105" s="1151">
        <f>+NOMINA!AT80</f>
        <v>0</v>
      </c>
      <c r="Y105" s="1151">
        <f>+NOMINA!AU80</f>
        <v>484.69</v>
      </c>
      <c r="Z105" s="1151">
        <f>+NOMINA!BX80</f>
        <v>908.8</v>
      </c>
      <c r="AA105" s="1151">
        <f>+NOMINA!BY80</f>
        <v>0</v>
      </c>
      <c r="AB105" s="1151">
        <f t="shared" si="8"/>
        <v>908.8</v>
      </c>
      <c r="AD105" s="634"/>
      <c r="AH105" s="1610" t="str">
        <f>NOMINA!P80</f>
        <v>01020373220000442082</v>
      </c>
    </row>
    <row r="106" spans="1:34" s="629" customFormat="1" ht="20.100000000000001" customHeight="1" thickBot="1">
      <c r="A106" s="770" t="s">
        <v>2846</v>
      </c>
      <c r="B106" s="771">
        <f t="shared" si="9"/>
        <v>39</v>
      </c>
      <c r="C106" s="1145">
        <f>NOMINA!C81</f>
        <v>10400876</v>
      </c>
      <c r="D106" s="1146" t="str">
        <f>NOMINA!D81</f>
        <v>Ramirez Vergara Graciela De Jesus</v>
      </c>
      <c r="E106" s="1613" t="s">
        <v>4622</v>
      </c>
      <c r="F106" s="1153">
        <v>32351</v>
      </c>
      <c r="G106" s="1613" t="s">
        <v>4620</v>
      </c>
      <c r="H106" s="1572">
        <f>NOMINA!H81</f>
        <v>43556</v>
      </c>
      <c r="I106" s="1148">
        <f>NOMINA!I82</f>
        <v>22</v>
      </c>
      <c r="J106" s="1149">
        <f>NOMINA!J82</f>
        <v>0</v>
      </c>
      <c r="K106" s="1148">
        <f t="shared" si="7"/>
        <v>22</v>
      </c>
      <c r="L106" s="1149" t="s">
        <v>4932</v>
      </c>
      <c r="M106" s="1149"/>
      <c r="N106" s="1573" t="str">
        <f>NOMINA!O81</f>
        <v>Analista de Procesamiento de Datos I</v>
      </c>
      <c r="O106" s="1149">
        <v>1.02087691000006E+18</v>
      </c>
      <c r="P106" s="1150">
        <f>ROUND(+NOMINA!T81,2)</f>
        <v>226</v>
      </c>
      <c r="Q106" s="1151">
        <v>0</v>
      </c>
      <c r="R106" s="1151">
        <f>ROUND(+NOMINA!AA81,2)</f>
        <v>40.68</v>
      </c>
      <c r="S106" s="1151">
        <f>ROUND(+NOMINA!AB81,2)</f>
        <v>130</v>
      </c>
      <c r="T106" s="1151">
        <f>ROUND(+NOMINA!AC81,2)</f>
        <v>0</v>
      </c>
      <c r="U106" s="1151">
        <f>ROUND(+NOMINA!AD81,2)</f>
        <v>79.34</v>
      </c>
      <c r="V106" s="1151">
        <f>ROUND(NOMINA!AQ81,2)</f>
        <v>0</v>
      </c>
      <c r="W106" s="1151">
        <f>+NOMINA!AS81</f>
        <v>0</v>
      </c>
      <c r="X106" s="1151">
        <f>+NOMINA!AT81</f>
        <v>0</v>
      </c>
      <c r="Y106" s="1151">
        <f>+NOMINA!AU81</f>
        <v>476.02</v>
      </c>
      <c r="Z106" s="1151">
        <f>+NOMINA!BX81</f>
        <v>892.54</v>
      </c>
      <c r="AA106" s="1151">
        <f>+NOMINA!BY81</f>
        <v>0</v>
      </c>
      <c r="AB106" s="1151">
        <f t="shared" si="8"/>
        <v>892.54</v>
      </c>
      <c r="AD106" s="634"/>
      <c r="AH106" s="1610" t="str">
        <f>NOMINA!P81</f>
        <v>01020373240000442095</v>
      </c>
    </row>
    <row r="107" spans="1:34" s="629" customFormat="1" ht="20.100000000000001" customHeight="1" thickBot="1">
      <c r="A107" s="770" t="s">
        <v>2846</v>
      </c>
      <c r="B107" s="771">
        <f t="shared" si="9"/>
        <v>40</v>
      </c>
      <c r="C107" s="1145">
        <f>NOMINA!C82</f>
        <v>10404528</v>
      </c>
      <c r="D107" s="1146" t="str">
        <f>NOMINA!D82</f>
        <v>Perez Castellano Javier Horacio</v>
      </c>
      <c r="E107" s="1613" t="s">
        <v>4622</v>
      </c>
      <c r="F107" s="1153">
        <v>32351</v>
      </c>
      <c r="G107" s="1613" t="s">
        <v>4620</v>
      </c>
      <c r="H107" s="1572">
        <f>NOMINA!H82</f>
        <v>37622</v>
      </c>
      <c r="I107" s="1148">
        <f>NOMINA!I83</f>
        <v>1</v>
      </c>
      <c r="J107" s="1149">
        <f>NOMINA!J83</f>
        <v>0</v>
      </c>
      <c r="K107" s="1148">
        <f t="shared" si="7"/>
        <v>1</v>
      </c>
      <c r="L107" s="1149" t="s">
        <v>4932</v>
      </c>
      <c r="M107" s="1149"/>
      <c r="N107" s="1573" t="str">
        <f>NOMINA!O82</f>
        <v>Administrador IV</v>
      </c>
      <c r="O107" s="1149">
        <v>1.02087691000006E+18</v>
      </c>
      <c r="P107" s="1150">
        <f>ROUND(+NOMINA!T82,2)</f>
        <v>0</v>
      </c>
      <c r="Q107" s="1151">
        <v>0</v>
      </c>
      <c r="R107" s="1151">
        <f>ROUND(+NOMINA!AA82,2)</f>
        <v>0</v>
      </c>
      <c r="S107" s="1151">
        <f>ROUND(+NOMINA!AB82,2)</f>
        <v>0</v>
      </c>
      <c r="T107" s="1151">
        <f>ROUND(+NOMINA!AC82,2)</f>
        <v>0</v>
      </c>
      <c r="U107" s="1151">
        <f>ROUND(+NOMINA!AD82,2)</f>
        <v>0</v>
      </c>
      <c r="V107" s="1151">
        <f>ROUND(NOMINA!AQ82,2)</f>
        <v>0</v>
      </c>
      <c r="W107" s="1151">
        <f>+NOMINA!AS82</f>
        <v>0</v>
      </c>
      <c r="X107" s="1151">
        <f>+NOMINA!AT82</f>
        <v>0</v>
      </c>
      <c r="Y107" s="1151">
        <f>+NOMINA!AU82</f>
        <v>0</v>
      </c>
      <c r="Z107" s="1151">
        <f>+NOMINA!BX82</f>
        <v>0</v>
      </c>
      <c r="AA107" s="1151">
        <f>+NOMINA!BY82</f>
        <v>0</v>
      </c>
      <c r="AB107" s="1151">
        <f t="shared" si="8"/>
        <v>0</v>
      </c>
      <c r="AD107" s="634"/>
      <c r="AH107" s="1610" t="str">
        <f>NOMINA!P82</f>
        <v>01020373260000442189</v>
      </c>
    </row>
    <row r="108" spans="1:34" s="629" customFormat="1" ht="20.100000000000001" customHeight="1" thickBot="1">
      <c r="A108" s="770" t="s">
        <v>2846</v>
      </c>
      <c r="B108" s="771">
        <f t="shared" si="9"/>
        <v>41</v>
      </c>
      <c r="C108" s="1145">
        <f>NOMINA!C83</f>
        <v>10906110</v>
      </c>
      <c r="D108" s="1146" t="str">
        <f>NOMINA!D83</f>
        <v>Linares Prato Yraima Gregoria</v>
      </c>
      <c r="E108" s="1613" t="s">
        <v>4622</v>
      </c>
      <c r="F108" s="1153">
        <v>32351</v>
      </c>
      <c r="G108" s="1613" t="s">
        <v>4620</v>
      </c>
      <c r="H108" s="1572">
        <f>NOMINA!H83</f>
        <v>45292</v>
      </c>
      <c r="I108" s="1148">
        <f>NOMINA!I84</f>
        <v>2</v>
      </c>
      <c r="J108" s="1149">
        <f>NOMINA!J84</f>
        <v>0</v>
      </c>
      <c r="K108" s="1148">
        <f t="shared" si="7"/>
        <v>2</v>
      </c>
      <c r="L108" s="1149" t="s">
        <v>4932</v>
      </c>
      <c r="M108" s="1149"/>
      <c r="N108" s="1573" t="str">
        <f>NOMINA!O83</f>
        <v>Guia de Centro I</v>
      </c>
      <c r="O108" s="1149">
        <v>1.02087691000006E+18</v>
      </c>
      <c r="P108" s="1150">
        <f>ROUND(+NOMINA!T83,2)</f>
        <v>130</v>
      </c>
      <c r="Q108" s="1151">
        <v>0</v>
      </c>
      <c r="R108" s="1151">
        <f>ROUND(+NOMINA!AA83,2)</f>
        <v>1.3</v>
      </c>
      <c r="S108" s="1151">
        <f>ROUND(+NOMINA!AB83,2)</f>
        <v>130</v>
      </c>
      <c r="T108" s="1151">
        <f>ROUND(+NOMINA!AC83,2)</f>
        <v>0</v>
      </c>
      <c r="U108" s="1151">
        <f>ROUND(+NOMINA!AD83,2)</f>
        <v>0</v>
      </c>
      <c r="V108" s="1151">
        <f>ROUND(NOMINA!AQ83,2)</f>
        <v>0</v>
      </c>
      <c r="W108" s="1151">
        <f>+NOMINA!AS83</f>
        <v>0</v>
      </c>
      <c r="X108" s="1151">
        <f>+NOMINA!AT83</f>
        <v>0</v>
      </c>
      <c r="Y108" s="1151">
        <f>+NOMINA!AU83</f>
        <v>339.69</v>
      </c>
      <c r="Z108" s="1151">
        <f>+NOMINA!BX83</f>
        <v>636.91999999999996</v>
      </c>
      <c r="AA108" s="1151">
        <f>+NOMINA!BY83</f>
        <v>0</v>
      </c>
      <c r="AB108" s="1151">
        <f t="shared" si="8"/>
        <v>636.91999999999996</v>
      </c>
      <c r="AD108" s="634"/>
      <c r="AH108" s="1610" t="str">
        <f>NOMINA!P83</f>
        <v>01020494190100024136</v>
      </c>
    </row>
    <row r="109" spans="1:34" s="629" customFormat="1" ht="20.100000000000001" customHeight="1" thickBot="1">
      <c r="A109" s="770" t="s">
        <v>2846</v>
      </c>
      <c r="B109" s="771">
        <f t="shared" si="9"/>
        <v>42</v>
      </c>
      <c r="C109" s="1145">
        <f>NOMINA!C84</f>
        <v>10906923</v>
      </c>
      <c r="D109" s="1146" t="str">
        <f>NOMINA!D84</f>
        <v>Cruz de Rodriguez Yanet Coromoto</v>
      </c>
      <c r="E109" s="1613" t="s">
        <v>4622</v>
      </c>
      <c r="F109" s="1153">
        <v>32351</v>
      </c>
      <c r="G109" s="1613" t="s">
        <v>4620</v>
      </c>
      <c r="H109" s="1572">
        <f>NOMINA!H84</f>
        <v>44636</v>
      </c>
      <c r="I109" s="1148">
        <f>NOMINA!I85</f>
        <v>15</v>
      </c>
      <c r="J109" s="1149">
        <f>NOMINA!J85</f>
        <v>6</v>
      </c>
      <c r="K109" s="1148">
        <f t="shared" si="7"/>
        <v>21</v>
      </c>
      <c r="L109" s="1149" t="s">
        <v>4932</v>
      </c>
      <c r="M109" s="1149"/>
      <c r="N109" s="1573" t="str">
        <f>NOMINA!O84</f>
        <v>Guia de Centro I</v>
      </c>
      <c r="O109" s="1149">
        <v>1.02087691000006E+18</v>
      </c>
      <c r="P109" s="1150">
        <f>ROUND(+NOMINA!T84,2)</f>
        <v>192</v>
      </c>
      <c r="Q109" s="1151">
        <v>0</v>
      </c>
      <c r="R109" s="1151">
        <f>ROUND(+NOMINA!AA84,2)</f>
        <v>3.84</v>
      </c>
      <c r="S109" s="1151">
        <f>ROUND(+NOMINA!AB84,2)</f>
        <v>130</v>
      </c>
      <c r="T109" s="1151">
        <f>ROUND(+NOMINA!AC84,2)</f>
        <v>12.5</v>
      </c>
      <c r="U109" s="1151">
        <f>ROUND(+NOMINA!AD84,2)</f>
        <v>67.67</v>
      </c>
      <c r="V109" s="1151">
        <f>ROUND(NOMINA!AQ84,2)</f>
        <v>0</v>
      </c>
      <c r="W109" s="1151">
        <f>+NOMINA!AS84</f>
        <v>0</v>
      </c>
      <c r="X109" s="1151">
        <f>+NOMINA!AT84</f>
        <v>12.5</v>
      </c>
      <c r="Y109" s="1151">
        <f>+NOMINA!AU84</f>
        <v>406.01</v>
      </c>
      <c r="Z109" s="1151">
        <f>+NOMINA!BX84</f>
        <v>761.27</v>
      </c>
      <c r="AA109" s="1151">
        <f>+NOMINA!BY84</f>
        <v>0</v>
      </c>
      <c r="AB109" s="1151">
        <f t="shared" si="8"/>
        <v>761.27</v>
      </c>
      <c r="AD109" s="634"/>
      <c r="AH109" s="1610" t="str">
        <f>NOMINA!P84</f>
        <v>01020373230000232797</v>
      </c>
    </row>
    <row r="110" spans="1:34" s="629" customFormat="1" ht="20.100000000000001" customHeight="1" thickBot="1">
      <c r="A110" s="770" t="s">
        <v>2846</v>
      </c>
      <c r="B110" s="771">
        <f t="shared" si="9"/>
        <v>43</v>
      </c>
      <c r="C110" s="1145">
        <f>NOMINA!C85</f>
        <v>10908510</v>
      </c>
      <c r="D110" s="1146" t="str">
        <f>NOMINA!D85</f>
        <v>Castro de Vielma Yanira Rosa</v>
      </c>
      <c r="E110" s="1613" t="s">
        <v>4622</v>
      </c>
      <c r="F110" s="1153">
        <v>32351</v>
      </c>
      <c r="G110" s="1613" t="s">
        <v>4620</v>
      </c>
      <c r="H110" s="1572">
        <f>NOMINA!H85</f>
        <v>39874</v>
      </c>
      <c r="I110" s="1148">
        <f>NOMINA!I86</f>
        <v>26</v>
      </c>
      <c r="J110" s="1149">
        <f>NOMINA!J86</f>
        <v>0</v>
      </c>
      <c r="K110" s="1148">
        <f t="shared" si="7"/>
        <v>26</v>
      </c>
      <c r="L110" s="1149" t="s">
        <v>4932</v>
      </c>
      <c r="M110" s="1149"/>
      <c r="N110" s="1573" t="str">
        <f>NOMINA!O85</f>
        <v>Jefe de Centro</v>
      </c>
      <c r="O110" s="1149">
        <v>1.02087691000006E+18</v>
      </c>
      <c r="P110" s="1150">
        <f>ROUND(+NOMINA!T85,2)</f>
        <v>287</v>
      </c>
      <c r="Q110" s="1151">
        <v>0</v>
      </c>
      <c r="R110" s="1151">
        <f>ROUND(+NOMINA!AA85,2)</f>
        <v>79.790000000000006</v>
      </c>
      <c r="S110" s="1151">
        <f>ROUND(+NOMINA!AB85,2)</f>
        <v>130</v>
      </c>
      <c r="T110" s="1151">
        <f>ROUND(+NOMINA!AC85,2)</f>
        <v>0</v>
      </c>
      <c r="U110" s="1151">
        <f>ROUND(+NOMINA!AD85,2)</f>
        <v>124.2</v>
      </c>
      <c r="V110" s="1151">
        <f>ROUND(NOMINA!AQ85,2)</f>
        <v>0</v>
      </c>
      <c r="W110" s="1151">
        <f>+NOMINA!AS85</f>
        <v>0</v>
      </c>
      <c r="X110" s="1151">
        <f>+NOMINA!AT85</f>
        <v>0</v>
      </c>
      <c r="Y110" s="1151">
        <f>+NOMINA!AU85</f>
        <v>620.99</v>
      </c>
      <c r="Z110" s="1151">
        <f>+NOMINA!BX85</f>
        <v>1164.3599999999999</v>
      </c>
      <c r="AA110" s="1151">
        <f>+NOMINA!BY85</f>
        <v>0</v>
      </c>
      <c r="AB110" s="1151">
        <f t="shared" si="8"/>
        <v>1164.3599999999999</v>
      </c>
      <c r="AD110" s="634"/>
      <c r="AH110" s="1610" t="str">
        <f>NOMINA!P85</f>
        <v>01020373220000442244</v>
      </c>
    </row>
    <row r="111" spans="1:34" s="629" customFormat="1" ht="20.100000000000001" customHeight="1" thickBot="1">
      <c r="A111" s="770" t="s">
        <v>2846</v>
      </c>
      <c r="B111" s="771">
        <f t="shared" si="9"/>
        <v>44</v>
      </c>
      <c r="C111" s="1145">
        <f>NOMINA!C86</f>
        <v>10909245</v>
      </c>
      <c r="D111" s="1146" t="str">
        <f>NOMINA!D86</f>
        <v>Delduca Moreno Luisa</v>
      </c>
      <c r="E111" s="1613" t="s">
        <v>4622</v>
      </c>
      <c r="F111" s="1153">
        <v>32351</v>
      </c>
      <c r="G111" s="1613" t="s">
        <v>4620</v>
      </c>
      <c r="H111" s="1572">
        <f>NOMINA!H86</f>
        <v>36054</v>
      </c>
      <c r="I111" s="1148">
        <f>NOMINA!I87</f>
        <v>4</v>
      </c>
      <c r="J111" s="1149">
        <f>NOMINA!J87</f>
        <v>0</v>
      </c>
      <c r="K111" s="1148">
        <f t="shared" si="7"/>
        <v>4</v>
      </c>
      <c r="L111" s="1149" t="s">
        <v>4932</v>
      </c>
      <c r="M111" s="1149"/>
      <c r="N111" s="1573" t="str">
        <f>NOMINA!O86</f>
        <v>Guia de Centro II</v>
      </c>
      <c r="O111" s="1149">
        <v>1.02087691000006E+18</v>
      </c>
      <c r="P111" s="1150">
        <f>ROUND(+NOMINA!T86,2)</f>
        <v>228</v>
      </c>
      <c r="Q111" s="1151">
        <v>0</v>
      </c>
      <c r="R111" s="1151">
        <f>ROUND(+NOMINA!AA86,2)</f>
        <v>68.400000000000006</v>
      </c>
      <c r="S111" s="1151">
        <f>ROUND(+NOMINA!AB86,2)</f>
        <v>130</v>
      </c>
      <c r="T111" s="1151">
        <f>ROUND(+NOMINA!AC86,2)</f>
        <v>0</v>
      </c>
      <c r="U111" s="1151">
        <f>ROUND(+NOMINA!AD86,2)</f>
        <v>85.28</v>
      </c>
      <c r="V111" s="1151">
        <f>ROUND(NOMINA!AQ86,2)</f>
        <v>0</v>
      </c>
      <c r="W111" s="1151">
        <f>+NOMINA!AS86</f>
        <v>0</v>
      </c>
      <c r="X111" s="1151">
        <f>+NOMINA!AT86</f>
        <v>0</v>
      </c>
      <c r="Y111" s="1151">
        <f>+NOMINA!AU86</f>
        <v>665.18000000000006</v>
      </c>
      <c r="Z111" s="1151">
        <f>+NOMINA!BX86</f>
        <v>1247.21</v>
      </c>
      <c r="AA111" s="1151">
        <f>+NOMINA!BY86</f>
        <v>0</v>
      </c>
      <c r="AB111" s="1151">
        <f t="shared" si="8"/>
        <v>1247.21</v>
      </c>
      <c r="AD111" s="634"/>
      <c r="AH111" s="1610" t="str">
        <f>NOMINA!P86</f>
        <v>01020373240000442260</v>
      </c>
    </row>
    <row r="112" spans="1:34" s="629" customFormat="1" ht="20.100000000000001" customHeight="1" thickBot="1">
      <c r="A112" s="770" t="s">
        <v>2846</v>
      </c>
      <c r="B112" s="771">
        <f t="shared" si="9"/>
        <v>45</v>
      </c>
      <c r="C112" s="1145">
        <f>NOMINA!C87</f>
        <v>10910698</v>
      </c>
      <c r="D112" s="1146" t="str">
        <f>NOMINA!D87</f>
        <v>Rangel Briceño Marcial Segundo</v>
      </c>
      <c r="E112" s="1613" t="s">
        <v>4622</v>
      </c>
      <c r="F112" s="1153">
        <v>32351</v>
      </c>
      <c r="G112" s="1613" t="s">
        <v>4620</v>
      </c>
      <c r="H112" s="1572">
        <f>NOMINA!H87</f>
        <v>43891</v>
      </c>
      <c r="I112" s="1148">
        <f>NOMINA!I88</f>
        <v>26</v>
      </c>
      <c r="J112" s="1149">
        <f>NOMINA!J88</f>
        <v>0</v>
      </c>
      <c r="K112" s="1148">
        <f t="shared" si="7"/>
        <v>26</v>
      </c>
      <c r="L112" s="1149" t="s">
        <v>4932</v>
      </c>
      <c r="M112" s="1149"/>
      <c r="N112" s="1573" t="str">
        <f>NOMINA!O87</f>
        <v>Asistente Administrativo II</v>
      </c>
      <c r="O112" s="1149">
        <v>1.02087691000006E+18</v>
      </c>
      <c r="P112" s="1150">
        <f>ROUND(+NOMINA!T87,2)</f>
        <v>150</v>
      </c>
      <c r="Q112" s="1151">
        <v>0</v>
      </c>
      <c r="R112" s="1151">
        <f>ROUND(+NOMINA!AA87,2)</f>
        <v>6</v>
      </c>
      <c r="S112" s="1151">
        <f>ROUND(+NOMINA!AB87,2)</f>
        <v>130</v>
      </c>
      <c r="T112" s="1151">
        <f>ROUND(+NOMINA!AC87,2)</f>
        <v>0</v>
      </c>
      <c r="U112" s="1151">
        <f>ROUND(+NOMINA!AD87,2)</f>
        <v>0</v>
      </c>
      <c r="V112" s="1151">
        <f>ROUND(NOMINA!AQ87,2)</f>
        <v>0</v>
      </c>
      <c r="W112" s="1151">
        <f>+NOMINA!AS87</f>
        <v>0</v>
      </c>
      <c r="X112" s="1151">
        <f>+NOMINA!AT87</f>
        <v>0</v>
      </c>
      <c r="Y112" s="1151">
        <f>+NOMINA!AU87</f>
        <v>286</v>
      </c>
      <c r="Z112" s="1151">
        <f>+NOMINA!BX87</f>
        <v>536.25</v>
      </c>
      <c r="AA112" s="1151">
        <f>+NOMINA!BY87</f>
        <v>0</v>
      </c>
      <c r="AB112" s="1151">
        <f t="shared" si="8"/>
        <v>536.25</v>
      </c>
      <c r="AD112" s="634"/>
      <c r="AH112" s="1610" t="str">
        <f>NOMINA!P87</f>
        <v>01020346550106621985</v>
      </c>
    </row>
    <row r="113" spans="1:34" s="629" customFormat="1" ht="20.100000000000001" customHeight="1" thickBot="1">
      <c r="A113" s="770" t="s">
        <v>2846</v>
      </c>
      <c r="B113" s="771">
        <f t="shared" si="9"/>
        <v>46</v>
      </c>
      <c r="C113" s="1145">
        <f>NOMINA!C88</f>
        <v>10912595</v>
      </c>
      <c r="D113" s="1146" t="str">
        <f>NOMINA!D88</f>
        <v>Delfin Bustos Jose Hercilio</v>
      </c>
      <c r="E113" s="1613" t="s">
        <v>4622</v>
      </c>
      <c r="F113" s="1153">
        <v>32351</v>
      </c>
      <c r="G113" s="1613" t="s">
        <v>4620</v>
      </c>
      <c r="H113" s="1572">
        <f>NOMINA!H88</f>
        <v>36039</v>
      </c>
      <c r="I113" s="1148">
        <f>NOMINA!I89</f>
        <v>2</v>
      </c>
      <c r="J113" s="1149">
        <f>NOMINA!J89</f>
        <v>9</v>
      </c>
      <c r="K113" s="1148">
        <f t="shared" si="7"/>
        <v>11</v>
      </c>
      <c r="L113" s="1149" t="s">
        <v>4932</v>
      </c>
      <c r="M113" s="1149"/>
      <c r="N113" s="1573" t="str">
        <f>NOMINA!O88</f>
        <v>Guia de Centro II</v>
      </c>
      <c r="O113" s="1149">
        <v>1.02087691000006E+18</v>
      </c>
      <c r="P113" s="1150">
        <f>ROUND(+NOMINA!T88,2)</f>
        <v>0</v>
      </c>
      <c r="Q113" s="1151">
        <v>0</v>
      </c>
      <c r="R113" s="1151">
        <f>ROUND(+NOMINA!AA88,2)</f>
        <v>0</v>
      </c>
      <c r="S113" s="1151">
        <f>ROUND(+NOMINA!AB88,2)</f>
        <v>0</v>
      </c>
      <c r="T113" s="1151">
        <f>ROUND(+NOMINA!AC88,2)</f>
        <v>0</v>
      </c>
      <c r="U113" s="1151">
        <f>ROUND(+NOMINA!AD88,2)</f>
        <v>0</v>
      </c>
      <c r="V113" s="1151">
        <f>ROUND(NOMINA!AQ88,2)</f>
        <v>0</v>
      </c>
      <c r="W113" s="1151">
        <f>+NOMINA!AS88</f>
        <v>0</v>
      </c>
      <c r="X113" s="1151">
        <f>+NOMINA!AT88</f>
        <v>0</v>
      </c>
      <c r="Y113" s="1151">
        <f>+NOMINA!AU88</f>
        <v>0</v>
      </c>
      <c r="Z113" s="1151">
        <f>+NOMINA!BX88</f>
        <v>0</v>
      </c>
      <c r="AA113" s="1151">
        <f>+NOMINA!BY88</f>
        <v>0</v>
      </c>
      <c r="AB113" s="1151">
        <f t="shared" si="8"/>
        <v>0</v>
      </c>
      <c r="AD113" s="634"/>
      <c r="AH113" s="1610" t="str">
        <f>NOMINA!P88</f>
        <v>01020373200000442299</v>
      </c>
    </row>
    <row r="114" spans="1:34" s="629" customFormat="1" ht="20.100000000000001" customHeight="1" thickBot="1">
      <c r="A114" s="770" t="s">
        <v>2846</v>
      </c>
      <c r="B114" s="771">
        <f t="shared" si="9"/>
        <v>47</v>
      </c>
      <c r="C114" s="1145">
        <f>NOMINA!C89</f>
        <v>10913178</v>
      </c>
      <c r="D114" s="1146" t="str">
        <f>NOMINA!D89</f>
        <v>Garcia Moreno Iris Josefina</v>
      </c>
      <c r="E114" s="1613" t="s">
        <v>4622</v>
      </c>
      <c r="F114" s="1153">
        <v>32351</v>
      </c>
      <c r="G114" s="1613" t="s">
        <v>4620</v>
      </c>
      <c r="H114" s="1572">
        <f>NOMINA!H89</f>
        <v>44805</v>
      </c>
      <c r="I114" s="1148">
        <f>NOMINA!I90</f>
        <v>13</v>
      </c>
      <c r="J114" s="1149">
        <f>NOMINA!J90</f>
        <v>0</v>
      </c>
      <c r="K114" s="1148">
        <f t="shared" si="7"/>
        <v>13</v>
      </c>
      <c r="L114" s="1149" t="s">
        <v>4932</v>
      </c>
      <c r="M114" s="1149"/>
      <c r="N114" s="1573" t="str">
        <f>NOMINA!O89</f>
        <v>Asistente de Servicio Social</v>
      </c>
      <c r="O114" s="1149">
        <v>1.02087691000006E+18</v>
      </c>
      <c r="P114" s="1150">
        <f>ROUND(+NOMINA!T89,2)</f>
        <v>172</v>
      </c>
      <c r="Q114" s="1151">
        <v>0</v>
      </c>
      <c r="R114" s="1151">
        <f>ROUND(+NOMINA!AA89,2)</f>
        <v>21.33</v>
      </c>
      <c r="S114" s="1151">
        <f>ROUND(+NOMINA!AB89,2)</f>
        <v>130</v>
      </c>
      <c r="T114" s="1151">
        <f>ROUND(+NOMINA!AC89,2)</f>
        <v>0</v>
      </c>
      <c r="U114" s="1151">
        <f>ROUND(+NOMINA!AD89,2)</f>
        <v>0</v>
      </c>
      <c r="V114" s="1151">
        <f>ROUND(NOMINA!AQ89,2)</f>
        <v>0</v>
      </c>
      <c r="W114" s="1151">
        <f>+NOMINA!AS89</f>
        <v>0</v>
      </c>
      <c r="X114" s="1151">
        <f>+NOMINA!AT89</f>
        <v>0</v>
      </c>
      <c r="Y114" s="1151">
        <f>+NOMINA!AU89</f>
        <v>323.33</v>
      </c>
      <c r="Z114" s="1151">
        <f>+NOMINA!BX89</f>
        <v>606.25</v>
      </c>
      <c r="AA114" s="1151">
        <f>+NOMINA!BY89</f>
        <v>0</v>
      </c>
      <c r="AB114" s="1151">
        <f t="shared" si="8"/>
        <v>606.25</v>
      </c>
      <c r="AD114" s="634"/>
      <c r="AH114" s="1610" t="str">
        <f>NOMINA!P89</f>
        <v>01020373210000442309</v>
      </c>
    </row>
    <row r="115" spans="1:34" s="629" customFormat="1" ht="20.100000000000001" customHeight="1" thickBot="1">
      <c r="A115" s="770" t="s">
        <v>2846</v>
      </c>
      <c r="B115" s="771">
        <f t="shared" si="9"/>
        <v>48</v>
      </c>
      <c r="C115" s="1145">
        <f>NOMINA!C90</f>
        <v>10913637</v>
      </c>
      <c r="D115" s="1146" t="str">
        <f>NOMINA!D90</f>
        <v>Angarita Hernandez Ana Del Carmen</v>
      </c>
      <c r="E115" s="1613" t="s">
        <v>4622</v>
      </c>
      <c r="F115" s="1153">
        <v>32351</v>
      </c>
      <c r="G115" s="1613" t="s">
        <v>4620</v>
      </c>
      <c r="H115" s="1572">
        <f>NOMINA!H90</f>
        <v>40664</v>
      </c>
      <c r="I115" s="1148">
        <f>NOMINA!I91</f>
        <v>28</v>
      </c>
      <c r="J115" s="1149">
        <f>NOMINA!J91</f>
        <v>0</v>
      </c>
      <c r="K115" s="1148">
        <f t="shared" si="7"/>
        <v>28</v>
      </c>
      <c r="L115" s="1149" t="s">
        <v>4932</v>
      </c>
      <c r="M115" s="1149"/>
      <c r="N115" s="1573" t="str">
        <f>NOMINA!O90</f>
        <v>Guia de Centro II</v>
      </c>
      <c r="O115" s="1149">
        <v>1.02087691000006E+18</v>
      </c>
      <c r="P115" s="1150">
        <f>ROUND(+NOMINA!T90,2)</f>
        <v>283</v>
      </c>
      <c r="Q115" s="1151">
        <v>0</v>
      </c>
      <c r="R115" s="1151">
        <f>ROUND(+NOMINA!AA90,2)</f>
        <v>43.02</v>
      </c>
      <c r="S115" s="1151">
        <f>ROUND(+NOMINA!AB90,2)</f>
        <v>130</v>
      </c>
      <c r="T115" s="1151">
        <f>ROUND(+NOMINA!AC90,2)</f>
        <v>0</v>
      </c>
      <c r="U115" s="1151">
        <f>ROUND(+NOMINA!AD90,2)</f>
        <v>114.01</v>
      </c>
      <c r="V115" s="1151">
        <f>ROUND(NOMINA!AQ90,2)</f>
        <v>0</v>
      </c>
      <c r="W115" s="1151">
        <f>+NOMINA!AS90</f>
        <v>0</v>
      </c>
      <c r="X115" s="1151">
        <f>+NOMINA!AT90</f>
        <v>0</v>
      </c>
      <c r="Y115" s="1151">
        <f>+NOMINA!AU90</f>
        <v>741.04</v>
      </c>
      <c r="Z115" s="1151">
        <f>+NOMINA!BX90</f>
        <v>1389.45</v>
      </c>
      <c r="AA115" s="1151">
        <f>+NOMINA!BY90</f>
        <v>0</v>
      </c>
      <c r="AB115" s="1151">
        <f t="shared" si="8"/>
        <v>1389.45</v>
      </c>
      <c r="AD115" s="634"/>
      <c r="AH115" s="1610" t="str">
        <f>NOMINA!P90</f>
        <v>01020373210000442312</v>
      </c>
    </row>
    <row r="116" spans="1:34" s="629" customFormat="1" ht="20.100000000000001" customHeight="1" thickBot="1">
      <c r="A116" s="770" t="s">
        <v>2846</v>
      </c>
      <c r="B116" s="771">
        <f t="shared" si="9"/>
        <v>49</v>
      </c>
      <c r="C116" s="1145">
        <f>NOMINA!C91</f>
        <v>10915223</v>
      </c>
      <c r="D116" s="1146" t="str">
        <f>NOMINA!D91</f>
        <v>Contreras Rojo Gerardo Alexander</v>
      </c>
      <c r="E116" s="1613" t="s">
        <v>4622</v>
      </c>
      <c r="F116" s="1153">
        <v>32351</v>
      </c>
      <c r="G116" s="1613" t="s">
        <v>4620</v>
      </c>
      <c r="H116" s="1572">
        <f>NOMINA!H91</f>
        <v>35339</v>
      </c>
      <c r="I116" s="1148">
        <f>NOMINA!I92</f>
        <v>6</v>
      </c>
      <c r="J116" s="1149">
        <f>NOMINA!J92</f>
        <v>0</v>
      </c>
      <c r="K116" s="1148">
        <f t="shared" si="7"/>
        <v>6</v>
      </c>
      <c r="L116" s="1149" t="s">
        <v>4932</v>
      </c>
      <c r="M116" s="1149"/>
      <c r="N116" s="1573" t="str">
        <f>NOMINA!O91</f>
        <v>Tutor Facilitador III</v>
      </c>
      <c r="O116" s="1149">
        <v>1.02087691000006E+18</v>
      </c>
      <c r="P116" s="1150">
        <f>ROUND(+NOMINA!T91,2)</f>
        <v>316</v>
      </c>
      <c r="Q116" s="1151">
        <v>0</v>
      </c>
      <c r="R116" s="1151">
        <f>ROUND(+NOMINA!AA91,2)</f>
        <v>94.8</v>
      </c>
      <c r="S116" s="1151">
        <f>ROUND(+NOMINA!AB91,2)</f>
        <v>130</v>
      </c>
      <c r="T116" s="1151">
        <f>ROUND(+NOMINA!AC91,2)</f>
        <v>0</v>
      </c>
      <c r="U116" s="1151">
        <f>ROUND(+NOMINA!AD91,2)</f>
        <v>189.28</v>
      </c>
      <c r="V116" s="1151">
        <f>ROUND(NOMINA!AQ91,2)</f>
        <v>0</v>
      </c>
      <c r="W116" s="1151">
        <f>+NOMINA!AS91</f>
        <v>0</v>
      </c>
      <c r="X116" s="1151">
        <f>+NOMINA!AT91</f>
        <v>0</v>
      </c>
      <c r="Y116" s="1151">
        <f>+NOMINA!AU91</f>
        <v>730.08</v>
      </c>
      <c r="Z116" s="1151">
        <f>+NOMINA!BX91</f>
        <v>1368.9</v>
      </c>
      <c r="AA116" s="1151">
        <f>+NOMINA!BY91</f>
        <v>0</v>
      </c>
      <c r="AB116" s="1151">
        <f t="shared" si="8"/>
        <v>1368.9</v>
      </c>
      <c r="AD116" s="634"/>
      <c r="AH116" s="1610" t="str">
        <f>NOMINA!P91</f>
        <v>01020373220000442325</v>
      </c>
    </row>
    <row r="117" spans="1:34" s="629" customFormat="1" ht="20.100000000000001" customHeight="1" thickBot="1">
      <c r="A117" s="770" t="s">
        <v>2846</v>
      </c>
      <c r="B117" s="771">
        <f t="shared" si="9"/>
        <v>50</v>
      </c>
      <c r="C117" s="1145">
        <f>NOMINA!C92</f>
        <v>10915384</v>
      </c>
      <c r="D117" s="1146" t="str">
        <f>NOMINA!D92</f>
        <v>Rojas Hernandez Morela Del Carmen</v>
      </c>
      <c r="E117" s="1613" t="s">
        <v>4622</v>
      </c>
      <c r="F117" s="1153">
        <v>32351</v>
      </c>
      <c r="G117" s="1613" t="s">
        <v>4620</v>
      </c>
      <c r="H117" s="1572">
        <f>NOMINA!H92</f>
        <v>43147</v>
      </c>
      <c r="I117" s="1148">
        <f>NOMINA!I93</f>
        <v>3</v>
      </c>
      <c r="J117" s="1149">
        <f>NOMINA!J93</f>
        <v>0</v>
      </c>
      <c r="K117" s="1148">
        <f t="shared" si="7"/>
        <v>3</v>
      </c>
      <c r="L117" s="1149" t="s">
        <v>4932</v>
      </c>
      <c r="M117" s="1149"/>
      <c r="N117" s="1573" t="str">
        <f>NOMINA!O92</f>
        <v>Guia de Centro II</v>
      </c>
      <c r="O117" s="1149">
        <v>1.02087691000006E+18</v>
      </c>
      <c r="P117" s="1150">
        <f>ROUND(+NOMINA!T92,2)</f>
        <v>221</v>
      </c>
      <c r="Q117" s="1151">
        <v>0</v>
      </c>
      <c r="R117" s="1151">
        <f>ROUND(+NOMINA!AA92,2)</f>
        <v>13.7</v>
      </c>
      <c r="S117" s="1151">
        <f>ROUND(+NOMINA!AB92,2)</f>
        <v>130</v>
      </c>
      <c r="T117" s="1151">
        <f>ROUND(+NOMINA!AC92,2)</f>
        <v>0</v>
      </c>
      <c r="U117" s="1151">
        <f>ROUND(+NOMINA!AD92,2)</f>
        <v>72.94</v>
      </c>
      <c r="V117" s="1151">
        <f>ROUND(NOMINA!AQ92,2)</f>
        <v>0</v>
      </c>
      <c r="W117" s="1151">
        <f>+NOMINA!AS92</f>
        <v>0</v>
      </c>
      <c r="X117" s="1151">
        <f>+NOMINA!AT92</f>
        <v>0</v>
      </c>
      <c r="Y117" s="1151">
        <f>+NOMINA!AU92</f>
        <v>568.92999999999995</v>
      </c>
      <c r="Z117" s="1151">
        <f>+NOMINA!BX92</f>
        <v>1066.75</v>
      </c>
      <c r="AA117" s="1151">
        <f>+NOMINA!BY92</f>
        <v>0</v>
      </c>
      <c r="AB117" s="1151">
        <f t="shared" si="8"/>
        <v>1066.75</v>
      </c>
      <c r="AD117" s="634"/>
      <c r="AH117" s="1610" t="str">
        <f>NOMINA!P92</f>
        <v>01020373280000536121</v>
      </c>
    </row>
    <row r="118" spans="1:34" s="629" customFormat="1" ht="20.100000000000001" customHeight="1" thickBot="1">
      <c r="A118" s="770" t="s">
        <v>2846</v>
      </c>
      <c r="B118" s="771">
        <f t="shared" si="9"/>
        <v>51</v>
      </c>
      <c r="C118" s="1145">
        <f>NOMINA!C93</f>
        <v>10915597</v>
      </c>
      <c r="D118" s="1146" t="str">
        <f>NOMINA!D93</f>
        <v>Carrillo Altuve Maria Mercedes</v>
      </c>
      <c r="E118" s="1613" t="s">
        <v>4622</v>
      </c>
      <c r="F118" s="1153">
        <v>32351</v>
      </c>
      <c r="G118" s="1613" t="s">
        <v>4620</v>
      </c>
      <c r="H118" s="1572">
        <f>NOMINA!H93</f>
        <v>44501</v>
      </c>
      <c r="I118" s="1148">
        <f>NOMINA!I94</f>
        <v>1</v>
      </c>
      <c r="J118" s="1149">
        <f>NOMINA!J94</f>
        <v>23</v>
      </c>
      <c r="K118" s="1148">
        <f t="shared" si="7"/>
        <v>24</v>
      </c>
      <c r="L118" s="1149" t="s">
        <v>4932</v>
      </c>
      <c r="M118" s="1149"/>
      <c r="N118" s="1573" t="str">
        <f>NOMINA!O93</f>
        <v>Guia de Centro I</v>
      </c>
      <c r="O118" s="1149">
        <v>1.02087691000006E+18</v>
      </c>
      <c r="P118" s="1150">
        <f>ROUND(+NOMINA!T93,2)</f>
        <v>219</v>
      </c>
      <c r="Q118" s="1151">
        <v>0</v>
      </c>
      <c r="R118" s="1151">
        <f>ROUND(+NOMINA!AA93,2)</f>
        <v>6.57</v>
      </c>
      <c r="S118" s="1151">
        <f>ROUND(+NOMINA!AB93,2)</f>
        <v>130</v>
      </c>
      <c r="T118" s="1151">
        <f>ROUND(+NOMINA!AC93,2)</f>
        <v>0</v>
      </c>
      <c r="U118" s="1151">
        <f>ROUND(+NOMINA!AD93,2)</f>
        <v>142.22999999999999</v>
      </c>
      <c r="V118" s="1151">
        <f>ROUND(NOMINA!AQ93,2)</f>
        <v>0</v>
      </c>
      <c r="W118" s="1151">
        <f>+NOMINA!AS93</f>
        <v>0</v>
      </c>
      <c r="X118" s="1151">
        <f>+NOMINA!AT93</f>
        <v>0</v>
      </c>
      <c r="Y118" s="1151">
        <f>+NOMINA!AU93</f>
        <v>647.14</v>
      </c>
      <c r="Z118" s="1151">
        <f>+NOMINA!BX93</f>
        <v>1213.3900000000001</v>
      </c>
      <c r="AA118" s="1151">
        <f>+NOMINA!BY93</f>
        <v>0</v>
      </c>
      <c r="AB118" s="1151">
        <f t="shared" si="8"/>
        <v>1213.3900000000001</v>
      </c>
      <c r="AD118" s="634"/>
      <c r="AH118" s="1610" t="str">
        <f>NOMINA!P93</f>
        <v>01020373240000678911</v>
      </c>
    </row>
    <row r="119" spans="1:34" s="629" customFormat="1" ht="20.100000000000001" customHeight="1" thickBot="1">
      <c r="A119" s="770" t="s">
        <v>2846</v>
      </c>
      <c r="B119" s="771">
        <f t="shared" si="9"/>
        <v>52</v>
      </c>
      <c r="C119" s="1145">
        <f>NOMINA!C94</f>
        <v>11128954</v>
      </c>
      <c r="D119" s="1146" t="str">
        <f>NOMINA!D94</f>
        <v>Soto Lopez Rafael Maria</v>
      </c>
      <c r="E119" s="1613" t="s">
        <v>4622</v>
      </c>
      <c r="F119" s="1153">
        <v>32351</v>
      </c>
      <c r="G119" s="1613" t="s">
        <v>4620</v>
      </c>
      <c r="H119" s="1572">
        <f>NOMINA!H94</f>
        <v>45170</v>
      </c>
      <c r="I119" s="1148">
        <f>NOMINA!I95</f>
        <v>2</v>
      </c>
      <c r="J119" s="1149">
        <f>NOMINA!J95</f>
        <v>0</v>
      </c>
      <c r="K119" s="1148">
        <f t="shared" si="7"/>
        <v>2</v>
      </c>
      <c r="L119" s="1149" t="s">
        <v>4932</v>
      </c>
      <c r="M119" s="1149"/>
      <c r="N119" s="1573" t="str">
        <f>NOMINA!O94</f>
        <v>Guia de Centro I</v>
      </c>
      <c r="O119" s="1149">
        <v>1.02087691000006E+18</v>
      </c>
      <c r="P119" s="1150">
        <f>ROUND(+NOMINA!T94,2)</f>
        <v>228</v>
      </c>
      <c r="Q119" s="1151">
        <v>0</v>
      </c>
      <c r="R119" s="1151">
        <f>ROUND(+NOMINA!AA94,2)</f>
        <v>68.400000000000006</v>
      </c>
      <c r="S119" s="1151">
        <f>ROUND(+NOMINA!AB94,2)</f>
        <v>130</v>
      </c>
      <c r="T119" s="1151">
        <f>ROUND(+NOMINA!AC94,2)</f>
        <v>12.5</v>
      </c>
      <c r="U119" s="1151">
        <f>ROUND(+NOMINA!AD94,2)</f>
        <v>87.78</v>
      </c>
      <c r="V119" s="1151">
        <f>ROUND(NOMINA!AQ94,2)</f>
        <v>0</v>
      </c>
      <c r="W119" s="1151">
        <f>+NOMINA!AS94</f>
        <v>0</v>
      </c>
      <c r="X119" s="1151">
        <f>+NOMINA!AT94</f>
        <v>0</v>
      </c>
      <c r="Y119" s="1151">
        <f>+NOMINA!AU94</f>
        <v>684.68000000000006</v>
      </c>
      <c r="Z119" s="1151">
        <f>+NOMINA!BX94</f>
        <v>1283.78</v>
      </c>
      <c r="AA119" s="1151">
        <f>+NOMINA!BY94</f>
        <v>0</v>
      </c>
      <c r="AB119" s="1151">
        <f t="shared" si="8"/>
        <v>1283.78</v>
      </c>
      <c r="AD119" s="634"/>
      <c r="AH119" s="1610" t="str">
        <f>NOMINA!P94</f>
        <v>01020369420000056300</v>
      </c>
    </row>
    <row r="120" spans="1:34" s="629" customFormat="1" ht="20.100000000000001" customHeight="1" thickBot="1">
      <c r="A120" s="770" t="s">
        <v>2846</v>
      </c>
      <c r="B120" s="771">
        <f t="shared" si="9"/>
        <v>53</v>
      </c>
      <c r="C120" s="1145">
        <f>NOMINA!C95</f>
        <v>11132900</v>
      </c>
      <c r="D120" s="1146" t="str">
        <f>NOMINA!D95</f>
        <v>Morillo Valero Ender Ramon</v>
      </c>
      <c r="E120" s="1613" t="s">
        <v>4622</v>
      </c>
      <c r="F120" s="1153">
        <v>32351</v>
      </c>
      <c r="G120" s="1613" t="s">
        <v>4620</v>
      </c>
      <c r="H120" s="1572">
        <f>NOMINA!H95</f>
        <v>44866</v>
      </c>
      <c r="I120" s="1148">
        <f>NOMINA!I96</f>
        <v>16</v>
      </c>
      <c r="J120" s="1149">
        <f>NOMINA!J96</f>
        <v>0</v>
      </c>
      <c r="K120" s="1148">
        <f t="shared" si="7"/>
        <v>16</v>
      </c>
      <c r="L120" s="1149" t="s">
        <v>4932</v>
      </c>
      <c r="M120" s="1149"/>
      <c r="N120" s="1573" t="str">
        <f>NOMINA!O95</f>
        <v>Guia de Centro I</v>
      </c>
      <c r="O120" s="1149">
        <v>1.02087691000006E+18</v>
      </c>
      <c r="P120" s="1150">
        <f>ROUND(+NOMINA!T95,2)</f>
        <v>192</v>
      </c>
      <c r="Q120" s="1151">
        <v>0</v>
      </c>
      <c r="R120" s="1151">
        <f>ROUND(+NOMINA!AA95,2)</f>
        <v>3.84</v>
      </c>
      <c r="S120" s="1151">
        <f>ROUND(+NOMINA!AB95,2)</f>
        <v>130</v>
      </c>
      <c r="T120" s="1151">
        <f>ROUND(+NOMINA!AC95,2)</f>
        <v>0</v>
      </c>
      <c r="U120" s="1151">
        <f>ROUND(+NOMINA!AD95,2)</f>
        <v>65.17</v>
      </c>
      <c r="V120" s="1151">
        <f>ROUND(NOMINA!AQ95,2)</f>
        <v>0</v>
      </c>
      <c r="W120" s="1151">
        <f>+NOMINA!AS95</f>
        <v>0</v>
      </c>
      <c r="X120" s="1151">
        <f>+NOMINA!AT95</f>
        <v>0</v>
      </c>
      <c r="Y120" s="1151">
        <f>+NOMINA!AU95</f>
        <v>508.31</v>
      </c>
      <c r="Z120" s="1151">
        <f>+NOMINA!BX95</f>
        <v>953.08</v>
      </c>
      <c r="AA120" s="1151">
        <f>+NOMINA!BY95</f>
        <v>0</v>
      </c>
      <c r="AB120" s="1151">
        <f t="shared" si="8"/>
        <v>953.08</v>
      </c>
      <c r="AD120" s="634"/>
      <c r="AH120" s="1610" t="str">
        <f>NOMINA!P95</f>
        <v>01020747930000123398</v>
      </c>
    </row>
    <row r="121" spans="1:34" s="629" customFormat="1" ht="20.100000000000001" customHeight="1" thickBot="1">
      <c r="A121" s="770" t="s">
        <v>2846</v>
      </c>
      <c r="B121" s="771">
        <f t="shared" si="9"/>
        <v>54</v>
      </c>
      <c r="C121" s="1145">
        <f>NOMINA!C96</f>
        <v>11132943</v>
      </c>
      <c r="D121" s="1146" t="str">
        <f>NOMINA!D96</f>
        <v>Materano Delgado Yoleida Josefina</v>
      </c>
      <c r="E121" s="1613" t="s">
        <v>4622</v>
      </c>
      <c r="F121" s="1153">
        <v>32351</v>
      </c>
      <c r="G121" s="1613" t="s">
        <v>4620</v>
      </c>
      <c r="H121" s="1572">
        <f>NOMINA!H96</f>
        <v>39738</v>
      </c>
      <c r="I121" s="1148">
        <f>NOMINA!I97</f>
        <v>3</v>
      </c>
      <c r="J121" s="1149">
        <f>NOMINA!J97</f>
        <v>12</v>
      </c>
      <c r="K121" s="1148">
        <f t="shared" si="7"/>
        <v>15</v>
      </c>
      <c r="L121" s="1149" t="s">
        <v>4932</v>
      </c>
      <c r="M121" s="1149"/>
      <c r="N121" s="1573" t="str">
        <f>NOMINA!O96</f>
        <v>Guia de Centro II</v>
      </c>
      <c r="O121" s="1149">
        <v>1.02087691000006E+18</v>
      </c>
      <c r="P121" s="1150">
        <f>ROUND(+NOMINA!T96,2)</f>
        <v>176</v>
      </c>
      <c r="Q121" s="1151">
        <v>0</v>
      </c>
      <c r="R121" s="1151">
        <f>ROUND(+NOMINA!AA96,2)</f>
        <v>34.5</v>
      </c>
      <c r="S121" s="1151">
        <f>ROUND(+NOMINA!AB96,2)</f>
        <v>130</v>
      </c>
      <c r="T121" s="1151">
        <f>ROUND(+NOMINA!AC96,2)</f>
        <v>0</v>
      </c>
      <c r="U121" s="1151">
        <f>ROUND(+NOMINA!AD96,2)</f>
        <v>0</v>
      </c>
      <c r="V121" s="1151">
        <f>ROUND(NOMINA!AQ96,2)</f>
        <v>0</v>
      </c>
      <c r="W121" s="1151">
        <f>+NOMINA!AS96</f>
        <v>0</v>
      </c>
      <c r="X121" s="1151">
        <f>+NOMINA!AT96</f>
        <v>0</v>
      </c>
      <c r="Y121" s="1151">
        <f>+NOMINA!AU96</f>
        <v>340.5</v>
      </c>
      <c r="Z121" s="1151">
        <f>+NOMINA!BX96</f>
        <v>638.44000000000005</v>
      </c>
      <c r="AA121" s="1151">
        <f>+NOMINA!BY96</f>
        <v>0</v>
      </c>
      <c r="AB121" s="1151">
        <f t="shared" si="8"/>
        <v>638.44000000000005</v>
      </c>
      <c r="AD121" s="634"/>
      <c r="AH121" s="1610" t="str">
        <f>NOMINA!P96</f>
        <v>01020373270000441504</v>
      </c>
    </row>
    <row r="122" spans="1:34" s="629" customFormat="1" ht="20.100000000000001" customHeight="1" thickBot="1">
      <c r="A122" s="770" t="s">
        <v>2846</v>
      </c>
      <c r="B122" s="771">
        <f t="shared" si="9"/>
        <v>55</v>
      </c>
      <c r="C122" s="1145">
        <f>NOMINA!C97</f>
        <v>11132979</v>
      </c>
      <c r="D122" s="1146" t="str">
        <f>NOMINA!D97</f>
        <v>Olivar Santana Maria Valbina</v>
      </c>
      <c r="E122" s="1613" t="s">
        <v>4622</v>
      </c>
      <c r="F122" s="1153">
        <v>32351</v>
      </c>
      <c r="G122" s="1613" t="s">
        <v>4620</v>
      </c>
      <c r="H122" s="1572">
        <f>NOMINA!H97</f>
        <v>44348</v>
      </c>
      <c r="I122" s="1148">
        <f>NOMINA!I98</f>
        <v>8</v>
      </c>
      <c r="J122" s="1149">
        <f>NOMINA!J98</f>
        <v>0</v>
      </c>
      <c r="K122" s="1148">
        <f t="shared" si="7"/>
        <v>8</v>
      </c>
      <c r="L122" s="1149" t="s">
        <v>4932</v>
      </c>
      <c r="M122" s="1149"/>
      <c r="N122" s="1573" t="str">
        <f>NOMINA!O97</f>
        <v>Guia de Centro II</v>
      </c>
      <c r="O122" s="1149">
        <v>1.02087691000006E+18</v>
      </c>
      <c r="P122" s="1150">
        <f>ROUND(+NOMINA!T97,2)</f>
        <v>285</v>
      </c>
      <c r="Q122" s="1151">
        <v>0</v>
      </c>
      <c r="R122" s="1151">
        <f>ROUND(+NOMINA!AA97,2)</f>
        <v>51.3</v>
      </c>
      <c r="S122" s="1151">
        <f>ROUND(+NOMINA!AB97,2)</f>
        <v>130</v>
      </c>
      <c r="T122" s="1151">
        <f>ROUND(+NOMINA!AC97,2)</f>
        <v>12.5</v>
      </c>
      <c r="U122" s="1151">
        <f>ROUND(+NOMINA!AD97,2)</f>
        <v>119.7</v>
      </c>
      <c r="V122" s="1151">
        <f>ROUND(NOMINA!AQ97,2)</f>
        <v>0</v>
      </c>
      <c r="W122" s="1151">
        <f>+NOMINA!AS97</f>
        <v>0</v>
      </c>
      <c r="X122" s="1151">
        <f>+NOMINA!AT97</f>
        <v>12.5</v>
      </c>
      <c r="Y122" s="1151">
        <f>+NOMINA!AU97</f>
        <v>778.05</v>
      </c>
      <c r="Z122" s="1151">
        <f>+NOMINA!BX97</f>
        <v>1458.85</v>
      </c>
      <c r="AA122" s="1151">
        <f>+NOMINA!BY97</f>
        <v>0</v>
      </c>
      <c r="AB122" s="1151">
        <f t="shared" si="8"/>
        <v>1458.85</v>
      </c>
      <c r="AD122" s="634"/>
      <c r="AH122" s="1610" t="str">
        <f>NOMINA!P97</f>
        <v>01020373290000441517</v>
      </c>
    </row>
    <row r="123" spans="1:34" s="629" customFormat="1" ht="20.100000000000001" customHeight="1" thickBot="1">
      <c r="A123" s="770" t="s">
        <v>2846</v>
      </c>
      <c r="B123" s="771">
        <f t="shared" si="9"/>
        <v>56</v>
      </c>
      <c r="C123" s="1145">
        <f>NOMINA!C98</f>
        <v>11257247</v>
      </c>
      <c r="D123" s="1146" t="str">
        <f>NOMINA!D98</f>
        <v>Chacin Sanchez Eduard Fabian</v>
      </c>
      <c r="E123" s="1613" t="s">
        <v>4622</v>
      </c>
      <c r="F123" s="1153">
        <v>32351</v>
      </c>
      <c r="G123" s="1613" t="s">
        <v>4620</v>
      </c>
      <c r="H123" s="1572">
        <f>NOMINA!H98</f>
        <v>42492</v>
      </c>
      <c r="I123" s="1148">
        <f>NOMINA!I99</f>
        <v>4</v>
      </c>
      <c r="J123" s="1149">
        <f>NOMINA!J99</f>
        <v>0</v>
      </c>
      <c r="K123" s="1148">
        <f t="shared" si="7"/>
        <v>4</v>
      </c>
      <c r="L123" s="1149" t="s">
        <v>4932</v>
      </c>
      <c r="M123" s="1149"/>
      <c r="N123" s="1573" t="str">
        <f>NOMINA!O98</f>
        <v>DELEGADO PRUEBA III</v>
      </c>
      <c r="O123" s="1149">
        <v>1.02087691000006E+18</v>
      </c>
      <c r="P123" s="1150">
        <f>ROUND(+NOMINA!T98,2)</f>
        <v>279</v>
      </c>
      <c r="Q123" s="1151">
        <v>0</v>
      </c>
      <c r="R123" s="1151">
        <f>ROUND(+NOMINA!AA98,2)</f>
        <v>23.99</v>
      </c>
      <c r="S123" s="1151">
        <f>ROUND(+NOMINA!AB98,2)</f>
        <v>130</v>
      </c>
      <c r="T123" s="1151">
        <f>ROUND(+NOMINA!AC98,2)</f>
        <v>12.5</v>
      </c>
      <c r="U123" s="1151">
        <f>ROUND(+NOMINA!AD98,2)</f>
        <v>111.37</v>
      </c>
      <c r="V123" s="1151">
        <f>ROUND(NOMINA!AQ98,2)</f>
        <v>0</v>
      </c>
      <c r="W123" s="1151">
        <f>+NOMINA!AS98</f>
        <v>0</v>
      </c>
      <c r="X123" s="1151">
        <f>+NOMINA!AT98</f>
        <v>0</v>
      </c>
      <c r="Y123" s="1151">
        <f>+NOMINA!AU98</f>
        <v>556.86</v>
      </c>
      <c r="Z123" s="1151">
        <f>+NOMINA!BX98</f>
        <v>1044.1099999999999</v>
      </c>
      <c r="AA123" s="1151">
        <f>+NOMINA!BY98</f>
        <v>0</v>
      </c>
      <c r="AB123" s="1151">
        <f t="shared" si="8"/>
        <v>1044.1099999999999</v>
      </c>
      <c r="AD123" s="634"/>
      <c r="AH123" s="1610" t="str">
        <f>NOMINA!P98</f>
        <v>01020373290000441520</v>
      </c>
    </row>
    <row r="124" spans="1:34" s="629" customFormat="1" ht="20.100000000000001" customHeight="1" thickBot="1">
      <c r="A124" s="770" t="s">
        <v>2846</v>
      </c>
      <c r="B124" s="771">
        <f t="shared" si="9"/>
        <v>57</v>
      </c>
      <c r="C124" s="1145">
        <f>NOMINA!C99</f>
        <v>11318142</v>
      </c>
      <c r="D124" s="1146" t="str">
        <f>NOMINA!D99</f>
        <v>Perdomo Rosales Modesto Ramon</v>
      </c>
      <c r="E124" s="1613" t="s">
        <v>4622</v>
      </c>
      <c r="F124" s="1153">
        <v>32351</v>
      </c>
      <c r="G124" s="1613" t="s">
        <v>4620</v>
      </c>
      <c r="H124" s="1572">
        <f>NOMINA!H99</f>
        <v>43983</v>
      </c>
      <c r="I124" s="1148">
        <f>NOMINA!I100</f>
        <v>16</v>
      </c>
      <c r="J124" s="1149">
        <f>NOMINA!J100</f>
        <v>0</v>
      </c>
      <c r="K124" s="1148">
        <f t="shared" si="7"/>
        <v>16</v>
      </c>
      <c r="L124" s="1149" t="s">
        <v>4932</v>
      </c>
      <c r="M124" s="1149"/>
      <c r="N124" s="1573" t="str">
        <f>NOMINA!O99</f>
        <v>Almacenista II</v>
      </c>
      <c r="O124" s="1149">
        <v>1.02087691000006E+18</v>
      </c>
      <c r="P124" s="1150">
        <f>ROUND(+NOMINA!T99,2)</f>
        <v>150</v>
      </c>
      <c r="Q124" s="1151">
        <v>0</v>
      </c>
      <c r="R124" s="1151">
        <f>ROUND(+NOMINA!AA99,2)</f>
        <v>6</v>
      </c>
      <c r="S124" s="1151">
        <f>ROUND(+NOMINA!AB99,2)</f>
        <v>130</v>
      </c>
      <c r="T124" s="1151">
        <f>ROUND(+NOMINA!AC99,2)</f>
        <v>0</v>
      </c>
      <c r="U124" s="1151">
        <f>ROUND(+NOMINA!AD99,2)</f>
        <v>0</v>
      </c>
      <c r="V124" s="1151">
        <f>ROUND(NOMINA!AQ99,2)</f>
        <v>0</v>
      </c>
      <c r="W124" s="1151">
        <f>+NOMINA!AS99</f>
        <v>0</v>
      </c>
      <c r="X124" s="1151">
        <f>+NOMINA!AT99</f>
        <v>0</v>
      </c>
      <c r="Y124" s="1151">
        <f>+NOMINA!AU99</f>
        <v>286</v>
      </c>
      <c r="Z124" s="1151">
        <f>+NOMINA!BX99</f>
        <v>536.25</v>
      </c>
      <c r="AA124" s="1151">
        <f>+NOMINA!BY99</f>
        <v>0</v>
      </c>
      <c r="AB124" s="1151">
        <f t="shared" si="8"/>
        <v>536.25</v>
      </c>
      <c r="AD124" s="634"/>
      <c r="AH124" s="1610" t="str">
        <f>NOMINA!P99</f>
        <v>01020373270000678607</v>
      </c>
    </row>
    <row r="125" spans="1:34" s="629" customFormat="1" ht="20.100000000000001" customHeight="1" thickBot="1">
      <c r="A125" s="770" t="s">
        <v>2846</v>
      </c>
      <c r="B125" s="771">
        <f t="shared" si="9"/>
        <v>58</v>
      </c>
      <c r="C125" s="1145">
        <f>NOMINA!C100</f>
        <v>11318697</v>
      </c>
      <c r="D125" s="1146" t="str">
        <f>NOMINA!D100</f>
        <v>Sardi Hernandez Gladis Josefina</v>
      </c>
      <c r="E125" s="1613" t="s">
        <v>4622</v>
      </c>
      <c r="F125" s="1153">
        <v>32351</v>
      </c>
      <c r="G125" s="1613" t="s">
        <v>4620</v>
      </c>
      <c r="H125" s="1572">
        <f>NOMINA!H100</f>
        <v>39539</v>
      </c>
      <c r="I125" s="1148">
        <f>NOMINA!I101</f>
        <v>30</v>
      </c>
      <c r="J125" s="1149">
        <f>NOMINA!J101</f>
        <v>0</v>
      </c>
      <c r="K125" s="1148">
        <f t="shared" si="7"/>
        <v>30</v>
      </c>
      <c r="L125" s="1149" t="s">
        <v>4932</v>
      </c>
      <c r="M125" s="1149"/>
      <c r="N125" s="1573" t="str">
        <f>NOMINA!O100</f>
        <v>Asistente Administrativo III</v>
      </c>
      <c r="O125" s="1149">
        <v>1.02087691000006E+18</v>
      </c>
      <c r="P125" s="1150">
        <f>ROUND(+NOMINA!T100,2)</f>
        <v>176</v>
      </c>
      <c r="Q125" s="1151">
        <v>0</v>
      </c>
      <c r="R125" s="1151">
        <f>ROUND(+NOMINA!AA100,2)</f>
        <v>34.5</v>
      </c>
      <c r="S125" s="1151">
        <f>ROUND(+NOMINA!AB100,2)</f>
        <v>130</v>
      </c>
      <c r="T125" s="1151">
        <f>ROUND(+NOMINA!AC100,2)</f>
        <v>0</v>
      </c>
      <c r="U125" s="1151">
        <f>ROUND(+NOMINA!AD100,2)</f>
        <v>0</v>
      </c>
      <c r="V125" s="1151">
        <f>ROUND(NOMINA!AQ100,2)</f>
        <v>0</v>
      </c>
      <c r="W125" s="1151">
        <f>+NOMINA!AS100</f>
        <v>0</v>
      </c>
      <c r="X125" s="1151">
        <f>+NOMINA!AT100</f>
        <v>0</v>
      </c>
      <c r="Y125" s="1151">
        <f>+NOMINA!AU100</f>
        <v>340.5</v>
      </c>
      <c r="Z125" s="1151">
        <f>+NOMINA!BX100</f>
        <v>638.44000000000005</v>
      </c>
      <c r="AA125" s="1151">
        <f>+NOMINA!BY100</f>
        <v>0</v>
      </c>
      <c r="AB125" s="1151">
        <f t="shared" si="8"/>
        <v>638.44000000000005</v>
      </c>
      <c r="AD125" s="634"/>
      <c r="AH125" s="1610" t="str">
        <f>NOMINA!P100</f>
        <v>01020373240000441562</v>
      </c>
    </row>
    <row r="126" spans="1:34" s="629" customFormat="1" ht="20.100000000000001" customHeight="1" thickBot="1">
      <c r="A126" s="770" t="s">
        <v>2846</v>
      </c>
      <c r="B126" s="771">
        <f t="shared" si="9"/>
        <v>59</v>
      </c>
      <c r="C126" s="1145">
        <f>NOMINA!C101</f>
        <v>11319154</v>
      </c>
      <c r="D126" s="1146" t="str">
        <f>NOMINA!D101</f>
        <v>Peña Villegas Lisette Carolina</v>
      </c>
      <c r="E126" s="1613" t="s">
        <v>4622</v>
      </c>
      <c r="F126" s="1153">
        <v>32351</v>
      </c>
      <c r="G126" s="1613" t="s">
        <v>4620</v>
      </c>
      <c r="H126" s="1572">
        <f>NOMINA!H101</f>
        <v>34428</v>
      </c>
      <c r="I126" s="1148">
        <f>NOMINA!I102</f>
        <v>22</v>
      </c>
      <c r="J126" s="1149">
        <f>NOMINA!J102</f>
        <v>0</v>
      </c>
      <c r="K126" s="1148">
        <f t="shared" si="7"/>
        <v>22</v>
      </c>
      <c r="L126" s="1149" t="s">
        <v>4932</v>
      </c>
      <c r="M126" s="1149"/>
      <c r="N126" s="1573" t="str">
        <f>NOMINA!O101</f>
        <v>Guia de Centro II</v>
      </c>
      <c r="O126" s="1149">
        <v>1.02087691000006E+18</v>
      </c>
      <c r="P126" s="1150">
        <f>ROUND(+NOMINA!T101,2)</f>
        <v>316</v>
      </c>
      <c r="Q126" s="1151">
        <v>0</v>
      </c>
      <c r="R126" s="1151">
        <f>ROUND(+NOMINA!AA101,2)</f>
        <v>94.8</v>
      </c>
      <c r="S126" s="1151">
        <f>ROUND(+NOMINA!AB101,2)</f>
        <v>130</v>
      </c>
      <c r="T126" s="1151">
        <f>ROUND(+NOMINA!AC101,2)</f>
        <v>0</v>
      </c>
      <c r="U126" s="1151">
        <f>ROUND(+NOMINA!AD101,2)</f>
        <v>189.28</v>
      </c>
      <c r="V126" s="1151">
        <f>ROUND(NOMINA!AQ101,2)</f>
        <v>0</v>
      </c>
      <c r="W126" s="1151">
        <f>+NOMINA!AS101</f>
        <v>0</v>
      </c>
      <c r="X126" s="1151">
        <f>+NOMINA!AT101</f>
        <v>0</v>
      </c>
      <c r="Y126" s="1151">
        <f>+NOMINA!AU101</f>
        <v>730.08</v>
      </c>
      <c r="Z126" s="1151">
        <f>+NOMINA!BX101</f>
        <v>1368.9</v>
      </c>
      <c r="AA126" s="1151">
        <f>+NOMINA!BY101</f>
        <v>0</v>
      </c>
      <c r="AB126" s="1151">
        <f t="shared" si="8"/>
        <v>1368.9</v>
      </c>
      <c r="AD126" s="634"/>
      <c r="AH126" s="1610" t="str">
        <f>NOMINA!P101</f>
        <v>01020373260000441575</v>
      </c>
    </row>
    <row r="127" spans="1:34" s="629" customFormat="1" ht="20.100000000000001" customHeight="1" thickBot="1">
      <c r="A127" s="770" t="s">
        <v>2846</v>
      </c>
      <c r="B127" s="771">
        <f t="shared" si="9"/>
        <v>60</v>
      </c>
      <c r="C127" s="1145">
        <f>NOMINA!C102</f>
        <v>11320533</v>
      </c>
      <c r="D127" s="1146" t="str">
        <f>NOMINA!D102</f>
        <v>Suarez Chiquin Yaritza Josefina</v>
      </c>
      <c r="E127" s="1613" t="s">
        <v>4622</v>
      </c>
      <c r="F127" s="1153">
        <v>32351</v>
      </c>
      <c r="G127" s="1613" t="s">
        <v>4620</v>
      </c>
      <c r="H127" s="1572">
        <f>NOMINA!H102</f>
        <v>37629</v>
      </c>
      <c r="I127" s="1148">
        <f>NOMINA!I103</f>
        <v>19</v>
      </c>
      <c r="J127" s="1149">
        <f>NOMINA!J103</f>
        <v>0</v>
      </c>
      <c r="K127" s="1148">
        <f t="shared" si="7"/>
        <v>19</v>
      </c>
      <c r="L127" s="1149" t="s">
        <v>4932</v>
      </c>
      <c r="M127" s="1149"/>
      <c r="N127" s="1573" t="str">
        <f>NOMINA!O102</f>
        <v>Administrador IV</v>
      </c>
      <c r="O127" s="1149">
        <v>1.02087691000006E+18</v>
      </c>
      <c r="P127" s="1150">
        <f>ROUND(+NOMINA!T102,2)</f>
        <v>0</v>
      </c>
      <c r="Q127" s="1151">
        <v>0</v>
      </c>
      <c r="R127" s="1151">
        <f>ROUND(+NOMINA!AA102,2)</f>
        <v>0</v>
      </c>
      <c r="S127" s="1151">
        <f>ROUND(+NOMINA!AB102,2)</f>
        <v>0</v>
      </c>
      <c r="T127" s="1151">
        <f>ROUND(+NOMINA!AC102,2)</f>
        <v>0</v>
      </c>
      <c r="U127" s="1151">
        <f>ROUND(+NOMINA!AD102,2)</f>
        <v>0</v>
      </c>
      <c r="V127" s="1151">
        <f>ROUND(NOMINA!AQ102,2)</f>
        <v>0</v>
      </c>
      <c r="W127" s="1151">
        <f>+NOMINA!AS102</f>
        <v>0</v>
      </c>
      <c r="X127" s="1151">
        <f>+NOMINA!AT102</f>
        <v>0</v>
      </c>
      <c r="Y127" s="1151">
        <f>+NOMINA!AU102</f>
        <v>0</v>
      </c>
      <c r="Z127" s="1151">
        <f>+NOMINA!BX102</f>
        <v>0</v>
      </c>
      <c r="AA127" s="1151">
        <f>+NOMINA!BY102</f>
        <v>0</v>
      </c>
      <c r="AB127" s="1151">
        <f t="shared" si="8"/>
        <v>0</v>
      </c>
      <c r="AD127" s="634"/>
      <c r="AH127" s="1610" t="str">
        <f>NOMINA!P102</f>
        <v>01020373290000439914</v>
      </c>
    </row>
    <row r="128" spans="1:34" s="629" customFormat="1" ht="20.100000000000001" customHeight="1" thickBot="1">
      <c r="A128" s="770" t="s">
        <v>2846</v>
      </c>
      <c r="B128" s="771">
        <f t="shared" si="9"/>
        <v>61</v>
      </c>
      <c r="C128" s="1145">
        <f>NOMINA!C103</f>
        <v>11322871</v>
      </c>
      <c r="D128" s="1146" t="str">
        <f>NOMINA!D103</f>
        <v>Rivas Albarran Martin Antonio</v>
      </c>
      <c r="E128" s="1613" t="s">
        <v>4622</v>
      </c>
      <c r="F128" s="1153">
        <v>32351</v>
      </c>
      <c r="G128" s="1613" t="s">
        <v>4620</v>
      </c>
      <c r="H128" s="1572">
        <f>NOMINA!H103</f>
        <v>38718</v>
      </c>
      <c r="I128" s="1148">
        <f>NOMINA!I104</f>
        <v>29</v>
      </c>
      <c r="J128" s="1149">
        <f>NOMINA!J104</f>
        <v>0</v>
      </c>
      <c r="K128" s="1148">
        <f t="shared" si="7"/>
        <v>29</v>
      </c>
      <c r="L128" s="1149" t="s">
        <v>4932</v>
      </c>
      <c r="M128" s="1149"/>
      <c r="N128" s="1573" t="str">
        <f>NOMINA!O103</f>
        <v>Tutor Facilitador III</v>
      </c>
      <c r="O128" s="1149">
        <v>1.02087691000006E+18</v>
      </c>
      <c r="P128" s="1150">
        <f>ROUND(+NOMINA!T103,2)</f>
        <v>287</v>
      </c>
      <c r="Q128" s="1151">
        <v>0</v>
      </c>
      <c r="R128" s="1151">
        <f>ROUND(+NOMINA!AA103,2)</f>
        <v>70.03</v>
      </c>
      <c r="S128" s="1151">
        <f>ROUND(+NOMINA!AB103,2)</f>
        <v>130</v>
      </c>
      <c r="T128" s="1151">
        <f>ROUND(+NOMINA!AC103,2)</f>
        <v>0</v>
      </c>
      <c r="U128" s="1151">
        <f>ROUND(+NOMINA!AD103,2)</f>
        <v>121.76</v>
      </c>
      <c r="V128" s="1151">
        <f>ROUND(NOMINA!AQ103,2)</f>
        <v>0</v>
      </c>
      <c r="W128" s="1151">
        <f>+NOMINA!AS103</f>
        <v>0</v>
      </c>
      <c r="X128" s="1151">
        <f>+NOMINA!AT103</f>
        <v>0</v>
      </c>
      <c r="Y128" s="1151">
        <f>+NOMINA!AU103</f>
        <v>608.79</v>
      </c>
      <c r="Z128" s="1151">
        <f>+NOMINA!BX103</f>
        <v>1141.48</v>
      </c>
      <c r="AA128" s="1151">
        <f>+NOMINA!BY103</f>
        <v>0</v>
      </c>
      <c r="AB128" s="1151">
        <f t="shared" si="8"/>
        <v>1141.48</v>
      </c>
      <c r="AD128" s="634"/>
      <c r="AH128" s="1610" t="str">
        <f>NOMINA!P103</f>
        <v>01020373220000439943</v>
      </c>
    </row>
    <row r="129" spans="1:34" s="629" customFormat="1" ht="20.100000000000001" customHeight="1" thickBot="1">
      <c r="A129" s="770" t="s">
        <v>2846</v>
      </c>
      <c r="B129" s="771">
        <f t="shared" si="9"/>
        <v>62</v>
      </c>
      <c r="C129" s="1145">
        <f>NOMINA!C104</f>
        <v>11616673</v>
      </c>
      <c r="D129" s="1146" t="str">
        <f>NOMINA!D104</f>
        <v>Perdomo Orlando Jose</v>
      </c>
      <c r="E129" s="1613" t="s">
        <v>4622</v>
      </c>
      <c r="F129" s="1153">
        <v>32351</v>
      </c>
      <c r="G129" s="1613" t="s">
        <v>4620</v>
      </c>
      <c r="H129" s="1572">
        <f>NOMINA!H104</f>
        <v>35066</v>
      </c>
      <c r="I129" s="1148">
        <f>NOMINA!I105</f>
        <v>6</v>
      </c>
      <c r="J129" s="1149">
        <f>NOMINA!J105</f>
        <v>0</v>
      </c>
      <c r="K129" s="1148">
        <f t="shared" si="7"/>
        <v>6</v>
      </c>
      <c r="L129" s="1149" t="s">
        <v>4932</v>
      </c>
      <c r="M129" s="1149"/>
      <c r="N129" s="1573" t="str">
        <f>NOMINA!O104</f>
        <v>Tutor Facilitador III</v>
      </c>
      <c r="O129" s="1149">
        <v>1.02087691000006E+18</v>
      </c>
      <c r="P129" s="1150">
        <f>ROUND(+NOMINA!T104,2)</f>
        <v>287</v>
      </c>
      <c r="Q129" s="1151">
        <v>0</v>
      </c>
      <c r="R129" s="1151">
        <f>ROUND(+NOMINA!AA104,2)</f>
        <v>86.1</v>
      </c>
      <c r="S129" s="1151">
        <f>ROUND(+NOMINA!AB104,2)</f>
        <v>130</v>
      </c>
      <c r="T129" s="1151">
        <f>ROUND(+NOMINA!AC104,2)</f>
        <v>0</v>
      </c>
      <c r="U129" s="1151">
        <f>ROUND(+NOMINA!AD104,2)</f>
        <v>125.78</v>
      </c>
      <c r="V129" s="1151">
        <f>ROUND(NOMINA!AQ104,2)</f>
        <v>0</v>
      </c>
      <c r="W129" s="1151">
        <f>+NOMINA!AS104</f>
        <v>0</v>
      </c>
      <c r="X129" s="1151">
        <f>+NOMINA!AT104</f>
        <v>0</v>
      </c>
      <c r="Y129" s="1151">
        <f>+NOMINA!AU104</f>
        <v>628.88</v>
      </c>
      <c r="Z129" s="1151">
        <f>+NOMINA!BX104</f>
        <v>1179.1500000000001</v>
      </c>
      <c r="AA129" s="1151">
        <f>+NOMINA!BY104</f>
        <v>0</v>
      </c>
      <c r="AB129" s="1151">
        <f t="shared" si="8"/>
        <v>1179.1500000000001</v>
      </c>
      <c r="AD129" s="634"/>
      <c r="AH129" s="1610" t="str">
        <f>NOMINA!P104</f>
        <v>01020373280000439985</v>
      </c>
    </row>
    <row r="130" spans="1:34" s="629" customFormat="1" ht="20.100000000000001" customHeight="1" thickBot="1">
      <c r="A130" s="770" t="s">
        <v>2846</v>
      </c>
      <c r="B130" s="771">
        <f t="shared" si="9"/>
        <v>63</v>
      </c>
      <c r="C130" s="1145">
        <f>NOMINA!C105</f>
        <v>11734553</v>
      </c>
      <c r="D130" s="1146" t="str">
        <f>NOMINA!D105</f>
        <v>Teran Torres Olga del Carmen</v>
      </c>
      <c r="E130" s="1613" t="s">
        <v>4622</v>
      </c>
      <c r="F130" s="1153">
        <v>32351</v>
      </c>
      <c r="G130" s="1613" t="s">
        <v>4620</v>
      </c>
      <c r="H130" s="1572">
        <f>NOMINA!H105</f>
        <v>43206</v>
      </c>
      <c r="I130" s="1148">
        <f>NOMINA!I106</f>
        <v>13</v>
      </c>
      <c r="J130" s="1149">
        <f>NOMINA!J106</f>
        <v>13</v>
      </c>
      <c r="K130" s="1148">
        <f t="shared" si="7"/>
        <v>26</v>
      </c>
      <c r="L130" s="1149" t="s">
        <v>4932</v>
      </c>
      <c r="M130" s="1149"/>
      <c r="N130" s="1573" t="str">
        <f>NOMINA!O105</f>
        <v>Tutor Facilitador III</v>
      </c>
      <c r="O130" s="1149">
        <v>1.02087691000006E+18</v>
      </c>
      <c r="P130" s="1150">
        <f>ROUND(+NOMINA!T105,2)</f>
        <v>308</v>
      </c>
      <c r="Q130" s="1151">
        <v>0</v>
      </c>
      <c r="R130" s="1151">
        <f>ROUND(+NOMINA!AA105,2)</f>
        <v>19.100000000000001</v>
      </c>
      <c r="S130" s="1151">
        <f>ROUND(+NOMINA!AB105,2)</f>
        <v>130</v>
      </c>
      <c r="T130" s="1151">
        <f>ROUND(+NOMINA!AC105,2)</f>
        <v>0</v>
      </c>
      <c r="U130" s="1151">
        <f>ROUND(+NOMINA!AD105,2)</f>
        <v>159.99</v>
      </c>
      <c r="V130" s="1151">
        <f>ROUND(NOMINA!AQ105,2)</f>
        <v>0</v>
      </c>
      <c r="W130" s="1151">
        <f>+NOMINA!AS105</f>
        <v>0</v>
      </c>
      <c r="X130" s="1151">
        <f>+NOMINA!AT105</f>
        <v>0</v>
      </c>
      <c r="Y130" s="1151">
        <f>+NOMINA!AU105</f>
        <v>617.09</v>
      </c>
      <c r="Z130" s="1151">
        <f>+NOMINA!BX105</f>
        <v>1157.05</v>
      </c>
      <c r="AA130" s="1151">
        <f>+NOMINA!BY105</f>
        <v>0</v>
      </c>
      <c r="AB130" s="1151">
        <f t="shared" si="8"/>
        <v>1157.05</v>
      </c>
      <c r="AD130" s="634"/>
      <c r="AH130" s="1610" t="str">
        <f>NOMINA!P105</f>
        <v>01020373290000553900</v>
      </c>
    </row>
    <row r="131" spans="1:34" s="629" customFormat="1" ht="20.100000000000001" customHeight="1" thickBot="1">
      <c r="A131" s="770" t="s">
        <v>2846</v>
      </c>
      <c r="B131" s="771">
        <f t="shared" si="9"/>
        <v>64</v>
      </c>
      <c r="C131" s="1145">
        <f>NOMINA!C106</f>
        <v>11894534</v>
      </c>
      <c r="D131" s="1146" t="str">
        <f>NOMINA!D106</f>
        <v>Olmos Rodriguez Eberto de Jesus</v>
      </c>
      <c r="E131" s="1613" t="s">
        <v>4622</v>
      </c>
      <c r="F131" s="1153">
        <v>32351</v>
      </c>
      <c r="G131" s="1613" t="s">
        <v>4620</v>
      </c>
      <c r="H131" s="1572">
        <f>NOMINA!H106</f>
        <v>40909</v>
      </c>
      <c r="I131" s="1148">
        <f>NOMINA!I107</f>
        <v>2</v>
      </c>
      <c r="J131" s="1149">
        <f>NOMINA!J107</f>
        <v>0</v>
      </c>
      <c r="K131" s="1148">
        <f t="shared" si="7"/>
        <v>2</v>
      </c>
      <c r="L131" s="1149" t="s">
        <v>4932</v>
      </c>
      <c r="M131" s="1149"/>
      <c r="N131" s="1573" t="str">
        <f>NOMINA!O106</f>
        <v>Administrador Jefe</v>
      </c>
      <c r="O131" s="1149">
        <v>1.02087691000006E+18</v>
      </c>
      <c r="P131" s="1150">
        <f>ROUND(+NOMINA!T106,2)</f>
        <v>0</v>
      </c>
      <c r="Q131" s="1151">
        <v>0</v>
      </c>
      <c r="R131" s="1151">
        <f>ROUND(+NOMINA!AA106,2)</f>
        <v>0</v>
      </c>
      <c r="S131" s="1151">
        <f>ROUND(+NOMINA!AB106,2)</f>
        <v>0</v>
      </c>
      <c r="T131" s="1151">
        <f>ROUND(+NOMINA!AC106,2)</f>
        <v>0</v>
      </c>
      <c r="U131" s="1151">
        <f>ROUND(+NOMINA!AD106,2)</f>
        <v>0</v>
      </c>
      <c r="V131" s="1151">
        <f>ROUND(NOMINA!AQ106,2)</f>
        <v>0</v>
      </c>
      <c r="W131" s="1151">
        <f>+NOMINA!AS106</f>
        <v>0</v>
      </c>
      <c r="X131" s="1151">
        <f>+NOMINA!AT106</f>
        <v>0</v>
      </c>
      <c r="Y131" s="1151">
        <f>+NOMINA!AU106</f>
        <v>0</v>
      </c>
      <c r="Z131" s="1151">
        <f>+NOMINA!BX106</f>
        <v>0</v>
      </c>
      <c r="AA131" s="1151">
        <f>+NOMINA!BY106</f>
        <v>0</v>
      </c>
      <c r="AB131" s="1151">
        <f t="shared" si="8"/>
        <v>0</v>
      </c>
      <c r="AD131" s="634"/>
      <c r="AH131" s="1610" t="str">
        <f>NOMINA!P106</f>
        <v>01020373290000440013</v>
      </c>
    </row>
    <row r="132" spans="1:34" s="629" customFormat="1" ht="20.100000000000001" customHeight="1" thickBot="1">
      <c r="A132" s="770" t="s">
        <v>2846</v>
      </c>
      <c r="B132" s="771">
        <f t="shared" si="9"/>
        <v>65</v>
      </c>
      <c r="C132" s="1145">
        <f>NOMINA!C107</f>
        <v>11895772</v>
      </c>
      <c r="D132" s="1146" t="str">
        <f>NOMINA!D107</f>
        <v>Rangel Rivas Ildemaro</v>
      </c>
      <c r="E132" s="1613" t="s">
        <v>4622</v>
      </c>
      <c r="F132" s="1153">
        <v>32351</v>
      </c>
      <c r="G132" s="1613" t="s">
        <v>4620</v>
      </c>
      <c r="H132" s="1572">
        <f>NOMINA!H107</f>
        <v>44743</v>
      </c>
      <c r="I132" s="1148">
        <f>NOMINA!I108</f>
        <v>19</v>
      </c>
      <c r="J132" s="1149">
        <f>NOMINA!J108</f>
        <v>0</v>
      </c>
      <c r="K132" s="1148">
        <f t="shared" si="7"/>
        <v>19</v>
      </c>
      <c r="L132" s="1149" t="s">
        <v>4932</v>
      </c>
      <c r="M132" s="1149"/>
      <c r="N132" s="1573" t="str">
        <f>NOMINA!O107</f>
        <v>Entrenador Deportivo II</v>
      </c>
      <c r="O132" s="1149">
        <v>1.02087691000006E+18</v>
      </c>
      <c r="P132" s="1150">
        <f>ROUND(+NOMINA!T107,2)</f>
        <v>0</v>
      </c>
      <c r="Q132" s="1151">
        <v>0</v>
      </c>
      <c r="R132" s="1151">
        <f>ROUND(+NOMINA!AA107,2)</f>
        <v>0</v>
      </c>
      <c r="S132" s="1151">
        <f>ROUND(+NOMINA!AB107,2)</f>
        <v>0</v>
      </c>
      <c r="T132" s="1151">
        <f>ROUND(+NOMINA!AC107,2)</f>
        <v>0</v>
      </c>
      <c r="U132" s="1151">
        <f>ROUND(+NOMINA!AD107,2)</f>
        <v>0</v>
      </c>
      <c r="V132" s="1151">
        <f>ROUND(NOMINA!AQ107,2)</f>
        <v>0</v>
      </c>
      <c r="W132" s="1151">
        <f>+NOMINA!AS107</f>
        <v>0</v>
      </c>
      <c r="X132" s="1151">
        <f>+NOMINA!AT107</f>
        <v>0</v>
      </c>
      <c r="Y132" s="1151">
        <f>+NOMINA!AU107</f>
        <v>0</v>
      </c>
      <c r="Z132" s="1151">
        <f>+NOMINA!BX107</f>
        <v>0</v>
      </c>
      <c r="AA132" s="1151">
        <f>+NOMINA!BY107</f>
        <v>0</v>
      </c>
      <c r="AB132" s="1151">
        <f t="shared" si="8"/>
        <v>0</v>
      </c>
      <c r="AD132" s="634"/>
      <c r="AH132" s="1610" t="str">
        <f>NOMINA!P107</f>
        <v>01020494110000059129</v>
      </c>
    </row>
    <row r="133" spans="1:34" s="629" customFormat="1" ht="20.100000000000001" customHeight="1" thickBot="1">
      <c r="A133" s="770" t="s">
        <v>2846</v>
      </c>
      <c r="B133" s="771">
        <f t="shared" si="9"/>
        <v>66</v>
      </c>
      <c r="C133" s="1145">
        <f>NOMINA!C108</f>
        <v>11896941</v>
      </c>
      <c r="D133" s="1146" t="str">
        <f>NOMINA!D108</f>
        <v>Justo Angel Jannessy</v>
      </c>
      <c r="E133" s="1613" t="s">
        <v>4622</v>
      </c>
      <c r="F133" s="1153">
        <v>32351</v>
      </c>
      <c r="G133" s="1613" t="s">
        <v>4620</v>
      </c>
      <c r="H133" s="1572">
        <f>NOMINA!H108</f>
        <v>38698</v>
      </c>
      <c r="I133" s="1148">
        <f>NOMINA!I109</f>
        <v>15</v>
      </c>
      <c r="J133" s="1149">
        <f>NOMINA!J109</f>
        <v>0</v>
      </c>
      <c r="K133" s="1148">
        <f t="shared" ref="K133:K196" si="10">I133+J133</f>
        <v>15</v>
      </c>
      <c r="L133" s="1149" t="s">
        <v>4932</v>
      </c>
      <c r="M133" s="1149"/>
      <c r="N133" s="1573" t="str">
        <f>NOMINA!O108</f>
        <v>Analista de Presupuesto III</v>
      </c>
      <c r="O133" s="1149">
        <v>1.02087691000006E+18</v>
      </c>
      <c r="P133" s="1150">
        <f>ROUND(+NOMINA!T108,2)</f>
        <v>0</v>
      </c>
      <c r="Q133" s="1151">
        <v>0</v>
      </c>
      <c r="R133" s="1151">
        <f>ROUND(+NOMINA!AA108,2)</f>
        <v>0</v>
      </c>
      <c r="S133" s="1151">
        <f>ROUND(+NOMINA!AB108,2)</f>
        <v>0</v>
      </c>
      <c r="T133" s="1151">
        <f>ROUND(+NOMINA!AC108,2)</f>
        <v>0</v>
      </c>
      <c r="U133" s="1151">
        <f>ROUND(+NOMINA!AD108,2)</f>
        <v>0</v>
      </c>
      <c r="V133" s="1151">
        <f>ROUND(NOMINA!AQ108,2)</f>
        <v>0</v>
      </c>
      <c r="W133" s="1151">
        <f>+NOMINA!AS108</f>
        <v>0</v>
      </c>
      <c r="X133" s="1151">
        <f>+NOMINA!AT108</f>
        <v>0</v>
      </c>
      <c r="Y133" s="1151">
        <f>+NOMINA!AU108</f>
        <v>0</v>
      </c>
      <c r="Z133" s="1151">
        <f>+NOMINA!BX108</f>
        <v>0</v>
      </c>
      <c r="AA133" s="1151">
        <f>+NOMINA!BY108</f>
        <v>0</v>
      </c>
      <c r="AB133" s="1151">
        <f t="shared" ref="AB133:AB196" si="11">+Z133+AA133</f>
        <v>0</v>
      </c>
      <c r="AD133" s="634"/>
      <c r="AH133" s="1610" t="str">
        <f>NOMINA!P108</f>
        <v>01020373210000440026</v>
      </c>
    </row>
    <row r="134" spans="1:34" s="629" customFormat="1" ht="20.100000000000001" customHeight="1" thickBot="1">
      <c r="A134" s="770" t="s">
        <v>2846</v>
      </c>
      <c r="B134" s="771">
        <f t="shared" ref="B134:B197" si="12">+B133+1</f>
        <v>67</v>
      </c>
      <c r="C134" s="1145">
        <f>NOMINA!C109</f>
        <v>11898486</v>
      </c>
      <c r="D134" s="1146" t="str">
        <f>NOMINA!D109</f>
        <v>Linares Hernandez Thaiz Yoconda</v>
      </c>
      <c r="E134" s="1613" t="s">
        <v>4622</v>
      </c>
      <c r="F134" s="1153">
        <v>32351</v>
      </c>
      <c r="G134" s="1613" t="s">
        <v>4620</v>
      </c>
      <c r="H134" s="1572">
        <f>NOMINA!H109</f>
        <v>40065</v>
      </c>
      <c r="I134" s="1148">
        <f>NOMINA!I110</f>
        <v>6</v>
      </c>
      <c r="J134" s="1149">
        <f>NOMINA!J110</f>
        <v>0</v>
      </c>
      <c r="K134" s="1148">
        <f t="shared" si="10"/>
        <v>6</v>
      </c>
      <c r="L134" s="1149" t="s">
        <v>4932</v>
      </c>
      <c r="M134" s="1149"/>
      <c r="N134" s="1573" t="str">
        <f>NOMINA!O109</f>
        <v>Asistente Administrativo III</v>
      </c>
      <c r="O134" s="1149">
        <v>1.02087691000006E+18</v>
      </c>
      <c r="P134" s="1150">
        <f>ROUND(+NOMINA!T109,2)</f>
        <v>226</v>
      </c>
      <c r="Q134" s="1151">
        <v>0</v>
      </c>
      <c r="R134" s="1151">
        <f>ROUND(+NOMINA!AA109,2)</f>
        <v>40.68</v>
      </c>
      <c r="S134" s="1151">
        <f>ROUND(+NOMINA!AB109,2)</f>
        <v>130</v>
      </c>
      <c r="T134" s="1151">
        <f>ROUND(+NOMINA!AC109,2)</f>
        <v>0</v>
      </c>
      <c r="U134" s="1151">
        <f>ROUND(+NOMINA!AD109,2)</f>
        <v>79.34</v>
      </c>
      <c r="V134" s="1151">
        <f>ROUND(NOMINA!AQ109,2)</f>
        <v>0</v>
      </c>
      <c r="W134" s="1151">
        <f>+NOMINA!AS109</f>
        <v>0</v>
      </c>
      <c r="X134" s="1151">
        <f>+NOMINA!AT109</f>
        <v>0</v>
      </c>
      <c r="Y134" s="1151">
        <f>+NOMINA!AU109</f>
        <v>476.02</v>
      </c>
      <c r="Z134" s="1151">
        <f>+NOMINA!BX109</f>
        <v>892.54</v>
      </c>
      <c r="AA134" s="1151">
        <f>+NOMINA!BY109</f>
        <v>0</v>
      </c>
      <c r="AB134" s="1151">
        <f t="shared" si="11"/>
        <v>892.54</v>
      </c>
      <c r="AD134" s="634"/>
      <c r="AH134" s="1610" t="str">
        <f>NOMINA!P109</f>
        <v>01020373220000440042</v>
      </c>
    </row>
    <row r="135" spans="1:34" s="629" customFormat="1" ht="20.100000000000001" customHeight="1" thickBot="1">
      <c r="A135" s="770" t="s">
        <v>2846</v>
      </c>
      <c r="B135" s="771">
        <f t="shared" si="12"/>
        <v>68</v>
      </c>
      <c r="C135" s="1145">
        <f>NOMINA!C110</f>
        <v>12040792</v>
      </c>
      <c r="D135" s="1146" t="str">
        <f>NOMINA!D110</f>
        <v>Sulbaran Campos Jesus Alberto</v>
      </c>
      <c r="E135" s="1613" t="s">
        <v>4622</v>
      </c>
      <c r="F135" s="1153">
        <v>32351</v>
      </c>
      <c r="G135" s="1613" t="s">
        <v>4620</v>
      </c>
      <c r="H135" s="1572">
        <f>NOMINA!H110</f>
        <v>43236</v>
      </c>
      <c r="I135" s="1148">
        <f>NOMINA!I111</f>
        <v>4</v>
      </c>
      <c r="J135" s="1149">
        <f>NOMINA!J111</f>
        <v>0</v>
      </c>
      <c r="K135" s="1148">
        <f t="shared" si="10"/>
        <v>4</v>
      </c>
      <c r="L135" s="1149" t="s">
        <v>4932</v>
      </c>
      <c r="M135" s="1149"/>
      <c r="N135" s="1573" t="str">
        <f>NOMINA!O110</f>
        <v>Supervisor de Servicios Generales III</v>
      </c>
      <c r="O135" s="1149">
        <v>1.02087691000006E+18</v>
      </c>
      <c r="P135" s="1150">
        <f>ROUND(+NOMINA!T110,2)</f>
        <v>221</v>
      </c>
      <c r="Q135" s="1151">
        <v>0</v>
      </c>
      <c r="R135" s="1151">
        <f>ROUND(+NOMINA!AA110,2)</f>
        <v>13.7</v>
      </c>
      <c r="S135" s="1151">
        <f>ROUND(+NOMINA!AB110,2)</f>
        <v>130</v>
      </c>
      <c r="T135" s="1151">
        <f>ROUND(+NOMINA!AC110,2)</f>
        <v>12.5</v>
      </c>
      <c r="U135" s="1151">
        <f>ROUND(+NOMINA!AD110,2)</f>
        <v>0</v>
      </c>
      <c r="V135" s="1151">
        <f>ROUND(NOMINA!AQ110,2)</f>
        <v>0</v>
      </c>
      <c r="W135" s="1151">
        <f>+NOMINA!AS110</f>
        <v>0</v>
      </c>
      <c r="X135" s="1151">
        <f>+NOMINA!AT110</f>
        <v>0</v>
      </c>
      <c r="Y135" s="1151">
        <f>+NOMINA!AU110</f>
        <v>377.2</v>
      </c>
      <c r="Z135" s="1151">
        <f>+NOMINA!BX110</f>
        <v>707.25</v>
      </c>
      <c r="AA135" s="1151">
        <f>+NOMINA!BY110</f>
        <v>0</v>
      </c>
      <c r="AB135" s="1151">
        <f t="shared" si="11"/>
        <v>707.25</v>
      </c>
      <c r="AD135" s="634"/>
      <c r="AH135" s="1610" t="e">
        <f>NOMINA!#REF!</f>
        <v>#REF!</v>
      </c>
    </row>
    <row r="136" spans="1:34" s="629" customFormat="1" ht="20.100000000000001" customHeight="1" thickBot="1">
      <c r="A136" s="770" t="s">
        <v>2846</v>
      </c>
      <c r="B136" s="771">
        <f t="shared" si="12"/>
        <v>69</v>
      </c>
      <c r="C136" s="1145">
        <f>NOMINA!C111</f>
        <v>12042855</v>
      </c>
      <c r="D136" s="1146" t="str">
        <f>NOMINA!D111</f>
        <v>Alburguez  Manzanilla Neira Josefina</v>
      </c>
      <c r="E136" s="1613" t="s">
        <v>4622</v>
      </c>
      <c r="F136" s="1153">
        <v>32351</v>
      </c>
      <c r="G136" s="1613" t="s">
        <v>4620</v>
      </c>
      <c r="H136" s="1572">
        <f>NOMINA!H111</f>
        <v>44028</v>
      </c>
      <c r="I136" s="1148">
        <f>NOMINA!I112</f>
        <v>0</v>
      </c>
      <c r="J136" s="1149">
        <f>NOMINA!J112</f>
        <v>0</v>
      </c>
      <c r="K136" s="1148">
        <f t="shared" si="10"/>
        <v>0</v>
      </c>
      <c r="L136" s="1149" t="s">
        <v>4932</v>
      </c>
      <c r="M136" s="1149"/>
      <c r="N136" s="1573" t="str">
        <f>NOMINA!O111</f>
        <v>Enfermera Jefe I</v>
      </c>
      <c r="O136" s="1149">
        <v>1.02087691000006E+18</v>
      </c>
      <c r="P136" s="1150">
        <f>ROUND(+NOMINA!T111,2)</f>
        <v>219</v>
      </c>
      <c r="Q136" s="1151">
        <v>0</v>
      </c>
      <c r="R136" s="1151">
        <f>ROUND(+NOMINA!AA111,2)</f>
        <v>8.76</v>
      </c>
      <c r="S136" s="1151">
        <f>ROUND(+NOMINA!AB111,2)</f>
        <v>130</v>
      </c>
      <c r="T136" s="1151">
        <f>ROUND(+NOMINA!AC111,2)</f>
        <v>0</v>
      </c>
      <c r="U136" s="1151">
        <f>ROUND(+NOMINA!AD111,2)</f>
        <v>89.44</v>
      </c>
      <c r="V136" s="1151">
        <f>ROUND(NOMINA!AQ111,2)</f>
        <v>0</v>
      </c>
      <c r="W136" s="1151">
        <f>+NOMINA!AS111</f>
        <v>0</v>
      </c>
      <c r="X136" s="1151">
        <f>+NOMINA!AT111</f>
        <v>0</v>
      </c>
      <c r="Y136" s="1151">
        <f>+NOMINA!AU111</f>
        <v>447.2</v>
      </c>
      <c r="Z136" s="1151">
        <f>+NOMINA!BX111</f>
        <v>838.5</v>
      </c>
      <c r="AA136" s="1151">
        <f>+NOMINA!BY111</f>
        <v>0</v>
      </c>
      <c r="AB136" s="1151">
        <f t="shared" si="11"/>
        <v>838.5</v>
      </c>
      <c r="AD136" s="634"/>
      <c r="AH136" s="1610" t="str">
        <f>NOMINA!P110</f>
        <v>01020494190100020863</v>
      </c>
    </row>
    <row r="137" spans="1:34" s="629" customFormat="1" ht="20.100000000000001" customHeight="1" thickBot="1">
      <c r="A137" s="770" t="s">
        <v>2846</v>
      </c>
      <c r="B137" s="771">
        <f t="shared" si="12"/>
        <v>70</v>
      </c>
      <c r="C137" s="1145">
        <f>NOMINA!C112</f>
        <v>12045335</v>
      </c>
      <c r="D137" s="1146" t="str">
        <f>NOMINA!D112</f>
        <v>Gonzalez De Briceño Yasmin Coromoto</v>
      </c>
      <c r="E137" s="1613" t="s">
        <v>4622</v>
      </c>
      <c r="F137" s="1153">
        <v>32351</v>
      </c>
      <c r="G137" s="1613" t="s">
        <v>4620</v>
      </c>
      <c r="H137" s="1572">
        <f>NOMINA!H112</f>
        <v>45505</v>
      </c>
      <c r="I137" s="1148">
        <f>NOMINA!I113</f>
        <v>17</v>
      </c>
      <c r="J137" s="1149">
        <f>NOMINA!J113</f>
        <v>0</v>
      </c>
      <c r="K137" s="1148">
        <f t="shared" si="10"/>
        <v>17</v>
      </c>
      <c r="L137" s="1149" t="s">
        <v>4932</v>
      </c>
      <c r="M137" s="1149"/>
      <c r="N137" s="1573" t="str">
        <f>NOMINA!O112</f>
        <v>Guia de Centro I</v>
      </c>
      <c r="O137" s="1149">
        <v>1.02087691000006E+18</v>
      </c>
      <c r="P137" s="1150">
        <f>ROUND(+NOMINA!T112,2)</f>
        <v>246</v>
      </c>
      <c r="Q137" s="1151">
        <v>0</v>
      </c>
      <c r="R137" s="1151">
        <f>ROUND(+NOMINA!AA112,2)</f>
        <v>0</v>
      </c>
      <c r="S137" s="1151">
        <f>ROUND(+NOMINA!AB112,2)</f>
        <v>130</v>
      </c>
      <c r="T137" s="1151">
        <f>ROUND(+NOMINA!AC112,2)</f>
        <v>0</v>
      </c>
      <c r="U137" s="1151">
        <f>ROUND(+NOMINA!AD112,2)</f>
        <v>94</v>
      </c>
      <c r="V137" s="1151">
        <f>ROUND(NOMINA!AQ112,2)</f>
        <v>0</v>
      </c>
      <c r="W137" s="1151">
        <f>+NOMINA!AS112</f>
        <v>0</v>
      </c>
      <c r="X137" s="1151">
        <f>+NOMINA!AT112</f>
        <v>0</v>
      </c>
      <c r="Y137" s="1151">
        <f>+NOMINA!AU112</f>
        <v>611</v>
      </c>
      <c r="Z137" s="1151">
        <f>+NOMINA!BX112</f>
        <v>384.53</v>
      </c>
      <c r="AA137" s="1151">
        <f>+NOMINA!BY112</f>
        <v>0</v>
      </c>
      <c r="AB137" s="1151">
        <f t="shared" si="11"/>
        <v>384.53</v>
      </c>
      <c r="AD137" s="634"/>
      <c r="AH137" s="1610" t="str">
        <f>NOMINA!P111</f>
        <v>01020494110100027091</v>
      </c>
    </row>
    <row r="138" spans="1:34" s="629" customFormat="1" ht="20.100000000000001" customHeight="1" thickBot="1">
      <c r="A138" s="770" t="s">
        <v>2846</v>
      </c>
      <c r="B138" s="771">
        <f t="shared" si="12"/>
        <v>71</v>
      </c>
      <c r="C138" s="1145">
        <f>NOMINA!C113</f>
        <v>12045360</v>
      </c>
      <c r="D138" s="1146" t="str">
        <f>NOMINA!D113</f>
        <v>Montilla Lamus Ana Cristina</v>
      </c>
      <c r="E138" s="1613" t="s">
        <v>4622</v>
      </c>
      <c r="F138" s="1153">
        <v>32351</v>
      </c>
      <c r="G138" s="1613" t="s">
        <v>4620</v>
      </c>
      <c r="H138" s="1572">
        <f>NOMINA!H113</f>
        <v>39238</v>
      </c>
      <c r="I138" s="1148">
        <f>NOMINA!I114</f>
        <v>4</v>
      </c>
      <c r="J138" s="1149">
        <f>NOMINA!J114</f>
        <v>0</v>
      </c>
      <c r="K138" s="1148">
        <f t="shared" si="10"/>
        <v>4</v>
      </c>
      <c r="L138" s="1149" t="s">
        <v>4932</v>
      </c>
      <c r="M138" s="1149"/>
      <c r="N138" s="1573" t="str">
        <f>NOMINA!O113</f>
        <v>Guia de Centro I</v>
      </c>
      <c r="O138" s="1149">
        <v>1.02087691000006E+18</v>
      </c>
      <c r="P138" s="1150">
        <f>ROUND(+NOMINA!T113,2)</f>
        <v>176</v>
      </c>
      <c r="Q138" s="1151">
        <v>0</v>
      </c>
      <c r="R138" s="1151">
        <f>ROUND(+NOMINA!AA113,2)</f>
        <v>37.31</v>
      </c>
      <c r="S138" s="1151">
        <f>ROUND(+NOMINA!AB113,2)</f>
        <v>130</v>
      </c>
      <c r="T138" s="1151">
        <f>ROUND(+NOMINA!AC113,2)</f>
        <v>12.5</v>
      </c>
      <c r="U138" s="1151">
        <f>ROUND(+NOMINA!AD113,2)</f>
        <v>0</v>
      </c>
      <c r="V138" s="1151">
        <f>ROUND(NOMINA!AQ113,2)</f>
        <v>0</v>
      </c>
      <c r="W138" s="1151">
        <f>+NOMINA!AS113</f>
        <v>0</v>
      </c>
      <c r="X138" s="1151">
        <f>+NOMINA!AT113</f>
        <v>0</v>
      </c>
      <c r="Y138" s="1151">
        <f>+NOMINA!AU113</f>
        <v>355.81</v>
      </c>
      <c r="Z138" s="1151">
        <f>+NOMINA!BX113</f>
        <v>667.15</v>
      </c>
      <c r="AA138" s="1151">
        <f>+NOMINA!BY113</f>
        <v>0</v>
      </c>
      <c r="AB138" s="1151">
        <f t="shared" si="11"/>
        <v>667.15</v>
      </c>
      <c r="AD138" s="634"/>
      <c r="AH138" s="1610" t="str">
        <f>NOMINA!P112</f>
        <v>01020747960000378350</v>
      </c>
    </row>
    <row r="139" spans="1:34" s="629" customFormat="1" ht="20.100000000000001" customHeight="1" thickBot="1">
      <c r="A139" s="770" t="s">
        <v>2846</v>
      </c>
      <c r="B139" s="771">
        <f t="shared" si="12"/>
        <v>72</v>
      </c>
      <c r="C139" s="1145">
        <f>NOMINA!C114</f>
        <v>12045504</v>
      </c>
      <c r="D139" s="1146" t="str">
        <f>NOMINA!D114</f>
        <v>Sanchez Olivar Denis Josefina</v>
      </c>
      <c r="E139" s="1613" t="s">
        <v>4622</v>
      </c>
      <c r="F139" s="1153">
        <v>32351</v>
      </c>
      <c r="G139" s="1613" t="s">
        <v>4620</v>
      </c>
      <c r="H139" s="1572">
        <f>NOMINA!H114</f>
        <v>43862</v>
      </c>
      <c r="I139" s="1148">
        <f>NOMINA!I115</f>
        <v>25</v>
      </c>
      <c r="J139" s="1149">
        <f>NOMINA!J115</f>
        <v>1</v>
      </c>
      <c r="K139" s="1148">
        <f t="shared" si="10"/>
        <v>26</v>
      </c>
      <c r="L139" s="1149" t="s">
        <v>4932</v>
      </c>
      <c r="M139" s="1149"/>
      <c r="N139" s="1573" t="str">
        <f>NOMINA!O114</f>
        <v>Asistente Administrativo II</v>
      </c>
      <c r="O139" s="1149">
        <v>1.02087691000006E+18</v>
      </c>
      <c r="P139" s="1150">
        <f>ROUND(+NOMINA!T114,2)</f>
        <v>150</v>
      </c>
      <c r="Q139" s="1151">
        <v>0</v>
      </c>
      <c r="R139" s="1151">
        <f>ROUND(+NOMINA!AA114,2)</f>
        <v>6</v>
      </c>
      <c r="S139" s="1151">
        <f>ROUND(+NOMINA!AB114,2)</f>
        <v>130</v>
      </c>
      <c r="T139" s="1151">
        <f>ROUND(+NOMINA!AC114,2)</f>
        <v>25</v>
      </c>
      <c r="U139" s="1151">
        <f>ROUND(+NOMINA!AD114,2)</f>
        <v>0</v>
      </c>
      <c r="V139" s="1151">
        <f>ROUND(NOMINA!AQ114,2)</f>
        <v>0</v>
      </c>
      <c r="W139" s="1151">
        <f>+NOMINA!AS114</f>
        <v>0</v>
      </c>
      <c r="X139" s="1151">
        <f>+NOMINA!AT114</f>
        <v>25</v>
      </c>
      <c r="Y139" s="1151">
        <f>+NOMINA!AU114</f>
        <v>311</v>
      </c>
      <c r="Z139" s="1151">
        <f>+NOMINA!BX114</f>
        <v>583.13</v>
      </c>
      <c r="AA139" s="1151">
        <f>+NOMINA!BY114</f>
        <v>0</v>
      </c>
      <c r="AB139" s="1151">
        <f t="shared" si="11"/>
        <v>583.13</v>
      </c>
      <c r="AD139" s="634"/>
      <c r="AH139" s="1610" t="str">
        <f>NOMINA!P113</f>
        <v>01020373260000440149</v>
      </c>
    </row>
    <row r="140" spans="1:34" s="629" customFormat="1" ht="20.100000000000001" customHeight="1" thickBot="1">
      <c r="A140" s="770" t="s">
        <v>2846</v>
      </c>
      <c r="B140" s="771">
        <f t="shared" si="12"/>
        <v>73</v>
      </c>
      <c r="C140" s="1145">
        <f>NOMINA!C115</f>
        <v>12045934</v>
      </c>
      <c r="D140" s="1146" t="str">
        <f>NOMINA!D115</f>
        <v>Mendez Olmos Tulio Enrique</v>
      </c>
      <c r="E140" s="1613" t="s">
        <v>4622</v>
      </c>
      <c r="F140" s="1153">
        <v>32351</v>
      </c>
      <c r="G140" s="1613" t="s">
        <v>4620</v>
      </c>
      <c r="H140" s="1572">
        <f>NOMINA!H115</f>
        <v>36342</v>
      </c>
      <c r="I140" s="1148">
        <f>NOMINA!I116</f>
        <v>3</v>
      </c>
      <c r="J140" s="1149">
        <f>NOMINA!J116</f>
        <v>4</v>
      </c>
      <c r="K140" s="1148">
        <f t="shared" si="10"/>
        <v>7</v>
      </c>
      <c r="L140" s="1149" t="s">
        <v>4932</v>
      </c>
      <c r="M140" s="1149"/>
      <c r="N140" s="1573" t="str">
        <f>NOMINA!O115</f>
        <v>Especialista en Informatica I</v>
      </c>
      <c r="O140" s="1149">
        <v>1.02087691000006E+18</v>
      </c>
      <c r="P140" s="1150">
        <f>ROUND(+NOMINA!T115,2)</f>
        <v>287</v>
      </c>
      <c r="Q140" s="1151">
        <v>0</v>
      </c>
      <c r="R140" s="1151">
        <f>ROUND(+NOMINA!AA115,2)</f>
        <v>86.1</v>
      </c>
      <c r="S140" s="1151">
        <f>ROUND(+NOMINA!AB115,2)</f>
        <v>130</v>
      </c>
      <c r="T140" s="1151">
        <f>ROUND(+NOMINA!AC115,2)</f>
        <v>0</v>
      </c>
      <c r="U140" s="1151">
        <f>ROUND(+NOMINA!AD115,2)</f>
        <v>125.78</v>
      </c>
      <c r="V140" s="1151">
        <f>ROUND(NOMINA!AQ115,2)</f>
        <v>0</v>
      </c>
      <c r="W140" s="1151">
        <f>+NOMINA!AS115</f>
        <v>0</v>
      </c>
      <c r="X140" s="1151">
        <f>+NOMINA!AT115</f>
        <v>0</v>
      </c>
      <c r="Y140" s="1151">
        <f>+NOMINA!AU115</f>
        <v>628.88</v>
      </c>
      <c r="Z140" s="1151">
        <f>+NOMINA!BX115</f>
        <v>1179.1500000000001</v>
      </c>
      <c r="AA140" s="1151">
        <f>+NOMINA!BY115</f>
        <v>0</v>
      </c>
      <c r="AB140" s="1151">
        <f t="shared" si="11"/>
        <v>1179.1500000000001</v>
      </c>
      <c r="AD140" s="634"/>
      <c r="AH140" s="1610" t="str">
        <f>NOMINA!P114</f>
        <v>01020373210100087140</v>
      </c>
    </row>
    <row r="141" spans="1:34" s="629" customFormat="1" ht="20.100000000000001" customHeight="1" thickBot="1">
      <c r="A141" s="770" t="s">
        <v>2846</v>
      </c>
      <c r="B141" s="771">
        <f t="shared" si="12"/>
        <v>74</v>
      </c>
      <c r="C141" s="1145">
        <f>NOMINA!C116</f>
        <v>12457981</v>
      </c>
      <c r="D141" s="1146" t="str">
        <f>NOMINA!D116</f>
        <v>Escalona Ruiz Luis Alberto</v>
      </c>
      <c r="E141" s="1613" t="s">
        <v>4622</v>
      </c>
      <c r="F141" s="1153">
        <v>32351</v>
      </c>
      <c r="G141" s="1613" t="s">
        <v>4620</v>
      </c>
      <c r="H141" s="1572">
        <f>NOMINA!H116</f>
        <v>44348</v>
      </c>
      <c r="I141" s="1148">
        <f>NOMINA!I117</f>
        <v>16</v>
      </c>
      <c r="J141" s="1149">
        <f>NOMINA!J117</f>
        <v>7</v>
      </c>
      <c r="K141" s="1148">
        <f t="shared" si="10"/>
        <v>23</v>
      </c>
      <c r="L141" s="1149" t="s">
        <v>4932</v>
      </c>
      <c r="M141" s="1149"/>
      <c r="N141" s="1573" t="str">
        <f>NOMINA!O116</f>
        <v>Medico Especialista II</v>
      </c>
      <c r="O141" s="1149">
        <v>1.02087691000006E+18</v>
      </c>
      <c r="P141" s="1150">
        <f>ROUND(+NOMINA!T116,2)</f>
        <v>279</v>
      </c>
      <c r="Q141" s="1151">
        <v>0</v>
      </c>
      <c r="R141" s="1151">
        <f>ROUND(+NOMINA!AA116,2)</f>
        <v>20.65</v>
      </c>
      <c r="S141" s="1151">
        <f>ROUND(+NOMINA!AB116,2)</f>
        <v>130</v>
      </c>
      <c r="T141" s="1151">
        <f>ROUND(+NOMINA!AC116,2)</f>
        <v>12.5</v>
      </c>
      <c r="U141" s="1151">
        <f>ROUND(+NOMINA!AD116,2)</f>
        <v>0</v>
      </c>
      <c r="V141" s="1151">
        <f>ROUND(NOMINA!AQ116,2)</f>
        <v>0</v>
      </c>
      <c r="W141" s="1151">
        <f>+NOMINA!AS116</f>
        <v>0</v>
      </c>
      <c r="X141" s="1151">
        <f>+NOMINA!AT116</f>
        <v>0</v>
      </c>
      <c r="Y141" s="1151">
        <f>+NOMINA!AU116</f>
        <v>442.15</v>
      </c>
      <c r="Z141" s="1151">
        <f>+NOMINA!BX116</f>
        <v>829.03</v>
      </c>
      <c r="AA141" s="1151">
        <f>+NOMINA!BY116</f>
        <v>0</v>
      </c>
      <c r="AB141" s="1151">
        <f t="shared" si="11"/>
        <v>829.03</v>
      </c>
      <c r="AD141" s="634"/>
      <c r="AH141" s="1610" t="str">
        <f>NOMINA!P115</f>
        <v>01020373260000440152</v>
      </c>
    </row>
    <row r="142" spans="1:34" s="629" customFormat="1" ht="20.100000000000001" customHeight="1" thickBot="1">
      <c r="A142" s="770" t="s">
        <v>2846</v>
      </c>
      <c r="B142" s="771">
        <f t="shared" si="12"/>
        <v>75</v>
      </c>
      <c r="C142" s="1145">
        <f>NOMINA!C117</f>
        <v>12458811</v>
      </c>
      <c r="D142" s="1146" t="str">
        <f>NOMINA!D117</f>
        <v>Segovia Rondon Milagros Del Valle</v>
      </c>
      <c r="E142" s="1613" t="s">
        <v>4622</v>
      </c>
      <c r="F142" s="1153">
        <v>32351</v>
      </c>
      <c r="G142" s="1613" t="s">
        <v>4620</v>
      </c>
      <c r="H142" s="1572">
        <f>NOMINA!H117</f>
        <v>39514</v>
      </c>
      <c r="I142" s="1148">
        <f>NOMINA!I118</f>
        <v>3</v>
      </c>
      <c r="J142" s="1149">
        <f>NOMINA!J118</f>
        <v>19</v>
      </c>
      <c r="K142" s="1148">
        <f t="shared" si="10"/>
        <v>22</v>
      </c>
      <c r="L142" s="1149" t="s">
        <v>4932</v>
      </c>
      <c r="M142" s="1149"/>
      <c r="N142" s="1573" t="str">
        <f>NOMINA!O117</f>
        <v>Analista de Presupuesto Jefe</v>
      </c>
      <c r="O142" s="1149">
        <v>1.02087691000006E+18</v>
      </c>
      <c r="P142" s="1150">
        <f>ROUND(+NOMINA!T117,2)</f>
        <v>316</v>
      </c>
      <c r="Q142" s="1151">
        <v>0</v>
      </c>
      <c r="R142" s="1151">
        <f>ROUND(+NOMINA!AA117,2)</f>
        <v>94.8</v>
      </c>
      <c r="S142" s="1151">
        <f>ROUND(+NOMINA!AB117,2)</f>
        <v>130</v>
      </c>
      <c r="T142" s="1151">
        <f>ROUND(+NOMINA!AC117,2)</f>
        <v>12.5</v>
      </c>
      <c r="U142" s="1151">
        <f>ROUND(+NOMINA!AD117,2)</f>
        <v>165.99</v>
      </c>
      <c r="V142" s="1151">
        <f>ROUND(NOMINA!AQ117,2)</f>
        <v>0</v>
      </c>
      <c r="W142" s="1151">
        <f>+NOMINA!AS117</f>
        <v>0</v>
      </c>
      <c r="X142" s="1151">
        <f>+NOMINA!AT117</f>
        <v>12.5</v>
      </c>
      <c r="Y142" s="1151">
        <f>+NOMINA!AU117</f>
        <v>719.29</v>
      </c>
      <c r="Z142" s="1151">
        <f>+NOMINA!BX117</f>
        <v>1348.67</v>
      </c>
      <c r="AA142" s="1151">
        <f>+NOMINA!BY117</f>
        <v>0</v>
      </c>
      <c r="AB142" s="1151">
        <f t="shared" si="11"/>
        <v>1348.67</v>
      </c>
      <c r="AD142" s="634"/>
      <c r="AH142" s="1610" t="str">
        <f>NOMINA!P116</f>
        <v>01020373240000102199</v>
      </c>
    </row>
    <row r="143" spans="1:34" s="629" customFormat="1" ht="20.100000000000001" customHeight="1" thickBot="1">
      <c r="A143" s="770" t="s">
        <v>2846</v>
      </c>
      <c r="B143" s="771">
        <f t="shared" si="12"/>
        <v>76</v>
      </c>
      <c r="C143" s="1145">
        <f>NOMINA!C118</f>
        <v>12458942</v>
      </c>
      <c r="D143" s="1146" t="str">
        <f>NOMINA!D118</f>
        <v>Mendoza Mendoza Mirian Del Milagro</v>
      </c>
      <c r="E143" s="1613" t="s">
        <v>4622</v>
      </c>
      <c r="F143" s="1153">
        <v>32351</v>
      </c>
      <c r="G143" s="1613" t="s">
        <v>4620</v>
      </c>
      <c r="H143" s="1572">
        <f>NOMINA!H118</f>
        <v>44424</v>
      </c>
      <c r="I143" s="1148">
        <f>NOMINA!I119</f>
        <v>0</v>
      </c>
      <c r="J143" s="1149">
        <f>NOMINA!J119</f>
        <v>0</v>
      </c>
      <c r="K143" s="1148">
        <f t="shared" si="10"/>
        <v>0</v>
      </c>
      <c r="L143" s="1149" t="s">
        <v>4932</v>
      </c>
      <c r="M143" s="1149"/>
      <c r="N143" s="1573" t="str">
        <f>NOMINA!O118</f>
        <v>Administrador Jefe</v>
      </c>
      <c r="O143" s="1149">
        <v>1.02087691000006E+18</v>
      </c>
      <c r="P143" s="1150">
        <f>ROUND(+NOMINA!T118,2)</f>
        <v>0</v>
      </c>
      <c r="Q143" s="1151">
        <v>0</v>
      </c>
      <c r="R143" s="1151">
        <f>ROUND(+NOMINA!AA118,2)</f>
        <v>0</v>
      </c>
      <c r="S143" s="1151">
        <f>ROUND(+NOMINA!AB118,2)</f>
        <v>0</v>
      </c>
      <c r="T143" s="1151">
        <f>ROUND(+NOMINA!AC118,2)</f>
        <v>0</v>
      </c>
      <c r="U143" s="1151">
        <f>ROUND(+NOMINA!AD118,2)</f>
        <v>0</v>
      </c>
      <c r="V143" s="1151">
        <f>ROUND(NOMINA!AQ118,2)</f>
        <v>0</v>
      </c>
      <c r="W143" s="1151">
        <f>+NOMINA!AS118</f>
        <v>0</v>
      </c>
      <c r="X143" s="1151">
        <f>+NOMINA!AT118</f>
        <v>0</v>
      </c>
      <c r="Y143" s="1151">
        <f>+NOMINA!AU118</f>
        <v>0</v>
      </c>
      <c r="Z143" s="1151">
        <f>+NOMINA!BX118</f>
        <v>0</v>
      </c>
      <c r="AA143" s="1151">
        <f>+NOMINA!BY118</f>
        <v>0</v>
      </c>
      <c r="AB143" s="1151">
        <f t="shared" si="11"/>
        <v>0</v>
      </c>
      <c r="AD143" s="634"/>
      <c r="AH143" s="1610" t="str">
        <f>NOMINA!P117</f>
        <v>01020373260000439406</v>
      </c>
    </row>
    <row r="144" spans="1:34" s="629" customFormat="1" ht="20.100000000000001" customHeight="1" thickBot="1">
      <c r="A144" s="770" t="s">
        <v>2846</v>
      </c>
      <c r="B144" s="771">
        <f t="shared" si="12"/>
        <v>77</v>
      </c>
      <c r="C144" s="1145">
        <f>NOMINA!C119</f>
        <v>12541044</v>
      </c>
      <c r="D144" s="1146" t="str">
        <f>NOMINA!D119</f>
        <v>Rojas Telles Lisbeth Josefina</v>
      </c>
      <c r="E144" s="1613" t="s">
        <v>4622</v>
      </c>
      <c r="F144" s="1153">
        <v>32351</v>
      </c>
      <c r="G144" s="1613" t="s">
        <v>4620</v>
      </c>
      <c r="H144" s="1572">
        <f>NOMINA!H119</f>
        <v>45597</v>
      </c>
      <c r="I144" s="1148">
        <f>NOMINA!I120</f>
        <v>25</v>
      </c>
      <c r="J144" s="1149">
        <f>NOMINA!J120</f>
        <v>0</v>
      </c>
      <c r="K144" s="1148">
        <f t="shared" si="10"/>
        <v>25</v>
      </c>
      <c r="L144" s="1149" t="s">
        <v>4932</v>
      </c>
      <c r="M144" s="1149"/>
      <c r="N144" s="1573" t="str">
        <f>NOMINA!O119</f>
        <v>Tutor Facilitador I</v>
      </c>
      <c r="O144" s="1149">
        <v>1.02087691000006E+18</v>
      </c>
      <c r="P144" s="1150">
        <f>ROUND(+NOMINA!T119,2)</f>
        <v>246</v>
      </c>
      <c r="Q144" s="1151">
        <v>0</v>
      </c>
      <c r="R144" s="1151">
        <f>ROUND(+NOMINA!AA119,2)</f>
        <v>0</v>
      </c>
      <c r="S144" s="1151">
        <f>ROUND(+NOMINA!AB119,2)</f>
        <v>130</v>
      </c>
      <c r="T144" s="1151">
        <f>ROUND(+NOMINA!AC119,2)</f>
        <v>12.5</v>
      </c>
      <c r="U144" s="1151">
        <f>ROUND(+NOMINA!AD119,2)</f>
        <v>97.13</v>
      </c>
      <c r="V144" s="1151">
        <f>ROUND(NOMINA!AQ119,2)</f>
        <v>0</v>
      </c>
      <c r="W144" s="1151">
        <f>+NOMINA!AS119</f>
        <v>0</v>
      </c>
      <c r="X144" s="1151">
        <f>+NOMINA!AT119</f>
        <v>12.5</v>
      </c>
      <c r="Y144" s="1151">
        <f>+NOMINA!AU119</f>
        <v>485.63</v>
      </c>
      <c r="Z144" s="1151">
        <f>+NOMINA!BX119</f>
        <v>146.13999999999999</v>
      </c>
      <c r="AA144" s="1151">
        <f>+NOMINA!BY119</f>
        <v>0</v>
      </c>
      <c r="AB144" s="1151">
        <f t="shared" si="11"/>
        <v>146.13999999999999</v>
      </c>
      <c r="AD144" s="634"/>
      <c r="AH144" s="1610" t="str">
        <f>NOMINA!P118</f>
        <v>01020373280000439419</v>
      </c>
    </row>
    <row r="145" spans="1:34" s="629" customFormat="1" ht="20.100000000000001" customHeight="1" thickBot="1">
      <c r="A145" s="770" t="s">
        <v>2846</v>
      </c>
      <c r="B145" s="771">
        <f t="shared" si="12"/>
        <v>78</v>
      </c>
      <c r="C145" s="1145">
        <f>NOMINA!C120</f>
        <v>12542413</v>
      </c>
      <c r="D145" s="1146" t="str">
        <f>NOMINA!D120</f>
        <v>Aponte Matheus Richard Alexander</v>
      </c>
      <c r="E145" s="1613" t="s">
        <v>4622</v>
      </c>
      <c r="F145" s="1153">
        <v>32351</v>
      </c>
      <c r="G145" s="1613" t="s">
        <v>4620</v>
      </c>
      <c r="H145" s="1572">
        <f>NOMINA!H120</f>
        <v>36434</v>
      </c>
      <c r="I145" s="1148">
        <f>NOMINA!I121</f>
        <v>28</v>
      </c>
      <c r="J145" s="1149">
        <f>NOMINA!J121</f>
        <v>0</v>
      </c>
      <c r="K145" s="1148">
        <f t="shared" si="10"/>
        <v>28</v>
      </c>
      <c r="L145" s="1149" t="s">
        <v>4932</v>
      </c>
      <c r="M145" s="1149"/>
      <c r="N145" s="1573" t="str">
        <f>NOMINA!O120</f>
        <v>Guia de Centro II</v>
      </c>
      <c r="O145" s="1149">
        <v>1.02087691000006E+18</v>
      </c>
      <c r="P145" s="1150">
        <f>ROUND(+NOMINA!T120,2)</f>
        <v>0</v>
      </c>
      <c r="Q145" s="1151">
        <v>0</v>
      </c>
      <c r="R145" s="1151">
        <f>ROUND(+NOMINA!AA120,2)</f>
        <v>0</v>
      </c>
      <c r="S145" s="1151">
        <f>ROUND(+NOMINA!AB120,2)</f>
        <v>0</v>
      </c>
      <c r="T145" s="1151">
        <f>ROUND(+NOMINA!AC120,2)</f>
        <v>0</v>
      </c>
      <c r="U145" s="1151">
        <f>ROUND(+NOMINA!AD120,2)</f>
        <v>0</v>
      </c>
      <c r="V145" s="1151">
        <f>ROUND(NOMINA!AQ120,2)</f>
        <v>0</v>
      </c>
      <c r="W145" s="1151">
        <f>+NOMINA!AS120</f>
        <v>0</v>
      </c>
      <c r="X145" s="1151">
        <f>+NOMINA!AT120</f>
        <v>0</v>
      </c>
      <c r="Y145" s="1151">
        <f>+NOMINA!AU120</f>
        <v>0</v>
      </c>
      <c r="Z145" s="1151">
        <f>+NOMINA!BX120</f>
        <v>0</v>
      </c>
      <c r="AA145" s="1151">
        <f>+NOMINA!BY120</f>
        <v>0</v>
      </c>
      <c r="AB145" s="1151">
        <f t="shared" si="11"/>
        <v>0</v>
      </c>
      <c r="AD145" s="634"/>
      <c r="AH145" s="1610" t="str">
        <f>NOMINA!P119</f>
        <v>01020392960103938564</v>
      </c>
    </row>
    <row r="146" spans="1:34" s="629" customFormat="1" ht="20.100000000000001" customHeight="1" thickBot="1">
      <c r="A146" s="770" t="s">
        <v>2846</v>
      </c>
      <c r="B146" s="771">
        <f t="shared" si="12"/>
        <v>79</v>
      </c>
      <c r="C146" s="1145">
        <f>NOMINA!C121</f>
        <v>12798604</v>
      </c>
      <c r="D146" s="1146" t="str">
        <f>NOMINA!D121</f>
        <v>Camacho Gomez Trina Margarita</v>
      </c>
      <c r="E146" s="1613" t="s">
        <v>4622</v>
      </c>
      <c r="F146" s="1153">
        <v>32351</v>
      </c>
      <c r="G146" s="1613" t="s">
        <v>4620</v>
      </c>
      <c r="H146" s="1572">
        <f>NOMINA!H121</f>
        <v>35384</v>
      </c>
      <c r="I146" s="1148">
        <f>NOMINA!I122</f>
        <v>16</v>
      </c>
      <c r="J146" s="1149">
        <f>NOMINA!J122</f>
        <v>7</v>
      </c>
      <c r="K146" s="1148">
        <f t="shared" si="10"/>
        <v>23</v>
      </c>
      <c r="L146" s="1149" t="s">
        <v>4932</v>
      </c>
      <c r="M146" s="1149"/>
      <c r="N146" s="1573" t="str">
        <f>NOMINA!O121</f>
        <v>Guia de Centro II</v>
      </c>
      <c r="O146" s="1149">
        <v>1.02087691000006E+18</v>
      </c>
      <c r="P146" s="1150">
        <f>ROUND(+NOMINA!T121,2)</f>
        <v>177</v>
      </c>
      <c r="Q146" s="1151">
        <v>0</v>
      </c>
      <c r="R146" s="1151">
        <f>ROUND(+NOMINA!AA121,2)</f>
        <v>53.1</v>
      </c>
      <c r="S146" s="1151">
        <f>ROUND(+NOMINA!AB121,2)</f>
        <v>130</v>
      </c>
      <c r="T146" s="1151">
        <f>ROUND(+NOMINA!AC121,2)</f>
        <v>12.5</v>
      </c>
      <c r="U146" s="1151">
        <f>ROUND(+NOMINA!AD121,2)</f>
        <v>0</v>
      </c>
      <c r="V146" s="1151">
        <f>ROUND(NOMINA!AQ121,2)</f>
        <v>0</v>
      </c>
      <c r="W146" s="1151">
        <f>+NOMINA!AS121</f>
        <v>0</v>
      </c>
      <c r="X146" s="1151">
        <f>+NOMINA!AT121</f>
        <v>12.5</v>
      </c>
      <c r="Y146" s="1151">
        <f>+NOMINA!AU121</f>
        <v>372.6</v>
      </c>
      <c r="Z146" s="1151">
        <f>+NOMINA!BX121</f>
        <v>698.63</v>
      </c>
      <c r="AA146" s="1151">
        <f>+NOMINA!BY121</f>
        <v>0</v>
      </c>
      <c r="AB146" s="1151">
        <f t="shared" si="11"/>
        <v>698.63</v>
      </c>
      <c r="AD146" s="634"/>
      <c r="AH146" s="1610" t="str">
        <f>NOMINA!P120</f>
        <v>01020373200000439435</v>
      </c>
    </row>
    <row r="147" spans="1:34" s="629" customFormat="1" ht="20.100000000000001" customHeight="1" thickBot="1">
      <c r="A147" s="770" t="s">
        <v>2846</v>
      </c>
      <c r="B147" s="771">
        <f t="shared" si="12"/>
        <v>80</v>
      </c>
      <c r="C147" s="1145">
        <f>NOMINA!C122</f>
        <v>12798736</v>
      </c>
      <c r="D147" s="1146" t="str">
        <f>NOMINA!D122</f>
        <v>Gonzalez Pabon Marianela</v>
      </c>
      <c r="E147" s="1613" t="s">
        <v>4622</v>
      </c>
      <c r="F147" s="1153">
        <v>32351</v>
      </c>
      <c r="G147" s="1613" t="s">
        <v>4620</v>
      </c>
      <c r="H147" s="1572">
        <f>NOMINA!H122</f>
        <v>39479</v>
      </c>
      <c r="I147" s="1148">
        <f>NOMINA!I123</f>
        <v>7</v>
      </c>
      <c r="J147" s="1149">
        <f>NOMINA!J123</f>
        <v>0</v>
      </c>
      <c r="K147" s="1148">
        <f t="shared" si="10"/>
        <v>7</v>
      </c>
      <c r="L147" s="1149" t="s">
        <v>4932</v>
      </c>
      <c r="M147" s="1149"/>
      <c r="N147" s="1573" t="str">
        <f>NOMINA!O122</f>
        <v>Analista de Personal VI</v>
      </c>
      <c r="O147" s="1149">
        <v>1.02087691000006E+18</v>
      </c>
      <c r="P147" s="1150">
        <f>ROUND(+NOMINA!T122,2)</f>
        <v>316</v>
      </c>
      <c r="Q147" s="1151">
        <v>0</v>
      </c>
      <c r="R147" s="1151">
        <f>ROUND(+NOMINA!AA122,2)</f>
        <v>94.8</v>
      </c>
      <c r="S147" s="1151">
        <f>ROUND(+NOMINA!AB122,2)</f>
        <v>130</v>
      </c>
      <c r="T147" s="1151">
        <f>ROUND(+NOMINA!AC122,2)</f>
        <v>12.5</v>
      </c>
      <c r="U147" s="1151">
        <f>ROUND(+NOMINA!AD122,2)</f>
        <v>138.33000000000001</v>
      </c>
      <c r="V147" s="1151">
        <f>ROUND(NOMINA!AQ122,2)</f>
        <v>0</v>
      </c>
      <c r="W147" s="1151">
        <f>+NOMINA!AS122</f>
        <v>0</v>
      </c>
      <c r="X147" s="1151">
        <f>+NOMINA!AT122</f>
        <v>0</v>
      </c>
      <c r="Y147" s="1151">
        <f>+NOMINA!AU122</f>
        <v>691.63</v>
      </c>
      <c r="Z147" s="1151">
        <f>+NOMINA!BX122</f>
        <v>1296.81</v>
      </c>
      <c r="AA147" s="1151">
        <f>+NOMINA!BY122</f>
        <v>0</v>
      </c>
      <c r="AB147" s="1151">
        <f t="shared" si="11"/>
        <v>1296.81</v>
      </c>
      <c r="AD147" s="634"/>
      <c r="AH147" s="1610" t="str">
        <f>NOMINA!P121</f>
        <v>01020373210000439448</v>
      </c>
    </row>
    <row r="148" spans="1:34" s="629" customFormat="1" ht="20.100000000000001" customHeight="1" thickBot="1">
      <c r="A148" s="770" t="s">
        <v>2846</v>
      </c>
      <c r="B148" s="771">
        <f t="shared" si="12"/>
        <v>81</v>
      </c>
      <c r="C148" s="1145">
        <f>NOMINA!C123</f>
        <v>12939010</v>
      </c>
      <c r="D148" s="1146" t="str">
        <f>NOMINA!D123</f>
        <v>Mendez de Viloria Yelitza Del Valle</v>
      </c>
      <c r="E148" s="1613" t="s">
        <v>4622</v>
      </c>
      <c r="F148" s="1153">
        <v>32351</v>
      </c>
      <c r="G148" s="1613" t="s">
        <v>4620</v>
      </c>
      <c r="H148" s="1572">
        <f>NOMINA!H123</f>
        <v>42948</v>
      </c>
      <c r="I148" s="1148">
        <f>NOMINA!I124</f>
        <v>7</v>
      </c>
      <c r="J148" s="1149">
        <f>NOMINA!J124</f>
        <v>0</v>
      </c>
      <c r="K148" s="1148">
        <f t="shared" si="10"/>
        <v>7</v>
      </c>
      <c r="L148" s="1149" t="s">
        <v>4932</v>
      </c>
      <c r="M148" s="1149"/>
      <c r="N148" s="1573" t="str">
        <f>NOMINA!O123</f>
        <v>Asistente Administrativo III</v>
      </c>
      <c r="O148" s="1149">
        <v>1.02087691000006E+18</v>
      </c>
      <c r="P148" s="1150">
        <f>ROUND(+NOMINA!T123,2)</f>
        <v>221</v>
      </c>
      <c r="Q148" s="1151">
        <v>0</v>
      </c>
      <c r="R148" s="1151">
        <f>ROUND(+NOMINA!AA123,2)</f>
        <v>16.350000000000001</v>
      </c>
      <c r="S148" s="1151">
        <f>ROUND(+NOMINA!AB123,2)</f>
        <v>130</v>
      </c>
      <c r="T148" s="1151">
        <f>ROUND(+NOMINA!AC123,2)</f>
        <v>0</v>
      </c>
      <c r="U148" s="1151">
        <f>ROUND(+NOMINA!AD123,2)</f>
        <v>91.84</v>
      </c>
      <c r="V148" s="1151">
        <f>ROUND(NOMINA!AQ123,2)</f>
        <v>0</v>
      </c>
      <c r="W148" s="1151">
        <f>+NOMINA!AS123</f>
        <v>0</v>
      </c>
      <c r="X148" s="1151">
        <f>+NOMINA!AT123</f>
        <v>0</v>
      </c>
      <c r="Y148" s="1151">
        <f>+NOMINA!AU123</f>
        <v>459.19</v>
      </c>
      <c r="Z148" s="1151">
        <f>+NOMINA!BX123</f>
        <v>860.98</v>
      </c>
      <c r="AA148" s="1151">
        <f>+NOMINA!BY123</f>
        <v>0</v>
      </c>
      <c r="AB148" s="1151">
        <f t="shared" si="11"/>
        <v>860.98</v>
      </c>
      <c r="AD148" s="634"/>
      <c r="AH148" s="1610" t="str">
        <f>NOMINA!P122</f>
        <v>01020373210000439451</v>
      </c>
    </row>
    <row r="149" spans="1:34" s="629" customFormat="1" ht="20.100000000000001" customHeight="1" thickBot="1">
      <c r="A149" s="770" t="s">
        <v>2846</v>
      </c>
      <c r="B149" s="771">
        <f t="shared" si="12"/>
        <v>82</v>
      </c>
      <c r="C149" s="1145">
        <f>NOMINA!C124</f>
        <v>12941385</v>
      </c>
      <c r="D149" s="1146" t="str">
        <f>NOMINA!D124</f>
        <v>Torres de Gonzalez Milangela Maria</v>
      </c>
      <c r="E149" s="1613" t="s">
        <v>4622</v>
      </c>
      <c r="F149" s="1153">
        <v>32351</v>
      </c>
      <c r="G149" s="1613" t="s">
        <v>4620</v>
      </c>
      <c r="H149" s="1572">
        <f>NOMINA!H124</f>
        <v>42948</v>
      </c>
      <c r="I149" s="1148">
        <f>NOMINA!I125</f>
        <v>5</v>
      </c>
      <c r="J149" s="1149">
        <f>NOMINA!J125</f>
        <v>0</v>
      </c>
      <c r="K149" s="1148">
        <f t="shared" si="10"/>
        <v>5</v>
      </c>
      <c r="L149" s="1149" t="s">
        <v>4932</v>
      </c>
      <c r="M149" s="1149"/>
      <c r="N149" s="1573" t="str">
        <f>NOMINA!O124</f>
        <v>Tutor Facilitador III</v>
      </c>
      <c r="O149" s="1149">
        <v>1.02087691000006E+18</v>
      </c>
      <c r="P149" s="1150">
        <f>ROUND(+NOMINA!T124,2)</f>
        <v>279</v>
      </c>
      <c r="Q149" s="1151">
        <v>0</v>
      </c>
      <c r="R149" s="1151">
        <f>ROUND(+NOMINA!AA124,2)</f>
        <v>20.65</v>
      </c>
      <c r="S149" s="1151">
        <f>ROUND(+NOMINA!AB124,2)</f>
        <v>130</v>
      </c>
      <c r="T149" s="1151">
        <f>ROUND(+NOMINA!AC124,2)</f>
        <v>0</v>
      </c>
      <c r="U149" s="1151">
        <f>ROUND(+NOMINA!AD124,2)</f>
        <v>107.41</v>
      </c>
      <c r="V149" s="1151">
        <f>ROUND(NOMINA!AQ124,2)</f>
        <v>0</v>
      </c>
      <c r="W149" s="1151">
        <f>+NOMINA!AS124</f>
        <v>0</v>
      </c>
      <c r="X149" s="1151">
        <f>+NOMINA!AT124</f>
        <v>0</v>
      </c>
      <c r="Y149" s="1151">
        <f>+NOMINA!AU124</f>
        <v>537.05999999999995</v>
      </c>
      <c r="Z149" s="1151">
        <f>+NOMINA!BX124</f>
        <v>1006.99</v>
      </c>
      <c r="AA149" s="1151">
        <f>+NOMINA!BY124</f>
        <v>0</v>
      </c>
      <c r="AB149" s="1151">
        <f t="shared" si="11"/>
        <v>1006.99</v>
      </c>
      <c r="AD149" s="634"/>
      <c r="AH149" s="1610" t="str">
        <f>NOMINA!P123</f>
        <v>01020369420000374529</v>
      </c>
    </row>
    <row r="150" spans="1:34" s="629" customFormat="1" ht="20.100000000000001" customHeight="1" thickBot="1">
      <c r="A150" s="770" t="s">
        <v>2846</v>
      </c>
      <c r="B150" s="771">
        <f t="shared" si="12"/>
        <v>83</v>
      </c>
      <c r="C150" s="1145">
        <f>NOMINA!C125</f>
        <v>13117904</v>
      </c>
      <c r="D150" s="1146" t="str">
        <f>NOMINA!D125</f>
        <v>Villegas Jaime Antonio</v>
      </c>
      <c r="E150" s="1613" t="s">
        <v>4622</v>
      </c>
      <c r="F150" s="1153">
        <v>32351</v>
      </c>
      <c r="G150" s="1613" t="s">
        <v>4620</v>
      </c>
      <c r="H150" s="1572">
        <f>NOMINA!H125</f>
        <v>43693</v>
      </c>
      <c r="I150" s="1148">
        <f>NOMINA!I126</f>
        <v>2</v>
      </c>
      <c r="J150" s="1149">
        <f>NOMINA!J126</f>
        <v>0</v>
      </c>
      <c r="K150" s="1148">
        <f t="shared" si="10"/>
        <v>2</v>
      </c>
      <c r="L150" s="1149" t="s">
        <v>4932</v>
      </c>
      <c r="M150" s="1149"/>
      <c r="N150" s="1573" t="str">
        <f>NOMINA!O125</f>
        <v>Guia de Centro I</v>
      </c>
      <c r="O150" s="1149">
        <v>1.02087691000006E+18</v>
      </c>
      <c r="P150" s="1150">
        <f>ROUND(+NOMINA!T125,2)</f>
        <v>150</v>
      </c>
      <c r="Q150" s="1151">
        <v>0</v>
      </c>
      <c r="R150" s="1151">
        <f>ROUND(+NOMINA!AA125,2)</f>
        <v>7.5</v>
      </c>
      <c r="S150" s="1151">
        <f>ROUND(+NOMINA!AB125,2)</f>
        <v>130</v>
      </c>
      <c r="T150" s="1151">
        <f>ROUND(+NOMINA!AC125,2)</f>
        <v>12.5</v>
      </c>
      <c r="U150" s="1151">
        <f>ROUND(+NOMINA!AD125,2)</f>
        <v>0</v>
      </c>
      <c r="V150" s="1151">
        <f>ROUND(NOMINA!AQ125,2)</f>
        <v>0</v>
      </c>
      <c r="W150" s="1151">
        <f>+NOMINA!AS125</f>
        <v>0</v>
      </c>
      <c r="X150" s="1151">
        <f>+NOMINA!AT125</f>
        <v>12.5</v>
      </c>
      <c r="Y150" s="1151">
        <f>+NOMINA!AU125</f>
        <v>390</v>
      </c>
      <c r="Z150" s="1151">
        <f>+NOMINA!BX125</f>
        <v>731.25</v>
      </c>
      <c r="AA150" s="1151">
        <f>+NOMINA!BY125</f>
        <v>0</v>
      </c>
      <c r="AB150" s="1151">
        <f t="shared" si="11"/>
        <v>731.25</v>
      </c>
      <c r="AD150" s="634"/>
      <c r="AH150" s="1610" t="str">
        <f>NOMINA!P124</f>
        <v>01020369410100085388</v>
      </c>
    </row>
    <row r="151" spans="1:34" s="629" customFormat="1" ht="20.100000000000001" customHeight="1" thickBot="1">
      <c r="A151" s="770" t="s">
        <v>2846</v>
      </c>
      <c r="B151" s="771">
        <f t="shared" si="12"/>
        <v>84</v>
      </c>
      <c r="C151" s="1145">
        <f>NOMINA!C126</f>
        <v>13206767</v>
      </c>
      <c r="D151" s="1146" t="str">
        <f>NOMINA!D126</f>
        <v>Bastidas Guerra Soralis del Valle</v>
      </c>
      <c r="E151" s="1613" t="s">
        <v>4622</v>
      </c>
      <c r="F151" s="1153">
        <v>32351</v>
      </c>
      <c r="G151" s="1613" t="s">
        <v>4620</v>
      </c>
      <c r="H151" s="1572">
        <f>NOMINA!H126</f>
        <v>44713</v>
      </c>
      <c r="I151" s="1148">
        <f>NOMINA!I127</f>
        <v>19</v>
      </c>
      <c r="J151" s="1149">
        <f>NOMINA!J127</f>
        <v>0</v>
      </c>
      <c r="K151" s="1148">
        <f t="shared" si="10"/>
        <v>19</v>
      </c>
      <c r="L151" s="1149" t="s">
        <v>4932</v>
      </c>
      <c r="M151" s="1149"/>
      <c r="N151" s="1573" t="str">
        <f>NOMINA!O126</f>
        <v>Abogado I</v>
      </c>
      <c r="O151" s="1149">
        <v>1.02087691000006E+18</v>
      </c>
      <c r="P151" s="1150">
        <f>ROUND(+NOMINA!T126,2)</f>
        <v>0</v>
      </c>
      <c r="Q151" s="1151">
        <v>0</v>
      </c>
      <c r="R151" s="1151">
        <f>ROUND(+NOMINA!AA126,2)</f>
        <v>0</v>
      </c>
      <c r="S151" s="1151">
        <f>ROUND(+NOMINA!AB126,2)</f>
        <v>0</v>
      </c>
      <c r="T151" s="1151">
        <f>ROUND(+NOMINA!AC126,2)</f>
        <v>0</v>
      </c>
      <c r="U151" s="1151">
        <f>ROUND(+NOMINA!AD126,2)</f>
        <v>0</v>
      </c>
      <c r="V151" s="1151">
        <f>ROUND(NOMINA!AQ126,2)</f>
        <v>0</v>
      </c>
      <c r="W151" s="1151">
        <f>+NOMINA!AS126</f>
        <v>0</v>
      </c>
      <c r="X151" s="1151">
        <f>+NOMINA!AT126</f>
        <v>0</v>
      </c>
      <c r="Y151" s="1151">
        <f>+NOMINA!AU126</f>
        <v>0</v>
      </c>
      <c r="Z151" s="1151">
        <f>+NOMINA!BX126</f>
        <v>0</v>
      </c>
      <c r="AA151" s="1151">
        <f>+NOMINA!BY126</f>
        <v>0</v>
      </c>
      <c r="AB151" s="1151">
        <f t="shared" si="11"/>
        <v>0</v>
      </c>
      <c r="AD151" s="634"/>
      <c r="AH151" s="1610" t="str">
        <f>NOMINA!P125</f>
        <v>01020373290100099144</v>
      </c>
    </row>
    <row r="152" spans="1:34" s="629" customFormat="1" ht="20.100000000000001" customHeight="1" thickBot="1">
      <c r="A152" s="770" t="s">
        <v>2846</v>
      </c>
      <c r="B152" s="771">
        <f t="shared" si="12"/>
        <v>85</v>
      </c>
      <c r="C152" s="1145">
        <f>NOMINA!C127</f>
        <v>13207692</v>
      </c>
      <c r="D152" s="1146" t="str">
        <f>NOMINA!D127</f>
        <v>Macias Briceño Alejandra Coromoto</v>
      </c>
      <c r="E152" s="1613" t="s">
        <v>4622</v>
      </c>
      <c r="F152" s="1153">
        <v>32351</v>
      </c>
      <c r="G152" s="1613" t="s">
        <v>4620</v>
      </c>
      <c r="H152" s="1572">
        <f>NOMINA!H127</f>
        <v>38504</v>
      </c>
      <c r="I152" s="1148">
        <f>NOMINA!I128</f>
        <v>0</v>
      </c>
      <c r="J152" s="1149">
        <f>NOMINA!J128</f>
        <v>12</v>
      </c>
      <c r="K152" s="1148">
        <f t="shared" si="10"/>
        <v>12</v>
      </c>
      <c r="L152" s="1149" t="s">
        <v>4932</v>
      </c>
      <c r="M152" s="1149"/>
      <c r="N152" s="1573" t="str">
        <f>NOMINA!O127</f>
        <v>Administrador III</v>
      </c>
      <c r="O152" s="1149">
        <v>1.02087691000006E+18</v>
      </c>
      <c r="P152" s="1150">
        <f>ROUND(+NOMINA!T127,2)</f>
        <v>287</v>
      </c>
      <c r="Q152" s="1151">
        <v>0</v>
      </c>
      <c r="R152" s="1151">
        <f>ROUND(+NOMINA!AA127,2)</f>
        <v>70.03</v>
      </c>
      <c r="S152" s="1151">
        <f>ROUND(+NOMINA!AB127,2)</f>
        <v>130</v>
      </c>
      <c r="T152" s="1151">
        <f>ROUND(+NOMINA!AC127,2)</f>
        <v>25</v>
      </c>
      <c r="U152" s="1151">
        <f>ROUND(+NOMINA!AD127,2)</f>
        <v>128.01</v>
      </c>
      <c r="V152" s="1151">
        <f>ROUND(NOMINA!AQ127,2)</f>
        <v>0</v>
      </c>
      <c r="W152" s="1151">
        <f>+NOMINA!AS127</f>
        <v>0</v>
      </c>
      <c r="X152" s="1151">
        <f>+NOMINA!AT127</f>
        <v>25</v>
      </c>
      <c r="Y152" s="1151">
        <f>+NOMINA!AU127</f>
        <v>640.04</v>
      </c>
      <c r="Z152" s="1151">
        <f>+NOMINA!BX127</f>
        <v>1200.08</v>
      </c>
      <c r="AA152" s="1151">
        <f>+NOMINA!BY127</f>
        <v>0</v>
      </c>
      <c r="AB152" s="1151">
        <f t="shared" si="11"/>
        <v>1200.08</v>
      </c>
      <c r="AD152" s="634"/>
      <c r="AH152" s="1610" t="str">
        <f>NOMINA!P126</f>
        <v>01020345720000067289</v>
      </c>
    </row>
    <row r="153" spans="1:34" s="629" customFormat="1" ht="20.100000000000001" customHeight="1" thickBot="1">
      <c r="A153" s="770" t="s">
        <v>2846</v>
      </c>
      <c r="B153" s="771">
        <f t="shared" si="12"/>
        <v>86</v>
      </c>
      <c r="C153" s="1145">
        <f>NOMINA!C128</f>
        <v>13260050</v>
      </c>
      <c r="D153" s="1146" t="str">
        <f>NOMINA!D128</f>
        <v>Mendoza Vieras Maria Elena</v>
      </c>
      <c r="E153" s="1613" t="s">
        <v>4622</v>
      </c>
      <c r="F153" s="1153">
        <v>32351</v>
      </c>
      <c r="G153" s="1613" t="s">
        <v>4620</v>
      </c>
      <c r="H153" s="1572">
        <f>NOMINA!H128</f>
        <v>45444</v>
      </c>
      <c r="I153" s="1148">
        <f>NOMINA!I129</f>
        <v>0</v>
      </c>
      <c r="J153" s="1149">
        <f>NOMINA!J129</f>
        <v>0</v>
      </c>
      <c r="K153" s="1148">
        <f t="shared" si="10"/>
        <v>0</v>
      </c>
      <c r="L153" s="1149" t="s">
        <v>4932</v>
      </c>
      <c r="M153" s="1149"/>
      <c r="N153" s="1573" t="str">
        <f>NOMINA!O128</f>
        <v>ADMINISTRADOR III</v>
      </c>
      <c r="O153" s="1149">
        <v>1.02087691000006E+18</v>
      </c>
      <c r="P153" s="1150">
        <f>ROUND(+NOMINA!T128,2)</f>
        <v>283</v>
      </c>
      <c r="Q153" s="1151">
        <v>0</v>
      </c>
      <c r="R153" s="1151">
        <f>ROUND(+NOMINA!AA128,2)</f>
        <v>39.049999999999997</v>
      </c>
      <c r="S153" s="1151">
        <f>ROUND(+NOMINA!AB128,2)</f>
        <v>130</v>
      </c>
      <c r="T153" s="1151">
        <f>ROUND(+NOMINA!AC128,2)</f>
        <v>0</v>
      </c>
      <c r="U153" s="1151">
        <f>ROUND(+NOMINA!AD128,2)</f>
        <v>113.01</v>
      </c>
      <c r="V153" s="1151">
        <f>ROUND(NOMINA!AQ128,2)</f>
        <v>0</v>
      </c>
      <c r="W153" s="1151">
        <f>+NOMINA!AS128</f>
        <v>0</v>
      </c>
      <c r="X153" s="1151">
        <f>+NOMINA!AT128</f>
        <v>0</v>
      </c>
      <c r="Y153" s="1151">
        <f>+NOMINA!AU128</f>
        <v>565.05999999999995</v>
      </c>
      <c r="Z153" s="1151">
        <f>+NOMINA!BX128</f>
        <v>532.20000000000005</v>
      </c>
      <c r="AA153" s="1151">
        <f>+NOMINA!BY128</f>
        <v>0</v>
      </c>
      <c r="AB153" s="1151">
        <f t="shared" si="11"/>
        <v>532.20000000000005</v>
      </c>
      <c r="AD153" s="634"/>
      <c r="AH153" s="1610" t="str">
        <f>NOMINA!P127</f>
        <v>01020373280000440408</v>
      </c>
    </row>
    <row r="154" spans="1:34" s="629" customFormat="1" ht="20.100000000000001" customHeight="1" thickBot="1">
      <c r="A154" s="770" t="s">
        <v>2846</v>
      </c>
      <c r="B154" s="771">
        <f t="shared" si="12"/>
        <v>87</v>
      </c>
      <c r="C154" s="1145">
        <f>NOMINA!C129</f>
        <v>13260933</v>
      </c>
      <c r="D154" s="1146" t="str">
        <f>NOMINA!D129</f>
        <v>Venegas Azuaje Freddy Jose</v>
      </c>
      <c r="E154" s="1613" t="s">
        <v>4622</v>
      </c>
      <c r="F154" s="1153">
        <v>32351</v>
      </c>
      <c r="G154" s="1613" t="s">
        <v>4620</v>
      </c>
      <c r="H154" s="1572">
        <f>NOMINA!H129</f>
        <v>45474</v>
      </c>
      <c r="I154" s="1148">
        <f>NOMINA!I130</f>
        <v>5</v>
      </c>
      <c r="J154" s="1149">
        <f>NOMINA!J130</f>
        <v>0</v>
      </c>
      <c r="K154" s="1148">
        <f t="shared" si="10"/>
        <v>5</v>
      </c>
      <c r="L154" s="1149" t="s">
        <v>4932</v>
      </c>
      <c r="M154" s="1149"/>
      <c r="N154" s="1573" t="str">
        <f>NOMINA!O129</f>
        <v>Guia de Centro I</v>
      </c>
      <c r="O154" s="1149">
        <v>1.02087691000006E+18</v>
      </c>
      <c r="P154" s="1150">
        <f>ROUND(+NOMINA!T129,2)</f>
        <v>130</v>
      </c>
      <c r="Q154" s="1151">
        <v>0</v>
      </c>
      <c r="R154" s="1151">
        <f>ROUND(+NOMINA!AA129,2)</f>
        <v>0</v>
      </c>
      <c r="S154" s="1151">
        <f>ROUND(+NOMINA!AB129,2)</f>
        <v>130</v>
      </c>
      <c r="T154" s="1151">
        <f>ROUND(+NOMINA!AC129,2)</f>
        <v>0</v>
      </c>
      <c r="U154" s="1151">
        <f>ROUND(+NOMINA!AD129,2)</f>
        <v>0</v>
      </c>
      <c r="V154" s="1151">
        <f>ROUND(NOMINA!AQ129,2)</f>
        <v>0</v>
      </c>
      <c r="W154" s="1151">
        <f>+NOMINA!AS129</f>
        <v>0</v>
      </c>
      <c r="X154" s="1151">
        <f>+NOMINA!AT129</f>
        <v>0</v>
      </c>
      <c r="Y154" s="1151">
        <f>+NOMINA!AU129</f>
        <v>338</v>
      </c>
      <c r="Z154" s="1151">
        <f>+NOMINA!BX129</f>
        <v>264.06</v>
      </c>
      <c r="AA154" s="1151">
        <f>+NOMINA!BY129</f>
        <v>0</v>
      </c>
      <c r="AB154" s="1151">
        <f t="shared" si="11"/>
        <v>264.06</v>
      </c>
      <c r="AD154" s="634"/>
      <c r="AH154" s="1610" t="str">
        <f>NOMINA!P128</f>
        <v>01020373280000440411</v>
      </c>
    </row>
    <row r="155" spans="1:34" s="629" customFormat="1" ht="20.100000000000001" customHeight="1" thickBot="1">
      <c r="A155" s="770" t="s">
        <v>2846</v>
      </c>
      <c r="B155" s="771">
        <f t="shared" si="12"/>
        <v>88</v>
      </c>
      <c r="C155" s="1145">
        <f>NOMINA!C130</f>
        <v>13261035</v>
      </c>
      <c r="D155" s="1146" t="str">
        <f>NOMINA!D130</f>
        <v>Henry Peña Yokary Nakary</v>
      </c>
      <c r="E155" s="1613" t="s">
        <v>4622</v>
      </c>
      <c r="F155" s="1153">
        <v>32351</v>
      </c>
      <c r="G155" s="1613" t="s">
        <v>4620</v>
      </c>
      <c r="H155" s="1572">
        <f>NOMINA!H130</f>
        <v>43770</v>
      </c>
      <c r="I155" s="1148">
        <f>NOMINA!I131</f>
        <v>8</v>
      </c>
      <c r="J155" s="1149">
        <f>NOMINA!J131</f>
        <v>0</v>
      </c>
      <c r="K155" s="1148">
        <f t="shared" si="10"/>
        <v>8</v>
      </c>
      <c r="L155" s="1149" t="s">
        <v>4932</v>
      </c>
      <c r="M155" s="1149"/>
      <c r="N155" s="1573" t="str">
        <f>NOMINA!O130</f>
        <v>Entrenador Deportivo V</v>
      </c>
      <c r="O155" s="1149">
        <v>1.02087691000006E+18</v>
      </c>
      <c r="P155" s="1150">
        <f>ROUND(+NOMINA!T130,2)</f>
        <v>277</v>
      </c>
      <c r="Q155" s="1151">
        <v>0</v>
      </c>
      <c r="R155" s="1151">
        <f>ROUND(+NOMINA!AA130,2)</f>
        <v>13.85</v>
      </c>
      <c r="S155" s="1151">
        <f>ROUND(+NOMINA!AB130,2)</f>
        <v>130</v>
      </c>
      <c r="T155" s="1151">
        <f>ROUND(+NOMINA!AC130,2)</f>
        <v>0</v>
      </c>
      <c r="U155" s="1151">
        <f>ROUND(+NOMINA!AD130,2)</f>
        <v>105.21</v>
      </c>
      <c r="V155" s="1151">
        <f>ROUND(NOMINA!AQ130,2)</f>
        <v>0</v>
      </c>
      <c r="W155" s="1151">
        <f>+NOMINA!AS130</f>
        <v>0</v>
      </c>
      <c r="X155" s="1151">
        <f>+NOMINA!AT130</f>
        <v>0</v>
      </c>
      <c r="Y155" s="1151">
        <f>+NOMINA!AU130</f>
        <v>526.05999999999995</v>
      </c>
      <c r="Z155" s="1151">
        <f>+NOMINA!BX130</f>
        <v>986.36</v>
      </c>
      <c r="AA155" s="1151">
        <f>+NOMINA!BY130</f>
        <v>0</v>
      </c>
      <c r="AB155" s="1151">
        <f t="shared" si="11"/>
        <v>986.36</v>
      </c>
      <c r="AD155" s="634"/>
      <c r="AH155" s="1610" t="str">
        <f>NOMINA!P129</f>
        <v>01020501820002859149</v>
      </c>
    </row>
    <row r="156" spans="1:34" s="629" customFormat="1" ht="20.100000000000001" customHeight="1" thickBot="1">
      <c r="A156" s="770" t="s">
        <v>2846</v>
      </c>
      <c r="B156" s="771">
        <f t="shared" si="12"/>
        <v>89</v>
      </c>
      <c r="C156" s="1145">
        <f>NOMINA!C131</f>
        <v>13261229</v>
      </c>
      <c r="D156" s="1146" t="str">
        <f>NOMINA!D131</f>
        <v>Abreu Rodriguez Eva Del Carmen</v>
      </c>
      <c r="E156" s="1613" t="s">
        <v>4622</v>
      </c>
      <c r="F156" s="1153">
        <v>32351</v>
      </c>
      <c r="G156" s="1613" t="s">
        <v>4620</v>
      </c>
      <c r="H156" s="1572">
        <f>NOMINA!H131</f>
        <v>42644</v>
      </c>
      <c r="I156" s="1148">
        <f>NOMINA!I132</f>
        <v>2</v>
      </c>
      <c r="J156" s="1149">
        <f>NOMINA!J132</f>
        <v>2</v>
      </c>
      <c r="K156" s="1148">
        <f t="shared" si="10"/>
        <v>4</v>
      </c>
      <c r="L156" s="1149" t="s">
        <v>4932</v>
      </c>
      <c r="M156" s="1149"/>
      <c r="N156" s="1573" t="str">
        <f>NOMINA!O131</f>
        <v>Asistente Administrativo III</v>
      </c>
      <c r="O156" s="1149">
        <v>1.02087691000006E+18</v>
      </c>
      <c r="P156" s="1150">
        <f>ROUND(+NOMINA!T131,2)</f>
        <v>221</v>
      </c>
      <c r="Q156" s="1151">
        <v>0</v>
      </c>
      <c r="R156" s="1151">
        <f>ROUND(+NOMINA!AA131,2)</f>
        <v>19.010000000000002</v>
      </c>
      <c r="S156" s="1151">
        <f>ROUND(+NOMINA!AB131,2)</f>
        <v>130</v>
      </c>
      <c r="T156" s="1151">
        <f>ROUND(+NOMINA!AC131,2)</f>
        <v>12.5</v>
      </c>
      <c r="U156" s="1151">
        <f>ROUND(+NOMINA!AD131,2)</f>
        <v>76.5</v>
      </c>
      <c r="V156" s="1151">
        <f>ROUND(NOMINA!AQ131,2)</f>
        <v>0</v>
      </c>
      <c r="W156" s="1151">
        <f>+NOMINA!AS131</f>
        <v>0</v>
      </c>
      <c r="X156" s="1151">
        <f>+NOMINA!AT131</f>
        <v>12.5</v>
      </c>
      <c r="Y156" s="1151">
        <f>+NOMINA!AU131</f>
        <v>459.01</v>
      </c>
      <c r="Z156" s="1151">
        <f>+NOMINA!BX131</f>
        <v>860.65</v>
      </c>
      <c r="AA156" s="1151">
        <f>+NOMINA!BY131</f>
        <v>0</v>
      </c>
      <c r="AB156" s="1151">
        <f t="shared" si="11"/>
        <v>860.65</v>
      </c>
      <c r="AD156" s="634"/>
      <c r="AH156" s="1610" t="str">
        <f>NOMINA!P130</f>
        <v>01020373250100082685</v>
      </c>
    </row>
    <row r="157" spans="1:34" s="629" customFormat="1" ht="20.100000000000001" customHeight="1" thickBot="1">
      <c r="A157" s="770" t="s">
        <v>2846</v>
      </c>
      <c r="B157" s="771">
        <f t="shared" si="12"/>
        <v>90</v>
      </c>
      <c r="C157" s="1145">
        <f>NOMINA!C132</f>
        <v>13461747</v>
      </c>
      <c r="D157" s="1146" t="str">
        <f>NOMINA!D132</f>
        <v>Santos Hernandez Karine Yenilet</v>
      </c>
      <c r="E157" s="1613" t="s">
        <v>4622</v>
      </c>
      <c r="F157" s="1153">
        <v>32351</v>
      </c>
      <c r="G157" s="1613" t="s">
        <v>4620</v>
      </c>
      <c r="H157" s="1572">
        <f>NOMINA!H132</f>
        <v>44683</v>
      </c>
      <c r="I157" s="1148">
        <f>NOMINA!I133</f>
        <v>6</v>
      </c>
      <c r="J157" s="1149">
        <f>NOMINA!J133</f>
        <v>0</v>
      </c>
      <c r="K157" s="1148">
        <f t="shared" si="10"/>
        <v>6</v>
      </c>
      <c r="L157" s="1149" t="s">
        <v>4932</v>
      </c>
      <c r="M157" s="1149"/>
      <c r="N157" s="1573" t="str">
        <f>NOMINA!O132</f>
        <v>Asistente Administrativo III</v>
      </c>
      <c r="O157" s="1149">
        <v>1.02087691000006E+18</v>
      </c>
      <c r="P157" s="1150">
        <f>ROUND(+NOMINA!T132,2)</f>
        <v>219</v>
      </c>
      <c r="Q157" s="1151">
        <v>0</v>
      </c>
      <c r="R157" s="1151">
        <f>ROUND(+NOMINA!AA132,2)</f>
        <v>8.76</v>
      </c>
      <c r="S157" s="1151">
        <f>ROUND(+NOMINA!AB132,2)</f>
        <v>130</v>
      </c>
      <c r="T157" s="1151">
        <f>ROUND(+NOMINA!AC132,2)</f>
        <v>0</v>
      </c>
      <c r="U157" s="1151">
        <f>ROUND(+NOMINA!AD132,2)</f>
        <v>71.55</v>
      </c>
      <c r="V157" s="1151">
        <f>ROUND(NOMINA!AQ132,2)</f>
        <v>0</v>
      </c>
      <c r="W157" s="1151">
        <f>+NOMINA!AS132</f>
        <v>0</v>
      </c>
      <c r="X157" s="1151">
        <f>+NOMINA!AT132</f>
        <v>0</v>
      </c>
      <c r="Y157" s="1151">
        <f>+NOMINA!AU132</f>
        <v>429.31</v>
      </c>
      <c r="Z157" s="1151">
        <f>+NOMINA!BX132</f>
        <v>804.96</v>
      </c>
      <c r="AA157" s="1151">
        <f>+NOMINA!BY132</f>
        <v>0</v>
      </c>
      <c r="AB157" s="1151">
        <f t="shared" si="11"/>
        <v>804.96</v>
      </c>
      <c r="AD157" s="634"/>
      <c r="AH157" s="1610" t="str">
        <f>NOMINA!P131</f>
        <v>01020373230000440453</v>
      </c>
    </row>
    <row r="158" spans="1:34" s="629" customFormat="1" ht="20.100000000000001" customHeight="1" thickBot="1">
      <c r="A158" s="770" t="s">
        <v>2846</v>
      </c>
      <c r="B158" s="771">
        <f t="shared" si="12"/>
        <v>91</v>
      </c>
      <c r="C158" s="1145">
        <f>NOMINA!C133</f>
        <v>13461934</v>
      </c>
      <c r="D158" s="1146" t="str">
        <f>NOMINA!D133</f>
        <v>Ramirez Ayala Jenny Marisela</v>
      </c>
      <c r="E158" s="1613" t="s">
        <v>4622</v>
      </c>
      <c r="F158" s="1153">
        <v>32351</v>
      </c>
      <c r="G158" s="1613" t="s">
        <v>4620</v>
      </c>
      <c r="H158" s="1572">
        <f>NOMINA!H133</f>
        <v>43252</v>
      </c>
      <c r="I158" s="1148">
        <f>NOMINA!I134</f>
        <v>17</v>
      </c>
      <c r="J158" s="1149">
        <f>NOMINA!J134</f>
        <v>6</v>
      </c>
      <c r="K158" s="1148">
        <f t="shared" si="10"/>
        <v>23</v>
      </c>
      <c r="L158" s="1149" t="s">
        <v>4932</v>
      </c>
      <c r="M158" s="1149"/>
      <c r="N158" s="1573" t="str">
        <f>NOMINA!O133</f>
        <v>Guia de Centro II</v>
      </c>
      <c r="O158" s="1149">
        <v>1.02087691000006E+18</v>
      </c>
      <c r="P158" s="1150">
        <f>ROUND(+NOMINA!T133,2)</f>
        <v>170</v>
      </c>
      <c r="Q158" s="1151">
        <v>0</v>
      </c>
      <c r="R158" s="1151">
        <f>ROUND(+NOMINA!AA133,2)</f>
        <v>10.54</v>
      </c>
      <c r="S158" s="1151">
        <f>ROUND(+NOMINA!AB133,2)</f>
        <v>130</v>
      </c>
      <c r="T158" s="1151">
        <f>ROUND(+NOMINA!AC133,2)</f>
        <v>0</v>
      </c>
      <c r="U158" s="1151">
        <f>ROUND(+NOMINA!AD133,2)</f>
        <v>0</v>
      </c>
      <c r="V158" s="1151">
        <f>ROUND(NOMINA!AQ133,2)</f>
        <v>0</v>
      </c>
      <c r="W158" s="1151">
        <f>+NOMINA!AS133</f>
        <v>0</v>
      </c>
      <c r="X158" s="1151">
        <f>+NOMINA!AT133</f>
        <v>0</v>
      </c>
      <c r="Y158" s="1151">
        <f>+NOMINA!AU133</f>
        <v>403.69999999999993</v>
      </c>
      <c r="Z158" s="1151">
        <f>+NOMINA!BX133</f>
        <v>756.94</v>
      </c>
      <c r="AA158" s="1151">
        <f>+NOMINA!BY133</f>
        <v>0</v>
      </c>
      <c r="AB158" s="1151">
        <f t="shared" si="11"/>
        <v>756.94</v>
      </c>
      <c r="AD158" s="634"/>
      <c r="AH158" s="1610" t="str">
        <f>NOMINA!P132</f>
        <v>01020747920000279093</v>
      </c>
    </row>
    <row r="159" spans="1:34" s="629" customFormat="1" ht="20.100000000000001" customHeight="1" thickBot="1">
      <c r="A159" s="770" t="s">
        <v>2846</v>
      </c>
      <c r="B159" s="771">
        <f t="shared" si="12"/>
        <v>92</v>
      </c>
      <c r="C159" s="1145">
        <f>NOMINA!C134</f>
        <v>13462933</v>
      </c>
      <c r="D159" s="1146" t="str">
        <f>NOMINA!D134</f>
        <v>Frias Aldana Maria Yaritza</v>
      </c>
      <c r="E159" s="1613" t="s">
        <v>4622</v>
      </c>
      <c r="F159" s="1153">
        <v>32351</v>
      </c>
      <c r="G159" s="1613" t="s">
        <v>4620</v>
      </c>
      <c r="H159" s="1572">
        <f>NOMINA!H134</f>
        <v>39454</v>
      </c>
      <c r="I159" s="1148">
        <f>NOMINA!I135</f>
        <v>5</v>
      </c>
      <c r="J159" s="1149">
        <f>NOMINA!J135</f>
        <v>8</v>
      </c>
      <c r="K159" s="1148">
        <f t="shared" si="10"/>
        <v>13</v>
      </c>
      <c r="L159" s="1149" t="s">
        <v>4932</v>
      </c>
      <c r="M159" s="1149"/>
      <c r="N159" s="1573" t="str">
        <f>NOMINA!O134</f>
        <v>Administrador Jefe</v>
      </c>
      <c r="O159" s="1149">
        <v>1.02087691000006E+18</v>
      </c>
      <c r="P159" s="1150">
        <f>ROUND(+NOMINA!T134,2)</f>
        <v>0</v>
      </c>
      <c r="Q159" s="1151">
        <v>0</v>
      </c>
      <c r="R159" s="1151">
        <f>ROUND(+NOMINA!AA134,2)</f>
        <v>0</v>
      </c>
      <c r="S159" s="1151">
        <f>ROUND(+NOMINA!AB134,2)</f>
        <v>0</v>
      </c>
      <c r="T159" s="1151">
        <f>ROUND(+NOMINA!AC134,2)</f>
        <v>0</v>
      </c>
      <c r="U159" s="1151">
        <f>ROUND(+NOMINA!AD134,2)</f>
        <v>0</v>
      </c>
      <c r="V159" s="1151">
        <f>ROUND(NOMINA!AQ134,2)</f>
        <v>0</v>
      </c>
      <c r="W159" s="1151">
        <f>+NOMINA!AS134</f>
        <v>0</v>
      </c>
      <c r="X159" s="1151">
        <f>+NOMINA!AT134</f>
        <v>0</v>
      </c>
      <c r="Y159" s="1151">
        <f>+NOMINA!AU134</f>
        <v>0</v>
      </c>
      <c r="Z159" s="1151">
        <f>+NOMINA!BX134</f>
        <v>0</v>
      </c>
      <c r="AA159" s="1151">
        <f>+NOMINA!BY134</f>
        <v>0</v>
      </c>
      <c r="AB159" s="1151">
        <f t="shared" si="11"/>
        <v>0</v>
      </c>
      <c r="AD159" s="634"/>
      <c r="AH159" s="1610" t="str">
        <f>NOMINA!P133</f>
        <v>01020373200000573362</v>
      </c>
    </row>
    <row r="160" spans="1:34" s="629" customFormat="1" ht="20.100000000000001" customHeight="1" thickBot="1">
      <c r="A160" s="770" t="s">
        <v>2846</v>
      </c>
      <c r="B160" s="771">
        <f t="shared" si="12"/>
        <v>93</v>
      </c>
      <c r="C160" s="1145">
        <f>NOMINA!C135</f>
        <v>13462511</v>
      </c>
      <c r="D160" s="1146" t="str">
        <f>NOMINA!D135</f>
        <v>Vielma Jenifer</v>
      </c>
      <c r="E160" s="1613" t="s">
        <v>4622</v>
      </c>
      <c r="F160" s="1153">
        <v>32351</v>
      </c>
      <c r="G160" s="1613" t="s">
        <v>4620</v>
      </c>
      <c r="H160" s="1572">
        <f>NOMINA!H135</f>
        <v>43738</v>
      </c>
      <c r="I160" s="1148">
        <f>NOMINA!I136</f>
        <v>5</v>
      </c>
      <c r="J160" s="1149">
        <f>NOMINA!J136</f>
        <v>0</v>
      </c>
      <c r="K160" s="1148">
        <f t="shared" si="10"/>
        <v>5</v>
      </c>
      <c r="L160" s="1149" t="s">
        <v>4932</v>
      </c>
      <c r="M160" s="1149"/>
      <c r="N160" s="1573" t="str">
        <f>NOMINA!O135</f>
        <v>CRIMINOLOGO</v>
      </c>
      <c r="O160" s="1149">
        <v>1.02087691000006E+18</v>
      </c>
      <c r="P160" s="1150">
        <f>ROUND(+NOMINA!T135,2)</f>
        <v>312</v>
      </c>
      <c r="Q160" s="1151">
        <v>0</v>
      </c>
      <c r="R160" s="1151">
        <f>ROUND(+NOMINA!AA135,2)</f>
        <v>47.42</v>
      </c>
      <c r="S160" s="1151">
        <f>ROUND(+NOMINA!AB135,2)</f>
        <v>130</v>
      </c>
      <c r="T160" s="1151">
        <f>ROUND(+NOMINA!AC135,2)</f>
        <v>12.5</v>
      </c>
      <c r="U160" s="1151">
        <f>ROUND(+NOMINA!AD135,2)</f>
        <v>175.67</v>
      </c>
      <c r="V160" s="1151">
        <f>ROUND(NOMINA!AQ135,2)</f>
        <v>0</v>
      </c>
      <c r="W160" s="1151">
        <f>+NOMINA!AS135</f>
        <v>0</v>
      </c>
      <c r="X160" s="1151">
        <f>+NOMINA!AT135</f>
        <v>0</v>
      </c>
      <c r="Y160" s="1151">
        <f>+NOMINA!AU135</f>
        <v>677.59</v>
      </c>
      <c r="Z160" s="1151">
        <f>+NOMINA!BX135</f>
        <v>1270.48</v>
      </c>
      <c r="AA160" s="1151">
        <f>+NOMINA!BY135</f>
        <v>0</v>
      </c>
      <c r="AB160" s="1151">
        <f t="shared" si="11"/>
        <v>1270.48</v>
      </c>
      <c r="AD160" s="634"/>
      <c r="AH160" s="1610" t="str">
        <f>NOMINA!P134</f>
        <v>01020373210000440521</v>
      </c>
    </row>
    <row r="161" spans="1:34" s="629" customFormat="1" ht="20.100000000000001" customHeight="1" thickBot="1">
      <c r="A161" s="770" t="s">
        <v>2846</v>
      </c>
      <c r="B161" s="771">
        <f t="shared" si="12"/>
        <v>94</v>
      </c>
      <c r="C161" s="1145">
        <f>NOMINA!C136</f>
        <v>13522518</v>
      </c>
      <c r="D161" s="1146" t="str">
        <f>NOMINA!D136</f>
        <v>Altuve Diaz Jose Antonio</v>
      </c>
      <c r="E161" s="1613" t="s">
        <v>4622</v>
      </c>
      <c r="F161" s="1153">
        <v>32351</v>
      </c>
      <c r="G161" s="1613" t="s">
        <v>4620</v>
      </c>
      <c r="H161" s="1572">
        <f>NOMINA!H136</f>
        <v>43739</v>
      </c>
      <c r="I161" s="1148">
        <f>NOMINA!I137</f>
        <v>21</v>
      </c>
      <c r="J161" s="1149">
        <f>NOMINA!J137</f>
        <v>0</v>
      </c>
      <c r="K161" s="1148">
        <f t="shared" si="10"/>
        <v>21</v>
      </c>
      <c r="L161" s="1149" t="s">
        <v>4932</v>
      </c>
      <c r="M161" s="1149"/>
      <c r="N161" s="1573" t="str">
        <f>NOMINA!O136</f>
        <v>Almacenista II</v>
      </c>
      <c r="O161" s="1149">
        <v>1.02087691000006E+18</v>
      </c>
      <c r="P161" s="1150">
        <f>ROUND(+NOMINA!T136,2)</f>
        <v>150</v>
      </c>
      <c r="Q161" s="1151">
        <v>0</v>
      </c>
      <c r="R161" s="1151">
        <f>ROUND(+NOMINA!AA136,2)</f>
        <v>7.5</v>
      </c>
      <c r="S161" s="1151">
        <f>ROUND(+NOMINA!AB136,2)</f>
        <v>130</v>
      </c>
      <c r="T161" s="1151">
        <f>ROUND(+NOMINA!AC136,2)</f>
        <v>12.5</v>
      </c>
      <c r="U161" s="1151">
        <f>ROUND(+NOMINA!AD136,2)</f>
        <v>0</v>
      </c>
      <c r="V161" s="1151">
        <f>ROUND(NOMINA!AQ136,2)</f>
        <v>0</v>
      </c>
      <c r="W161" s="1151">
        <f>+NOMINA!AS136</f>
        <v>0</v>
      </c>
      <c r="X161" s="1151">
        <f>+NOMINA!AT136</f>
        <v>12.5</v>
      </c>
      <c r="Y161" s="1151">
        <f>+NOMINA!AU136</f>
        <v>300</v>
      </c>
      <c r="Z161" s="1151">
        <f>+NOMINA!BX136</f>
        <v>562.5</v>
      </c>
      <c r="AA161" s="1151">
        <f>+NOMINA!BY136</f>
        <v>0</v>
      </c>
      <c r="AB161" s="1151">
        <f t="shared" si="11"/>
        <v>562.5</v>
      </c>
      <c r="AD161" s="634"/>
      <c r="AH161" s="1610" t="str">
        <f>NOMINA!P135</f>
        <v>01020369440000056960</v>
      </c>
    </row>
    <row r="162" spans="1:34" s="629" customFormat="1" ht="20.100000000000001" customHeight="1" thickBot="1">
      <c r="A162" s="770" t="s">
        <v>2846</v>
      </c>
      <c r="B162" s="771">
        <f t="shared" si="12"/>
        <v>95</v>
      </c>
      <c r="C162" s="1145">
        <f>NOMINA!C137</f>
        <v>13523075</v>
      </c>
      <c r="D162" s="1146" t="str">
        <f>NOMINA!D137</f>
        <v>Zambrano Castellanos Maria Alejandra</v>
      </c>
      <c r="E162" s="1613" t="s">
        <v>4622</v>
      </c>
      <c r="F162" s="1153">
        <v>32351</v>
      </c>
      <c r="G162" s="1613" t="s">
        <v>4620</v>
      </c>
      <c r="H162" s="1572">
        <f>NOMINA!H137</f>
        <v>37718</v>
      </c>
      <c r="I162" s="1148">
        <f>NOMINA!I138</f>
        <v>2</v>
      </c>
      <c r="J162" s="1149">
        <f>NOMINA!J138</f>
        <v>22</v>
      </c>
      <c r="K162" s="1148">
        <f t="shared" si="10"/>
        <v>24</v>
      </c>
      <c r="L162" s="1149" t="s">
        <v>4932</v>
      </c>
      <c r="M162" s="1149"/>
      <c r="N162" s="1573" t="str">
        <f>NOMINA!O137</f>
        <v>Planificador V</v>
      </c>
      <c r="O162" s="1149">
        <v>1.02087691000006E+18</v>
      </c>
      <c r="P162" s="1150">
        <f>ROUND(+NOMINA!T137,2)</f>
        <v>228</v>
      </c>
      <c r="Q162" s="1151">
        <v>0</v>
      </c>
      <c r="R162" s="1151">
        <f>ROUND(+NOMINA!AA137,2)</f>
        <v>63.38</v>
      </c>
      <c r="S162" s="1151">
        <f>ROUND(+NOMINA!AB137,2)</f>
        <v>130</v>
      </c>
      <c r="T162" s="1151">
        <f>ROUND(+NOMINA!AC137,2)</f>
        <v>25</v>
      </c>
      <c r="U162" s="1151">
        <f>ROUND(+NOMINA!AD137,2)</f>
        <v>89.28</v>
      </c>
      <c r="V162" s="1151">
        <f>ROUND(NOMINA!AQ137,2)</f>
        <v>0</v>
      </c>
      <c r="W162" s="1151">
        <f>+NOMINA!AS137</f>
        <v>0</v>
      </c>
      <c r="X162" s="1151">
        <f>+NOMINA!AT137</f>
        <v>25</v>
      </c>
      <c r="Y162" s="1151">
        <f>+NOMINA!AU137</f>
        <v>535.66</v>
      </c>
      <c r="Z162" s="1151">
        <f>+NOMINA!BX137</f>
        <v>1004.36</v>
      </c>
      <c r="AA162" s="1151">
        <f>+NOMINA!BY137</f>
        <v>0</v>
      </c>
      <c r="AB162" s="1151">
        <f t="shared" si="11"/>
        <v>1004.36</v>
      </c>
      <c r="AD162" s="634"/>
      <c r="AH162" s="1610" t="str">
        <f>NOMINA!P136</f>
        <v>01020747950100000700</v>
      </c>
    </row>
    <row r="163" spans="1:34" s="629" customFormat="1" ht="20.100000000000001" customHeight="1" thickBot="1">
      <c r="A163" s="770" t="s">
        <v>2846</v>
      </c>
      <c r="B163" s="771">
        <f t="shared" si="12"/>
        <v>96</v>
      </c>
      <c r="C163" s="1145">
        <f>NOMINA!C138</f>
        <v>13745803</v>
      </c>
      <c r="D163" s="1146" t="str">
        <f>NOMINA!D138</f>
        <v>Materan Riveros Yorvis Alexis</v>
      </c>
      <c r="E163" s="1613" t="s">
        <v>4622</v>
      </c>
      <c r="F163" s="1153">
        <v>32351</v>
      </c>
      <c r="G163" s="1613" t="s">
        <v>4620</v>
      </c>
      <c r="H163" s="1572">
        <f>NOMINA!H138</f>
        <v>44774</v>
      </c>
      <c r="I163" s="1148">
        <f>NOMINA!I139</f>
        <v>3</v>
      </c>
      <c r="J163" s="1149">
        <f>NOMINA!J139</f>
        <v>7</v>
      </c>
      <c r="K163" s="1148">
        <f t="shared" si="10"/>
        <v>10</v>
      </c>
      <c r="L163" s="1149" t="s">
        <v>4932</v>
      </c>
      <c r="M163" s="1149"/>
      <c r="N163" s="1573" t="str">
        <f>NOMINA!O138</f>
        <v>Tutor Facilitador III</v>
      </c>
      <c r="O163" s="1149">
        <v>1.02087691000006E+18</v>
      </c>
      <c r="P163" s="1150">
        <f>ROUND(+NOMINA!T138,2)</f>
        <v>287</v>
      </c>
      <c r="Q163" s="1151">
        <v>0</v>
      </c>
      <c r="R163" s="1151">
        <f>ROUND(+NOMINA!AA138,2)</f>
        <v>86.1</v>
      </c>
      <c r="S163" s="1151">
        <f>ROUND(+NOMINA!AB138,2)</f>
        <v>130</v>
      </c>
      <c r="T163" s="1151">
        <f>ROUND(+NOMINA!AC138,2)</f>
        <v>0</v>
      </c>
      <c r="U163" s="1151">
        <f>ROUND(+NOMINA!AD138,2)</f>
        <v>125.78</v>
      </c>
      <c r="V163" s="1151">
        <f>ROUND(NOMINA!AQ138,2)</f>
        <v>0</v>
      </c>
      <c r="W163" s="1151">
        <f>+NOMINA!AS138</f>
        <v>0</v>
      </c>
      <c r="X163" s="1151">
        <f>+NOMINA!AT138</f>
        <v>0</v>
      </c>
      <c r="Y163" s="1151">
        <f>+NOMINA!AU138</f>
        <v>628.88</v>
      </c>
      <c r="Z163" s="1151">
        <f>+NOMINA!BX138</f>
        <v>1179.1500000000001</v>
      </c>
      <c r="AA163" s="1151">
        <f>+NOMINA!BY138</f>
        <v>0</v>
      </c>
      <c r="AB163" s="1151">
        <f t="shared" si="11"/>
        <v>1179.1500000000001</v>
      </c>
      <c r="AD163" s="634"/>
      <c r="AH163" s="1610" t="str">
        <f>NOMINA!P137</f>
        <v>01020373230000440534</v>
      </c>
    </row>
    <row r="164" spans="1:34" s="629" customFormat="1" ht="20.100000000000001" customHeight="1" thickBot="1">
      <c r="A164" s="770" t="s">
        <v>2846</v>
      </c>
      <c r="B164" s="771">
        <f t="shared" si="12"/>
        <v>97</v>
      </c>
      <c r="C164" s="1145">
        <f>NOMINA!C139</f>
        <v>13765028</v>
      </c>
      <c r="D164" s="1146" t="str">
        <f>NOMINA!D139</f>
        <v xml:space="preserve">Diaz Ramirez Mileyda Del Valle </v>
      </c>
      <c r="E164" s="1613" t="s">
        <v>4622</v>
      </c>
      <c r="F164" s="1153">
        <v>32351</v>
      </c>
      <c r="G164" s="1613" t="s">
        <v>4620</v>
      </c>
      <c r="H164" s="1572">
        <f>NOMINA!H139</f>
        <v>44348</v>
      </c>
      <c r="I164" s="1148">
        <f>NOMINA!I140</f>
        <v>11</v>
      </c>
      <c r="J164" s="1149">
        <f>NOMINA!J140</f>
        <v>0</v>
      </c>
      <c r="K164" s="1148">
        <f t="shared" si="10"/>
        <v>11</v>
      </c>
      <c r="L164" s="1149" t="s">
        <v>4932</v>
      </c>
      <c r="M164" s="1149"/>
      <c r="N164" s="1573" t="str">
        <f>NOMINA!O139</f>
        <v>Guia de Centro II</v>
      </c>
      <c r="O164" s="1149">
        <v>1.02087691000006E+18</v>
      </c>
      <c r="P164" s="1150">
        <f>ROUND(+NOMINA!T139,2)</f>
        <v>223</v>
      </c>
      <c r="Q164" s="1151">
        <v>0</v>
      </c>
      <c r="R164" s="1151">
        <f>ROUND(+NOMINA!AA139,2)</f>
        <v>24.53</v>
      </c>
      <c r="S164" s="1151">
        <f>ROUND(+NOMINA!AB139,2)</f>
        <v>130</v>
      </c>
      <c r="T164" s="1151">
        <f>ROUND(+NOMINA!AC139,2)</f>
        <v>0</v>
      </c>
      <c r="U164" s="1151">
        <f>ROUND(+NOMINA!AD139,2)</f>
        <v>75.510000000000005</v>
      </c>
      <c r="V164" s="1151">
        <f>ROUND(NOMINA!AQ139,2)</f>
        <v>0</v>
      </c>
      <c r="W164" s="1151">
        <f>+NOMINA!AS139</f>
        <v>0</v>
      </c>
      <c r="X164" s="1151">
        <f>+NOMINA!AT139</f>
        <v>0</v>
      </c>
      <c r="Y164" s="1151">
        <f>+NOMINA!AU139</f>
        <v>588.95000000000005</v>
      </c>
      <c r="Z164" s="1151">
        <f>+NOMINA!BX139</f>
        <v>1104.28</v>
      </c>
      <c r="AA164" s="1151">
        <f>+NOMINA!BY139</f>
        <v>0</v>
      </c>
      <c r="AB164" s="1151">
        <f t="shared" si="11"/>
        <v>1104.28</v>
      </c>
      <c r="AD164" s="634"/>
      <c r="AH164" s="1610" t="str">
        <f>NOMINA!P138</f>
        <v>01020369430000056708</v>
      </c>
    </row>
    <row r="165" spans="1:34" s="629" customFormat="1" ht="20.100000000000001" customHeight="1" thickBot="1">
      <c r="A165" s="770" t="s">
        <v>2846</v>
      </c>
      <c r="B165" s="771">
        <f t="shared" si="12"/>
        <v>98</v>
      </c>
      <c r="C165" s="1145">
        <f>NOMINA!C140</f>
        <v>13896147</v>
      </c>
      <c r="D165" s="1146" t="str">
        <f>NOMINA!D140</f>
        <v>Carrizo Blanco Belquis Cecilia</v>
      </c>
      <c r="E165" s="1613" t="s">
        <v>4622</v>
      </c>
      <c r="F165" s="1153">
        <v>32351</v>
      </c>
      <c r="G165" s="1613" t="s">
        <v>4620</v>
      </c>
      <c r="H165" s="1572">
        <f>NOMINA!H140</f>
        <v>41334</v>
      </c>
      <c r="I165" s="1148">
        <f>NOMINA!I141</f>
        <v>8</v>
      </c>
      <c r="J165" s="1149">
        <f>NOMINA!J141</f>
        <v>0</v>
      </c>
      <c r="K165" s="1148">
        <f t="shared" si="10"/>
        <v>8</v>
      </c>
      <c r="L165" s="1149" t="s">
        <v>4932</v>
      </c>
      <c r="M165" s="1149"/>
      <c r="N165" s="1573" t="str">
        <f>NOMINA!O140</f>
        <v>Administrador III</v>
      </c>
      <c r="O165" s="1149">
        <v>1.02087691000006E+18</v>
      </c>
      <c r="P165" s="1150">
        <f>ROUND(+NOMINA!T140,2)</f>
        <v>281</v>
      </c>
      <c r="Q165" s="1151">
        <v>0</v>
      </c>
      <c r="R165" s="1151">
        <f>ROUND(+NOMINA!AA140,2)</f>
        <v>34.840000000000003</v>
      </c>
      <c r="S165" s="1151">
        <f>ROUND(+NOMINA!AB140,2)</f>
        <v>130</v>
      </c>
      <c r="T165" s="1151">
        <f>ROUND(+NOMINA!AC140,2)</f>
        <v>0</v>
      </c>
      <c r="U165" s="1151">
        <f>ROUND(+NOMINA!AD140,2)</f>
        <v>111.46</v>
      </c>
      <c r="V165" s="1151">
        <f>ROUND(NOMINA!AQ140,2)</f>
        <v>0</v>
      </c>
      <c r="W165" s="1151">
        <f>+NOMINA!AS140</f>
        <v>0</v>
      </c>
      <c r="X165" s="1151">
        <f>+NOMINA!AT140</f>
        <v>0</v>
      </c>
      <c r="Y165" s="1151">
        <f>+NOMINA!AU140</f>
        <v>557.29999999999995</v>
      </c>
      <c r="Z165" s="1151">
        <f>+NOMINA!BX140</f>
        <v>1044.94</v>
      </c>
      <c r="AA165" s="1151">
        <f>+NOMINA!BY140</f>
        <v>0</v>
      </c>
      <c r="AB165" s="1151">
        <f t="shared" si="11"/>
        <v>1044.94</v>
      </c>
      <c r="AD165" s="634"/>
      <c r="AH165" s="1610" t="str">
        <f>NOMINA!P139</f>
        <v>01020373210000440602</v>
      </c>
    </row>
    <row r="166" spans="1:34" s="629" customFormat="1" ht="20.100000000000001" customHeight="1" thickBot="1">
      <c r="A166" s="770" t="s">
        <v>2846</v>
      </c>
      <c r="B166" s="771">
        <f t="shared" si="12"/>
        <v>99</v>
      </c>
      <c r="C166" s="1145">
        <f>NOMINA!C141</f>
        <v>13896239</v>
      </c>
      <c r="D166" s="1146" t="str">
        <f>NOMINA!D141</f>
        <v>Sulbaran Campos Yusneida Ayarith</v>
      </c>
      <c r="E166" s="1613" t="s">
        <v>4622</v>
      </c>
      <c r="F166" s="1153">
        <v>32351</v>
      </c>
      <c r="G166" s="1613" t="s">
        <v>4620</v>
      </c>
      <c r="H166" s="1572">
        <f>NOMINA!H141</f>
        <v>42416</v>
      </c>
      <c r="I166" s="1148">
        <f>NOMINA!I142</f>
        <v>9</v>
      </c>
      <c r="J166" s="1149">
        <f>NOMINA!J142</f>
        <v>0</v>
      </c>
      <c r="K166" s="1148">
        <f t="shared" si="10"/>
        <v>9</v>
      </c>
      <c r="L166" s="1149" t="s">
        <v>4932</v>
      </c>
      <c r="M166" s="1149"/>
      <c r="N166" s="1573" t="str">
        <f>NOMINA!O141</f>
        <v>Analista de Presupuesto IV</v>
      </c>
      <c r="O166" s="1149">
        <v>1.02087691000006E+18</v>
      </c>
      <c r="P166" s="1150">
        <f>ROUND(+NOMINA!T141,2)</f>
        <v>0</v>
      </c>
      <c r="Q166" s="1151">
        <v>0</v>
      </c>
      <c r="R166" s="1151">
        <f>ROUND(+NOMINA!AA141,2)</f>
        <v>0</v>
      </c>
      <c r="S166" s="1151">
        <f>ROUND(+NOMINA!AB141,2)</f>
        <v>0</v>
      </c>
      <c r="T166" s="1151">
        <f>ROUND(+NOMINA!AC141,2)</f>
        <v>0</v>
      </c>
      <c r="U166" s="1151">
        <f>ROUND(+NOMINA!AD141,2)</f>
        <v>0</v>
      </c>
      <c r="V166" s="1151">
        <f>ROUND(NOMINA!AQ141,2)</f>
        <v>0</v>
      </c>
      <c r="W166" s="1151">
        <f>+NOMINA!AS141</f>
        <v>0</v>
      </c>
      <c r="X166" s="1151">
        <f>+NOMINA!AT141</f>
        <v>0</v>
      </c>
      <c r="Y166" s="1151">
        <f>+NOMINA!AU141</f>
        <v>0</v>
      </c>
      <c r="Z166" s="1151">
        <f>+NOMINA!BX141</f>
        <v>0</v>
      </c>
      <c r="AA166" s="1151">
        <f>+NOMINA!BY141</f>
        <v>0</v>
      </c>
      <c r="AB166" s="1151">
        <f t="shared" si="11"/>
        <v>0</v>
      </c>
      <c r="AD166" s="634"/>
      <c r="AH166" s="1610" t="str">
        <f>NOMINA!P140</f>
        <v>01020494100000117605</v>
      </c>
    </row>
    <row r="167" spans="1:34" s="629" customFormat="1" ht="20.100000000000001" customHeight="1" thickBot="1">
      <c r="A167" s="770" t="s">
        <v>2846</v>
      </c>
      <c r="B167" s="771">
        <f t="shared" si="12"/>
        <v>100</v>
      </c>
      <c r="C167" s="1145">
        <f>NOMINA!C142</f>
        <v>13897046</v>
      </c>
      <c r="D167" s="1146" t="str">
        <f>NOMINA!D142</f>
        <v>Artigas Sanchez Mireya Carolina</v>
      </c>
      <c r="E167" s="1613" t="s">
        <v>4622</v>
      </c>
      <c r="F167" s="1153">
        <v>32351</v>
      </c>
      <c r="G167" s="1613" t="s">
        <v>4620</v>
      </c>
      <c r="H167" s="1572">
        <f>NOMINA!H142</f>
        <v>42384</v>
      </c>
      <c r="I167" s="1148">
        <f>NOMINA!I143</f>
        <v>16</v>
      </c>
      <c r="J167" s="1149">
        <f>NOMINA!J143</f>
        <v>3</v>
      </c>
      <c r="K167" s="1148">
        <f t="shared" si="10"/>
        <v>19</v>
      </c>
      <c r="L167" s="1149" t="s">
        <v>4932</v>
      </c>
      <c r="M167" s="1149"/>
      <c r="N167" s="1573" t="str">
        <f>NOMINA!O142</f>
        <v>Tecnico Superior en Trabajo Social II</v>
      </c>
      <c r="O167" s="1149">
        <v>1.02087691000006E+18</v>
      </c>
      <c r="P167" s="1150">
        <f>ROUND(+NOMINA!T142,2)</f>
        <v>223</v>
      </c>
      <c r="Q167" s="1151">
        <v>0</v>
      </c>
      <c r="R167" s="1151">
        <f>ROUND(+NOMINA!AA142,2)</f>
        <v>21.85</v>
      </c>
      <c r="S167" s="1151">
        <f>ROUND(+NOMINA!AB142,2)</f>
        <v>130</v>
      </c>
      <c r="T167" s="1151">
        <f>ROUND(+NOMINA!AC142,2)</f>
        <v>25</v>
      </c>
      <c r="U167" s="1151">
        <f>ROUND(+NOMINA!AD142,2)</f>
        <v>79.97</v>
      </c>
      <c r="V167" s="1151">
        <f>ROUND(NOMINA!AQ142,2)</f>
        <v>0</v>
      </c>
      <c r="W167" s="1151">
        <f>+NOMINA!AS142</f>
        <v>0</v>
      </c>
      <c r="X167" s="1151">
        <f>+NOMINA!AT142</f>
        <v>25</v>
      </c>
      <c r="Y167" s="1151">
        <f>+NOMINA!AU142</f>
        <v>479.82</v>
      </c>
      <c r="Z167" s="1151">
        <f>+NOMINA!BX142</f>
        <v>899.66</v>
      </c>
      <c r="AA167" s="1151">
        <f>+NOMINA!BY142</f>
        <v>0</v>
      </c>
      <c r="AB167" s="1151">
        <f t="shared" si="11"/>
        <v>899.66</v>
      </c>
      <c r="AD167" s="634"/>
      <c r="AH167" s="1610" t="str">
        <f>NOMINA!P141</f>
        <v>01020373220000439781</v>
      </c>
    </row>
    <row r="168" spans="1:34" s="629" customFormat="1" ht="20.100000000000001" customHeight="1" thickBot="1">
      <c r="A168" s="770" t="s">
        <v>2846</v>
      </c>
      <c r="B168" s="771">
        <f t="shared" si="12"/>
        <v>101</v>
      </c>
      <c r="C168" s="1145">
        <f>NOMINA!C143</f>
        <v>13897695</v>
      </c>
      <c r="D168" s="1146" t="str">
        <f>NOMINA!D143</f>
        <v>Araujo Matheus Alba Mariela</v>
      </c>
      <c r="E168" s="1613" t="s">
        <v>4622</v>
      </c>
      <c r="F168" s="1153">
        <v>32351</v>
      </c>
      <c r="G168" s="1613" t="s">
        <v>4620</v>
      </c>
      <c r="H168" s="1572">
        <f>NOMINA!H143</f>
        <v>39496</v>
      </c>
      <c r="I168" s="1148">
        <f>NOMINA!I144</f>
        <v>15</v>
      </c>
      <c r="J168" s="1149">
        <f>NOMINA!J144</f>
        <v>0</v>
      </c>
      <c r="K168" s="1148">
        <f t="shared" si="10"/>
        <v>15</v>
      </c>
      <c r="L168" s="1149" t="s">
        <v>4932</v>
      </c>
      <c r="M168" s="1149"/>
      <c r="N168" s="1573" t="str">
        <f>NOMINA!O143</f>
        <v>Analista de Presupuesto Jefe</v>
      </c>
      <c r="O168" s="1149">
        <v>1.02087691000006E+18</v>
      </c>
      <c r="P168" s="1150">
        <f>ROUND(+NOMINA!T143,2)</f>
        <v>287</v>
      </c>
      <c r="Q168" s="1151">
        <v>0</v>
      </c>
      <c r="R168" s="1151">
        <f>ROUND(+NOMINA!AA143,2)</f>
        <v>70.03</v>
      </c>
      <c r="S168" s="1151">
        <f>ROUND(+NOMINA!AB143,2)</f>
        <v>130</v>
      </c>
      <c r="T168" s="1151">
        <f>ROUND(+NOMINA!AC143,2)</f>
        <v>25</v>
      </c>
      <c r="U168" s="1151">
        <f>ROUND(+NOMINA!AD143,2)</f>
        <v>128.01</v>
      </c>
      <c r="V168" s="1151">
        <f>ROUND(NOMINA!AQ143,2)</f>
        <v>0</v>
      </c>
      <c r="W168" s="1151">
        <f>+NOMINA!AS143</f>
        <v>0</v>
      </c>
      <c r="X168" s="1151">
        <f>+NOMINA!AT143</f>
        <v>25</v>
      </c>
      <c r="Y168" s="1151">
        <f>+NOMINA!AU143</f>
        <v>640.04</v>
      </c>
      <c r="Z168" s="1151">
        <f>+NOMINA!BX143</f>
        <v>1200.08</v>
      </c>
      <c r="AA168" s="1151">
        <f>+NOMINA!BY143</f>
        <v>0</v>
      </c>
      <c r="AB168" s="1151">
        <f t="shared" si="11"/>
        <v>1200.08</v>
      </c>
      <c r="AD168" s="634"/>
      <c r="AH168" s="1610" t="str">
        <f>NOMINA!P142</f>
        <v>01020373240000439794</v>
      </c>
    </row>
    <row r="169" spans="1:34" s="629" customFormat="1" ht="20.100000000000001" customHeight="1" thickBot="1">
      <c r="A169" s="770" t="s">
        <v>2846</v>
      </c>
      <c r="B169" s="771">
        <f t="shared" si="12"/>
        <v>102</v>
      </c>
      <c r="C169" s="1145">
        <f>NOMINA!C144</f>
        <v>13996024</v>
      </c>
      <c r="D169" s="1146" t="str">
        <f>NOMINA!D144</f>
        <v>Perez Barrios Helenmar</v>
      </c>
      <c r="E169" s="1613" t="s">
        <v>4622</v>
      </c>
      <c r="F169" s="1153">
        <v>32351</v>
      </c>
      <c r="G169" s="1613" t="s">
        <v>4620</v>
      </c>
      <c r="H169" s="1572">
        <f>NOMINA!H144</f>
        <v>40028</v>
      </c>
      <c r="I169" s="1148">
        <f>NOMINA!I145</f>
        <v>13</v>
      </c>
      <c r="J169" s="1149">
        <f>NOMINA!J145</f>
        <v>6</v>
      </c>
      <c r="K169" s="1148">
        <f t="shared" si="10"/>
        <v>19</v>
      </c>
      <c r="L169" s="1149" t="s">
        <v>4932</v>
      </c>
      <c r="M169" s="1149"/>
      <c r="N169" s="1573" t="str">
        <f>NOMINA!O144</f>
        <v>Contador III</v>
      </c>
      <c r="O169" s="1149">
        <v>1.02087691000006E+18</v>
      </c>
      <c r="P169" s="1150">
        <f>ROUND(+NOMINA!T144,2)</f>
        <v>285</v>
      </c>
      <c r="Q169" s="1151">
        <v>0</v>
      </c>
      <c r="R169" s="1151">
        <f>ROUND(+NOMINA!AA144,2)</f>
        <v>51.3</v>
      </c>
      <c r="S169" s="1151">
        <f>ROUND(+NOMINA!AB144,2)</f>
        <v>130</v>
      </c>
      <c r="T169" s="1151">
        <f>ROUND(+NOMINA!AC144,2)</f>
        <v>12.5</v>
      </c>
      <c r="U169" s="1151">
        <f>ROUND(+NOMINA!AD144,2)</f>
        <v>119.7</v>
      </c>
      <c r="V169" s="1151">
        <f>ROUND(NOMINA!AQ144,2)</f>
        <v>0</v>
      </c>
      <c r="W169" s="1151">
        <f>+NOMINA!AS144</f>
        <v>0</v>
      </c>
      <c r="X169" s="1151">
        <f>+NOMINA!AT144</f>
        <v>12.5</v>
      </c>
      <c r="Y169" s="1151">
        <f>+NOMINA!AU144</f>
        <v>598.5</v>
      </c>
      <c r="Z169" s="1151">
        <f>+NOMINA!BX144</f>
        <v>1122.19</v>
      </c>
      <c r="AA169" s="1151">
        <f>+NOMINA!BY144</f>
        <v>0</v>
      </c>
      <c r="AB169" s="1151">
        <f t="shared" si="11"/>
        <v>1122.19</v>
      </c>
      <c r="AD169" s="634"/>
      <c r="AH169" s="1610" t="str">
        <f>NOMINA!P143</f>
        <v>01020373250000439804</v>
      </c>
    </row>
    <row r="170" spans="1:34" s="629" customFormat="1" ht="20.100000000000001" customHeight="1" thickBot="1">
      <c r="A170" s="770" t="s">
        <v>2846</v>
      </c>
      <c r="B170" s="771">
        <f t="shared" si="12"/>
        <v>103</v>
      </c>
      <c r="C170" s="1145">
        <f>NOMINA!C145</f>
        <v>14106648</v>
      </c>
      <c r="D170" s="1146" t="str">
        <f>NOMINA!D145</f>
        <v>Aguilar Flores Heidy Coromoto</v>
      </c>
      <c r="E170" s="1613" t="s">
        <v>4622</v>
      </c>
      <c r="F170" s="1153">
        <v>32351</v>
      </c>
      <c r="G170" s="1613" t="s">
        <v>4620</v>
      </c>
      <c r="H170" s="1572">
        <f>NOMINA!H145</f>
        <v>40787</v>
      </c>
      <c r="I170" s="1148">
        <f>NOMINA!I146</f>
        <v>2</v>
      </c>
      <c r="J170" s="1149">
        <f>NOMINA!J146</f>
        <v>0</v>
      </c>
      <c r="K170" s="1148">
        <f t="shared" si="10"/>
        <v>2</v>
      </c>
      <c r="L170" s="1149" t="s">
        <v>4932</v>
      </c>
      <c r="M170" s="1149"/>
      <c r="N170" s="1573" t="str">
        <f>NOMINA!O145</f>
        <v>Asistente Administrativo IV</v>
      </c>
      <c r="O170" s="1149">
        <v>1.02087691000006E+18</v>
      </c>
      <c r="P170" s="1150">
        <f>ROUND(+NOMINA!T145,2)</f>
        <v>228</v>
      </c>
      <c r="Q170" s="1151">
        <v>0</v>
      </c>
      <c r="R170" s="1151">
        <f>ROUND(+NOMINA!AA145,2)</f>
        <v>55.63</v>
      </c>
      <c r="S170" s="1151">
        <f>ROUND(+NOMINA!AB145,2)</f>
        <v>130</v>
      </c>
      <c r="T170" s="1151">
        <f>ROUND(+NOMINA!AC145,2)</f>
        <v>12.5</v>
      </c>
      <c r="U170" s="1151">
        <f>ROUND(+NOMINA!AD145,2)</f>
        <v>85.23</v>
      </c>
      <c r="V170" s="1151">
        <f>ROUND(NOMINA!AQ145,2)</f>
        <v>0</v>
      </c>
      <c r="W170" s="1151">
        <f>+NOMINA!AS145</f>
        <v>0</v>
      </c>
      <c r="X170" s="1151">
        <f>+NOMINA!AT145</f>
        <v>0</v>
      </c>
      <c r="Y170" s="1151">
        <f>+NOMINA!AU145</f>
        <v>511.36</v>
      </c>
      <c r="Z170" s="1151">
        <f>+NOMINA!BX145</f>
        <v>958.8</v>
      </c>
      <c r="AA170" s="1151">
        <f>+NOMINA!BY145</f>
        <v>0</v>
      </c>
      <c r="AB170" s="1151">
        <f t="shared" si="11"/>
        <v>958.8</v>
      </c>
      <c r="AD170" s="634"/>
      <c r="AH170" s="1610" t="str">
        <f>NOMINA!P144</f>
        <v>01020373270000439817</v>
      </c>
    </row>
    <row r="171" spans="1:34" s="629" customFormat="1" ht="20.100000000000001" customHeight="1" thickBot="1">
      <c r="A171" s="770" t="s">
        <v>2846</v>
      </c>
      <c r="B171" s="771">
        <f t="shared" si="12"/>
        <v>104</v>
      </c>
      <c r="C171" s="1145">
        <f>NOMINA!C146</f>
        <v>14329448</v>
      </c>
      <c r="D171" s="1146" t="str">
        <f>NOMINA!D146</f>
        <v>Leal Mejia Jociany Trinny</v>
      </c>
      <c r="E171" s="1613" t="s">
        <v>4622</v>
      </c>
      <c r="F171" s="1153">
        <v>32351</v>
      </c>
      <c r="G171" s="1613" t="s">
        <v>4620</v>
      </c>
      <c r="H171" s="1572">
        <f>NOMINA!H146</f>
        <v>44743</v>
      </c>
      <c r="I171" s="1148">
        <f>NOMINA!I147</f>
        <v>5</v>
      </c>
      <c r="J171" s="1149">
        <f>NOMINA!J147</f>
        <v>11</v>
      </c>
      <c r="K171" s="1148">
        <f t="shared" si="10"/>
        <v>16</v>
      </c>
      <c r="L171" s="1149" t="s">
        <v>4932</v>
      </c>
      <c r="M171" s="1149"/>
      <c r="N171" s="1573" t="str">
        <f>NOMINA!O146</f>
        <v>Tutor Facilitador I</v>
      </c>
      <c r="O171" s="1149">
        <v>1.02087691000006E+18</v>
      </c>
      <c r="P171" s="1150">
        <f>ROUND(+NOMINA!T146,2)</f>
        <v>246</v>
      </c>
      <c r="Q171" s="1151">
        <v>0</v>
      </c>
      <c r="R171" s="1151">
        <f>ROUND(+NOMINA!AA146,2)</f>
        <v>4.92</v>
      </c>
      <c r="S171" s="1151">
        <f>ROUND(+NOMINA!AB146,2)</f>
        <v>130</v>
      </c>
      <c r="T171" s="1151">
        <f>ROUND(+NOMINA!AC146,2)</f>
        <v>12.5</v>
      </c>
      <c r="U171" s="1151">
        <f>ROUND(+NOMINA!AD146,2)</f>
        <v>98.36</v>
      </c>
      <c r="V171" s="1151">
        <f>ROUND(NOMINA!AQ146,2)</f>
        <v>0</v>
      </c>
      <c r="W171" s="1151">
        <f>+NOMINA!AS146</f>
        <v>0</v>
      </c>
      <c r="X171" s="1151">
        <f>+NOMINA!AT146</f>
        <v>0</v>
      </c>
      <c r="Y171" s="1151">
        <f>+NOMINA!AU146</f>
        <v>491.78</v>
      </c>
      <c r="Z171" s="1151">
        <f>+NOMINA!BX146</f>
        <v>922.09</v>
      </c>
      <c r="AA171" s="1151">
        <f>+NOMINA!BY146</f>
        <v>0</v>
      </c>
      <c r="AB171" s="1151">
        <f t="shared" si="11"/>
        <v>922.09</v>
      </c>
      <c r="AD171" s="634"/>
      <c r="AH171" s="1610" t="str">
        <f>NOMINA!P145</f>
        <v>01020373210000439846</v>
      </c>
    </row>
    <row r="172" spans="1:34" s="629" customFormat="1" ht="20.100000000000001" customHeight="1" thickBot="1">
      <c r="A172" s="770" t="s">
        <v>2846</v>
      </c>
      <c r="B172" s="771">
        <f t="shared" si="12"/>
        <v>105</v>
      </c>
      <c r="C172" s="1145">
        <f>NOMINA!C147</f>
        <v>14406240</v>
      </c>
      <c r="D172" s="1146" t="str">
        <f>NOMINA!D147</f>
        <v>Sarmiento Suarez Karem Yanira</v>
      </c>
      <c r="E172" s="1613" t="s">
        <v>4622</v>
      </c>
      <c r="F172" s="1153">
        <v>32351</v>
      </c>
      <c r="G172" s="1613" t="s">
        <v>4620</v>
      </c>
      <c r="H172" s="1572">
        <f>NOMINA!H147</f>
        <v>43785</v>
      </c>
      <c r="I172" s="1148">
        <f>NOMINA!I148</f>
        <v>7</v>
      </c>
      <c r="J172" s="1149">
        <f>NOMINA!J148</f>
        <v>0</v>
      </c>
      <c r="K172" s="1148">
        <f t="shared" si="10"/>
        <v>7</v>
      </c>
      <c r="L172" s="1149" t="s">
        <v>4932</v>
      </c>
      <c r="M172" s="1149"/>
      <c r="N172" s="1573" t="str">
        <f>NOMINA!O147</f>
        <v>Tecnico Superior en Trabajo Social II</v>
      </c>
      <c r="O172" s="1149">
        <v>1.02087691000006E+18</v>
      </c>
      <c r="P172" s="1150">
        <f>ROUND(+NOMINA!T147,2)</f>
        <v>226</v>
      </c>
      <c r="Q172" s="1151">
        <v>0</v>
      </c>
      <c r="R172" s="1151">
        <f>ROUND(+NOMINA!AA147,2)</f>
        <v>44.3</v>
      </c>
      <c r="S172" s="1151">
        <f>ROUND(+NOMINA!AB147,2)</f>
        <v>130</v>
      </c>
      <c r="T172" s="1151">
        <f>ROUND(+NOMINA!AC147,2)</f>
        <v>0</v>
      </c>
      <c r="U172" s="1151">
        <f>ROUND(+NOMINA!AD147,2)</f>
        <v>100.08</v>
      </c>
      <c r="V172" s="1151">
        <f>ROUND(NOMINA!AQ147,2)</f>
        <v>0</v>
      </c>
      <c r="W172" s="1151">
        <f>+NOMINA!AS147</f>
        <v>0</v>
      </c>
      <c r="X172" s="1151">
        <f>+NOMINA!AT147</f>
        <v>0</v>
      </c>
      <c r="Y172" s="1151">
        <f>+NOMINA!AU147</f>
        <v>500.38</v>
      </c>
      <c r="Z172" s="1151">
        <f>+NOMINA!BX147</f>
        <v>938.21</v>
      </c>
      <c r="AA172" s="1151">
        <f>+NOMINA!BY147</f>
        <v>0</v>
      </c>
      <c r="AB172" s="1151">
        <f t="shared" si="11"/>
        <v>938.21</v>
      </c>
      <c r="AD172" s="634"/>
      <c r="AH172" s="1610" t="str">
        <f>NOMINA!P146</f>
        <v>01020494110000176662</v>
      </c>
    </row>
    <row r="173" spans="1:34" s="629" customFormat="1" ht="20.100000000000001" customHeight="1" thickBot="1">
      <c r="A173" s="770" t="s">
        <v>2846</v>
      </c>
      <c r="B173" s="771">
        <f t="shared" si="12"/>
        <v>106</v>
      </c>
      <c r="C173" s="1145">
        <f>NOMINA!C148</f>
        <v>14459607</v>
      </c>
      <c r="D173" s="1146" t="str">
        <f>NOMINA!D148</f>
        <v>Martinez Leal Deyanira Yusissan</v>
      </c>
      <c r="E173" s="1613" t="s">
        <v>4622</v>
      </c>
      <c r="F173" s="1153">
        <v>32351</v>
      </c>
      <c r="G173" s="1613" t="s">
        <v>4620</v>
      </c>
      <c r="H173" s="1572">
        <f>NOMINA!H148</f>
        <v>43116</v>
      </c>
      <c r="I173" s="1148">
        <f>NOMINA!I149</f>
        <v>6</v>
      </c>
      <c r="J173" s="1149">
        <f>NOMINA!J149</f>
        <v>0</v>
      </c>
      <c r="K173" s="1148">
        <f t="shared" si="10"/>
        <v>6</v>
      </c>
      <c r="L173" s="1149" t="s">
        <v>4932</v>
      </c>
      <c r="M173" s="1149"/>
      <c r="N173" s="1573" t="str">
        <f>NOMINA!O148</f>
        <v>Tecnico Superior en Trabajo Social II</v>
      </c>
      <c r="O173" s="1149">
        <v>1.02087691000006E+18</v>
      </c>
      <c r="P173" s="1150">
        <f>ROUND(+NOMINA!T148,2)</f>
        <v>221</v>
      </c>
      <c r="Q173" s="1151">
        <v>0</v>
      </c>
      <c r="R173" s="1151">
        <f>ROUND(+NOMINA!AA148,2)</f>
        <v>16.350000000000001</v>
      </c>
      <c r="S173" s="1151">
        <f>ROUND(+NOMINA!AB148,2)</f>
        <v>130</v>
      </c>
      <c r="T173" s="1151">
        <f>ROUND(+NOMINA!AC148,2)</f>
        <v>25</v>
      </c>
      <c r="U173" s="1151">
        <f>ROUND(+NOMINA!AD148,2)</f>
        <v>78.47</v>
      </c>
      <c r="V173" s="1151">
        <f>ROUND(NOMINA!AQ148,2)</f>
        <v>0</v>
      </c>
      <c r="W173" s="1151">
        <f>+NOMINA!AS148</f>
        <v>0</v>
      </c>
      <c r="X173" s="1151">
        <f>+NOMINA!AT148</f>
        <v>25</v>
      </c>
      <c r="Y173" s="1151">
        <f>+NOMINA!AU148</f>
        <v>470.82</v>
      </c>
      <c r="Z173" s="1151">
        <f>+NOMINA!BX148</f>
        <v>882.79</v>
      </c>
      <c r="AA173" s="1151">
        <f>+NOMINA!BY148</f>
        <v>0</v>
      </c>
      <c r="AB173" s="1151">
        <f t="shared" si="11"/>
        <v>882.79</v>
      </c>
      <c r="AD173" s="634"/>
      <c r="AH173" s="1610" t="str">
        <f>NOMINA!P147</f>
        <v>01020369400000057134</v>
      </c>
    </row>
    <row r="174" spans="1:34" s="629" customFormat="1" ht="20.100000000000001" customHeight="1" thickBot="1">
      <c r="A174" s="770" t="s">
        <v>2846</v>
      </c>
      <c r="B174" s="771">
        <f t="shared" si="12"/>
        <v>107</v>
      </c>
      <c r="C174" s="1145">
        <f>NOMINA!C149</f>
        <v>14598170</v>
      </c>
      <c r="D174" s="1146" t="str">
        <f>NOMINA!D149</f>
        <v>Rendon Utrilla Gerson Paul</v>
      </c>
      <c r="E174" s="1613" t="s">
        <v>4622</v>
      </c>
      <c r="F174" s="1153">
        <v>32351</v>
      </c>
      <c r="G174" s="1613" t="s">
        <v>4620</v>
      </c>
      <c r="H174" s="1572">
        <f>NOMINA!H149</f>
        <v>43435</v>
      </c>
      <c r="I174" s="1148">
        <f>NOMINA!I150</f>
        <v>3</v>
      </c>
      <c r="J174" s="1149">
        <f>NOMINA!J150</f>
        <v>0</v>
      </c>
      <c r="K174" s="1148">
        <f t="shared" si="10"/>
        <v>3</v>
      </c>
      <c r="L174" s="1149" t="s">
        <v>4932</v>
      </c>
      <c r="M174" s="1149"/>
      <c r="N174" s="1573" t="str">
        <f>NOMINA!O149</f>
        <v>Tutor Facilitador III</v>
      </c>
      <c r="O174" s="1149">
        <v>1.02087691000006E+18</v>
      </c>
      <c r="P174" s="1150">
        <f>ROUND(+NOMINA!T149,2)</f>
        <v>279</v>
      </c>
      <c r="Q174" s="1151">
        <v>0</v>
      </c>
      <c r="R174" s="1151">
        <f>ROUND(+NOMINA!AA149,2)</f>
        <v>17.3</v>
      </c>
      <c r="S174" s="1151">
        <f>ROUND(+NOMINA!AB149,2)</f>
        <v>130</v>
      </c>
      <c r="T174" s="1151">
        <f>ROUND(+NOMINA!AC149,2)</f>
        <v>12.5</v>
      </c>
      <c r="U174" s="1151">
        <f>ROUND(+NOMINA!AD149,2)</f>
        <v>109.7</v>
      </c>
      <c r="V174" s="1151">
        <f>ROUND(NOMINA!AQ149,2)</f>
        <v>0</v>
      </c>
      <c r="W174" s="1151">
        <f>+NOMINA!AS149</f>
        <v>0</v>
      </c>
      <c r="X174" s="1151">
        <f>+NOMINA!AT149</f>
        <v>0</v>
      </c>
      <c r="Y174" s="1151">
        <f>+NOMINA!AU149</f>
        <v>548.5</v>
      </c>
      <c r="Z174" s="1151">
        <f>+NOMINA!BX149</f>
        <v>1028.44</v>
      </c>
      <c r="AA174" s="1151">
        <f>+NOMINA!BY149</f>
        <v>0</v>
      </c>
      <c r="AB174" s="1151">
        <f t="shared" si="11"/>
        <v>1028.44</v>
      </c>
      <c r="AD174" s="634"/>
      <c r="AH174" s="1610" t="str">
        <f>NOMINA!P148</f>
        <v>01020494160100019464</v>
      </c>
    </row>
    <row r="175" spans="1:34" s="629" customFormat="1" ht="20.100000000000001" customHeight="1" thickBot="1">
      <c r="A175" s="770" t="s">
        <v>2846</v>
      </c>
      <c r="B175" s="771">
        <f t="shared" si="12"/>
        <v>108</v>
      </c>
      <c r="C175" s="1145">
        <f>NOMINA!C150</f>
        <v>14598687</v>
      </c>
      <c r="D175" s="1146" t="str">
        <f>NOMINA!D150</f>
        <v>Godoy Bracamonte Juan Carlos</v>
      </c>
      <c r="E175" s="1613" t="s">
        <v>4622</v>
      </c>
      <c r="F175" s="1153">
        <v>32351</v>
      </c>
      <c r="G175" s="1613" t="s">
        <v>4620</v>
      </c>
      <c r="H175" s="1572">
        <f>NOMINA!H150</f>
        <v>44332</v>
      </c>
      <c r="I175" s="1148" t="e">
        <f>NOMINA!#REF!</f>
        <v>#REF!</v>
      </c>
      <c r="J175" s="1149" t="e">
        <f>NOMINA!#REF!</f>
        <v>#REF!</v>
      </c>
      <c r="K175" s="1148" t="e">
        <f t="shared" si="10"/>
        <v>#REF!</v>
      </c>
      <c r="L175" s="1149" t="s">
        <v>4932</v>
      </c>
      <c r="M175" s="1149"/>
      <c r="N175" s="1573" t="str">
        <f>NOMINA!O150</f>
        <v>Entrenador Deportivo IV</v>
      </c>
      <c r="O175" s="1149">
        <v>1.02087691000006E+18</v>
      </c>
      <c r="P175" s="1150">
        <f>ROUND(+NOMINA!T150,2)</f>
        <v>307</v>
      </c>
      <c r="Q175" s="1151">
        <v>0</v>
      </c>
      <c r="R175" s="1151">
        <f>ROUND(+NOMINA!AA150,2)</f>
        <v>9.2100000000000009</v>
      </c>
      <c r="S175" s="1151">
        <f>ROUND(+NOMINA!AB150,2)</f>
        <v>130</v>
      </c>
      <c r="T175" s="1151">
        <f>ROUND(+NOMINA!AC150,2)</f>
        <v>12.5</v>
      </c>
      <c r="U175" s="1151">
        <f>ROUND(+NOMINA!AD150,2)</f>
        <v>160.55000000000001</v>
      </c>
      <c r="V175" s="1151">
        <f>ROUND(NOMINA!AQ150,2)</f>
        <v>0</v>
      </c>
      <c r="W175" s="1151">
        <f>+NOMINA!AS150</f>
        <v>0</v>
      </c>
      <c r="X175" s="1151">
        <f>+NOMINA!AT150</f>
        <v>0</v>
      </c>
      <c r="Y175" s="1151">
        <f>+NOMINA!AU150</f>
        <v>619.26</v>
      </c>
      <c r="Z175" s="1151">
        <f>+NOMINA!BX150</f>
        <v>1161.1099999999999</v>
      </c>
      <c r="AA175" s="1151">
        <f>+NOMINA!BY150</f>
        <v>0</v>
      </c>
      <c r="AB175" s="1151">
        <f t="shared" si="11"/>
        <v>1161.1099999999999</v>
      </c>
      <c r="AD175" s="634"/>
      <c r="AH175" s="1610" t="str">
        <f>NOMINA!P149</f>
        <v>01020373260000608033</v>
      </c>
    </row>
    <row r="176" spans="1:34" s="629" customFormat="1" ht="20.100000000000001" customHeight="1" thickBot="1">
      <c r="A176" s="770" t="s">
        <v>2846</v>
      </c>
      <c r="B176" s="771">
        <f t="shared" si="12"/>
        <v>109</v>
      </c>
      <c r="C176" s="1145" t="e">
        <f>NOMINA!#REF!</f>
        <v>#REF!</v>
      </c>
      <c r="D176" s="1146" t="e">
        <f>NOMINA!#REF!</f>
        <v>#REF!</v>
      </c>
      <c r="E176" s="1613" t="s">
        <v>4622</v>
      </c>
      <c r="F176" s="1153">
        <v>32351</v>
      </c>
      <c r="G176" s="1613" t="s">
        <v>4620</v>
      </c>
      <c r="H176" s="1572" t="e">
        <f>NOMINA!#REF!</f>
        <v>#REF!</v>
      </c>
      <c r="I176" s="1148">
        <f>NOMINA!I151</f>
        <v>2</v>
      </c>
      <c r="J176" s="1149">
        <f>NOMINA!J151</f>
        <v>0</v>
      </c>
      <c r="K176" s="1148">
        <f t="shared" si="10"/>
        <v>2</v>
      </c>
      <c r="L176" s="1149" t="s">
        <v>4932</v>
      </c>
      <c r="M176" s="1149"/>
      <c r="N176" s="1573" t="e">
        <f>NOMINA!#REF!</f>
        <v>#REF!</v>
      </c>
      <c r="O176" s="1149">
        <v>1.02087691000006E+18</v>
      </c>
      <c r="P176" s="1150" t="e">
        <f>ROUND(+NOMINA!#REF!,2)</f>
        <v>#REF!</v>
      </c>
      <c r="Q176" s="1151">
        <v>0</v>
      </c>
      <c r="R176" s="1151" t="e">
        <f>ROUND(+NOMINA!#REF!,2)</f>
        <v>#REF!</v>
      </c>
      <c r="S176" s="1151" t="e">
        <f>ROUND(+NOMINA!#REF!,2)</f>
        <v>#REF!</v>
      </c>
      <c r="T176" s="1151" t="e">
        <f>ROUND(+NOMINA!#REF!,2)</f>
        <v>#REF!</v>
      </c>
      <c r="U176" s="1151" t="e">
        <f>ROUND(+NOMINA!#REF!,2)</f>
        <v>#REF!</v>
      </c>
      <c r="V176" s="1151" t="e">
        <f>ROUND(NOMINA!#REF!,2)</f>
        <v>#REF!</v>
      </c>
      <c r="W176" s="1151" t="e">
        <f>+NOMINA!#REF!</f>
        <v>#REF!</v>
      </c>
      <c r="X176" s="1151" t="e">
        <f>+NOMINA!#REF!</f>
        <v>#REF!</v>
      </c>
      <c r="Y176" s="1151" t="e">
        <f>+NOMINA!#REF!</f>
        <v>#REF!</v>
      </c>
      <c r="Z176" s="1151" t="e">
        <f>+NOMINA!#REF!</f>
        <v>#REF!</v>
      </c>
      <c r="AA176" s="1151" t="e">
        <f>+NOMINA!#REF!</f>
        <v>#REF!</v>
      </c>
      <c r="AB176" s="1151" t="e">
        <f t="shared" si="11"/>
        <v>#REF!</v>
      </c>
      <c r="AD176" s="634"/>
      <c r="AH176" s="1610" t="str">
        <f>NOMINA!P150</f>
        <v>01020373290000030960</v>
      </c>
    </row>
    <row r="177" spans="1:34" s="629" customFormat="1" ht="20.100000000000001" customHeight="1" thickBot="1">
      <c r="A177" s="770" t="s">
        <v>2846</v>
      </c>
      <c r="B177" s="771">
        <f t="shared" si="12"/>
        <v>110</v>
      </c>
      <c r="C177" s="1145">
        <f>NOMINA!C151</f>
        <v>14719639</v>
      </c>
      <c r="D177" s="1146" t="str">
        <f>NOMINA!D151</f>
        <v xml:space="preserve">Coy de Dorante Sandra Liliana </v>
      </c>
      <c r="E177" s="1613" t="s">
        <v>4622</v>
      </c>
      <c r="F177" s="1153">
        <v>32351</v>
      </c>
      <c r="G177" s="1613" t="s">
        <v>4620</v>
      </c>
      <c r="H177" s="1572">
        <f>NOMINA!H151</f>
        <v>44896</v>
      </c>
      <c r="I177" s="1148">
        <f>NOMINA!I152</f>
        <v>18</v>
      </c>
      <c r="J177" s="1149">
        <f>NOMINA!J152</f>
        <v>0</v>
      </c>
      <c r="K177" s="1148">
        <f t="shared" si="10"/>
        <v>18</v>
      </c>
      <c r="L177" s="1149" t="s">
        <v>4932</v>
      </c>
      <c r="M177" s="1149"/>
      <c r="N177" s="1573" t="str">
        <f>NOMINA!O151</f>
        <v>Guia de Centro I</v>
      </c>
      <c r="O177" s="1149">
        <v>1.02087691000006E+18</v>
      </c>
      <c r="P177" s="1150">
        <f>ROUND(+NOMINA!T151,2)</f>
        <v>130</v>
      </c>
      <c r="Q177" s="1151">
        <v>0</v>
      </c>
      <c r="R177" s="1151">
        <f>ROUND(+NOMINA!AA151,2)</f>
        <v>2.6</v>
      </c>
      <c r="S177" s="1151">
        <f>ROUND(+NOMINA!AB151,2)</f>
        <v>130</v>
      </c>
      <c r="T177" s="1151">
        <f>ROUND(+NOMINA!AC151,2)</f>
        <v>25</v>
      </c>
      <c r="U177" s="1151">
        <f>ROUND(+NOMINA!AD151,2)</f>
        <v>0</v>
      </c>
      <c r="V177" s="1151">
        <f>ROUND(NOMINA!AQ151,2)</f>
        <v>0</v>
      </c>
      <c r="W177" s="1151">
        <f>+NOMINA!AS151</f>
        <v>0</v>
      </c>
      <c r="X177" s="1151">
        <f>+NOMINA!AT151</f>
        <v>0</v>
      </c>
      <c r="Y177" s="1151">
        <f>+NOMINA!AU151</f>
        <v>373.88</v>
      </c>
      <c r="Z177" s="1151">
        <f>+NOMINA!BX151</f>
        <v>701.03</v>
      </c>
      <c r="AA177" s="1151">
        <f>+NOMINA!BY151</f>
        <v>0</v>
      </c>
      <c r="AB177" s="1151">
        <f t="shared" si="11"/>
        <v>701.03</v>
      </c>
      <c r="AD177" s="634"/>
      <c r="AH177" s="1610" t="e">
        <f>NOMINA!#REF!</f>
        <v>#REF!</v>
      </c>
    </row>
    <row r="178" spans="1:34" s="629" customFormat="1" ht="20.100000000000001" customHeight="1" thickBot="1">
      <c r="A178" s="770" t="s">
        <v>2846</v>
      </c>
      <c r="B178" s="771">
        <f t="shared" si="12"/>
        <v>111</v>
      </c>
      <c r="C178" s="1145">
        <f>NOMINA!C152</f>
        <v>14739168</v>
      </c>
      <c r="D178" s="1146" t="str">
        <f>NOMINA!D152</f>
        <v>Briceño Hernandez Yeny Del Carmen</v>
      </c>
      <c r="E178" s="1613" t="s">
        <v>4622</v>
      </c>
      <c r="F178" s="1153">
        <v>32351</v>
      </c>
      <c r="G178" s="1613" t="s">
        <v>4620</v>
      </c>
      <c r="H178" s="1572">
        <f>NOMINA!H152</f>
        <v>38841</v>
      </c>
      <c r="I178" s="1148">
        <f>NOMINA!I153</f>
        <v>3</v>
      </c>
      <c r="J178" s="1149">
        <f>NOMINA!J153</f>
        <v>11</v>
      </c>
      <c r="K178" s="1148">
        <f t="shared" si="10"/>
        <v>14</v>
      </c>
      <c r="L178" s="1149" t="s">
        <v>4932</v>
      </c>
      <c r="M178" s="1149"/>
      <c r="N178" s="1573" t="str">
        <f>NOMINA!O152</f>
        <v>Trabajador Social III</v>
      </c>
      <c r="O178" s="1149">
        <v>1.02087691000006E+18</v>
      </c>
      <c r="P178" s="1150">
        <f>ROUND(+NOMINA!T152,2)</f>
        <v>228</v>
      </c>
      <c r="Q178" s="1151">
        <v>0</v>
      </c>
      <c r="R178" s="1151">
        <f>ROUND(+NOMINA!AA152,2)</f>
        <v>51.98</v>
      </c>
      <c r="S178" s="1151">
        <f>ROUND(+NOMINA!AB152,2)</f>
        <v>130</v>
      </c>
      <c r="T178" s="1151">
        <f>ROUND(+NOMINA!AC152,2)</f>
        <v>12.5</v>
      </c>
      <c r="U178" s="1151">
        <f>ROUND(+NOMINA!AD152,2)</f>
        <v>84.5</v>
      </c>
      <c r="V178" s="1151">
        <f>ROUND(NOMINA!AQ152,2)</f>
        <v>0</v>
      </c>
      <c r="W178" s="1151">
        <f>+NOMINA!AS152</f>
        <v>0</v>
      </c>
      <c r="X178" s="1151">
        <f>+NOMINA!AT152</f>
        <v>12.5</v>
      </c>
      <c r="Y178" s="1151">
        <f>+NOMINA!AU152</f>
        <v>506.98</v>
      </c>
      <c r="Z178" s="1151">
        <f>+NOMINA!BX152</f>
        <v>950.59</v>
      </c>
      <c r="AA178" s="1151">
        <f>+NOMINA!BY152</f>
        <v>0</v>
      </c>
      <c r="AB178" s="1151">
        <f t="shared" si="11"/>
        <v>950.59</v>
      </c>
      <c r="AD178" s="634"/>
      <c r="AH178" s="1610" t="str">
        <f>NOMINA!P151</f>
        <v>01020747990100002783</v>
      </c>
    </row>
    <row r="179" spans="1:34" s="629" customFormat="1" ht="20.100000000000001" customHeight="1" thickBot="1">
      <c r="A179" s="770" t="s">
        <v>2846</v>
      </c>
      <c r="B179" s="771">
        <f t="shared" si="12"/>
        <v>112</v>
      </c>
      <c r="C179" s="1145">
        <f>NOMINA!C153</f>
        <v>14928034</v>
      </c>
      <c r="D179" s="1146" t="str">
        <f>NOMINA!D153</f>
        <v>Ramirez Palomares Mariana Teresa</v>
      </c>
      <c r="E179" s="1613" t="s">
        <v>4622</v>
      </c>
      <c r="F179" s="1153">
        <v>32351</v>
      </c>
      <c r="G179" s="1613" t="s">
        <v>4620</v>
      </c>
      <c r="H179" s="1572">
        <f>NOMINA!H153</f>
        <v>44302</v>
      </c>
      <c r="I179" s="1148">
        <f>NOMINA!I154</f>
        <v>18</v>
      </c>
      <c r="J179" s="1149">
        <f>NOMINA!J154</f>
        <v>0</v>
      </c>
      <c r="K179" s="1148">
        <f t="shared" si="10"/>
        <v>18</v>
      </c>
      <c r="L179" s="1149" t="s">
        <v>4932</v>
      </c>
      <c r="M179" s="1149"/>
      <c r="N179" s="1573" t="str">
        <f>NOMINA!O153</f>
        <v>Promotor Cultural I</v>
      </c>
      <c r="O179" s="1149">
        <v>1.02087691000006E+18</v>
      </c>
      <c r="P179" s="1150">
        <f>ROUND(+NOMINA!T153,2)</f>
        <v>174</v>
      </c>
      <c r="Q179" s="1151">
        <v>0</v>
      </c>
      <c r="R179" s="1151">
        <f>ROUND(+NOMINA!AA153,2)</f>
        <v>28.88</v>
      </c>
      <c r="S179" s="1151">
        <f>ROUND(+NOMINA!AB153,2)</f>
        <v>130</v>
      </c>
      <c r="T179" s="1151">
        <f>ROUND(+NOMINA!AC153,2)</f>
        <v>0</v>
      </c>
      <c r="U179" s="1151">
        <f>ROUND(+NOMINA!AD153,2)</f>
        <v>0</v>
      </c>
      <c r="V179" s="1151">
        <f>ROUND(NOMINA!AQ153,2)</f>
        <v>0</v>
      </c>
      <c r="W179" s="1151">
        <f>+NOMINA!AS153</f>
        <v>0</v>
      </c>
      <c r="X179" s="1151">
        <f>+NOMINA!AT153</f>
        <v>0</v>
      </c>
      <c r="Y179" s="1151">
        <f>+NOMINA!AU153</f>
        <v>332.88</v>
      </c>
      <c r="Z179" s="1151">
        <f>+NOMINA!BX153</f>
        <v>624.15</v>
      </c>
      <c r="AA179" s="1151">
        <f>+NOMINA!BY153</f>
        <v>0</v>
      </c>
      <c r="AB179" s="1151">
        <f t="shared" si="11"/>
        <v>624.15</v>
      </c>
      <c r="AD179" s="634"/>
      <c r="AH179" s="1610" t="str">
        <f>NOMINA!P152</f>
        <v>01020373290000440822</v>
      </c>
    </row>
    <row r="180" spans="1:34" s="629" customFormat="1" ht="20.100000000000001" customHeight="1" thickBot="1">
      <c r="A180" s="770" t="s">
        <v>2846</v>
      </c>
      <c r="B180" s="771">
        <f t="shared" si="12"/>
        <v>113</v>
      </c>
      <c r="C180" s="1145">
        <f>NOMINA!C154</f>
        <v>14928260</v>
      </c>
      <c r="D180" s="1146" t="str">
        <f>NOMINA!D154</f>
        <v>Rivas Ana Lucila</v>
      </c>
      <c r="E180" s="1613" t="s">
        <v>4622</v>
      </c>
      <c r="F180" s="1153">
        <v>32351</v>
      </c>
      <c r="G180" s="1613" t="s">
        <v>4620</v>
      </c>
      <c r="H180" s="1572">
        <f>NOMINA!H154</f>
        <v>39104</v>
      </c>
      <c r="I180" s="1148">
        <f>NOMINA!I155</f>
        <v>6</v>
      </c>
      <c r="J180" s="1149">
        <f>NOMINA!J155</f>
        <v>0</v>
      </c>
      <c r="K180" s="1148">
        <f t="shared" si="10"/>
        <v>6</v>
      </c>
      <c r="L180" s="1149" t="s">
        <v>4932</v>
      </c>
      <c r="M180" s="1149"/>
      <c r="N180" s="1573" t="str">
        <f>NOMINA!O154</f>
        <v>Tutor Facilitador I</v>
      </c>
      <c r="O180" s="1149">
        <v>1.02087691000006E+18</v>
      </c>
      <c r="P180" s="1150">
        <f>ROUND(+NOMINA!T154,2)</f>
        <v>228</v>
      </c>
      <c r="Q180" s="1151">
        <v>0</v>
      </c>
      <c r="R180" s="1151">
        <f>ROUND(+NOMINA!AA154,2)</f>
        <v>51.98</v>
      </c>
      <c r="S180" s="1151">
        <f>ROUND(+NOMINA!AB154,2)</f>
        <v>130</v>
      </c>
      <c r="T180" s="1151">
        <f>ROUND(+NOMINA!AC154,2)</f>
        <v>12.5</v>
      </c>
      <c r="U180" s="1151">
        <f>ROUND(+NOMINA!AD154,2)</f>
        <v>84.5</v>
      </c>
      <c r="V180" s="1151">
        <f>ROUND(NOMINA!AQ154,2)</f>
        <v>0</v>
      </c>
      <c r="W180" s="1151">
        <f>+NOMINA!AS154</f>
        <v>0</v>
      </c>
      <c r="X180" s="1151">
        <f>+NOMINA!AT154</f>
        <v>0</v>
      </c>
      <c r="Y180" s="1151">
        <f>+NOMINA!AU154</f>
        <v>506.98</v>
      </c>
      <c r="Z180" s="1151">
        <f>+NOMINA!BX154</f>
        <v>950.59</v>
      </c>
      <c r="AA180" s="1151">
        <f>+NOMINA!BY154</f>
        <v>0</v>
      </c>
      <c r="AB180" s="1151">
        <f t="shared" si="11"/>
        <v>950.59</v>
      </c>
      <c r="AD180" s="634"/>
      <c r="AH180" s="1610" t="str">
        <f>NOMINA!P153</f>
        <v>01020373240000440864</v>
      </c>
    </row>
    <row r="181" spans="1:34" s="629" customFormat="1" ht="20.100000000000001" customHeight="1" thickBot="1">
      <c r="A181" s="770" t="s">
        <v>2846</v>
      </c>
      <c r="B181" s="771">
        <f t="shared" si="12"/>
        <v>114</v>
      </c>
      <c r="C181" s="1145">
        <f>NOMINA!C155</f>
        <v>14929642</v>
      </c>
      <c r="D181" s="1146" t="str">
        <f>NOMINA!D155</f>
        <v>Alvarran Arjona Ismenia Del Carmen</v>
      </c>
      <c r="E181" s="1613" t="s">
        <v>4622</v>
      </c>
      <c r="F181" s="1153">
        <v>32351</v>
      </c>
      <c r="G181" s="1613" t="s">
        <v>4620</v>
      </c>
      <c r="H181" s="1572">
        <f>NOMINA!H155</f>
        <v>43419</v>
      </c>
      <c r="I181" s="1148">
        <f>NOMINA!I156</f>
        <v>2</v>
      </c>
      <c r="J181" s="1149">
        <f>NOMINA!J156</f>
        <v>0</v>
      </c>
      <c r="K181" s="1148">
        <f t="shared" si="10"/>
        <v>2</v>
      </c>
      <c r="L181" s="1149" t="s">
        <v>4932</v>
      </c>
      <c r="M181" s="1149"/>
      <c r="N181" s="1573" t="str">
        <f>NOMINA!O155</f>
        <v>GUIA DE CENTRO II</v>
      </c>
      <c r="O181" s="1149">
        <v>1.02087691000006E+18</v>
      </c>
      <c r="P181" s="1150">
        <f>ROUND(+NOMINA!T155,2)</f>
        <v>221</v>
      </c>
      <c r="Q181" s="1151">
        <v>0</v>
      </c>
      <c r="R181" s="1151">
        <f>ROUND(+NOMINA!AA155,2)</f>
        <v>13.7</v>
      </c>
      <c r="S181" s="1151">
        <f>ROUND(+NOMINA!AB155,2)</f>
        <v>130</v>
      </c>
      <c r="T181" s="1151">
        <f>ROUND(+NOMINA!AC155,2)</f>
        <v>12.5</v>
      </c>
      <c r="U181" s="1151">
        <f>ROUND(+NOMINA!AD155,2)</f>
        <v>75.44</v>
      </c>
      <c r="V181" s="1151">
        <f>ROUND(NOMINA!AQ155,2)</f>
        <v>0</v>
      </c>
      <c r="W181" s="1151">
        <f>+NOMINA!AS155</f>
        <v>0</v>
      </c>
      <c r="X181" s="1151">
        <f>+NOMINA!AT155</f>
        <v>12.5</v>
      </c>
      <c r="Y181" s="1151">
        <f>+NOMINA!AU155</f>
        <v>588.42999999999995</v>
      </c>
      <c r="Z181" s="1151">
        <f>+NOMINA!BX155</f>
        <v>1103.31</v>
      </c>
      <c r="AA181" s="1151">
        <f>+NOMINA!BY155</f>
        <v>0</v>
      </c>
      <c r="AB181" s="1151">
        <f t="shared" si="11"/>
        <v>1103.31</v>
      </c>
      <c r="AD181" s="634"/>
      <c r="AH181" s="1610" t="str">
        <f>NOMINA!P154</f>
        <v>01020373260000440877</v>
      </c>
    </row>
    <row r="182" spans="1:34" s="629" customFormat="1" ht="20.100000000000001" customHeight="1" thickBot="1">
      <c r="A182" s="770" t="s">
        <v>2846</v>
      </c>
      <c r="B182" s="771">
        <f t="shared" si="12"/>
        <v>115</v>
      </c>
      <c r="C182" s="1145">
        <f>NOMINA!C156</f>
        <v>14986675</v>
      </c>
      <c r="D182" s="1146" t="str">
        <f>NOMINA!D156</f>
        <v>Mecias Nuñez Shirly Ygnacia</v>
      </c>
      <c r="E182" s="1613" t="s">
        <v>4622</v>
      </c>
      <c r="F182" s="1153">
        <v>32351</v>
      </c>
      <c r="G182" s="1613" t="s">
        <v>4620</v>
      </c>
      <c r="H182" s="1572">
        <f>NOMINA!H156</f>
        <v>44805</v>
      </c>
      <c r="I182" s="1148">
        <f>NOMINA!I157</f>
        <v>3</v>
      </c>
      <c r="J182" s="1149">
        <f>NOMINA!J157</f>
        <v>0</v>
      </c>
      <c r="K182" s="1148">
        <f t="shared" si="10"/>
        <v>3</v>
      </c>
      <c r="L182" s="1149" t="s">
        <v>4932</v>
      </c>
      <c r="M182" s="1149"/>
      <c r="N182" s="1573" t="str">
        <f>NOMINA!O156</f>
        <v>Tutor Facilitador I</v>
      </c>
      <c r="O182" s="1149">
        <v>1.02087691000006E+18</v>
      </c>
      <c r="P182" s="1150">
        <f>ROUND(+NOMINA!T156,2)</f>
        <v>246</v>
      </c>
      <c r="Q182" s="1151">
        <v>0</v>
      </c>
      <c r="R182" s="1151">
        <f>ROUND(+NOMINA!AA156,2)</f>
        <v>4.92</v>
      </c>
      <c r="S182" s="1151">
        <f>ROUND(+NOMINA!AB156,2)</f>
        <v>130</v>
      </c>
      <c r="T182" s="1151">
        <f>ROUND(+NOMINA!AC156,2)</f>
        <v>25</v>
      </c>
      <c r="U182" s="1151">
        <f>ROUND(+NOMINA!AD156,2)</f>
        <v>101.48</v>
      </c>
      <c r="V182" s="1151">
        <f>ROUND(NOMINA!AQ156,2)</f>
        <v>0</v>
      </c>
      <c r="W182" s="1151">
        <f>+NOMINA!AS156</f>
        <v>0</v>
      </c>
      <c r="X182" s="1151">
        <f>+NOMINA!AT156</f>
        <v>0</v>
      </c>
      <c r="Y182" s="1151">
        <f>+NOMINA!AU156</f>
        <v>507.4</v>
      </c>
      <c r="Z182" s="1151">
        <f>+NOMINA!BX156</f>
        <v>951.38</v>
      </c>
      <c r="AA182" s="1151">
        <f>+NOMINA!BY156</f>
        <v>0</v>
      </c>
      <c r="AB182" s="1151">
        <f t="shared" si="11"/>
        <v>951.38</v>
      </c>
      <c r="AD182" s="634"/>
      <c r="AH182" s="1610" t="str">
        <f>NOMINA!P155</f>
        <v>01020373290100097099</v>
      </c>
    </row>
    <row r="183" spans="1:34" s="629" customFormat="1" ht="20.100000000000001" customHeight="1" thickBot="1">
      <c r="A183" s="770" t="s">
        <v>2846</v>
      </c>
      <c r="B183" s="771">
        <f t="shared" si="12"/>
        <v>116</v>
      </c>
      <c r="C183" s="1145">
        <f>NOMINA!C157</f>
        <v>15188927</v>
      </c>
      <c r="D183" s="1146" t="str">
        <f>NOMINA!D157</f>
        <v>Linares Villarreal Rosmely del Carmen</v>
      </c>
      <c r="E183" s="1613" t="s">
        <v>4622</v>
      </c>
      <c r="F183" s="1153">
        <v>32351</v>
      </c>
      <c r="G183" s="1613" t="s">
        <v>4620</v>
      </c>
      <c r="H183" s="1572">
        <f>NOMINA!H157</f>
        <v>44409</v>
      </c>
      <c r="I183" s="1148">
        <f>NOMINA!I158</f>
        <v>0</v>
      </c>
      <c r="J183" s="1149">
        <f>NOMINA!J158</f>
        <v>0</v>
      </c>
      <c r="K183" s="1148">
        <f t="shared" si="10"/>
        <v>0</v>
      </c>
      <c r="L183" s="1149" t="s">
        <v>4932</v>
      </c>
      <c r="M183" s="1149"/>
      <c r="N183" s="1573" t="str">
        <f>NOMINA!O157</f>
        <v>Guia de Centro II</v>
      </c>
      <c r="O183" s="1149">
        <v>1.02087691000006E+18</v>
      </c>
      <c r="P183" s="1150">
        <f>ROUND(+NOMINA!T157,2)</f>
        <v>150</v>
      </c>
      <c r="Q183" s="1151">
        <v>0</v>
      </c>
      <c r="R183" s="1151">
        <f>ROUND(+NOMINA!AA157,2)</f>
        <v>4.5</v>
      </c>
      <c r="S183" s="1151">
        <f>ROUND(+NOMINA!AB157,2)</f>
        <v>130</v>
      </c>
      <c r="T183" s="1151">
        <f>ROUND(+NOMINA!AC157,2)</f>
        <v>25</v>
      </c>
      <c r="U183" s="1151">
        <f>ROUND(+NOMINA!AD157,2)</f>
        <v>0</v>
      </c>
      <c r="V183" s="1151">
        <f>ROUND(NOMINA!AQ157,2)</f>
        <v>0</v>
      </c>
      <c r="W183" s="1151">
        <f>+NOMINA!AS157</f>
        <v>0</v>
      </c>
      <c r="X183" s="1151">
        <f>+NOMINA!AT157</f>
        <v>0</v>
      </c>
      <c r="Y183" s="1151">
        <f>+NOMINA!AU157</f>
        <v>402.35</v>
      </c>
      <c r="Z183" s="1151">
        <f>+NOMINA!BX157</f>
        <v>754.41</v>
      </c>
      <c r="AA183" s="1151">
        <f>+NOMINA!BY157</f>
        <v>0</v>
      </c>
      <c r="AB183" s="1151">
        <f t="shared" si="11"/>
        <v>754.41</v>
      </c>
      <c r="AD183" s="634"/>
      <c r="AH183" s="1610" t="e">
        <f>NOMINA!#REF!</f>
        <v>#REF!</v>
      </c>
    </row>
    <row r="184" spans="1:34" s="629" customFormat="1" ht="20.100000000000001" customHeight="1" thickBot="1">
      <c r="A184" s="770" t="s">
        <v>2846</v>
      </c>
      <c r="B184" s="771">
        <f t="shared" si="12"/>
        <v>117</v>
      </c>
      <c r="C184" s="1145">
        <f>NOMINA!C158</f>
        <v>15560762</v>
      </c>
      <c r="D184" s="1146" t="str">
        <f>NOMINA!D158</f>
        <v>Villalobos Javier Jose</v>
      </c>
      <c r="E184" s="1613" t="s">
        <v>4622</v>
      </c>
      <c r="F184" s="1153">
        <v>32351</v>
      </c>
      <c r="G184" s="1613" t="s">
        <v>4620</v>
      </c>
      <c r="H184" s="1572">
        <f>NOMINA!H158</f>
        <v>45474</v>
      </c>
      <c r="I184" s="1148">
        <f>NOMINA!I159</f>
        <v>6</v>
      </c>
      <c r="J184" s="1149">
        <f>NOMINA!J159</f>
        <v>0</v>
      </c>
      <c r="K184" s="1148">
        <f t="shared" si="10"/>
        <v>6</v>
      </c>
      <c r="L184" s="1149" t="s">
        <v>4932</v>
      </c>
      <c r="M184" s="1149"/>
      <c r="N184" s="1573" t="str">
        <f>NOMINA!O158</f>
        <v>Entrenador Deportivo IV</v>
      </c>
      <c r="O184" s="1149">
        <v>1.02087691000006E+18</v>
      </c>
      <c r="P184" s="1150">
        <f>ROUND(+NOMINA!T158,2)</f>
        <v>246</v>
      </c>
      <c r="Q184" s="1151">
        <v>0</v>
      </c>
      <c r="R184" s="1151">
        <f>ROUND(+NOMINA!AA158,2)</f>
        <v>0</v>
      </c>
      <c r="S184" s="1151">
        <f>ROUND(+NOMINA!AB158,2)</f>
        <v>130</v>
      </c>
      <c r="T184" s="1151">
        <f>ROUND(+NOMINA!AC158,2)</f>
        <v>12.5</v>
      </c>
      <c r="U184" s="1151">
        <f>ROUND(+NOMINA!AD158,2)</f>
        <v>97.13</v>
      </c>
      <c r="V184" s="1151">
        <f>ROUND(NOMINA!AQ158,2)</f>
        <v>0</v>
      </c>
      <c r="W184" s="1151">
        <f>+NOMINA!AS158</f>
        <v>0</v>
      </c>
      <c r="X184" s="1151">
        <f>+NOMINA!AT158</f>
        <v>12.5</v>
      </c>
      <c r="Y184" s="1151">
        <f>+NOMINA!AU158</f>
        <v>485.63</v>
      </c>
      <c r="Z184" s="1151">
        <f>+NOMINA!BX158</f>
        <v>379.4</v>
      </c>
      <c r="AA184" s="1151">
        <f>+NOMINA!BY158</f>
        <v>0</v>
      </c>
      <c r="AB184" s="1151">
        <f t="shared" si="11"/>
        <v>379.4</v>
      </c>
      <c r="AD184" s="634"/>
      <c r="AH184" s="1610" t="str">
        <f>NOMINA!P156</f>
        <v>01020373200000925677</v>
      </c>
    </row>
    <row r="185" spans="1:34" s="629" customFormat="1" ht="20.100000000000001" customHeight="1" thickBot="1">
      <c r="A185" s="770" t="s">
        <v>2846</v>
      </c>
      <c r="B185" s="771">
        <f t="shared" si="12"/>
        <v>118</v>
      </c>
      <c r="C185" s="1145">
        <f>NOMINA!C159</f>
        <v>15583745</v>
      </c>
      <c r="D185" s="1146" t="str">
        <f>NOMINA!D159</f>
        <v>Briceño Araujo Alexander Javier</v>
      </c>
      <c r="E185" s="1613" t="s">
        <v>4622</v>
      </c>
      <c r="F185" s="1153">
        <v>32351</v>
      </c>
      <c r="G185" s="1613" t="s">
        <v>4620</v>
      </c>
      <c r="H185" s="1572">
        <f>NOMINA!H159</f>
        <v>43481</v>
      </c>
      <c r="I185" s="1148">
        <f>NOMINA!I160</f>
        <v>18</v>
      </c>
      <c r="J185" s="1149">
        <f>NOMINA!J160</f>
        <v>0</v>
      </c>
      <c r="K185" s="1148">
        <f t="shared" si="10"/>
        <v>18</v>
      </c>
      <c r="L185" s="1149" t="s">
        <v>4932</v>
      </c>
      <c r="M185" s="1149"/>
      <c r="N185" s="1573" t="str">
        <f>NOMINA!O159</f>
        <v>Administrador II</v>
      </c>
      <c r="O185" s="1149">
        <v>1.02087691000006E+18</v>
      </c>
      <c r="P185" s="1150">
        <f>ROUND(+NOMINA!T159,2)</f>
        <v>279</v>
      </c>
      <c r="Q185" s="1151">
        <v>0</v>
      </c>
      <c r="R185" s="1151">
        <f>ROUND(+NOMINA!AA159,2)</f>
        <v>17.3</v>
      </c>
      <c r="S185" s="1151">
        <f>ROUND(+NOMINA!AB159,2)</f>
        <v>130</v>
      </c>
      <c r="T185" s="1151">
        <f>ROUND(+NOMINA!AC159,2)</f>
        <v>0</v>
      </c>
      <c r="U185" s="1151">
        <f>ROUND(+NOMINA!AD159,2)</f>
        <v>106.58</v>
      </c>
      <c r="V185" s="1151">
        <f>ROUND(NOMINA!AQ159,2)</f>
        <v>0</v>
      </c>
      <c r="W185" s="1151">
        <f>+NOMINA!AS159</f>
        <v>0</v>
      </c>
      <c r="X185" s="1151">
        <f>+NOMINA!AT159</f>
        <v>0</v>
      </c>
      <c r="Y185" s="1151">
        <f>+NOMINA!AU159</f>
        <v>532.88</v>
      </c>
      <c r="Z185" s="1151">
        <f>+NOMINA!BX159</f>
        <v>999.15</v>
      </c>
      <c r="AA185" s="1151">
        <f>+NOMINA!BY159</f>
        <v>0</v>
      </c>
      <c r="AB185" s="1151">
        <f t="shared" si="11"/>
        <v>999.15</v>
      </c>
      <c r="AD185" s="634"/>
      <c r="AH185" s="1610" t="str">
        <f>NOMINA!P157</f>
        <v>01020373260000435811</v>
      </c>
    </row>
    <row r="186" spans="1:34" s="629" customFormat="1" ht="20.100000000000001" customHeight="1" thickBot="1">
      <c r="A186" s="770" t="s">
        <v>2846</v>
      </c>
      <c r="B186" s="771">
        <f t="shared" si="12"/>
        <v>119</v>
      </c>
      <c r="C186" s="1145">
        <f>NOMINA!C160</f>
        <v>15588470</v>
      </c>
      <c r="D186" s="1146" t="str">
        <f>NOMINA!D160</f>
        <v>Briceño Lozada Maraiby Coromoto</v>
      </c>
      <c r="E186" s="1613" t="s">
        <v>4622</v>
      </c>
      <c r="F186" s="1153">
        <v>32351</v>
      </c>
      <c r="G186" s="1613" t="s">
        <v>4620</v>
      </c>
      <c r="H186" s="1572">
        <f>NOMINA!H160</f>
        <v>39098</v>
      </c>
      <c r="I186" s="1148">
        <f>NOMINA!I161</f>
        <v>16</v>
      </c>
      <c r="J186" s="1149">
        <f>NOMINA!J161</f>
        <v>0</v>
      </c>
      <c r="K186" s="1148">
        <f t="shared" si="10"/>
        <v>16</v>
      </c>
      <c r="L186" s="1149" t="s">
        <v>4932</v>
      </c>
      <c r="M186" s="1149"/>
      <c r="N186" s="1573" t="str">
        <f>NOMINA!O160</f>
        <v>Trabajador Social II</v>
      </c>
      <c r="O186" s="1149">
        <v>1.02087691000006E+18</v>
      </c>
      <c r="P186" s="1150">
        <f>ROUND(+NOMINA!T160,2)</f>
        <v>228</v>
      </c>
      <c r="Q186" s="1151">
        <v>0</v>
      </c>
      <c r="R186" s="1151">
        <f>ROUND(+NOMINA!AA160,2)</f>
        <v>51.98</v>
      </c>
      <c r="S186" s="1151">
        <f>ROUND(+NOMINA!AB160,2)</f>
        <v>130</v>
      </c>
      <c r="T186" s="1151">
        <f>ROUND(+NOMINA!AC160,2)</f>
        <v>12.5</v>
      </c>
      <c r="U186" s="1151">
        <f>ROUND(+NOMINA!AD160,2)</f>
        <v>84.5</v>
      </c>
      <c r="V186" s="1151">
        <f>ROUND(NOMINA!AQ160,2)</f>
        <v>0</v>
      </c>
      <c r="W186" s="1151">
        <f>+NOMINA!AS160</f>
        <v>0</v>
      </c>
      <c r="X186" s="1151">
        <f>+NOMINA!AT160</f>
        <v>12.5</v>
      </c>
      <c r="Y186" s="1151">
        <f>+NOMINA!AU160</f>
        <v>506.98</v>
      </c>
      <c r="Z186" s="1151">
        <f>+NOMINA!BX160</f>
        <v>950.59</v>
      </c>
      <c r="AA186" s="1151">
        <f>+NOMINA!BY160</f>
        <v>0</v>
      </c>
      <c r="AB186" s="1151">
        <f t="shared" si="11"/>
        <v>950.59</v>
      </c>
      <c r="AD186" s="634"/>
      <c r="AH186" s="1610" t="str">
        <f>NOMINA!P158</f>
        <v>01020747940000128267</v>
      </c>
    </row>
    <row r="187" spans="1:34" s="629" customFormat="1" ht="20.100000000000001" customHeight="1" thickBot="1">
      <c r="A187" s="770" t="s">
        <v>2846</v>
      </c>
      <c r="B187" s="771">
        <f t="shared" si="12"/>
        <v>120</v>
      </c>
      <c r="C187" s="1145">
        <f>NOMINA!C161</f>
        <v>15752048</v>
      </c>
      <c r="D187" s="1146" t="str">
        <f>NOMINA!D161</f>
        <v>Briceño Rangel Sudney Dayan</v>
      </c>
      <c r="E187" s="1613" t="s">
        <v>4622</v>
      </c>
      <c r="F187" s="1153">
        <v>32351</v>
      </c>
      <c r="G187" s="1613" t="s">
        <v>4620</v>
      </c>
      <c r="H187" s="1572">
        <f>NOMINA!H161</f>
        <v>39679</v>
      </c>
      <c r="I187" s="1148">
        <f>NOMINA!I162</f>
        <v>18</v>
      </c>
      <c r="J187" s="1149">
        <f>NOMINA!J162</f>
        <v>0</v>
      </c>
      <c r="K187" s="1148">
        <f t="shared" si="10"/>
        <v>18</v>
      </c>
      <c r="L187" s="1149" t="s">
        <v>4932</v>
      </c>
      <c r="M187" s="1149"/>
      <c r="N187" s="1573" t="str">
        <f>NOMINA!O161</f>
        <v>Guia de Centro II</v>
      </c>
      <c r="O187" s="1149">
        <v>1.02087691000006E+18</v>
      </c>
      <c r="P187" s="1150">
        <f>ROUND(+NOMINA!T161,2)</f>
        <v>314</v>
      </c>
      <c r="Q187" s="1151">
        <v>0</v>
      </c>
      <c r="R187" s="1151">
        <f>ROUND(+NOMINA!AA161,2)</f>
        <v>61.54</v>
      </c>
      <c r="S187" s="1151">
        <f>ROUND(+NOMINA!AB161,2)</f>
        <v>130</v>
      </c>
      <c r="T187" s="1151">
        <f>ROUND(+NOMINA!AC161,2)</f>
        <v>0</v>
      </c>
      <c r="U187" s="1151">
        <f>ROUND(+NOMINA!AD161,2)</f>
        <v>176.94</v>
      </c>
      <c r="V187" s="1151">
        <f>ROUND(NOMINA!AQ161,2)</f>
        <v>0</v>
      </c>
      <c r="W187" s="1151">
        <f>+NOMINA!AS161</f>
        <v>0</v>
      </c>
      <c r="X187" s="1151">
        <f>+NOMINA!AT161</f>
        <v>0</v>
      </c>
      <c r="Y187" s="1151">
        <f>+NOMINA!AU161</f>
        <v>682.48</v>
      </c>
      <c r="Z187" s="1151">
        <f>+NOMINA!BX161</f>
        <v>1279.6500000000001</v>
      </c>
      <c r="AA187" s="1151">
        <f>+NOMINA!BY161</f>
        <v>0</v>
      </c>
      <c r="AB187" s="1151">
        <f t="shared" si="11"/>
        <v>1279.6500000000001</v>
      </c>
      <c r="AD187" s="634"/>
      <c r="AH187" s="1610" t="str">
        <f>NOMINA!P159</f>
        <v>01020373240000483892</v>
      </c>
    </row>
    <row r="188" spans="1:34" s="629" customFormat="1" ht="20.100000000000001" customHeight="1" thickBot="1">
      <c r="A188" s="770" t="s">
        <v>2846</v>
      </c>
      <c r="B188" s="771">
        <f t="shared" si="12"/>
        <v>121</v>
      </c>
      <c r="C188" s="1145">
        <f>NOMINA!C162</f>
        <v>15752183</v>
      </c>
      <c r="D188" s="1146" t="str">
        <f>NOMINA!D162</f>
        <v>Delduca Adriana Del Valle</v>
      </c>
      <c r="E188" s="1613" t="s">
        <v>4622</v>
      </c>
      <c r="F188" s="1153">
        <v>32351</v>
      </c>
      <c r="G188" s="1613" t="s">
        <v>4620</v>
      </c>
      <c r="H188" s="1572">
        <f>NOMINA!H162</f>
        <v>38930</v>
      </c>
      <c r="I188" s="1148">
        <f>NOMINA!I163</f>
        <v>18</v>
      </c>
      <c r="J188" s="1149">
        <f>NOMINA!J163</f>
        <v>0</v>
      </c>
      <c r="K188" s="1148">
        <f t="shared" si="10"/>
        <v>18</v>
      </c>
      <c r="L188" s="1149" t="s">
        <v>4932</v>
      </c>
      <c r="M188" s="1149"/>
      <c r="N188" s="1573" t="str">
        <f>NOMINA!O162</f>
        <v>Analista de Presupuesto IV</v>
      </c>
      <c r="O188" s="1149">
        <v>1.02087691000006E+18</v>
      </c>
      <c r="P188" s="1150">
        <f>ROUND(+NOMINA!T162,2)</f>
        <v>0</v>
      </c>
      <c r="Q188" s="1151">
        <v>0</v>
      </c>
      <c r="R188" s="1151">
        <f>ROUND(+NOMINA!AA162,2)</f>
        <v>0</v>
      </c>
      <c r="S188" s="1151">
        <f>ROUND(+NOMINA!AB162,2)</f>
        <v>0</v>
      </c>
      <c r="T188" s="1151">
        <f>ROUND(+NOMINA!AC162,2)</f>
        <v>0</v>
      </c>
      <c r="U188" s="1151">
        <f>ROUND(+NOMINA!AD162,2)</f>
        <v>0</v>
      </c>
      <c r="V188" s="1151">
        <f>ROUND(NOMINA!AQ162,2)</f>
        <v>0</v>
      </c>
      <c r="W188" s="1151">
        <f>+NOMINA!AS162</f>
        <v>0</v>
      </c>
      <c r="X188" s="1151">
        <f>+NOMINA!AT162</f>
        <v>0</v>
      </c>
      <c r="Y188" s="1151">
        <f>+NOMINA!AU162</f>
        <v>0</v>
      </c>
      <c r="Z188" s="1151">
        <f>+NOMINA!BX162</f>
        <v>0</v>
      </c>
      <c r="AA188" s="1151">
        <f>+NOMINA!BY162</f>
        <v>0</v>
      </c>
      <c r="AB188" s="1151">
        <f t="shared" si="11"/>
        <v>0</v>
      </c>
      <c r="AD188" s="634"/>
      <c r="AH188" s="1610" t="str">
        <f>NOMINA!P160</f>
        <v>01020373240000440945</v>
      </c>
    </row>
    <row r="189" spans="1:34" s="629" customFormat="1" ht="20.100000000000001" customHeight="1" thickBot="1">
      <c r="A189" s="770" t="s">
        <v>2846</v>
      </c>
      <c r="B189" s="771">
        <f t="shared" si="12"/>
        <v>122</v>
      </c>
      <c r="C189" s="1145">
        <f>NOMINA!C163</f>
        <v>15752386</v>
      </c>
      <c r="D189" s="1146" t="str">
        <f>NOMINA!D163</f>
        <v>Villegas Gonzalez Mileide Karine</v>
      </c>
      <c r="E189" s="1613" t="s">
        <v>4622</v>
      </c>
      <c r="F189" s="1153">
        <v>32351</v>
      </c>
      <c r="G189" s="1613" t="s">
        <v>4620</v>
      </c>
      <c r="H189" s="1572">
        <f>NOMINA!H163</f>
        <v>38930</v>
      </c>
      <c r="I189" s="1148">
        <f>NOMINA!I164</f>
        <v>18</v>
      </c>
      <c r="J189" s="1149">
        <f>NOMINA!J164</f>
        <v>0</v>
      </c>
      <c r="K189" s="1148">
        <f t="shared" si="10"/>
        <v>18</v>
      </c>
      <c r="L189" s="1149" t="s">
        <v>4932</v>
      </c>
      <c r="M189" s="1149"/>
      <c r="N189" s="1573" t="str">
        <f>NOMINA!O163</f>
        <v>Guia de Centro II</v>
      </c>
      <c r="O189" s="1149">
        <v>1.02087691000006E+18</v>
      </c>
      <c r="P189" s="1150">
        <f>ROUND(+NOMINA!T163,2)</f>
        <v>228</v>
      </c>
      <c r="Q189" s="1151">
        <v>0</v>
      </c>
      <c r="R189" s="1151">
        <f>ROUND(+NOMINA!AA163,2)</f>
        <v>51.98</v>
      </c>
      <c r="S189" s="1151">
        <f>ROUND(+NOMINA!AB163,2)</f>
        <v>130</v>
      </c>
      <c r="T189" s="1151">
        <f>ROUND(+NOMINA!AC163,2)</f>
        <v>25</v>
      </c>
      <c r="U189" s="1151">
        <f>ROUND(+NOMINA!AD163,2)</f>
        <v>87</v>
      </c>
      <c r="V189" s="1151">
        <f>ROUND(NOMINA!AQ163,2)</f>
        <v>0</v>
      </c>
      <c r="W189" s="1151">
        <f>+NOMINA!AS163</f>
        <v>0</v>
      </c>
      <c r="X189" s="1151">
        <f>+NOMINA!AT163</f>
        <v>0</v>
      </c>
      <c r="Y189" s="1151">
        <f>+NOMINA!AU163</f>
        <v>678.57</v>
      </c>
      <c r="Z189" s="1151">
        <f>+NOMINA!BX163</f>
        <v>1272.32</v>
      </c>
      <c r="AA189" s="1151">
        <f>+NOMINA!BY163</f>
        <v>0</v>
      </c>
      <c r="AB189" s="1151">
        <f t="shared" si="11"/>
        <v>1272.32</v>
      </c>
      <c r="AD189" s="634"/>
      <c r="AH189" s="1610" t="str">
        <f>NOMINA!P161</f>
        <v>01020373200000440990</v>
      </c>
    </row>
    <row r="190" spans="1:34" s="629" customFormat="1" ht="20.100000000000001" customHeight="1" thickBot="1">
      <c r="A190" s="770" t="s">
        <v>2846</v>
      </c>
      <c r="B190" s="771">
        <f t="shared" si="12"/>
        <v>123</v>
      </c>
      <c r="C190" s="1145">
        <f>NOMINA!C164</f>
        <v>15752435</v>
      </c>
      <c r="D190" s="1146" t="str">
        <f>NOMINA!D164</f>
        <v>Gonzalez de Sayago Damarys Coromoto</v>
      </c>
      <c r="E190" s="1613" t="s">
        <v>4622</v>
      </c>
      <c r="F190" s="1153">
        <v>32351</v>
      </c>
      <c r="G190" s="1613" t="s">
        <v>4620</v>
      </c>
      <c r="H190" s="1572">
        <f>NOMINA!H164</f>
        <v>38930</v>
      </c>
      <c r="I190" s="1148">
        <f>NOMINA!I165</f>
        <v>3</v>
      </c>
      <c r="J190" s="1149">
        <f>NOMINA!J165</f>
        <v>0</v>
      </c>
      <c r="K190" s="1148">
        <f t="shared" si="10"/>
        <v>3</v>
      </c>
      <c r="L190" s="1149" t="s">
        <v>4932</v>
      </c>
      <c r="M190" s="1149"/>
      <c r="N190" s="1573" t="str">
        <f>NOMINA!O164</f>
        <v>Trabajador Social II</v>
      </c>
      <c r="O190" s="1149">
        <v>1.02087691000006E+18</v>
      </c>
      <c r="P190" s="1150">
        <f>ROUND(+NOMINA!T164,2)</f>
        <v>228</v>
      </c>
      <c r="Q190" s="1151">
        <v>0</v>
      </c>
      <c r="R190" s="1151">
        <f>ROUND(+NOMINA!AA164,2)</f>
        <v>51.98</v>
      </c>
      <c r="S190" s="1151">
        <f>ROUND(+NOMINA!AB164,2)</f>
        <v>130</v>
      </c>
      <c r="T190" s="1151">
        <f>ROUND(+NOMINA!AC164,2)</f>
        <v>25</v>
      </c>
      <c r="U190" s="1151">
        <f>ROUND(+NOMINA!AD164,2)</f>
        <v>87</v>
      </c>
      <c r="V190" s="1151">
        <f>ROUND(NOMINA!AQ164,2)</f>
        <v>0</v>
      </c>
      <c r="W190" s="1151">
        <f>+NOMINA!AS164</f>
        <v>0</v>
      </c>
      <c r="X190" s="1151">
        <f>+NOMINA!AT164</f>
        <v>0</v>
      </c>
      <c r="Y190" s="1151">
        <f>+NOMINA!AU164</f>
        <v>521.98</v>
      </c>
      <c r="Z190" s="1151">
        <f>+NOMINA!BX164</f>
        <v>978.71</v>
      </c>
      <c r="AA190" s="1151">
        <f>+NOMINA!BY164</f>
        <v>0</v>
      </c>
      <c r="AB190" s="1151">
        <f t="shared" si="11"/>
        <v>978.71</v>
      </c>
      <c r="AD190" s="634"/>
      <c r="AH190" s="1610" t="str">
        <f>NOMINA!P162</f>
        <v>01020373260000441009</v>
      </c>
    </row>
    <row r="191" spans="1:34" s="629" customFormat="1" ht="20.100000000000001" customHeight="1" thickBot="1">
      <c r="A191" s="770" t="s">
        <v>2846</v>
      </c>
      <c r="B191" s="771">
        <f t="shared" si="12"/>
        <v>124</v>
      </c>
      <c r="C191" s="1145">
        <f>NOMINA!C165</f>
        <v>15780354</v>
      </c>
      <c r="D191" s="1146" t="str">
        <f>NOMINA!D165</f>
        <v>Yndriago Blanco Lismiley Andreina</v>
      </c>
      <c r="E191" s="1613" t="s">
        <v>4622</v>
      </c>
      <c r="F191" s="1153">
        <v>32351</v>
      </c>
      <c r="G191" s="1613" t="s">
        <v>4620</v>
      </c>
      <c r="H191" s="1572">
        <f>NOMINA!H165</f>
        <v>44409</v>
      </c>
      <c r="I191" s="1148">
        <f>NOMINA!I166</f>
        <v>3</v>
      </c>
      <c r="J191" s="1149">
        <f>NOMINA!J166</f>
        <v>0</v>
      </c>
      <c r="K191" s="1148">
        <f t="shared" si="10"/>
        <v>3</v>
      </c>
      <c r="L191" s="1149" t="s">
        <v>4932</v>
      </c>
      <c r="M191" s="1149"/>
      <c r="N191" s="1573" t="str">
        <f>NOMINA!O165</f>
        <v>Guia de Centro I</v>
      </c>
      <c r="O191" s="1149">
        <v>1.02087691000006E+18</v>
      </c>
      <c r="P191" s="1150">
        <f>ROUND(+NOMINA!T165,2)</f>
        <v>219</v>
      </c>
      <c r="Q191" s="1151">
        <v>0</v>
      </c>
      <c r="R191" s="1151">
        <f>ROUND(+NOMINA!AA165,2)</f>
        <v>6.57</v>
      </c>
      <c r="S191" s="1151">
        <f>ROUND(+NOMINA!AB165,2)</f>
        <v>130</v>
      </c>
      <c r="T191" s="1151">
        <f>ROUND(+NOMINA!AC165,2)</f>
        <v>0</v>
      </c>
      <c r="U191" s="1151">
        <f>ROUND(+NOMINA!AD165,2)</f>
        <v>88.89</v>
      </c>
      <c r="V191" s="1151">
        <f>ROUND(NOMINA!AQ165,2)</f>
        <v>0</v>
      </c>
      <c r="W191" s="1151">
        <f>+NOMINA!AS165</f>
        <v>0</v>
      </c>
      <c r="X191" s="1151">
        <f>+NOMINA!AT165</f>
        <v>0</v>
      </c>
      <c r="Y191" s="1151">
        <f>+NOMINA!AU165</f>
        <v>577.79999999999995</v>
      </c>
      <c r="Z191" s="1151">
        <f>+NOMINA!BX165</f>
        <v>1083.3800000000001</v>
      </c>
      <c r="AA191" s="1151">
        <f>+NOMINA!BY165</f>
        <v>0</v>
      </c>
      <c r="AB191" s="1151">
        <f t="shared" si="11"/>
        <v>1083.3800000000001</v>
      </c>
      <c r="AD191" s="634"/>
      <c r="AH191" s="1610" t="str">
        <f>NOMINA!P163</f>
        <v>01020373260000441012</v>
      </c>
    </row>
    <row r="192" spans="1:34" s="629" customFormat="1" ht="20.100000000000001" customHeight="1" thickBot="1">
      <c r="A192" s="770" t="s">
        <v>2846</v>
      </c>
      <c r="B192" s="771">
        <f t="shared" si="12"/>
        <v>125</v>
      </c>
      <c r="C192" s="1145">
        <f>NOMINA!C166</f>
        <v>15824548</v>
      </c>
      <c r="D192" s="1146" t="str">
        <f>NOMINA!D166</f>
        <v>Moreno Maria Angelica</v>
      </c>
      <c r="E192" s="1613" t="s">
        <v>4622</v>
      </c>
      <c r="F192" s="1153">
        <v>32351</v>
      </c>
      <c r="G192" s="1613" t="s">
        <v>4620</v>
      </c>
      <c r="H192" s="1572">
        <f>NOMINA!H166</f>
        <v>44317</v>
      </c>
      <c r="I192" s="1148">
        <f>NOMINA!I167</f>
        <v>16</v>
      </c>
      <c r="J192" s="1149">
        <f>NOMINA!J167</f>
        <v>0</v>
      </c>
      <c r="K192" s="1148">
        <f t="shared" si="10"/>
        <v>16</v>
      </c>
      <c r="L192" s="1149" t="s">
        <v>4932</v>
      </c>
      <c r="M192" s="1149"/>
      <c r="N192" s="1573" t="str">
        <f>NOMINA!O166</f>
        <v>Tecnico Superior en Trabajo Social II</v>
      </c>
      <c r="O192" s="1149">
        <v>1.02087691000006E+18</v>
      </c>
      <c r="P192" s="1150">
        <f>ROUND(+NOMINA!T166,2)</f>
        <v>219</v>
      </c>
      <c r="Q192" s="1151">
        <v>0</v>
      </c>
      <c r="R192" s="1151">
        <f>ROUND(+NOMINA!AA166,2)</f>
        <v>6.57</v>
      </c>
      <c r="S192" s="1151">
        <f>ROUND(+NOMINA!AB166,2)</f>
        <v>130</v>
      </c>
      <c r="T192" s="1151">
        <f>ROUND(+NOMINA!AC166,2)</f>
        <v>12.5</v>
      </c>
      <c r="U192" s="1151">
        <f>ROUND(+NOMINA!AD166,2)</f>
        <v>73.61</v>
      </c>
      <c r="V192" s="1151">
        <f>ROUND(NOMINA!AQ166,2)</f>
        <v>0</v>
      </c>
      <c r="W192" s="1151">
        <f>+NOMINA!AS166</f>
        <v>0</v>
      </c>
      <c r="X192" s="1151">
        <f>+NOMINA!AT166</f>
        <v>12.5</v>
      </c>
      <c r="Y192" s="1151">
        <f>+NOMINA!AU166</f>
        <v>441.68</v>
      </c>
      <c r="Z192" s="1151">
        <f>+NOMINA!BX166</f>
        <v>828.15</v>
      </c>
      <c r="AA192" s="1151">
        <f>+NOMINA!BY166</f>
        <v>0</v>
      </c>
      <c r="AB192" s="1151">
        <f t="shared" si="11"/>
        <v>828.15</v>
      </c>
      <c r="AD192" s="634"/>
      <c r="AH192" s="1610" t="str">
        <f>NOMINA!P164</f>
        <v>01020373280000441025</v>
      </c>
    </row>
    <row r="193" spans="1:34" s="629" customFormat="1" ht="20.100000000000001" customHeight="1" thickBot="1">
      <c r="A193" s="770" t="s">
        <v>2846</v>
      </c>
      <c r="B193" s="771">
        <f t="shared" si="12"/>
        <v>126</v>
      </c>
      <c r="C193" s="1145">
        <f>NOMINA!C167</f>
        <v>15904692</v>
      </c>
      <c r="D193" s="1146" t="str">
        <f>NOMINA!D167</f>
        <v>Sifontes Sosa Mayulis Dayana</v>
      </c>
      <c r="E193" s="1613" t="s">
        <v>4622</v>
      </c>
      <c r="F193" s="1153">
        <v>32351</v>
      </c>
      <c r="G193" s="1613" t="s">
        <v>4620</v>
      </c>
      <c r="H193" s="1572">
        <f>NOMINA!H167</f>
        <v>39756</v>
      </c>
      <c r="I193" s="1148">
        <f>NOMINA!I168</f>
        <v>7</v>
      </c>
      <c r="J193" s="1149">
        <f>NOMINA!J168</f>
        <v>0</v>
      </c>
      <c r="K193" s="1148">
        <f t="shared" si="10"/>
        <v>7</v>
      </c>
      <c r="L193" s="1149" t="s">
        <v>4932</v>
      </c>
      <c r="M193" s="1149"/>
      <c r="N193" s="1573" t="str">
        <f>NOMINA!O167</f>
        <v>Guia de Centro II</v>
      </c>
      <c r="O193" s="1149">
        <v>1.02087691000006E+18</v>
      </c>
      <c r="P193" s="1150">
        <f>ROUND(+NOMINA!T167,2)</f>
        <v>226</v>
      </c>
      <c r="Q193" s="1151">
        <v>0</v>
      </c>
      <c r="R193" s="1151">
        <f>ROUND(+NOMINA!AA167,2)</f>
        <v>44.3</v>
      </c>
      <c r="S193" s="1151">
        <f>ROUND(+NOMINA!AB167,2)</f>
        <v>130</v>
      </c>
      <c r="T193" s="1151">
        <f>ROUND(+NOMINA!AC167,2)</f>
        <v>25</v>
      </c>
      <c r="U193" s="1151">
        <f>ROUND(+NOMINA!AD167,2)</f>
        <v>85.06</v>
      </c>
      <c r="V193" s="1151">
        <f>ROUND(NOMINA!AQ167,2)</f>
        <v>0</v>
      </c>
      <c r="W193" s="1151">
        <f>+NOMINA!AS167</f>
        <v>0</v>
      </c>
      <c r="X193" s="1151">
        <f>+NOMINA!AT167</f>
        <v>25</v>
      </c>
      <c r="Y193" s="1151">
        <f>+NOMINA!AU167</f>
        <v>663.47</v>
      </c>
      <c r="Z193" s="1151">
        <f>+NOMINA!BX167</f>
        <v>1244.01</v>
      </c>
      <c r="AA193" s="1151">
        <f>+NOMINA!BY167</f>
        <v>0</v>
      </c>
      <c r="AB193" s="1151">
        <f t="shared" si="11"/>
        <v>1244.01</v>
      </c>
      <c r="AD193" s="634"/>
      <c r="AH193" s="1610" t="str">
        <f>NOMINA!P165</f>
        <v>01020493370100014857</v>
      </c>
    </row>
    <row r="194" spans="1:34" s="629" customFormat="1" ht="20.100000000000001" customHeight="1" thickBot="1">
      <c r="A194" s="770" t="s">
        <v>2846</v>
      </c>
      <c r="B194" s="771">
        <f t="shared" si="12"/>
        <v>127</v>
      </c>
      <c r="C194" s="1145">
        <f>NOMINA!C168</f>
        <v>16015833</v>
      </c>
      <c r="D194" s="1146" t="str">
        <f>NOMINA!D168</f>
        <v>Briceño Doris Elena</v>
      </c>
      <c r="E194" s="1613" t="s">
        <v>4622</v>
      </c>
      <c r="F194" s="1153">
        <v>32351</v>
      </c>
      <c r="G194" s="1613" t="s">
        <v>4620</v>
      </c>
      <c r="H194" s="1572">
        <f>NOMINA!H168</f>
        <v>42948</v>
      </c>
      <c r="I194" s="1148">
        <f>NOMINA!I169</f>
        <v>3</v>
      </c>
      <c r="J194" s="1149">
        <f>NOMINA!J169</f>
        <v>0</v>
      </c>
      <c r="K194" s="1148">
        <f t="shared" si="10"/>
        <v>3</v>
      </c>
      <c r="L194" s="1149" t="s">
        <v>4932</v>
      </c>
      <c r="M194" s="1149"/>
      <c r="N194" s="1573" t="str">
        <f>NOMINA!O168</f>
        <v>Guia de Centro II</v>
      </c>
      <c r="O194" s="1149">
        <v>1.02087691000006E+18</v>
      </c>
      <c r="P194" s="1150">
        <f>ROUND(+NOMINA!T168,2)</f>
        <v>279</v>
      </c>
      <c r="Q194" s="1151">
        <v>0</v>
      </c>
      <c r="R194" s="1151">
        <f>ROUND(+NOMINA!AA168,2)</f>
        <v>20.65</v>
      </c>
      <c r="S194" s="1151">
        <f>ROUND(+NOMINA!AB168,2)</f>
        <v>130</v>
      </c>
      <c r="T194" s="1151">
        <f>ROUND(+NOMINA!AC168,2)</f>
        <v>12.5</v>
      </c>
      <c r="U194" s="1151">
        <f>ROUND(+NOMINA!AD168,2)</f>
        <v>110.54</v>
      </c>
      <c r="V194" s="1151">
        <f>ROUND(NOMINA!AQ168,2)</f>
        <v>0</v>
      </c>
      <c r="W194" s="1151">
        <f>+NOMINA!AS168</f>
        <v>0</v>
      </c>
      <c r="X194" s="1151">
        <f>+NOMINA!AT168</f>
        <v>12.5</v>
      </c>
      <c r="Y194" s="1151">
        <f>+NOMINA!AU168</f>
        <v>718.5</v>
      </c>
      <c r="Z194" s="1151">
        <f>+NOMINA!BX168</f>
        <v>1347.19</v>
      </c>
      <c r="AA194" s="1151">
        <f>+NOMINA!BY168</f>
        <v>0</v>
      </c>
      <c r="AB194" s="1151">
        <f t="shared" si="11"/>
        <v>1347.19</v>
      </c>
      <c r="AD194" s="634"/>
      <c r="AH194" s="1610" t="str">
        <f>NOMINA!P166</f>
        <v>01020373210000234339</v>
      </c>
    </row>
    <row r="195" spans="1:34" s="629" customFormat="1" ht="20.100000000000001" customHeight="1" thickBot="1">
      <c r="A195" s="770" t="s">
        <v>2846</v>
      </c>
      <c r="B195" s="771">
        <f t="shared" si="12"/>
        <v>128</v>
      </c>
      <c r="C195" s="1145">
        <f>NOMINA!C169</f>
        <v>16065580</v>
      </c>
      <c r="D195" s="1146" t="str">
        <f>NOMINA!D169</f>
        <v>Paredes de Rendon Zuly Josefina</v>
      </c>
      <c r="E195" s="1613" t="s">
        <v>4622</v>
      </c>
      <c r="F195" s="1153">
        <v>32351</v>
      </c>
      <c r="G195" s="1613" t="s">
        <v>4620</v>
      </c>
      <c r="H195" s="1572">
        <f>NOMINA!H169</f>
        <v>44363</v>
      </c>
      <c r="I195" s="1148">
        <f>NOMINA!I170</f>
        <v>4</v>
      </c>
      <c r="J195" s="1149">
        <f>NOMINA!J170</f>
        <v>13</v>
      </c>
      <c r="K195" s="1148">
        <f t="shared" si="10"/>
        <v>17</v>
      </c>
      <c r="L195" s="1149" t="s">
        <v>4932</v>
      </c>
      <c r="M195" s="1149"/>
      <c r="N195" s="1573" t="str">
        <f>NOMINA!O169</f>
        <v>Tutor Facilitador II</v>
      </c>
      <c r="O195" s="1149">
        <v>1.02087691000006E+18</v>
      </c>
      <c r="P195" s="1150">
        <f>ROUND(+NOMINA!T169,2)</f>
        <v>277</v>
      </c>
      <c r="Q195" s="1151">
        <v>0</v>
      </c>
      <c r="R195" s="1151">
        <f>ROUND(+NOMINA!AA169,2)</f>
        <v>8.31</v>
      </c>
      <c r="S195" s="1151">
        <f>ROUND(+NOMINA!AB169,2)</f>
        <v>130</v>
      </c>
      <c r="T195" s="1151">
        <f>ROUND(+NOMINA!AC169,2)</f>
        <v>12.5</v>
      </c>
      <c r="U195" s="1151">
        <f>ROUND(+NOMINA!AD169,2)</f>
        <v>106.95</v>
      </c>
      <c r="V195" s="1151">
        <f>ROUND(NOMINA!AQ169,2)</f>
        <v>0</v>
      </c>
      <c r="W195" s="1151">
        <f>+NOMINA!AS169</f>
        <v>0</v>
      </c>
      <c r="X195" s="1151">
        <f>+NOMINA!AT169</f>
        <v>0</v>
      </c>
      <c r="Y195" s="1151">
        <f>+NOMINA!AU169</f>
        <v>534.76</v>
      </c>
      <c r="Z195" s="1151">
        <f>+NOMINA!BX169</f>
        <v>1002.68</v>
      </c>
      <c r="AA195" s="1151">
        <f>+NOMINA!BY169</f>
        <v>0</v>
      </c>
      <c r="AB195" s="1151">
        <f t="shared" si="11"/>
        <v>1002.68</v>
      </c>
      <c r="AD195" s="634"/>
      <c r="AH195" s="1610" t="str">
        <f>NOMINA!P167</f>
        <v>01020373210000440194</v>
      </c>
    </row>
    <row r="196" spans="1:34" s="629" customFormat="1" ht="20.100000000000001" customHeight="1" thickBot="1">
      <c r="A196" s="770" t="s">
        <v>2846</v>
      </c>
      <c r="B196" s="771">
        <f t="shared" si="12"/>
        <v>129</v>
      </c>
      <c r="C196" s="1145">
        <f>NOMINA!C170</f>
        <v>16065861</v>
      </c>
      <c r="D196" s="1146" t="str">
        <f>NOMINA!D170</f>
        <v>Gonzalez Pineda Eduardo Manuel</v>
      </c>
      <c r="E196" s="1613" t="s">
        <v>4622</v>
      </c>
      <c r="F196" s="1153">
        <v>32351</v>
      </c>
      <c r="G196" s="1613" t="s">
        <v>4620</v>
      </c>
      <c r="H196" s="1572">
        <f>NOMINA!H170</f>
        <v>43906</v>
      </c>
      <c r="I196" s="1148">
        <f>NOMINA!I171</f>
        <v>11</v>
      </c>
      <c r="J196" s="1149">
        <f>NOMINA!J171</f>
        <v>0</v>
      </c>
      <c r="K196" s="1148">
        <f t="shared" si="10"/>
        <v>11</v>
      </c>
      <c r="L196" s="1149" t="s">
        <v>4932</v>
      </c>
      <c r="M196" s="1149"/>
      <c r="N196" s="1573" t="str">
        <f>NOMINA!O170</f>
        <v>Entrenador Deportivo VI</v>
      </c>
      <c r="O196" s="1149">
        <v>1.02087691000006E+18</v>
      </c>
      <c r="P196" s="1150">
        <f>ROUND(+NOMINA!T170,2)</f>
        <v>285</v>
      </c>
      <c r="Q196" s="1151">
        <v>0</v>
      </c>
      <c r="R196" s="1151">
        <f>ROUND(+NOMINA!AA170,2)</f>
        <v>60.42</v>
      </c>
      <c r="S196" s="1151">
        <f>ROUND(+NOMINA!AB170,2)</f>
        <v>130</v>
      </c>
      <c r="T196" s="1151">
        <f>ROUND(+NOMINA!AC170,2)</f>
        <v>0</v>
      </c>
      <c r="U196" s="1151">
        <f>ROUND(+NOMINA!AD170,2)</f>
        <v>118.86</v>
      </c>
      <c r="V196" s="1151">
        <f>ROUND(NOMINA!AQ170,2)</f>
        <v>0</v>
      </c>
      <c r="W196" s="1151">
        <f>+NOMINA!AS170</f>
        <v>0</v>
      </c>
      <c r="X196" s="1151">
        <f>+NOMINA!AT170</f>
        <v>0</v>
      </c>
      <c r="Y196" s="1151">
        <f>+NOMINA!AU170</f>
        <v>594.28</v>
      </c>
      <c r="Z196" s="1151">
        <f>+NOMINA!BX170</f>
        <v>1114.28</v>
      </c>
      <c r="AA196" s="1151">
        <f>+NOMINA!BY170</f>
        <v>0</v>
      </c>
      <c r="AB196" s="1151">
        <f t="shared" si="11"/>
        <v>1114.28</v>
      </c>
      <c r="AD196" s="634"/>
      <c r="AH196" s="1610" t="str">
        <f>NOMINA!P168</f>
        <v>01020373220000457763</v>
      </c>
    </row>
    <row r="197" spans="1:34" s="629" customFormat="1" ht="20.100000000000001" customHeight="1" thickBot="1">
      <c r="A197" s="770" t="s">
        <v>2846</v>
      </c>
      <c r="B197" s="771">
        <f t="shared" si="12"/>
        <v>130</v>
      </c>
      <c r="C197" s="1145">
        <f>NOMINA!C171</f>
        <v>16066524</v>
      </c>
      <c r="D197" s="1146" t="str">
        <f>NOMINA!D171</f>
        <v>Carmona Peñaloza Yaneth Coromoto</v>
      </c>
      <c r="E197" s="1613" t="s">
        <v>4622</v>
      </c>
      <c r="F197" s="1153">
        <v>32351</v>
      </c>
      <c r="G197" s="1613" t="s">
        <v>4620</v>
      </c>
      <c r="H197" s="1572">
        <f>NOMINA!H171</f>
        <v>41456</v>
      </c>
      <c r="I197" s="1148">
        <f>NOMINA!I172</f>
        <v>18</v>
      </c>
      <c r="J197" s="1149">
        <f>NOMINA!J172</f>
        <v>0</v>
      </c>
      <c r="K197" s="1148">
        <f t="shared" ref="K197:K260" si="13">I197+J197</f>
        <v>18</v>
      </c>
      <c r="L197" s="1149" t="s">
        <v>4932</v>
      </c>
      <c r="M197" s="1149"/>
      <c r="N197" s="1573" t="str">
        <f>NOMINA!O171</f>
        <v>Asistente Administrativo III</v>
      </c>
      <c r="O197" s="1149">
        <v>1.02087691000006E+18</v>
      </c>
      <c r="P197" s="1150">
        <f>ROUND(+NOMINA!T171,2)</f>
        <v>223</v>
      </c>
      <c r="Q197" s="1151">
        <v>0</v>
      </c>
      <c r="R197" s="1151">
        <f>ROUND(+NOMINA!AA171,2)</f>
        <v>27.65</v>
      </c>
      <c r="S197" s="1151">
        <f>ROUND(+NOMINA!AB171,2)</f>
        <v>130</v>
      </c>
      <c r="T197" s="1151">
        <f>ROUND(+NOMINA!AC171,2)</f>
        <v>25</v>
      </c>
      <c r="U197" s="1151">
        <f>ROUND(+NOMINA!AD171,2)</f>
        <v>81.13</v>
      </c>
      <c r="V197" s="1151">
        <f>ROUND(NOMINA!AQ171,2)</f>
        <v>0</v>
      </c>
      <c r="W197" s="1151">
        <f>+NOMINA!AS171</f>
        <v>0</v>
      </c>
      <c r="X197" s="1151">
        <f>+NOMINA!AT171</f>
        <v>25</v>
      </c>
      <c r="Y197" s="1151">
        <f>+NOMINA!AU171</f>
        <v>486.78</v>
      </c>
      <c r="Z197" s="1151">
        <f>+NOMINA!BX171</f>
        <v>912.71</v>
      </c>
      <c r="AA197" s="1151">
        <f>+NOMINA!BY171</f>
        <v>0</v>
      </c>
      <c r="AB197" s="1151">
        <f t="shared" ref="AB197:AB260" si="14">+Z197+AA197</f>
        <v>912.71</v>
      </c>
      <c r="AD197" s="634"/>
      <c r="AH197" s="1610" t="str">
        <f>NOMINA!P169</f>
        <v>01020494180000329969</v>
      </c>
    </row>
    <row r="198" spans="1:34" s="629" customFormat="1" ht="20.100000000000001" customHeight="1" thickBot="1">
      <c r="A198" s="770" t="s">
        <v>2846</v>
      </c>
      <c r="B198" s="771">
        <f t="shared" ref="B198:B261" si="15">+B197+1</f>
        <v>131</v>
      </c>
      <c r="C198" s="1145">
        <f>NOMINA!C172</f>
        <v>16066554</v>
      </c>
      <c r="D198" s="1146" t="str">
        <f>NOMINA!D172</f>
        <v>Gonzalez Huerta Maria Josefina</v>
      </c>
      <c r="E198" s="1613" t="s">
        <v>4622</v>
      </c>
      <c r="F198" s="1153">
        <v>32351</v>
      </c>
      <c r="G198" s="1613" t="s">
        <v>4620</v>
      </c>
      <c r="H198" s="1572">
        <f>NOMINA!H172</f>
        <v>38797</v>
      </c>
      <c r="I198" s="1148">
        <f>NOMINA!I173</f>
        <v>2</v>
      </c>
      <c r="J198" s="1149">
        <f>NOMINA!J173</f>
        <v>0</v>
      </c>
      <c r="K198" s="1148">
        <f t="shared" si="13"/>
        <v>2</v>
      </c>
      <c r="L198" s="1149" t="s">
        <v>4932</v>
      </c>
      <c r="M198" s="1149"/>
      <c r="N198" s="1573" t="str">
        <f>NOMINA!O172</f>
        <v>Auditor IV</v>
      </c>
      <c r="O198" s="1149">
        <v>1.02087691000006E+18</v>
      </c>
      <c r="P198" s="1150">
        <f>ROUND(+NOMINA!T172,2)</f>
        <v>287</v>
      </c>
      <c r="Q198" s="1151">
        <v>0</v>
      </c>
      <c r="R198" s="1151">
        <f>ROUND(+NOMINA!AA172,2)</f>
        <v>65.44</v>
      </c>
      <c r="S198" s="1151">
        <f>ROUND(+NOMINA!AB172,2)</f>
        <v>130</v>
      </c>
      <c r="T198" s="1151">
        <f>ROUND(+NOMINA!AC172,2)</f>
        <v>25</v>
      </c>
      <c r="U198" s="1151">
        <f>ROUND(+NOMINA!AD172,2)</f>
        <v>126.86</v>
      </c>
      <c r="V198" s="1151">
        <f>ROUND(NOMINA!AQ172,2)</f>
        <v>0</v>
      </c>
      <c r="W198" s="1151">
        <f>+NOMINA!AS172</f>
        <v>0</v>
      </c>
      <c r="X198" s="1151">
        <f>+NOMINA!AT172</f>
        <v>0</v>
      </c>
      <c r="Y198" s="1151">
        <f>+NOMINA!AU172</f>
        <v>634.29999999999995</v>
      </c>
      <c r="Z198" s="1151">
        <f>+NOMINA!BX172</f>
        <v>1189.31</v>
      </c>
      <c r="AA198" s="1151">
        <f>+NOMINA!BY172</f>
        <v>0</v>
      </c>
      <c r="AB198" s="1151">
        <f t="shared" si="14"/>
        <v>1189.31</v>
      </c>
      <c r="AD198" s="634"/>
      <c r="AH198" s="1610" t="str">
        <f>NOMINA!P170</f>
        <v>01020373200000438575</v>
      </c>
    </row>
    <row r="199" spans="1:34" s="629" customFormat="1" ht="20.100000000000001" customHeight="1" thickBot="1">
      <c r="A199" s="770" t="s">
        <v>2846</v>
      </c>
      <c r="B199" s="771">
        <f t="shared" si="15"/>
        <v>132</v>
      </c>
      <c r="C199" s="1145">
        <f>NOMINA!C173</f>
        <v>16266033</v>
      </c>
      <c r="D199" s="1146" t="str">
        <f>NOMINA!D173</f>
        <v>Montilla de Davila Nileidy del Valle</v>
      </c>
      <c r="E199" s="1613" t="s">
        <v>4622</v>
      </c>
      <c r="F199" s="1153">
        <v>32351</v>
      </c>
      <c r="G199" s="1613" t="s">
        <v>4620</v>
      </c>
      <c r="H199" s="1572">
        <f>NOMINA!H173</f>
        <v>44713</v>
      </c>
      <c r="I199" s="1148">
        <f>NOMINA!I174</f>
        <v>7</v>
      </c>
      <c r="J199" s="1149">
        <f>NOMINA!J174</f>
        <v>0</v>
      </c>
      <c r="K199" s="1148">
        <f t="shared" si="13"/>
        <v>7</v>
      </c>
      <c r="L199" s="1149" t="s">
        <v>4932</v>
      </c>
      <c r="M199" s="1149"/>
      <c r="N199" s="1573" t="str">
        <f>NOMINA!O173</f>
        <v>Guia de Centro I</v>
      </c>
      <c r="O199" s="1149">
        <v>1.02087691000006E+18</v>
      </c>
      <c r="P199" s="1150">
        <f>ROUND(+NOMINA!T173,2)</f>
        <v>192</v>
      </c>
      <c r="Q199" s="1151">
        <v>0</v>
      </c>
      <c r="R199" s="1151">
        <f>ROUND(+NOMINA!AA173,2)</f>
        <v>3.84</v>
      </c>
      <c r="S199" s="1151">
        <f>ROUND(+NOMINA!AB173,2)</f>
        <v>130</v>
      </c>
      <c r="T199" s="1151">
        <f>ROUND(+NOMINA!AC173,2)</f>
        <v>25</v>
      </c>
      <c r="U199" s="1151">
        <f>ROUND(+NOMINA!AD173,2)</f>
        <v>87.71</v>
      </c>
      <c r="V199" s="1151">
        <f>ROUND(NOMINA!AQ173,2)</f>
        <v>0</v>
      </c>
      <c r="W199" s="1151">
        <f>+NOMINA!AS173</f>
        <v>0</v>
      </c>
      <c r="X199" s="1151">
        <f>+NOMINA!AT173</f>
        <v>25</v>
      </c>
      <c r="Y199" s="1151">
        <f>+NOMINA!AU173</f>
        <v>570.12</v>
      </c>
      <c r="Z199" s="1151">
        <f>+NOMINA!BX173</f>
        <v>1068.98</v>
      </c>
      <c r="AA199" s="1151">
        <f>+NOMINA!BY173</f>
        <v>0</v>
      </c>
      <c r="AB199" s="1151">
        <f t="shared" si="14"/>
        <v>1068.98</v>
      </c>
      <c r="AD199" s="634"/>
      <c r="AH199" s="1610" t="str">
        <f>NOMINA!P171</f>
        <v>01020373260000439325</v>
      </c>
    </row>
    <row r="200" spans="1:34" s="629" customFormat="1" ht="20.100000000000001" customHeight="1" thickBot="1">
      <c r="A200" s="770" t="s">
        <v>2846</v>
      </c>
      <c r="B200" s="771">
        <f t="shared" si="15"/>
        <v>133</v>
      </c>
      <c r="C200" s="1145">
        <f>NOMINA!C174</f>
        <v>16266989</v>
      </c>
      <c r="D200" s="1146" t="str">
        <f>NOMINA!D174</f>
        <v>Rincon Quevedo Angela Adriana</v>
      </c>
      <c r="E200" s="1613" t="s">
        <v>4622</v>
      </c>
      <c r="F200" s="1153">
        <v>32351</v>
      </c>
      <c r="G200" s="1613" t="s">
        <v>4620</v>
      </c>
      <c r="H200" s="1572">
        <f>NOMINA!H174</f>
        <v>43040</v>
      </c>
      <c r="I200" s="1148">
        <f>NOMINA!I175</f>
        <v>2</v>
      </c>
      <c r="J200" s="1149">
        <f>NOMINA!J175</f>
        <v>0</v>
      </c>
      <c r="K200" s="1148">
        <f t="shared" si="13"/>
        <v>2</v>
      </c>
      <c r="L200" s="1149" t="s">
        <v>4932</v>
      </c>
      <c r="M200" s="1149"/>
      <c r="N200" s="1573" t="str">
        <f>NOMINA!O174</f>
        <v>Guia de Centro II</v>
      </c>
      <c r="O200" s="1149">
        <v>1.02087691000006E+18</v>
      </c>
      <c r="P200" s="1150">
        <f>ROUND(+NOMINA!T174,2)</f>
        <v>279</v>
      </c>
      <c r="Q200" s="1151">
        <v>0</v>
      </c>
      <c r="R200" s="1151">
        <f>ROUND(+NOMINA!AA174,2)</f>
        <v>20.65</v>
      </c>
      <c r="S200" s="1151">
        <f>ROUND(+NOMINA!AB174,2)</f>
        <v>130</v>
      </c>
      <c r="T200" s="1151">
        <f>ROUND(+NOMINA!AC174,2)</f>
        <v>25</v>
      </c>
      <c r="U200" s="1151">
        <f>ROUND(+NOMINA!AD174,2)</f>
        <v>113.66</v>
      </c>
      <c r="V200" s="1151">
        <f>ROUND(NOMINA!AQ174,2)</f>
        <v>0</v>
      </c>
      <c r="W200" s="1151">
        <f>+NOMINA!AS174</f>
        <v>0</v>
      </c>
      <c r="X200" s="1151">
        <f>+NOMINA!AT174</f>
        <v>0</v>
      </c>
      <c r="Y200" s="1151">
        <f>+NOMINA!AU174</f>
        <v>738.8</v>
      </c>
      <c r="Z200" s="1151">
        <f>+NOMINA!BX174</f>
        <v>1385.25</v>
      </c>
      <c r="AA200" s="1151">
        <f>+NOMINA!BY174</f>
        <v>0</v>
      </c>
      <c r="AB200" s="1151">
        <f t="shared" si="14"/>
        <v>1385.25</v>
      </c>
      <c r="AD200" s="634"/>
      <c r="AH200" s="1610" t="str">
        <f>NOMINA!P172</f>
        <v>01020373290000439752</v>
      </c>
    </row>
    <row r="201" spans="1:34" s="629" customFormat="1" ht="20.100000000000001" customHeight="1" thickBot="1">
      <c r="A201" s="770" t="s">
        <v>2846</v>
      </c>
      <c r="B201" s="771">
        <f t="shared" si="15"/>
        <v>134</v>
      </c>
      <c r="C201" s="1145">
        <f>NOMINA!C175</f>
        <v>16267940</v>
      </c>
      <c r="D201" s="1146" t="str">
        <f>NOMINA!D175</f>
        <v>Araujo Moreno Elisaelith</v>
      </c>
      <c r="E201" s="1613" t="s">
        <v>4622</v>
      </c>
      <c r="F201" s="1153">
        <v>32351</v>
      </c>
      <c r="G201" s="1613" t="s">
        <v>4620</v>
      </c>
      <c r="H201" s="1572">
        <f>NOMINA!H175</f>
        <v>44600</v>
      </c>
      <c r="I201" s="1148">
        <f>NOMINA!I176</f>
        <v>5</v>
      </c>
      <c r="J201" s="1149">
        <f>NOMINA!J176</f>
        <v>0</v>
      </c>
      <c r="K201" s="1148">
        <f t="shared" si="13"/>
        <v>5</v>
      </c>
      <c r="L201" s="1149" t="s">
        <v>4932</v>
      </c>
      <c r="M201" s="1149"/>
      <c r="N201" s="1573" t="str">
        <f>NOMINA!O175</f>
        <v>Tecnico Superior en Trabajo Social II</v>
      </c>
      <c r="O201" s="1149">
        <v>1.02087691000006E+18</v>
      </c>
      <c r="P201" s="1150">
        <f>ROUND(+NOMINA!T175,2)</f>
        <v>192</v>
      </c>
      <c r="Q201" s="1151">
        <v>0</v>
      </c>
      <c r="R201" s="1151">
        <f>ROUND(+NOMINA!AA175,2)</f>
        <v>3.84</v>
      </c>
      <c r="S201" s="1151">
        <f>ROUND(+NOMINA!AB175,2)</f>
        <v>130</v>
      </c>
      <c r="T201" s="1151">
        <f>ROUND(+NOMINA!AC175,2)</f>
        <v>25</v>
      </c>
      <c r="U201" s="1151">
        <f>ROUND(+NOMINA!AD175,2)</f>
        <v>70.17</v>
      </c>
      <c r="V201" s="1151">
        <f>ROUND(NOMINA!AQ175,2)</f>
        <v>0</v>
      </c>
      <c r="W201" s="1151">
        <f>+NOMINA!AS175</f>
        <v>0</v>
      </c>
      <c r="X201" s="1151">
        <f>+NOMINA!AT175</f>
        <v>0</v>
      </c>
      <c r="Y201" s="1151">
        <f>+NOMINA!AU175</f>
        <v>421.01</v>
      </c>
      <c r="Z201" s="1151">
        <f>+NOMINA!BX175</f>
        <v>789.4</v>
      </c>
      <c r="AA201" s="1151">
        <f>+NOMINA!BY175</f>
        <v>0</v>
      </c>
      <c r="AB201" s="1151">
        <f t="shared" si="14"/>
        <v>789.4</v>
      </c>
      <c r="AD201" s="634"/>
      <c r="AH201" s="1610" t="str">
        <f>NOMINA!P173</f>
        <v>01020747920100003199</v>
      </c>
    </row>
    <row r="202" spans="1:34" s="629" customFormat="1" ht="20.100000000000001" customHeight="1" thickBot="1">
      <c r="A202" s="770" t="s">
        <v>2846</v>
      </c>
      <c r="B202" s="771">
        <f t="shared" si="15"/>
        <v>135</v>
      </c>
      <c r="C202" s="1145">
        <f>NOMINA!C176</f>
        <v>16376534</v>
      </c>
      <c r="D202" s="1146" t="str">
        <f>NOMINA!D176</f>
        <v>Lugo Moreno Yenny Katiuska</v>
      </c>
      <c r="E202" s="1613" t="s">
        <v>4622</v>
      </c>
      <c r="F202" s="1153">
        <v>32351</v>
      </c>
      <c r="G202" s="1613" t="s">
        <v>4620</v>
      </c>
      <c r="H202" s="1572">
        <f>NOMINA!H176</f>
        <v>43754</v>
      </c>
      <c r="I202" s="1148">
        <f>NOMINA!I177</f>
        <v>13</v>
      </c>
      <c r="J202" s="1149">
        <f>NOMINA!J177</f>
        <v>0</v>
      </c>
      <c r="K202" s="1148">
        <f t="shared" si="13"/>
        <v>13</v>
      </c>
      <c r="L202" s="1149" t="s">
        <v>4932</v>
      </c>
      <c r="M202" s="1149"/>
      <c r="N202" s="1573" t="str">
        <f>NOMINA!O176</f>
        <v>Guia de Centro II</v>
      </c>
      <c r="O202" s="1149">
        <v>1.02087691000006E+18</v>
      </c>
      <c r="P202" s="1150">
        <f>ROUND(+NOMINA!T176,2)</f>
        <v>277</v>
      </c>
      <c r="Q202" s="1151">
        <v>0</v>
      </c>
      <c r="R202" s="1151">
        <f>ROUND(+NOMINA!AA176,2)</f>
        <v>13.85</v>
      </c>
      <c r="S202" s="1151">
        <f>ROUND(+NOMINA!AB176,2)</f>
        <v>130</v>
      </c>
      <c r="T202" s="1151">
        <f>ROUND(+NOMINA!AC176,2)</f>
        <v>12.5</v>
      </c>
      <c r="U202" s="1151">
        <f>ROUND(+NOMINA!AD176,2)</f>
        <v>108.34</v>
      </c>
      <c r="V202" s="1151">
        <f>ROUND(NOMINA!AQ176,2)</f>
        <v>0</v>
      </c>
      <c r="W202" s="1151">
        <f>+NOMINA!AS176</f>
        <v>0</v>
      </c>
      <c r="X202" s="1151">
        <f>+NOMINA!AT176</f>
        <v>0</v>
      </c>
      <c r="Y202" s="1151">
        <f>+NOMINA!AU176</f>
        <v>704.2</v>
      </c>
      <c r="Z202" s="1151">
        <f>+NOMINA!BX176</f>
        <v>1320.38</v>
      </c>
      <c r="AA202" s="1151">
        <f>+NOMINA!BY176</f>
        <v>0</v>
      </c>
      <c r="AB202" s="1151">
        <f t="shared" si="14"/>
        <v>1320.38</v>
      </c>
      <c r="AD202" s="634"/>
      <c r="AH202" s="1610" t="str">
        <f>NOMINA!P174</f>
        <v>01020373210100092331</v>
      </c>
    </row>
    <row r="203" spans="1:34" s="629" customFormat="1" ht="20.100000000000001" customHeight="1" thickBot="1">
      <c r="A203" s="770" t="s">
        <v>2846</v>
      </c>
      <c r="B203" s="771">
        <f t="shared" si="15"/>
        <v>136</v>
      </c>
      <c r="C203" s="1145">
        <f>NOMINA!C177</f>
        <v>16376698</v>
      </c>
      <c r="D203" s="1146" t="str">
        <f>NOMINA!D177</f>
        <v>Barreto Maldonado Jose Luis</v>
      </c>
      <c r="E203" s="1613" t="s">
        <v>4622</v>
      </c>
      <c r="F203" s="1153">
        <v>32351</v>
      </c>
      <c r="G203" s="1613" t="s">
        <v>4620</v>
      </c>
      <c r="H203" s="1572">
        <f>NOMINA!H177</f>
        <v>40909</v>
      </c>
      <c r="I203" s="1148">
        <f>NOMINA!I178</f>
        <v>0</v>
      </c>
      <c r="J203" s="1149">
        <f>NOMINA!J178</f>
        <v>0</v>
      </c>
      <c r="K203" s="1148">
        <f t="shared" si="13"/>
        <v>0</v>
      </c>
      <c r="L203" s="1149" t="s">
        <v>4932</v>
      </c>
      <c r="M203" s="1149"/>
      <c r="N203" s="1573" t="str">
        <f>NOMINA!O177</f>
        <v>Supervisor de Servicios Generales IV</v>
      </c>
      <c r="O203" s="1149">
        <v>1.02087691000006E+18</v>
      </c>
      <c r="P203" s="1150">
        <f>ROUND(+NOMINA!T177,2)</f>
        <v>174</v>
      </c>
      <c r="Q203" s="1151">
        <v>0</v>
      </c>
      <c r="R203" s="1151">
        <f>ROUND(+NOMINA!AA177,2)</f>
        <v>26.45</v>
      </c>
      <c r="S203" s="1151">
        <f>ROUND(+NOMINA!AB177,2)</f>
        <v>130</v>
      </c>
      <c r="T203" s="1151">
        <f>ROUND(+NOMINA!AC177,2)</f>
        <v>25</v>
      </c>
      <c r="U203" s="1151">
        <f>ROUND(+NOMINA!AD177,2)</f>
        <v>0</v>
      </c>
      <c r="V203" s="1151">
        <f>ROUND(NOMINA!AQ177,2)</f>
        <v>0</v>
      </c>
      <c r="W203" s="1151">
        <f>+NOMINA!AS177</f>
        <v>0</v>
      </c>
      <c r="X203" s="1151">
        <f>+NOMINA!AT177</f>
        <v>0</v>
      </c>
      <c r="Y203" s="1151">
        <f>+NOMINA!AU177</f>
        <v>355.45</v>
      </c>
      <c r="Z203" s="1151">
        <f>+NOMINA!BX177</f>
        <v>666.47</v>
      </c>
      <c r="AA203" s="1151">
        <f>+NOMINA!BY177</f>
        <v>0</v>
      </c>
      <c r="AB203" s="1151">
        <f t="shared" si="14"/>
        <v>666.47</v>
      </c>
      <c r="AD203" s="634"/>
      <c r="AH203" s="1610" t="str">
        <f>NOMINA!P175</f>
        <v>01020373240000634942</v>
      </c>
    </row>
    <row r="204" spans="1:34" s="629" customFormat="1" ht="20.100000000000001" customHeight="1" thickBot="1">
      <c r="A204" s="770" t="s">
        <v>2846</v>
      </c>
      <c r="B204" s="771">
        <f t="shared" si="15"/>
        <v>137</v>
      </c>
      <c r="C204" s="1145">
        <f>NOMINA!C178</f>
        <v>16376781</v>
      </c>
      <c r="D204" s="1146" t="str">
        <f>NOMINA!D178</f>
        <v>Viloria de Utrilla Arelis del Carmen</v>
      </c>
      <c r="E204" s="1613" t="s">
        <v>4622</v>
      </c>
      <c r="F204" s="1153">
        <v>32351</v>
      </c>
      <c r="G204" s="1613" t="s">
        <v>4620</v>
      </c>
      <c r="H204" s="1572">
        <f>NOMINA!H178</f>
        <v>45413</v>
      </c>
      <c r="I204" s="1148">
        <f>NOMINA!I179</f>
        <v>2</v>
      </c>
      <c r="J204" s="1149">
        <f>NOMINA!J179</f>
        <v>0</v>
      </c>
      <c r="K204" s="1148">
        <f t="shared" si="13"/>
        <v>2</v>
      </c>
      <c r="L204" s="1149" t="s">
        <v>4932</v>
      </c>
      <c r="M204" s="1149"/>
      <c r="N204" s="1573" t="str">
        <f>NOMINA!O178</f>
        <v>Guia de Centro I</v>
      </c>
      <c r="O204" s="1149">
        <v>1.02087691000006E+18</v>
      </c>
      <c r="P204" s="1150">
        <f>ROUND(+NOMINA!T178,2)</f>
        <v>192</v>
      </c>
      <c r="Q204" s="1151">
        <v>0</v>
      </c>
      <c r="R204" s="1151">
        <f>ROUND(+NOMINA!AA178,2)</f>
        <v>0</v>
      </c>
      <c r="S204" s="1151">
        <f>ROUND(+NOMINA!AB178,2)</f>
        <v>130</v>
      </c>
      <c r="T204" s="1151">
        <f>ROUND(+NOMINA!AC178,2)</f>
        <v>25</v>
      </c>
      <c r="U204" s="1151">
        <f>ROUND(+NOMINA!AD178,2)</f>
        <v>69.400000000000006</v>
      </c>
      <c r="V204" s="1151">
        <f>ROUND(NOMINA!AQ178,2)</f>
        <v>0</v>
      </c>
      <c r="W204" s="1151">
        <f>+NOMINA!AS178</f>
        <v>0</v>
      </c>
      <c r="X204" s="1151">
        <f>+NOMINA!AT178</f>
        <v>25</v>
      </c>
      <c r="Y204" s="1151">
        <f>+NOMINA!AU178</f>
        <v>541.31999999999994</v>
      </c>
      <c r="Z204" s="1151">
        <f>+NOMINA!BX178</f>
        <v>601.47</v>
      </c>
      <c r="AA204" s="1151">
        <f>+NOMINA!BY178</f>
        <v>0</v>
      </c>
      <c r="AB204" s="1151">
        <f t="shared" si="14"/>
        <v>601.47</v>
      </c>
      <c r="AD204" s="634"/>
      <c r="AH204" s="1610" t="str">
        <f>NOMINA!P176</f>
        <v>01020494170000072627</v>
      </c>
    </row>
    <row r="205" spans="1:34" s="629" customFormat="1" ht="20.100000000000001" customHeight="1" thickBot="1">
      <c r="A205" s="770" t="s">
        <v>2846</v>
      </c>
      <c r="B205" s="771">
        <f t="shared" si="15"/>
        <v>138</v>
      </c>
      <c r="C205" s="1145">
        <f>NOMINA!C179</f>
        <v>16377159</v>
      </c>
      <c r="D205" s="1146" t="str">
        <f>NOMINA!D179</f>
        <v>Carrillo Uzcategui Tahiyuani Carolina</v>
      </c>
      <c r="E205" s="1613" t="s">
        <v>4622</v>
      </c>
      <c r="F205" s="1153">
        <v>32351</v>
      </c>
      <c r="G205" s="1613" t="s">
        <v>4620</v>
      </c>
      <c r="H205" s="1572">
        <f>NOMINA!H179</f>
        <v>44743</v>
      </c>
      <c r="I205" s="1148">
        <f>NOMINA!I180</f>
        <v>4</v>
      </c>
      <c r="J205" s="1149">
        <f>NOMINA!J180</f>
        <v>0</v>
      </c>
      <c r="K205" s="1148">
        <f t="shared" si="13"/>
        <v>4</v>
      </c>
      <c r="L205" s="1149" t="s">
        <v>4932</v>
      </c>
      <c r="M205" s="1149"/>
      <c r="N205" s="1573" t="str">
        <f>NOMINA!O179</f>
        <v>Guia de Centro I</v>
      </c>
      <c r="O205" s="1149">
        <v>1.02087691000006E+18</v>
      </c>
      <c r="P205" s="1150">
        <f>ROUND(+NOMINA!T179,2)</f>
        <v>192</v>
      </c>
      <c r="Q205" s="1151">
        <v>0</v>
      </c>
      <c r="R205" s="1151">
        <f>ROUND(+NOMINA!AA179,2)</f>
        <v>3.84</v>
      </c>
      <c r="S205" s="1151">
        <f>ROUND(+NOMINA!AB179,2)</f>
        <v>130</v>
      </c>
      <c r="T205" s="1151">
        <f>ROUND(+NOMINA!AC179,2)</f>
        <v>25</v>
      </c>
      <c r="U205" s="1151">
        <f>ROUND(+NOMINA!AD179,2)</f>
        <v>70.17</v>
      </c>
      <c r="V205" s="1151">
        <f>ROUND(NOMINA!AQ179,2)</f>
        <v>0</v>
      </c>
      <c r="W205" s="1151">
        <f>+NOMINA!AS179</f>
        <v>0</v>
      </c>
      <c r="X205" s="1151">
        <f>+NOMINA!AT179</f>
        <v>0</v>
      </c>
      <c r="Y205" s="1151">
        <f>+NOMINA!AU179</f>
        <v>547.30999999999995</v>
      </c>
      <c r="Z205" s="1151">
        <f>+NOMINA!BX179</f>
        <v>1026.21</v>
      </c>
      <c r="AA205" s="1151">
        <f>+NOMINA!BY179</f>
        <v>0</v>
      </c>
      <c r="AB205" s="1151">
        <f t="shared" si="14"/>
        <v>1026.21</v>
      </c>
      <c r="AD205" s="634"/>
      <c r="AH205" s="1610" t="str">
        <f>NOMINA!P177</f>
        <v>01020373240000442338</v>
      </c>
    </row>
    <row r="206" spans="1:34" s="629" customFormat="1" ht="20.100000000000001" customHeight="1" thickBot="1">
      <c r="A206" s="770" t="s">
        <v>2846</v>
      </c>
      <c r="B206" s="771">
        <f t="shared" si="15"/>
        <v>139</v>
      </c>
      <c r="C206" s="1145">
        <f>NOMINA!C180</f>
        <v>16377588</v>
      </c>
      <c r="D206" s="1146" t="str">
        <f>NOMINA!D180</f>
        <v>Perdomo Linares Alejandra Carolina</v>
      </c>
      <c r="E206" s="1613" t="s">
        <v>4622</v>
      </c>
      <c r="F206" s="1153">
        <v>32351</v>
      </c>
      <c r="G206" s="1613" t="s">
        <v>4620</v>
      </c>
      <c r="H206" s="1572">
        <f>NOMINA!H180</f>
        <v>44059</v>
      </c>
      <c r="I206" s="1148">
        <f>NOMINA!I181</f>
        <v>2</v>
      </c>
      <c r="J206" s="1149">
        <f>NOMINA!J181</f>
        <v>9</v>
      </c>
      <c r="K206" s="1148">
        <f t="shared" si="13"/>
        <v>11</v>
      </c>
      <c r="L206" s="1149" t="s">
        <v>4932</v>
      </c>
      <c r="M206" s="1149"/>
      <c r="N206" s="1573" t="str">
        <f>NOMINA!O180</f>
        <v>Tutor Facilitador II</v>
      </c>
      <c r="O206" s="1149">
        <v>1.02087691000006E+18</v>
      </c>
      <c r="P206" s="1150">
        <f>ROUND(+NOMINA!T180,2)</f>
        <v>277</v>
      </c>
      <c r="Q206" s="1151">
        <v>0</v>
      </c>
      <c r="R206" s="1151">
        <f>ROUND(+NOMINA!AA180,2)</f>
        <v>11.08</v>
      </c>
      <c r="S206" s="1151">
        <f>ROUND(+NOMINA!AB180,2)</f>
        <v>130</v>
      </c>
      <c r="T206" s="1151">
        <f>ROUND(+NOMINA!AC180,2)</f>
        <v>12.5</v>
      </c>
      <c r="U206" s="1151">
        <f>ROUND(+NOMINA!AD180,2)</f>
        <v>107.65</v>
      </c>
      <c r="V206" s="1151">
        <f>ROUND(NOMINA!AQ180,2)</f>
        <v>0</v>
      </c>
      <c r="W206" s="1151">
        <f>+NOMINA!AS180</f>
        <v>0</v>
      </c>
      <c r="X206" s="1151">
        <f>+NOMINA!AT180</f>
        <v>0</v>
      </c>
      <c r="Y206" s="1151">
        <f>+NOMINA!AU180</f>
        <v>538.23</v>
      </c>
      <c r="Z206" s="1151">
        <f>+NOMINA!BX180</f>
        <v>1009.18</v>
      </c>
      <c r="AA206" s="1151">
        <f>+NOMINA!BY180</f>
        <v>0</v>
      </c>
      <c r="AB206" s="1151">
        <f t="shared" si="14"/>
        <v>1009.18</v>
      </c>
      <c r="AD206" s="634"/>
      <c r="AH206" s="1610" t="str">
        <f>NOMINA!P178</f>
        <v>01020327930000119917</v>
      </c>
    </row>
    <row r="207" spans="1:34" s="629" customFormat="1" ht="20.100000000000001" customHeight="1" thickBot="1">
      <c r="A207" s="770" t="s">
        <v>2846</v>
      </c>
      <c r="B207" s="771">
        <f t="shared" si="15"/>
        <v>140</v>
      </c>
      <c r="C207" s="1145">
        <f>NOMINA!C181</f>
        <v>16377628</v>
      </c>
      <c r="D207" s="1146" t="str">
        <f>NOMINA!D181</f>
        <v>Peña Nava Maria Gabriela</v>
      </c>
      <c r="E207" s="1613" t="s">
        <v>4622</v>
      </c>
      <c r="F207" s="1153">
        <v>32351</v>
      </c>
      <c r="G207" s="1613" t="s">
        <v>4620</v>
      </c>
      <c r="H207" s="1572">
        <f>NOMINA!H181</f>
        <v>44743</v>
      </c>
      <c r="I207" s="1148">
        <f>NOMINA!I182</f>
        <v>2</v>
      </c>
      <c r="J207" s="1149">
        <f>NOMINA!J182</f>
        <v>0</v>
      </c>
      <c r="K207" s="1148">
        <f t="shared" si="13"/>
        <v>2</v>
      </c>
      <c r="L207" s="1149" t="s">
        <v>4932</v>
      </c>
      <c r="M207" s="1149"/>
      <c r="N207" s="1573" t="str">
        <f>NOMINA!O181</f>
        <v>Guia de Centro II</v>
      </c>
      <c r="O207" s="1149">
        <v>1.02087691000006E+18</v>
      </c>
      <c r="P207" s="1150">
        <f>ROUND(+NOMINA!T181,2)</f>
        <v>281</v>
      </c>
      <c r="Q207" s="1151">
        <v>0</v>
      </c>
      <c r="R207" s="1151">
        <f>ROUND(+NOMINA!AA181,2)</f>
        <v>34.840000000000003</v>
      </c>
      <c r="S207" s="1151">
        <f>ROUND(+NOMINA!AB181,2)</f>
        <v>130</v>
      </c>
      <c r="T207" s="1151">
        <f>ROUND(+NOMINA!AC181,2)</f>
        <v>12.5</v>
      </c>
      <c r="U207" s="1151">
        <f>ROUND(+NOMINA!AD181,2)</f>
        <v>114.59</v>
      </c>
      <c r="V207" s="1151">
        <f>ROUND(NOMINA!AQ181,2)</f>
        <v>0</v>
      </c>
      <c r="W207" s="1151">
        <f>+NOMINA!AS181</f>
        <v>0</v>
      </c>
      <c r="X207" s="1151">
        <f>+NOMINA!AT181</f>
        <v>0</v>
      </c>
      <c r="Y207" s="1151">
        <f>+NOMINA!AU181</f>
        <v>744.81000000000006</v>
      </c>
      <c r="Z207" s="1151">
        <f>+NOMINA!BX181</f>
        <v>1396.52</v>
      </c>
      <c r="AA207" s="1151">
        <f>+NOMINA!BY181</f>
        <v>0</v>
      </c>
      <c r="AB207" s="1151">
        <f t="shared" si="14"/>
        <v>1396.52</v>
      </c>
      <c r="AD207" s="634"/>
      <c r="AH207" s="1610" t="str">
        <f>NOMINA!P179</f>
        <v>01020494100000133948</v>
      </c>
    </row>
    <row r="208" spans="1:34" s="629" customFormat="1" ht="20.100000000000001" customHeight="1" thickBot="1">
      <c r="A208" s="770" t="s">
        <v>2846</v>
      </c>
      <c r="B208" s="771">
        <f t="shared" si="15"/>
        <v>141</v>
      </c>
      <c r="C208" s="1145">
        <f>NOMINA!C182</f>
        <v>16533566</v>
      </c>
      <c r="D208" s="1146" t="str">
        <f>NOMINA!D182</f>
        <v>Materan Gallardo Vivian Katiana</v>
      </c>
      <c r="E208" s="1613" t="s">
        <v>4622</v>
      </c>
      <c r="F208" s="1153">
        <v>32351</v>
      </c>
      <c r="G208" s="1613" t="s">
        <v>4620</v>
      </c>
      <c r="H208" s="1572">
        <f>NOMINA!H182</f>
        <v>44683</v>
      </c>
      <c r="I208" s="1148">
        <f>NOMINA!I183</f>
        <v>0</v>
      </c>
      <c r="J208" s="1149">
        <f>NOMINA!J183</f>
        <v>0</v>
      </c>
      <c r="K208" s="1148">
        <f t="shared" si="13"/>
        <v>0</v>
      </c>
      <c r="L208" s="1149" t="s">
        <v>4932</v>
      </c>
      <c r="M208" s="1149"/>
      <c r="N208" s="1573" t="str">
        <f>NOMINA!O182</f>
        <v>Guia de Centro I</v>
      </c>
      <c r="O208" s="1149">
        <v>1.02087691000006E+18</v>
      </c>
      <c r="P208" s="1150">
        <f>ROUND(+NOMINA!T182,2)</f>
        <v>130</v>
      </c>
      <c r="Q208" s="1151">
        <v>0</v>
      </c>
      <c r="R208" s="1151">
        <f>ROUND(+NOMINA!AA182,2)</f>
        <v>2.6</v>
      </c>
      <c r="S208" s="1151">
        <f>ROUND(+NOMINA!AB182,2)</f>
        <v>130</v>
      </c>
      <c r="T208" s="1151">
        <f>ROUND(+NOMINA!AC182,2)</f>
        <v>25</v>
      </c>
      <c r="U208" s="1151">
        <f>ROUND(+NOMINA!AD182,2)</f>
        <v>0</v>
      </c>
      <c r="V208" s="1151">
        <f>ROUND(NOMINA!AQ182,2)</f>
        <v>0</v>
      </c>
      <c r="W208" s="1151">
        <f>+NOMINA!AS182</f>
        <v>0</v>
      </c>
      <c r="X208" s="1151">
        <f>+NOMINA!AT182</f>
        <v>0</v>
      </c>
      <c r="Y208" s="1151">
        <f>+NOMINA!AU182</f>
        <v>373.88</v>
      </c>
      <c r="Z208" s="1151">
        <f>+NOMINA!BX182</f>
        <v>701.03</v>
      </c>
      <c r="AA208" s="1151">
        <f>+NOMINA!BY182</f>
        <v>0</v>
      </c>
      <c r="AB208" s="1151">
        <f t="shared" si="14"/>
        <v>701.03</v>
      </c>
      <c r="AD208" s="634"/>
      <c r="AH208" s="1610" t="str">
        <f>NOMINA!P180</f>
        <v>01020373220000686055</v>
      </c>
    </row>
    <row r="209" spans="1:34" s="629" customFormat="1" ht="20.100000000000001" customHeight="1" thickBot="1">
      <c r="A209" s="770" t="s">
        <v>2846</v>
      </c>
      <c r="B209" s="771">
        <f t="shared" si="15"/>
        <v>142</v>
      </c>
      <c r="C209" s="1145">
        <f>NOMINA!C183</f>
        <v>16533615</v>
      </c>
      <c r="D209" s="1146" t="str">
        <f>NOMINA!D183</f>
        <v>Valero Sulbaran Urquia Del Mar</v>
      </c>
      <c r="E209" s="1613" t="s">
        <v>4622</v>
      </c>
      <c r="F209" s="1153">
        <v>32351</v>
      </c>
      <c r="G209" s="1613" t="s">
        <v>4620</v>
      </c>
      <c r="H209" s="1572">
        <f>NOMINA!H183</f>
        <v>45474</v>
      </c>
      <c r="I209" s="1148">
        <f>NOMINA!I184</f>
        <v>7</v>
      </c>
      <c r="J209" s="1149">
        <f>NOMINA!J184</f>
        <v>0</v>
      </c>
      <c r="K209" s="1148">
        <f t="shared" si="13"/>
        <v>7</v>
      </c>
      <c r="L209" s="1149" t="s">
        <v>4932</v>
      </c>
      <c r="M209" s="1149"/>
      <c r="N209" s="1573" t="str">
        <f>NOMINA!O183</f>
        <v>Guia de Centro I</v>
      </c>
      <c r="O209" s="1149">
        <v>1.02087691000006E+18</v>
      </c>
      <c r="P209" s="1150">
        <f>ROUND(+NOMINA!T183,2)</f>
        <v>246</v>
      </c>
      <c r="Q209" s="1151">
        <v>0</v>
      </c>
      <c r="R209" s="1151">
        <f>ROUND(+NOMINA!AA183,2)</f>
        <v>0</v>
      </c>
      <c r="S209" s="1151">
        <f>ROUND(+NOMINA!AB183,2)</f>
        <v>130</v>
      </c>
      <c r="T209" s="1151">
        <f>ROUND(+NOMINA!AC183,2)</f>
        <v>12.5</v>
      </c>
      <c r="U209" s="1151">
        <f>ROUND(+NOMINA!AD183,2)</f>
        <v>97.13</v>
      </c>
      <c r="V209" s="1151">
        <f>ROUND(NOMINA!AQ183,2)</f>
        <v>0</v>
      </c>
      <c r="W209" s="1151">
        <f>+NOMINA!AS183</f>
        <v>0</v>
      </c>
      <c r="X209" s="1151">
        <f>+NOMINA!AT183</f>
        <v>12.5</v>
      </c>
      <c r="Y209" s="1151">
        <f>+NOMINA!AU183</f>
        <v>631.31999999999994</v>
      </c>
      <c r="Z209" s="1151">
        <f>+NOMINA!BX183</f>
        <v>493.22</v>
      </c>
      <c r="AA209" s="1151">
        <f>+NOMINA!BY183</f>
        <v>0</v>
      </c>
      <c r="AB209" s="1151">
        <f t="shared" si="14"/>
        <v>493.22</v>
      </c>
      <c r="AD209" s="634"/>
      <c r="AH209" s="1610" t="str">
        <f>NOMINA!P181</f>
        <v>01020373280000442370</v>
      </c>
    </row>
    <row r="210" spans="1:34" s="629" customFormat="1" ht="20.100000000000001" customHeight="1" thickBot="1">
      <c r="A210" s="770" t="s">
        <v>2846</v>
      </c>
      <c r="B210" s="771">
        <f t="shared" si="15"/>
        <v>143</v>
      </c>
      <c r="C210" s="1145">
        <f>NOMINA!C184</f>
        <v>16533986</v>
      </c>
      <c r="D210" s="1146" t="str">
        <f>NOMINA!D184</f>
        <v>Serrada Bustos Gladys Magaly</v>
      </c>
      <c r="E210" s="1613" t="s">
        <v>4622</v>
      </c>
      <c r="F210" s="1153">
        <v>32351</v>
      </c>
      <c r="G210" s="1613" t="s">
        <v>4620</v>
      </c>
      <c r="H210" s="1572">
        <f>NOMINA!H184</f>
        <v>42948</v>
      </c>
      <c r="I210" s="1148">
        <f>NOMINA!I185</f>
        <v>7</v>
      </c>
      <c r="J210" s="1149">
        <f>NOMINA!J185</f>
        <v>0</v>
      </c>
      <c r="K210" s="1148">
        <f t="shared" si="13"/>
        <v>7</v>
      </c>
      <c r="L210" s="1149" t="s">
        <v>4932</v>
      </c>
      <c r="M210" s="1149"/>
      <c r="N210" s="1573" t="str">
        <f>NOMINA!O184</f>
        <v>INGENIERO ELECTRICISTA JEFE</v>
      </c>
      <c r="O210" s="1149">
        <v>1.02087691000006E+18</v>
      </c>
      <c r="P210" s="1150">
        <f>ROUND(+NOMINA!T184,2)</f>
        <v>279</v>
      </c>
      <c r="Q210" s="1151">
        <v>0</v>
      </c>
      <c r="R210" s="1151">
        <f>ROUND(+NOMINA!AA184,2)</f>
        <v>20.65</v>
      </c>
      <c r="S210" s="1151">
        <f>ROUND(+NOMINA!AB184,2)</f>
        <v>130</v>
      </c>
      <c r="T210" s="1151">
        <f>ROUND(+NOMINA!AC184,2)</f>
        <v>12.5</v>
      </c>
      <c r="U210" s="1151">
        <f>ROUND(+NOMINA!AD184,2)</f>
        <v>110.54</v>
      </c>
      <c r="V210" s="1151">
        <f>ROUND(NOMINA!AQ184,2)</f>
        <v>0</v>
      </c>
      <c r="W210" s="1151">
        <f>+NOMINA!AS184</f>
        <v>0</v>
      </c>
      <c r="X210" s="1151">
        <f>+NOMINA!AT184</f>
        <v>0</v>
      </c>
      <c r="Y210" s="1151">
        <f>+NOMINA!AU184</f>
        <v>552.69000000000005</v>
      </c>
      <c r="Z210" s="1151">
        <f>+NOMINA!BX184</f>
        <v>1036.3</v>
      </c>
      <c r="AA210" s="1151">
        <f>+NOMINA!BY184</f>
        <v>0</v>
      </c>
      <c r="AB210" s="1151">
        <f t="shared" si="14"/>
        <v>1036.3</v>
      </c>
      <c r="AD210" s="634"/>
      <c r="AH210" s="1610" t="str">
        <f>NOMINA!P182</f>
        <v>01020494150000238694</v>
      </c>
    </row>
    <row r="211" spans="1:34" s="629" customFormat="1" ht="20.100000000000001" customHeight="1" thickBot="1">
      <c r="A211" s="770" t="s">
        <v>2846</v>
      </c>
      <c r="B211" s="771">
        <f t="shared" si="15"/>
        <v>144</v>
      </c>
      <c r="C211" s="1145">
        <f>NOMINA!C185</f>
        <v>16739081</v>
      </c>
      <c r="D211" s="1146" t="str">
        <f>NOMINA!D185</f>
        <v>Albarran Araujo Yely Coromoto</v>
      </c>
      <c r="E211" s="1613" t="s">
        <v>4622</v>
      </c>
      <c r="F211" s="1153">
        <v>32351</v>
      </c>
      <c r="G211" s="1613" t="s">
        <v>4620</v>
      </c>
      <c r="H211" s="1572">
        <f>NOMINA!H185</f>
        <v>42948</v>
      </c>
      <c r="I211" s="1148">
        <f>NOMINA!I186</f>
        <v>0</v>
      </c>
      <c r="J211" s="1149">
        <f>NOMINA!J186</f>
        <v>0</v>
      </c>
      <c r="K211" s="1148">
        <f t="shared" si="13"/>
        <v>0</v>
      </c>
      <c r="L211" s="1149" t="s">
        <v>4932</v>
      </c>
      <c r="M211" s="1149"/>
      <c r="N211" s="1573" t="str">
        <f>NOMINA!O185</f>
        <v>Asistente Administrativo III</v>
      </c>
      <c r="O211" s="1149">
        <v>1.02087691000006E+18</v>
      </c>
      <c r="P211" s="1150">
        <f>ROUND(+NOMINA!T185,2)</f>
        <v>0</v>
      </c>
      <c r="Q211" s="1151">
        <v>0</v>
      </c>
      <c r="R211" s="1151">
        <f>ROUND(+NOMINA!AA185,2)</f>
        <v>0</v>
      </c>
      <c r="S211" s="1151">
        <f>ROUND(+NOMINA!AB185,2)</f>
        <v>0</v>
      </c>
      <c r="T211" s="1151">
        <f>ROUND(+NOMINA!AC185,2)</f>
        <v>0</v>
      </c>
      <c r="U211" s="1151">
        <f>ROUND(+NOMINA!AD185,2)</f>
        <v>0</v>
      </c>
      <c r="V211" s="1151">
        <f>ROUND(NOMINA!AQ185,2)</f>
        <v>0</v>
      </c>
      <c r="W211" s="1151">
        <f>+NOMINA!AS185</f>
        <v>0</v>
      </c>
      <c r="X211" s="1151">
        <f>+NOMINA!AT185</f>
        <v>0</v>
      </c>
      <c r="Y211" s="1151">
        <f>+NOMINA!AU185</f>
        <v>0</v>
      </c>
      <c r="Z211" s="1151">
        <f>+NOMINA!BX185</f>
        <v>0</v>
      </c>
      <c r="AA211" s="1151">
        <f>+NOMINA!BY185</f>
        <v>0</v>
      </c>
      <c r="AB211" s="1151">
        <f t="shared" si="14"/>
        <v>0</v>
      </c>
      <c r="AD211" s="634"/>
      <c r="AH211" s="1610" t="str">
        <f>NOMINA!P183</f>
        <v>01020373210001331040</v>
      </c>
    </row>
    <row r="212" spans="1:34" s="629" customFormat="1" ht="20.100000000000001" customHeight="1" thickBot="1">
      <c r="A212" s="770" t="s">
        <v>2846</v>
      </c>
      <c r="B212" s="771">
        <f t="shared" si="15"/>
        <v>145</v>
      </c>
      <c r="C212" s="1145">
        <f>NOMINA!C186</f>
        <v>16740261</v>
      </c>
      <c r="D212" s="1146" t="str">
        <f>NOMINA!D186</f>
        <v>Rivas Briceño Nathaly Del Carmen</v>
      </c>
      <c r="E212" s="1613" t="s">
        <v>4622</v>
      </c>
      <c r="F212" s="1153">
        <v>32351</v>
      </c>
      <c r="G212" s="1613" t="s">
        <v>4620</v>
      </c>
      <c r="H212" s="1572">
        <f>NOMINA!H186</f>
        <v>45505</v>
      </c>
      <c r="I212" s="1148">
        <f>NOMINA!I187</f>
        <v>4</v>
      </c>
      <c r="J212" s="1149">
        <f>NOMINA!J187</f>
        <v>9</v>
      </c>
      <c r="K212" s="1148">
        <f t="shared" si="13"/>
        <v>13</v>
      </c>
      <c r="L212" s="1149" t="s">
        <v>4932</v>
      </c>
      <c r="M212" s="1149"/>
      <c r="N212" s="1573" t="str">
        <f>NOMINA!O186</f>
        <v>Tecnico Superior en Trabajo Social I</v>
      </c>
      <c r="O212" s="1149">
        <v>1.02087691000006E+18</v>
      </c>
      <c r="P212" s="1150">
        <f>ROUND(+NOMINA!T186,2)</f>
        <v>192</v>
      </c>
      <c r="Q212" s="1151">
        <v>0</v>
      </c>
      <c r="R212" s="1151">
        <f>ROUND(+NOMINA!AA186,2)</f>
        <v>0</v>
      </c>
      <c r="S212" s="1151">
        <f>ROUND(+NOMINA!AB186,2)</f>
        <v>130</v>
      </c>
      <c r="T212" s="1151">
        <f>ROUND(+NOMINA!AC186,2)</f>
        <v>12.5</v>
      </c>
      <c r="U212" s="1151">
        <f>ROUND(+NOMINA!AD186,2)</f>
        <v>66.900000000000006</v>
      </c>
      <c r="V212" s="1151">
        <f>ROUND(NOMINA!AQ186,2)</f>
        <v>0</v>
      </c>
      <c r="W212" s="1151">
        <f>+NOMINA!AS186</f>
        <v>0</v>
      </c>
      <c r="X212" s="1151">
        <f>+NOMINA!AT186</f>
        <v>0</v>
      </c>
      <c r="Y212" s="1151">
        <f>+NOMINA!AU186</f>
        <v>401.4</v>
      </c>
      <c r="Z212" s="1151">
        <f>+NOMINA!BX186</f>
        <v>252.62</v>
      </c>
      <c r="AA212" s="1151">
        <f>+NOMINA!BY186</f>
        <v>0</v>
      </c>
      <c r="AB212" s="1151">
        <f t="shared" si="14"/>
        <v>252.62</v>
      </c>
      <c r="AD212" s="634"/>
      <c r="AH212" s="1610" t="str">
        <f>NOMINA!P184</f>
        <v>01020747920000010236</v>
      </c>
    </row>
    <row r="213" spans="1:34" s="629" customFormat="1" ht="20.100000000000001" customHeight="1" thickBot="1">
      <c r="A213" s="770" t="s">
        <v>2846</v>
      </c>
      <c r="B213" s="771">
        <f t="shared" si="15"/>
        <v>146</v>
      </c>
      <c r="C213" s="1145">
        <f>NOMINA!C187</f>
        <v>16881384</v>
      </c>
      <c r="D213" s="1146" t="str">
        <f>NOMINA!D187</f>
        <v>Perez Ramirez Yonathan Jesus</v>
      </c>
      <c r="E213" s="1613" t="s">
        <v>4622</v>
      </c>
      <c r="F213" s="1153">
        <v>32351</v>
      </c>
      <c r="G213" s="1613" t="s">
        <v>4620</v>
      </c>
      <c r="H213" s="1572">
        <f>NOMINA!H187</f>
        <v>43906</v>
      </c>
      <c r="I213" s="1148">
        <f>NOMINA!I188</f>
        <v>7</v>
      </c>
      <c r="J213" s="1149">
        <f>NOMINA!J188</f>
        <v>7</v>
      </c>
      <c r="K213" s="1148">
        <f t="shared" si="13"/>
        <v>14</v>
      </c>
      <c r="L213" s="1149" t="s">
        <v>4932</v>
      </c>
      <c r="M213" s="1149"/>
      <c r="N213" s="1573" t="str">
        <f>NOMINA!O187</f>
        <v>Guia de Centro II</v>
      </c>
      <c r="O213" s="1149">
        <v>1.02087691000006E+18</v>
      </c>
      <c r="P213" s="1150">
        <f>ROUND(+NOMINA!T187,2)</f>
        <v>225</v>
      </c>
      <c r="Q213" s="1151">
        <v>0</v>
      </c>
      <c r="R213" s="1151">
        <f>ROUND(+NOMINA!AA187,2)</f>
        <v>34.200000000000003</v>
      </c>
      <c r="S213" s="1151">
        <f>ROUND(+NOMINA!AB187,2)</f>
        <v>130</v>
      </c>
      <c r="T213" s="1151">
        <f>ROUND(+NOMINA!AC187,2)</f>
        <v>0</v>
      </c>
      <c r="U213" s="1151">
        <f>ROUND(+NOMINA!AD187,2)</f>
        <v>77.84</v>
      </c>
      <c r="V213" s="1151">
        <f>ROUND(NOMINA!AQ187,2)</f>
        <v>0</v>
      </c>
      <c r="W213" s="1151">
        <f>+NOMINA!AS187</f>
        <v>0</v>
      </c>
      <c r="X213" s="1151">
        <f>+NOMINA!AT187</f>
        <v>0</v>
      </c>
      <c r="Y213" s="1151">
        <f>+NOMINA!AU187</f>
        <v>607.15</v>
      </c>
      <c r="Z213" s="1151">
        <f>+NOMINA!BX187</f>
        <v>1138.4100000000001</v>
      </c>
      <c r="AA213" s="1151">
        <f>+NOMINA!BY187</f>
        <v>0</v>
      </c>
      <c r="AB213" s="1151">
        <f t="shared" si="14"/>
        <v>1138.4100000000001</v>
      </c>
      <c r="AD213" s="634"/>
      <c r="AH213" s="1610" t="str">
        <f>NOMINA!P185</f>
        <v>01020373230000462839</v>
      </c>
    </row>
    <row r="214" spans="1:34" s="629" customFormat="1" ht="20.100000000000001" customHeight="1" thickBot="1">
      <c r="A214" s="770" t="s">
        <v>2846</v>
      </c>
      <c r="B214" s="771">
        <f t="shared" si="15"/>
        <v>147</v>
      </c>
      <c r="C214" s="1145">
        <f>NOMINA!C188</f>
        <v>16882467</v>
      </c>
      <c r="D214" s="1146" t="str">
        <f>NOMINA!D188</f>
        <v>Mejia Araujo Sandra Coromoto</v>
      </c>
      <c r="E214" s="1613" t="s">
        <v>4622</v>
      </c>
      <c r="F214" s="1153">
        <v>32351</v>
      </c>
      <c r="G214" s="1613" t="s">
        <v>4620</v>
      </c>
      <c r="H214" s="1572">
        <f>NOMINA!H188</f>
        <v>42948</v>
      </c>
      <c r="I214" s="1148">
        <f>NOMINA!I189</f>
        <v>18</v>
      </c>
      <c r="J214" s="1149">
        <f>NOMINA!J189</f>
        <v>0</v>
      </c>
      <c r="K214" s="1148">
        <f t="shared" si="13"/>
        <v>18</v>
      </c>
      <c r="L214" s="1149" t="s">
        <v>4932</v>
      </c>
      <c r="M214" s="1149"/>
      <c r="N214" s="1573" t="str">
        <f>NOMINA!O188</f>
        <v>Analista de Personal IV</v>
      </c>
      <c r="O214" s="1149">
        <v>1.02087691000006E+18</v>
      </c>
      <c r="P214" s="1150">
        <f>ROUND(+NOMINA!T188,2)</f>
        <v>283</v>
      </c>
      <c r="Q214" s="1151">
        <v>0</v>
      </c>
      <c r="R214" s="1151">
        <f>ROUND(+NOMINA!AA188,2)</f>
        <v>46.98</v>
      </c>
      <c r="S214" s="1151">
        <f>ROUND(+NOMINA!AB188,2)</f>
        <v>130</v>
      </c>
      <c r="T214" s="1151">
        <f>ROUND(+NOMINA!AC188,2)</f>
        <v>12.5</v>
      </c>
      <c r="U214" s="1151">
        <f>ROUND(+NOMINA!AD188,2)</f>
        <v>118.12</v>
      </c>
      <c r="V214" s="1151">
        <f>ROUND(NOMINA!AQ188,2)</f>
        <v>0</v>
      </c>
      <c r="W214" s="1151">
        <f>+NOMINA!AS188</f>
        <v>0</v>
      </c>
      <c r="X214" s="1151">
        <f>+NOMINA!AT188</f>
        <v>12.5</v>
      </c>
      <c r="Y214" s="1151">
        <f>+NOMINA!AU188</f>
        <v>590.6</v>
      </c>
      <c r="Z214" s="1151">
        <f>+NOMINA!BX188</f>
        <v>1107.3800000000001</v>
      </c>
      <c r="AA214" s="1151">
        <f>+NOMINA!BY188</f>
        <v>0</v>
      </c>
      <c r="AB214" s="1151">
        <f t="shared" si="14"/>
        <v>1107.3800000000001</v>
      </c>
      <c r="AD214" s="634"/>
      <c r="AH214" s="1610" t="str">
        <f>NOMINA!P186</f>
        <v>01020747910000305006</v>
      </c>
    </row>
    <row r="215" spans="1:34" s="629" customFormat="1" ht="20.100000000000001" customHeight="1" thickBot="1">
      <c r="A215" s="770" t="s">
        <v>2846</v>
      </c>
      <c r="B215" s="771">
        <f t="shared" si="15"/>
        <v>148</v>
      </c>
      <c r="C215" s="1145">
        <f>NOMINA!C189</f>
        <v>16883267</v>
      </c>
      <c r="D215" s="1146" t="str">
        <f>NOMINA!D189</f>
        <v>Matheus Rondon Aida</v>
      </c>
      <c r="E215" s="1613" t="s">
        <v>4622</v>
      </c>
      <c r="F215" s="1153">
        <v>32351</v>
      </c>
      <c r="G215" s="1613" t="s">
        <v>4620</v>
      </c>
      <c r="H215" s="1572">
        <f>NOMINA!H189</f>
        <v>38930</v>
      </c>
      <c r="I215" s="1148">
        <f>NOMINA!I190</f>
        <v>15</v>
      </c>
      <c r="J215" s="1149">
        <f>NOMINA!J190</f>
        <v>0</v>
      </c>
      <c r="K215" s="1148">
        <f t="shared" si="13"/>
        <v>15</v>
      </c>
      <c r="L215" s="1149" t="s">
        <v>4932</v>
      </c>
      <c r="M215" s="1149"/>
      <c r="N215" s="1573" t="str">
        <f>NOMINA!O189</f>
        <v>Guia de Centro II</v>
      </c>
      <c r="O215" s="1149">
        <v>1.02087691000006E+18</v>
      </c>
      <c r="P215" s="1150">
        <f>ROUND(+NOMINA!T189,2)</f>
        <v>228</v>
      </c>
      <c r="Q215" s="1151">
        <v>0</v>
      </c>
      <c r="R215" s="1151">
        <f>ROUND(+NOMINA!AA189,2)</f>
        <v>51.98</v>
      </c>
      <c r="S215" s="1151">
        <f>ROUND(+NOMINA!AB189,2)</f>
        <v>130</v>
      </c>
      <c r="T215" s="1151">
        <f>ROUND(+NOMINA!AC189,2)</f>
        <v>0</v>
      </c>
      <c r="U215" s="1151">
        <f>ROUND(+NOMINA!AD189,2)</f>
        <v>82</v>
      </c>
      <c r="V215" s="1151">
        <f>ROUND(NOMINA!AQ189,2)</f>
        <v>0</v>
      </c>
      <c r="W215" s="1151">
        <f>+NOMINA!AS189</f>
        <v>0</v>
      </c>
      <c r="X215" s="1151">
        <f>+NOMINA!AT189</f>
        <v>0</v>
      </c>
      <c r="Y215" s="1151">
        <f>+NOMINA!AU189</f>
        <v>491.98</v>
      </c>
      <c r="Z215" s="1151">
        <f>+NOMINA!BX189</f>
        <v>922.46</v>
      </c>
      <c r="AA215" s="1151">
        <f>+NOMINA!BY189</f>
        <v>0</v>
      </c>
      <c r="AB215" s="1151">
        <f t="shared" si="14"/>
        <v>922.46</v>
      </c>
      <c r="AD215" s="634"/>
      <c r="AH215" s="1610" t="str">
        <f>NOMINA!P187</f>
        <v>01020369470000056821</v>
      </c>
    </row>
    <row r="216" spans="1:34" s="629" customFormat="1" ht="20.100000000000001" customHeight="1" thickBot="1">
      <c r="A216" s="770" t="s">
        <v>2846</v>
      </c>
      <c r="B216" s="771">
        <f t="shared" si="15"/>
        <v>149</v>
      </c>
      <c r="C216" s="1145">
        <f>NOMINA!C190</f>
        <v>17037244</v>
      </c>
      <c r="D216" s="1146" t="str">
        <f>NOMINA!D190</f>
        <v>Bastidas Yelitza Del Carmen</v>
      </c>
      <c r="E216" s="1613" t="s">
        <v>4622</v>
      </c>
      <c r="F216" s="1153">
        <v>32351</v>
      </c>
      <c r="G216" s="1613" t="s">
        <v>4620</v>
      </c>
      <c r="H216" s="1572">
        <f>NOMINA!H190</f>
        <v>40087</v>
      </c>
      <c r="I216" s="1148">
        <f>NOMINA!I191</f>
        <v>3</v>
      </c>
      <c r="J216" s="1149">
        <f>NOMINA!J191</f>
        <v>0</v>
      </c>
      <c r="K216" s="1148">
        <f t="shared" si="13"/>
        <v>3</v>
      </c>
      <c r="L216" s="1149" t="s">
        <v>4932</v>
      </c>
      <c r="M216" s="1149"/>
      <c r="N216" s="1573" t="str">
        <f>NOMINA!O190</f>
        <v>Guia de Centro II</v>
      </c>
      <c r="O216" s="1149">
        <v>1.02087691000006E+18</v>
      </c>
      <c r="P216" s="1150">
        <f>ROUND(+NOMINA!T190,2)</f>
        <v>226</v>
      </c>
      <c r="Q216" s="1151">
        <v>0</v>
      </c>
      <c r="R216" s="1151">
        <f>ROUND(+NOMINA!AA190,2)</f>
        <v>40.68</v>
      </c>
      <c r="S216" s="1151">
        <f>ROUND(+NOMINA!AB190,2)</f>
        <v>130</v>
      </c>
      <c r="T216" s="1151">
        <f>ROUND(+NOMINA!AC190,2)</f>
        <v>25</v>
      </c>
      <c r="U216" s="1151">
        <f>ROUND(+NOMINA!AD190,2)</f>
        <v>84.34</v>
      </c>
      <c r="V216" s="1151">
        <f>ROUND(NOMINA!AQ190,2)</f>
        <v>0</v>
      </c>
      <c r="W216" s="1151">
        <f>+NOMINA!AS190</f>
        <v>0</v>
      </c>
      <c r="X216" s="1151">
        <f>+NOMINA!AT190</f>
        <v>0</v>
      </c>
      <c r="Y216" s="1151">
        <f>+NOMINA!AU190</f>
        <v>657.82999999999993</v>
      </c>
      <c r="Z216" s="1151">
        <f>+NOMINA!BX190</f>
        <v>1233.43</v>
      </c>
      <c r="AA216" s="1151">
        <f>+NOMINA!BY190</f>
        <v>0</v>
      </c>
      <c r="AB216" s="1151">
        <f t="shared" si="14"/>
        <v>1233.43</v>
      </c>
      <c r="AD216" s="634"/>
      <c r="AH216" s="1610" t="str">
        <f>NOMINA!P188</f>
        <v>01020369460000427243</v>
      </c>
    </row>
    <row r="217" spans="1:34" s="629" customFormat="1" ht="20.100000000000001" customHeight="1" thickBot="1">
      <c r="A217" s="770" t="s">
        <v>2846</v>
      </c>
      <c r="B217" s="771">
        <f t="shared" si="15"/>
        <v>150</v>
      </c>
      <c r="C217" s="1145">
        <f>NOMINA!C191</f>
        <v>17094419</v>
      </c>
      <c r="D217" s="1146" t="str">
        <f>NOMINA!D191</f>
        <v>Aponte Rivera Lenismar del Valle</v>
      </c>
      <c r="E217" s="1613" t="s">
        <v>4622</v>
      </c>
      <c r="F217" s="1153">
        <v>32351</v>
      </c>
      <c r="G217" s="1613" t="s">
        <v>4620</v>
      </c>
      <c r="H217" s="1572">
        <f>NOMINA!H191</f>
        <v>44409</v>
      </c>
      <c r="I217" s="1148">
        <f>NOMINA!I192</f>
        <v>6</v>
      </c>
      <c r="J217" s="1149">
        <f>NOMINA!J192</f>
        <v>0</v>
      </c>
      <c r="K217" s="1148">
        <f t="shared" si="13"/>
        <v>6</v>
      </c>
      <c r="L217" s="1149" t="s">
        <v>4932</v>
      </c>
      <c r="M217" s="1149"/>
      <c r="N217" s="1573" t="str">
        <f>NOMINA!O191</f>
        <v>Guia de Centro I</v>
      </c>
      <c r="O217" s="1149">
        <v>1.02087691000006E+18</v>
      </c>
      <c r="P217" s="1150">
        <f>ROUND(+NOMINA!T191,2)</f>
        <v>150</v>
      </c>
      <c r="Q217" s="1151">
        <v>0</v>
      </c>
      <c r="R217" s="1151">
        <f>ROUND(+NOMINA!AA191,2)</f>
        <v>4.5</v>
      </c>
      <c r="S217" s="1151">
        <f>ROUND(+NOMINA!AB191,2)</f>
        <v>130</v>
      </c>
      <c r="T217" s="1151">
        <f>ROUND(+NOMINA!AC191,2)</f>
        <v>0</v>
      </c>
      <c r="U217" s="1151">
        <f>ROUND(+NOMINA!AD191,2)</f>
        <v>0</v>
      </c>
      <c r="V217" s="1151">
        <f>ROUND(NOMINA!AQ191,2)</f>
        <v>0</v>
      </c>
      <c r="W217" s="1151">
        <f>+NOMINA!AS191</f>
        <v>0</v>
      </c>
      <c r="X217" s="1151">
        <f>+NOMINA!AT191</f>
        <v>0</v>
      </c>
      <c r="Y217" s="1151">
        <f>+NOMINA!AU191</f>
        <v>369.85</v>
      </c>
      <c r="Z217" s="1151">
        <f>+NOMINA!BX191</f>
        <v>693.47</v>
      </c>
      <c r="AA217" s="1151">
        <f>+NOMINA!BY191</f>
        <v>0</v>
      </c>
      <c r="AB217" s="1151">
        <f t="shared" si="14"/>
        <v>693.47</v>
      </c>
      <c r="AD217" s="634"/>
      <c r="AH217" s="1610" t="str">
        <f>NOMINA!P189</f>
        <v>01020373280000442451</v>
      </c>
    </row>
    <row r="218" spans="1:34" s="629" customFormat="1" ht="20.100000000000001" customHeight="1" thickBot="1">
      <c r="A218" s="770" t="s">
        <v>2846</v>
      </c>
      <c r="B218" s="771">
        <f t="shared" si="15"/>
        <v>151</v>
      </c>
      <c r="C218" s="1145">
        <f>NOMINA!C192</f>
        <v>17094426</v>
      </c>
      <c r="D218" s="1146" t="str">
        <f>NOMINA!D192</f>
        <v>Manzanilla Araujo Richard Jose</v>
      </c>
      <c r="E218" s="1613" t="s">
        <v>4622</v>
      </c>
      <c r="F218" s="1153">
        <v>32351</v>
      </c>
      <c r="G218" s="1613" t="s">
        <v>4620</v>
      </c>
      <c r="H218" s="1572">
        <f>NOMINA!H192</f>
        <v>43344</v>
      </c>
      <c r="I218" s="1148">
        <f>NOMINA!I193</f>
        <v>16</v>
      </c>
      <c r="J218" s="1149">
        <f>NOMINA!J193</f>
        <v>0</v>
      </c>
      <c r="K218" s="1148">
        <f t="shared" si="13"/>
        <v>16</v>
      </c>
      <c r="L218" s="1149" t="s">
        <v>4932</v>
      </c>
      <c r="M218" s="1149"/>
      <c r="N218" s="1573" t="str">
        <f>NOMINA!O192</f>
        <v>Guia de Centro II</v>
      </c>
      <c r="O218" s="1149">
        <v>1.02087691000006E+18</v>
      </c>
      <c r="P218" s="1150">
        <f>ROUND(+NOMINA!T192,2)</f>
        <v>279</v>
      </c>
      <c r="Q218" s="1151">
        <v>0</v>
      </c>
      <c r="R218" s="1151">
        <f>ROUND(+NOMINA!AA192,2)</f>
        <v>17.3</v>
      </c>
      <c r="S218" s="1151">
        <f>ROUND(+NOMINA!AB192,2)</f>
        <v>130</v>
      </c>
      <c r="T218" s="1151">
        <f>ROUND(+NOMINA!AC192,2)</f>
        <v>12.5</v>
      </c>
      <c r="U218" s="1151">
        <f>ROUND(+NOMINA!AD192,2)</f>
        <v>109.7</v>
      </c>
      <c r="V218" s="1151">
        <f>ROUND(NOMINA!AQ192,2)</f>
        <v>0</v>
      </c>
      <c r="W218" s="1151">
        <f>+NOMINA!AS192</f>
        <v>0</v>
      </c>
      <c r="X218" s="1151">
        <f>+NOMINA!AT192</f>
        <v>0</v>
      </c>
      <c r="Y218" s="1151">
        <f>+NOMINA!AU192</f>
        <v>713.05</v>
      </c>
      <c r="Z218" s="1151">
        <f>+NOMINA!BX192</f>
        <v>1336.97</v>
      </c>
      <c r="AA218" s="1151">
        <f>+NOMINA!BY192</f>
        <v>0</v>
      </c>
      <c r="AB218" s="1151">
        <f t="shared" si="14"/>
        <v>1336.97</v>
      </c>
      <c r="AD218" s="634"/>
      <c r="AH218" s="1610" t="str">
        <f>NOMINA!P190</f>
        <v>01020373200000442464</v>
      </c>
    </row>
    <row r="219" spans="1:34" s="629" customFormat="1" ht="20.100000000000001" customHeight="1" thickBot="1">
      <c r="A219" s="770" t="s">
        <v>2846</v>
      </c>
      <c r="B219" s="771">
        <f t="shared" si="15"/>
        <v>152</v>
      </c>
      <c r="C219" s="1145">
        <f>NOMINA!C193</f>
        <v>17130893</v>
      </c>
      <c r="D219" s="1146" t="str">
        <f>NOMINA!D193</f>
        <v>Leon Valero Ceila Maria</v>
      </c>
      <c r="E219" s="1613" t="s">
        <v>4622</v>
      </c>
      <c r="F219" s="1153">
        <v>32351</v>
      </c>
      <c r="G219" s="1613" t="s">
        <v>4620</v>
      </c>
      <c r="H219" s="1572">
        <f>NOMINA!H193</f>
        <v>39602</v>
      </c>
      <c r="I219" s="1148">
        <f>NOMINA!I194</f>
        <v>0</v>
      </c>
      <c r="J219" s="1149">
        <f>NOMINA!J194</f>
        <v>1</v>
      </c>
      <c r="K219" s="1148">
        <f t="shared" si="13"/>
        <v>1</v>
      </c>
      <c r="L219" s="1149" t="s">
        <v>4932</v>
      </c>
      <c r="M219" s="1149"/>
      <c r="N219" s="1573" t="str">
        <f>NOMINA!O193</f>
        <v>Tutor Facilitador III</v>
      </c>
      <c r="O219" s="1149">
        <v>1.02087691000006E+18</v>
      </c>
      <c r="P219" s="1150">
        <f>ROUND(+NOMINA!T193,2)</f>
        <v>285</v>
      </c>
      <c r="Q219" s="1151">
        <v>0</v>
      </c>
      <c r="R219" s="1151">
        <f>ROUND(+NOMINA!AA193,2)</f>
        <v>55.86</v>
      </c>
      <c r="S219" s="1151">
        <f>ROUND(+NOMINA!AB193,2)</f>
        <v>130</v>
      </c>
      <c r="T219" s="1151">
        <f>ROUND(+NOMINA!AC193,2)</f>
        <v>25</v>
      </c>
      <c r="U219" s="1151">
        <f>ROUND(+NOMINA!AD193,2)</f>
        <v>123.97</v>
      </c>
      <c r="V219" s="1151">
        <f>ROUND(NOMINA!AQ193,2)</f>
        <v>0</v>
      </c>
      <c r="W219" s="1151">
        <f>+NOMINA!AS193</f>
        <v>0</v>
      </c>
      <c r="X219" s="1151">
        <f>+NOMINA!AT193</f>
        <v>25</v>
      </c>
      <c r="Y219" s="1151">
        <f>+NOMINA!AU193</f>
        <v>619.83000000000004</v>
      </c>
      <c r="Z219" s="1151">
        <f>+NOMINA!BX193</f>
        <v>1162.18</v>
      </c>
      <c r="AA219" s="1151">
        <f>+NOMINA!BY193</f>
        <v>0</v>
      </c>
      <c r="AB219" s="1151">
        <f t="shared" si="14"/>
        <v>1162.18</v>
      </c>
      <c r="AD219" s="634"/>
      <c r="AH219" s="1610" t="str">
        <f>NOMINA!P191</f>
        <v>01020373290000806987</v>
      </c>
    </row>
    <row r="220" spans="1:34" s="629" customFormat="1" ht="20.100000000000001" customHeight="1" thickBot="1">
      <c r="A220" s="770" t="s">
        <v>2846</v>
      </c>
      <c r="B220" s="771">
        <f t="shared" si="15"/>
        <v>153</v>
      </c>
      <c r="C220" s="1145">
        <f>NOMINA!C194</f>
        <v>17265093</v>
      </c>
      <c r="D220" s="1146" t="str">
        <f>NOMINA!D194</f>
        <v>Vielma Viloria Dublasca del Valle</v>
      </c>
      <c r="E220" s="1613" t="s">
        <v>4622</v>
      </c>
      <c r="F220" s="1153">
        <v>32351</v>
      </c>
      <c r="G220" s="1613" t="s">
        <v>4620</v>
      </c>
      <c r="H220" s="1572">
        <f>NOMINA!H194</f>
        <v>45323</v>
      </c>
      <c r="I220" s="1148">
        <f>NOMINA!I195</f>
        <v>1</v>
      </c>
      <c r="J220" s="1149">
        <f>NOMINA!J195</f>
        <v>2</v>
      </c>
      <c r="K220" s="1148">
        <f t="shared" si="13"/>
        <v>3</v>
      </c>
      <c r="L220" s="1149" t="s">
        <v>4932</v>
      </c>
      <c r="M220" s="1149"/>
      <c r="N220" s="1573" t="str">
        <f>NOMINA!O194</f>
        <v>Psicologo I</v>
      </c>
      <c r="O220" s="1149">
        <v>1.02087691000006E+18</v>
      </c>
      <c r="P220" s="1150">
        <f>ROUND(+NOMINA!T194,2)</f>
        <v>305</v>
      </c>
      <c r="Q220" s="1151">
        <v>0</v>
      </c>
      <c r="R220" s="1151">
        <f>ROUND(+NOMINA!AA194,2)</f>
        <v>3.05</v>
      </c>
      <c r="S220" s="1151">
        <f>ROUND(+NOMINA!AB194,2)</f>
        <v>130</v>
      </c>
      <c r="T220" s="1151">
        <f>ROUND(+NOMINA!AC194,2)</f>
        <v>12.5</v>
      </c>
      <c r="U220" s="1151">
        <f>ROUND(+NOMINA!AD194,2)</f>
        <v>157.69</v>
      </c>
      <c r="V220" s="1151">
        <f>ROUND(NOMINA!AQ194,2)</f>
        <v>0</v>
      </c>
      <c r="W220" s="1151">
        <f>+NOMINA!AS194</f>
        <v>0</v>
      </c>
      <c r="X220" s="1151">
        <f>+NOMINA!AT194</f>
        <v>0</v>
      </c>
      <c r="Y220" s="1151">
        <f>+NOMINA!AU194</f>
        <v>608.24</v>
      </c>
      <c r="Z220" s="1151">
        <f>+NOMINA!BX194</f>
        <v>1016.37</v>
      </c>
      <c r="AA220" s="1151">
        <f>+NOMINA!BY194</f>
        <v>0</v>
      </c>
      <c r="AB220" s="1151">
        <f t="shared" si="14"/>
        <v>1016.37</v>
      </c>
      <c r="AD220" s="634"/>
      <c r="AH220" s="1610" t="str">
        <f>NOMINA!P192</f>
        <v>01020373240000541323</v>
      </c>
    </row>
    <row r="221" spans="1:34" s="629" customFormat="1" ht="20.100000000000001" customHeight="1" thickBot="1">
      <c r="A221" s="770" t="s">
        <v>2846</v>
      </c>
      <c r="B221" s="771">
        <f t="shared" si="15"/>
        <v>154</v>
      </c>
      <c r="C221" s="1145">
        <f>NOMINA!C195</f>
        <v>17265578</v>
      </c>
      <c r="D221" s="1146" t="str">
        <f>NOMINA!D195</f>
        <v>Briceño Aguilar Rebeca Andreina</v>
      </c>
      <c r="E221" s="1613" t="s">
        <v>4622</v>
      </c>
      <c r="F221" s="1153">
        <v>32351</v>
      </c>
      <c r="G221" s="1613" t="s">
        <v>4620</v>
      </c>
      <c r="H221" s="1572">
        <f>NOMINA!H195</f>
        <v>45047</v>
      </c>
      <c r="I221" s="1148">
        <f>NOMINA!I196</f>
        <v>5</v>
      </c>
      <c r="J221" s="1149">
        <f>NOMINA!J196</f>
        <v>0</v>
      </c>
      <c r="K221" s="1148">
        <f t="shared" si="13"/>
        <v>5</v>
      </c>
      <c r="L221" s="1149" t="s">
        <v>4932</v>
      </c>
      <c r="M221" s="1149"/>
      <c r="N221" s="1573" t="str">
        <f>NOMINA!O195</f>
        <v>Tecnico Superior en Trabajo Social II</v>
      </c>
      <c r="O221" s="1149">
        <v>1.02087691000006E+18</v>
      </c>
      <c r="P221" s="1150">
        <f>ROUND(+NOMINA!T195,2)</f>
        <v>219</v>
      </c>
      <c r="Q221" s="1151">
        <v>0</v>
      </c>
      <c r="R221" s="1151">
        <f>ROUND(+NOMINA!AA195,2)</f>
        <v>6.57</v>
      </c>
      <c r="S221" s="1151">
        <f>ROUND(+NOMINA!AB195,2)</f>
        <v>130</v>
      </c>
      <c r="T221" s="1151">
        <f>ROUND(+NOMINA!AC195,2)</f>
        <v>25</v>
      </c>
      <c r="U221" s="1151">
        <f>ROUND(+NOMINA!AD195,2)</f>
        <v>76.11</v>
      </c>
      <c r="V221" s="1151">
        <f>ROUND(NOMINA!AQ195,2)</f>
        <v>0</v>
      </c>
      <c r="W221" s="1151">
        <f>+NOMINA!AS195</f>
        <v>0</v>
      </c>
      <c r="X221" s="1151">
        <f>+NOMINA!AT195</f>
        <v>0</v>
      </c>
      <c r="Y221" s="1151">
        <f>+NOMINA!AU195</f>
        <v>456.68</v>
      </c>
      <c r="Z221" s="1151">
        <f>+NOMINA!BX195</f>
        <v>856.28</v>
      </c>
      <c r="AA221" s="1151">
        <f>+NOMINA!BY195</f>
        <v>0</v>
      </c>
      <c r="AB221" s="1151">
        <f t="shared" si="14"/>
        <v>856.28</v>
      </c>
      <c r="AD221" s="634"/>
      <c r="AH221" s="1610" t="str">
        <f>NOMINA!P193</f>
        <v>01020373230000442493</v>
      </c>
    </row>
    <row r="222" spans="1:34" s="629" customFormat="1" ht="20.100000000000001" customHeight="1" thickBot="1">
      <c r="A222" s="770" t="s">
        <v>2846</v>
      </c>
      <c r="B222" s="771">
        <f t="shared" si="15"/>
        <v>155</v>
      </c>
      <c r="C222" s="1145">
        <f>NOMINA!C196</f>
        <v>17265648</v>
      </c>
      <c r="D222" s="1146" t="str">
        <f>NOMINA!D196</f>
        <v>Carrizo Mary Alejandra</v>
      </c>
      <c r="E222" s="1613" t="s">
        <v>4622</v>
      </c>
      <c r="F222" s="1153">
        <v>32351</v>
      </c>
      <c r="G222" s="1613" t="s">
        <v>4620</v>
      </c>
      <c r="H222" s="1572">
        <f>NOMINA!H196</f>
        <v>43709</v>
      </c>
      <c r="I222" s="1148">
        <f>NOMINA!I197</f>
        <v>5</v>
      </c>
      <c r="J222" s="1149">
        <f>NOMINA!J197</f>
        <v>0</v>
      </c>
      <c r="K222" s="1148">
        <f t="shared" si="13"/>
        <v>5</v>
      </c>
      <c r="L222" s="1149" t="s">
        <v>4932</v>
      </c>
      <c r="M222" s="1149"/>
      <c r="N222" s="1573" t="str">
        <f>NOMINA!O196</f>
        <v>Guia de Centro II</v>
      </c>
      <c r="O222" s="1149">
        <v>1.02087691000006E+18</v>
      </c>
      <c r="P222" s="1150">
        <f>ROUND(+NOMINA!T196,2)</f>
        <v>150</v>
      </c>
      <c r="Q222" s="1151">
        <v>0</v>
      </c>
      <c r="R222" s="1151">
        <f>ROUND(+NOMINA!AA196,2)</f>
        <v>7.5</v>
      </c>
      <c r="S222" s="1151">
        <f>ROUND(+NOMINA!AB196,2)</f>
        <v>130</v>
      </c>
      <c r="T222" s="1151">
        <f>ROUND(+NOMINA!AC196,2)</f>
        <v>25</v>
      </c>
      <c r="U222" s="1151">
        <f>ROUND(+NOMINA!AD196,2)</f>
        <v>0</v>
      </c>
      <c r="V222" s="1151">
        <f>ROUND(NOMINA!AQ196,2)</f>
        <v>0</v>
      </c>
      <c r="W222" s="1151">
        <f>+NOMINA!AS196</f>
        <v>0</v>
      </c>
      <c r="X222" s="1151">
        <f>+NOMINA!AT196</f>
        <v>0</v>
      </c>
      <c r="Y222" s="1151">
        <f>+NOMINA!AU196</f>
        <v>406.25</v>
      </c>
      <c r="Z222" s="1151">
        <f>+NOMINA!BX196</f>
        <v>761.72</v>
      </c>
      <c r="AA222" s="1151">
        <f>+NOMINA!BY196</f>
        <v>0</v>
      </c>
      <c r="AB222" s="1151">
        <f t="shared" si="14"/>
        <v>761.72</v>
      </c>
      <c r="AD222" s="634"/>
      <c r="AH222" s="1610" t="str">
        <f>NOMINA!P194</f>
        <v>01020226450000078676</v>
      </c>
    </row>
    <row r="223" spans="1:34" s="629" customFormat="1" ht="20.100000000000001" customHeight="1" thickBot="1">
      <c r="A223" s="770" t="s">
        <v>2846</v>
      </c>
      <c r="B223" s="771">
        <f t="shared" si="15"/>
        <v>156</v>
      </c>
      <c r="C223" s="1145">
        <f>NOMINA!C197</f>
        <v>17267324</v>
      </c>
      <c r="D223" s="1146" t="str">
        <f>NOMINA!D197</f>
        <v>Urdaneta Soto Katherine Esther</v>
      </c>
      <c r="E223" s="1613" t="s">
        <v>4622</v>
      </c>
      <c r="F223" s="1153">
        <v>32351</v>
      </c>
      <c r="G223" s="1613" t="s">
        <v>4620</v>
      </c>
      <c r="H223" s="1572">
        <f>NOMINA!H197</f>
        <v>43785</v>
      </c>
      <c r="I223" s="1148">
        <f>NOMINA!I198</f>
        <v>2</v>
      </c>
      <c r="J223" s="1149">
        <f>NOMINA!J198</f>
        <v>0</v>
      </c>
      <c r="K223" s="1148">
        <f t="shared" si="13"/>
        <v>2</v>
      </c>
      <c r="L223" s="1149" t="s">
        <v>4932</v>
      </c>
      <c r="M223" s="1149"/>
      <c r="N223" s="1573" t="str">
        <f>NOMINA!O197</f>
        <v>Guia de Centro II</v>
      </c>
      <c r="O223" s="1149">
        <v>1.02087691000006E+18</v>
      </c>
      <c r="P223" s="1150">
        <f>ROUND(+NOMINA!T197,2)</f>
        <v>150</v>
      </c>
      <c r="Q223" s="1151">
        <v>0</v>
      </c>
      <c r="R223" s="1151">
        <f>ROUND(+NOMINA!AA197,2)</f>
        <v>7.5</v>
      </c>
      <c r="S223" s="1151">
        <f>ROUND(+NOMINA!AB197,2)</f>
        <v>130</v>
      </c>
      <c r="T223" s="1151">
        <f>ROUND(+NOMINA!AC197,2)</f>
        <v>25</v>
      </c>
      <c r="U223" s="1151">
        <f>ROUND(+NOMINA!AD197,2)</f>
        <v>0</v>
      </c>
      <c r="V223" s="1151">
        <f>ROUND(NOMINA!AQ197,2)</f>
        <v>0</v>
      </c>
      <c r="W223" s="1151">
        <f>+NOMINA!AS197</f>
        <v>0</v>
      </c>
      <c r="X223" s="1151">
        <f>+NOMINA!AT197</f>
        <v>0</v>
      </c>
      <c r="Y223" s="1151">
        <f>+NOMINA!AU197</f>
        <v>406.25</v>
      </c>
      <c r="Z223" s="1151">
        <f>+NOMINA!BX197</f>
        <v>761.72</v>
      </c>
      <c r="AA223" s="1151">
        <f>+NOMINA!BY197</f>
        <v>0</v>
      </c>
      <c r="AB223" s="1151">
        <f t="shared" si="14"/>
        <v>761.72</v>
      </c>
      <c r="AD223" s="634"/>
      <c r="AH223" s="1610" t="str">
        <f>NOMINA!P195</f>
        <v>01020747990000341921</v>
      </c>
    </row>
    <row r="224" spans="1:34" s="629" customFormat="1" ht="20.100000000000001" customHeight="1" thickBot="1">
      <c r="A224" s="770" t="s">
        <v>2846</v>
      </c>
      <c r="B224" s="771">
        <f t="shared" si="15"/>
        <v>157</v>
      </c>
      <c r="C224" s="1145">
        <f>NOMINA!C198</f>
        <v>17391316</v>
      </c>
      <c r="D224" s="1146" t="str">
        <f>NOMINA!D198</f>
        <v>Torres Aranguren Lilibeth del Valle</v>
      </c>
      <c r="E224" s="1613" t="s">
        <v>4622</v>
      </c>
      <c r="F224" s="1153">
        <v>32351</v>
      </c>
      <c r="G224" s="1613" t="s">
        <v>4620</v>
      </c>
      <c r="H224" s="1572">
        <f>NOMINA!H198</f>
        <v>44713</v>
      </c>
      <c r="I224" s="1148">
        <f>NOMINA!I199</f>
        <v>0</v>
      </c>
      <c r="J224" s="1149">
        <f>NOMINA!J199</f>
        <v>2</v>
      </c>
      <c r="K224" s="1148">
        <f t="shared" si="13"/>
        <v>2</v>
      </c>
      <c r="L224" s="1149" t="s">
        <v>4932</v>
      </c>
      <c r="M224" s="1149"/>
      <c r="N224" s="1573" t="str">
        <f>NOMINA!O198</f>
        <v>Guia de Centro I</v>
      </c>
      <c r="O224" s="1149">
        <v>1.02087691000006E+18</v>
      </c>
      <c r="P224" s="1150">
        <f>ROUND(+NOMINA!T198,2)</f>
        <v>192</v>
      </c>
      <c r="Q224" s="1151">
        <v>0</v>
      </c>
      <c r="R224" s="1151">
        <f>ROUND(+NOMINA!AA198,2)</f>
        <v>3.84</v>
      </c>
      <c r="S224" s="1151">
        <f>ROUND(+NOMINA!AB198,2)</f>
        <v>130</v>
      </c>
      <c r="T224" s="1151">
        <f>ROUND(+NOMINA!AC198,2)</f>
        <v>12.5</v>
      </c>
      <c r="U224" s="1151">
        <f>ROUND(+NOMINA!AD198,2)</f>
        <v>67.67</v>
      </c>
      <c r="V224" s="1151">
        <f>ROUND(NOMINA!AQ198,2)</f>
        <v>0</v>
      </c>
      <c r="W224" s="1151">
        <f>+NOMINA!AS198</f>
        <v>0</v>
      </c>
      <c r="X224" s="1151">
        <f>+NOMINA!AT198</f>
        <v>0</v>
      </c>
      <c r="Y224" s="1151">
        <f>+NOMINA!AU198</f>
        <v>527.80999999999995</v>
      </c>
      <c r="Z224" s="1151">
        <f>+NOMINA!BX198</f>
        <v>989.65</v>
      </c>
      <c r="AA224" s="1151">
        <f>+NOMINA!BY198</f>
        <v>0</v>
      </c>
      <c r="AB224" s="1151">
        <f t="shared" si="14"/>
        <v>989.65</v>
      </c>
      <c r="AD224" s="634"/>
      <c r="AH224" s="1610" t="str">
        <f>NOMINA!P196</f>
        <v>01020373280000635912</v>
      </c>
    </row>
    <row r="225" spans="1:34" s="629" customFormat="1" ht="20.100000000000001" customHeight="1" thickBot="1">
      <c r="A225" s="770" t="s">
        <v>2846</v>
      </c>
      <c r="B225" s="771">
        <f t="shared" si="15"/>
        <v>158</v>
      </c>
      <c r="C225" s="1145">
        <f>NOMINA!C199</f>
        <v>17391892</v>
      </c>
      <c r="D225" s="1146" t="str">
        <f>NOMINA!D199</f>
        <v>Godoy Padilla Darcy Yaneth</v>
      </c>
      <c r="E225" s="1613" t="s">
        <v>4622</v>
      </c>
      <c r="F225" s="1153">
        <v>32351</v>
      </c>
      <c r="G225" s="1613" t="s">
        <v>4620</v>
      </c>
      <c r="H225" s="1572">
        <f>NOMINA!H199</f>
        <v>45323</v>
      </c>
      <c r="I225" s="1148">
        <f>NOMINA!I200</f>
        <v>7</v>
      </c>
      <c r="J225" s="1149">
        <f>NOMINA!J200</f>
        <v>0</v>
      </c>
      <c r="K225" s="1148">
        <f t="shared" si="13"/>
        <v>7</v>
      </c>
      <c r="L225" s="1149" t="s">
        <v>4932</v>
      </c>
      <c r="M225" s="1149"/>
      <c r="N225" s="1573" t="str">
        <f>NOMINA!O199</f>
        <v>Analista de Personal I</v>
      </c>
      <c r="O225" s="1149">
        <v>1.02087691000006E+18</v>
      </c>
      <c r="P225" s="1150">
        <f>ROUND(+NOMINA!T199,2)</f>
        <v>246</v>
      </c>
      <c r="Q225" s="1151">
        <v>0</v>
      </c>
      <c r="R225" s="1151">
        <f>ROUND(+NOMINA!AA199,2)</f>
        <v>4.92</v>
      </c>
      <c r="S225" s="1151">
        <f>ROUND(+NOMINA!AB199,2)</f>
        <v>130</v>
      </c>
      <c r="T225" s="1151">
        <f>ROUND(+NOMINA!AC199,2)</f>
        <v>25</v>
      </c>
      <c r="U225" s="1151">
        <f>ROUND(+NOMINA!AD199,2)</f>
        <v>101.48</v>
      </c>
      <c r="V225" s="1151">
        <f>ROUND(NOMINA!AQ199,2)</f>
        <v>0</v>
      </c>
      <c r="W225" s="1151">
        <f>+NOMINA!AS199</f>
        <v>0</v>
      </c>
      <c r="X225" s="1151">
        <f>+NOMINA!AT199</f>
        <v>25</v>
      </c>
      <c r="Y225" s="1151">
        <f>+NOMINA!AU199</f>
        <v>507.4</v>
      </c>
      <c r="Z225" s="1151">
        <f>+NOMINA!BX199</f>
        <v>847.87</v>
      </c>
      <c r="AA225" s="1151">
        <f>+NOMINA!BY199</f>
        <v>0</v>
      </c>
      <c r="AB225" s="1151">
        <f t="shared" si="14"/>
        <v>847.87</v>
      </c>
      <c r="AD225" s="634"/>
      <c r="AH225" s="1610" t="str">
        <f>NOMINA!P197</f>
        <v>01020373210000665649</v>
      </c>
    </row>
    <row r="226" spans="1:34" s="629" customFormat="1" ht="20.100000000000001" customHeight="1" thickBot="1">
      <c r="A226" s="770" t="s">
        <v>2846</v>
      </c>
      <c r="B226" s="771">
        <f t="shared" si="15"/>
        <v>159</v>
      </c>
      <c r="C226" s="1145">
        <f>NOMINA!C200</f>
        <v>17392309</v>
      </c>
      <c r="D226" s="1146" t="str">
        <f>NOMINA!D200</f>
        <v>Torres Briceño Yarelis Del Carmen</v>
      </c>
      <c r="E226" s="1613" t="s">
        <v>4622</v>
      </c>
      <c r="F226" s="1153">
        <v>32351</v>
      </c>
      <c r="G226" s="1613" t="s">
        <v>4620</v>
      </c>
      <c r="H226" s="1572">
        <f>NOMINA!H200</f>
        <v>43116</v>
      </c>
      <c r="I226" s="1148">
        <f>NOMINA!I201</f>
        <v>3</v>
      </c>
      <c r="J226" s="1149">
        <f>NOMINA!J201</f>
        <v>0</v>
      </c>
      <c r="K226" s="1148">
        <f t="shared" si="13"/>
        <v>3</v>
      </c>
      <c r="L226" s="1149" t="s">
        <v>4932</v>
      </c>
      <c r="M226" s="1149"/>
      <c r="N226" s="1573" t="str">
        <f>NOMINA!O200</f>
        <v>Administrador II</v>
      </c>
      <c r="O226" s="1149">
        <v>1.02087691000006E+18</v>
      </c>
      <c r="P226" s="1150">
        <f>ROUND(+NOMINA!T200,2)</f>
        <v>279</v>
      </c>
      <c r="Q226" s="1151">
        <v>0</v>
      </c>
      <c r="R226" s="1151">
        <f>ROUND(+NOMINA!AA200,2)</f>
        <v>20.65</v>
      </c>
      <c r="S226" s="1151">
        <f>ROUND(+NOMINA!AB200,2)</f>
        <v>130</v>
      </c>
      <c r="T226" s="1151">
        <f>ROUND(+NOMINA!AC200,2)</f>
        <v>25</v>
      </c>
      <c r="U226" s="1151">
        <f>ROUND(+NOMINA!AD200,2)</f>
        <v>113.66</v>
      </c>
      <c r="V226" s="1151">
        <f>ROUND(NOMINA!AQ200,2)</f>
        <v>0</v>
      </c>
      <c r="W226" s="1151">
        <f>+NOMINA!AS200</f>
        <v>0</v>
      </c>
      <c r="X226" s="1151">
        <f>+NOMINA!AT200</f>
        <v>12.5</v>
      </c>
      <c r="Y226" s="1151">
        <f>+NOMINA!AU200</f>
        <v>568.30999999999995</v>
      </c>
      <c r="Z226" s="1151">
        <f>+NOMINA!BX200</f>
        <v>1065.58</v>
      </c>
      <c r="AA226" s="1151">
        <f>+NOMINA!BY200</f>
        <v>0</v>
      </c>
      <c r="AB226" s="1151">
        <f t="shared" si="14"/>
        <v>1065.58</v>
      </c>
      <c r="AD226" s="634"/>
      <c r="AH226" s="1610" t="str">
        <f>NOMINA!P198</f>
        <v>01020373240000968498</v>
      </c>
    </row>
    <row r="227" spans="1:34" s="629" customFormat="1" ht="20.100000000000001" customHeight="1" thickBot="1">
      <c r="A227" s="770" t="s">
        <v>2846</v>
      </c>
      <c r="B227" s="771">
        <f t="shared" si="15"/>
        <v>160</v>
      </c>
      <c r="C227" s="1145">
        <f>NOMINA!C201</f>
        <v>17393693</v>
      </c>
      <c r="D227" s="1146" t="str">
        <f>NOMINA!D201</f>
        <v>Nuñez Maria Gusmara</v>
      </c>
      <c r="E227" s="1613" t="s">
        <v>4622</v>
      </c>
      <c r="F227" s="1153">
        <v>32351</v>
      </c>
      <c r="G227" s="1613" t="s">
        <v>4620</v>
      </c>
      <c r="H227" s="1572">
        <f>NOMINA!H201</f>
        <v>44516</v>
      </c>
      <c r="I227" s="1148">
        <f>NOMINA!I202</f>
        <v>0</v>
      </c>
      <c r="J227" s="1149">
        <f>NOMINA!J202</f>
        <v>0</v>
      </c>
      <c r="K227" s="1148">
        <f t="shared" si="13"/>
        <v>0</v>
      </c>
      <c r="L227" s="1149" t="s">
        <v>4932</v>
      </c>
      <c r="M227" s="1149"/>
      <c r="N227" s="1573" t="str">
        <f>NOMINA!O201</f>
        <v>Asistente Administrativo II</v>
      </c>
      <c r="O227" s="1149">
        <v>1.02087691000006E+18</v>
      </c>
      <c r="P227" s="1150">
        <f>ROUND(+NOMINA!T201,2)</f>
        <v>150</v>
      </c>
      <c r="Q227" s="1151">
        <v>0</v>
      </c>
      <c r="R227" s="1151">
        <f>ROUND(+NOMINA!AA201,2)</f>
        <v>4.5</v>
      </c>
      <c r="S227" s="1151">
        <f>ROUND(+NOMINA!AB201,2)</f>
        <v>130</v>
      </c>
      <c r="T227" s="1151">
        <f>ROUND(+NOMINA!AC201,2)</f>
        <v>25</v>
      </c>
      <c r="U227" s="1151">
        <f>ROUND(+NOMINA!AD201,2)</f>
        <v>0</v>
      </c>
      <c r="V227" s="1151">
        <f>ROUND(NOMINA!AQ201,2)</f>
        <v>0</v>
      </c>
      <c r="W227" s="1151">
        <f>+NOMINA!AS201</f>
        <v>0</v>
      </c>
      <c r="X227" s="1151">
        <f>+NOMINA!AT201</f>
        <v>0</v>
      </c>
      <c r="Y227" s="1151">
        <f>+NOMINA!AU201</f>
        <v>309.5</v>
      </c>
      <c r="Z227" s="1151">
        <f>+NOMINA!BX201</f>
        <v>580.30999999999995</v>
      </c>
      <c r="AA227" s="1151">
        <f>+NOMINA!BY201</f>
        <v>0</v>
      </c>
      <c r="AB227" s="1151">
        <f t="shared" si="14"/>
        <v>580.30999999999995</v>
      </c>
      <c r="AD227" s="634"/>
      <c r="AH227" s="1610" t="str">
        <f>NOMINA!P199</f>
        <v>01020494110100024997</v>
      </c>
    </row>
    <row r="228" spans="1:34" s="629" customFormat="1" ht="20.100000000000001" customHeight="1" thickBot="1">
      <c r="A228" s="770" t="s">
        <v>2846</v>
      </c>
      <c r="B228" s="771">
        <f t="shared" si="15"/>
        <v>161</v>
      </c>
      <c r="C228" s="1145">
        <f>NOMINA!C202</f>
        <v>17596844</v>
      </c>
      <c r="D228" s="1146" t="str">
        <f>NOMINA!D202</f>
        <v>Colmenares Jorge Luis</v>
      </c>
      <c r="E228" s="1613" t="s">
        <v>4622</v>
      </c>
      <c r="F228" s="1153">
        <v>32351</v>
      </c>
      <c r="G228" s="1613" t="s">
        <v>4620</v>
      </c>
      <c r="H228" s="1572">
        <f>NOMINA!H202</f>
        <v>45474</v>
      </c>
      <c r="I228" s="1148">
        <f>NOMINA!I203</f>
        <v>0</v>
      </c>
      <c r="J228" s="1149">
        <f>NOMINA!J203</f>
        <v>0</v>
      </c>
      <c r="K228" s="1148">
        <f t="shared" si="13"/>
        <v>0</v>
      </c>
      <c r="L228" s="1149" t="s">
        <v>4932</v>
      </c>
      <c r="M228" s="1149"/>
      <c r="N228" s="1573" t="str">
        <f>NOMINA!O202</f>
        <v>Guia de Centro I</v>
      </c>
      <c r="O228" s="1149">
        <v>1.02087691000006E+18</v>
      </c>
      <c r="P228" s="1150">
        <f>ROUND(+NOMINA!T202,2)</f>
        <v>192</v>
      </c>
      <c r="Q228" s="1151">
        <v>0</v>
      </c>
      <c r="R228" s="1151">
        <f>ROUND(+NOMINA!AA202,2)</f>
        <v>0</v>
      </c>
      <c r="S228" s="1151">
        <f>ROUND(+NOMINA!AB202,2)</f>
        <v>130</v>
      </c>
      <c r="T228" s="1151">
        <f>ROUND(+NOMINA!AC202,2)</f>
        <v>25</v>
      </c>
      <c r="U228" s="1151">
        <f>ROUND(+NOMINA!AD202,2)</f>
        <v>69.400000000000006</v>
      </c>
      <c r="V228" s="1151">
        <f>ROUND(NOMINA!AQ202,2)</f>
        <v>0</v>
      </c>
      <c r="W228" s="1151">
        <f>+NOMINA!AS202</f>
        <v>0</v>
      </c>
      <c r="X228" s="1151">
        <f>+NOMINA!AT202</f>
        <v>0</v>
      </c>
      <c r="Y228" s="1151">
        <f>+NOMINA!AU202</f>
        <v>541.31999999999994</v>
      </c>
      <c r="Z228" s="1151">
        <f>+NOMINA!BX202</f>
        <v>422.91</v>
      </c>
      <c r="AA228" s="1151">
        <f>+NOMINA!BY202</f>
        <v>0</v>
      </c>
      <c r="AB228" s="1151">
        <f t="shared" si="14"/>
        <v>422.91</v>
      </c>
      <c r="AD228" s="634"/>
      <c r="AH228" s="1610" t="str">
        <f>NOMINA!P200</f>
        <v>01020373260000525718</v>
      </c>
    </row>
    <row r="229" spans="1:34" s="629" customFormat="1" ht="20.100000000000001" customHeight="1" thickBot="1">
      <c r="A229" s="770" t="s">
        <v>2846</v>
      </c>
      <c r="B229" s="771">
        <f t="shared" si="15"/>
        <v>162</v>
      </c>
      <c r="C229" s="1145">
        <f>NOMINA!C203</f>
        <v>17597257</v>
      </c>
      <c r="D229" s="1146" t="str">
        <f>NOMINA!D203</f>
        <v>Linares Barreto Jorge Luis</v>
      </c>
      <c r="E229" s="1613" t="s">
        <v>4622</v>
      </c>
      <c r="F229" s="1153">
        <v>32351</v>
      </c>
      <c r="G229" s="1613" t="s">
        <v>4620</v>
      </c>
      <c r="H229" s="1572">
        <f>NOMINA!H203</f>
        <v>45536</v>
      </c>
      <c r="I229" s="1148">
        <f>NOMINA!I204</f>
        <v>7</v>
      </c>
      <c r="J229" s="1149">
        <f>NOMINA!J204</f>
        <v>0</v>
      </c>
      <c r="K229" s="1148">
        <f t="shared" si="13"/>
        <v>7</v>
      </c>
      <c r="L229" s="1149" t="s">
        <v>4932</v>
      </c>
      <c r="M229" s="1149"/>
      <c r="N229" s="1573" t="str">
        <f>NOMINA!O203</f>
        <v>GUIA DE CENTRO I</v>
      </c>
      <c r="O229" s="1149">
        <v>1.02087691000006E+18</v>
      </c>
      <c r="P229" s="1150">
        <f>ROUND(+NOMINA!T203,2)</f>
        <v>192</v>
      </c>
      <c r="Q229" s="1151">
        <v>0</v>
      </c>
      <c r="R229" s="1151">
        <f>ROUND(+NOMINA!AA203,2)</f>
        <v>0</v>
      </c>
      <c r="S229" s="1151">
        <f>ROUND(+NOMINA!AB203,2)</f>
        <v>130</v>
      </c>
      <c r="T229" s="1151">
        <f>ROUND(+NOMINA!AC203,2)</f>
        <v>0</v>
      </c>
      <c r="U229" s="1151">
        <f>ROUND(+NOMINA!AD203,2)</f>
        <v>64.400000000000006</v>
      </c>
      <c r="V229" s="1151">
        <f>ROUND(NOMINA!AQ203,2)</f>
        <v>0</v>
      </c>
      <c r="W229" s="1151">
        <f>+NOMINA!AS203</f>
        <v>0</v>
      </c>
      <c r="X229" s="1151">
        <f>+NOMINA!AT203</f>
        <v>0</v>
      </c>
      <c r="Y229" s="1151">
        <f>+NOMINA!AU203</f>
        <v>502.32</v>
      </c>
      <c r="Z229" s="1151">
        <f>+NOMINA!BX203</f>
        <v>244.18</v>
      </c>
      <c r="AA229" s="1151">
        <f>+NOMINA!BY203</f>
        <v>0</v>
      </c>
      <c r="AB229" s="1151">
        <f t="shared" si="14"/>
        <v>244.18</v>
      </c>
      <c r="AD229" s="634"/>
      <c r="AH229" s="1610" t="str">
        <f>NOMINA!P201</f>
        <v>01020373290000591014</v>
      </c>
    </row>
    <row r="230" spans="1:34" s="629" customFormat="1" ht="20.100000000000001" customHeight="1" thickBot="1">
      <c r="A230" s="770" t="s">
        <v>2846</v>
      </c>
      <c r="B230" s="771">
        <f t="shared" si="15"/>
        <v>163</v>
      </c>
      <c r="C230" s="1145">
        <f>NOMINA!C204</f>
        <v>17597285</v>
      </c>
      <c r="D230" s="1146" t="str">
        <f>NOMINA!D204</f>
        <v>Duarte Portillo Dani Vicente</v>
      </c>
      <c r="E230" s="1613" t="s">
        <v>4622</v>
      </c>
      <c r="F230" s="1153">
        <v>32351</v>
      </c>
      <c r="G230" s="1613" t="s">
        <v>4620</v>
      </c>
      <c r="H230" s="1572">
        <f>NOMINA!H204</f>
        <v>42782</v>
      </c>
      <c r="I230" s="1148">
        <f>NOMINA!I205</f>
        <v>5</v>
      </c>
      <c r="J230" s="1149">
        <f>NOMINA!J205</f>
        <v>0</v>
      </c>
      <c r="K230" s="1148">
        <f t="shared" si="13"/>
        <v>5</v>
      </c>
      <c r="L230" s="1149" t="s">
        <v>4932</v>
      </c>
      <c r="M230" s="1149"/>
      <c r="N230" s="1573" t="str">
        <f>NOMINA!O204</f>
        <v>Tecnico Superior en Trabajo Social II</v>
      </c>
      <c r="O230" s="1149">
        <v>1.02087691000006E+18</v>
      </c>
      <c r="P230" s="1150">
        <f>ROUND(+NOMINA!T204,2)</f>
        <v>221</v>
      </c>
      <c r="Q230" s="1151">
        <v>0</v>
      </c>
      <c r="R230" s="1151">
        <f>ROUND(+NOMINA!AA204,2)</f>
        <v>16.350000000000001</v>
      </c>
      <c r="S230" s="1151">
        <f>ROUND(+NOMINA!AB204,2)</f>
        <v>130</v>
      </c>
      <c r="T230" s="1151">
        <f>ROUND(+NOMINA!AC204,2)</f>
        <v>0</v>
      </c>
      <c r="U230" s="1151">
        <f>ROUND(+NOMINA!AD204,2)</f>
        <v>73.47</v>
      </c>
      <c r="V230" s="1151">
        <f>ROUND(NOMINA!AQ204,2)</f>
        <v>0</v>
      </c>
      <c r="W230" s="1151">
        <f>+NOMINA!AS204</f>
        <v>0</v>
      </c>
      <c r="X230" s="1151">
        <f>+NOMINA!AT204</f>
        <v>0</v>
      </c>
      <c r="Y230" s="1151">
        <f>+NOMINA!AU204</f>
        <v>440.82</v>
      </c>
      <c r="Z230" s="1151">
        <f>+NOMINA!BX204</f>
        <v>826.54</v>
      </c>
      <c r="AA230" s="1151">
        <f>+NOMINA!BY204</f>
        <v>0</v>
      </c>
      <c r="AB230" s="1151">
        <f t="shared" si="14"/>
        <v>826.54</v>
      </c>
      <c r="AD230" s="634"/>
      <c r="AH230" s="1610" t="str">
        <f>NOMINA!P202</f>
        <v>01020369440100086019</v>
      </c>
    </row>
    <row r="231" spans="1:34" s="629" customFormat="1" ht="20.100000000000001" customHeight="1" thickBot="1">
      <c r="A231" s="770" t="s">
        <v>2846</v>
      </c>
      <c r="B231" s="771">
        <f t="shared" si="15"/>
        <v>164</v>
      </c>
      <c r="C231" s="1145">
        <f>NOMINA!C205</f>
        <v>17604568</v>
      </c>
      <c r="D231" s="1146" t="str">
        <f>NOMINA!D205</f>
        <v>Rivera Gil Christian Rafael</v>
      </c>
      <c r="E231" s="1613" t="s">
        <v>4622</v>
      </c>
      <c r="F231" s="1153">
        <v>32351</v>
      </c>
      <c r="G231" s="1613" t="s">
        <v>4620</v>
      </c>
      <c r="H231" s="1572">
        <f>NOMINA!H205</f>
        <v>43831</v>
      </c>
      <c r="I231" s="1148">
        <f>NOMINA!I206</f>
        <v>8</v>
      </c>
      <c r="J231" s="1149">
        <f>NOMINA!J206</f>
        <v>0</v>
      </c>
      <c r="K231" s="1148">
        <f t="shared" si="13"/>
        <v>8</v>
      </c>
      <c r="L231" s="1149" t="s">
        <v>4932</v>
      </c>
      <c r="M231" s="1149"/>
      <c r="N231" s="1573" t="str">
        <f>NOMINA!O205</f>
        <v>Tecnico en Reparacion y Mantenimiento I</v>
      </c>
      <c r="O231" s="1149">
        <v>1.02087691000006E+18</v>
      </c>
      <c r="P231" s="1150">
        <f>ROUND(+NOMINA!T205,2)</f>
        <v>219</v>
      </c>
      <c r="Q231" s="1151">
        <v>0</v>
      </c>
      <c r="R231" s="1151">
        <f>ROUND(+NOMINA!AA205,2)</f>
        <v>10.95</v>
      </c>
      <c r="S231" s="1151">
        <f>ROUND(+NOMINA!AB205,2)</f>
        <v>130</v>
      </c>
      <c r="T231" s="1151">
        <f>ROUND(+NOMINA!AC205,2)</f>
        <v>25</v>
      </c>
      <c r="U231" s="1151">
        <f>ROUND(+NOMINA!AD205,2)</f>
        <v>76.989999999999995</v>
      </c>
      <c r="V231" s="1151">
        <f>ROUND(NOMINA!AQ205,2)</f>
        <v>0</v>
      </c>
      <c r="W231" s="1151">
        <f>+NOMINA!AS205</f>
        <v>0</v>
      </c>
      <c r="X231" s="1151">
        <f>+NOMINA!AT205</f>
        <v>25</v>
      </c>
      <c r="Y231" s="1151">
        <f>+NOMINA!AU205</f>
        <v>461.94</v>
      </c>
      <c r="Z231" s="1151">
        <f>+NOMINA!BX205</f>
        <v>866.14</v>
      </c>
      <c r="AA231" s="1151">
        <f>+NOMINA!BY205</f>
        <v>0</v>
      </c>
      <c r="AB231" s="1151">
        <f t="shared" si="14"/>
        <v>866.14</v>
      </c>
      <c r="AD231" s="634"/>
      <c r="AH231" s="1610" t="str">
        <f>NOMINA!P203</f>
        <v>01020369430000174855</v>
      </c>
    </row>
    <row r="232" spans="1:34" s="629" customFormat="1" ht="20.100000000000001" customHeight="1" thickBot="1">
      <c r="A232" s="770" t="s">
        <v>2846</v>
      </c>
      <c r="B232" s="771">
        <f t="shared" si="15"/>
        <v>165</v>
      </c>
      <c r="C232" s="1145">
        <f>NOMINA!C206</f>
        <v>17605222</v>
      </c>
      <c r="D232" s="1146" t="str">
        <f>NOMINA!D206</f>
        <v>Aguial Dayana Carolina</v>
      </c>
      <c r="E232" s="1613" t="s">
        <v>4622</v>
      </c>
      <c r="F232" s="1153">
        <v>32351</v>
      </c>
      <c r="G232" s="1613" t="s">
        <v>4620</v>
      </c>
      <c r="H232" s="1572">
        <f>NOMINA!H206</f>
        <v>42737</v>
      </c>
      <c r="I232" s="1148">
        <f>NOMINA!I207</f>
        <v>4</v>
      </c>
      <c r="J232" s="1149">
        <f>NOMINA!J207</f>
        <v>0</v>
      </c>
      <c r="K232" s="1148">
        <f t="shared" si="13"/>
        <v>4</v>
      </c>
      <c r="L232" s="1149" t="s">
        <v>4932</v>
      </c>
      <c r="M232" s="1149"/>
      <c r="N232" s="1573" t="str">
        <f>NOMINA!O206</f>
        <v>Guia de Centro II</v>
      </c>
      <c r="O232" s="1149">
        <v>1.02087691000006E+18</v>
      </c>
      <c r="P232" s="1150">
        <f>ROUND(+NOMINA!T206,2)</f>
        <v>221</v>
      </c>
      <c r="Q232" s="1151">
        <v>0</v>
      </c>
      <c r="R232" s="1151">
        <f>ROUND(+NOMINA!AA206,2)</f>
        <v>19.010000000000002</v>
      </c>
      <c r="S232" s="1151">
        <f>ROUND(+NOMINA!AB206,2)</f>
        <v>130</v>
      </c>
      <c r="T232" s="1151">
        <f>ROUND(+NOMINA!AC206,2)</f>
        <v>0</v>
      </c>
      <c r="U232" s="1151">
        <f>ROUND(+NOMINA!AD206,2)</f>
        <v>92.5</v>
      </c>
      <c r="V232" s="1151">
        <f>ROUND(NOMINA!AQ206,2)</f>
        <v>0</v>
      </c>
      <c r="W232" s="1151">
        <f>+NOMINA!AS206</f>
        <v>0</v>
      </c>
      <c r="X232" s="1151">
        <f>+NOMINA!AT206</f>
        <v>0</v>
      </c>
      <c r="Y232" s="1151">
        <f>+NOMINA!AU206</f>
        <v>601.26</v>
      </c>
      <c r="Z232" s="1151">
        <f>+NOMINA!BX206</f>
        <v>1127.3599999999999</v>
      </c>
      <c r="AA232" s="1151">
        <f>+NOMINA!BY206</f>
        <v>0</v>
      </c>
      <c r="AB232" s="1151">
        <f t="shared" si="14"/>
        <v>1127.3599999999999</v>
      </c>
      <c r="AD232" s="634"/>
      <c r="AH232" s="1610" t="str">
        <f>NOMINA!P204</f>
        <v>01020373200000442545</v>
      </c>
    </row>
    <row r="233" spans="1:34" s="629" customFormat="1" ht="20.100000000000001" customHeight="1" thickBot="1">
      <c r="A233" s="770" t="s">
        <v>2846</v>
      </c>
      <c r="B233" s="771">
        <f t="shared" si="15"/>
        <v>166</v>
      </c>
      <c r="C233" s="1145">
        <f>NOMINA!C207</f>
        <v>17605492</v>
      </c>
      <c r="D233" s="1146" t="str">
        <f>NOMINA!D207</f>
        <v>Briceño Briceño Naibely Carolina</v>
      </c>
      <c r="E233" s="1613" t="s">
        <v>4622</v>
      </c>
      <c r="F233" s="1153">
        <v>32351</v>
      </c>
      <c r="G233" s="1613" t="s">
        <v>4620</v>
      </c>
      <c r="H233" s="1572">
        <f>NOMINA!H207</f>
        <v>43967</v>
      </c>
      <c r="I233" s="1148">
        <f>NOMINA!I208</f>
        <v>13</v>
      </c>
      <c r="J233" s="1149">
        <f>NOMINA!J208</f>
        <v>0</v>
      </c>
      <c r="K233" s="1148">
        <f t="shared" si="13"/>
        <v>13</v>
      </c>
      <c r="L233" s="1149" t="s">
        <v>4932</v>
      </c>
      <c r="M233" s="1149"/>
      <c r="N233" s="1573" t="str">
        <f>NOMINA!O207</f>
        <v>Asistente Administrativo V</v>
      </c>
      <c r="O233" s="1149">
        <v>1.02087691000006E+18</v>
      </c>
      <c r="P233" s="1150">
        <f>ROUND(+NOMINA!T207,2)</f>
        <v>277</v>
      </c>
      <c r="Q233" s="1151">
        <v>0</v>
      </c>
      <c r="R233" s="1151">
        <f>ROUND(+NOMINA!AA207,2)</f>
        <v>11.08</v>
      </c>
      <c r="S233" s="1151">
        <f>ROUND(+NOMINA!AB207,2)</f>
        <v>130</v>
      </c>
      <c r="T233" s="1151">
        <f>ROUND(+NOMINA!AC207,2)</f>
        <v>0</v>
      </c>
      <c r="U233" s="1151">
        <f>ROUND(+NOMINA!AD207,2)</f>
        <v>104.52</v>
      </c>
      <c r="V233" s="1151">
        <f>ROUND(NOMINA!AQ207,2)</f>
        <v>0</v>
      </c>
      <c r="W233" s="1151">
        <f>+NOMINA!AS207</f>
        <v>0</v>
      </c>
      <c r="X233" s="1151">
        <f>+NOMINA!AT207</f>
        <v>0</v>
      </c>
      <c r="Y233" s="1151">
        <f>+NOMINA!AU207</f>
        <v>522.6</v>
      </c>
      <c r="Z233" s="1151">
        <f>+NOMINA!BX207</f>
        <v>979.88</v>
      </c>
      <c r="AA233" s="1151">
        <f>+NOMINA!BY207</f>
        <v>0</v>
      </c>
      <c r="AB233" s="1151">
        <f t="shared" si="14"/>
        <v>979.88</v>
      </c>
      <c r="AD233" s="634"/>
      <c r="AH233" s="1610" t="str">
        <f>NOMINA!P205</f>
        <v>01020373260000670919</v>
      </c>
    </row>
    <row r="234" spans="1:34" s="629" customFormat="1" ht="20.100000000000001" customHeight="1" thickBot="1">
      <c r="A234" s="770" t="s">
        <v>2846</v>
      </c>
      <c r="B234" s="771">
        <f t="shared" si="15"/>
        <v>167</v>
      </c>
      <c r="C234" s="1145">
        <f>NOMINA!C208</f>
        <v>17606237</v>
      </c>
      <c r="D234" s="1146" t="str">
        <f>NOMINA!D208</f>
        <v>Castellano Rivera Maria Antonina</v>
      </c>
      <c r="E234" s="1613" t="s">
        <v>4622</v>
      </c>
      <c r="F234" s="1153">
        <v>32351</v>
      </c>
      <c r="G234" s="1613" t="s">
        <v>4620</v>
      </c>
      <c r="H234" s="1572">
        <f>NOMINA!H208</f>
        <v>40909</v>
      </c>
      <c r="I234" s="1148">
        <f>NOMINA!I209</f>
        <v>2</v>
      </c>
      <c r="J234" s="1149">
        <f>NOMINA!J209</f>
        <v>0</v>
      </c>
      <c r="K234" s="1148">
        <f t="shared" si="13"/>
        <v>2</v>
      </c>
      <c r="L234" s="1149" t="s">
        <v>4932</v>
      </c>
      <c r="M234" s="1149"/>
      <c r="N234" s="1573" t="str">
        <f>NOMINA!O208</f>
        <v>Asistente Administrativo III</v>
      </c>
      <c r="O234" s="1149">
        <v>1.02087691000006E+18</v>
      </c>
      <c r="P234" s="1150">
        <f>ROUND(+NOMINA!T208,2)</f>
        <v>174</v>
      </c>
      <c r="Q234" s="1151">
        <v>0</v>
      </c>
      <c r="R234" s="1151">
        <f>ROUND(+NOMINA!AA208,2)</f>
        <v>26.45</v>
      </c>
      <c r="S234" s="1151">
        <f>ROUND(+NOMINA!AB208,2)</f>
        <v>130</v>
      </c>
      <c r="T234" s="1151">
        <f>ROUND(+NOMINA!AC208,2)</f>
        <v>12.5</v>
      </c>
      <c r="U234" s="1151">
        <f>ROUND(+NOMINA!AD208,2)</f>
        <v>68.59</v>
      </c>
      <c r="V234" s="1151">
        <f>ROUND(NOMINA!AQ208,2)</f>
        <v>0</v>
      </c>
      <c r="W234" s="1151">
        <f>+NOMINA!AS208</f>
        <v>0</v>
      </c>
      <c r="X234" s="1151">
        <f>+NOMINA!AT208</f>
        <v>0</v>
      </c>
      <c r="Y234" s="1151">
        <f>+NOMINA!AU208</f>
        <v>411.53999999999996</v>
      </c>
      <c r="Z234" s="1151">
        <f>+NOMINA!BX208</f>
        <v>771.64</v>
      </c>
      <c r="AA234" s="1151">
        <f>+NOMINA!BY208</f>
        <v>0</v>
      </c>
      <c r="AB234" s="1151">
        <f t="shared" si="14"/>
        <v>771.64</v>
      </c>
      <c r="AD234" s="634"/>
      <c r="AH234" s="1610" t="str">
        <f>NOMINA!P206</f>
        <v>01020373210000442561</v>
      </c>
    </row>
    <row r="235" spans="1:34" s="629" customFormat="1" ht="20.100000000000001" customHeight="1" thickBot="1">
      <c r="A235" s="770" t="s">
        <v>2846</v>
      </c>
      <c r="B235" s="771">
        <f t="shared" si="15"/>
        <v>168</v>
      </c>
      <c r="C235" s="1145">
        <f>NOMINA!C209</f>
        <v>17830972</v>
      </c>
      <c r="D235" s="1146" t="str">
        <f>NOMINA!D209</f>
        <v>Bastidas Franco Dianellys Sarain</v>
      </c>
      <c r="E235" s="1613" t="s">
        <v>4622</v>
      </c>
      <c r="F235" s="1153">
        <v>32351</v>
      </c>
      <c r="G235" s="1613" t="s">
        <v>4620</v>
      </c>
      <c r="H235" s="1572">
        <f>NOMINA!H209</f>
        <v>44713</v>
      </c>
      <c r="I235" s="1148">
        <f>NOMINA!I210</f>
        <v>0</v>
      </c>
      <c r="J235" s="1149">
        <f>NOMINA!J210</f>
        <v>5</v>
      </c>
      <c r="K235" s="1148">
        <f t="shared" si="13"/>
        <v>5</v>
      </c>
      <c r="L235" s="1149" t="s">
        <v>4932</v>
      </c>
      <c r="M235" s="1149"/>
      <c r="N235" s="1573" t="str">
        <f>NOMINA!O209</f>
        <v>Entrenador Deportivo IV</v>
      </c>
      <c r="O235" s="1149">
        <v>1.02087691000006E+18</v>
      </c>
      <c r="P235" s="1150">
        <f>ROUND(+NOMINA!T209,2)</f>
        <v>246</v>
      </c>
      <c r="Q235" s="1151">
        <v>0</v>
      </c>
      <c r="R235" s="1151">
        <f>ROUND(+NOMINA!AA209,2)</f>
        <v>4.92</v>
      </c>
      <c r="S235" s="1151">
        <f>ROUND(+NOMINA!AB209,2)</f>
        <v>130</v>
      </c>
      <c r="T235" s="1151">
        <f>ROUND(+NOMINA!AC209,2)</f>
        <v>0</v>
      </c>
      <c r="U235" s="1151">
        <f>ROUND(+NOMINA!AD209,2)</f>
        <v>95.23</v>
      </c>
      <c r="V235" s="1151">
        <f>ROUND(NOMINA!AQ209,2)</f>
        <v>0</v>
      </c>
      <c r="W235" s="1151">
        <f>+NOMINA!AS209</f>
        <v>0</v>
      </c>
      <c r="X235" s="1151">
        <f>+NOMINA!AT209</f>
        <v>0</v>
      </c>
      <c r="Y235" s="1151">
        <f>+NOMINA!AU209</f>
        <v>476.15</v>
      </c>
      <c r="Z235" s="1151">
        <f>+NOMINA!BX209</f>
        <v>892.78</v>
      </c>
      <c r="AA235" s="1151">
        <f>+NOMINA!BY209</f>
        <v>0</v>
      </c>
      <c r="AB235" s="1151">
        <f t="shared" si="14"/>
        <v>892.78</v>
      </c>
      <c r="AD235" s="634"/>
      <c r="AH235" s="1610" t="str">
        <f>NOMINA!P207</f>
        <v>01020369400000075679</v>
      </c>
    </row>
    <row r="236" spans="1:34" s="629" customFormat="1" ht="20.100000000000001" customHeight="1" thickBot="1">
      <c r="A236" s="770" t="s">
        <v>2846</v>
      </c>
      <c r="B236" s="771">
        <f t="shared" si="15"/>
        <v>169</v>
      </c>
      <c r="C236" s="1145">
        <f>NOMINA!C210</f>
        <v>17831012</v>
      </c>
      <c r="D236" s="1146" t="str">
        <f>NOMINA!D210</f>
        <v>Valera Briceño Jesus Enrique</v>
      </c>
      <c r="E236" s="1613" t="s">
        <v>4622</v>
      </c>
      <c r="F236" s="1153">
        <v>32351</v>
      </c>
      <c r="G236" s="1613" t="s">
        <v>4620</v>
      </c>
      <c r="H236" s="1572">
        <f>NOMINA!H210</f>
        <v>45474</v>
      </c>
      <c r="I236" s="1148">
        <f>NOMINA!I211</f>
        <v>4</v>
      </c>
      <c r="J236" s="1149">
        <f>NOMINA!J211</f>
        <v>7</v>
      </c>
      <c r="K236" s="1148">
        <f t="shared" si="13"/>
        <v>11</v>
      </c>
      <c r="L236" s="1149" t="s">
        <v>4932</v>
      </c>
      <c r="M236" s="1149"/>
      <c r="N236" s="1573" t="str">
        <f>NOMINA!O210</f>
        <v>Guia de Centro I</v>
      </c>
      <c r="O236" s="1149">
        <v>1.02087691000006E+18</v>
      </c>
      <c r="P236" s="1150">
        <f>ROUND(+NOMINA!T210,2)</f>
        <v>150</v>
      </c>
      <c r="Q236" s="1151">
        <v>0</v>
      </c>
      <c r="R236" s="1151">
        <f>ROUND(+NOMINA!AA210,2)</f>
        <v>7.5</v>
      </c>
      <c r="S236" s="1151">
        <f>ROUND(+NOMINA!AB210,2)</f>
        <v>130</v>
      </c>
      <c r="T236" s="1151">
        <f>ROUND(+NOMINA!AC210,2)</f>
        <v>12.5</v>
      </c>
      <c r="U236" s="1151">
        <f>ROUND(+NOMINA!AD210,2)</f>
        <v>0</v>
      </c>
      <c r="V236" s="1151">
        <f>ROUND(NOMINA!AQ210,2)</f>
        <v>0</v>
      </c>
      <c r="W236" s="1151">
        <f>+NOMINA!AS210</f>
        <v>0</v>
      </c>
      <c r="X236" s="1151">
        <f>+NOMINA!AT210</f>
        <v>12.5</v>
      </c>
      <c r="Y236" s="1151">
        <f>+NOMINA!AU210</f>
        <v>390</v>
      </c>
      <c r="Z236" s="1151">
        <f>+NOMINA!BX210</f>
        <v>304.69</v>
      </c>
      <c r="AA236" s="1151">
        <f>+NOMINA!BY210</f>
        <v>0</v>
      </c>
      <c r="AB236" s="1151">
        <f t="shared" si="14"/>
        <v>304.69</v>
      </c>
      <c r="AD236" s="634"/>
      <c r="AH236" s="1610" t="str">
        <f>NOMINA!P208</f>
        <v>01020373290000101381</v>
      </c>
    </row>
    <row r="237" spans="1:34" s="629" customFormat="1" ht="20.100000000000001" customHeight="1" thickBot="1">
      <c r="A237" s="770" t="s">
        <v>2846</v>
      </c>
      <c r="B237" s="771">
        <f t="shared" si="15"/>
        <v>170</v>
      </c>
      <c r="C237" s="1145">
        <f>NOMINA!C211</f>
        <v>17831231</v>
      </c>
      <c r="D237" s="1146" t="str">
        <f>NOMINA!D211</f>
        <v>Blanco Torres Beixy Coromoto</v>
      </c>
      <c r="E237" s="1613" t="s">
        <v>4622</v>
      </c>
      <c r="F237" s="1153">
        <v>32351</v>
      </c>
      <c r="G237" s="1613" t="s">
        <v>4620</v>
      </c>
      <c r="H237" s="1572">
        <f>NOMINA!H211</f>
        <v>44200</v>
      </c>
      <c r="I237" s="1148">
        <f>NOMINA!I212</f>
        <v>9</v>
      </c>
      <c r="J237" s="1149">
        <f>NOMINA!J212</f>
        <v>0</v>
      </c>
      <c r="K237" s="1148">
        <f t="shared" si="13"/>
        <v>9</v>
      </c>
      <c r="L237" s="1149" t="s">
        <v>4932</v>
      </c>
      <c r="M237" s="1149"/>
      <c r="N237" s="1573" t="str">
        <f>NOMINA!O211</f>
        <v>Abogado III</v>
      </c>
      <c r="O237" s="1149">
        <v>1.02087691000006E+18</v>
      </c>
      <c r="P237" s="1150">
        <f>ROUND(+NOMINA!T211,2)</f>
        <v>281</v>
      </c>
      <c r="Q237" s="1151">
        <v>0</v>
      </c>
      <c r="R237" s="1151">
        <f>ROUND(+NOMINA!AA211,2)</f>
        <v>34.840000000000003</v>
      </c>
      <c r="S237" s="1151">
        <f>ROUND(+NOMINA!AB211,2)</f>
        <v>130</v>
      </c>
      <c r="T237" s="1151">
        <f>ROUND(+NOMINA!AC211,2)</f>
        <v>12.5</v>
      </c>
      <c r="U237" s="1151">
        <f>ROUND(+NOMINA!AD211,2)</f>
        <v>114.59</v>
      </c>
      <c r="V237" s="1151">
        <f>ROUND(NOMINA!AQ211,2)</f>
        <v>12.5</v>
      </c>
      <c r="W237" s="1151">
        <f>+NOMINA!AS211</f>
        <v>0</v>
      </c>
      <c r="X237" s="1151">
        <f>+NOMINA!AT211</f>
        <v>25</v>
      </c>
      <c r="Y237" s="1151">
        <f>+NOMINA!AU211</f>
        <v>572.93000000000006</v>
      </c>
      <c r="Z237" s="1151">
        <f>+NOMINA!BX211</f>
        <v>1074.25</v>
      </c>
      <c r="AA237" s="1151">
        <f>+NOMINA!BY211</f>
        <v>0</v>
      </c>
      <c r="AB237" s="1151">
        <f t="shared" si="14"/>
        <v>1074.25</v>
      </c>
      <c r="AD237" s="634"/>
      <c r="AH237" s="1610" t="str">
        <f>NOMINA!P209</f>
        <v>01020373220100097990</v>
      </c>
    </row>
    <row r="238" spans="1:34" s="629" customFormat="1" ht="20.100000000000001" customHeight="1" thickBot="1">
      <c r="A238" s="770" t="s">
        <v>2846</v>
      </c>
      <c r="B238" s="771">
        <f t="shared" si="15"/>
        <v>171</v>
      </c>
      <c r="C238" s="1145">
        <f>NOMINA!C212</f>
        <v>17831384</v>
      </c>
      <c r="D238" s="1146" t="str">
        <f>NOMINA!D212</f>
        <v>Nieve Briceño Glorys Carolina</v>
      </c>
      <c r="E238" s="1613" t="s">
        <v>4622</v>
      </c>
      <c r="F238" s="1153">
        <v>32351</v>
      </c>
      <c r="G238" s="1613" t="s">
        <v>4620</v>
      </c>
      <c r="H238" s="1572">
        <f>NOMINA!H212</f>
        <v>42339</v>
      </c>
      <c r="I238" s="1148">
        <f>NOMINA!I213</f>
        <v>6</v>
      </c>
      <c r="J238" s="1149">
        <f>NOMINA!J213</f>
        <v>0</v>
      </c>
      <c r="K238" s="1148">
        <f t="shared" si="13"/>
        <v>6</v>
      </c>
      <c r="L238" s="1149" t="s">
        <v>4932</v>
      </c>
      <c r="M238" s="1149"/>
      <c r="N238" s="1573" t="str">
        <f>NOMINA!O212</f>
        <v>Guia de Centro II</v>
      </c>
      <c r="O238" s="1149">
        <v>1.02087691000006E+18</v>
      </c>
      <c r="P238" s="1150">
        <f>ROUND(+NOMINA!T212,2)</f>
        <v>281</v>
      </c>
      <c r="Q238" s="1151">
        <v>0</v>
      </c>
      <c r="R238" s="1151">
        <f>ROUND(+NOMINA!AA212,2)</f>
        <v>27.54</v>
      </c>
      <c r="S238" s="1151">
        <f>ROUND(+NOMINA!AB212,2)</f>
        <v>130</v>
      </c>
      <c r="T238" s="1151">
        <f>ROUND(+NOMINA!AC212,2)</f>
        <v>12.5</v>
      </c>
      <c r="U238" s="1151">
        <f>ROUND(+NOMINA!AD212,2)</f>
        <v>112.76</v>
      </c>
      <c r="V238" s="1151">
        <f>ROUND(NOMINA!AQ212,2)</f>
        <v>0</v>
      </c>
      <c r="W238" s="1151">
        <f>+NOMINA!AS212</f>
        <v>0</v>
      </c>
      <c r="X238" s="1151">
        <f>+NOMINA!AT212</f>
        <v>0</v>
      </c>
      <c r="Y238" s="1151">
        <f>+NOMINA!AU212</f>
        <v>732.93999999999994</v>
      </c>
      <c r="Z238" s="1151">
        <f>+NOMINA!BX212</f>
        <v>1374.26</v>
      </c>
      <c r="AA238" s="1151">
        <f>+NOMINA!BY212</f>
        <v>0</v>
      </c>
      <c r="AB238" s="1151">
        <f t="shared" si="14"/>
        <v>1374.26</v>
      </c>
      <c r="AD238" s="634"/>
      <c r="AH238" s="1610" t="str">
        <f>NOMINA!P210</f>
        <v>01020373200001290961</v>
      </c>
    </row>
    <row r="239" spans="1:34" s="629" customFormat="1" ht="20.100000000000001" customHeight="1" thickBot="1">
      <c r="A239" s="770" t="s">
        <v>2846</v>
      </c>
      <c r="B239" s="771">
        <f t="shared" si="15"/>
        <v>172</v>
      </c>
      <c r="C239" s="1145">
        <f>NOMINA!C213</f>
        <v>17832396</v>
      </c>
      <c r="D239" s="1146" t="str">
        <f>NOMINA!D213</f>
        <v>Pulido Sanchez Joalina Vanessa</v>
      </c>
      <c r="E239" s="1613" t="s">
        <v>4622</v>
      </c>
      <c r="F239" s="1153">
        <v>32351</v>
      </c>
      <c r="G239" s="1613" t="s">
        <v>4620</v>
      </c>
      <c r="H239" s="1572">
        <f>NOMINA!H213</f>
        <v>43191</v>
      </c>
      <c r="I239" s="1148">
        <f>NOMINA!I214</f>
        <v>5</v>
      </c>
      <c r="J239" s="1149">
        <f>NOMINA!J214</f>
        <v>0</v>
      </c>
      <c r="K239" s="1148">
        <f t="shared" si="13"/>
        <v>5</v>
      </c>
      <c r="L239" s="1149" t="s">
        <v>4932</v>
      </c>
      <c r="M239" s="1149"/>
      <c r="N239" s="1573" t="str">
        <f>NOMINA!O213</f>
        <v>Enfermera Jefe I</v>
      </c>
      <c r="O239" s="1149">
        <v>1.02087691000006E+18</v>
      </c>
      <c r="P239" s="1150">
        <f>ROUND(+NOMINA!T213,2)</f>
        <v>219</v>
      </c>
      <c r="Q239" s="1151">
        <v>0</v>
      </c>
      <c r="R239" s="1151">
        <f>ROUND(+NOMINA!AA213,2)</f>
        <v>13.58</v>
      </c>
      <c r="S239" s="1151">
        <f>ROUND(+NOMINA!AB213,2)</f>
        <v>130</v>
      </c>
      <c r="T239" s="1151">
        <f>ROUND(+NOMINA!AC213,2)</f>
        <v>25</v>
      </c>
      <c r="U239" s="1151">
        <f>ROUND(+NOMINA!AD213,2)</f>
        <v>77.52</v>
      </c>
      <c r="V239" s="1151">
        <f>ROUND(NOMINA!AQ213,2)</f>
        <v>0</v>
      </c>
      <c r="W239" s="1151">
        <f>+NOMINA!AS213</f>
        <v>0</v>
      </c>
      <c r="X239" s="1151">
        <f>+NOMINA!AT213</f>
        <v>0</v>
      </c>
      <c r="Y239" s="1151">
        <f>+NOMINA!AU213</f>
        <v>465.1</v>
      </c>
      <c r="Z239" s="1151">
        <f>+NOMINA!BX213</f>
        <v>872.06</v>
      </c>
      <c r="AA239" s="1151">
        <f>+NOMINA!BY213</f>
        <v>0</v>
      </c>
      <c r="AB239" s="1151">
        <f t="shared" si="14"/>
        <v>872.06</v>
      </c>
      <c r="AD239" s="634"/>
      <c r="AH239" s="1610" t="str">
        <f>NOMINA!P211</f>
        <v>01020747960000015370</v>
      </c>
    </row>
    <row r="240" spans="1:34" s="629" customFormat="1" ht="20.100000000000001" customHeight="1" thickBot="1">
      <c r="A240" s="770" t="s">
        <v>2846</v>
      </c>
      <c r="B240" s="771">
        <f t="shared" si="15"/>
        <v>173</v>
      </c>
      <c r="C240" s="1145">
        <f>NOMINA!C214</f>
        <v>17865154</v>
      </c>
      <c r="D240" s="1146" t="str">
        <f>NOMINA!D214</f>
        <v>Serrano Ingrid Maria</v>
      </c>
      <c r="E240" s="1613" t="s">
        <v>4622</v>
      </c>
      <c r="F240" s="1153">
        <v>32351</v>
      </c>
      <c r="G240" s="1613" t="s">
        <v>4620</v>
      </c>
      <c r="H240" s="1572">
        <f>NOMINA!H214</f>
        <v>43846</v>
      </c>
      <c r="I240" s="1148">
        <f>NOMINA!I215</f>
        <v>0</v>
      </c>
      <c r="J240" s="1149">
        <f>NOMINA!J215</f>
        <v>0</v>
      </c>
      <c r="K240" s="1148">
        <f t="shared" si="13"/>
        <v>0</v>
      </c>
      <c r="L240" s="1149" t="s">
        <v>4932</v>
      </c>
      <c r="M240" s="1149"/>
      <c r="N240" s="1573" t="str">
        <f>NOMINA!O214</f>
        <v>Guia de Centro I</v>
      </c>
      <c r="O240" s="1149">
        <v>1.02087691000006E+18</v>
      </c>
      <c r="P240" s="1150">
        <f>ROUND(+NOMINA!T214,2)</f>
        <v>150</v>
      </c>
      <c r="Q240" s="1151">
        <v>0</v>
      </c>
      <c r="R240" s="1151">
        <f>ROUND(+NOMINA!AA214,2)</f>
        <v>7.5</v>
      </c>
      <c r="S240" s="1151">
        <f>ROUND(+NOMINA!AB214,2)</f>
        <v>130</v>
      </c>
      <c r="T240" s="1151">
        <f>ROUND(+NOMINA!AC214,2)</f>
        <v>0</v>
      </c>
      <c r="U240" s="1151">
        <f>ROUND(+NOMINA!AD214,2)</f>
        <v>0</v>
      </c>
      <c r="V240" s="1151">
        <f>ROUND(NOMINA!AQ214,2)</f>
        <v>0</v>
      </c>
      <c r="W240" s="1151">
        <f>+NOMINA!AS214</f>
        <v>0</v>
      </c>
      <c r="X240" s="1151">
        <f>+NOMINA!AT214</f>
        <v>0</v>
      </c>
      <c r="Y240" s="1151">
        <f>+NOMINA!AU214</f>
        <v>373.75</v>
      </c>
      <c r="Z240" s="1151">
        <f>+NOMINA!BX214</f>
        <v>700.78</v>
      </c>
      <c r="AA240" s="1151">
        <f>+NOMINA!BY214</f>
        <v>0</v>
      </c>
      <c r="AB240" s="1151">
        <f t="shared" si="14"/>
        <v>700.78</v>
      </c>
      <c r="AD240" s="634"/>
      <c r="AH240" s="1610" t="str">
        <f>NOMINA!P212</f>
        <v>01020373260000442600</v>
      </c>
    </row>
    <row r="241" spans="1:34" s="629" customFormat="1" ht="20.100000000000001" customHeight="1" thickBot="1">
      <c r="A241" s="770" t="s">
        <v>2846</v>
      </c>
      <c r="B241" s="771">
        <f t="shared" si="15"/>
        <v>174</v>
      </c>
      <c r="C241" s="1145">
        <f>NOMINA!C215</f>
        <v>18036203</v>
      </c>
      <c r="D241" s="1146" t="str">
        <f>NOMINA!D215</f>
        <v>Yepes Caceres Mervis Javier</v>
      </c>
      <c r="E241" s="1613" t="s">
        <v>4622</v>
      </c>
      <c r="F241" s="1153">
        <v>32351</v>
      </c>
      <c r="G241" s="1613" t="s">
        <v>4620</v>
      </c>
      <c r="H241" s="1572">
        <f>NOMINA!H215</f>
        <v>45505</v>
      </c>
      <c r="I241" s="1148">
        <f>NOMINA!I216</f>
        <v>0</v>
      </c>
      <c r="J241" s="1149">
        <f>NOMINA!J216</f>
        <v>0</v>
      </c>
      <c r="K241" s="1148">
        <f t="shared" si="13"/>
        <v>0</v>
      </c>
      <c r="L241" s="1149" t="s">
        <v>4932</v>
      </c>
      <c r="M241" s="1149"/>
      <c r="N241" s="1573" t="str">
        <f>NOMINA!O215</f>
        <v>Guia de Centro I</v>
      </c>
      <c r="O241" s="1149">
        <v>1.02087691000006E+18</v>
      </c>
      <c r="P241" s="1150">
        <f>ROUND(+NOMINA!T215,2)</f>
        <v>130</v>
      </c>
      <c r="Q241" s="1151">
        <v>0</v>
      </c>
      <c r="R241" s="1151">
        <f>ROUND(+NOMINA!AA215,2)</f>
        <v>0</v>
      </c>
      <c r="S241" s="1151">
        <f>ROUND(+NOMINA!AB215,2)</f>
        <v>130</v>
      </c>
      <c r="T241" s="1151">
        <f>ROUND(+NOMINA!AC215,2)</f>
        <v>25</v>
      </c>
      <c r="U241" s="1151">
        <f>ROUND(+NOMINA!AD215,2)</f>
        <v>0</v>
      </c>
      <c r="V241" s="1151">
        <f>ROUND(NOMINA!AQ215,2)</f>
        <v>0</v>
      </c>
      <c r="W241" s="1151">
        <f>+NOMINA!AS215</f>
        <v>0</v>
      </c>
      <c r="X241" s="1151">
        <f>+NOMINA!AT215</f>
        <v>12.5</v>
      </c>
      <c r="Y241" s="1151">
        <f>+NOMINA!AU215</f>
        <v>370.5</v>
      </c>
      <c r="Z241" s="1151">
        <f>+NOMINA!BX215</f>
        <v>233.17</v>
      </c>
      <c r="AA241" s="1151">
        <f>+NOMINA!BY215</f>
        <v>0</v>
      </c>
      <c r="AB241" s="1151">
        <f t="shared" si="14"/>
        <v>233.17</v>
      </c>
      <c r="AD241" s="634"/>
      <c r="AH241" s="1610" t="str">
        <f>NOMINA!P213</f>
        <v>01020373220000553926</v>
      </c>
    </row>
    <row r="242" spans="1:34" s="629" customFormat="1" ht="20.100000000000001" customHeight="1" thickBot="1">
      <c r="A242" s="770" t="s">
        <v>2846</v>
      </c>
      <c r="B242" s="771">
        <f t="shared" si="15"/>
        <v>175</v>
      </c>
      <c r="C242" s="1145">
        <f>NOMINA!C216</f>
        <v>18036156</v>
      </c>
      <c r="D242" s="1146" t="str">
        <f>NOMINA!D216</f>
        <v>Ruiz Vasquez Endri Ramon</v>
      </c>
      <c r="E242" s="1613" t="s">
        <v>4622</v>
      </c>
      <c r="F242" s="1153">
        <v>32351</v>
      </c>
      <c r="G242" s="1613" t="s">
        <v>4620</v>
      </c>
      <c r="H242" s="1572">
        <f>NOMINA!H216</f>
        <v>45597</v>
      </c>
      <c r="I242" s="1148">
        <f>NOMINA!I217</f>
        <v>7</v>
      </c>
      <c r="J242" s="1149">
        <f>NOMINA!J217</f>
        <v>0</v>
      </c>
      <c r="K242" s="1148">
        <f t="shared" si="13"/>
        <v>7</v>
      </c>
      <c r="L242" s="1149" t="s">
        <v>4932</v>
      </c>
      <c r="M242" s="1149"/>
      <c r="N242" s="1573" t="str">
        <f>NOMINA!O216</f>
        <v>Guia de Centro I</v>
      </c>
      <c r="O242" s="1149">
        <v>1.02087691000006E+18</v>
      </c>
      <c r="P242" s="1150">
        <f>ROUND(+NOMINA!T216,2)</f>
        <v>130</v>
      </c>
      <c r="Q242" s="1151">
        <v>0</v>
      </c>
      <c r="R242" s="1151">
        <f>ROUND(+NOMINA!AA216,2)</f>
        <v>0</v>
      </c>
      <c r="S242" s="1151">
        <f>ROUND(+NOMINA!AB216,2)</f>
        <v>130</v>
      </c>
      <c r="T242" s="1151">
        <f>ROUND(+NOMINA!AC216,2)</f>
        <v>0</v>
      </c>
      <c r="U242" s="1151">
        <f>ROUND(+NOMINA!AD216,2)</f>
        <v>0</v>
      </c>
      <c r="V242" s="1151">
        <f>ROUND(NOMINA!AQ216,2)</f>
        <v>0</v>
      </c>
      <c r="W242" s="1151">
        <f>+NOMINA!AS216</f>
        <v>0</v>
      </c>
      <c r="X242" s="1151">
        <f>+NOMINA!AT216</f>
        <v>0</v>
      </c>
      <c r="Y242" s="1151">
        <f>+NOMINA!AU216</f>
        <v>338</v>
      </c>
      <c r="Z242" s="1151">
        <f>+NOMINA!BX216</f>
        <v>101.71</v>
      </c>
      <c r="AA242" s="1151">
        <f>+NOMINA!BY216</f>
        <v>0</v>
      </c>
      <c r="AB242" s="1151">
        <f t="shared" si="14"/>
        <v>101.71</v>
      </c>
      <c r="AD242" s="634"/>
      <c r="AH242" s="1610" t="str">
        <f>NOMINA!P214</f>
        <v>01020373250000671853</v>
      </c>
    </row>
    <row r="243" spans="1:34" s="629" customFormat="1" ht="20.100000000000001" customHeight="1" thickBot="1">
      <c r="A243" s="770" t="s">
        <v>2846</v>
      </c>
      <c r="B243" s="771">
        <f t="shared" si="15"/>
        <v>176</v>
      </c>
      <c r="C243" s="1145">
        <f>NOMINA!C217</f>
        <v>18095603</v>
      </c>
      <c r="D243" s="1146" t="str">
        <f>NOMINA!D217</f>
        <v>Lozada Bencomo Daniela Carolina</v>
      </c>
      <c r="E243" s="1613" t="s">
        <v>4622</v>
      </c>
      <c r="F243" s="1153">
        <v>32351</v>
      </c>
      <c r="G243" s="1613" t="s">
        <v>4620</v>
      </c>
      <c r="H243" s="1572">
        <f>NOMINA!H217</f>
        <v>42963</v>
      </c>
      <c r="I243" s="1148">
        <f>NOMINA!I218</f>
        <v>2</v>
      </c>
      <c r="J243" s="1149">
        <f>NOMINA!J218</f>
        <v>0</v>
      </c>
      <c r="K243" s="1148">
        <f t="shared" si="13"/>
        <v>2</v>
      </c>
      <c r="L243" s="1149" t="s">
        <v>4932</v>
      </c>
      <c r="M243" s="1149"/>
      <c r="N243" s="1573" t="str">
        <f>NOMINA!O217</f>
        <v>Tecnico Superior en Trabajo Social II</v>
      </c>
      <c r="O243" s="1149">
        <v>1.02087691000006E+18</v>
      </c>
      <c r="P243" s="1150">
        <f>ROUND(+NOMINA!T217,2)</f>
        <v>221</v>
      </c>
      <c r="Q243" s="1151">
        <v>0</v>
      </c>
      <c r="R243" s="1151">
        <f>ROUND(+NOMINA!AA217,2)</f>
        <v>16.350000000000001</v>
      </c>
      <c r="S243" s="1151">
        <f>ROUND(+NOMINA!AB217,2)</f>
        <v>130</v>
      </c>
      <c r="T243" s="1151">
        <f>ROUND(+NOMINA!AC217,2)</f>
        <v>12.5</v>
      </c>
      <c r="U243" s="1151">
        <f>ROUND(+NOMINA!AD217,2)</f>
        <v>94.96</v>
      </c>
      <c r="V243" s="1151">
        <f>ROUND(NOMINA!AQ217,2)</f>
        <v>0</v>
      </c>
      <c r="W243" s="1151">
        <f>+NOMINA!AS217</f>
        <v>0</v>
      </c>
      <c r="X243" s="1151">
        <f>+NOMINA!AT217</f>
        <v>0</v>
      </c>
      <c r="Y243" s="1151">
        <f>+NOMINA!AU217</f>
        <v>474.81</v>
      </c>
      <c r="Z243" s="1151">
        <f>+NOMINA!BX217</f>
        <v>890.27</v>
      </c>
      <c r="AA243" s="1151">
        <f>+NOMINA!BY217</f>
        <v>0</v>
      </c>
      <c r="AB243" s="1151">
        <f t="shared" si="14"/>
        <v>890.27</v>
      </c>
      <c r="AD243" s="634"/>
      <c r="AH243" s="1610" t="str">
        <f>NOMINA!P215</f>
        <v>01020334140000261823</v>
      </c>
    </row>
    <row r="244" spans="1:34" s="629" customFormat="1" ht="20.100000000000001" customHeight="1" thickBot="1">
      <c r="A244" s="770" t="s">
        <v>2846</v>
      </c>
      <c r="B244" s="771">
        <f t="shared" si="15"/>
        <v>177</v>
      </c>
      <c r="C244" s="1145">
        <f>NOMINA!C218</f>
        <v>18096996</v>
      </c>
      <c r="D244" s="1146" t="str">
        <f>NOMINA!D218</f>
        <v>Diaz Maldonado Anny Jackeline</v>
      </c>
      <c r="E244" s="1613" t="s">
        <v>4622</v>
      </c>
      <c r="F244" s="1153">
        <v>32351</v>
      </c>
      <c r="G244" s="1613" t="s">
        <v>4620</v>
      </c>
      <c r="H244" s="1572">
        <f>NOMINA!H218</f>
        <v>44743</v>
      </c>
      <c r="I244" s="1148">
        <f>NOMINA!I219</f>
        <v>0</v>
      </c>
      <c r="J244" s="1149">
        <f>NOMINA!J219</f>
        <v>0</v>
      </c>
      <c r="K244" s="1148">
        <f t="shared" si="13"/>
        <v>0</v>
      </c>
      <c r="L244" s="1149" t="s">
        <v>4932</v>
      </c>
      <c r="M244" s="1149"/>
      <c r="N244" s="1573" t="str">
        <f>NOMINA!O218</f>
        <v>CONTABILISTA III</v>
      </c>
      <c r="O244" s="1149">
        <v>1.02087691000006E+18</v>
      </c>
      <c r="P244" s="1150">
        <f>ROUND(+NOMINA!T218,2)</f>
        <v>192</v>
      </c>
      <c r="Q244" s="1151">
        <v>0</v>
      </c>
      <c r="R244" s="1151">
        <f>ROUND(+NOMINA!AA218,2)</f>
        <v>3.84</v>
      </c>
      <c r="S244" s="1151">
        <f>ROUND(+NOMINA!AB218,2)</f>
        <v>130</v>
      </c>
      <c r="T244" s="1151">
        <f>ROUND(+NOMINA!AC218,2)</f>
        <v>12.5</v>
      </c>
      <c r="U244" s="1151">
        <f>ROUND(+NOMINA!AD218,2)</f>
        <v>67.67</v>
      </c>
      <c r="V244" s="1151">
        <f>ROUND(NOMINA!AQ218,2)</f>
        <v>0</v>
      </c>
      <c r="W244" s="1151">
        <f>+NOMINA!AS218</f>
        <v>0</v>
      </c>
      <c r="X244" s="1151">
        <f>+NOMINA!AT218</f>
        <v>12.5</v>
      </c>
      <c r="Y244" s="1151">
        <f>+NOMINA!AU218</f>
        <v>406.01</v>
      </c>
      <c r="Z244" s="1151">
        <f>+NOMINA!BX218</f>
        <v>761.27</v>
      </c>
      <c r="AA244" s="1151">
        <f>+NOMINA!BY218</f>
        <v>0</v>
      </c>
      <c r="AB244" s="1151">
        <f t="shared" si="14"/>
        <v>761.27</v>
      </c>
      <c r="AD244" s="634"/>
      <c r="AH244" s="1610" t="str">
        <f>NOMINA!P216</f>
        <v>01020373260000240310</v>
      </c>
    </row>
    <row r="245" spans="1:34" s="629" customFormat="1" ht="20.100000000000001" customHeight="1" thickBot="1">
      <c r="A245" s="770" t="s">
        <v>2846</v>
      </c>
      <c r="B245" s="771">
        <f t="shared" si="15"/>
        <v>178</v>
      </c>
      <c r="C245" s="1145">
        <f>NOMINA!C219</f>
        <v>18097528</v>
      </c>
      <c r="D245" s="1146" t="str">
        <f>NOMINA!D219</f>
        <v>Godoy Suarez Nelson Jose</v>
      </c>
      <c r="E245" s="1613" t="s">
        <v>4622</v>
      </c>
      <c r="F245" s="1153">
        <v>32351</v>
      </c>
      <c r="G245" s="1613" t="s">
        <v>4620</v>
      </c>
      <c r="H245" s="1572">
        <f>NOMINA!H219</f>
        <v>45536</v>
      </c>
      <c r="I245" s="1148">
        <f>NOMINA!I220</f>
        <v>3</v>
      </c>
      <c r="J245" s="1149">
        <f>NOMINA!J220</f>
        <v>0</v>
      </c>
      <c r="K245" s="1148">
        <f t="shared" si="13"/>
        <v>3</v>
      </c>
      <c r="L245" s="1149" t="s">
        <v>4932</v>
      </c>
      <c r="M245" s="1149"/>
      <c r="N245" s="1573" t="str">
        <f>NOMINA!O219</f>
        <v>Guia de Centro I</v>
      </c>
      <c r="O245" s="1149">
        <v>1.02087691000006E+18</v>
      </c>
      <c r="P245" s="1150">
        <f>ROUND(+NOMINA!T219,2)</f>
        <v>130</v>
      </c>
      <c r="Q245" s="1151">
        <v>0</v>
      </c>
      <c r="R245" s="1151">
        <f>ROUND(+NOMINA!AA219,2)</f>
        <v>0</v>
      </c>
      <c r="S245" s="1151">
        <f>ROUND(+NOMINA!AB219,2)</f>
        <v>130</v>
      </c>
      <c r="T245" s="1151">
        <f>ROUND(+NOMINA!AC219,2)</f>
        <v>25</v>
      </c>
      <c r="U245" s="1151">
        <f>ROUND(+NOMINA!AD219,2)</f>
        <v>0</v>
      </c>
      <c r="V245" s="1151">
        <f>ROUND(NOMINA!AQ219,2)</f>
        <v>0</v>
      </c>
      <c r="W245" s="1151">
        <f>+NOMINA!AS219</f>
        <v>0</v>
      </c>
      <c r="X245" s="1151">
        <f>+NOMINA!AT219</f>
        <v>0</v>
      </c>
      <c r="Y245" s="1151">
        <f>+NOMINA!AU219</f>
        <v>370.5</v>
      </c>
      <c r="Z245" s="1151">
        <f>+NOMINA!BX219</f>
        <v>180.11</v>
      </c>
      <c r="AA245" s="1151">
        <f>+NOMINA!BY219</f>
        <v>0</v>
      </c>
      <c r="AB245" s="1151">
        <f t="shared" si="14"/>
        <v>180.11</v>
      </c>
      <c r="AD245" s="634"/>
      <c r="AH245" s="1610" t="str">
        <f>NOMINA!P217</f>
        <v>01020494100100024354</v>
      </c>
    </row>
    <row r="246" spans="1:34" s="629" customFormat="1" ht="20.100000000000001" customHeight="1" thickBot="1">
      <c r="A246" s="770" t="s">
        <v>2846</v>
      </c>
      <c r="B246" s="771">
        <f t="shared" si="15"/>
        <v>179</v>
      </c>
      <c r="C246" s="1145">
        <f>NOMINA!C220</f>
        <v>18097873</v>
      </c>
      <c r="D246" s="1146" t="str">
        <f>NOMINA!D220</f>
        <v>Villarreal Prada Yoriangela Nataly</v>
      </c>
      <c r="E246" s="1613" t="s">
        <v>4622</v>
      </c>
      <c r="F246" s="1153">
        <v>32351</v>
      </c>
      <c r="G246" s="1613" t="s">
        <v>4620</v>
      </c>
      <c r="H246" s="1572">
        <f>NOMINA!H220</f>
        <v>44531</v>
      </c>
      <c r="I246" s="1148">
        <f>NOMINA!I221</f>
        <v>6</v>
      </c>
      <c r="J246" s="1149">
        <f>NOMINA!J221</f>
        <v>0</v>
      </c>
      <c r="K246" s="1148">
        <f t="shared" si="13"/>
        <v>6</v>
      </c>
      <c r="L246" s="1149" t="s">
        <v>4932</v>
      </c>
      <c r="M246" s="1149"/>
      <c r="N246" s="1573" t="str">
        <f>NOMINA!O220</f>
        <v>Guia de Centro I</v>
      </c>
      <c r="O246" s="1149">
        <v>1.02087691000006E+18</v>
      </c>
      <c r="P246" s="1150">
        <f>ROUND(+NOMINA!T220,2)</f>
        <v>150</v>
      </c>
      <c r="Q246" s="1151">
        <v>0</v>
      </c>
      <c r="R246" s="1151">
        <f>ROUND(+NOMINA!AA220,2)</f>
        <v>4.5</v>
      </c>
      <c r="S246" s="1151">
        <f>ROUND(+NOMINA!AB220,2)</f>
        <v>130</v>
      </c>
      <c r="T246" s="1151">
        <f>ROUND(+NOMINA!AC220,2)</f>
        <v>25</v>
      </c>
      <c r="U246" s="1151">
        <f>ROUND(+NOMINA!AD220,2)</f>
        <v>0</v>
      </c>
      <c r="V246" s="1151">
        <f>ROUND(NOMINA!AQ220,2)</f>
        <v>0</v>
      </c>
      <c r="W246" s="1151">
        <f>+NOMINA!AS220</f>
        <v>0</v>
      </c>
      <c r="X246" s="1151">
        <f>+NOMINA!AT220</f>
        <v>25</v>
      </c>
      <c r="Y246" s="1151">
        <f>+NOMINA!AU220</f>
        <v>402.35</v>
      </c>
      <c r="Z246" s="1151">
        <f>+NOMINA!BX220</f>
        <v>754.41</v>
      </c>
      <c r="AA246" s="1151">
        <f>+NOMINA!BY220</f>
        <v>0</v>
      </c>
      <c r="AB246" s="1151">
        <f t="shared" si="14"/>
        <v>754.41</v>
      </c>
      <c r="AD246" s="634"/>
      <c r="AH246" s="1610" t="str">
        <f>NOMINA!P218</f>
        <v>01020373240100092027</v>
      </c>
    </row>
    <row r="247" spans="1:34" s="629" customFormat="1" ht="20.100000000000001" customHeight="1" thickBot="1">
      <c r="A247" s="770" t="s">
        <v>2846</v>
      </c>
      <c r="B247" s="771">
        <f t="shared" si="15"/>
        <v>180</v>
      </c>
      <c r="C247" s="1145">
        <f>NOMINA!C221</f>
        <v>18348317</v>
      </c>
      <c r="D247" s="1146" t="str">
        <f>NOMINA!D221</f>
        <v>Abreu Araujo Gilmer Francisco</v>
      </c>
      <c r="E247" s="1613" t="s">
        <v>4622</v>
      </c>
      <c r="F247" s="1153">
        <v>32351</v>
      </c>
      <c r="G247" s="1613" t="s">
        <v>4620</v>
      </c>
      <c r="H247" s="1572">
        <f>NOMINA!H221</f>
        <v>43160</v>
      </c>
      <c r="I247" s="1148">
        <f>NOMINA!I222</f>
        <v>7</v>
      </c>
      <c r="J247" s="1149">
        <f>NOMINA!J222</f>
        <v>0</v>
      </c>
      <c r="K247" s="1148">
        <f t="shared" si="13"/>
        <v>7</v>
      </c>
      <c r="L247" s="1149" t="s">
        <v>4932</v>
      </c>
      <c r="M247" s="1149"/>
      <c r="N247" s="1573" t="str">
        <f>NOMINA!O221</f>
        <v>Tutor Facilitador III</v>
      </c>
      <c r="O247" s="1149">
        <v>1.02087691000006E+18</v>
      </c>
      <c r="P247" s="1150">
        <f>ROUND(+NOMINA!T221,2)</f>
        <v>279</v>
      </c>
      <c r="Q247" s="1151">
        <v>0</v>
      </c>
      <c r="R247" s="1151">
        <f>ROUND(+NOMINA!AA221,2)</f>
        <v>17.3</v>
      </c>
      <c r="S247" s="1151">
        <f>ROUND(+NOMINA!AB221,2)</f>
        <v>130</v>
      </c>
      <c r="T247" s="1151">
        <f>ROUND(+NOMINA!AC221,2)</f>
        <v>12.5</v>
      </c>
      <c r="U247" s="1151">
        <f>ROUND(+NOMINA!AD221,2)</f>
        <v>131.63999999999999</v>
      </c>
      <c r="V247" s="1151">
        <f>ROUND(NOMINA!AQ221,2)</f>
        <v>0</v>
      </c>
      <c r="W247" s="1151">
        <f>+NOMINA!AS221</f>
        <v>0</v>
      </c>
      <c r="X247" s="1151">
        <f>+NOMINA!AT221</f>
        <v>12.5</v>
      </c>
      <c r="Y247" s="1151">
        <f>+NOMINA!AU221</f>
        <v>570.44000000000005</v>
      </c>
      <c r="Z247" s="1151">
        <f>+NOMINA!BX221</f>
        <v>1069.58</v>
      </c>
      <c r="AA247" s="1151">
        <f>+NOMINA!BY221</f>
        <v>0</v>
      </c>
      <c r="AB247" s="1151">
        <f t="shared" si="14"/>
        <v>1069.58</v>
      </c>
      <c r="AD247" s="634"/>
      <c r="AH247" s="1610" t="str">
        <f>NOMINA!P219</f>
        <v>01020457770000172721</v>
      </c>
    </row>
    <row r="248" spans="1:34" s="629" customFormat="1" ht="20.100000000000001" customHeight="1" thickBot="1">
      <c r="A248" s="770" t="s">
        <v>2846</v>
      </c>
      <c r="B248" s="771">
        <f t="shared" si="15"/>
        <v>181</v>
      </c>
      <c r="C248" s="1145">
        <f>NOMINA!C222</f>
        <v>18348721</v>
      </c>
      <c r="D248" s="1146" t="str">
        <f>NOMINA!D222</f>
        <v>Villarreal Lusana Carolina</v>
      </c>
      <c r="E248" s="1613" t="s">
        <v>4622</v>
      </c>
      <c r="F248" s="1153">
        <v>32351</v>
      </c>
      <c r="G248" s="1613" t="s">
        <v>4620</v>
      </c>
      <c r="H248" s="1572">
        <f>NOMINA!H222</f>
        <v>42948</v>
      </c>
      <c r="I248" s="1148">
        <f>NOMINA!I223</f>
        <v>2</v>
      </c>
      <c r="J248" s="1149">
        <f>NOMINA!J223</f>
        <v>0</v>
      </c>
      <c r="K248" s="1148">
        <f t="shared" si="13"/>
        <v>2</v>
      </c>
      <c r="L248" s="1149" t="s">
        <v>4932</v>
      </c>
      <c r="M248" s="1149"/>
      <c r="N248" s="1573" t="str">
        <f>NOMINA!O222</f>
        <v>Tecnico Superior en Trabajo Social II</v>
      </c>
      <c r="O248" s="1149">
        <v>1.02087691000006E+18</v>
      </c>
      <c r="P248" s="1150">
        <f>ROUND(+NOMINA!T222,2)</f>
        <v>221</v>
      </c>
      <c r="Q248" s="1151">
        <v>0</v>
      </c>
      <c r="R248" s="1151">
        <f>ROUND(+NOMINA!AA222,2)</f>
        <v>16.350000000000001</v>
      </c>
      <c r="S248" s="1151">
        <f>ROUND(+NOMINA!AB222,2)</f>
        <v>130</v>
      </c>
      <c r="T248" s="1151">
        <f>ROUND(+NOMINA!AC222,2)</f>
        <v>25</v>
      </c>
      <c r="U248" s="1151">
        <f>ROUND(+NOMINA!AD222,2)</f>
        <v>78.47</v>
      </c>
      <c r="V248" s="1151">
        <f>ROUND(NOMINA!AQ222,2)</f>
        <v>0</v>
      </c>
      <c r="W248" s="1151">
        <f>+NOMINA!AS222</f>
        <v>0</v>
      </c>
      <c r="X248" s="1151">
        <f>+NOMINA!AT222</f>
        <v>25</v>
      </c>
      <c r="Y248" s="1151">
        <f>+NOMINA!AU222</f>
        <v>470.82</v>
      </c>
      <c r="Z248" s="1151">
        <f>+NOMINA!BX222</f>
        <v>882.79</v>
      </c>
      <c r="AA248" s="1151">
        <f>+NOMINA!BY222</f>
        <v>0</v>
      </c>
      <c r="AB248" s="1151">
        <f t="shared" si="14"/>
        <v>882.79</v>
      </c>
      <c r="AD248" s="634"/>
      <c r="AH248" s="1610" t="str">
        <f>NOMINA!P220</f>
        <v>01020373220000849559</v>
      </c>
    </row>
    <row r="249" spans="1:34" s="629" customFormat="1" ht="20.100000000000001" customHeight="1" thickBot="1">
      <c r="A249" s="770" t="s">
        <v>2846</v>
      </c>
      <c r="B249" s="771">
        <f t="shared" si="15"/>
        <v>182</v>
      </c>
      <c r="C249" s="1145">
        <f>NOMINA!C223</f>
        <v>18349021</v>
      </c>
      <c r="D249" s="1146" t="str">
        <f>NOMINA!D223</f>
        <v>Godoy Linares Amenaida del Valle</v>
      </c>
      <c r="E249" s="1613" t="s">
        <v>4622</v>
      </c>
      <c r="F249" s="1153">
        <v>32351</v>
      </c>
      <c r="G249" s="1613" t="s">
        <v>4620</v>
      </c>
      <c r="H249" s="1572">
        <f>NOMINA!H223</f>
        <v>44683</v>
      </c>
      <c r="I249" s="1148" t="e">
        <f>NOMINA!#REF!</f>
        <v>#REF!</v>
      </c>
      <c r="J249" s="1149" t="e">
        <f>NOMINA!#REF!</f>
        <v>#REF!</v>
      </c>
      <c r="K249" s="1148" t="e">
        <f t="shared" si="13"/>
        <v>#REF!</v>
      </c>
      <c r="L249" s="1149" t="s">
        <v>4932</v>
      </c>
      <c r="M249" s="1149"/>
      <c r="N249" s="1573" t="str">
        <f>NOMINA!O223</f>
        <v>Guia de Centro I</v>
      </c>
      <c r="O249" s="1149">
        <v>1.02087691000006E+18</v>
      </c>
      <c r="P249" s="1150">
        <f>ROUND(+NOMINA!T223,2)</f>
        <v>192</v>
      </c>
      <c r="Q249" s="1151">
        <v>0</v>
      </c>
      <c r="R249" s="1151">
        <f>ROUND(+NOMINA!AA223,2)</f>
        <v>3.84</v>
      </c>
      <c r="S249" s="1151">
        <f>ROUND(+NOMINA!AB223,2)</f>
        <v>130</v>
      </c>
      <c r="T249" s="1151">
        <f>ROUND(+NOMINA!AC223,2)</f>
        <v>12.5</v>
      </c>
      <c r="U249" s="1151">
        <f>ROUND(+NOMINA!AD223,2)</f>
        <v>84.59</v>
      </c>
      <c r="V249" s="1151">
        <f>ROUND(NOMINA!AQ223,2)</f>
        <v>0</v>
      </c>
      <c r="W249" s="1151">
        <f>+NOMINA!AS223</f>
        <v>0</v>
      </c>
      <c r="X249" s="1151">
        <f>+NOMINA!AT223</f>
        <v>12.5</v>
      </c>
      <c r="Y249" s="1151">
        <f>+NOMINA!AU223</f>
        <v>549.80999999999995</v>
      </c>
      <c r="Z249" s="1151">
        <f>+NOMINA!BX223</f>
        <v>1030.9000000000001</v>
      </c>
      <c r="AA249" s="1151">
        <f>+NOMINA!BY223</f>
        <v>0</v>
      </c>
      <c r="AB249" s="1151">
        <f t="shared" si="14"/>
        <v>1030.9000000000001</v>
      </c>
      <c r="AD249" s="634"/>
      <c r="AH249" s="1610" t="str">
        <f>NOMINA!P221</f>
        <v>01020494190000149110</v>
      </c>
    </row>
    <row r="250" spans="1:34" s="629" customFormat="1" ht="20.100000000000001" customHeight="1" thickBot="1">
      <c r="A250" s="770" t="s">
        <v>2846</v>
      </c>
      <c r="B250" s="771">
        <f t="shared" si="15"/>
        <v>183</v>
      </c>
      <c r="C250" s="1145" t="e">
        <f>NOMINA!#REF!</f>
        <v>#REF!</v>
      </c>
      <c r="D250" s="1146" t="e">
        <f>NOMINA!#REF!</f>
        <v>#REF!</v>
      </c>
      <c r="E250" s="1613" t="s">
        <v>4622</v>
      </c>
      <c r="F250" s="1153">
        <v>32351</v>
      </c>
      <c r="G250" s="1613" t="s">
        <v>4620</v>
      </c>
      <c r="H250" s="1572" t="e">
        <f>NOMINA!#REF!</f>
        <v>#REF!</v>
      </c>
      <c r="I250" s="1148">
        <f>NOMINA!I225</f>
        <v>0</v>
      </c>
      <c r="J250" s="1149">
        <f>NOMINA!J225</f>
        <v>0</v>
      </c>
      <c r="K250" s="1148">
        <f t="shared" si="13"/>
        <v>0</v>
      </c>
      <c r="L250" s="1149" t="s">
        <v>4932</v>
      </c>
      <c r="M250" s="1149"/>
      <c r="N250" s="1573" t="e">
        <f>NOMINA!#REF!</f>
        <v>#REF!</v>
      </c>
      <c r="O250" s="1149">
        <v>1.02087691000006E+18</v>
      </c>
      <c r="P250" s="1150" t="e">
        <f>ROUND(+NOMINA!#REF!,2)</f>
        <v>#REF!</v>
      </c>
      <c r="Q250" s="1151">
        <v>0</v>
      </c>
      <c r="R250" s="1151" t="e">
        <f>ROUND(+NOMINA!#REF!,2)</f>
        <v>#REF!</v>
      </c>
      <c r="S250" s="1151" t="e">
        <f>ROUND(+NOMINA!#REF!,2)</f>
        <v>#REF!</v>
      </c>
      <c r="T250" s="1151" t="e">
        <f>ROUND(+NOMINA!#REF!,2)</f>
        <v>#REF!</v>
      </c>
      <c r="U250" s="1151" t="e">
        <f>ROUND(+NOMINA!#REF!,2)</f>
        <v>#REF!</v>
      </c>
      <c r="V250" s="1151" t="e">
        <f>ROUND(NOMINA!#REF!,2)</f>
        <v>#REF!</v>
      </c>
      <c r="W250" s="1151" t="e">
        <f>+NOMINA!#REF!</f>
        <v>#REF!</v>
      </c>
      <c r="X250" s="1151" t="e">
        <f>+NOMINA!#REF!</f>
        <v>#REF!</v>
      </c>
      <c r="Y250" s="1151" t="e">
        <f>+NOMINA!#REF!</f>
        <v>#REF!</v>
      </c>
      <c r="Z250" s="1151" t="e">
        <f>+NOMINA!#REF!</f>
        <v>#REF!</v>
      </c>
      <c r="AA250" s="1151" t="e">
        <f>+NOMINA!#REF!</f>
        <v>#REF!</v>
      </c>
      <c r="AB250" s="1151" t="e">
        <f t="shared" si="14"/>
        <v>#REF!</v>
      </c>
      <c r="AD250" s="634"/>
      <c r="AH250" s="1610" t="str">
        <f>NOMINA!P222</f>
        <v>01020373280100092834</v>
      </c>
    </row>
    <row r="251" spans="1:34" s="629" customFormat="1" ht="20.100000000000001" customHeight="1" thickBot="1">
      <c r="A251" s="770" t="s">
        <v>2846</v>
      </c>
      <c r="B251" s="771">
        <f t="shared" si="15"/>
        <v>184</v>
      </c>
      <c r="C251" s="1145">
        <f>NOMINA!C225</f>
        <v>18349653</v>
      </c>
      <c r="D251" s="1146" t="str">
        <f>NOMINA!D225</f>
        <v>Baptista Finol Violexy del Valle</v>
      </c>
      <c r="E251" s="1613" t="s">
        <v>4622</v>
      </c>
      <c r="F251" s="1153">
        <v>32351</v>
      </c>
      <c r="G251" s="1613" t="s">
        <v>4620</v>
      </c>
      <c r="H251" s="1572">
        <f>NOMINA!H225</f>
        <v>45627</v>
      </c>
      <c r="I251" s="1148">
        <f>NOMINA!I226</f>
        <v>0</v>
      </c>
      <c r="J251" s="1149">
        <f>NOMINA!J226</f>
        <v>0</v>
      </c>
      <c r="K251" s="1148">
        <f t="shared" si="13"/>
        <v>0</v>
      </c>
      <c r="L251" s="1149" t="s">
        <v>4932</v>
      </c>
      <c r="M251" s="1149"/>
      <c r="N251" s="1573" t="str">
        <f>NOMINA!O225</f>
        <v>Guia de Centro I</v>
      </c>
      <c r="O251" s="1149">
        <v>1.02087691000006E+18</v>
      </c>
      <c r="P251" s="1150">
        <f>ROUND(+NOMINA!T225,2)</f>
        <v>192</v>
      </c>
      <c r="Q251" s="1151">
        <v>0</v>
      </c>
      <c r="R251" s="1151">
        <f>ROUND(+NOMINA!AA225,2)</f>
        <v>0</v>
      </c>
      <c r="S251" s="1151">
        <f>ROUND(+NOMINA!AB225,2)</f>
        <v>130</v>
      </c>
      <c r="T251" s="1151">
        <f>ROUND(+NOMINA!AC225,2)</f>
        <v>25</v>
      </c>
      <c r="U251" s="1151">
        <f>ROUND(+NOMINA!AD225,2)</f>
        <v>86.75</v>
      </c>
      <c r="V251" s="1151">
        <f>ROUND(NOMINA!AQ225,2)</f>
        <v>0</v>
      </c>
      <c r="W251" s="1151">
        <f>+NOMINA!AS225</f>
        <v>0</v>
      </c>
      <c r="X251" s="1151">
        <f>+NOMINA!AT225</f>
        <v>25</v>
      </c>
      <c r="Y251" s="1151">
        <f>+NOMINA!AU225</f>
        <v>563.88</v>
      </c>
      <c r="Z251" s="1151">
        <f>+NOMINA!BX225</f>
        <v>244.74</v>
      </c>
      <c r="AA251" s="1151">
        <f>+NOMINA!BY225</f>
        <v>0</v>
      </c>
      <c r="AB251" s="1151">
        <f t="shared" si="14"/>
        <v>244.74</v>
      </c>
      <c r="AD251" s="634"/>
      <c r="AH251" s="1610" t="str">
        <f>NOMINA!P223</f>
        <v>01020747910000505657</v>
      </c>
    </row>
    <row r="252" spans="1:34" s="629" customFormat="1" ht="20.100000000000001" customHeight="1" thickBot="1">
      <c r="A252" s="770" t="s">
        <v>2846</v>
      </c>
      <c r="B252" s="771">
        <f t="shared" si="15"/>
        <v>185</v>
      </c>
      <c r="C252" s="1145">
        <f>NOMINA!C226</f>
        <v>18350884</v>
      </c>
      <c r="D252" s="1146" t="str">
        <f>NOMINA!D226</f>
        <v>Araujo Mendoza Mirelis Carolina</v>
      </c>
      <c r="E252" s="1613" t="s">
        <v>4622</v>
      </c>
      <c r="F252" s="1153">
        <v>32351</v>
      </c>
      <c r="G252" s="1613" t="s">
        <v>4620</v>
      </c>
      <c r="H252" s="1572">
        <f>NOMINA!H226</f>
        <v>45474</v>
      </c>
      <c r="I252" s="1148">
        <f>NOMINA!I227</f>
        <v>6</v>
      </c>
      <c r="J252" s="1149">
        <f>NOMINA!J227</f>
        <v>0</v>
      </c>
      <c r="K252" s="1148">
        <f t="shared" si="13"/>
        <v>6</v>
      </c>
      <c r="L252" s="1149" t="s">
        <v>4932</v>
      </c>
      <c r="M252" s="1149"/>
      <c r="N252" s="1573" t="str">
        <f>NOMINA!O226</f>
        <v>Guia de Centro I</v>
      </c>
      <c r="O252" s="1149">
        <v>1.02087691000006E+18</v>
      </c>
      <c r="P252" s="1150">
        <f>ROUND(+NOMINA!T226,2)</f>
        <v>130</v>
      </c>
      <c r="Q252" s="1151">
        <v>0</v>
      </c>
      <c r="R252" s="1151">
        <f>ROUND(+NOMINA!AA226,2)</f>
        <v>0</v>
      </c>
      <c r="S252" s="1151">
        <f>ROUND(+NOMINA!AB226,2)</f>
        <v>130</v>
      </c>
      <c r="T252" s="1151">
        <f>ROUND(+NOMINA!AC226,2)</f>
        <v>12.5</v>
      </c>
      <c r="U252" s="1151">
        <f>ROUND(+NOMINA!AD226,2)</f>
        <v>0</v>
      </c>
      <c r="V252" s="1151">
        <f>ROUND(NOMINA!AQ226,2)</f>
        <v>0</v>
      </c>
      <c r="W252" s="1151">
        <f>+NOMINA!AS226</f>
        <v>0</v>
      </c>
      <c r="X252" s="1151">
        <f>+NOMINA!AT226</f>
        <v>12.5</v>
      </c>
      <c r="Y252" s="1151">
        <f>+NOMINA!AU226</f>
        <v>354.25</v>
      </c>
      <c r="Z252" s="1151">
        <f>+NOMINA!BX226</f>
        <v>276.76</v>
      </c>
      <c r="AA252" s="1151">
        <f>+NOMINA!BY226</f>
        <v>0</v>
      </c>
      <c r="AB252" s="1151">
        <f t="shared" si="14"/>
        <v>276.76</v>
      </c>
      <c r="AD252" s="634"/>
      <c r="AH252" s="1610" t="e">
        <f>NOMINA!#REF!</f>
        <v>#REF!</v>
      </c>
    </row>
    <row r="253" spans="1:34" s="629" customFormat="1" ht="20.100000000000001" customHeight="1" thickBot="1">
      <c r="A253" s="770" t="s">
        <v>2846</v>
      </c>
      <c r="B253" s="771">
        <f t="shared" si="15"/>
        <v>186</v>
      </c>
      <c r="C253" s="1145">
        <f>NOMINA!C227</f>
        <v>18378985</v>
      </c>
      <c r="D253" s="1146" t="str">
        <f>NOMINA!D227</f>
        <v>Quintero Paradas Ilse Maria</v>
      </c>
      <c r="E253" s="1613" t="s">
        <v>4622</v>
      </c>
      <c r="F253" s="1153">
        <v>32351</v>
      </c>
      <c r="G253" s="1613" t="s">
        <v>4620</v>
      </c>
      <c r="H253" s="1572">
        <f>NOMINA!H227</f>
        <v>43147</v>
      </c>
      <c r="I253" s="1148">
        <f>NOMINA!I228</f>
        <v>2</v>
      </c>
      <c r="J253" s="1149">
        <f>NOMINA!J228</f>
        <v>0</v>
      </c>
      <c r="K253" s="1148">
        <f t="shared" si="13"/>
        <v>2</v>
      </c>
      <c r="L253" s="1149" t="s">
        <v>4932</v>
      </c>
      <c r="M253" s="1149"/>
      <c r="N253" s="1573" t="str">
        <f>NOMINA!O227</f>
        <v>Analista de Procesamiento de Datos II</v>
      </c>
      <c r="O253" s="1149">
        <v>1.02087691000006E+18</v>
      </c>
      <c r="P253" s="1150">
        <f>ROUND(+NOMINA!T227,2)</f>
        <v>279</v>
      </c>
      <c r="Q253" s="1151">
        <v>0</v>
      </c>
      <c r="R253" s="1151">
        <f>ROUND(+NOMINA!AA227,2)</f>
        <v>17.3</v>
      </c>
      <c r="S253" s="1151">
        <f>ROUND(+NOMINA!AB227,2)</f>
        <v>130</v>
      </c>
      <c r="T253" s="1151">
        <f>ROUND(+NOMINA!AC227,2)</f>
        <v>12.5</v>
      </c>
      <c r="U253" s="1151">
        <f>ROUND(+NOMINA!AD227,2)</f>
        <v>109.7</v>
      </c>
      <c r="V253" s="1151">
        <f>ROUND(NOMINA!AQ227,2)</f>
        <v>0</v>
      </c>
      <c r="W253" s="1151">
        <f>+NOMINA!AS227</f>
        <v>0</v>
      </c>
      <c r="X253" s="1151">
        <f>+NOMINA!AT227</f>
        <v>12.5</v>
      </c>
      <c r="Y253" s="1151">
        <f>+NOMINA!AU227</f>
        <v>548.5</v>
      </c>
      <c r="Z253" s="1151">
        <f>+NOMINA!BX227</f>
        <v>1028.44</v>
      </c>
      <c r="AA253" s="1151">
        <f>+NOMINA!BY227</f>
        <v>0</v>
      </c>
      <c r="AB253" s="1151">
        <f t="shared" si="14"/>
        <v>1028.44</v>
      </c>
      <c r="AD253" s="634"/>
      <c r="AH253" s="1610" t="str">
        <f>NOMINA!P225</f>
        <v>01020494140000237831</v>
      </c>
    </row>
    <row r="254" spans="1:34" s="629" customFormat="1" ht="20.100000000000001" customHeight="1" thickBot="1">
      <c r="A254" s="770" t="s">
        <v>2846</v>
      </c>
      <c r="B254" s="771">
        <f t="shared" si="15"/>
        <v>187</v>
      </c>
      <c r="C254" s="1145">
        <f>NOMINA!C228</f>
        <v>18456345</v>
      </c>
      <c r="D254" s="1146" t="str">
        <f>NOMINA!D228</f>
        <v>Peñaloza Olmos Eduardo Jose</v>
      </c>
      <c r="E254" s="1613" t="s">
        <v>4622</v>
      </c>
      <c r="F254" s="1153">
        <v>32351</v>
      </c>
      <c r="G254" s="1613" t="s">
        <v>4620</v>
      </c>
      <c r="H254" s="1572">
        <f>NOMINA!H228</f>
        <v>44774</v>
      </c>
      <c r="I254" s="1148" t="e">
        <f>NOMINA!#REF!</f>
        <v>#REF!</v>
      </c>
      <c r="J254" s="1149" t="e">
        <f>NOMINA!#REF!</f>
        <v>#REF!</v>
      </c>
      <c r="K254" s="1148" t="e">
        <f t="shared" si="13"/>
        <v>#REF!</v>
      </c>
      <c r="L254" s="1149" t="s">
        <v>4932</v>
      </c>
      <c r="M254" s="1149"/>
      <c r="N254" s="1573" t="str">
        <f>NOMINA!O228</f>
        <v>ESPECIALISTA EN INFORMATICA I</v>
      </c>
      <c r="O254" s="1149">
        <v>1.02087691000006E+18</v>
      </c>
      <c r="P254" s="1150">
        <f>ROUND(+NOMINA!T228,2)</f>
        <v>246</v>
      </c>
      <c r="Q254" s="1151">
        <v>0</v>
      </c>
      <c r="R254" s="1151">
        <f>ROUND(+NOMINA!AA228,2)</f>
        <v>4.92</v>
      </c>
      <c r="S254" s="1151">
        <f>ROUND(+NOMINA!AB228,2)</f>
        <v>130</v>
      </c>
      <c r="T254" s="1151">
        <f>ROUND(+NOMINA!AC228,2)</f>
        <v>0</v>
      </c>
      <c r="U254" s="1151">
        <f>ROUND(+NOMINA!AD228,2)</f>
        <v>95.23</v>
      </c>
      <c r="V254" s="1151">
        <f>ROUND(NOMINA!AQ228,2)</f>
        <v>0</v>
      </c>
      <c r="W254" s="1151">
        <f>+NOMINA!AS228</f>
        <v>0</v>
      </c>
      <c r="X254" s="1151">
        <f>+NOMINA!AT228</f>
        <v>0</v>
      </c>
      <c r="Y254" s="1151">
        <f>+NOMINA!AU228</f>
        <v>476.15</v>
      </c>
      <c r="Z254" s="1151">
        <f>+NOMINA!BX228</f>
        <v>892.78</v>
      </c>
      <c r="AA254" s="1151">
        <f>+NOMINA!BY228</f>
        <v>0</v>
      </c>
      <c r="AB254" s="1151">
        <f t="shared" si="14"/>
        <v>892.78</v>
      </c>
      <c r="AD254" s="634"/>
      <c r="AH254" s="1610" t="str">
        <f>NOMINA!P226</f>
        <v>01020373200001240254</v>
      </c>
    </row>
    <row r="255" spans="1:34" s="629" customFormat="1" ht="20.100000000000001" customHeight="1" thickBot="1">
      <c r="A255" s="770" t="s">
        <v>2846</v>
      </c>
      <c r="B255" s="771">
        <f t="shared" si="15"/>
        <v>188</v>
      </c>
      <c r="C255" s="1145" t="e">
        <f>NOMINA!#REF!</f>
        <v>#REF!</v>
      </c>
      <c r="D255" s="1146" t="e">
        <f>NOMINA!#REF!</f>
        <v>#REF!</v>
      </c>
      <c r="E255" s="1613" t="s">
        <v>4622</v>
      </c>
      <c r="F255" s="1153">
        <v>32351</v>
      </c>
      <c r="G255" s="1613" t="s">
        <v>4620</v>
      </c>
      <c r="H255" s="1572" t="e">
        <f>NOMINA!#REF!</f>
        <v>#REF!</v>
      </c>
      <c r="I255" s="1148">
        <f>NOMINA!I229</f>
        <v>11</v>
      </c>
      <c r="J255" s="1149">
        <f>NOMINA!J229</f>
        <v>0</v>
      </c>
      <c r="K255" s="1148">
        <f t="shared" si="13"/>
        <v>11</v>
      </c>
      <c r="L255" s="1149" t="s">
        <v>4932</v>
      </c>
      <c r="M255" s="1149"/>
      <c r="N255" s="1573" t="e">
        <f>NOMINA!#REF!</f>
        <v>#REF!</v>
      </c>
      <c r="O255" s="1149">
        <v>1.02087691000006E+18</v>
      </c>
      <c r="P255" s="1150" t="e">
        <f>ROUND(+NOMINA!#REF!,2)</f>
        <v>#REF!</v>
      </c>
      <c r="Q255" s="1151">
        <v>0</v>
      </c>
      <c r="R255" s="1151" t="e">
        <f>ROUND(+NOMINA!#REF!,2)</f>
        <v>#REF!</v>
      </c>
      <c r="S255" s="1151" t="e">
        <f>ROUND(+NOMINA!#REF!,2)</f>
        <v>#REF!</v>
      </c>
      <c r="T255" s="1151" t="e">
        <f>ROUND(+NOMINA!#REF!,2)</f>
        <v>#REF!</v>
      </c>
      <c r="U255" s="1151" t="e">
        <f>ROUND(+NOMINA!#REF!,2)</f>
        <v>#REF!</v>
      </c>
      <c r="V255" s="1151" t="e">
        <f>ROUND(NOMINA!#REF!,2)</f>
        <v>#REF!</v>
      </c>
      <c r="W255" s="1151" t="e">
        <f>+NOMINA!#REF!</f>
        <v>#REF!</v>
      </c>
      <c r="X255" s="1151" t="e">
        <f>+NOMINA!#REF!</f>
        <v>#REF!</v>
      </c>
      <c r="Y255" s="1151" t="e">
        <f>+NOMINA!#REF!</f>
        <v>#REF!</v>
      </c>
      <c r="Z255" s="1151" t="e">
        <f>+NOMINA!#REF!</f>
        <v>#REF!</v>
      </c>
      <c r="AA255" s="1151" t="e">
        <f>+NOMINA!#REF!</f>
        <v>#REF!</v>
      </c>
      <c r="AB255" s="1151" t="e">
        <f t="shared" si="14"/>
        <v>#REF!</v>
      </c>
      <c r="AD255" s="634"/>
      <c r="AH255" s="1610" t="str">
        <f>NOMINA!P227</f>
        <v>01020373230000536163</v>
      </c>
    </row>
    <row r="256" spans="1:34" s="629" customFormat="1" ht="20.100000000000001" customHeight="1" thickBot="1">
      <c r="A256" s="770" t="s">
        <v>2846</v>
      </c>
      <c r="B256" s="771">
        <f t="shared" si="15"/>
        <v>189</v>
      </c>
      <c r="C256" s="1145">
        <f>NOMINA!C229</f>
        <v>18457406</v>
      </c>
      <c r="D256" s="1146" t="str">
        <f>NOMINA!D229</f>
        <v>Rivero Zambrano Herluis Jose</v>
      </c>
      <c r="E256" s="1613" t="s">
        <v>4622</v>
      </c>
      <c r="F256" s="1153">
        <v>32351</v>
      </c>
      <c r="G256" s="1613" t="s">
        <v>4620</v>
      </c>
      <c r="H256" s="1572">
        <f>NOMINA!H229</f>
        <v>41548</v>
      </c>
      <c r="I256" s="1148">
        <f>NOMINA!I230</f>
        <v>2</v>
      </c>
      <c r="J256" s="1149">
        <f>NOMINA!J230</f>
        <v>0</v>
      </c>
      <c r="K256" s="1148">
        <f t="shared" si="13"/>
        <v>2</v>
      </c>
      <c r="L256" s="1149" t="s">
        <v>4932</v>
      </c>
      <c r="M256" s="1149"/>
      <c r="N256" s="1573" t="str">
        <f>NOMINA!O229</f>
        <v>Ingeniero Agronomo IV</v>
      </c>
      <c r="O256" s="1149">
        <v>1.02087691000006E+18</v>
      </c>
      <c r="P256" s="1150">
        <f>ROUND(+NOMINA!T229,2)</f>
        <v>0</v>
      </c>
      <c r="Q256" s="1151">
        <v>0</v>
      </c>
      <c r="R256" s="1151">
        <f>ROUND(+NOMINA!AA229,2)</f>
        <v>0</v>
      </c>
      <c r="S256" s="1151">
        <f>ROUND(+NOMINA!AB229,2)</f>
        <v>0</v>
      </c>
      <c r="T256" s="1151">
        <f>ROUND(+NOMINA!AC229,2)</f>
        <v>0</v>
      </c>
      <c r="U256" s="1151">
        <f>ROUND(+NOMINA!AD229,2)</f>
        <v>0</v>
      </c>
      <c r="V256" s="1151">
        <f>ROUND(NOMINA!AQ229,2)</f>
        <v>0</v>
      </c>
      <c r="W256" s="1151">
        <f>+NOMINA!AS229</f>
        <v>0</v>
      </c>
      <c r="X256" s="1151">
        <f>+NOMINA!AT229</f>
        <v>0</v>
      </c>
      <c r="Y256" s="1151">
        <f>+NOMINA!AU229</f>
        <v>0</v>
      </c>
      <c r="Z256" s="1151">
        <f>+NOMINA!BX229</f>
        <v>0</v>
      </c>
      <c r="AA256" s="1151">
        <f>+NOMINA!BY229</f>
        <v>0</v>
      </c>
      <c r="AB256" s="1151">
        <f t="shared" si="14"/>
        <v>0</v>
      </c>
      <c r="AD256" s="634"/>
      <c r="AH256" s="1610" t="str">
        <f>NOMINA!P228</f>
        <v>01020373240100092366</v>
      </c>
    </row>
    <row r="257" spans="1:34" s="629" customFormat="1" ht="20.100000000000001" customHeight="1" thickBot="1">
      <c r="A257" s="770" t="s">
        <v>2846</v>
      </c>
      <c r="B257" s="771">
        <f t="shared" si="15"/>
        <v>190</v>
      </c>
      <c r="C257" s="1145">
        <f>NOMINA!C230</f>
        <v>18458012</v>
      </c>
      <c r="D257" s="1146" t="str">
        <f>NOMINA!D230</f>
        <v>Briceño Uzcategui Maria Esperanza</v>
      </c>
      <c r="E257" s="1613" t="s">
        <v>4622</v>
      </c>
      <c r="F257" s="1153">
        <v>32351</v>
      </c>
      <c r="G257" s="1613" t="s">
        <v>4620</v>
      </c>
      <c r="H257" s="1572">
        <f>NOMINA!H230</f>
        <v>44636</v>
      </c>
      <c r="I257" s="1148">
        <f>NOMINA!I231</f>
        <v>8</v>
      </c>
      <c r="J257" s="1149">
        <f>NOMINA!J231</f>
        <v>0</v>
      </c>
      <c r="K257" s="1148">
        <f t="shared" si="13"/>
        <v>8</v>
      </c>
      <c r="L257" s="1149" t="s">
        <v>4932</v>
      </c>
      <c r="M257" s="1149"/>
      <c r="N257" s="1573" t="str">
        <f>NOMINA!O230</f>
        <v>Asistente Administrativo III</v>
      </c>
      <c r="O257" s="1149">
        <v>1.02087691000006E+18</v>
      </c>
      <c r="P257" s="1150">
        <f>ROUND(+NOMINA!T230,2)</f>
        <v>192</v>
      </c>
      <c r="Q257" s="1151">
        <v>0</v>
      </c>
      <c r="R257" s="1151">
        <f>ROUND(+NOMINA!AA230,2)</f>
        <v>3.84</v>
      </c>
      <c r="S257" s="1151">
        <f>ROUND(+NOMINA!AB230,2)</f>
        <v>130</v>
      </c>
      <c r="T257" s="1151">
        <f>ROUND(+NOMINA!AC230,2)</f>
        <v>25</v>
      </c>
      <c r="U257" s="1151">
        <f>ROUND(+NOMINA!AD230,2)</f>
        <v>70.17</v>
      </c>
      <c r="V257" s="1151">
        <f>ROUND(NOMINA!AQ230,2)</f>
        <v>0</v>
      </c>
      <c r="W257" s="1151">
        <f>+NOMINA!AS230</f>
        <v>0</v>
      </c>
      <c r="X257" s="1151">
        <f>+NOMINA!AT230</f>
        <v>25</v>
      </c>
      <c r="Y257" s="1151">
        <f>+NOMINA!AU230</f>
        <v>421.01</v>
      </c>
      <c r="Z257" s="1151">
        <f>+NOMINA!BX230</f>
        <v>789.4</v>
      </c>
      <c r="AA257" s="1151">
        <f>+NOMINA!BY230</f>
        <v>0</v>
      </c>
      <c r="AB257" s="1151">
        <f t="shared" si="14"/>
        <v>789.4</v>
      </c>
      <c r="AD257" s="634"/>
      <c r="AH257" s="1610" t="e">
        <f>NOMINA!#REF!</f>
        <v>#REF!</v>
      </c>
    </row>
    <row r="258" spans="1:34" s="629" customFormat="1" ht="20.100000000000001" customHeight="1" thickBot="1">
      <c r="A258" s="770" t="s">
        <v>2846</v>
      </c>
      <c r="B258" s="771">
        <f t="shared" si="15"/>
        <v>191</v>
      </c>
      <c r="C258" s="1145">
        <f>NOMINA!C231</f>
        <v>18670458</v>
      </c>
      <c r="D258" s="1146" t="str">
        <f>NOMINA!D231</f>
        <v>Gervasi de Valera Solanye Dairilyn</v>
      </c>
      <c r="E258" s="1613" t="s">
        <v>4622</v>
      </c>
      <c r="F258" s="1153">
        <v>32351</v>
      </c>
      <c r="G258" s="1613" t="s">
        <v>4620</v>
      </c>
      <c r="H258" s="1572">
        <f>NOMINA!H231</f>
        <v>42741</v>
      </c>
      <c r="I258" s="1148">
        <f>NOMINA!I232</f>
        <v>0</v>
      </c>
      <c r="J258" s="1149">
        <f>NOMINA!J232</f>
        <v>0</v>
      </c>
      <c r="K258" s="1148">
        <f t="shared" si="13"/>
        <v>0</v>
      </c>
      <c r="L258" s="1149" t="s">
        <v>4932</v>
      </c>
      <c r="M258" s="1149"/>
      <c r="N258" s="1573" t="str">
        <f>NOMINA!O231</f>
        <v>Entrenador Deportivo IV</v>
      </c>
      <c r="O258" s="1149">
        <v>1.02087691000006E+18</v>
      </c>
      <c r="P258" s="1150">
        <f>ROUND(+NOMINA!T231,2)</f>
        <v>279</v>
      </c>
      <c r="Q258" s="1151">
        <v>0</v>
      </c>
      <c r="R258" s="1151">
        <f>ROUND(+NOMINA!AA231,2)</f>
        <v>23.99</v>
      </c>
      <c r="S258" s="1151">
        <f>ROUND(+NOMINA!AB231,2)</f>
        <v>130</v>
      </c>
      <c r="T258" s="1151">
        <f>ROUND(+NOMINA!AC231,2)</f>
        <v>25</v>
      </c>
      <c r="U258" s="1151">
        <f>ROUND(+NOMINA!AD231,2)</f>
        <v>114.5</v>
      </c>
      <c r="V258" s="1151">
        <f>ROUND(NOMINA!AQ231,2)</f>
        <v>0</v>
      </c>
      <c r="W258" s="1151">
        <f>+NOMINA!AS231</f>
        <v>0</v>
      </c>
      <c r="X258" s="1151">
        <f>+NOMINA!AT231</f>
        <v>25</v>
      </c>
      <c r="Y258" s="1151">
        <f>+NOMINA!AU231</f>
        <v>572.49</v>
      </c>
      <c r="Z258" s="1151">
        <f>+NOMINA!BX231</f>
        <v>1073.42</v>
      </c>
      <c r="AA258" s="1151">
        <f>+NOMINA!BY231</f>
        <v>0</v>
      </c>
      <c r="AB258" s="1151">
        <f t="shared" si="14"/>
        <v>1073.42</v>
      </c>
      <c r="AD258" s="634"/>
      <c r="AH258" s="1610" t="str">
        <f>NOMINA!P229</f>
        <v>01020373280000441669</v>
      </c>
    </row>
    <row r="259" spans="1:34" s="629" customFormat="1" ht="20.100000000000001" customHeight="1" thickBot="1">
      <c r="A259" s="770" t="s">
        <v>2846</v>
      </c>
      <c r="B259" s="771">
        <f t="shared" si="15"/>
        <v>192</v>
      </c>
      <c r="C259" s="1145">
        <f>NOMINA!C232</f>
        <v>18733682</v>
      </c>
      <c r="D259" s="1146" t="str">
        <f>NOMINA!D232</f>
        <v>Ocanto Ramirez Maria Alejandra</v>
      </c>
      <c r="E259" s="1613" t="s">
        <v>4622</v>
      </c>
      <c r="F259" s="1153">
        <v>32351</v>
      </c>
      <c r="G259" s="1613" t="s">
        <v>4620</v>
      </c>
      <c r="H259" s="1572">
        <f>NOMINA!H232</f>
        <v>45474</v>
      </c>
      <c r="I259" s="1148">
        <f>NOMINA!I233</f>
        <v>6</v>
      </c>
      <c r="J259" s="1149">
        <f>NOMINA!J233</f>
        <v>0</v>
      </c>
      <c r="K259" s="1148">
        <f t="shared" si="13"/>
        <v>6</v>
      </c>
      <c r="L259" s="1149" t="s">
        <v>4932</v>
      </c>
      <c r="M259" s="1149"/>
      <c r="N259" s="1573" t="str">
        <f>NOMINA!O232</f>
        <v>Guia de Centro I</v>
      </c>
      <c r="O259" s="1149">
        <v>1.02087691000006E+18</v>
      </c>
      <c r="P259" s="1150">
        <f>ROUND(+NOMINA!T232,2)</f>
        <v>130</v>
      </c>
      <c r="Q259" s="1151">
        <v>0</v>
      </c>
      <c r="R259" s="1151">
        <f>ROUND(+NOMINA!AA232,2)</f>
        <v>0</v>
      </c>
      <c r="S259" s="1151">
        <f>ROUND(+NOMINA!AB232,2)</f>
        <v>130</v>
      </c>
      <c r="T259" s="1151">
        <f>ROUND(+NOMINA!AC232,2)</f>
        <v>12.5</v>
      </c>
      <c r="U259" s="1151">
        <f>ROUND(+NOMINA!AD232,2)</f>
        <v>0</v>
      </c>
      <c r="V259" s="1151">
        <f>ROUND(NOMINA!AQ232,2)</f>
        <v>0</v>
      </c>
      <c r="W259" s="1151">
        <f>+NOMINA!AS232</f>
        <v>0</v>
      </c>
      <c r="X259" s="1151">
        <f>+NOMINA!AT232</f>
        <v>12.5</v>
      </c>
      <c r="Y259" s="1151">
        <f>+NOMINA!AU232</f>
        <v>354.25</v>
      </c>
      <c r="Z259" s="1151">
        <f>+NOMINA!BX232</f>
        <v>276.76</v>
      </c>
      <c r="AA259" s="1151">
        <f>+NOMINA!BY232</f>
        <v>0</v>
      </c>
      <c r="AB259" s="1151">
        <f t="shared" si="14"/>
        <v>276.76</v>
      </c>
      <c r="AD259" s="634"/>
      <c r="AH259" s="1610" t="str">
        <f>NOMINA!P230</f>
        <v>01020494160000440149</v>
      </c>
    </row>
    <row r="260" spans="1:34" s="629" customFormat="1" ht="20.100000000000001" customHeight="1" thickBot="1">
      <c r="A260" s="770" t="s">
        <v>2846</v>
      </c>
      <c r="B260" s="771">
        <f t="shared" si="15"/>
        <v>193</v>
      </c>
      <c r="C260" s="1145">
        <f>NOMINA!C233</f>
        <v>18801597</v>
      </c>
      <c r="D260" s="1146" t="str">
        <f>NOMINA!D233</f>
        <v>Rodriguez Salas Mary Carmen</v>
      </c>
      <c r="E260" s="1613" t="s">
        <v>4622</v>
      </c>
      <c r="F260" s="1153">
        <v>32351</v>
      </c>
      <c r="G260" s="1613" t="s">
        <v>4620</v>
      </c>
      <c r="H260" s="1572">
        <f>NOMINA!H233</f>
        <v>43359</v>
      </c>
      <c r="I260" s="1148">
        <f>NOMINA!I234</f>
        <v>3</v>
      </c>
      <c r="J260" s="1149">
        <f>NOMINA!J234</f>
        <v>0</v>
      </c>
      <c r="K260" s="1148">
        <f t="shared" si="13"/>
        <v>3</v>
      </c>
      <c r="L260" s="1149" t="s">
        <v>4932</v>
      </c>
      <c r="M260" s="1149"/>
      <c r="N260" s="1573" t="str">
        <f>NOMINA!O233</f>
        <v>Tutor Facilitador III</v>
      </c>
      <c r="O260" s="1149">
        <v>1.02087691000006E+18</v>
      </c>
      <c r="P260" s="1150">
        <f>ROUND(+NOMINA!T233,2)</f>
        <v>279</v>
      </c>
      <c r="Q260" s="1151">
        <v>0</v>
      </c>
      <c r="R260" s="1151">
        <f>ROUND(+NOMINA!AA233,2)</f>
        <v>17.3</v>
      </c>
      <c r="S260" s="1151">
        <f>ROUND(+NOMINA!AB233,2)</f>
        <v>130</v>
      </c>
      <c r="T260" s="1151">
        <f>ROUND(+NOMINA!AC233,2)</f>
        <v>25</v>
      </c>
      <c r="U260" s="1151">
        <f>ROUND(+NOMINA!AD233,2)</f>
        <v>112.83</v>
      </c>
      <c r="V260" s="1151">
        <f>ROUND(NOMINA!AQ233,2)</f>
        <v>0</v>
      </c>
      <c r="W260" s="1151">
        <f>+NOMINA!AS233</f>
        <v>0</v>
      </c>
      <c r="X260" s="1151">
        <f>+NOMINA!AT233</f>
        <v>25</v>
      </c>
      <c r="Y260" s="1151">
        <f>+NOMINA!AU233</f>
        <v>564.13</v>
      </c>
      <c r="Z260" s="1151">
        <f>+NOMINA!BX233</f>
        <v>1057.75</v>
      </c>
      <c r="AA260" s="1151">
        <f>+NOMINA!BY233</f>
        <v>0</v>
      </c>
      <c r="AB260" s="1151">
        <f t="shared" si="14"/>
        <v>1057.75</v>
      </c>
      <c r="AD260" s="634"/>
      <c r="AH260" s="1610" t="str">
        <f>NOMINA!P231</f>
        <v>01020373200000441685</v>
      </c>
    </row>
    <row r="261" spans="1:34" s="629" customFormat="1" ht="20.100000000000001" customHeight="1" thickBot="1">
      <c r="A261" s="770" t="s">
        <v>2846</v>
      </c>
      <c r="B261" s="771">
        <f t="shared" si="15"/>
        <v>194</v>
      </c>
      <c r="C261" s="1145">
        <f>NOMINA!C234</f>
        <v>18802405</v>
      </c>
      <c r="D261" s="1146" t="str">
        <f>NOMINA!D234</f>
        <v>Ramirez Rodriguez Rudys Arelys</v>
      </c>
      <c r="E261" s="1613" t="s">
        <v>4622</v>
      </c>
      <c r="F261" s="1153">
        <v>32351</v>
      </c>
      <c r="G261" s="1613" t="s">
        <v>4620</v>
      </c>
      <c r="H261" s="1572">
        <f>NOMINA!H234</f>
        <v>44332</v>
      </c>
      <c r="I261" s="1148">
        <f>NOMINA!I235</f>
        <v>1</v>
      </c>
      <c r="J261" s="1149">
        <f>NOMINA!J235</f>
        <v>0</v>
      </c>
      <c r="K261" s="1148">
        <f t="shared" ref="K261:K324" si="16">I261+J261</f>
        <v>1</v>
      </c>
      <c r="L261" s="1149" t="s">
        <v>4932</v>
      </c>
      <c r="M261" s="1149"/>
      <c r="N261" s="1573" t="str">
        <f>NOMINA!O234</f>
        <v>Tutor Facilitador I</v>
      </c>
      <c r="O261" s="1149">
        <v>1.02087691000006E+18</v>
      </c>
      <c r="P261" s="1150">
        <f>ROUND(+NOMINA!T234,2)</f>
        <v>219</v>
      </c>
      <c r="Q261" s="1151">
        <v>0</v>
      </c>
      <c r="R261" s="1151">
        <f>ROUND(+NOMINA!AA234,2)</f>
        <v>6.57</v>
      </c>
      <c r="S261" s="1151">
        <f>ROUND(+NOMINA!AB234,2)</f>
        <v>130</v>
      </c>
      <c r="T261" s="1151">
        <f>ROUND(+NOMINA!AC234,2)</f>
        <v>25</v>
      </c>
      <c r="U261" s="1151">
        <f>ROUND(+NOMINA!AD234,2)</f>
        <v>95.14</v>
      </c>
      <c r="V261" s="1151">
        <f>ROUND(NOMINA!AQ234,2)</f>
        <v>0</v>
      </c>
      <c r="W261" s="1151">
        <f>+NOMINA!AS234</f>
        <v>0</v>
      </c>
      <c r="X261" s="1151">
        <f>+NOMINA!AT234</f>
        <v>12.5</v>
      </c>
      <c r="Y261" s="1151">
        <f>+NOMINA!AU234</f>
        <v>475.71</v>
      </c>
      <c r="Z261" s="1151">
        <f>+NOMINA!BX234</f>
        <v>891.96</v>
      </c>
      <c r="AA261" s="1151">
        <f>+NOMINA!BY234</f>
        <v>0</v>
      </c>
      <c r="AB261" s="1151">
        <f t="shared" ref="AB261:AB324" si="17">+Z261+AA261</f>
        <v>891.96</v>
      </c>
      <c r="AD261" s="634"/>
      <c r="AH261" s="1610" t="str">
        <f>NOMINA!P232</f>
        <v>01020494150000449247</v>
      </c>
    </row>
    <row r="262" spans="1:34" s="629" customFormat="1" ht="20.100000000000001" customHeight="1" thickBot="1">
      <c r="A262" s="770" t="s">
        <v>2846</v>
      </c>
      <c r="B262" s="771">
        <f t="shared" ref="B262:B325" si="18">+B261+1</f>
        <v>195</v>
      </c>
      <c r="C262" s="1145">
        <f>NOMINA!C235</f>
        <v>18984406</v>
      </c>
      <c r="D262" s="1146" t="str">
        <f>NOMINA!D235</f>
        <v>Torres Santiago Eduardo David</v>
      </c>
      <c r="E262" s="1613" t="s">
        <v>4622</v>
      </c>
      <c r="F262" s="1153">
        <v>32351</v>
      </c>
      <c r="G262" s="1613" t="s">
        <v>4620</v>
      </c>
      <c r="H262" s="1572">
        <f>NOMINA!H235</f>
        <v>45200</v>
      </c>
      <c r="I262" s="1148">
        <f>NOMINA!I236</f>
        <v>5</v>
      </c>
      <c r="J262" s="1149">
        <f>NOMINA!J236</f>
        <v>0</v>
      </c>
      <c r="K262" s="1148">
        <f t="shared" si="16"/>
        <v>5</v>
      </c>
      <c r="L262" s="1149" t="s">
        <v>4932</v>
      </c>
      <c r="M262" s="1149"/>
      <c r="N262" s="1573" t="str">
        <f>NOMINA!O235</f>
        <v>Guia de Centro I</v>
      </c>
      <c r="O262" s="1149">
        <v>1.02087691000006E+18</v>
      </c>
      <c r="P262" s="1150">
        <f>ROUND(+NOMINA!T235,2)</f>
        <v>130</v>
      </c>
      <c r="Q262" s="1151">
        <v>0</v>
      </c>
      <c r="R262" s="1151">
        <f>ROUND(+NOMINA!AA235,2)</f>
        <v>1.3</v>
      </c>
      <c r="S262" s="1151">
        <f>ROUND(+NOMINA!AB235,2)</f>
        <v>130</v>
      </c>
      <c r="T262" s="1151">
        <f>ROUND(+NOMINA!AC235,2)</f>
        <v>0</v>
      </c>
      <c r="U262" s="1151">
        <f>ROUND(+NOMINA!AD235,2)</f>
        <v>0</v>
      </c>
      <c r="V262" s="1151">
        <f>ROUND(NOMINA!AQ235,2)</f>
        <v>0</v>
      </c>
      <c r="W262" s="1151">
        <f>+NOMINA!AS235</f>
        <v>0</v>
      </c>
      <c r="X262" s="1151">
        <f>+NOMINA!AT235</f>
        <v>0</v>
      </c>
      <c r="Y262" s="1151">
        <f>+NOMINA!AU235</f>
        <v>339.69</v>
      </c>
      <c r="Z262" s="1151">
        <f>+NOMINA!BX235</f>
        <v>636.91999999999996</v>
      </c>
      <c r="AA262" s="1151">
        <f>+NOMINA!BY235</f>
        <v>0</v>
      </c>
      <c r="AB262" s="1151">
        <f t="shared" si="17"/>
        <v>636.91999999999996</v>
      </c>
      <c r="AD262" s="634"/>
      <c r="AH262" s="1610" t="str">
        <f>NOMINA!P233</f>
        <v>01020373210000594095</v>
      </c>
    </row>
    <row r="263" spans="1:34" s="629" customFormat="1" ht="20.100000000000001" customHeight="1" thickBot="1">
      <c r="A263" s="770" t="s">
        <v>2846</v>
      </c>
      <c r="B263" s="771">
        <f t="shared" si="18"/>
        <v>196</v>
      </c>
      <c r="C263" s="1145">
        <f>NOMINA!C236</f>
        <v>19101647</v>
      </c>
      <c r="D263" s="1146" t="str">
        <f>NOMINA!D236</f>
        <v>Uzcategui Urbina Madeley Tatiana</v>
      </c>
      <c r="E263" s="1613" t="s">
        <v>4622</v>
      </c>
      <c r="F263" s="1153">
        <v>32351</v>
      </c>
      <c r="G263" s="1613" t="s">
        <v>4620</v>
      </c>
      <c r="H263" s="1572">
        <f>NOMINA!H236</f>
        <v>43845</v>
      </c>
      <c r="I263" s="1148">
        <f>NOMINA!I237</f>
        <v>1</v>
      </c>
      <c r="J263" s="1149">
        <f>NOMINA!J237</f>
        <v>0</v>
      </c>
      <c r="K263" s="1148">
        <f t="shared" si="16"/>
        <v>1</v>
      </c>
      <c r="L263" s="1149" t="s">
        <v>4932</v>
      </c>
      <c r="M263" s="1149"/>
      <c r="N263" s="1573" t="str">
        <f>NOMINA!O236</f>
        <v>Guia de Centro I</v>
      </c>
      <c r="O263" s="1149">
        <v>1.02087691000006E+18</v>
      </c>
      <c r="P263" s="1150">
        <f>ROUND(+NOMINA!T236,2)</f>
        <v>150</v>
      </c>
      <c r="Q263" s="1151">
        <v>0</v>
      </c>
      <c r="R263" s="1151">
        <f>ROUND(+NOMINA!AA236,2)</f>
        <v>7.5</v>
      </c>
      <c r="S263" s="1151">
        <f>ROUND(+NOMINA!AB236,2)</f>
        <v>130</v>
      </c>
      <c r="T263" s="1151">
        <f>ROUND(+NOMINA!AC236,2)</f>
        <v>25</v>
      </c>
      <c r="U263" s="1151">
        <f>ROUND(+NOMINA!AD236,2)</f>
        <v>0</v>
      </c>
      <c r="V263" s="1151">
        <f>ROUND(NOMINA!AQ236,2)</f>
        <v>0</v>
      </c>
      <c r="W263" s="1151">
        <f>+NOMINA!AS236</f>
        <v>0</v>
      </c>
      <c r="X263" s="1151">
        <f>+NOMINA!AT236</f>
        <v>0</v>
      </c>
      <c r="Y263" s="1151">
        <f>+NOMINA!AU236</f>
        <v>406.25</v>
      </c>
      <c r="Z263" s="1151">
        <f>+NOMINA!BX236</f>
        <v>761.72</v>
      </c>
      <c r="AA263" s="1151">
        <f>+NOMINA!BY236</f>
        <v>0</v>
      </c>
      <c r="AB263" s="1151">
        <f t="shared" si="17"/>
        <v>761.72</v>
      </c>
      <c r="AD263" s="634"/>
      <c r="AH263" s="1610" t="str">
        <f>NOMINA!P234</f>
        <v>01020373230000787488</v>
      </c>
    </row>
    <row r="264" spans="1:34" s="629" customFormat="1" ht="20.100000000000001" customHeight="1" thickBot="1">
      <c r="A264" s="770" t="s">
        <v>2846</v>
      </c>
      <c r="B264" s="771">
        <f t="shared" si="18"/>
        <v>197</v>
      </c>
      <c r="C264" s="1145">
        <f>NOMINA!C237</f>
        <v>19101773</v>
      </c>
      <c r="D264" s="1146" t="str">
        <f>NOMINA!D237</f>
        <v>Gil Molina Maite Karina</v>
      </c>
      <c r="E264" s="1613" t="s">
        <v>4622</v>
      </c>
      <c r="F264" s="1153">
        <v>32351</v>
      </c>
      <c r="G264" s="1613" t="s">
        <v>4620</v>
      </c>
      <c r="H264" s="1572">
        <f>NOMINA!H237</f>
        <v>45200</v>
      </c>
      <c r="I264" s="1148">
        <f>NOMINA!I238</f>
        <v>5</v>
      </c>
      <c r="J264" s="1149">
        <f>NOMINA!J238</f>
        <v>0</v>
      </c>
      <c r="K264" s="1148">
        <f t="shared" si="16"/>
        <v>5</v>
      </c>
      <c r="L264" s="1149" t="s">
        <v>4932</v>
      </c>
      <c r="M264" s="1149"/>
      <c r="N264" s="1573" t="str">
        <f>NOMINA!O237</f>
        <v>Guia de Centro I</v>
      </c>
      <c r="O264" s="1149">
        <v>1.02087691000006E+18</v>
      </c>
      <c r="P264" s="1150">
        <f>ROUND(+NOMINA!T237,2)</f>
        <v>192</v>
      </c>
      <c r="Q264" s="1151">
        <v>0</v>
      </c>
      <c r="R264" s="1151">
        <f>ROUND(+NOMINA!AA237,2)</f>
        <v>1.92</v>
      </c>
      <c r="S264" s="1151">
        <f>ROUND(+NOMINA!AB237,2)</f>
        <v>130</v>
      </c>
      <c r="T264" s="1151">
        <f>ROUND(+NOMINA!AC237,2)</f>
        <v>12.5</v>
      </c>
      <c r="U264" s="1151">
        <f>ROUND(+NOMINA!AD237,2)</f>
        <v>67.28</v>
      </c>
      <c r="V264" s="1151">
        <f>ROUND(NOMINA!AQ237,2)</f>
        <v>0</v>
      </c>
      <c r="W264" s="1151">
        <f>+NOMINA!AS237</f>
        <v>0</v>
      </c>
      <c r="X264" s="1151">
        <f>+NOMINA!AT237</f>
        <v>0</v>
      </c>
      <c r="Y264" s="1151">
        <f>+NOMINA!AU237</f>
        <v>524.80999999999995</v>
      </c>
      <c r="Z264" s="1151">
        <f>+NOMINA!BX237</f>
        <v>984.02</v>
      </c>
      <c r="AA264" s="1151">
        <f>+NOMINA!BY237</f>
        <v>0</v>
      </c>
      <c r="AB264" s="1151">
        <f t="shared" si="17"/>
        <v>984.02</v>
      </c>
      <c r="AD264" s="634"/>
      <c r="AH264" s="1610" t="str">
        <f>NOMINA!P235</f>
        <v>01020494160000442435</v>
      </c>
    </row>
    <row r="265" spans="1:34" s="629" customFormat="1" ht="20.100000000000001" customHeight="1" thickBot="1">
      <c r="A265" s="770" t="s">
        <v>2846</v>
      </c>
      <c r="B265" s="771">
        <f t="shared" si="18"/>
        <v>198</v>
      </c>
      <c r="C265" s="1145">
        <f>NOMINA!C238</f>
        <v>19103118</v>
      </c>
      <c r="D265" s="1146" t="str">
        <f>NOMINA!D238</f>
        <v>Plaza Quintero Orelis Maria</v>
      </c>
      <c r="E265" s="1613" t="s">
        <v>4622</v>
      </c>
      <c r="F265" s="1153">
        <v>32351</v>
      </c>
      <c r="G265" s="1613" t="s">
        <v>4620</v>
      </c>
      <c r="H265" s="1572">
        <f>NOMINA!H238</f>
        <v>43724</v>
      </c>
      <c r="I265" s="1148">
        <f>NOMINA!I239</f>
        <v>2</v>
      </c>
      <c r="J265" s="1149">
        <f>NOMINA!J239</f>
        <v>0</v>
      </c>
      <c r="K265" s="1148">
        <f t="shared" si="16"/>
        <v>2</v>
      </c>
      <c r="L265" s="1149" t="s">
        <v>4932</v>
      </c>
      <c r="M265" s="1149"/>
      <c r="N265" s="1573" t="str">
        <f>NOMINA!O238</f>
        <v>Tecnico Superior en Trabajo Social II</v>
      </c>
      <c r="O265" s="1149">
        <v>1.02087691000006E+18</v>
      </c>
      <c r="P265" s="1150">
        <f>ROUND(+NOMINA!T238,2)</f>
        <v>219</v>
      </c>
      <c r="Q265" s="1151">
        <v>0</v>
      </c>
      <c r="R265" s="1151">
        <f>ROUND(+NOMINA!AA238,2)</f>
        <v>10.95</v>
      </c>
      <c r="S265" s="1151">
        <f>ROUND(+NOMINA!AB238,2)</f>
        <v>130</v>
      </c>
      <c r="T265" s="1151">
        <f>ROUND(+NOMINA!AC238,2)</f>
        <v>25</v>
      </c>
      <c r="U265" s="1151">
        <f>ROUND(+NOMINA!AD238,2)</f>
        <v>76.989999999999995</v>
      </c>
      <c r="V265" s="1151">
        <f>ROUND(NOMINA!AQ238,2)</f>
        <v>0</v>
      </c>
      <c r="W265" s="1151">
        <f>+NOMINA!AS238</f>
        <v>0</v>
      </c>
      <c r="X265" s="1151">
        <f>+NOMINA!AT238</f>
        <v>0</v>
      </c>
      <c r="Y265" s="1151">
        <f>+NOMINA!AU238</f>
        <v>461.94</v>
      </c>
      <c r="Z265" s="1151">
        <f>+NOMINA!BX238</f>
        <v>866.14</v>
      </c>
      <c r="AA265" s="1151">
        <f>+NOMINA!BY238</f>
        <v>0</v>
      </c>
      <c r="AB265" s="1151">
        <f t="shared" si="17"/>
        <v>866.14</v>
      </c>
      <c r="AD265" s="634"/>
      <c r="AH265" s="1610" t="str">
        <f>NOMINA!P236</f>
        <v>01020493310000189934</v>
      </c>
    </row>
    <row r="266" spans="1:34" s="629" customFormat="1" ht="20.100000000000001" customHeight="1" thickBot="1">
      <c r="A266" s="770" t="s">
        <v>2846</v>
      </c>
      <c r="B266" s="771">
        <f t="shared" si="18"/>
        <v>199</v>
      </c>
      <c r="C266" s="1145">
        <f>NOMINA!C239</f>
        <v>19103604</v>
      </c>
      <c r="D266" s="1146" t="str">
        <f>NOMINA!D239</f>
        <v>Hernandez Graterol Gleidys Coromoto</v>
      </c>
      <c r="E266" s="1613" t="s">
        <v>4622</v>
      </c>
      <c r="F266" s="1153">
        <v>32351</v>
      </c>
      <c r="G266" s="1613" t="s">
        <v>4620</v>
      </c>
      <c r="H266" s="1572">
        <f>NOMINA!H239</f>
        <v>44600</v>
      </c>
      <c r="I266" s="1148">
        <f>NOMINA!I240</f>
        <v>7</v>
      </c>
      <c r="J266" s="1149">
        <f>NOMINA!J240</f>
        <v>0</v>
      </c>
      <c r="K266" s="1148">
        <f t="shared" si="16"/>
        <v>7</v>
      </c>
      <c r="L266" s="1149" t="s">
        <v>4932</v>
      </c>
      <c r="M266" s="1149"/>
      <c r="N266" s="1573" t="str">
        <f>NOMINA!O239</f>
        <v>Asistente Administrativo III</v>
      </c>
      <c r="O266" s="1149">
        <v>1.02087691000006E+18</v>
      </c>
      <c r="P266" s="1150">
        <f>ROUND(+NOMINA!T239,2)</f>
        <v>192</v>
      </c>
      <c r="Q266" s="1151">
        <v>0</v>
      </c>
      <c r="R266" s="1151">
        <f>ROUND(+NOMINA!AA239,2)</f>
        <v>3.84</v>
      </c>
      <c r="S266" s="1151">
        <f>ROUND(+NOMINA!AB239,2)</f>
        <v>130</v>
      </c>
      <c r="T266" s="1151">
        <f>ROUND(+NOMINA!AC239,2)</f>
        <v>25</v>
      </c>
      <c r="U266" s="1151">
        <f>ROUND(+NOMINA!AD239,2)</f>
        <v>70.17</v>
      </c>
      <c r="V266" s="1151">
        <f>ROUND(NOMINA!AQ239,2)</f>
        <v>0</v>
      </c>
      <c r="W266" s="1151">
        <f>+NOMINA!AS239</f>
        <v>0</v>
      </c>
      <c r="X266" s="1151">
        <f>+NOMINA!AT239</f>
        <v>25</v>
      </c>
      <c r="Y266" s="1151">
        <f>+NOMINA!AU239</f>
        <v>421.01</v>
      </c>
      <c r="Z266" s="1151">
        <f>+NOMINA!BX239</f>
        <v>789.4</v>
      </c>
      <c r="AA266" s="1151">
        <f>+NOMINA!BY239</f>
        <v>0</v>
      </c>
      <c r="AB266" s="1151">
        <f t="shared" si="17"/>
        <v>789.4</v>
      </c>
      <c r="AD266" s="634"/>
      <c r="AH266" s="1610" t="str">
        <f>NOMINA!P237</f>
        <v>01020373240001215603</v>
      </c>
    </row>
    <row r="267" spans="1:34" s="629" customFormat="1" ht="20.100000000000001" customHeight="1" thickBot="1">
      <c r="A267" s="770" t="s">
        <v>2846</v>
      </c>
      <c r="B267" s="771">
        <f t="shared" si="18"/>
        <v>200</v>
      </c>
      <c r="C267" s="1145">
        <f>NOMINA!C240</f>
        <v>19103823</v>
      </c>
      <c r="D267" s="1146" t="str">
        <f>NOMINA!D240</f>
        <v>Valero Sanchez Zulay del Valle</v>
      </c>
      <c r="E267" s="1613" t="s">
        <v>4622</v>
      </c>
      <c r="F267" s="1153">
        <v>32351</v>
      </c>
      <c r="G267" s="1613" t="s">
        <v>4620</v>
      </c>
      <c r="H267" s="1572">
        <f>NOMINA!H240</f>
        <v>42795</v>
      </c>
      <c r="I267" s="1148">
        <f>NOMINA!I241</f>
        <v>8</v>
      </c>
      <c r="J267" s="1149">
        <f>NOMINA!J241</f>
        <v>0</v>
      </c>
      <c r="K267" s="1148">
        <f t="shared" si="16"/>
        <v>8</v>
      </c>
      <c r="L267" s="1149" t="s">
        <v>4932</v>
      </c>
      <c r="M267" s="1149"/>
      <c r="N267" s="1573" t="str">
        <f>NOMINA!O240</f>
        <v>Tutor Facilitador III</v>
      </c>
      <c r="O267" s="1149">
        <v>1.02087691000006E+18</v>
      </c>
      <c r="P267" s="1150">
        <f>ROUND(+NOMINA!T240,2)</f>
        <v>308</v>
      </c>
      <c r="Q267" s="1151">
        <v>0</v>
      </c>
      <c r="R267" s="1151">
        <f>ROUND(+NOMINA!AA240,2)</f>
        <v>22.79</v>
      </c>
      <c r="S267" s="1151">
        <f>ROUND(+NOMINA!AB240,2)</f>
        <v>130</v>
      </c>
      <c r="T267" s="1151">
        <f>ROUND(+NOMINA!AC240,2)</f>
        <v>12.5</v>
      </c>
      <c r="U267" s="1151">
        <f>ROUND(+NOMINA!AD240,2)</f>
        <v>165.65</v>
      </c>
      <c r="V267" s="1151">
        <f>ROUND(NOMINA!AQ240,2)</f>
        <v>0</v>
      </c>
      <c r="W267" s="1151">
        <f>+NOMINA!AS240</f>
        <v>0</v>
      </c>
      <c r="X267" s="1151">
        <f>+NOMINA!AT240</f>
        <v>0</v>
      </c>
      <c r="Y267" s="1151">
        <f>+NOMINA!AU240</f>
        <v>638.94000000000005</v>
      </c>
      <c r="Z267" s="1151">
        <f>+NOMINA!BX240</f>
        <v>1198.01</v>
      </c>
      <c r="AA267" s="1151">
        <f>+NOMINA!BY240</f>
        <v>0</v>
      </c>
      <c r="AB267" s="1151">
        <f t="shared" si="17"/>
        <v>1198.01</v>
      </c>
      <c r="AD267" s="634"/>
      <c r="AH267" s="1610" t="str">
        <f>NOMINA!P238</f>
        <v>01020373220000660880</v>
      </c>
    </row>
    <row r="268" spans="1:34" s="629" customFormat="1" ht="20.100000000000001" customHeight="1" thickBot="1">
      <c r="A268" s="770" t="s">
        <v>2846</v>
      </c>
      <c r="B268" s="771">
        <f t="shared" si="18"/>
        <v>201</v>
      </c>
      <c r="C268" s="1145">
        <f>NOMINA!C241</f>
        <v>19286780</v>
      </c>
      <c r="D268" s="1146" t="str">
        <f>NOMINA!D241</f>
        <v>Mejia Rosales Katiusca Josefina</v>
      </c>
      <c r="E268" s="1613" t="s">
        <v>4622</v>
      </c>
      <c r="F268" s="1153">
        <v>32351</v>
      </c>
      <c r="G268" s="1613" t="s">
        <v>4620</v>
      </c>
      <c r="H268" s="1572">
        <f>NOMINA!H241</f>
        <v>42492</v>
      </c>
      <c r="I268" s="1148">
        <f>NOMINA!I242</f>
        <v>2</v>
      </c>
      <c r="J268" s="1149">
        <f>NOMINA!J242</f>
        <v>0</v>
      </c>
      <c r="K268" s="1148">
        <f t="shared" si="16"/>
        <v>2</v>
      </c>
      <c r="L268" s="1149" t="s">
        <v>4932</v>
      </c>
      <c r="M268" s="1149"/>
      <c r="N268" s="1573" t="str">
        <f>NOMINA!O241</f>
        <v>Asistente Administrativo III</v>
      </c>
      <c r="O268" s="1149">
        <v>1.02087691000006E+18</v>
      </c>
      <c r="P268" s="1150">
        <f>ROUND(+NOMINA!T241,2)</f>
        <v>221</v>
      </c>
      <c r="Q268" s="1151">
        <v>0</v>
      </c>
      <c r="R268" s="1151">
        <f>ROUND(+NOMINA!AA241,2)</f>
        <v>19.010000000000002</v>
      </c>
      <c r="S268" s="1151">
        <f>ROUND(+NOMINA!AB241,2)</f>
        <v>130</v>
      </c>
      <c r="T268" s="1151">
        <f>ROUND(+NOMINA!AC241,2)</f>
        <v>25</v>
      </c>
      <c r="U268" s="1151">
        <f>ROUND(+NOMINA!AD241,2)</f>
        <v>79</v>
      </c>
      <c r="V268" s="1151">
        <f>ROUND(NOMINA!AQ241,2)</f>
        <v>0</v>
      </c>
      <c r="W268" s="1151">
        <f>+NOMINA!AS241</f>
        <v>0</v>
      </c>
      <c r="X268" s="1151">
        <f>+NOMINA!AT241</f>
        <v>0</v>
      </c>
      <c r="Y268" s="1151">
        <f>+NOMINA!AU241</f>
        <v>474.01</v>
      </c>
      <c r="Z268" s="1151">
        <f>+NOMINA!BX241</f>
        <v>888.77</v>
      </c>
      <c r="AA268" s="1151">
        <f>+NOMINA!BY241</f>
        <v>0</v>
      </c>
      <c r="AB268" s="1151">
        <f t="shared" si="17"/>
        <v>888.77</v>
      </c>
      <c r="AD268" s="634"/>
      <c r="AH268" s="1610" t="str">
        <f>NOMINA!P239</f>
        <v>01020373270000378596</v>
      </c>
    </row>
    <row r="269" spans="1:34" s="629" customFormat="1" ht="20.100000000000001" customHeight="1" thickBot="1">
      <c r="A269" s="770" t="s">
        <v>2846</v>
      </c>
      <c r="B269" s="771">
        <f t="shared" si="18"/>
        <v>202</v>
      </c>
      <c r="C269" s="1145">
        <f>NOMINA!C242</f>
        <v>19287100</v>
      </c>
      <c r="D269" s="1146" t="str">
        <f>NOMINA!D242</f>
        <v>Leal Mejia Fraineli Yoset</v>
      </c>
      <c r="E269" s="1613" t="s">
        <v>4622</v>
      </c>
      <c r="F269" s="1153">
        <v>32351</v>
      </c>
      <c r="G269" s="1613" t="s">
        <v>4620</v>
      </c>
      <c r="H269" s="1572">
        <f>NOMINA!H242</f>
        <v>44713</v>
      </c>
      <c r="I269" s="1148">
        <f>NOMINA!I243</f>
        <v>0</v>
      </c>
      <c r="J269" s="1149">
        <f>NOMINA!J243</f>
        <v>0</v>
      </c>
      <c r="K269" s="1148">
        <f t="shared" si="16"/>
        <v>0</v>
      </c>
      <c r="L269" s="1149" t="s">
        <v>4932</v>
      </c>
      <c r="M269" s="1149"/>
      <c r="N269" s="1573" t="str">
        <f>NOMINA!O242</f>
        <v>Tecnico Superior en Trabajo Social II</v>
      </c>
      <c r="O269" s="1149">
        <v>1.02087691000006E+18</v>
      </c>
      <c r="P269" s="1150">
        <f>ROUND(+NOMINA!T242,2)</f>
        <v>192</v>
      </c>
      <c r="Q269" s="1151">
        <v>0</v>
      </c>
      <c r="R269" s="1151">
        <f>ROUND(+NOMINA!AA242,2)</f>
        <v>3.84</v>
      </c>
      <c r="S269" s="1151">
        <f>ROUND(+NOMINA!AB242,2)</f>
        <v>130</v>
      </c>
      <c r="T269" s="1151">
        <f>ROUND(+NOMINA!AC242,2)</f>
        <v>25</v>
      </c>
      <c r="U269" s="1151">
        <f>ROUND(+NOMINA!AD242,2)</f>
        <v>70.17</v>
      </c>
      <c r="V269" s="1151">
        <f>ROUND(NOMINA!AQ242,2)</f>
        <v>0</v>
      </c>
      <c r="W269" s="1151">
        <f>+NOMINA!AS242</f>
        <v>0</v>
      </c>
      <c r="X269" s="1151">
        <f>+NOMINA!AT242</f>
        <v>25</v>
      </c>
      <c r="Y269" s="1151">
        <f>+NOMINA!AU242</f>
        <v>421.01</v>
      </c>
      <c r="Z269" s="1151">
        <f>+NOMINA!BX242</f>
        <v>789.4</v>
      </c>
      <c r="AA269" s="1151">
        <f>+NOMINA!BY242</f>
        <v>0</v>
      </c>
      <c r="AB269" s="1151">
        <f t="shared" si="17"/>
        <v>789.4</v>
      </c>
      <c r="AD269" s="634"/>
      <c r="AH269" s="1610" t="str">
        <f>NOMINA!P240</f>
        <v>01020747990000214375</v>
      </c>
    </row>
    <row r="270" spans="1:34" s="629" customFormat="1" ht="20.100000000000001" customHeight="1" thickBot="1">
      <c r="A270" s="770" t="s">
        <v>2846</v>
      </c>
      <c r="B270" s="771">
        <f t="shared" si="18"/>
        <v>203</v>
      </c>
      <c r="C270" s="1145">
        <f>NOMINA!C243</f>
        <v>19372791</v>
      </c>
      <c r="D270" s="1146" t="str">
        <f>NOMINA!D243</f>
        <v>Reveron Araujo Andreina Oscarelis</v>
      </c>
      <c r="E270" s="1613" t="s">
        <v>4622</v>
      </c>
      <c r="F270" s="1153">
        <v>32351</v>
      </c>
      <c r="G270" s="1613" t="s">
        <v>4620</v>
      </c>
      <c r="H270" s="1572">
        <f>NOMINA!H243</f>
        <v>45627</v>
      </c>
      <c r="I270" s="1148">
        <f>NOMINA!I244</f>
        <v>2</v>
      </c>
      <c r="J270" s="1149">
        <f>NOMINA!J244</f>
        <v>0</v>
      </c>
      <c r="K270" s="1148">
        <f t="shared" si="16"/>
        <v>2</v>
      </c>
      <c r="L270" s="1149" t="s">
        <v>4932</v>
      </c>
      <c r="M270" s="1149"/>
      <c r="N270" s="1573" t="str">
        <f>NOMINA!O243</f>
        <v>Guia de Centro I</v>
      </c>
      <c r="O270" s="1149">
        <v>1.02087691000006E+18</v>
      </c>
      <c r="P270" s="1150">
        <f>ROUND(+NOMINA!T243,2)</f>
        <v>192</v>
      </c>
      <c r="Q270" s="1151">
        <v>0</v>
      </c>
      <c r="R270" s="1151">
        <f>ROUND(+NOMINA!AA243,2)</f>
        <v>0</v>
      </c>
      <c r="S270" s="1151">
        <f>ROUND(+NOMINA!AB243,2)</f>
        <v>130</v>
      </c>
      <c r="T270" s="1151">
        <f>ROUND(+NOMINA!AC243,2)</f>
        <v>12.5</v>
      </c>
      <c r="U270" s="1151">
        <f>ROUND(+NOMINA!AD243,2)</f>
        <v>83.63</v>
      </c>
      <c r="V270" s="1151">
        <f>ROUND(NOMINA!AQ243,2)</f>
        <v>0</v>
      </c>
      <c r="W270" s="1151">
        <f>+NOMINA!AS243</f>
        <v>0</v>
      </c>
      <c r="X270" s="1151">
        <f>+NOMINA!AT243</f>
        <v>0</v>
      </c>
      <c r="Y270" s="1151">
        <f>+NOMINA!AU243</f>
        <v>543.56999999999994</v>
      </c>
      <c r="Z270" s="1151">
        <f>+NOMINA!BX243</f>
        <v>235.92</v>
      </c>
      <c r="AA270" s="1151">
        <f>+NOMINA!BY243</f>
        <v>0</v>
      </c>
      <c r="AB270" s="1151">
        <f t="shared" si="17"/>
        <v>235.92</v>
      </c>
      <c r="AD270" s="634"/>
      <c r="AH270" s="1610" t="str">
        <f>NOMINA!P241</f>
        <v>01020373200000441766</v>
      </c>
    </row>
    <row r="271" spans="1:34" s="629" customFormat="1" ht="20.100000000000001" customHeight="1" thickBot="1">
      <c r="A271" s="770" t="s">
        <v>2846</v>
      </c>
      <c r="B271" s="771">
        <f t="shared" si="18"/>
        <v>204</v>
      </c>
      <c r="C271" s="1145">
        <f>NOMINA!C244</f>
        <v>19610534</v>
      </c>
      <c r="D271" s="1146" t="str">
        <f>NOMINA!D244</f>
        <v>Santos Saavedra Greosmar Johan</v>
      </c>
      <c r="E271" s="1613" t="s">
        <v>4622</v>
      </c>
      <c r="F271" s="1153">
        <v>32351</v>
      </c>
      <c r="G271" s="1613" t="s">
        <v>4620</v>
      </c>
      <c r="H271" s="1572">
        <f>NOMINA!H244</f>
        <v>44713</v>
      </c>
      <c r="I271" s="1148">
        <f>NOMINA!I245</f>
        <v>2</v>
      </c>
      <c r="J271" s="1149">
        <f>NOMINA!J245</f>
        <v>0</v>
      </c>
      <c r="K271" s="1148">
        <f t="shared" si="16"/>
        <v>2</v>
      </c>
      <c r="L271" s="1149" t="s">
        <v>4932</v>
      </c>
      <c r="M271" s="1149"/>
      <c r="N271" s="1573" t="str">
        <f>NOMINA!O244</f>
        <v>Guia de Centro I</v>
      </c>
      <c r="O271" s="1149">
        <v>1.02087691000006E+18</v>
      </c>
      <c r="P271" s="1150">
        <f>ROUND(+NOMINA!T244,2)</f>
        <v>192</v>
      </c>
      <c r="Q271" s="1151">
        <v>0</v>
      </c>
      <c r="R271" s="1151">
        <f>ROUND(+NOMINA!AA244,2)</f>
        <v>3.84</v>
      </c>
      <c r="S271" s="1151">
        <f>ROUND(+NOMINA!AB244,2)</f>
        <v>130</v>
      </c>
      <c r="T271" s="1151">
        <f>ROUND(+NOMINA!AC244,2)</f>
        <v>12.5</v>
      </c>
      <c r="U271" s="1151">
        <f>ROUND(+NOMINA!AD244,2)</f>
        <v>67.67</v>
      </c>
      <c r="V271" s="1151">
        <f>ROUND(NOMINA!AQ244,2)</f>
        <v>0</v>
      </c>
      <c r="W271" s="1151">
        <f>+NOMINA!AS244</f>
        <v>0</v>
      </c>
      <c r="X271" s="1151">
        <f>+NOMINA!AT244</f>
        <v>0</v>
      </c>
      <c r="Y271" s="1151">
        <f>+NOMINA!AU244</f>
        <v>527.80999999999995</v>
      </c>
      <c r="Z271" s="1151">
        <f>+NOMINA!BX244</f>
        <v>989.65</v>
      </c>
      <c r="AA271" s="1151">
        <f>+NOMINA!BY244</f>
        <v>0</v>
      </c>
      <c r="AB271" s="1151">
        <f t="shared" si="17"/>
        <v>989.65</v>
      </c>
      <c r="AD271" s="634"/>
      <c r="AH271" s="1610" t="str">
        <f>NOMINA!P242</f>
        <v>01020494140000224190</v>
      </c>
    </row>
    <row r="272" spans="1:34" s="629" customFormat="1" ht="20.100000000000001" customHeight="1" thickBot="1">
      <c r="A272" s="770" t="s">
        <v>2846</v>
      </c>
      <c r="B272" s="771">
        <f t="shared" si="18"/>
        <v>205</v>
      </c>
      <c r="C272" s="1145">
        <f>NOMINA!C245</f>
        <v>19610565</v>
      </c>
      <c r="D272" s="1146" t="str">
        <f>NOMINA!D245</f>
        <v>Uzcategui Uzcategui Saray Cristina</v>
      </c>
      <c r="E272" s="1613" t="s">
        <v>4622</v>
      </c>
      <c r="F272" s="1153">
        <v>32351</v>
      </c>
      <c r="G272" s="1613" t="s">
        <v>4620</v>
      </c>
      <c r="H272" s="1572">
        <f>NOMINA!H245</f>
        <v>44713</v>
      </c>
      <c r="I272" s="1148">
        <f>NOMINA!I246</f>
        <v>6</v>
      </c>
      <c r="J272" s="1149">
        <f>NOMINA!J246</f>
        <v>0</v>
      </c>
      <c r="K272" s="1148">
        <f t="shared" si="16"/>
        <v>6</v>
      </c>
      <c r="L272" s="1149" t="s">
        <v>4932</v>
      </c>
      <c r="M272" s="1149"/>
      <c r="N272" s="1573" t="str">
        <f>NOMINA!O245</f>
        <v>Guia de Centro I</v>
      </c>
      <c r="O272" s="1149">
        <v>1.02087691000006E+18</v>
      </c>
      <c r="P272" s="1150">
        <f>ROUND(+NOMINA!T245,2)</f>
        <v>192</v>
      </c>
      <c r="Q272" s="1151">
        <v>0</v>
      </c>
      <c r="R272" s="1151">
        <f>ROUND(+NOMINA!AA245,2)</f>
        <v>3.84</v>
      </c>
      <c r="S272" s="1151">
        <f>ROUND(+NOMINA!AB245,2)</f>
        <v>130</v>
      </c>
      <c r="T272" s="1151">
        <f>ROUND(+NOMINA!AC245,2)</f>
        <v>25</v>
      </c>
      <c r="U272" s="1151">
        <f>ROUND(+NOMINA!AD245,2)</f>
        <v>87.71</v>
      </c>
      <c r="V272" s="1151">
        <f>ROUND(NOMINA!AQ245,2)</f>
        <v>0</v>
      </c>
      <c r="W272" s="1151">
        <f>+NOMINA!AS245</f>
        <v>0</v>
      </c>
      <c r="X272" s="1151">
        <f>+NOMINA!AT245</f>
        <v>12.5</v>
      </c>
      <c r="Y272" s="1151">
        <f>+NOMINA!AU245</f>
        <v>570.12</v>
      </c>
      <c r="Z272" s="1151">
        <f>+NOMINA!BX245</f>
        <v>1068.98</v>
      </c>
      <c r="AA272" s="1151">
        <f>+NOMINA!BY245</f>
        <v>0</v>
      </c>
      <c r="AB272" s="1151">
        <f t="shared" si="17"/>
        <v>1068.98</v>
      </c>
      <c r="AD272" s="634"/>
      <c r="AH272" s="1610" t="str">
        <f>NOMINA!P244</f>
        <v>01020493360000196927</v>
      </c>
    </row>
    <row r="273" spans="1:34" s="629" customFormat="1" ht="20.100000000000001" customHeight="1" thickBot="1">
      <c r="A273" s="770" t="s">
        <v>2846</v>
      </c>
      <c r="B273" s="771">
        <f t="shared" si="18"/>
        <v>206</v>
      </c>
      <c r="C273" s="1145">
        <f>NOMINA!C246</f>
        <v>19643405</v>
      </c>
      <c r="D273" s="1146" t="str">
        <f>NOMINA!D246</f>
        <v>Valero Mejia Aleidy Rosana</v>
      </c>
      <c r="E273" s="1613" t="s">
        <v>4622</v>
      </c>
      <c r="F273" s="1153">
        <v>32351</v>
      </c>
      <c r="G273" s="1613" t="s">
        <v>4620</v>
      </c>
      <c r="H273" s="1572">
        <f>NOMINA!H246</f>
        <v>43221</v>
      </c>
      <c r="I273" s="1148">
        <f>NOMINA!I247</f>
        <v>0</v>
      </c>
      <c r="J273" s="1149">
        <f>NOMINA!J247</f>
        <v>0</v>
      </c>
      <c r="K273" s="1148">
        <f t="shared" si="16"/>
        <v>0</v>
      </c>
      <c r="L273" s="1149" t="s">
        <v>4932</v>
      </c>
      <c r="M273" s="1149"/>
      <c r="N273" s="1573" t="str">
        <f>NOMINA!O246</f>
        <v>Guia de Centro II</v>
      </c>
      <c r="O273" s="1149">
        <v>1.02087691000006E+18</v>
      </c>
      <c r="P273" s="1150">
        <f>ROUND(+NOMINA!T246,2)</f>
        <v>221</v>
      </c>
      <c r="Q273" s="1151">
        <v>0</v>
      </c>
      <c r="R273" s="1151">
        <f>ROUND(+NOMINA!AA246,2)</f>
        <v>13.7</v>
      </c>
      <c r="S273" s="1151">
        <f>ROUND(+NOMINA!AB246,2)</f>
        <v>130</v>
      </c>
      <c r="T273" s="1151">
        <f>ROUND(+NOMINA!AC246,2)</f>
        <v>12.5</v>
      </c>
      <c r="U273" s="1151">
        <f>ROUND(+NOMINA!AD246,2)</f>
        <v>75.44</v>
      </c>
      <c r="V273" s="1151">
        <f>ROUND(NOMINA!AQ246,2)</f>
        <v>0</v>
      </c>
      <c r="W273" s="1151">
        <f>+NOMINA!AS246</f>
        <v>0</v>
      </c>
      <c r="X273" s="1151">
        <f>+NOMINA!AT246</f>
        <v>0</v>
      </c>
      <c r="Y273" s="1151">
        <f>+NOMINA!AU246</f>
        <v>588.42999999999995</v>
      </c>
      <c r="Z273" s="1151">
        <f>+NOMINA!BX246</f>
        <v>1103.31</v>
      </c>
      <c r="AA273" s="1151">
        <f>+NOMINA!BY246</f>
        <v>0</v>
      </c>
      <c r="AB273" s="1151">
        <f t="shared" si="17"/>
        <v>1103.31</v>
      </c>
      <c r="AD273" s="634"/>
      <c r="AH273" s="1610" t="str">
        <f>NOMINA!P245</f>
        <v>01020493390000326470</v>
      </c>
    </row>
    <row r="274" spans="1:34" s="629" customFormat="1" ht="20.100000000000001" customHeight="1" thickBot="1">
      <c r="A274" s="770" t="s">
        <v>2846</v>
      </c>
      <c r="B274" s="771">
        <f t="shared" si="18"/>
        <v>207</v>
      </c>
      <c r="C274" s="1145">
        <f>NOMINA!C247</f>
        <v>19643806</v>
      </c>
      <c r="D274" s="1146" t="str">
        <f>NOMINA!D247</f>
        <v>Vazquez Hernandez Doris Mercedes</v>
      </c>
      <c r="E274" s="1613" t="s">
        <v>4622</v>
      </c>
      <c r="F274" s="1153">
        <v>32351</v>
      </c>
      <c r="G274" s="1613" t="s">
        <v>4620</v>
      </c>
      <c r="H274" s="1572">
        <f>NOMINA!H247</f>
        <v>45505</v>
      </c>
      <c r="I274" s="1148">
        <f>NOMINA!I248</f>
        <v>4</v>
      </c>
      <c r="J274" s="1149">
        <f>NOMINA!J248</f>
        <v>0</v>
      </c>
      <c r="K274" s="1148">
        <f t="shared" si="16"/>
        <v>4</v>
      </c>
      <c r="L274" s="1149" t="s">
        <v>4932</v>
      </c>
      <c r="M274" s="1149"/>
      <c r="N274" s="1573" t="str">
        <f>NOMINA!O247</f>
        <v>Asistente Administrativo III</v>
      </c>
      <c r="O274" s="1149">
        <v>1.02087691000006E+18</v>
      </c>
      <c r="P274" s="1150">
        <f>ROUND(+NOMINA!T247,2)</f>
        <v>192</v>
      </c>
      <c r="Q274" s="1151">
        <v>0</v>
      </c>
      <c r="R274" s="1151">
        <f>ROUND(+NOMINA!AA247,2)</f>
        <v>0</v>
      </c>
      <c r="S274" s="1151">
        <f>ROUND(+NOMINA!AB247,2)</f>
        <v>130</v>
      </c>
      <c r="T274" s="1151">
        <f>ROUND(+NOMINA!AC247,2)</f>
        <v>25</v>
      </c>
      <c r="U274" s="1151">
        <f>ROUND(+NOMINA!AD247,2)</f>
        <v>86.75</v>
      </c>
      <c r="V274" s="1151">
        <f>ROUND(NOMINA!AQ247,2)</f>
        <v>0</v>
      </c>
      <c r="W274" s="1151">
        <f>+NOMINA!AS247</f>
        <v>0</v>
      </c>
      <c r="X274" s="1151">
        <f>+NOMINA!AT247</f>
        <v>25</v>
      </c>
      <c r="Y274" s="1151">
        <f>+NOMINA!AU247</f>
        <v>433.75</v>
      </c>
      <c r="Z274" s="1151">
        <f>+NOMINA!BX247</f>
        <v>272.98</v>
      </c>
      <c r="AA274" s="1151">
        <f>+NOMINA!BY247</f>
        <v>0</v>
      </c>
      <c r="AB274" s="1151">
        <f t="shared" si="17"/>
        <v>272.98</v>
      </c>
      <c r="AD274" s="634"/>
      <c r="AH274" s="1610" t="str">
        <f>NOMINA!P246</f>
        <v>01020747910000270144</v>
      </c>
    </row>
    <row r="275" spans="1:34" s="629" customFormat="1" ht="20.100000000000001" customHeight="1" thickBot="1">
      <c r="A275" s="770" t="s">
        <v>2846</v>
      </c>
      <c r="B275" s="771">
        <f t="shared" si="18"/>
        <v>208</v>
      </c>
      <c r="C275" s="1145">
        <f>NOMINA!C248</f>
        <v>19644743</v>
      </c>
      <c r="D275" s="1146" t="str">
        <f>NOMINA!D248</f>
        <v>Villa Daniela Carolina</v>
      </c>
      <c r="E275" s="1613" t="s">
        <v>4622</v>
      </c>
      <c r="F275" s="1153">
        <v>32351</v>
      </c>
      <c r="G275" s="1613" t="s">
        <v>4620</v>
      </c>
      <c r="H275" s="1572">
        <f>NOMINA!H248</f>
        <v>43967</v>
      </c>
      <c r="I275" s="1148">
        <f>NOMINA!I249</f>
        <v>3</v>
      </c>
      <c r="J275" s="1149">
        <f>NOMINA!J249</f>
        <v>0</v>
      </c>
      <c r="K275" s="1148">
        <f t="shared" si="16"/>
        <v>3</v>
      </c>
      <c r="L275" s="1149" t="s">
        <v>4932</v>
      </c>
      <c r="M275" s="1149"/>
      <c r="N275" s="1573" t="str">
        <f>NOMINA!O248</f>
        <v>Analista de Procesamiento de Datos II</v>
      </c>
      <c r="O275" s="1149">
        <v>1.02087691000006E+18</v>
      </c>
      <c r="P275" s="1150">
        <f>ROUND(+NOMINA!T248,2)</f>
        <v>277</v>
      </c>
      <c r="Q275" s="1151">
        <v>0</v>
      </c>
      <c r="R275" s="1151">
        <f>ROUND(+NOMINA!AA248,2)</f>
        <v>11.08</v>
      </c>
      <c r="S275" s="1151">
        <f>ROUND(+NOMINA!AB248,2)</f>
        <v>130</v>
      </c>
      <c r="T275" s="1151">
        <f>ROUND(+NOMINA!AC248,2)</f>
        <v>25</v>
      </c>
      <c r="U275" s="1151">
        <f>ROUND(+NOMINA!AD248,2)</f>
        <v>110.77</v>
      </c>
      <c r="V275" s="1151">
        <f>ROUND(NOMINA!AQ248,2)</f>
        <v>0</v>
      </c>
      <c r="W275" s="1151">
        <f>+NOMINA!AS248</f>
        <v>0</v>
      </c>
      <c r="X275" s="1151">
        <f>+NOMINA!AT248</f>
        <v>12.5</v>
      </c>
      <c r="Y275" s="1151">
        <f>+NOMINA!AU248</f>
        <v>553.85</v>
      </c>
      <c r="Z275" s="1151">
        <f>+NOMINA!BX248</f>
        <v>1038.47</v>
      </c>
      <c r="AA275" s="1151">
        <f>+NOMINA!BY248</f>
        <v>0</v>
      </c>
      <c r="AB275" s="1151">
        <f t="shared" si="17"/>
        <v>1038.47</v>
      </c>
      <c r="AD275" s="634"/>
      <c r="AH275" s="1610" t="str">
        <f>NOMINA!P247</f>
        <v>01020373230100096328</v>
      </c>
    </row>
    <row r="276" spans="1:34" s="629" customFormat="1" ht="20.100000000000001" customHeight="1" thickBot="1">
      <c r="A276" s="770" t="s">
        <v>2846</v>
      </c>
      <c r="B276" s="771">
        <f t="shared" si="18"/>
        <v>209</v>
      </c>
      <c r="C276" s="1145">
        <f>NOMINA!C249</f>
        <v>19644756</v>
      </c>
      <c r="D276" s="1146" t="str">
        <f>NOMINA!D249</f>
        <v>Mejia Aldana Norbelys Carolina</v>
      </c>
      <c r="E276" s="1613" t="s">
        <v>4622</v>
      </c>
      <c r="F276" s="1153">
        <v>32351</v>
      </c>
      <c r="G276" s="1613" t="s">
        <v>4620</v>
      </c>
      <c r="H276" s="1572">
        <f>NOMINA!H249</f>
        <v>44470</v>
      </c>
      <c r="I276" s="1148">
        <f>NOMINA!I250</f>
        <v>2</v>
      </c>
      <c r="J276" s="1149">
        <f>NOMINA!J250</f>
        <v>0</v>
      </c>
      <c r="K276" s="1148">
        <f t="shared" si="16"/>
        <v>2</v>
      </c>
      <c r="L276" s="1149" t="s">
        <v>4932</v>
      </c>
      <c r="M276" s="1149"/>
      <c r="N276" s="1573" t="str">
        <f>NOMINA!O249</f>
        <v>Economa II</v>
      </c>
      <c r="O276" s="1149">
        <v>1.02087691000006E+18</v>
      </c>
      <c r="P276" s="1150">
        <f>ROUND(+NOMINA!T249,2)</f>
        <v>150</v>
      </c>
      <c r="Q276" s="1151">
        <v>0</v>
      </c>
      <c r="R276" s="1151">
        <f>ROUND(+NOMINA!AA249,2)</f>
        <v>4.5</v>
      </c>
      <c r="S276" s="1151">
        <f>ROUND(+NOMINA!AB249,2)</f>
        <v>130</v>
      </c>
      <c r="T276" s="1151">
        <f>ROUND(+NOMINA!AC249,2)</f>
        <v>25</v>
      </c>
      <c r="U276" s="1151">
        <f>ROUND(+NOMINA!AD249,2)</f>
        <v>0</v>
      </c>
      <c r="V276" s="1151">
        <f>ROUND(NOMINA!AQ249,2)</f>
        <v>0</v>
      </c>
      <c r="W276" s="1151">
        <f>+NOMINA!AS249</f>
        <v>0</v>
      </c>
      <c r="X276" s="1151">
        <f>+NOMINA!AT249</f>
        <v>25</v>
      </c>
      <c r="Y276" s="1151">
        <f>+NOMINA!AU249</f>
        <v>309.5</v>
      </c>
      <c r="Z276" s="1151">
        <f>+NOMINA!BX249</f>
        <v>580.30999999999995</v>
      </c>
      <c r="AA276" s="1151">
        <f>+NOMINA!BY249</f>
        <v>0</v>
      </c>
      <c r="AB276" s="1151">
        <f t="shared" si="17"/>
        <v>580.30999999999995</v>
      </c>
      <c r="AD276" s="634"/>
      <c r="AH276" s="1610" t="str">
        <f>NOMINA!P248</f>
        <v>01020373290000652636</v>
      </c>
    </row>
    <row r="277" spans="1:34" s="629" customFormat="1" ht="20.100000000000001" customHeight="1" thickBot="1">
      <c r="A277" s="770" t="s">
        <v>2846</v>
      </c>
      <c r="B277" s="771">
        <f t="shared" si="18"/>
        <v>210</v>
      </c>
      <c r="C277" s="1145">
        <f>NOMINA!C250</f>
        <v>19794217</v>
      </c>
      <c r="D277" s="1146" t="str">
        <f>NOMINA!D250</f>
        <v>Suarez Leal Betzabeth Daimar</v>
      </c>
      <c r="E277" s="1613" t="s">
        <v>4622</v>
      </c>
      <c r="F277" s="1153">
        <v>32351</v>
      </c>
      <c r="G277" s="1613" t="s">
        <v>4620</v>
      </c>
      <c r="H277" s="1572">
        <f>NOMINA!H250</f>
        <v>44683</v>
      </c>
      <c r="I277" s="1148">
        <f>NOMINA!I251</f>
        <v>0</v>
      </c>
      <c r="J277" s="1149">
        <f>NOMINA!J251</f>
        <v>0</v>
      </c>
      <c r="K277" s="1148">
        <f t="shared" si="16"/>
        <v>0</v>
      </c>
      <c r="L277" s="1149" t="s">
        <v>4932</v>
      </c>
      <c r="M277" s="1149"/>
      <c r="N277" s="1573" t="str">
        <f>NOMINA!O250</f>
        <v>Guia de Centro I</v>
      </c>
      <c r="O277" s="1149">
        <v>1.02087691000006E+18</v>
      </c>
      <c r="P277" s="1150">
        <f>ROUND(+NOMINA!T250,2)</f>
        <v>192</v>
      </c>
      <c r="Q277" s="1151">
        <v>0</v>
      </c>
      <c r="R277" s="1151">
        <f>ROUND(+NOMINA!AA250,2)</f>
        <v>3.84</v>
      </c>
      <c r="S277" s="1151">
        <f>ROUND(+NOMINA!AB250,2)</f>
        <v>130</v>
      </c>
      <c r="T277" s="1151">
        <f>ROUND(+NOMINA!AC250,2)</f>
        <v>12.5</v>
      </c>
      <c r="U277" s="1151">
        <f>ROUND(+NOMINA!AD250,2)</f>
        <v>67.67</v>
      </c>
      <c r="V277" s="1151">
        <f>ROUND(NOMINA!AQ250,2)</f>
        <v>0</v>
      </c>
      <c r="W277" s="1151">
        <f>+NOMINA!AS250</f>
        <v>0</v>
      </c>
      <c r="X277" s="1151">
        <f>+NOMINA!AT250</f>
        <v>12.5</v>
      </c>
      <c r="Y277" s="1151">
        <f>+NOMINA!AU250</f>
        <v>527.80999999999995</v>
      </c>
      <c r="Z277" s="1151">
        <f>+NOMINA!BX250</f>
        <v>989.65</v>
      </c>
      <c r="AA277" s="1151">
        <f>+NOMINA!BY250</f>
        <v>0</v>
      </c>
      <c r="AB277" s="1151">
        <f t="shared" si="17"/>
        <v>989.65</v>
      </c>
      <c r="AD277" s="634"/>
      <c r="AH277" s="1610" t="str">
        <f>NOMINA!P249</f>
        <v>01020501860002859343</v>
      </c>
    </row>
    <row r="278" spans="1:34" s="629" customFormat="1" ht="20.100000000000001" customHeight="1" thickBot="1">
      <c r="A278" s="770" t="s">
        <v>2846</v>
      </c>
      <c r="B278" s="771">
        <f t="shared" si="18"/>
        <v>211</v>
      </c>
      <c r="C278" s="1145">
        <f>NOMINA!C251</f>
        <v>20038162</v>
      </c>
      <c r="D278" s="1146" t="str">
        <f>NOMINA!D251</f>
        <v>Jerez Rangel Gleidy Andreina</v>
      </c>
      <c r="E278" s="1613" t="s">
        <v>4622</v>
      </c>
      <c r="F278" s="1153">
        <v>32351</v>
      </c>
      <c r="G278" s="1613" t="s">
        <v>4620</v>
      </c>
      <c r="H278" s="1572">
        <f>NOMINA!H251</f>
        <v>45597</v>
      </c>
      <c r="I278" s="1148">
        <f>NOMINA!I252</f>
        <v>0</v>
      </c>
      <c r="J278" s="1149">
        <f>NOMINA!J252</f>
        <v>0</v>
      </c>
      <c r="K278" s="1148">
        <f t="shared" si="16"/>
        <v>0</v>
      </c>
      <c r="L278" s="1149" t="s">
        <v>4932</v>
      </c>
      <c r="M278" s="1149"/>
      <c r="N278" s="1573" t="str">
        <f>NOMINA!O251</f>
        <v>Guia de Centro I</v>
      </c>
      <c r="O278" s="1149">
        <v>1.02087691000006E+18</v>
      </c>
      <c r="P278" s="1150">
        <f>ROUND(+NOMINA!T251,2)</f>
        <v>192</v>
      </c>
      <c r="Q278" s="1151">
        <v>0</v>
      </c>
      <c r="R278" s="1151">
        <f>ROUND(+NOMINA!AA251,2)</f>
        <v>0</v>
      </c>
      <c r="S278" s="1151">
        <f>ROUND(+NOMINA!AB251,2)</f>
        <v>130</v>
      </c>
      <c r="T278" s="1151">
        <f>ROUND(+NOMINA!AC251,2)</f>
        <v>25</v>
      </c>
      <c r="U278" s="1151">
        <f>ROUND(+NOMINA!AD251,2)</f>
        <v>86.75</v>
      </c>
      <c r="V278" s="1151">
        <f>ROUND(NOMINA!AQ251,2)</f>
        <v>0</v>
      </c>
      <c r="W278" s="1151">
        <f>+NOMINA!AS251</f>
        <v>0</v>
      </c>
      <c r="X278" s="1151">
        <f>+NOMINA!AT251</f>
        <v>12.5</v>
      </c>
      <c r="Y278" s="1151">
        <f>+NOMINA!AU251</f>
        <v>563.88</v>
      </c>
      <c r="Z278" s="1151">
        <f>+NOMINA!BX251</f>
        <v>254.53</v>
      </c>
      <c r="AA278" s="1151">
        <f>+NOMINA!BY251</f>
        <v>0</v>
      </c>
      <c r="AB278" s="1151">
        <f t="shared" si="17"/>
        <v>254.53</v>
      </c>
      <c r="AD278" s="634"/>
      <c r="AH278" s="1610" t="str">
        <f>NOMINA!P250</f>
        <v>01020747920000079413</v>
      </c>
    </row>
    <row r="279" spans="1:34" s="629" customFormat="1" ht="20.100000000000001" customHeight="1" thickBot="1">
      <c r="A279" s="770" t="s">
        <v>2846</v>
      </c>
      <c r="B279" s="771">
        <f t="shared" si="18"/>
        <v>212</v>
      </c>
      <c r="C279" s="1145">
        <f>NOMINA!C252</f>
        <v>20655363</v>
      </c>
      <c r="D279" s="1146" t="str">
        <f>NOMINA!D252</f>
        <v>Sarache Ramirez Maryelis Stefani</v>
      </c>
      <c r="E279" s="1613" t="s">
        <v>4622</v>
      </c>
      <c r="F279" s="1153">
        <v>32351</v>
      </c>
      <c r="G279" s="1613" t="s">
        <v>4620</v>
      </c>
      <c r="H279" s="1572">
        <f>NOMINA!H252</f>
        <v>45323</v>
      </c>
      <c r="I279" s="1148">
        <f>NOMINA!I253</f>
        <v>3</v>
      </c>
      <c r="J279" s="1149">
        <f>NOMINA!J253</f>
        <v>2</v>
      </c>
      <c r="K279" s="1148">
        <f t="shared" si="16"/>
        <v>5</v>
      </c>
      <c r="L279" s="1149" t="s">
        <v>4932</v>
      </c>
      <c r="M279" s="1149"/>
      <c r="N279" s="1573" t="str">
        <f>NOMINA!O252</f>
        <v>Guia de Centro I</v>
      </c>
      <c r="O279" s="1149">
        <v>1.02087691000006E+18</v>
      </c>
      <c r="P279" s="1150">
        <f>ROUND(+NOMINA!T252,2)</f>
        <v>192</v>
      </c>
      <c r="Q279" s="1151">
        <v>0</v>
      </c>
      <c r="R279" s="1151">
        <f>ROUND(+NOMINA!AA252,2)</f>
        <v>0</v>
      </c>
      <c r="S279" s="1151">
        <f>ROUND(+NOMINA!AB252,2)</f>
        <v>130</v>
      </c>
      <c r="T279" s="1151">
        <f>ROUND(+NOMINA!AC252,2)</f>
        <v>25</v>
      </c>
      <c r="U279" s="1151">
        <f>ROUND(+NOMINA!AD252,2)</f>
        <v>86.75</v>
      </c>
      <c r="V279" s="1151">
        <f>ROUND(NOMINA!AQ252,2)</f>
        <v>0</v>
      </c>
      <c r="W279" s="1151">
        <f>+NOMINA!AS252</f>
        <v>0</v>
      </c>
      <c r="X279" s="1151">
        <f>+NOMINA!AT252</f>
        <v>25</v>
      </c>
      <c r="Y279" s="1151">
        <f>+NOMINA!AU252</f>
        <v>563.88</v>
      </c>
      <c r="Z279" s="1151">
        <f>+NOMINA!BX252</f>
        <v>942.25</v>
      </c>
      <c r="AA279" s="1151">
        <f>+NOMINA!BY252</f>
        <v>0</v>
      </c>
      <c r="AB279" s="1151">
        <f t="shared" si="17"/>
        <v>942.25</v>
      </c>
      <c r="AD279" s="634"/>
      <c r="AH279" s="1610" t="str">
        <f>NOMINA!P251</f>
        <v>01020373250000448390</v>
      </c>
    </row>
    <row r="280" spans="1:34" s="629" customFormat="1" ht="20.100000000000001" customHeight="1" thickBot="1">
      <c r="A280" s="770" t="s">
        <v>2846</v>
      </c>
      <c r="B280" s="771">
        <f t="shared" si="18"/>
        <v>213</v>
      </c>
      <c r="C280" s="1145">
        <f>NOMINA!C253</f>
        <v>20401711</v>
      </c>
      <c r="D280" s="1146" t="str">
        <f>NOMINA!D253</f>
        <v>Mendez Giro Maryely Roxana</v>
      </c>
      <c r="E280" s="1613" t="s">
        <v>4622</v>
      </c>
      <c r="F280" s="1153">
        <v>32351</v>
      </c>
      <c r="G280" s="1613" t="s">
        <v>4620</v>
      </c>
      <c r="H280" s="1572">
        <f>NOMINA!H253</f>
        <v>44363</v>
      </c>
      <c r="I280" s="1148">
        <f>NOMINA!I254</f>
        <v>0</v>
      </c>
      <c r="J280" s="1149">
        <f>NOMINA!J254</f>
        <v>0</v>
      </c>
      <c r="K280" s="1148">
        <f t="shared" si="16"/>
        <v>0</v>
      </c>
      <c r="L280" s="1149" t="s">
        <v>4932</v>
      </c>
      <c r="M280" s="1149"/>
      <c r="N280" s="1573" t="str">
        <f>NOMINA!O253</f>
        <v>Guia de Centro II</v>
      </c>
      <c r="O280" s="1149">
        <v>1.02087691000006E+18</v>
      </c>
      <c r="P280" s="1150">
        <f>ROUND(+NOMINA!T253,2)</f>
        <v>219</v>
      </c>
      <c r="Q280" s="1151">
        <v>0</v>
      </c>
      <c r="R280" s="1151">
        <f>ROUND(+NOMINA!AA253,2)</f>
        <v>10.95</v>
      </c>
      <c r="S280" s="1151">
        <f>ROUND(+NOMINA!AB253,2)</f>
        <v>130</v>
      </c>
      <c r="T280" s="1151">
        <f>ROUND(+NOMINA!AC253,2)</f>
        <v>25</v>
      </c>
      <c r="U280" s="1151">
        <f>ROUND(+NOMINA!AD253,2)</f>
        <v>76.989999999999995</v>
      </c>
      <c r="V280" s="1151">
        <f>ROUND(NOMINA!AQ253,2)</f>
        <v>0</v>
      </c>
      <c r="W280" s="1151">
        <f>+NOMINA!AS253</f>
        <v>0</v>
      </c>
      <c r="X280" s="1151">
        <f>+NOMINA!AT253</f>
        <v>12.5</v>
      </c>
      <c r="Y280" s="1151">
        <f>+NOMINA!AU253</f>
        <v>600.52</v>
      </c>
      <c r="Z280" s="1151">
        <f>+NOMINA!BX253</f>
        <v>1125.98</v>
      </c>
      <c r="AA280" s="1151">
        <f>+NOMINA!BY253</f>
        <v>0</v>
      </c>
      <c r="AB280" s="1151">
        <f t="shared" si="17"/>
        <v>1125.98</v>
      </c>
      <c r="AD280" s="634"/>
      <c r="AH280" s="1610" t="str">
        <f>NOMINA!P252</f>
        <v>01020373280000417596</v>
      </c>
    </row>
    <row r="281" spans="1:34" s="629" customFormat="1" ht="20.100000000000001" customHeight="1" thickBot="1">
      <c r="A281" s="770" t="s">
        <v>2846</v>
      </c>
      <c r="B281" s="771">
        <f t="shared" si="18"/>
        <v>214</v>
      </c>
      <c r="C281" s="1145">
        <f>NOMINA!C254</f>
        <v>20428039</v>
      </c>
      <c r="D281" s="1146" t="str">
        <f>NOMINA!D254</f>
        <v>Manzanilla Juan Roberto Antonio</v>
      </c>
      <c r="E281" s="1613" t="s">
        <v>4622</v>
      </c>
      <c r="F281" s="1153">
        <v>32351</v>
      </c>
      <c r="G281" s="1613" t="s">
        <v>4620</v>
      </c>
      <c r="H281" s="1572">
        <f>NOMINA!H254</f>
        <v>45566</v>
      </c>
      <c r="I281" s="1148">
        <f>NOMINA!I255</f>
        <v>1</v>
      </c>
      <c r="J281" s="1149">
        <f>NOMINA!J255</f>
        <v>0</v>
      </c>
      <c r="K281" s="1148">
        <f t="shared" si="16"/>
        <v>1</v>
      </c>
      <c r="L281" s="1149" t="s">
        <v>4932</v>
      </c>
      <c r="M281" s="1149"/>
      <c r="N281" s="1573" t="str">
        <f>NOMINA!O254</f>
        <v>Guia de Centro I</v>
      </c>
      <c r="O281" s="1149">
        <v>1.02087691000006E+18</v>
      </c>
      <c r="P281" s="1150">
        <f>ROUND(+NOMINA!T254,2)</f>
        <v>130</v>
      </c>
      <c r="Q281" s="1151">
        <v>0</v>
      </c>
      <c r="R281" s="1151">
        <f>ROUND(+NOMINA!AA254,2)</f>
        <v>0</v>
      </c>
      <c r="S281" s="1151">
        <f>ROUND(+NOMINA!AB254,2)</f>
        <v>130</v>
      </c>
      <c r="T281" s="1151">
        <f>ROUND(+NOMINA!AC254,2)</f>
        <v>25</v>
      </c>
      <c r="U281" s="1151">
        <f>ROUND(+NOMINA!AD254,2)</f>
        <v>0</v>
      </c>
      <c r="V281" s="1151">
        <f>ROUND(NOMINA!AQ254,2)</f>
        <v>0</v>
      </c>
      <c r="W281" s="1151">
        <f>+NOMINA!AS254</f>
        <v>0</v>
      </c>
      <c r="X281" s="1151">
        <f>+NOMINA!AT254</f>
        <v>25</v>
      </c>
      <c r="Y281" s="1151">
        <f>+NOMINA!AU254</f>
        <v>370.5</v>
      </c>
      <c r="Z281" s="1151">
        <f>+NOMINA!BX254</f>
        <v>130.26</v>
      </c>
      <c r="AA281" s="1151">
        <f>+NOMINA!BY254</f>
        <v>0</v>
      </c>
      <c r="AB281" s="1151">
        <f t="shared" si="17"/>
        <v>130.26</v>
      </c>
      <c r="AC281" s="1582" t="s">
        <v>7376</v>
      </c>
      <c r="AD281" s="634"/>
      <c r="AH281" s="1610" t="str">
        <f>NOMINA!P253</f>
        <v>01020369410000487843</v>
      </c>
    </row>
    <row r="282" spans="1:34" s="629" customFormat="1" ht="20.100000000000001" customHeight="1" thickBot="1">
      <c r="A282" s="770" t="s">
        <v>2846</v>
      </c>
      <c r="B282" s="771">
        <f t="shared" si="18"/>
        <v>215</v>
      </c>
      <c r="C282" s="1145">
        <f>NOMINA!C255</f>
        <v>20430884</v>
      </c>
      <c r="D282" s="1146" t="str">
        <f>NOMINA!D255</f>
        <v>Ruiz Olmos Diana Carolina</v>
      </c>
      <c r="E282" s="1613" t="s">
        <v>4622</v>
      </c>
      <c r="F282" s="1153">
        <v>32351</v>
      </c>
      <c r="G282" s="1613" t="s">
        <v>4620</v>
      </c>
      <c r="H282" s="1572">
        <f>NOMINA!H255</f>
        <v>45292</v>
      </c>
      <c r="I282" s="1148">
        <f>NOMINA!I256</f>
        <v>3</v>
      </c>
      <c r="J282" s="1149">
        <f>NOMINA!J256</f>
        <v>0</v>
      </c>
      <c r="K282" s="1148">
        <f t="shared" si="16"/>
        <v>3</v>
      </c>
      <c r="L282" s="1149" t="s">
        <v>4932</v>
      </c>
      <c r="M282" s="1149"/>
      <c r="N282" s="1573" t="str">
        <f>NOMINA!O255</f>
        <v>Guia de Centro I</v>
      </c>
      <c r="O282" s="1149">
        <v>1.02087691000006E+18</v>
      </c>
      <c r="P282" s="1150">
        <f>ROUND(+NOMINA!T255,2)</f>
        <v>192</v>
      </c>
      <c r="Q282" s="1151">
        <v>0</v>
      </c>
      <c r="R282" s="1151">
        <f>ROUND(+NOMINA!AA255,2)</f>
        <v>1.92</v>
      </c>
      <c r="S282" s="1151">
        <f>ROUND(+NOMINA!AB255,2)</f>
        <v>130</v>
      </c>
      <c r="T282" s="1151">
        <f>ROUND(+NOMINA!AC255,2)</f>
        <v>0</v>
      </c>
      <c r="U282" s="1151">
        <f>ROUND(+NOMINA!AD255,2)</f>
        <v>64.78</v>
      </c>
      <c r="V282" s="1151">
        <f>ROUND(NOMINA!AQ255,2)</f>
        <v>0</v>
      </c>
      <c r="W282" s="1151">
        <f>+NOMINA!AS255</f>
        <v>0</v>
      </c>
      <c r="X282" s="1151">
        <f>+NOMINA!AT255</f>
        <v>0</v>
      </c>
      <c r="Y282" s="1151">
        <f>+NOMINA!AU255</f>
        <v>505.31</v>
      </c>
      <c r="Z282" s="1151">
        <f>+NOMINA!BX255</f>
        <v>947.46</v>
      </c>
      <c r="AA282" s="1151">
        <f>+NOMINA!BY255</f>
        <v>0</v>
      </c>
      <c r="AB282" s="1151">
        <f t="shared" si="17"/>
        <v>947.46</v>
      </c>
      <c r="AD282" s="634"/>
      <c r="AH282" s="1610" t="str">
        <f>NOMINA!P254</f>
        <v>01020494150000229946</v>
      </c>
    </row>
    <row r="283" spans="1:34" s="629" customFormat="1" ht="20.100000000000001" customHeight="1" thickBot="1">
      <c r="A283" s="770" t="s">
        <v>2846</v>
      </c>
      <c r="B283" s="771">
        <f t="shared" si="18"/>
        <v>216</v>
      </c>
      <c r="C283" s="1145">
        <f>NOMINA!C256</f>
        <v>20603227</v>
      </c>
      <c r="D283" s="1146" t="str">
        <f>NOMINA!D256</f>
        <v>Morillo Garces Yeniree Lourdes</v>
      </c>
      <c r="E283" s="1613" t="s">
        <v>4622</v>
      </c>
      <c r="F283" s="1153">
        <v>32351</v>
      </c>
      <c r="G283" s="1613" t="s">
        <v>4620</v>
      </c>
      <c r="H283" s="1572">
        <f>NOMINA!H256</f>
        <v>44470</v>
      </c>
      <c r="I283" s="1148">
        <f>NOMINA!I257</f>
        <v>8</v>
      </c>
      <c r="J283" s="1149">
        <f>NOMINA!J257</f>
        <v>0</v>
      </c>
      <c r="K283" s="1148">
        <f t="shared" si="16"/>
        <v>8</v>
      </c>
      <c r="L283" s="1149" t="s">
        <v>4932</v>
      </c>
      <c r="M283" s="1149"/>
      <c r="N283" s="1573" t="str">
        <f>NOMINA!O256</f>
        <v>Tecnico Superior en Trabajo Social II</v>
      </c>
      <c r="O283" s="1149">
        <v>1.02087691000006E+18</v>
      </c>
      <c r="P283" s="1150">
        <f>ROUND(+NOMINA!T256,2)</f>
        <v>219</v>
      </c>
      <c r="Q283" s="1151">
        <v>0</v>
      </c>
      <c r="R283" s="1151">
        <f>ROUND(+NOMINA!AA256,2)</f>
        <v>6.57</v>
      </c>
      <c r="S283" s="1151">
        <f>ROUND(+NOMINA!AB256,2)</f>
        <v>130</v>
      </c>
      <c r="T283" s="1151">
        <f>ROUND(+NOMINA!AC256,2)</f>
        <v>25</v>
      </c>
      <c r="U283" s="1151">
        <f>ROUND(+NOMINA!AD256,2)</f>
        <v>76.11</v>
      </c>
      <c r="V283" s="1151">
        <f>ROUND(NOMINA!AQ256,2)</f>
        <v>0</v>
      </c>
      <c r="W283" s="1151">
        <f>+NOMINA!AS256</f>
        <v>0</v>
      </c>
      <c r="X283" s="1151">
        <f>+NOMINA!AT256</f>
        <v>25</v>
      </c>
      <c r="Y283" s="1151">
        <f>+NOMINA!AU256</f>
        <v>456.68</v>
      </c>
      <c r="Z283" s="1151">
        <f>+NOMINA!BX256</f>
        <v>856.28</v>
      </c>
      <c r="AA283" s="1151">
        <f>+NOMINA!BY256</f>
        <v>0</v>
      </c>
      <c r="AB283" s="1151">
        <f t="shared" si="17"/>
        <v>856.28</v>
      </c>
      <c r="AD283" s="634"/>
      <c r="AH283" s="1610" t="str">
        <f>NOMINA!P255</f>
        <v>01020373280000255677</v>
      </c>
    </row>
    <row r="284" spans="1:34" s="629" customFormat="1" ht="20.100000000000001" customHeight="1" thickBot="1">
      <c r="A284" s="770" t="s">
        <v>2846</v>
      </c>
      <c r="B284" s="771">
        <f t="shared" si="18"/>
        <v>217</v>
      </c>
      <c r="C284" s="1145">
        <f>NOMINA!C257</f>
        <v>20707490</v>
      </c>
      <c r="D284" s="1146" t="str">
        <f>NOMINA!D257</f>
        <v>Saavedra Valera Keila Andreina</v>
      </c>
      <c r="E284" s="1613" t="s">
        <v>4622</v>
      </c>
      <c r="F284" s="1153">
        <v>32351</v>
      </c>
      <c r="G284" s="1613" t="s">
        <v>4620</v>
      </c>
      <c r="H284" s="1572">
        <f>NOMINA!H257</f>
        <v>42751</v>
      </c>
      <c r="I284" s="1148">
        <f>NOMINA!I258</f>
        <v>2</v>
      </c>
      <c r="J284" s="1149">
        <f>NOMINA!J258</f>
        <v>0</v>
      </c>
      <c r="K284" s="1148">
        <f t="shared" si="16"/>
        <v>2</v>
      </c>
      <c r="L284" s="1149" t="s">
        <v>4932</v>
      </c>
      <c r="M284" s="1149"/>
      <c r="N284" s="1573" t="str">
        <f>NOMINA!O257</f>
        <v>Tutor Facilitador III</v>
      </c>
      <c r="O284" s="1149">
        <v>1.02087691000006E+18</v>
      </c>
      <c r="P284" s="1150">
        <f>ROUND(+NOMINA!T257,2)</f>
        <v>279</v>
      </c>
      <c r="Q284" s="1151">
        <v>0</v>
      </c>
      <c r="R284" s="1151">
        <f>ROUND(+NOMINA!AA257,2)</f>
        <v>23.99</v>
      </c>
      <c r="S284" s="1151">
        <f>ROUND(+NOMINA!AB257,2)</f>
        <v>130</v>
      </c>
      <c r="T284" s="1151">
        <f>ROUND(+NOMINA!AC257,2)</f>
        <v>25</v>
      </c>
      <c r="U284" s="1151">
        <f>ROUND(+NOMINA!AD257,2)</f>
        <v>0</v>
      </c>
      <c r="V284" s="1151">
        <f>ROUND(NOMINA!AQ257,2)</f>
        <v>0</v>
      </c>
      <c r="W284" s="1151">
        <f>+NOMINA!AS257</f>
        <v>0</v>
      </c>
      <c r="X284" s="1151">
        <f>+NOMINA!AT257</f>
        <v>0</v>
      </c>
      <c r="Y284" s="1151">
        <f>+NOMINA!AU257</f>
        <v>457.99</v>
      </c>
      <c r="Z284" s="1151">
        <f>+NOMINA!BX257</f>
        <v>858.73</v>
      </c>
      <c r="AA284" s="1151">
        <f>+NOMINA!BY257</f>
        <v>0</v>
      </c>
      <c r="AB284" s="1151">
        <f t="shared" si="17"/>
        <v>858.73</v>
      </c>
      <c r="AD284" s="634"/>
      <c r="AH284" s="1610" t="str">
        <f>NOMINA!P256</f>
        <v>01020373210000102500</v>
      </c>
    </row>
    <row r="285" spans="1:34" s="629" customFormat="1" ht="20.100000000000001" customHeight="1" thickBot="1">
      <c r="A285" s="770" t="s">
        <v>2846</v>
      </c>
      <c r="B285" s="771">
        <f t="shared" si="18"/>
        <v>218</v>
      </c>
      <c r="C285" s="1145">
        <f>NOMINA!C258</f>
        <v>20789286</v>
      </c>
      <c r="D285" s="1146" t="str">
        <f>NOMINA!D258</f>
        <v xml:space="preserve">Viloria Jessica del Carmen </v>
      </c>
      <c r="E285" s="1613" t="s">
        <v>4622</v>
      </c>
      <c r="F285" s="1153">
        <v>32351</v>
      </c>
      <c r="G285" s="1613" t="s">
        <v>4620</v>
      </c>
      <c r="H285" s="1572">
        <f>NOMINA!H258</f>
        <v>44713</v>
      </c>
      <c r="I285" s="1148">
        <f>NOMINA!I259</f>
        <v>4</v>
      </c>
      <c r="J285" s="1149">
        <f>NOMINA!J259</f>
        <v>0</v>
      </c>
      <c r="K285" s="1148">
        <f t="shared" si="16"/>
        <v>4</v>
      </c>
      <c r="L285" s="1149" t="s">
        <v>4932</v>
      </c>
      <c r="M285" s="1149"/>
      <c r="N285" s="1573" t="str">
        <f>NOMINA!O258</f>
        <v>Asistente Administrativo IV</v>
      </c>
      <c r="O285" s="1149">
        <v>1.02087691000006E+18</v>
      </c>
      <c r="P285" s="1150">
        <f>ROUND(+NOMINA!T258,2)</f>
        <v>246</v>
      </c>
      <c r="Q285" s="1151">
        <v>0</v>
      </c>
      <c r="R285" s="1151">
        <f>ROUND(+NOMINA!AA258,2)</f>
        <v>4.92</v>
      </c>
      <c r="S285" s="1151">
        <f>ROUND(+NOMINA!AB258,2)</f>
        <v>130</v>
      </c>
      <c r="T285" s="1151">
        <f>ROUND(+NOMINA!AC258,2)</f>
        <v>12.5</v>
      </c>
      <c r="U285" s="1151">
        <f>ROUND(+NOMINA!AD258,2)</f>
        <v>98.36</v>
      </c>
      <c r="V285" s="1151">
        <f>ROUND(NOMINA!AQ258,2)</f>
        <v>0</v>
      </c>
      <c r="W285" s="1151">
        <f>+NOMINA!AS258</f>
        <v>0</v>
      </c>
      <c r="X285" s="1151">
        <f>+NOMINA!AT258</f>
        <v>0</v>
      </c>
      <c r="Y285" s="1151">
        <f>+NOMINA!AU258</f>
        <v>491.78</v>
      </c>
      <c r="Z285" s="1151">
        <f>+NOMINA!BX258</f>
        <v>922.09</v>
      </c>
      <c r="AA285" s="1151">
        <f>+NOMINA!BY258</f>
        <v>0</v>
      </c>
      <c r="AB285" s="1151">
        <f t="shared" si="17"/>
        <v>922.09</v>
      </c>
      <c r="AD285" s="634"/>
      <c r="AH285" s="1610" t="str">
        <f>NOMINA!P257</f>
        <v>01020373250000441083</v>
      </c>
    </row>
    <row r="286" spans="1:34" s="629" customFormat="1" ht="20.100000000000001" customHeight="1" thickBot="1">
      <c r="A286" s="770" t="s">
        <v>2846</v>
      </c>
      <c r="B286" s="771">
        <f t="shared" si="18"/>
        <v>219</v>
      </c>
      <c r="C286" s="1145">
        <f>NOMINA!C259</f>
        <v>20790947</v>
      </c>
      <c r="D286" s="1146" t="str">
        <f>NOMINA!D259</f>
        <v>Urbina Cuellar Tannessy Lenery</v>
      </c>
      <c r="E286" s="1613" t="s">
        <v>4622</v>
      </c>
      <c r="F286" s="1153">
        <v>32351</v>
      </c>
      <c r="G286" s="1613" t="s">
        <v>4620</v>
      </c>
      <c r="H286" s="1572">
        <f>NOMINA!H259</f>
        <v>43967</v>
      </c>
      <c r="I286" s="1148">
        <f>NOMINA!I260</f>
        <v>1</v>
      </c>
      <c r="J286" s="1149">
        <f>NOMINA!J260</f>
        <v>0</v>
      </c>
      <c r="K286" s="1148">
        <f t="shared" si="16"/>
        <v>1</v>
      </c>
      <c r="L286" s="1149" t="s">
        <v>4932</v>
      </c>
      <c r="M286" s="1149"/>
      <c r="N286" s="1573" t="str">
        <f>NOMINA!O259</f>
        <v>Asistente Administrativo IV</v>
      </c>
      <c r="O286" s="1149">
        <v>1.02087691000006E+18</v>
      </c>
      <c r="P286" s="1150">
        <f>ROUND(+NOMINA!T259,2)</f>
        <v>0</v>
      </c>
      <c r="Q286" s="1151">
        <v>0</v>
      </c>
      <c r="R286" s="1151">
        <f>ROUND(+NOMINA!AA259,2)</f>
        <v>0</v>
      </c>
      <c r="S286" s="1151">
        <f>ROUND(+NOMINA!AB259,2)</f>
        <v>0</v>
      </c>
      <c r="T286" s="1151">
        <f>ROUND(+NOMINA!AC259,2)</f>
        <v>0</v>
      </c>
      <c r="U286" s="1151">
        <f>ROUND(+NOMINA!AD259,2)</f>
        <v>0</v>
      </c>
      <c r="V286" s="1151">
        <f>ROUND(NOMINA!AQ259,2)</f>
        <v>0</v>
      </c>
      <c r="W286" s="1151">
        <f>+NOMINA!AS259</f>
        <v>0</v>
      </c>
      <c r="X286" s="1151">
        <f>+NOMINA!AT259</f>
        <v>0</v>
      </c>
      <c r="Y286" s="1151">
        <f>+NOMINA!AU259</f>
        <v>0</v>
      </c>
      <c r="Z286" s="1151">
        <f>+NOMINA!BX259</f>
        <v>0</v>
      </c>
      <c r="AA286" s="1151">
        <f>+NOMINA!BY259</f>
        <v>0</v>
      </c>
      <c r="AB286" s="1151">
        <f t="shared" si="17"/>
        <v>0</v>
      </c>
      <c r="AD286" s="634"/>
      <c r="AH286" s="1610" t="str">
        <f>NOMINA!P258</f>
        <v>01020373270000957409</v>
      </c>
    </row>
    <row r="287" spans="1:34" s="629" customFormat="1" ht="20.100000000000001" customHeight="1" thickBot="1">
      <c r="A287" s="770" t="s">
        <v>2846</v>
      </c>
      <c r="B287" s="771">
        <f t="shared" si="18"/>
        <v>220</v>
      </c>
      <c r="C287" s="1145">
        <f>NOMINA!C260</f>
        <v>21061126</v>
      </c>
      <c r="D287" s="1146" t="str">
        <f>NOMINA!D260</f>
        <v>Olivar Nava Robinson de Jesus</v>
      </c>
      <c r="E287" s="1613" t="s">
        <v>4622</v>
      </c>
      <c r="F287" s="1153">
        <v>32351</v>
      </c>
      <c r="G287" s="1613" t="s">
        <v>4620</v>
      </c>
      <c r="H287" s="1572">
        <f>NOMINA!H260</f>
        <v>45047</v>
      </c>
      <c r="I287" s="1148">
        <f>NOMINA!I261</f>
        <v>2</v>
      </c>
      <c r="J287" s="1149">
        <f>NOMINA!J261</f>
        <v>0</v>
      </c>
      <c r="K287" s="1148">
        <f t="shared" si="16"/>
        <v>2</v>
      </c>
      <c r="L287" s="1149" t="s">
        <v>4932</v>
      </c>
      <c r="M287" s="1149"/>
      <c r="N287" s="1573" t="str">
        <f>NOMINA!O260</f>
        <v>Guia de Centro I</v>
      </c>
      <c r="O287" s="1149">
        <v>1.02087691000006E+18</v>
      </c>
      <c r="P287" s="1150">
        <f>ROUND(+NOMINA!T260,2)</f>
        <v>192</v>
      </c>
      <c r="Q287" s="1151">
        <v>0</v>
      </c>
      <c r="R287" s="1151">
        <f>ROUND(+NOMINA!AA260,2)</f>
        <v>1.92</v>
      </c>
      <c r="S287" s="1151">
        <f>ROUND(+NOMINA!AB260,2)</f>
        <v>130</v>
      </c>
      <c r="T287" s="1151">
        <f>ROUND(+NOMINA!AC260,2)</f>
        <v>0</v>
      </c>
      <c r="U287" s="1151">
        <f>ROUND(+NOMINA!AD260,2)</f>
        <v>80.98</v>
      </c>
      <c r="V287" s="1151">
        <f>ROUND(NOMINA!AQ260,2)</f>
        <v>0</v>
      </c>
      <c r="W287" s="1151">
        <f>+NOMINA!AS260</f>
        <v>0</v>
      </c>
      <c r="X287" s="1151">
        <f>+NOMINA!AT260</f>
        <v>0</v>
      </c>
      <c r="Y287" s="1151">
        <f>+NOMINA!AU260</f>
        <v>526.37</v>
      </c>
      <c r="Z287" s="1151">
        <f>+NOMINA!BX260</f>
        <v>986.95</v>
      </c>
      <c r="AA287" s="1151">
        <f>+NOMINA!BY260</f>
        <v>0</v>
      </c>
      <c r="AB287" s="1151">
        <f t="shared" si="17"/>
        <v>986.95</v>
      </c>
      <c r="AD287" s="634"/>
      <c r="AH287" s="1610" t="str">
        <f>NOMINA!P259</f>
        <v>01020373270000678283</v>
      </c>
    </row>
    <row r="288" spans="1:34" s="629" customFormat="1" ht="20.100000000000001" customHeight="1" thickBot="1">
      <c r="A288" s="770" t="s">
        <v>2846</v>
      </c>
      <c r="B288" s="771">
        <f t="shared" si="18"/>
        <v>221</v>
      </c>
      <c r="C288" s="1145">
        <f>NOMINA!C261</f>
        <v>21061789</v>
      </c>
      <c r="D288" s="1146" t="str">
        <f>NOMINA!D261</f>
        <v xml:space="preserve">Suarez Briceño Daiver Jose </v>
      </c>
      <c r="E288" s="1613" t="s">
        <v>4622</v>
      </c>
      <c r="F288" s="1153">
        <v>32351</v>
      </c>
      <c r="G288" s="1613" t="s">
        <v>4620</v>
      </c>
      <c r="H288" s="1572">
        <f>NOMINA!H261</f>
        <v>44713</v>
      </c>
      <c r="I288" s="1148">
        <f>NOMINA!I262</f>
        <v>3</v>
      </c>
      <c r="J288" s="1149">
        <f>NOMINA!J262</f>
        <v>0</v>
      </c>
      <c r="K288" s="1148">
        <f t="shared" si="16"/>
        <v>3</v>
      </c>
      <c r="L288" s="1149" t="s">
        <v>4932</v>
      </c>
      <c r="M288" s="1149"/>
      <c r="N288" s="1573" t="str">
        <f>NOMINA!O261</f>
        <v>Abogado I</v>
      </c>
      <c r="O288" s="1149">
        <v>1.02087691000006E+18</v>
      </c>
      <c r="P288" s="1150">
        <f>ROUND(+NOMINA!T261,2)</f>
        <v>246</v>
      </c>
      <c r="Q288" s="1151">
        <v>0</v>
      </c>
      <c r="R288" s="1151">
        <f>ROUND(+NOMINA!AA261,2)</f>
        <v>4.92</v>
      </c>
      <c r="S288" s="1151">
        <f>ROUND(+NOMINA!AB261,2)</f>
        <v>130</v>
      </c>
      <c r="T288" s="1151">
        <f>ROUND(+NOMINA!AC261,2)</f>
        <v>0</v>
      </c>
      <c r="U288" s="1151">
        <f>ROUND(+NOMINA!AD261,2)</f>
        <v>95.23</v>
      </c>
      <c r="V288" s="1151">
        <f>ROUND(NOMINA!AQ261,2)</f>
        <v>0</v>
      </c>
      <c r="W288" s="1151">
        <f>+NOMINA!AS261</f>
        <v>0</v>
      </c>
      <c r="X288" s="1151">
        <f>+NOMINA!AT261</f>
        <v>0</v>
      </c>
      <c r="Y288" s="1151">
        <f>+NOMINA!AU261</f>
        <v>476.15</v>
      </c>
      <c r="Z288" s="1151">
        <f>+NOMINA!BX261</f>
        <v>892.78</v>
      </c>
      <c r="AA288" s="1151">
        <f>+NOMINA!BY261</f>
        <v>0</v>
      </c>
      <c r="AB288" s="1151">
        <f t="shared" si="17"/>
        <v>892.78</v>
      </c>
      <c r="AD288" s="634"/>
      <c r="AH288" s="1610" t="str">
        <f>NOMINA!P260</f>
        <v>01020279560000059585</v>
      </c>
    </row>
    <row r="289" spans="1:34" s="629" customFormat="1" ht="20.100000000000001" customHeight="1" thickBot="1">
      <c r="A289" s="770" t="s">
        <v>2846</v>
      </c>
      <c r="B289" s="771">
        <f t="shared" si="18"/>
        <v>222</v>
      </c>
      <c r="C289" s="1145">
        <f>NOMINA!C262</f>
        <v>21365212</v>
      </c>
      <c r="D289" s="1146" t="str">
        <f>NOMINA!D262</f>
        <v>Manzanilla Gonzalez Landkler Josue</v>
      </c>
      <c r="E289" s="1613" t="s">
        <v>4622</v>
      </c>
      <c r="F289" s="1153">
        <v>32351</v>
      </c>
      <c r="G289" s="1613" t="s">
        <v>4620</v>
      </c>
      <c r="H289" s="1572">
        <f>NOMINA!H262</f>
        <v>44317</v>
      </c>
      <c r="I289" s="1148">
        <f>NOMINA!I263</f>
        <v>7</v>
      </c>
      <c r="J289" s="1149">
        <f>NOMINA!J263</f>
        <v>0</v>
      </c>
      <c r="K289" s="1148">
        <f t="shared" si="16"/>
        <v>7</v>
      </c>
      <c r="L289" s="1149" t="s">
        <v>4932</v>
      </c>
      <c r="M289" s="1149"/>
      <c r="N289" s="1573" t="str">
        <f>NOMINA!O262</f>
        <v>Asistente Administrativo II</v>
      </c>
      <c r="O289" s="1149">
        <v>1.02087691000006E+18</v>
      </c>
      <c r="P289" s="1150">
        <f>ROUND(+NOMINA!T262,2)</f>
        <v>150</v>
      </c>
      <c r="Q289" s="1151">
        <v>0</v>
      </c>
      <c r="R289" s="1151">
        <f>ROUND(+NOMINA!AA262,2)</f>
        <v>4.5</v>
      </c>
      <c r="S289" s="1151">
        <f>ROUND(+NOMINA!AB262,2)</f>
        <v>130</v>
      </c>
      <c r="T289" s="1151">
        <f>ROUND(+NOMINA!AC262,2)</f>
        <v>0</v>
      </c>
      <c r="U289" s="1151">
        <f>ROUND(+NOMINA!AD262,2)</f>
        <v>0</v>
      </c>
      <c r="V289" s="1151">
        <f>ROUND(NOMINA!AQ262,2)</f>
        <v>0</v>
      </c>
      <c r="W289" s="1151">
        <f>+NOMINA!AS262</f>
        <v>0</v>
      </c>
      <c r="X289" s="1151">
        <f>+NOMINA!AT262</f>
        <v>0</v>
      </c>
      <c r="Y289" s="1151">
        <f>+NOMINA!AU262</f>
        <v>284.5</v>
      </c>
      <c r="Z289" s="1151">
        <f>+NOMINA!BX262</f>
        <v>533.44000000000005</v>
      </c>
      <c r="AA289" s="1151">
        <f>+NOMINA!BY262</f>
        <v>0</v>
      </c>
      <c r="AB289" s="1151">
        <f t="shared" si="17"/>
        <v>533.44000000000005</v>
      </c>
      <c r="AD289" s="634"/>
      <c r="AH289" s="1610" t="str">
        <f>NOMINA!P261</f>
        <v>01020747940000520519</v>
      </c>
    </row>
    <row r="290" spans="1:34" s="629" customFormat="1" ht="20.100000000000001" customHeight="1" thickBot="1">
      <c r="A290" s="770" t="s">
        <v>2846</v>
      </c>
      <c r="B290" s="771">
        <f t="shared" si="18"/>
        <v>223</v>
      </c>
      <c r="C290" s="1145">
        <f>NOMINA!C263</f>
        <v>21592108</v>
      </c>
      <c r="D290" s="1146" t="str">
        <f>NOMINA!D263</f>
        <v>Coy Andara Darlin Gabriela</v>
      </c>
      <c r="E290" s="1613" t="s">
        <v>4622</v>
      </c>
      <c r="F290" s="1153">
        <v>32351</v>
      </c>
      <c r="G290" s="1613" t="s">
        <v>4620</v>
      </c>
      <c r="H290" s="1572">
        <f>NOMINA!H263</f>
        <v>43024</v>
      </c>
      <c r="I290" s="1148">
        <f>NOMINA!I264</f>
        <v>3</v>
      </c>
      <c r="J290" s="1149">
        <f>NOMINA!J264</f>
        <v>0</v>
      </c>
      <c r="K290" s="1148">
        <f t="shared" si="16"/>
        <v>3</v>
      </c>
      <c r="L290" s="1149" t="s">
        <v>4932</v>
      </c>
      <c r="M290" s="1149"/>
      <c r="N290" s="1573" t="str">
        <f>NOMINA!O263</f>
        <v>PLANIFICADOR I</v>
      </c>
      <c r="O290" s="1149">
        <v>1.02087691000006E+18</v>
      </c>
      <c r="P290" s="1150">
        <f>ROUND(+NOMINA!T263,2)</f>
        <v>0</v>
      </c>
      <c r="Q290" s="1151">
        <v>0</v>
      </c>
      <c r="R290" s="1151">
        <f>ROUND(+NOMINA!AA263,2)</f>
        <v>0</v>
      </c>
      <c r="S290" s="1151">
        <f>ROUND(+NOMINA!AB263,2)</f>
        <v>0</v>
      </c>
      <c r="T290" s="1151">
        <f>ROUND(+NOMINA!AC263,2)</f>
        <v>0</v>
      </c>
      <c r="U290" s="1151">
        <f>ROUND(+NOMINA!AD263,2)</f>
        <v>0</v>
      </c>
      <c r="V290" s="1151">
        <f>ROUND(NOMINA!AQ263,2)</f>
        <v>0</v>
      </c>
      <c r="W290" s="1151">
        <f>+NOMINA!AS263</f>
        <v>0</v>
      </c>
      <c r="X290" s="1151">
        <f>+NOMINA!AT263</f>
        <v>0</v>
      </c>
      <c r="Y290" s="1151">
        <f>+NOMINA!AU263</f>
        <v>0</v>
      </c>
      <c r="Z290" s="1151">
        <f>+NOMINA!BX263</f>
        <v>0</v>
      </c>
      <c r="AA290" s="1151">
        <f>+NOMINA!BY263</f>
        <v>0</v>
      </c>
      <c r="AB290" s="1151">
        <f t="shared" si="17"/>
        <v>0</v>
      </c>
      <c r="AD290" s="634"/>
      <c r="AH290" s="1610" t="str">
        <f>NOMINA!P262</f>
        <v>01020373230000787491</v>
      </c>
    </row>
    <row r="291" spans="1:34" s="629" customFormat="1" ht="20.100000000000001" customHeight="1" thickBot="1">
      <c r="A291" s="770" t="s">
        <v>2846</v>
      </c>
      <c r="B291" s="771">
        <f t="shared" si="18"/>
        <v>224</v>
      </c>
      <c r="C291" s="1145">
        <f>NOMINA!C264</f>
        <v>22622493</v>
      </c>
      <c r="D291" s="1146" t="str">
        <f>NOMINA!D264</f>
        <v xml:space="preserve">Barrios Olivar Geraldine Katiusca </v>
      </c>
      <c r="E291" s="1613" t="s">
        <v>4622</v>
      </c>
      <c r="F291" s="1153">
        <v>32351</v>
      </c>
      <c r="G291" s="1613" t="s">
        <v>4620</v>
      </c>
      <c r="H291" s="1572">
        <f>NOMINA!H264</f>
        <v>44363</v>
      </c>
      <c r="I291" s="1148">
        <f>NOMINA!I265</f>
        <v>17</v>
      </c>
      <c r="J291" s="1149">
        <f>NOMINA!J265</f>
        <v>0</v>
      </c>
      <c r="K291" s="1148">
        <f t="shared" si="16"/>
        <v>17</v>
      </c>
      <c r="L291" s="1149" t="s">
        <v>4932</v>
      </c>
      <c r="M291" s="1149"/>
      <c r="N291" s="1573" t="str">
        <f>NOMINA!O264</f>
        <v>Guia de Centro I</v>
      </c>
      <c r="O291" s="1149">
        <v>1.02087691000006E+18</v>
      </c>
      <c r="P291" s="1150">
        <f>ROUND(+NOMINA!T264,2)</f>
        <v>150</v>
      </c>
      <c r="Q291" s="1151">
        <v>0</v>
      </c>
      <c r="R291" s="1151">
        <f>ROUND(+NOMINA!AA264,2)</f>
        <v>4.5</v>
      </c>
      <c r="S291" s="1151">
        <f>ROUND(+NOMINA!AB264,2)</f>
        <v>130</v>
      </c>
      <c r="T291" s="1151">
        <f>ROUND(+NOMINA!AC264,2)</f>
        <v>25</v>
      </c>
      <c r="U291" s="1151">
        <f>ROUND(+NOMINA!AD264,2)</f>
        <v>0</v>
      </c>
      <c r="V291" s="1151">
        <f>ROUND(NOMINA!AQ264,2)</f>
        <v>0</v>
      </c>
      <c r="W291" s="1151">
        <f>+NOMINA!AS264</f>
        <v>0</v>
      </c>
      <c r="X291" s="1151">
        <f>+NOMINA!AT264</f>
        <v>25</v>
      </c>
      <c r="Y291" s="1151">
        <f>+NOMINA!AU264</f>
        <v>402.35</v>
      </c>
      <c r="Z291" s="1151">
        <f>+NOMINA!BX264</f>
        <v>754.41</v>
      </c>
      <c r="AA291" s="1151">
        <f>+NOMINA!BY264</f>
        <v>0</v>
      </c>
      <c r="AB291" s="1151">
        <f t="shared" si="17"/>
        <v>754.41</v>
      </c>
      <c r="AD291" s="634"/>
      <c r="AH291" s="1610" t="str">
        <f>NOMINA!P263</f>
        <v>01020373250000478991</v>
      </c>
    </row>
    <row r="292" spans="1:34" s="629" customFormat="1" ht="20.100000000000001" customHeight="1" thickBot="1">
      <c r="A292" s="770" t="s">
        <v>2846</v>
      </c>
      <c r="B292" s="771">
        <f t="shared" si="18"/>
        <v>225</v>
      </c>
      <c r="C292" s="1145">
        <f>NOMINA!C265</f>
        <v>23782360</v>
      </c>
      <c r="D292" s="1146" t="str">
        <f>NOMINA!D265</f>
        <v>Rivera Sandoval Ilva Azucena</v>
      </c>
      <c r="E292" s="1613" t="s">
        <v>4622</v>
      </c>
      <c r="F292" s="1153">
        <v>32351</v>
      </c>
      <c r="G292" s="1613" t="s">
        <v>4620</v>
      </c>
      <c r="H292" s="1572">
        <f>NOMINA!H265</f>
        <v>39203</v>
      </c>
      <c r="I292" s="1148">
        <f>NOMINA!I266</f>
        <v>5</v>
      </c>
      <c r="J292" s="1149">
        <f>NOMINA!J266</f>
        <v>0</v>
      </c>
      <c r="K292" s="1148">
        <f t="shared" si="16"/>
        <v>5</v>
      </c>
      <c r="L292" s="1149" t="s">
        <v>4932</v>
      </c>
      <c r="M292" s="1149"/>
      <c r="N292" s="1573" t="str">
        <f>NOMINA!O265</f>
        <v>Administrador III</v>
      </c>
      <c r="O292" s="1149">
        <v>1.02087691000006E+18</v>
      </c>
      <c r="P292" s="1150">
        <f>ROUND(+NOMINA!T265,2)</f>
        <v>285</v>
      </c>
      <c r="Q292" s="1151">
        <v>0</v>
      </c>
      <c r="R292" s="1151">
        <f>ROUND(+NOMINA!AA265,2)</f>
        <v>60.42</v>
      </c>
      <c r="S292" s="1151">
        <f>ROUND(+NOMINA!AB265,2)</f>
        <v>130</v>
      </c>
      <c r="T292" s="1151">
        <f>ROUND(+NOMINA!AC265,2)</f>
        <v>0</v>
      </c>
      <c r="U292" s="1151">
        <f>ROUND(+NOMINA!AD265,2)</f>
        <v>118.86</v>
      </c>
      <c r="V292" s="1151">
        <f>ROUND(NOMINA!AQ265,2)</f>
        <v>0</v>
      </c>
      <c r="W292" s="1151">
        <f>+NOMINA!AS265</f>
        <v>0</v>
      </c>
      <c r="X292" s="1151">
        <f>+NOMINA!AT265</f>
        <v>0</v>
      </c>
      <c r="Y292" s="1151">
        <f>+NOMINA!AU265</f>
        <v>594.28</v>
      </c>
      <c r="Z292" s="1151">
        <f>+NOMINA!BX265</f>
        <v>1114.28</v>
      </c>
      <c r="AA292" s="1151">
        <f>+NOMINA!BY265</f>
        <v>0</v>
      </c>
      <c r="AB292" s="1151">
        <f t="shared" si="17"/>
        <v>1114.28</v>
      </c>
      <c r="AD292" s="634"/>
      <c r="AH292" s="1610" t="str">
        <f>NOMINA!P264</f>
        <v>01020373230000797096</v>
      </c>
    </row>
    <row r="293" spans="1:34" s="629" customFormat="1" ht="20.100000000000001" customHeight="1" thickBot="1">
      <c r="A293" s="770" t="s">
        <v>2846</v>
      </c>
      <c r="B293" s="771">
        <f t="shared" si="18"/>
        <v>226</v>
      </c>
      <c r="C293" s="1145">
        <f>NOMINA!C266</f>
        <v>23960738</v>
      </c>
      <c r="D293" s="1146" t="str">
        <f>NOMINA!D266</f>
        <v>Molina Briceño Maria de los Angeles</v>
      </c>
      <c r="E293" s="1613" t="s">
        <v>4622</v>
      </c>
      <c r="F293" s="1153">
        <v>32351</v>
      </c>
      <c r="G293" s="1613" t="s">
        <v>4620</v>
      </c>
      <c r="H293" s="1572">
        <f>NOMINA!H266</f>
        <v>43497</v>
      </c>
      <c r="I293" s="1148">
        <f>NOMINA!I267</f>
        <v>4</v>
      </c>
      <c r="J293" s="1149">
        <f>NOMINA!J267</f>
        <v>0</v>
      </c>
      <c r="K293" s="1148">
        <f t="shared" si="16"/>
        <v>4</v>
      </c>
      <c r="L293" s="1149" t="s">
        <v>4932</v>
      </c>
      <c r="M293" s="1149"/>
      <c r="N293" s="1573" t="str">
        <f>NOMINA!O266</f>
        <v>Psicologo II</v>
      </c>
      <c r="O293" s="1149">
        <v>1.02087691000006E+18</v>
      </c>
      <c r="P293" s="1150">
        <f>ROUND(+NOMINA!T266,2)</f>
        <v>277</v>
      </c>
      <c r="Q293" s="1151">
        <v>0</v>
      </c>
      <c r="R293" s="1151">
        <f>ROUND(+NOMINA!AA266,2)</f>
        <v>13.85</v>
      </c>
      <c r="S293" s="1151">
        <f>ROUND(+NOMINA!AB266,2)</f>
        <v>130</v>
      </c>
      <c r="T293" s="1151">
        <f>ROUND(+NOMINA!AC266,2)</f>
        <v>0</v>
      </c>
      <c r="U293" s="1151">
        <f>ROUND(+NOMINA!AD266,2)</f>
        <v>105.21</v>
      </c>
      <c r="V293" s="1151">
        <f>ROUND(NOMINA!AQ266,2)</f>
        <v>0</v>
      </c>
      <c r="W293" s="1151">
        <f>+NOMINA!AS266</f>
        <v>0</v>
      </c>
      <c r="X293" s="1151">
        <f>+NOMINA!AT266</f>
        <v>0</v>
      </c>
      <c r="Y293" s="1151">
        <f>+NOMINA!AU266</f>
        <v>526.05999999999995</v>
      </c>
      <c r="Z293" s="1151">
        <f>+NOMINA!BX266</f>
        <v>986.36</v>
      </c>
      <c r="AA293" s="1151">
        <f>+NOMINA!BY266</f>
        <v>0</v>
      </c>
      <c r="AB293" s="1151">
        <f t="shared" si="17"/>
        <v>986.36</v>
      </c>
      <c r="AD293" s="634"/>
      <c r="AH293" s="1610" t="str">
        <f>NOMINA!P265</f>
        <v>01020373230000441960</v>
      </c>
    </row>
    <row r="294" spans="1:34" s="629" customFormat="1" ht="20.100000000000001" customHeight="1" thickBot="1">
      <c r="A294" s="770" t="s">
        <v>2846</v>
      </c>
      <c r="B294" s="771">
        <f t="shared" si="18"/>
        <v>227</v>
      </c>
      <c r="C294" s="1145">
        <f>NOMINA!C267</f>
        <v>24135378</v>
      </c>
      <c r="D294" s="1146" t="str">
        <f>NOMINA!D267</f>
        <v>Rivas Hurtado Orleidys Betania</v>
      </c>
      <c r="E294" s="1613" t="s">
        <v>4622</v>
      </c>
      <c r="F294" s="1153">
        <v>32351</v>
      </c>
      <c r="G294" s="1613" t="s">
        <v>4620</v>
      </c>
      <c r="H294" s="1572">
        <f>NOMINA!H267</f>
        <v>43862</v>
      </c>
      <c r="I294" s="1148">
        <f>NOMINA!I268</f>
        <v>2</v>
      </c>
      <c r="J294" s="1149">
        <f>NOMINA!J268</f>
        <v>0</v>
      </c>
      <c r="K294" s="1148">
        <f t="shared" si="16"/>
        <v>2</v>
      </c>
      <c r="L294" s="1149" t="s">
        <v>4932</v>
      </c>
      <c r="M294" s="1149"/>
      <c r="N294" s="1573" t="str">
        <f>NOMINA!O267</f>
        <v>Asistente Administrativo IV</v>
      </c>
      <c r="O294" s="1149">
        <v>1.02087691000006E+18</v>
      </c>
      <c r="P294" s="1150">
        <f>ROUND(+NOMINA!T267,2)</f>
        <v>277</v>
      </c>
      <c r="Q294" s="1151">
        <v>0</v>
      </c>
      <c r="R294" s="1151">
        <f>ROUND(+NOMINA!AA267,2)</f>
        <v>11.08</v>
      </c>
      <c r="S294" s="1151">
        <f>ROUND(+NOMINA!AB267,2)</f>
        <v>130</v>
      </c>
      <c r="T294" s="1151">
        <f>ROUND(+NOMINA!AC267,2)</f>
        <v>25</v>
      </c>
      <c r="U294" s="1151">
        <f>ROUND(+NOMINA!AD267,2)</f>
        <v>110.77</v>
      </c>
      <c r="V294" s="1151">
        <f>ROUND(NOMINA!AQ267,2)</f>
        <v>0</v>
      </c>
      <c r="W294" s="1151">
        <f>+NOMINA!AS267</f>
        <v>0</v>
      </c>
      <c r="X294" s="1151">
        <f>+NOMINA!AT267</f>
        <v>12.5</v>
      </c>
      <c r="Y294" s="1151">
        <f>+NOMINA!AU267</f>
        <v>553.85</v>
      </c>
      <c r="Z294" s="1151">
        <f>+NOMINA!BX267</f>
        <v>1038.47</v>
      </c>
      <c r="AA294" s="1151">
        <f>+NOMINA!BY267</f>
        <v>0</v>
      </c>
      <c r="AB294" s="1151">
        <f t="shared" si="17"/>
        <v>1038.47</v>
      </c>
      <c r="AD294" s="634"/>
      <c r="AH294" s="1610" t="str">
        <f>NOMINA!P266</f>
        <v>01020373270000623364</v>
      </c>
    </row>
    <row r="295" spans="1:34" s="629" customFormat="1" ht="20.100000000000001" customHeight="1" thickBot="1">
      <c r="A295" s="770" t="s">
        <v>2846</v>
      </c>
      <c r="B295" s="771">
        <f t="shared" si="18"/>
        <v>228</v>
      </c>
      <c r="C295" s="1145">
        <f>NOMINA!C268</f>
        <v>24136795</v>
      </c>
      <c r="D295" s="1146" t="str">
        <f>NOMINA!D268</f>
        <v xml:space="preserve">Viloria Maldonado Gerardo Jesus </v>
      </c>
      <c r="E295" s="1613" t="s">
        <v>4622</v>
      </c>
      <c r="F295" s="1153">
        <v>32351</v>
      </c>
      <c r="G295" s="1613" t="s">
        <v>4620</v>
      </c>
      <c r="H295" s="1572">
        <f>NOMINA!H268</f>
        <v>44600</v>
      </c>
      <c r="I295" s="1148">
        <f>NOMINA!I269</f>
        <v>0</v>
      </c>
      <c r="J295" s="1149">
        <f>NOMINA!J269</f>
        <v>1</v>
      </c>
      <c r="K295" s="1148">
        <f t="shared" si="16"/>
        <v>1</v>
      </c>
      <c r="L295" s="1149" t="s">
        <v>4932</v>
      </c>
      <c r="M295" s="1149"/>
      <c r="N295" s="1573" t="str">
        <f>NOMINA!O268</f>
        <v>Entrenador Deportivo II</v>
      </c>
      <c r="O295" s="1149">
        <v>1.02087691000006E+18</v>
      </c>
      <c r="P295" s="1150">
        <f>ROUND(+NOMINA!T268,2)</f>
        <v>130</v>
      </c>
      <c r="Q295" s="1151">
        <v>0</v>
      </c>
      <c r="R295" s="1151">
        <f>ROUND(+NOMINA!AA268,2)</f>
        <v>2.6</v>
      </c>
      <c r="S295" s="1151">
        <f>ROUND(+NOMINA!AB268,2)</f>
        <v>130</v>
      </c>
      <c r="T295" s="1151">
        <f>ROUND(+NOMINA!AC268,2)</f>
        <v>25</v>
      </c>
      <c r="U295" s="1151">
        <f>ROUND(+NOMINA!AD268,2)</f>
        <v>0</v>
      </c>
      <c r="V295" s="1151">
        <f>ROUND(NOMINA!AQ268,2)</f>
        <v>0</v>
      </c>
      <c r="W295" s="1151">
        <f>+NOMINA!AS268</f>
        <v>0</v>
      </c>
      <c r="X295" s="1151">
        <f>+NOMINA!AT268</f>
        <v>12.5</v>
      </c>
      <c r="Y295" s="1151">
        <f>+NOMINA!AU268</f>
        <v>287.60000000000002</v>
      </c>
      <c r="Z295" s="1151">
        <f>+NOMINA!BX268</f>
        <v>539.25</v>
      </c>
      <c r="AA295" s="1151">
        <f>+NOMINA!BY268</f>
        <v>0</v>
      </c>
      <c r="AB295" s="1151">
        <f t="shared" si="17"/>
        <v>539.25</v>
      </c>
      <c r="AD295" s="634"/>
      <c r="AH295" s="1610" t="str">
        <f>NOMINA!P267</f>
        <v>01020373200100101062</v>
      </c>
    </row>
    <row r="296" spans="1:34" s="629" customFormat="1" ht="20.100000000000001" customHeight="1" thickBot="1">
      <c r="A296" s="770" t="s">
        <v>2846</v>
      </c>
      <c r="B296" s="771">
        <f t="shared" si="18"/>
        <v>229</v>
      </c>
      <c r="C296" s="1145">
        <f>NOMINA!C269</f>
        <v>24385729</v>
      </c>
      <c r="D296" s="1146" t="str">
        <f>NOMINA!D269</f>
        <v>Cordova Rivero Liseth Carolina</v>
      </c>
      <c r="E296" s="1613" t="s">
        <v>4622</v>
      </c>
      <c r="F296" s="1153">
        <v>32351</v>
      </c>
      <c r="G296" s="1613" t="s">
        <v>4620</v>
      </c>
      <c r="H296" s="1572">
        <f>NOMINA!H269</f>
        <v>45597</v>
      </c>
      <c r="I296" s="1148">
        <f>NOMINA!I270</f>
        <v>3</v>
      </c>
      <c r="J296" s="1149">
        <f>NOMINA!J270</f>
        <v>0</v>
      </c>
      <c r="K296" s="1148">
        <f t="shared" si="16"/>
        <v>3</v>
      </c>
      <c r="L296" s="1149" t="s">
        <v>4932</v>
      </c>
      <c r="M296" s="1149"/>
      <c r="N296" s="1573" t="str">
        <f>NOMINA!O269</f>
        <v>Secretario I</v>
      </c>
      <c r="O296" s="1149">
        <v>1.02087691000006E+18</v>
      </c>
      <c r="P296" s="1150">
        <f>ROUND(+NOMINA!T269,2)</f>
        <v>130</v>
      </c>
      <c r="Q296" s="1151">
        <v>0</v>
      </c>
      <c r="R296" s="1151">
        <f>ROUND(+NOMINA!AA269,2)</f>
        <v>1.3</v>
      </c>
      <c r="S296" s="1151">
        <f>ROUND(+NOMINA!AB269,2)</f>
        <v>130</v>
      </c>
      <c r="T296" s="1151">
        <f>ROUND(+NOMINA!AC269,2)</f>
        <v>12.5</v>
      </c>
      <c r="U296" s="1151">
        <f>ROUND(+NOMINA!AD269,2)</f>
        <v>0</v>
      </c>
      <c r="V296" s="1151">
        <f>ROUND(NOMINA!AQ269,2)</f>
        <v>0</v>
      </c>
      <c r="W296" s="1151">
        <f>+NOMINA!AS269</f>
        <v>0</v>
      </c>
      <c r="X296" s="1151">
        <f>+NOMINA!AT269</f>
        <v>0</v>
      </c>
      <c r="Y296" s="1151">
        <f>+NOMINA!AU269</f>
        <v>273.8</v>
      </c>
      <c r="Z296" s="1151">
        <f>+NOMINA!BX269</f>
        <v>82.39</v>
      </c>
      <c r="AA296" s="1151">
        <f>+NOMINA!BY269</f>
        <v>0</v>
      </c>
      <c r="AB296" s="1151">
        <f t="shared" si="17"/>
        <v>82.39</v>
      </c>
      <c r="AD296" s="634"/>
      <c r="AH296" s="1610" t="str">
        <f>NOMINA!P268</f>
        <v>01020747920000495848</v>
      </c>
    </row>
    <row r="297" spans="1:34" s="629" customFormat="1" ht="20.100000000000001" customHeight="1" thickBot="1">
      <c r="A297" s="770" t="s">
        <v>2846</v>
      </c>
      <c r="B297" s="771">
        <f t="shared" si="18"/>
        <v>230</v>
      </c>
      <c r="C297" s="1145">
        <f>NOMINA!C270</f>
        <v>23254845</v>
      </c>
      <c r="D297" s="1146" t="str">
        <f>NOMINA!D270</f>
        <v>Castellanos Paredes Luis Gregorio</v>
      </c>
      <c r="E297" s="1613" t="s">
        <v>4622</v>
      </c>
      <c r="F297" s="1153">
        <v>32351</v>
      </c>
      <c r="G297" s="1613" t="s">
        <v>4620</v>
      </c>
      <c r="H297" s="1572">
        <f>NOMINA!H270</f>
        <v>44332</v>
      </c>
      <c r="I297" s="1148">
        <f>NOMINA!I271</f>
        <v>0</v>
      </c>
      <c r="J297" s="1149">
        <f>NOMINA!J271</f>
        <v>0</v>
      </c>
      <c r="K297" s="1148">
        <f t="shared" si="16"/>
        <v>0</v>
      </c>
      <c r="L297" s="1149" t="s">
        <v>4932</v>
      </c>
      <c r="M297" s="1149"/>
      <c r="N297" s="1573" t="str">
        <f>NOMINA!O270</f>
        <v>Entrenador Deportivo II</v>
      </c>
      <c r="O297" s="1149">
        <v>1.02087691000006E+18</v>
      </c>
      <c r="P297" s="1150">
        <f>ROUND(+NOMINA!T270,2)</f>
        <v>150</v>
      </c>
      <c r="Q297" s="1151">
        <v>0</v>
      </c>
      <c r="R297" s="1151">
        <f>ROUND(+NOMINA!AA270,2)</f>
        <v>4.5</v>
      </c>
      <c r="S297" s="1151">
        <f>ROUND(+NOMINA!AB270,2)</f>
        <v>130</v>
      </c>
      <c r="T297" s="1151">
        <f>ROUND(+NOMINA!AC270,2)</f>
        <v>0</v>
      </c>
      <c r="U297" s="1151">
        <f>ROUND(+NOMINA!AD270,2)</f>
        <v>0</v>
      </c>
      <c r="V297" s="1151">
        <f>ROUND(NOMINA!AQ270,2)</f>
        <v>0</v>
      </c>
      <c r="W297" s="1151">
        <f>+NOMINA!AS270</f>
        <v>0</v>
      </c>
      <c r="X297" s="1151">
        <f>+NOMINA!AT270</f>
        <v>0</v>
      </c>
      <c r="Y297" s="1151">
        <f>+NOMINA!AU270</f>
        <v>284.5</v>
      </c>
      <c r="Z297" s="1151">
        <f>+NOMINA!BX270</f>
        <v>533.44000000000005</v>
      </c>
      <c r="AA297" s="1151">
        <f>+NOMINA!BY270</f>
        <v>0</v>
      </c>
      <c r="AB297" s="1151">
        <f t="shared" si="17"/>
        <v>533.44000000000005</v>
      </c>
      <c r="AD297" s="634"/>
      <c r="AH297" s="1610" t="str">
        <f>NOMINA!P269</f>
        <v>01020369460000800815</v>
      </c>
    </row>
    <row r="298" spans="1:34" s="629" customFormat="1" ht="20.100000000000001" customHeight="1" thickBot="1">
      <c r="A298" s="770" t="s">
        <v>2846</v>
      </c>
      <c r="B298" s="771">
        <f t="shared" si="18"/>
        <v>231</v>
      </c>
      <c r="C298" s="1145">
        <f>NOMINA!C271</f>
        <v>23594366</v>
      </c>
      <c r="D298" s="1146" t="str">
        <f>NOMINA!D271</f>
        <v>Quintero Montilla Merly Paula</v>
      </c>
      <c r="E298" s="1613" t="s">
        <v>4622</v>
      </c>
      <c r="F298" s="1153">
        <v>32351</v>
      </c>
      <c r="G298" s="1613" t="s">
        <v>4620</v>
      </c>
      <c r="H298" s="1572">
        <f>NOMINA!H271</f>
        <v>45413</v>
      </c>
      <c r="I298" s="1148">
        <f>NOMINA!I272</f>
        <v>0</v>
      </c>
      <c r="J298" s="1149">
        <f>NOMINA!J272</f>
        <v>5</v>
      </c>
      <c r="K298" s="1148">
        <f t="shared" si="16"/>
        <v>5</v>
      </c>
      <c r="L298" s="1149" t="s">
        <v>4932</v>
      </c>
      <c r="M298" s="1149"/>
      <c r="N298" s="1573" t="str">
        <f>NOMINA!O271</f>
        <v>Tutor Facilitador I</v>
      </c>
      <c r="O298" s="1149">
        <v>1.02087691000006E+18</v>
      </c>
      <c r="P298" s="1150">
        <f>ROUND(+NOMINA!T271,2)</f>
        <v>246</v>
      </c>
      <c r="Q298" s="1151">
        <v>0</v>
      </c>
      <c r="R298" s="1151">
        <f>ROUND(+NOMINA!AA271,2)</f>
        <v>0</v>
      </c>
      <c r="S298" s="1151">
        <f>ROUND(+NOMINA!AB271,2)</f>
        <v>130</v>
      </c>
      <c r="T298" s="1151">
        <f>ROUND(+NOMINA!AC271,2)</f>
        <v>0</v>
      </c>
      <c r="U298" s="1151">
        <f>ROUND(+NOMINA!AD271,2)</f>
        <v>94</v>
      </c>
      <c r="V298" s="1151">
        <f>ROUND(NOMINA!AQ271,2)</f>
        <v>0</v>
      </c>
      <c r="W298" s="1151">
        <f>+NOMINA!AS271</f>
        <v>0</v>
      </c>
      <c r="X298" s="1151">
        <f>+NOMINA!AT271</f>
        <v>0</v>
      </c>
      <c r="Y298" s="1151">
        <f>+NOMINA!AU271</f>
        <v>470</v>
      </c>
      <c r="Z298" s="1151">
        <f>+NOMINA!BX271</f>
        <v>522.22</v>
      </c>
      <c r="AA298" s="1151">
        <f>+NOMINA!BY271</f>
        <v>0</v>
      </c>
      <c r="AB298" s="1151">
        <f t="shared" si="17"/>
        <v>522.22</v>
      </c>
      <c r="AD298" s="634"/>
      <c r="AH298" s="1610" t="str">
        <f>NOMINA!P270</f>
        <v>01020494170000348238</v>
      </c>
    </row>
    <row r="299" spans="1:34" s="629" customFormat="1" ht="20.100000000000001" customHeight="1" thickBot="1">
      <c r="A299" s="770" t="s">
        <v>2846</v>
      </c>
      <c r="B299" s="771">
        <f t="shared" si="18"/>
        <v>232</v>
      </c>
      <c r="C299" s="1145">
        <f>NOMINA!C272</f>
        <v>23775734</v>
      </c>
      <c r="D299" s="1146" t="str">
        <f>NOMINA!D272</f>
        <v>Gonzalez Torres Klerwin Alfonso</v>
      </c>
      <c r="E299" s="1613" t="s">
        <v>4622</v>
      </c>
      <c r="F299" s="1153">
        <v>32351</v>
      </c>
      <c r="G299" s="1613" t="s">
        <v>4620</v>
      </c>
      <c r="H299" s="1572">
        <f>NOMINA!H272</f>
        <v>45627</v>
      </c>
      <c r="I299" s="1148">
        <f>NOMINA!I273</f>
        <v>14</v>
      </c>
      <c r="J299" s="1149">
        <f>NOMINA!J273</f>
        <v>0</v>
      </c>
      <c r="K299" s="1148">
        <f t="shared" si="16"/>
        <v>14</v>
      </c>
      <c r="L299" s="1149" t="s">
        <v>4932</v>
      </c>
      <c r="M299" s="1149"/>
      <c r="N299" s="1573" t="str">
        <f>NOMINA!O272</f>
        <v>Guia de Centro I</v>
      </c>
      <c r="O299" s="1149">
        <v>1.02087691000006E+18</v>
      </c>
      <c r="P299" s="1150">
        <f>ROUND(+NOMINA!T272,2)</f>
        <v>130</v>
      </c>
      <c r="Q299" s="1151">
        <v>0</v>
      </c>
      <c r="R299" s="1151">
        <f>ROUND(+NOMINA!AA272,2)</f>
        <v>6.5</v>
      </c>
      <c r="S299" s="1151">
        <f>ROUND(+NOMINA!AB272,2)</f>
        <v>130</v>
      </c>
      <c r="T299" s="1151">
        <f>ROUND(+NOMINA!AC272,2)</f>
        <v>12.5</v>
      </c>
      <c r="U299" s="1151">
        <f>ROUND(+NOMINA!AD272,2)</f>
        <v>0</v>
      </c>
      <c r="V299" s="1151">
        <f>ROUND(NOMINA!AQ272,2)</f>
        <v>0</v>
      </c>
      <c r="W299" s="1151">
        <f>+NOMINA!AS272</f>
        <v>0</v>
      </c>
      <c r="X299" s="1151">
        <f>+NOMINA!AT272</f>
        <v>0</v>
      </c>
      <c r="Y299" s="1151">
        <f>+NOMINA!AU272</f>
        <v>362.7</v>
      </c>
      <c r="Z299" s="1151">
        <f>+NOMINA!BX272</f>
        <v>157.41999999999999</v>
      </c>
      <c r="AA299" s="1151">
        <f>+NOMINA!BY272</f>
        <v>0</v>
      </c>
      <c r="AB299" s="1151">
        <f t="shared" si="17"/>
        <v>157.41999999999999</v>
      </c>
      <c r="AD299" s="634"/>
      <c r="AH299" s="1610" t="str">
        <f>NOMINA!P271</f>
        <v>01020747920000446570</v>
      </c>
    </row>
    <row r="300" spans="1:34" s="629" customFormat="1" ht="20.100000000000001" customHeight="1" thickBot="1">
      <c r="A300" s="770" t="s">
        <v>2846</v>
      </c>
      <c r="B300" s="771">
        <f t="shared" si="18"/>
        <v>233</v>
      </c>
      <c r="C300" s="1145">
        <f>NOMINA!C273</f>
        <v>24565372</v>
      </c>
      <c r="D300" s="1146" t="str">
        <f>NOMINA!D273</f>
        <v>Moreno Silva Alfredy Jose</v>
      </c>
      <c r="E300" s="1613" t="s">
        <v>4622</v>
      </c>
      <c r="F300" s="1153">
        <v>32351</v>
      </c>
      <c r="G300" s="1613" t="s">
        <v>4620</v>
      </c>
      <c r="H300" s="1572">
        <f>NOMINA!H273</f>
        <v>40360</v>
      </c>
      <c r="I300" s="1148">
        <f>NOMINA!I274</f>
        <v>5</v>
      </c>
      <c r="J300" s="1149">
        <f>NOMINA!J274</f>
        <v>0</v>
      </c>
      <c r="K300" s="1148">
        <f t="shared" si="16"/>
        <v>5</v>
      </c>
      <c r="L300" s="1149" t="s">
        <v>4932</v>
      </c>
      <c r="M300" s="1149"/>
      <c r="N300" s="1573" t="str">
        <f>NOMINA!O273</f>
        <v>Asistente de Relaciones Publicas</v>
      </c>
      <c r="O300" s="1149">
        <v>1.02087691000006E+18</v>
      </c>
      <c r="P300" s="1150">
        <f>ROUND(+NOMINA!T273,2)</f>
        <v>0</v>
      </c>
      <c r="Q300" s="1151">
        <v>0</v>
      </c>
      <c r="R300" s="1151">
        <f>ROUND(+NOMINA!AA273,2)</f>
        <v>0</v>
      </c>
      <c r="S300" s="1151">
        <f>ROUND(+NOMINA!AB273,2)</f>
        <v>0</v>
      </c>
      <c r="T300" s="1151">
        <f>ROUND(+NOMINA!AC273,2)</f>
        <v>0</v>
      </c>
      <c r="U300" s="1151">
        <f>ROUND(+NOMINA!AD273,2)</f>
        <v>0</v>
      </c>
      <c r="V300" s="1151">
        <f>ROUND(NOMINA!AQ273,2)</f>
        <v>0</v>
      </c>
      <c r="W300" s="1151">
        <f>+NOMINA!AS273</f>
        <v>0</v>
      </c>
      <c r="X300" s="1151">
        <f>+NOMINA!AT273</f>
        <v>0</v>
      </c>
      <c r="Y300" s="1151">
        <f>+NOMINA!AU273</f>
        <v>0</v>
      </c>
      <c r="Z300" s="1151">
        <f>+NOMINA!BX273</f>
        <v>0</v>
      </c>
      <c r="AA300" s="1151">
        <f>+NOMINA!BY273</f>
        <v>0</v>
      </c>
      <c r="AB300" s="1151">
        <f t="shared" si="17"/>
        <v>0</v>
      </c>
      <c r="AD300" s="634"/>
      <c r="AH300" s="1610" t="str">
        <f>NOMINA!P272</f>
        <v>01020493350000176413</v>
      </c>
    </row>
    <row r="301" spans="1:34" s="629" customFormat="1" ht="20.100000000000001" customHeight="1" thickBot="1">
      <c r="A301" s="770" t="s">
        <v>2846</v>
      </c>
      <c r="B301" s="771">
        <f t="shared" si="18"/>
        <v>234</v>
      </c>
      <c r="C301" s="1145">
        <f>NOMINA!C274</f>
        <v>25006139</v>
      </c>
      <c r="D301" s="1146" t="str">
        <f>NOMINA!D274</f>
        <v>Ramirez Palomares Carmen Beatriz</v>
      </c>
      <c r="E301" s="1613" t="s">
        <v>4622</v>
      </c>
      <c r="F301" s="1153">
        <v>32351</v>
      </c>
      <c r="G301" s="1613" t="s">
        <v>4620</v>
      </c>
      <c r="H301" s="1572">
        <f>NOMINA!H274</f>
        <v>43512</v>
      </c>
      <c r="I301" s="1148">
        <f>NOMINA!I275</f>
        <v>1</v>
      </c>
      <c r="J301" s="1149">
        <f>NOMINA!J275</f>
        <v>7</v>
      </c>
      <c r="K301" s="1148">
        <f t="shared" si="16"/>
        <v>8</v>
      </c>
      <c r="L301" s="1149" t="s">
        <v>4932</v>
      </c>
      <c r="M301" s="1149"/>
      <c r="N301" s="1573" t="str">
        <f>NOMINA!O274</f>
        <v>Guia de Centro I</v>
      </c>
      <c r="O301" s="1149">
        <v>1.02087691000006E+18</v>
      </c>
      <c r="P301" s="1150">
        <f>ROUND(+NOMINA!T274,2)</f>
        <v>150</v>
      </c>
      <c r="Q301" s="1151">
        <v>0</v>
      </c>
      <c r="R301" s="1151">
        <f>ROUND(+NOMINA!AA274,2)</f>
        <v>7.5</v>
      </c>
      <c r="S301" s="1151">
        <f>ROUND(+NOMINA!AB274,2)</f>
        <v>130</v>
      </c>
      <c r="T301" s="1151">
        <f>ROUND(+NOMINA!AC274,2)</f>
        <v>12.5</v>
      </c>
      <c r="U301" s="1151">
        <f>ROUND(+NOMINA!AD274,2)</f>
        <v>0</v>
      </c>
      <c r="V301" s="1151">
        <f>ROUND(NOMINA!AQ274,2)</f>
        <v>0</v>
      </c>
      <c r="W301" s="1151">
        <f>+NOMINA!AS274</f>
        <v>0</v>
      </c>
      <c r="X301" s="1151">
        <f>+NOMINA!AT274</f>
        <v>0</v>
      </c>
      <c r="Y301" s="1151">
        <f>+NOMINA!AU274</f>
        <v>390</v>
      </c>
      <c r="Z301" s="1151">
        <f>+NOMINA!BX274</f>
        <v>731.25</v>
      </c>
      <c r="AA301" s="1151">
        <f>+NOMINA!BY274</f>
        <v>0</v>
      </c>
      <c r="AB301" s="1151">
        <f t="shared" si="17"/>
        <v>731.25</v>
      </c>
      <c r="AD301" s="634"/>
      <c r="AH301" s="1610" t="str">
        <f>NOMINA!P273</f>
        <v>01020494180000240158</v>
      </c>
    </row>
    <row r="302" spans="1:34" s="629" customFormat="1" ht="20.100000000000001" customHeight="1" thickBot="1">
      <c r="A302" s="770" t="s">
        <v>2846</v>
      </c>
      <c r="B302" s="771">
        <f t="shared" si="18"/>
        <v>235</v>
      </c>
      <c r="C302" s="1145">
        <f>NOMINA!C275</f>
        <v>25006878</v>
      </c>
      <c r="D302" s="1146" t="str">
        <f>NOMINA!D275</f>
        <v>Fernandez Garcia Rafael Ramon</v>
      </c>
      <c r="E302" s="1613" t="s">
        <v>4622</v>
      </c>
      <c r="F302" s="1153">
        <v>32351</v>
      </c>
      <c r="G302" s="1613" t="s">
        <v>4620</v>
      </c>
      <c r="H302" s="1572">
        <f>NOMINA!H275</f>
        <v>44986</v>
      </c>
      <c r="I302" s="1148">
        <f>NOMINA!I276</f>
        <v>2</v>
      </c>
      <c r="J302" s="1149">
        <f>NOMINA!J276</f>
        <v>0</v>
      </c>
      <c r="K302" s="1148">
        <f t="shared" si="16"/>
        <v>2</v>
      </c>
      <c r="L302" s="1149" t="s">
        <v>4932</v>
      </c>
      <c r="M302" s="1149"/>
      <c r="N302" s="1573" t="str">
        <f>NOMINA!O275</f>
        <v>Guia de Centro I</v>
      </c>
      <c r="O302" s="1149">
        <v>1.02087691000006E+18</v>
      </c>
      <c r="P302" s="1150">
        <f>ROUND(+NOMINA!T275,2)</f>
        <v>170</v>
      </c>
      <c r="Q302" s="1151">
        <v>0</v>
      </c>
      <c r="R302" s="1151">
        <f>ROUND(+NOMINA!AA275,2)</f>
        <v>14.62</v>
      </c>
      <c r="S302" s="1151">
        <f>ROUND(+NOMINA!AB275,2)</f>
        <v>130</v>
      </c>
      <c r="T302" s="1151">
        <f>ROUND(+NOMINA!AC275,2)</f>
        <v>12.5</v>
      </c>
      <c r="U302" s="1151">
        <f>ROUND(+NOMINA!AD275,2)</f>
        <v>0</v>
      </c>
      <c r="V302" s="1151">
        <f>ROUND(NOMINA!AQ275,2)</f>
        <v>0</v>
      </c>
      <c r="W302" s="1151">
        <f>+NOMINA!AS275</f>
        <v>0</v>
      </c>
      <c r="X302" s="1151">
        <f>+NOMINA!AT275</f>
        <v>0</v>
      </c>
      <c r="Y302" s="1151">
        <f>+NOMINA!AU275</f>
        <v>425.26</v>
      </c>
      <c r="Z302" s="1151">
        <f>+NOMINA!BX275</f>
        <v>797.36</v>
      </c>
      <c r="AA302" s="1151">
        <f>+NOMINA!BY275</f>
        <v>0</v>
      </c>
      <c r="AB302" s="1151">
        <f t="shared" si="17"/>
        <v>797.36</v>
      </c>
      <c r="AD302" s="634"/>
      <c r="AH302" s="1610" t="str">
        <f>NOMINA!P274</f>
        <v>01020373290000623377</v>
      </c>
    </row>
    <row r="303" spans="1:34" s="629" customFormat="1" ht="20.100000000000001" customHeight="1" thickBot="1">
      <c r="A303" s="770" t="s">
        <v>2846</v>
      </c>
      <c r="B303" s="771">
        <f t="shared" si="18"/>
        <v>236</v>
      </c>
      <c r="C303" s="1145">
        <f>NOMINA!C276</f>
        <v>25096069</v>
      </c>
      <c r="D303" s="1146" t="str">
        <f>NOMINA!D276</f>
        <v>Coello Diaz Yormileidys del Carmen</v>
      </c>
      <c r="E303" s="1613" t="s">
        <v>4622</v>
      </c>
      <c r="F303" s="1153">
        <v>32351</v>
      </c>
      <c r="G303" s="1613" t="s">
        <v>4620</v>
      </c>
      <c r="H303" s="1572">
        <f>NOMINA!H276</f>
        <v>44599</v>
      </c>
      <c r="I303" s="1148">
        <f>NOMINA!I277</f>
        <v>0</v>
      </c>
      <c r="J303" s="1149">
        <f>NOMINA!J277</f>
        <v>0</v>
      </c>
      <c r="K303" s="1148">
        <f t="shared" si="16"/>
        <v>0</v>
      </c>
      <c r="L303" s="1149" t="s">
        <v>4932</v>
      </c>
      <c r="M303" s="1149"/>
      <c r="N303" s="1573" t="str">
        <f>NOMINA!O276</f>
        <v>Guia de Centro I</v>
      </c>
      <c r="O303" s="1149">
        <v>1.02087691000006E+18</v>
      </c>
      <c r="P303" s="1150">
        <f>ROUND(+NOMINA!T276,2)</f>
        <v>192</v>
      </c>
      <c r="Q303" s="1151">
        <v>0</v>
      </c>
      <c r="R303" s="1151">
        <f>ROUND(+NOMINA!AA276,2)</f>
        <v>3.84</v>
      </c>
      <c r="S303" s="1151">
        <f>ROUND(+NOMINA!AB276,2)</f>
        <v>130</v>
      </c>
      <c r="T303" s="1151">
        <f>ROUND(+NOMINA!AC276,2)</f>
        <v>12.5</v>
      </c>
      <c r="U303" s="1151">
        <f>ROUND(+NOMINA!AD276,2)</f>
        <v>84.59</v>
      </c>
      <c r="V303" s="1151">
        <f>ROUND(NOMINA!AQ276,2)</f>
        <v>0</v>
      </c>
      <c r="W303" s="1151">
        <f>+NOMINA!AS276</f>
        <v>0</v>
      </c>
      <c r="X303" s="1151">
        <f>+NOMINA!AT276</f>
        <v>12.5</v>
      </c>
      <c r="Y303" s="1151">
        <f>+NOMINA!AU276</f>
        <v>549.80999999999995</v>
      </c>
      <c r="Z303" s="1151">
        <f>+NOMINA!BX276</f>
        <v>1030.9000000000001</v>
      </c>
      <c r="AA303" s="1151">
        <f>+NOMINA!BY276</f>
        <v>0</v>
      </c>
      <c r="AB303" s="1151">
        <f t="shared" si="17"/>
        <v>1030.9000000000001</v>
      </c>
      <c r="AD303" s="634"/>
      <c r="AH303" s="1610" t="str">
        <f>NOMINA!P275</f>
        <v>01020747940000526241</v>
      </c>
    </row>
    <row r="304" spans="1:34" s="629" customFormat="1" ht="20.100000000000001" customHeight="1" thickBot="1">
      <c r="A304" s="770"/>
      <c r="B304" s="771">
        <f t="shared" si="18"/>
        <v>237</v>
      </c>
      <c r="C304" s="1145">
        <f>NOMINA!C277</f>
        <v>25173139</v>
      </c>
      <c r="D304" s="1146" t="str">
        <f>NOMINA!D277</f>
        <v>Viloria Albornoz Arelis Andreina</v>
      </c>
      <c r="E304" s="1613" t="s">
        <v>4622</v>
      </c>
      <c r="F304" s="1153">
        <v>32351</v>
      </c>
      <c r="G304" s="1613" t="s">
        <v>4620</v>
      </c>
      <c r="H304" s="1572">
        <f>NOMINA!H277</f>
        <v>45536</v>
      </c>
      <c r="I304" s="1148">
        <f>NOMINA!I278</f>
        <v>3</v>
      </c>
      <c r="J304" s="1149">
        <f>NOMINA!J278</f>
        <v>0</v>
      </c>
      <c r="K304" s="1148">
        <f t="shared" si="16"/>
        <v>3</v>
      </c>
      <c r="L304" s="1149" t="s">
        <v>4932</v>
      </c>
      <c r="M304" s="1149"/>
      <c r="N304" s="1573" t="str">
        <f>NOMINA!O277</f>
        <v>PLANIFICADOR I</v>
      </c>
      <c r="O304" s="1149">
        <v>1.02087691000006E+18</v>
      </c>
      <c r="P304" s="1150">
        <f>ROUND(+NOMINA!T277,2)</f>
        <v>246</v>
      </c>
      <c r="Q304" s="1151">
        <v>0</v>
      </c>
      <c r="R304" s="1151">
        <f>ROUND(+NOMINA!AA277,2)</f>
        <v>0</v>
      </c>
      <c r="S304" s="1151">
        <f>ROUND(+NOMINA!AB277,2)</f>
        <v>130</v>
      </c>
      <c r="T304" s="1151">
        <f>ROUND(+NOMINA!AC277,2)</f>
        <v>12.5</v>
      </c>
      <c r="U304" s="1151">
        <f>ROUND(+NOMINA!AD277,2)</f>
        <v>97.13</v>
      </c>
      <c r="V304" s="1151">
        <f>ROUND(NOMINA!AQ277,2)</f>
        <v>0</v>
      </c>
      <c r="W304" s="1151">
        <f>+NOMINA!AS277</f>
        <v>0</v>
      </c>
      <c r="X304" s="1151">
        <f>+NOMINA!AT277</f>
        <v>0</v>
      </c>
      <c r="Y304" s="1151">
        <f>+NOMINA!AU277</f>
        <v>485.63</v>
      </c>
      <c r="Z304" s="1151">
        <f>+NOMINA!BX277</f>
        <v>236.07</v>
      </c>
      <c r="AA304" s="1151">
        <f>+NOMINA!BY277</f>
        <v>0</v>
      </c>
      <c r="AB304" s="1151">
        <f t="shared" si="17"/>
        <v>236.07</v>
      </c>
      <c r="AD304" s="634"/>
      <c r="AH304" s="1610" t="str">
        <f>NOMINA!P276</f>
        <v>01020678260100005277</v>
      </c>
    </row>
    <row r="305" spans="1:34" s="629" customFormat="1" ht="20.100000000000001" customHeight="1" thickBot="1">
      <c r="A305" s="770"/>
      <c r="B305" s="771">
        <f t="shared" si="18"/>
        <v>238</v>
      </c>
      <c r="C305" s="1145">
        <f>NOMINA!C278</f>
        <v>25173983</v>
      </c>
      <c r="D305" s="1146" t="str">
        <f>NOMINA!D278</f>
        <v>Guanda Barazarte Roxely Andreina</v>
      </c>
      <c r="E305" s="1613" t="s">
        <v>4622</v>
      </c>
      <c r="F305" s="1153">
        <v>32351</v>
      </c>
      <c r="G305" s="1613" t="s">
        <v>4620</v>
      </c>
      <c r="H305" s="1572">
        <f>NOMINA!H278</f>
        <v>44363</v>
      </c>
      <c r="I305" s="1148">
        <f>NOMINA!I279</f>
        <v>4</v>
      </c>
      <c r="J305" s="1149">
        <f>NOMINA!J279</f>
        <v>0</v>
      </c>
      <c r="K305" s="1148">
        <f t="shared" si="16"/>
        <v>4</v>
      </c>
      <c r="L305" s="1149" t="s">
        <v>4932</v>
      </c>
      <c r="M305" s="1149"/>
      <c r="N305" s="1573" t="str">
        <f>NOMINA!O278</f>
        <v>Guia de Centro I</v>
      </c>
      <c r="O305" s="1149">
        <v>1.02087691000006E+18</v>
      </c>
      <c r="P305" s="1150">
        <f>ROUND(+NOMINA!T278,2)</f>
        <v>150</v>
      </c>
      <c r="Q305" s="1151">
        <v>0</v>
      </c>
      <c r="R305" s="1151">
        <f>ROUND(+NOMINA!AA278,2)</f>
        <v>4.5</v>
      </c>
      <c r="S305" s="1151">
        <f>ROUND(+NOMINA!AB278,2)</f>
        <v>130</v>
      </c>
      <c r="T305" s="1151">
        <f>ROUND(+NOMINA!AC278,2)</f>
        <v>12.5</v>
      </c>
      <c r="U305" s="1151">
        <f>ROUND(+NOMINA!AD278,2)</f>
        <v>0</v>
      </c>
      <c r="V305" s="1151">
        <f>ROUND(NOMINA!AQ278,2)</f>
        <v>0</v>
      </c>
      <c r="W305" s="1151">
        <f>+NOMINA!AS278</f>
        <v>0</v>
      </c>
      <c r="X305" s="1151">
        <f>+NOMINA!AT278</f>
        <v>12.5</v>
      </c>
      <c r="Y305" s="1151">
        <f>+NOMINA!AU278</f>
        <v>386.1</v>
      </c>
      <c r="Z305" s="1151">
        <f>+NOMINA!BX278</f>
        <v>723.94</v>
      </c>
      <c r="AA305" s="1151">
        <f>+NOMINA!BY278</f>
        <v>0</v>
      </c>
      <c r="AB305" s="1151">
        <f t="shared" si="17"/>
        <v>723.94</v>
      </c>
      <c r="AD305" s="634"/>
      <c r="AH305" s="1610" t="str">
        <f>NOMINA!P277</f>
        <v>01020494110000373119</v>
      </c>
    </row>
    <row r="306" spans="1:34" s="629" customFormat="1" ht="20.100000000000001" customHeight="1" thickBot="1">
      <c r="A306" s="770"/>
      <c r="B306" s="771">
        <f t="shared" si="18"/>
        <v>239</v>
      </c>
      <c r="C306" s="1145">
        <f>NOMINA!C279</f>
        <v>25303390</v>
      </c>
      <c r="D306" s="1146" t="str">
        <f>NOMINA!D279</f>
        <v>Graterol Castillo Yoselyn Zunedy</v>
      </c>
      <c r="E306" s="1613" t="s">
        <v>4622</v>
      </c>
      <c r="F306" s="1153">
        <v>32351</v>
      </c>
      <c r="G306" s="1613" t="s">
        <v>4620</v>
      </c>
      <c r="H306" s="1572">
        <f>NOMINA!H279</f>
        <v>43862</v>
      </c>
      <c r="I306" s="1148">
        <f>NOMINA!I280</f>
        <v>0</v>
      </c>
      <c r="J306" s="1149">
        <f>NOMINA!J280</f>
        <v>0</v>
      </c>
      <c r="K306" s="1148">
        <f t="shared" si="16"/>
        <v>0</v>
      </c>
      <c r="L306" s="1149" t="s">
        <v>4932</v>
      </c>
      <c r="M306" s="1149"/>
      <c r="N306" s="1573" t="str">
        <f>NOMINA!O279</f>
        <v>Guia de Centro I</v>
      </c>
      <c r="O306" s="1149">
        <v>1.02087691000006E+18</v>
      </c>
      <c r="P306" s="1150">
        <f>ROUND(+NOMINA!T279,2)</f>
        <v>150</v>
      </c>
      <c r="Q306" s="1151">
        <v>0</v>
      </c>
      <c r="R306" s="1151">
        <f>ROUND(+NOMINA!AA279,2)</f>
        <v>6</v>
      </c>
      <c r="S306" s="1151">
        <f>ROUND(+NOMINA!AB279,2)</f>
        <v>130</v>
      </c>
      <c r="T306" s="1151">
        <f>ROUND(+NOMINA!AC279,2)</f>
        <v>25</v>
      </c>
      <c r="U306" s="1151">
        <f>ROUND(+NOMINA!AD279,2)</f>
        <v>0</v>
      </c>
      <c r="V306" s="1151">
        <f>ROUND(NOMINA!AQ279,2)</f>
        <v>0</v>
      </c>
      <c r="W306" s="1151">
        <f>+NOMINA!AS279</f>
        <v>0</v>
      </c>
      <c r="X306" s="1151">
        <f>+NOMINA!AT279</f>
        <v>25</v>
      </c>
      <c r="Y306" s="1151">
        <f>+NOMINA!AU279</f>
        <v>404.3</v>
      </c>
      <c r="Z306" s="1151">
        <f>+NOMINA!BX279</f>
        <v>758.06</v>
      </c>
      <c r="AA306" s="1151">
        <f>+NOMINA!BY279</f>
        <v>0</v>
      </c>
      <c r="AB306" s="1151">
        <f t="shared" si="17"/>
        <v>758.06</v>
      </c>
      <c r="AD306" s="634"/>
      <c r="AH306" s="1610" t="str">
        <f>NOMINA!P278</f>
        <v>01020369490000687261</v>
      </c>
    </row>
    <row r="307" spans="1:34" s="629" customFormat="1" ht="20.100000000000001" customHeight="1" thickBot="1">
      <c r="A307" s="770"/>
      <c r="B307" s="771">
        <f t="shared" si="18"/>
        <v>240</v>
      </c>
      <c r="C307" s="1145">
        <f>NOMINA!C280</f>
        <v>25454143</v>
      </c>
      <c r="D307" s="1146" t="str">
        <f>NOMINA!D280</f>
        <v>Briceño Ana Beatriz</v>
      </c>
      <c r="E307" s="1613" t="s">
        <v>4622</v>
      </c>
      <c r="F307" s="1153">
        <v>32351</v>
      </c>
      <c r="G307" s="1613" t="s">
        <v>4620</v>
      </c>
      <c r="H307" s="1572">
        <f>NOMINA!H280</f>
        <v>45536</v>
      </c>
      <c r="I307" s="1148">
        <f>NOMINA!I281</f>
        <v>5</v>
      </c>
      <c r="J307" s="1149">
        <f>NOMINA!J281</f>
        <v>0</v>
      </c>
      <c r="K307" s="1148">
        <f t="shared" si="16"/>
        <v>5</v>
      </c>
      <c r="L307" s="1149" t="s">
        <v>4932</v>
      </c>
      <c r="M307" s="1149"/>
      <c r="N307" s="1573" t="str">
        <f>NOMINA!O280</f>
        <v>Guia de Centro I</v>
      </c>
      <c r="O307" s="1149">
        <v>1.02087691000006E+18</v>
      </c>
      <c r="P307" s="1150">
        <f>ROUND(+NOMINA!T280,2)</f>
        <v>130</v>
      </c>
      <c r="Q307" s="1151">
        <v>0</v>
      </c>
      <c r="R307" s="1151">
        <f>ROUND(+NOMINA!AA280,2)</f>
        <v>0</v>
      </c>
      <c r="S307" s="1151">
        <f>ROUND(+NOMINA!AB280,2)</f>
        <v>130</v>
      </c>
      <c r="T307" s="1151">
        <f>ROUND(+NOMINA!AC280,2)</f>
        <v>12.5</v>
      </c>
      <c r="U307" s="1151">
        <f>ROUND(+NOMINA!AD280,2)</f>
        <v>0</v>
      </c>
      <c r="V307" s="1151">
        <f>ROUND(NOMINA!AQ280,2)</f>
        <v>0</v>
      </c>
      <c r="W307" s="1151">
        <f>+NOMINA!AS280</f>
        <v>0</v>
      </c>
      <c r="X307" s="1151">
        <f>+NOMINA!AT280</f>
        <v>0</v>
      </c>
      <c r="Y307" s="1151">
        <f>+NOMINA!AU280</f>
        <v>354.25</v>
      </c>
      <c r="Z307" s="1151">
        <f>+NOMINA!BX280</f>
        <v>172.21</v>
      </c>
      <c r="AA307" s="1151">
        <f>+NOMINA!BY280</f>
        <v>0</v>
      </c>
      <c r="AB307" s="1151">
        <f t="shared" si="17"/>
        <v>172.21</v>
      </c>
      <c r="AD307" s="634"/>
      <c r="AH307" s="1610" t="str">
        <f>NOMINA!P279</f>
        <v>01020373290000674300</v>
      </c>
    </row>
    <row r="308" spans="1:34" s="629" customFormat="1" ht="20.100000000000001" customHeight="1" thickBot="1">
      <c r="A308" s="770"/>
      <c r="B308" s="771">
        <f t="shared" si="18"/>
        <v>241</v>
      </c>
      <c r="C308" s="1145">
        <f>NOMINA!C281</f>
        <v>25604733</v>
      </c>
      <c r="D308" s="1146" t="str">
        <f>NOMINA!D281</f>
        <v>Nava Carrillo Oriana Daniela</v>
      </c>
      <c r="E308" s="1613" t="s">
        <v>4622</v>
      </c>
      <c r="F308" s="1153">
        <v>32351</v>
      </c>
      <c r="G308" s="1613" t="s">
        <v>4620</v>
      </c>
      <c r="H308" s="1572">
        <f>NOMINA!H281</f>
        <v>43754</v>
      </c>
      <c r="I308" s="1148">
        <f>NOMINA!I282</f>
        <v>2</v>
      </c>
      <c r="J308" s="1149">
        <f>NOMINA!J282</f>
        <v>0</v>
      </c>
      <c r="K308" s="1148">
        <f t="shared" si="16"/>
        <v>2</v>
      </c>
      <c r="L308" s="1149" t="s">
        <v>4932</v>
      </c>
      <c r="M308" s="1149"/>
      <c r="N308" s="1573" t="str">
        <f>NOMINA!O281</f>
        <v>Entrenador Deportivo II</v>
      </c>
      <c r="O308" s="1149">
        <v>1.02087691000006E+18</v>
      </c>
      <c r="P308" s="1150">
        <f>ROUND(+NOMINA!T281,2)</f>
        <v>150</v>
      </c>
      <c r="Q308" s="1151">
        <v>0</v>
      </c>
      <c r="R308" s="1151">
        <f>ROUND(+NOMINA!AA281,2)</f>
        <v>7.5</v>
      </c>
      <c r="S308" s="1151">
        <f>ROUND(+NOMINA!AB281,2)</f>
        <v>130</v>
      </c>
      <c r="T308" s="1151">
        <f>ROUND(+NOMINA!AC281,2)</f>
        <v>0</v>
      </c>
      <c r="U308" s="1151">
        <f>ROUND(+NOMINA!AD281,2)</f>
        <v>0</v>
      </c>
      <c r="V308" s="1151">
        <f>ROUND(NOMINA!AQ281,2)</f>
        <v>0</v>
      </c>
      <c r="W308" s="1151">
        <f>+NOMINA!AS281</f>
        <v>0</v>
      </c>
      <c r="X308" s="1151">
        <f>+NOMINA!AT281</f>
        <v>0</v>
      </c>
      <c r="Y308" s="1151">
        <f>+NOMINA!AU281</f>
        <v>287.5</v>
      </c>
      <c r="Z308" s="1151">
        <f>+NOMINA!BX281</f>
        <v>539.05999999999995</v>
      </c>
      <c r="AA308" s="1151">
        <f>+NOMINA!BY281</f>
        <v>0</v>
      </c>
      <c r="AB308" s="1151">
        <f t="shared" si="17"/>
        <v>539.05999999999995</v>
      </c>
      <c r="AD308" s="634"/>
      <c r="AH308" s="1610" t="str">
        <f>NOMINA!P280</f>
        <v>01020373250001425383</v>
      </c>
    </row>
    <row r="309" spans="1:34" s="629" customFormat="1" ht="20.100000000000001" customHeight="1" thickBot="1">
      <c r="A309" s="770"/>
      <c r="B309" s="771">
        <f t="shared" si="18"/>
        <v>242</v>
      </c>
      <c r="C309" s="1145">
        <f>NOMINA!C282</f>
        <v>25619540</v>
      </c>
      <c r="D309" s="1146" t="str">
        <f>NOMINA!D282</f>
        <v xml:space="preserve">Balza Vetencourt Maria Gabriela </v>
      </c>
      <c r="E309" s="1613" t="s">
        <v>4622</v>
      </c>
      <c r="F309" s="1153">
        <v>32351</v>
      </c>
      <c r="G309" s="1613" t="s">
        <v>4620</v>
      </c>
      <c r="H309" s="1572">
        <f>NOMINA!H282</f>
        <v>44743</v>
      </c>
      <c r="I309" s="1148">
        <f>NOMINA!I283</f>
        <v>2</v>
      </c>
      <c r="J309" s="1149">
        <f>NOMINA!J283</f>
        <v>0</v>
      </c>
      <c r="K309" s="1148">
        <f t="shared" si="16"/>
        <v>2</v>
      </c>
      <c r="L309" s="1149" t="s">
        <v>4932</v>
      </c>
      <c r="M309" s="1149"/>
      <c r="N309" s="1573" t="str">
        <f>NOMINA!O282</f>
        <v>Guia de Centro I</v>
      </c>
      <c r="O309" s="1149">
        <v>1.02087691000006E+18</v>
      </c>
      <c r="P309" s="1150">
        <f>ROUND(+NOMINA!T282,2)</f>
        <v>130</v>
      </c>
      <c r="Q309" s="1151">
        <v>0</v>
      </c>
      <c r="R309" s="1151">
        <f>ROUND(+NOMINA!AA282,2)</f>
        <v>2.6</v>
      </c>
      <c r="S309" s="1151">
        <f>ROUND(+NOMINA!AB282,2)</f>
        <v>130</v>
      </c>
      <c r="T309" s="1151">
        <f>ROUND(+NOMINA!AC282,2)</f>
        <v>25</v>
      </c>
      <c r="U309" s="1151">
        <f>ROUND(+NOMINA!AD282,2)</f>
        <v>0</v>
      </c>
      <c r="V309" s="1151">
        <f>ROUND(NOMINA!AQ282,2)</f>
        <v>0</v>
      </c>
      <c r="W309" s="1151">
        <f>+NOMINA!AS282</f>
        <v>0</v>
      </c>
      <c r="X309" s="1151">
        <f>+NOMINA!AT282</f>
        <v>25</v>
      </c>
      <c r="Y309" s="1151">
        <f>+NOMINA!AU282</f>
        <v>373.88</v>
      </c>
      <c r="Z309" s="1151">
        <f>+NOMINA!BX282</f>
        <v>701.03</v>
      </c>
      <c r="AA309" s="1151">
        <f>+NOMINA!BY282</f>
        <v>0</v>
      </c>
      <c r="AB309" s="1151">
        <f t="shared" si="17"/>
        <v>701.03</v>
      </c>
      <c r="AD309" s="634"/>
      <c r="AH309" s="1610" t="str">
        <f>NOMINA!P281</f>
        <v>01020493370100017998</v>
      </c>
    </row>
    <row r="310" spans="1:34" s="629" customFormat="1" ht="20.100000000000001" customHeight="1" thickBot="1">
      <c r="A310" s="770"/>
      <c r="B310" s="771">
        <f t="shared" si="18"/>
        <v>243</v>
      </c>
      <c r="C310" s="1145">
        <f>NOMINA!C283</f>
        <v>26094609</v>
      </c>
      <c r="D310" s="1146" t="str">
        <f>NOMINA!D283</f>
        <v>Andara Moreno Marielena Nathaly</v>
      </c>
      <c r="E310" s="1613" t="s">
        <v>4622</v>
      </c>
      <c r="F310" s="1153">
        <v>32351</v>
      </c>
      <c r="G310" s="1613" t="s">
        <v>4620</v>
      </c>
      <c r="H310" s="1572">
        <f>NOMINA!H283</f>
        <v>44713</v>
      </c>
      <c r="I310" s="1148">
        <f>NOMINA!I284</f>
        <v>1</v>
      </c>
      <c r="J310" s="1149">
        <f>NOMINA!J284</f>
        <v>0</v>
      </c>
      <c r="K310" s="1148">
        <f t="shared" si="16"/>
        <v>1</v>
      </c>
      <c r="L310" s="1149" t="s">
        <v>4932</v>
      </c>
      <c r="M310" s="1149"/>
      <c r="N310" s="1573" t="str">
        <f>NOMINA!O283</f>
        <v>Abogado I</v>
      </c>
      <c r="O310" s="1149">
        <v>1.02087691000006E+18</v>
      </c>
      <c r="P310" s="1150">
        <f>ROUND(+NOMINA!T283,2)</f>
        <v>246</v>
      </c>
      <c r="Q310" s="1151">
        <v>0</v>
      </c>
      <c r="R310" s="1151">
        <f>ROUND(+NOMINA!AA283,2)</f>
        <v>4.92</v>
      </c>
      <c r="S310" s="1151">
        <f>ROUND(+NOMINA!AB283,2)</f>
        <v>130</v>
      </c>
      <c r="T310" s="1151">
        <f>ROUND(+NOMINA!AC283,2)</f>
        <v>0</v>
      </c>
      <c r="U310" s="1151">
        <f>ROUND(+NOMINA!AD283,2)</f>
        <v>95.23</v>
      </c>
      <c r="V310" s="1151">
        <f>ROUND(NOMINA!AQ283,2)</f>
        <v>0</v>
      </c>
      <c r="W310" s="1151">
        <f>+NOMINA!AS283</f>
        <v>0</v>
      </c>
      <c r="X310" s="1151">
        <f>+NOMINA!AT283</f>
        <v>0</v>
      </c>
      <c r="Y310" s="1151">
        <f>+NOMINA!AU283</f>
        <v>476.15</v>
      </c>
      <c r="Z310" s="1151">
        <f>+NOMINA!BX283</f>
        <v>892.78</v>
      </c>
      <c r="AA310" s="1151">
        <f>+NOMINA!BY283</f>
        <v>0</v>
      </c>
      <c r="AB310" s="1151">
        <f t="shared" si="17"/>
        <v>892.78</v>
      </c>
      <c r="AD310" s="634"/>
      <c r="AH310" s="1610" t="str">
        <f>NOMINA!P282</f>
        <v>01020747980000531498</v>
      </c>
    </row>
    <row r="311" spans="1:34" s="629" customFormat="1" ht="20.100000000000001" customHeight="1" thickBot="1">
      <c r="A311" s="770"/>
      <c r="B311" s="771">
        <f t="shared" si="18"/>
        <v>244</v>
      </c>
      <c r="C311" s="1145">
        <f>NOMINA!C284</f>
        <v>26094690</v>
      </c>
      <c r="D311" s="1146" t="str">
        <f>NOMINA!D284</f>
        <v>Fernandez Romero Numa Manuel</v>
      </c>
      <c r="E311" s="1613" t="s">
        <v>4622</v>
      </c>
      <c r="F311" s="1153">
        <v>32351</v>
      </c>
      <c r="G311" s="1613" t="s">
        <v>4620</v>
      </c>
      <c r="H311" s="1572">
        <f>NOMINA!H284</f>
        <v>45017</v>
      </c>
      <c r="I311" s="1148">
        <f>NOMINA!I285</f>
        <v>2</v>
      </c>
      <c r="J311" s="1149">
        <f>NOMINA!J285</f>
        <v>0</v>
      </c>
      <c r="K311" s="1148">
        <f t="shared" si="16"/>
        <v>2</v>
      </c>
      <c r="L311" s="1149" t="s">
        <v>4932</v>
      </c>
      <c r="M311" s="1149"/>
      <c r="N311" s="1573" t="str">
        <f>NOMINA!O284</f>
        <v>Guia de Centro I</v>
      </c>
      <c r="O311" s="1149">
        <v>1.02087691000006E+18</v>
      </c>
      <c r="P311" s="1150">
        <f>ROUND(+NOMINA!T284,2)</f>
        <v>130</v>
      </c>
      <c r="Q311" s="1151">
        <v>0</v>
      </c>
      <c r="R311" s="1151">
        <f>ROUND(+NOMINA!AA284,2)</f>
        <v>1.3</v>
      </c>
      <c r="S311" s="1151">
        <f>ROUND(+NOMINA!AB284,2)</f>
        <v>130</v>
      </c>
      <c r="T311" s="1151">
        <f>ROUND(+NOMINA!AC284,2)</f>
        <v>25</v>
      </c>
      <c r="U311" s="1151">
        <f>ROUND(+NOMINA!AD284,2)</f>
        <v>0</v>
      </c>
      <c r="V311" s="1151">
        <f>ROUND(NOMINA!AQ284,2)</f>
        <v>0</v>
      </c>
      <c r="W311" s="1151">
        <f>+NOMINA!AS284</f>
        <v>0</v>
      </c>
      <c r="X311" s="1151">
        <f>+NOMINA!AT284</f>
        <v>0</v>
      </c>
      <c r="Y311" s="1151">
        <f>+NOMINA!AU284</f>
        <v>372.19</v>
      </c>
      <c r="Z311" s="1151">
        <f>+NOMINA!BX284</f>
        <v>697.86</v>
      </c>
      <c r="AA311" s="1151">
        <f>+NOMINA!BY284</f>
        <v>0</v>
      </c>
      <c r="AB311" s="1151">
        <f t="shared" si="17"/>
        <v>697.86</v>
      </c>
      <c r="AD311" s="634"/>
      <c r="AH311" s="1610" t="str">
        <f>NOMINA!P283</f>
        <v>01020747990000438164</v>
      </c>
    </row>
    <row r="312" spans="1:34" s="629" customFormat="1" ht="20.100000000000001" customHeight="1" thickBot="1">
      <c r="A312" s="770"/>
      <c r="B312" s="771">
        <f t="shared" si="18"/>
        <v>245</v>
      </c>
      <c r="C312" s="1145">
        <f>NOMINA!C285</f>
        <v>26114271</v>
      </c>
      <c r="D312" s="1146" t="str">
        <f>NOMINA!D285</f>
        <v>Moncayo Perez Ruddy Bellaliz</v>
      </c>
      <c r="E312" s="1613" t="s">
        <v>4622</v>
      </c>
      <c r="F312" s="1153">
        <v>32351</v>
      </c>
      <c r="G312" s="1613" t="s">
        <v>4620</v>
      </c>
      <c r="H312" s="1572">
        <f>NOMINA!H285</f>
        <v>44636</v>
      </c>
      <c r="I312" s="1148">
        <f>NOMINA!I286</f>
        <v>3</v>
      </c>
      <c r="J312" s="1149">
        <f>NOMINA!J286</f>
        <v>0</v>
      </c>
      <c r="K312" s="1148">
        <f t="shared" si="16"/>
        <v>3</v>
      </c>
      <c r="L312" s="1149" t="s">
        <v>4932</v>
      </c>
      <c r="M312" s="1149"/>
      <c r="N312" s="1573" t="str">
        <f>NOMINA!O285</f>
        <v>Abogado I</v>
      </c>
      <c r="O312" s="1149">
        <v>1.02087691000006E+18</v>
      </c>
      <c r="P312" s="1150">
        <f>ROUND(+NOMINA!T285,2)</f>
        <v>246</v>
      </c>
      <c r="Q312" s="1151">
        <v>0</v>
      </c>
      <c r="R312" s="1151">
        <f>ROUND(+NOMINA!AA285,2)</f>
        <v>4.92</v>
      </c>
      <c r="S312" s="1151">
        <f>ROUND(+NOMINA!AB285,2)</f>
        <v>130</v>
      </c>
      <c r="T312" s="1151">
        <f>ROUND(+NOMINA!AC285,2)</f>
        <v>0</v>
      </c>
      <c r="U312" s="1151">
        <f>ROUND(+NOMINA!AD285,2)</f>
        <v>95.23</v>
      </c>
      <c r="V312" s="1151">
        <f>ROUND(NOMINA!AQ285,2)</f>
        <v>0</v>
      </c>
      <c r="W312" s="1151">
        <f>+NOMINA!AS285</f>
        <v>0</v>
      </c>
      <c r="X312" s="1151">
        <f>+NOMINA!AT285</f>
        <v>0</v>
      </c>
      <c r="Y312" s="1151">
        <f>+NOMINA!AU285</f>
        <v>476.15</v>
      </c>
      <c r="Z312" s="1151">
        <f>+NOMINA!BX285</f>
        <v>892.78</v>
      </c>
      <c r="AA312" s="1151">
        <f>+NOMINA!BY285</f>
        <v>0</v>
      </c>
      <c r="AB312" s="1151">
        <f t="shared" si="17"/>
        <v>892.78</v>
      </c>
      <c r="AD312" s="634"/>
      <c r="AH312" s="1610" t="str">
        <f>NOMINA!P284</f>
        <v>01020373290000659053</v>
      </c>
    </row>
    <row r="313" spans="1:34" s="629" customFormat="1" ht="20.100000000000001" customHeight="1" thickBot="1">
      <c r="A313" s="770"/>
      <c r="B313" s="771">
        <f t="shared" si="18"/>
        <v>246</v>
      </c>
      <c r="C313" s="1145">
        <f>NOMINA!C286</f>
        <v>26191823</v>
      </c>
      <c r="D313" s="1146" t="str">
        <f>NOMINA!D286</f>
        <v>Briceño Espinoza Brayhan Jose</v>
      </c>
      <c r="E313" s="1613" t="s">
        <v>4622</v>
      </c>
      <c r="F313" s="1153">
        <v>32351</v>
      </c>
      <c r="G313" s="1613" t="s">
        <v>4620</v>
      </c>
      <c r="H313" s="1572">
        <f>NOMINA!H286</f>
        <v>44470</v>
      </c>
      <c r="I313" s="1148">
        <f>NOMINA!I287</f>
        <v>0</v>
      </c>
      <c r="J313" s="1149">
        <f>NOMINA!J287</f>
        <v>0</v>
      </c>
      <c r="K313" s="1148">
        <f t="shared" si="16"/>
        <v>0</v>
      </c>
      <c r="L313" s="1149" t="s">
        <v>4932</v>
      </c>
      <c r="M313" s="1149"/>
      <c r="N313" s="1573" t="str">
        <f>NOMINA!O286</f>
        <v>Abogado II</v>
      </c>
      <c r="O313" s="1149">
        <v>1.02087691000006E+18</v>
      </c>
      <c r="P313" s="1150">
        <f>ROUND(+NOMINA!T286,2)</f>
        <v>277</v>
      </c>
      <c r="Q313" s="1151">
        <v>0</v>
      </c>
      <c r="R313" s="1151">
        <f>ROUND(+NOMINA!AA286,2)</f>
        <v>8.31</v>
      </c>
      <c r="S313" s="1151">
        <f>ROUND(+NOMINA!AB286,2)</f>
        <v>130</v>
      </c>
      <c r="T313" s="1151">
        <f>ROUND(+NOMINA!AC286,2)</f>
        <v>0</v>
      </c>
      <c r="U313" s="1151">
        <f>ROUND(+NOMINA!AD286,2)</f>
        <v>103.83</v>
      </c>
      <c r="V313" s="1151">
        <f>ROUND(NOMINA!AQ286,2)</f>
        <v>0</v>
      </c>
      <c r="W313" s="1151">
        <f>+NOMINA!AS286</f>
        <v>0</v>
      </c>
      <c r="X313" s="1151">
        <f>+NOMINA!AT286</f>
        <v>0</v>
      </c>
      <c r="Y313" s="1151">
        <f>+NOMINA!AU286</f>
        <v>519.14</v>
      </c>
      <c r="Z313" s="1151">
        <f>+NOMINA!BX286</f>
        <v>973.39</v>
      </c>
      <c r="AA313" s="1151">
        <f>+NOMINA!BY286</f>
        <v>0</v>
      </c>
      <c r="AB313" s="1151">
        <f t="shared" si="17"/>
        <v>973.39</v>
      </c>
      <c r="AD313" s="634"/>
      <c r="AH313" s="1610" t="str">
        <f>NOMINA!P285</f>
        <v>01020373280000915331</v>
      </c>
    </row>
    <row r="314" spans="1:34" s="629" customFormat="1" ht="20.100000000000001" customHeight="1" thickBot="1">
      <c r="A314" s="770"/>
      <c r="B314" s="771">
        <f t="shared" si="18"/>
        <v>247</v>
      </c>
      <c r="C314" s="1145">
        <f>NOMINA!C287</f>
        <v>26235963</v>
      </c>
      <c r="D314" s="1146" t="str">
        <f>NOMINA!D287</f>
        <v>Segovia Segovia Freylu Margarita</v>
      </c>
      <c r="E314" s="1613" t="s">
        <v>4622</v>
      </c>
      <c r="F314" s="1153">
        <v>32351</v>
      </c>
      <c r="G314" s="1613" t="s">
        <v>4620</v>
      </c>
      <c r="H314" s="1572">
        <f>NOMINA!H287</f>
        <v>45383</v>
      </c>
      <c r="I314" s="1148">
        <f>NOMINA!I288</f>
        <v>3</v>
      </c>
      <c r="J314" s="1149">
        <f>NOMINA!J288</f>
        <v>0</v>
      </c>
      <c r="K314" s="1148">
        <f t="shared" si="16"/>
        <v>3</v>
      </c>
      <c r="L314" s="1149" t="s">
        <v>4932</v>
      </c>
      <c r="M314" s="1149"/>
      <c r="N314" s="1573" t="str">
        <f>NOMINA!O287</f>
        <v>Psicologo I</v>
      </c>
      <c r="O314" s="1149">
        <v>1.02087691000006E+18</v>
      </c>
      <c r="P314" s="1150">
        <f>ROUND(+NOMINA!T287,2)</f>
        <v>246</v>
      </c>
      <c r="Q314" s="1151">
        <v>0</v>
      </c>
      <c r="R314" s="1151">
        <f>ROUND(+NOMINA!AA287,2)</f>
        <v>0</v>
      </c>
      <c r="S314" s="1151">
        <f>ROUND(+NOMINA!AB287,2)</f>
        <v>130</v>
      </c>
      <c r="T314" s="1151">
        <f>ROUND(+NOMINA!AC287,2)</f>
        <v>12.5</v>
      </c>
      <c r="U314" s="1151">
        <f>ROUND(+NOMINA!AD287,2)</f>
        <v>97.13</v>
      </c>
      <c r="V314" s="1151">
        <f>ROUND(NOMINA!AQ287,2)</f>
        <v>0</v>
      </c>
      <c r="W314" s="1151">
        <f>+NOMINA!AS287</f>
        <v>0</v>
      </c>
      <c r="X314" s="1151">
        <f>+NOMINA!AT287</f>
        <v>0</v>
      </c>
      <c r="Y314" s="1151">
        <f>+NOMINA!AU287</f>
        <v>485.63</v>
      </c>
      <c r="Z314" s="1151">
        <f>+NOMINA!BX287</f>
        <v>626.01</v>
      </c>
      <c r="AA314" s="1151">
        <f>+NOMINA!BY287</f>
        <v>0</v>
      </c>
      <c r="AB314" s="1151">
        <f t="shared" si="17"/>
        <v>626.01</v>
      </c>
      <c r="AD314" s="634"/>
      <c r="AH314" s="1610" t="str">
        <f>NOMINA!P286</f>
        <v>01020747940100002455</v>
      </c>
    </row>
    <row r="315" spans="1:34" s="629" customFormat="1" ht="20.100000000000001" customHeight="1" thickBot="1">
      <c r="A315" s="770"/>
      <c r="B315" s="771">
        <f t="shared" si="18"/>
        <v>248</v>
      </c>
      <c r="C315" s="1145">
        <f>NOMINA!C288</f>
        <v>26413871</v>
      </c>
      <c r="D315" s="1146" t="str">
        <f>NOMINA!D288</f>
        <v>Molina Rojas Genesis Angely</v>
      </c>
      <c r="E315" s="1613" t="s">
        <v>4622</v>
      </c>
      <c r="F315" s="1153">
        <v>32351</v>
      </c>
      <c r="G315" s="1613" t="s">
        <v>4620</v>
      </c>
      <c r="H315" s="1572">
        <f>NOMINA!H288</f>
        <v>44228</v>
      </c>
      <c r="I315" s="1148">
        <f>NOMINA!I289</f>
        <v>5</v>
      </c>
      <c r="J315" s="1149">
        <f>NOMINA!J289</f>
        <v>0</v>
      </c>
      <c r="K315" s="1148">
        <f t="shared" si="16"/>
        <v>5</v>
      </c>
      <c r="L315" s="1149" t="s">
        <v>4932</v>
      </c>
      <c r="M315" s="1149"/>
      <c r="N315" s="1573" t="str">
        <f>NOMINA!O288</f>
        <v>Guia de Centro I</v>
      </c>
      <c r="O315" s="1149">
        <v>1.02087691000006E+18</v>
      </c>
      <c r="P315" s="1150">
        <f>ROUND(+NOMINA!T288,2)</f>
        <v>150</v>
      </c>
      <c r="Q315" s="1151">
        <v>0</v>
      </c>
      <c r="R315" s="1151">
        <f>ROUND(+NOMINA!AA288,2)</f>
        <v>4.5</v>
      </c>
      <c r="S315" s="1151">
        <f>ROUND(+NOMINA!AB288,2)</f>
        <v>130</v>
      </c>
      <c r="T315" s="1151">
        <f>ROUND(+NOMINA!AC288,2)</f>
        <v>25</v>
      </c>
      <c r="U315" s="1151">
        <f>ROUND(+NOMINA!AD288,2)</f>
        <v>0</v>
      </c>
      <c r="V315" s="1151">
        <f>ROUND(NOMINA!AQ288,2)</f>
        <v>0</v>
      </c>
      <c r="W315" s="1151">
        <f>+NOMINA!AS288</f>
        <v>0</v>
      </c>
      <c r="X315" s="1151">
        <f>+NOMINA!AT288</f>
        <v>0</v>
      </c>
      <c r="Y315" s="1151">
        <f>+NOMINA!AU288</f>
        <v>402.35</v>
      </c>
      <c r="Z315" s="1151">
        <f>+NOMINA!BX288</f>
        <v>754.41</v>
      </c>
      <c r="AA315" s="1151">
        <f>+NOMINA!BY288</f>
        <v>0</v>
      </c>
      <c r="AB315" s="1151">
        <f t="shared" si="17"/>
        <v>754.41</v>
      </c>
      <c r="AD315" s="634"/>
      <c r="AH315" s="1610" t="str">
        <f>NOMINA!P287</f>
        <v>01020747920100003901</v>
      </c>
    </row>
    <row r="316" spans="1:34" s="629" customFormat="1" ht="20.100000000000001" customHeight="1" thickBot="1">
      <c r="A316" s="770"/>
      <c r="B316" s="771">
        <f t="shared" si="18"/>
        <v>249</v>
      </c>
      <c r="C316" s="1145">
        <f>NOMINA!C289</f>
        <v>26591879</v>
      </c>
      <c r="D316" s="1146" t="str">
        <f>NOMINA!D289</f>
        <v>Delgado Cabezas Rosa Magdalena</v>
      </c>
      <c r="E316" s="1613" t="s">
        <v>4622</v>
      </c>
      <c r="F316" s="1153">
        <v>32351</v>
      </c>
      <c r="G316" s="1613" t="s">
        <v>4620</v>
      </c>
      <c r="H316" s="1572">
        <f>NOMINA!H289</f>
        <v>43587</v>
      </c>
      <c r="I316" s="1148">
        <f>NOMINA!I290</f>
        <v>3</v>
      </c>
      <c r="J316" s="1149">
        <f>NOMINA!J290</f>
        <v>0</v>
      </c>
      <c r="K316" s="1148">
        <f t="shared" si="16"/>
        <v>3</v>
      </c>
      <c r="L316" s="1149" t="s">
        <v>4932</v>
      </c>
      <c r="M316" s="1149"/>
      <c r="N316" s="1573" t="str">
        <f>NOMINA!O289</f>
        <v>Psicologo II</v>
      </c>
      <c r="O316" s="1149">
        <v>1.02087691000006E+18</v>
      </c>
      <c r="P316" s="1150">
        <f>ROUND(+NOMINA!T289,2)</f>
        <v>277</v>
      </c>
      <c r="Q316" s="1151">
        <v>0</v>
      </c>
      <c r="R316" s="1151">
        <f>ROUND(+NOMINA!AA289,2)</f>
        <v>13.85</v>
      </c>
      <c r="S316" s="1151">
        <f>ROUND(+NOMINA!AB289,2)</f>
        <v>130</v>
      </c>
      <c r="T316" s="1151">
        <f>ROUND(+NOMINA!AC289,2)</f>
        <v>12.5</v>
      </c>
      <c r="U316" s="1151">
        <f>ROUND(+NOMINA!AD289,2)</f>
        <v>108.34</v>
      </c>
      <c r="V316" s="1151">
        <f>ROUND(NOMINA!AQ289,2)</f>
        <v>0</v>
      </c>
      <c r="W316" s="1151">
        <f>+NOMINA!AS289</f>
        <v>0</v>
      </c>
      <c r="X316" s="1151">
        <f>+NOMINA!AT289</f>
        <v>0</v>
      </c>
      <c r="Y316" s="1151">
        <f>+NOMINA!AU289</f>
        <v>541.69000000000005</v>
      </c>
      <c r="Z316" s="1151">
        <f>+NOMINA!BX289</f>
        <v>1015.67</v>
      </c>
      <c r="AA316" s="1151">
        <f>+NOMINA!BY289</f>
        <v>0</v>
      </c>
      <c r="AB316" s="1151">
        <f t="shared" si="17"/>
        <v>1015.67</v>
      </c>
      <c r="AD316" s="634"/>
      <c r="AH316" s="1610" t="str">
        <f>NOMINA!P288</f>
        <v>01020373220000704571</v>
      </c>
    </row>
    <row r="317" spans="1:34" s="629" customFormat="1" ht="20.100000000000001" customHeight="1" thickBot="1">
      <c r="A317" s="770"/>
      <c r="B317" s="771">
        <f t="shared" si="18"/>
        <v>250</v>
      </c>
      <c r="C317" s="1145">
        <f>NOMINA!C290</f>
        <v>26690908</v>
      </c>
      <c r="D317" s="1146" t="str">
        <f>NOMINA!D290</f>
        <v>Segovia Lisbeira del Carmen</v>
      </c>
      <c r="E317" s="1613" t="s">
        <v>4622</v>
      </c>
      <c r="F317" s="1153">
        <v>32351</v>
      </c>
      <c r="G317" s="1613" t="s">
        <v>4620</v>
      </c>
      <c r="H317" s="1572">
        <f>NOMINA!H290</f>
        <v>44228</v>
      </c>
      <c r="I317" s="1148">
        <f>NOMINA!I291</f>
        <v>3</v>
      </c>
      <c r="J317" s="1149">
        <f>NOMINA!J291</f>
        <v>0</v>
      </c>
      <c r="K317" s="1148">
        <f t="shared" si="16"/>
        <v>3</v>
      </c>
      <c r="L317" s="1149" t="s">
        <v>4932</v>
      </c>
      <c r="M317" s="1149"/>
      <c r="N317" s="1573" t="str">
        <f>NOMINA!O290</f>
        <v>Guia de Centro I</v>
      </c>
      <c r="O317" s="1149">
        <v>1.02087691000006E+18</v>
      </c>
      <c r="P317" s="1150">
        <f>ROUND(+NOMINA!T290,2)</f>
        <v>150</v>
      </c>
      <c r="Q317" s="1151">
        <v>0</v>
      </c>
      <c r="R317" s="1151">
        <f>ROUND(+NOMINA!AA290,2)</f>
        <v>4.5</v>
      </c>
      <c r="S317" s="1151">
        <f>ROUND(+NOMINA!AB290,2)</f>
        <v>130</v>
      </c>
      <c r="T317" s="1151">
        <f>ROUND(+NOMINA!AC290,2)</f>
        <v>12.5</v>
      </c>
      <c r="U317" s="1151">
        <f>ROUND(+NOMINA!AD290,2)</f>
        <v>0</v>
      </c>
      <c r="V317" s="1151">
        <f>ROUND(NOMINA!AQ290,2)</f>
        <v>0</v>
      </c>
      <c r="W317" s="1151">
        <f>+NOMINA!AS290</f>
        <v>0</v>
      </c>
      <c r="X317" s="1151">
        <f>+NOMINA!AT290</f>
        <v>0</v>
      </c>
      <c r="Y317" s="1151">
        <f>+NOMINA!AU290</f>
        <v>386.1</v>
      </c>
      <c r="Z317" s="1151">
        <f>+NOMINA!BX290</f>
        <v>723.94</v>
      </c>
      <c r="AA317" s="1151">
        <f>+NOMINA!BY290</f>
        <v>0</v>
      </c>
      <c r="AB317" s="1151">
        <f t="shared" si="17"/>
        <v>723.94</v>
      </c>
      <c r="AD317" s="634"/>
      <c r="AH317" s="1610" t="str">
        <f>NOMINA!P289</f>
        <v>01020373280000632203</v>
      </c>
    </row>
    <row r="318" spans="1:34" s="629" customFormat="1" ht="20.100000000000001" customHeight="1" thickBot="1">
      <c r="A318" s="770"/>
      <c r="B318" s="771">
        <f t="shared" si="18"/>
        <v>251</v>
      </c>
      <c r="C318" s="1145">
        <f>NOMINA!C291</f>
        <v>26962104</v>
      </c>
      <c r="D318" s="1146" t="str">
        <f>NOMINA!D291</f>
        <v>Rubio Briceño Diana Carolina</v>
      </c>
      <c r="E318" s="1613" t="s">
        <v>4622</v>
      </c>
      <c r="F318" s="1153">
        <v>32351</v>
      </c>
      <c r="G318" s="1613" t="s">
        <v>4620</v>
      </c>
      <c r="H318" s="1572">
        <f>NOMINA!H291</f>
        <v>44393</v>
      </c>
      <c r="I318" s="1148" t="e">
        <f>NOMINA!#REF!</f>
        <v>#REF!</v>
      </c>
      <c r="J318" s="1149" t="e">
        <f>NOMINA!#REF!</f>
        <v>#REF!</v>
      </c>
      <c r="K318" s="1148" t="e">
        <f t="shared" si="16"/>
        <v>#REF!</v>
      </c>
      <c r="L318" s="1149" t="s">
        <v>4932</v>
      </c>
      <c r="M318" s="1149"/>
      <c r="N318" s="1573" t="str">
        <f>NOMINA!O291</f>
        <v>Asistente Administrativo II</v>
      </c>
      <c r="O318" s="1149">
        <v>1.02087691000006E+18</v>
      </c>
      <c r="P318" s="1150">
        <f>ROUND(+NOMINA!T291,2)</f>
        <v>150</v>
      </c>
      <c r="Q318" s="1151">
        <v>0</v>
      </c>
      <c r="R318" s="1151">
        <f>ROUND(+NOMINA!AA291,2)</f>
        <v>4.5</v>
      </c>
      <c r="S318" s="1151">
        <f>ROUND(+NOMINA!AB291,2)</f>
        <v>130</v>
      </c>
      <c r="T318" s="1151">
        <f>ROUND(+NOMINA!AC291,2)</f>
        <v>12.5</v>
      </c>
      <c r="U318" s="1151">
        <f>ROUND(+NOMINA!AD291,2)</f>
        <v>0</v>
      </c>
      <c r="V318" s="1151">
        <f>ROUND(NOMINA!AQ291,2)</f>
        <v>0</v>
      </c>
      <c r="W318" s="1151">
        <f>+NOMINA!AS291</f>
        <v>0</v>
      </c>
      <c r="X318" s="1151">
        <f>+NOMINA!AT291</f>
        <v>12.5</v>
      </c>
      <c r="Y318" s="1151">
        <f>+NOMINA!AU291</f>
        <v>297</v>
      </c>
      <c r="Z318" s="1151">
        <f>+NOMINA!BX291</f>
        <v>556.88</v>
      </c>
      <c r="AA318" s="1151">
        <f>+NOMINA!BY291</f>
        <v>0</v>
      </c>
      <c r="AB318" s="1151">
        <f t="shared" si="17"/>
        <v>556.88</v>
      </c>
      <c r="AD318" s="634"/>
      <c r="AH318" s="1610" t="str">
        <f>NOMINA!P290</f>
        <v>01020373240000704584</v>
      </c>
    </row>
    <row r="319" spans="1:34" s="629" customFormat="1" ht="20.100000000000001" customHeight="1" thickBot="1">
      <c r="A319" s="770"/>
      <c r="B319" s="771">
        <f t="shared" si="18"/>
        <v>252</v>
      </c>
      <c r="C319" s="1145" t="e">
        <f>NOMINA!#REF!</f>
        <v>#REF!</v>
      </c>
      <c r="D319" s="1146" t="e">
        <f>NOMINA!#REF!</f>
        <v>#REF!</v>
      </c>
      <c r="E319" s="1613" t="s">
        <v>4622</v>
      </c>
      <c r="F319" s="1153">
        <v>32351</v>
      </c>
      <c r="G319" s="1613" t="s">
        <v>4620</v>
      </c>
      <c r="H319" s="1572" t="e">
        <f>NOMINA!#REF!</f>
        <v>#REF!</v>
      </c>
      <c r="I319" s="1148">
        <f>NOMINA!I293</f>
        <v>0</v>
      </c>
      <c r="J319" s="1149">
        <f>NOMINA!J293</f>
        <v>0</v>
      </c>
      <c r="K319" s="1148">
        <f t="shared" si="16"/>
        <v>0</v>
      </c>
      <c r="L319" s="1149" t="s">
        <v>4932</v>
      </c>
      <c r="M319" s="1149"/>
      <c r="N319" s="1573" t="e">
        <f>NOMINA!#REF!</f>
        <v>#REF!</v>
      </c>
      <c r="O319" s="1149">
        <v>1.02087691000006E+18</v>
      </c>
      <c r="P319" s="1150" t="e">
        <f>ROUND(+NOMINA!#REF!,2)</f>
        <v>#REF!</v>
      </c>
      <c r="Q319" s="1151">
        <v>0</v>
      </c>
      <c r="R319" s="1151" t="e">
        <f>ROUND(+NOMINA!#REF!,2)</f>
        <v>#REF!</v>
      </c>
      <c r="S319" s="1151" t="e">
        <f>ROUND(+NOMINA!#REF!,2)</f>
        <v>#REF!</v>
      </c>
      <c r="T319" s="1151" t="e">
        <f>ROUND(+NOMINA!#REF!,2)</f>
        <v>#REF!</v>
      </c>
      <c r="U319" s="1151" t="e">
        <f>ROUND(+NOMINA!#REF!,2)</f>
        <v>#REF!</v>
      </c>
      <c r="V319" s="1151" t="e">
        <f>ROUND(NOMINA!#REF!,2)</f>
        <v>#REF!</v>
      </c>
      <c r="W319" s="1151" t="e">
        <f>+NOMINA!#REF!</f>
        <v>#REF!</v>
      </c>
      <c r="X319" s="1151" t="e">
        <f>+NOMINA!#REF!</f>
        <v>#REF!</v>
      </c>
      <c r="Y319" s="1151" t="e">
        <f>+NOMINA!#REF!</f>
        <v>#REF!</v>
      </c>
      <c r="Z319" s="1151" t="e">
        <f>+NOMINA!#REF!</f>
        <v>#REF!</v>
      </c>
      <c r="AA319" s="1151" t="e">
        <f>+NOMINA!#REF!</f>
        <v>#REF!</v>
      </c>
      <c r="AB319" s="1151" t="e">
        <f t="shared" si="17"/>
        <v>#REF!</v>
      </c>
      <c r="AD319" s="634"/>
      <c r="AH319" s="1610" t="str">
        <f>NOMINA!P291</f>
        <v>01020865310000253527</v>
      </c>
    </row>
    <row r="320" spans="1:34" s="629" customFormat="1" ht="20.100000000000001" customHeight="1" thickBot="1">
      <c r="A320" s="770"/>
      <c r="B320" s="771">
        <f t="shared" si="18"/>
        <v>253</v>
      </c>
      <c r="C320" s="1145">
        <f>NOMINA!C293</f>
        <v>27251885</v>
      </c>
      <c r="D320" s="1146" t="str">
        <f>NOMINA!D293</f>
        <v>Barrozo Godoy Kellem Daniela</v>
      </c>
      <c r="E320" s="1613" t="s">
        <v>4622</v>
      </c>
      <c r="F320" s="1153">
        <v>32351</v>
      </c>
      <c r="G320" s="1613" t="s">
        <v>4620</v>
      </c>
      <c r="H320" s="1572">
        <f>NOMINA!H293</f>
        <v>45474</v>
      </c>
      <c r="I320" s="1148">
        <f>NOMINA!I294</f>
        <v>0</v>
      </c>
      <c r="J320" s="1149">
        <f>NOMINA!J294</f>
        <v>0</v>
      </c>
      <c r="K320" s="1148">
        <f t="shared" si="16"/>
        <v>0</v>
      </c>
      <c r="L320" s="1149" t="s">
        <v>4932</v>
      </c>
      <c r="M320" s="1149"/>
      <c r="N320" s="1573" t="str">
        <f>NOMINA!O293</f>
        <v>Guia de Centro I</v>
      </c>
      <c r="O320" s="1149">
        <v>1.02087691000006E+18</v>
      </c>
      <c r="P320" s="1150">
        <f>ROUND(+NOMINA!T293,2)</f>
        <v>130</v>
      </c>
      <c r="Q320" s="1151">
        <v>0</v>
      </c>
      <c r="R320" s="1151">
        <f>ROUND(+NOMINA!AA293,2)</f>
        <v>0</v>
      </c>
      <c r="S320" s="1151">
        <f>ROUND(+NOMINA!AB293,2)</f>
        <v>130</v>
      </c>
      <c r="T320" s="1151">
        <f>ROUND(+NOMINA!AC293,2)</f>
        <v>12.5</v>
      </c>
      <c r="U320" s="1151">
        <f>ROUND(+NOMINA!AD293,2)</f>
        <v>0</v>
      </c>
      <c r="V320" s="1151">
        <f>ROUND(NOMINA!AQ293,2)</f>
        <v>0</v>
      </c>
      <c r="W320" s="1151">
        <f>+NOMINA!AS293</f>
        <v>0</v>
      </c>
      <c r="X320" s="1151">
        <f>+NOMINA!AT293</f>
        <v>12.5</v>
      </c>
      <c r="Y320" s="1151">
        <f>+NOMINA!AU293</f>
        <v>354.25</v>
      </c>
      <c r="Z320" s="1151">
        <f>+NOMINA!BX293</f>
        <v>276.76</v>
      </c>
      <c r="AA320" s="1151">
        <f>+NOMINA!BY293</f>
        <v>0</v>
      </c>
      <c r="AB320" s="1151">
        <f t="shared" si="17"/>
        <v>276.76</v>
      </c>
      <c r="AD320" s="634"/>
      <c r="AH320" s="1610" t="str">
        <f>NOMINA!P293</f>
        <v>01020373260001322570</v>
      </c>
    </row>
    <row r="321" spans="1:34" s="629" customFormat="1" ht="20.100000000000001" customHeight="1" thickBot="1">
      <c r="A321" s="770"/>
      <c r="B321" s="771">
        <f t="shared" si="18"/>
        <v>254</v>
      </c>
      <c r="C321" s="1145">
        <f>NOMINA!C294</f>
        <v>27251899</v>
      </c>
      <c r="D321" s="1146" t="str">
        <f>NOMINA!D294</f>
        <v>Perez Gonzalez Maria Ines</v>
      </c>
      <c r="E321" s="1613" t="s">
        <v>4622</v>
      </c>
      <c r="F321" s="1153">
        <v>32351</v>
      </c>
      <c r="G321" s="1613" t="s">
        <v>4620</v>
      </c>
      <c r="H321" s="1572">
        <f>NOMINA!H294</f>
        <v>45474</v>
      </c>
      <c r="I321" s="1148">
        <f>NOMINA!I295</f>
        <v>0</v>
      </c>
      <c r="J321" s="1149">
        <f>NOMINA!J295</f>
        <v>0</v>
      </c>
      <c r="K321" s="1148">
        <f t="shared" si="16"/>
        <v>0</v>
      </c>
      <c r="L321" s="1149" t="s">
        <v>4932</v>
      </c>
      <c r="M321" s="1149"/>
      <c r="N321" s="1573" t="str">
        <f>NOMINA!O294</f>
        <v>Guia de Centro I</v>
      </c>
      <c r="O321" s="1149">
        <v>1.02087691000006E+18</v>
      </c>
      <c r="P321" s="1150">
        <f>ROUND(+NOMINA!T294,2)</f>
        <v>130</v>
      </c>
      <c r="Q321" s="1151">
        <v>0</v>
      </c>
      <c r="R321" s="1151">
        <f>ROUND(+NOMINA!AA294,2)</f>
        <v>0</v>
      </c>
      <c r="S321" s="1151">
        <f>ROUND(+NOMINA!AB294,2)</f>
        <v>130</v>
      </c>
      <c r="T321" s="1151">
        <f>ROUND(+NOMINA!AC294,2)</f>
        <v>12.5</v>
      </c>
      <c r="U321" s="1151">
        <f>ROUND(+NOMINA!AD294,2)</f>
        <v>0</v>
      </c>
      <c r="V321" s="1151">
        <f>ROUND(NOMINA!AQ294,2)</f>
        <v>0</v>
      </c>
      <c r="W321" s="1151">
        <f>+NOMINA!AS294</f>
        <v>0</v>
      </c>
      <c r="X321" s="1151">
        <f>+NOMINA!AT294</f>
        <v>0</v>
      </c>
      <c r="Y321" s="1151">
        <f>+NOMINA!AU294</f>
        <v>354.25</v>
      </c>
      <c r="Z321" s="1151">
        <f>+NOMINA!BX294</f>
        <v>276.76</v>
      </c>
      <c r="AA321" s="1151">
        <f>+NOMINA!BY294</f>
        <v>0</v>
      </c>
      <c r="AB321" s="1151">
        <f t="shared" si="17"/>
        <v>276.76</v>
      </c>
      <c r="AD321" s="634"/>
      <c r="AH321" s="1610" t="str">
        <f>NOMINA!P294</f>
        <v>01020494150000542995</v>
      </c>
    </row>
    <row r="322" spans="1:34" s="629" customFormat="1" ht="20.100000000000001" customHeight="1" thickBot="1">
      <c r="A322" s="770"/>
      <c r="B322" s="771">
        <f t="shared" si="18"/>
        <v>255</v>
      </c>
      <c r="C322" s="1145">
        <f>NOMINA!C295</f>
        <v>27363633</v>
      </c>
      <c r="D322" s="1146" t="str">
        <f>NOMINA!D295</f>
        <v>Padilla Blanco Melany Marian</v>
      </c>
      <c r="E322" s="1613" t="s">
        <v>4622</v>
      </c>
      <c r="F322" s="1153">
        <v>32351</v>
      </c>
      <c r="G322" s="1613" t="s">
        <v>4620</v>
      </c>
      <c r="H322" s="1572">
        <f>NOMINA!H295</f>
        <v>45627</v>
      </c>
      <c r="I322" s="1148">
        <f>NOMINA!I296</f>
        <v>3</v>
      </c>
      <c r="J322" s="1149">
        <f>NOMINA!J296</f>
        <v>0</v>
      </c>
      <c r="K322" s="1148">
        <f t="shared" si="16"/>
        <v>3</v>
      </c>
      <c r="L322" s="1149" t="s">
        <v>4932</v>
      </c>
      <c r="M322" s="1149"/>
      <c r="N322" s="1573" t="str">
        <f>NOMINA!O295</f>
        <v>Guia de Centro I</v>
      </c>
      <c r="O322" s="1149">
        <v>1.02087691000006E+18</v>
      </c>
      <c r="P322" s="1150">
        <f>ROUND(+NOMINA!T295,2)</f>
        <v>130</v>
      </c>
      <c r="Q322" s="1151">
        <v>0</v>
      </c>
      <c r="R322" s="1151">
        <f>ROUND(+NOMINA!AA295,2)</f>
        <v>0</v>
      </c>
      <c r="S322" s="1151">
        <f>ROUND(+NOMINA!AB295,2)</f>
        <v>130</v>
      </c>
      <c r="T322" s="1151">
        <f>ROUND(+NOMINA!AC295,2)</f>
        <v>0</v>
      </c>
      <c r="U322" s="1151">
        <f>ROUND(+NOMINA!AD295,2)</f>
        <v>0</v>
      </c>
      <c r="V322" s="1151">
        <f>ROUND(NOMINA!AQ295,2)</f>
        <v>0</v>
      </c>
      <c r="W322" s="1151">
        <f>+NOMINA!AS295</f>
        <v>0</v>
      </c>
      <c r="X322" s="1151">
        <f>+NOMINA!AT295</f>
        <v>0</v>
      </c>
      <c r="Y322" s="1151">
        <f>+NOMINA!AU295</f>
        <v>338</v>
      </c>
      <c r="Z322" s="1151">
        <f>+NOMINA!BX295</f>
        <v>146.69999999999999</v>
      </c>
      <c r="AA322" s="1151">
        <f>+NOMINA!BY295</f>
        <v>0</v>
      </c>
      <c r="AB322" s="1151">
        <f t="shared" si="17"/>
        <v>146.69999999999999</v>
      </c>
      <c r="AD322" s="634"/>
      <c r="AH322" s="1610" t="str">
        <f>NOMINA!P295</f>
        <v>01020373210001984497</v>
      </c>
    </row>
    <row r="323" spans="1:34" s="629" customFormat="1" ht="20.100000000000001" customHeight="1" thickBot="1">
      <c r="A323" s="770"/>
      <c r="B323" s="771">
        <f t="shared" si="18"/>
        <v>256</v>
      </c>
      <c r="C323" s="1145">
        <f>NOMINA!C296</f>
        <v>27415737</v>
      </c>
      <c r="D323" s="1146" t="str">
        <f>NOMINA!D296</f>
        <v>Rivas Torres Rosa Alba</v>
      </c>
      <c r="E323" s="1613" t="s">
        <v>4622</v>
      </c>
      <c r="F323" s="1153">
        <v>32351</v>
      </c>
      <c r="G323" s="1613" t="s">
        <v>4620</v>
      </c>
      <c r="H323" s="1572">
        <f>NOMINA!H296</f>
        <v>44363</v>
      </c>
      <c r="I323" s="1148">
        <f>NOMINA!I297</f>
        <v>2</v>
      </c>
      <c r="J323" s="1149">
        <f>NOMINA!J297</f>
        <v>3</v>
      </c>
      <c r="K323" s="1148">
        <f t="shared" si="16"/>
        <v>5</v>
      </c>
      <c r="L323" s="1149" t="s">
        <v>4932</v>
      </c>
      <c r="M323" s="1149"/>
      <c r="N323" s="1573" t="str">
        <f>NOMINA!O296</f>
        <v>Asistente Administrativo II</v>
      </c>
      <c r="O323" s="1149">
        <v>1.02087691000006E+18</v>
      </c>
      <c r="P323" s="1150">
        <f>ROUND(+NOMINA!T296,2)</f>
        <v>150</v>
      </c>
      <c r="Q323" s="1151">
        <v>0</v>
      </c>
      <c r="R323" s="1151">
        <f>ROUND(+NOMINA!AA296,2)</f>
        <v>4.5</v>
      </c>
      <c r="S323" s="1151">
        <f>ROUND(+NOMINA!AB296,2)</f>
        <v>130</v>
      </c>
      <c r="T323" s="1151">
        <f>ROUND(+NOMINA!AC296,2)</f>
        <v>12.5</v>
      </c>
      <c r="U323" s="1151">
        <f>ROUND(+NOMINA!AD296,2)</f>
        <v>0</v>
      </c>
      <c r="V323" s="1151">
        <f>ROUND(NOMINA!AQ296,2)</f>
        <v>0</v>
      </c>
      <c r="W323" s="1151">
        <f>+NOMINA!AS296</f>
        <v>12.5</v>
      </c>
      <c r="X323" s="1151">
        <f>+NOMINA!AT296</f>
        <v>12.5</v>
      </c>
      <c r="Y323" s="1151">
        <f>+NOMINA!AU296</f>
        <v>297</v>
      </c>
      <c r="Z323" s="1151">
        <f>+NOMINA!BX296</f>
        <v>556.88</v>
      </c>
      <c r="AA323" s="1151">
        <f>+NOMINA!BY296</f>
        <v>0</v>
      </c>
      <c r="AB323" s="1151">
        <f t="shared" si="17"/>
        <v>556.88</v>
      </c>
      <c r="AD323" s="634"/>
      <c r="AH323" s="1610" t="str">
        <f>NOMINA!P296</f>
        <v>01020373260000797122</v>
      </c>
    </row>
    <row r="324" spans="1:34" s="629" customFormat="1" ht="20.100000000000001" customHeight="1" thickBot="1">
      <c r="A324" s="770"/>
      <c r="B324" s="771">
        <f t="shared" si="18"/>
        <v>257</v>
      </c>
      <c r="C324" s="1145">
        <f>NOMINA!C297</f>
        <v>27415888</v>
      </c>
      <c r="D324" s="1146" t="str">
        <f>NOMINA!D297</f>
        <v>Perdomo Juarez Jose De Jesus</v>
      </c>
      <c r="E324" s="1613" t="s">
        <v>4622</v>
      </c>
      <c r="F324" s="1153">
        <v>32351</v>
      </c>
      <c r="G324" s="1613" t="s">
        <v>4620</v>
      </c>
      <c r="H324" s="1572">
        <f>NOMINA!H297</f>
        <v>44713</v>
      </c>
      <c r="I324" s="1148">
        <f>NOMINA!I298</f>
        <v>1</v>
      </c>
      <c r="J324" s="1149">
        <f>NOMINA!J298</f>
        <v>0</v>
      </c>
      <c r="K324" s="1148">
        <f t="shared" si="16"/>
        <v>1</v>
      </c>
      <c r="L324" s="1149" t="s">
        <v>4932</v>
      </c>
      <c r="M324" s="1149"/>
      <c r="N324" s="1573" t="str">
        <f>NOMINA!O297</f>
        <v>Entrenador Deportivo II</v>
      </c>
      <c r="O324" s="1149">
        <v>1.02087691000006E+18</v>
      </c>
      <c r="P324" s="1150">
        <f>ROUND(+NOMINA!T297,2)</f>
        <v>150</v>
      </c>
      <c r="Q324" s="1151">
        <v>0</v>
      </c>
      <c r="R324" s="1151">
        <f>ROUND(+NOMINA!AA297,2)</f>
        <v>7.5</v>
      </c>
      <c r="S324" s="1151">
        <f>ROUND(+NOMINA!AB297,2)</f>
        <v>130</v>
      </c>
      <c r="T324" s="1151">
        <f>ROUND(+NOMINA!AC297,2)</f>
        <v>0</v>
      </c>
      <c r="U324" s="1151">
        <f>ROUND(+NOMINA!AD297,2)</f>
        <v>0</v>
      </c>
      <c r="V324" s="1151">
        <f>ROUND(NOMINA!AQ297,2)</f>
        <v>0</v>
      </c>
      <c r="W324" s="1151">
        <f>+NOMINA!AS297</f>
        <v>0</v>
      </c>
      <c r="X324" s="1151">
        <f>+NOMINA!AT297</f>
        <v>0</v>
      </c>
      <c r="Y324" s="1151">
        <f>+NOMINA!AU297</f>
        <v>287.5</v>
      </c>
      <c r="Z324" s="1151">
        <f>+NOMINA!BX297</f>
        <v>539.05999999999995</v>
      </c>
      <c r="AA324" s="1151">
        <f>+NOMINA!BY297</f>
        <v>0</v>
      </c>
      <c r="AB324" s="1151">
        <f t="shared" si="17"/>
        <v>539.05999999999995</v>
      </c>
      <c r="AD324" s="634"/>
      <c r="AH324" s="1610" t="str">
        <f>NOMINA!P297</f>
        <v>01020747920100002151</v>
      </c>
    </row>
    <row r="325" spans="1:34" s="629" customFormat="1" ht="20.100000000000001" customHeight="1" thickBot="1">
      <c r="A325" s="770"/>
      <c r="B325" s="771">
        <f t="shared" si="18"/>
        <v>258</v>
      </c>
      <c r="C325" s="1145">
        <f>NOMINA!C298</f>
        <v>27628603</v>
      </c>
      <c r="D325" s="1146" t="str">
        <f>NOMINA!D298</f>
        <v>Mendoza Mendoza Kelasky Kixuy</v>
      </c>
      <c r="E325" s="1613" t="s">
        <v>4622</v>
      </c>
      <c r="F325" s="1153">
        <v>32351</v>
      </c>
      <c r="G325" s="1613" t="s">
        <v>4620</v>
      </c>
      <c r="H325" s="1572">
        <f>NOMINA!H298</f>
        <v>45139</v>
      </c>
      <c r="I325" s="1148">
        <f>NOMINA!I299</f>
        <v>1</v>
      </c>
      <c r="J325" s="1149">
        <f>NOMINA!J299</f>
        <v>0</v>
      </c>
      <c r="K325" s="1148">
        <f t="shared" ref="K325:K335" si="19">I325+J325</f>
        <v>1</v>
      </c>
      <c r="L325" s="1149" t="s">
        <v>4932</v>
      </c>
      <c r="M325" s="1149"/>
      <c r="N325" s="1573" t="str">
        <f>NOMINA!O298</f>
        <v>Instructor De Formacion Empresarial</v>
      </c>
      <c r="O325" s="1149">
        <v>1.02087691000006E+18</v>
      </c>
      <c r="P325" s="1150">
        <f>ROUND(+NOMINA!T298,2)</f>
        <v>130</v>
      </c>
      <c r="Q325" s="1151">
        <v>0</v>
      </c>
      <c r="R325" s="1151">
        <f>ROUND(+NOMINA!AA298,2)</f>
        <v>1.3</v>
      </c>
      <c r="S325" s="1151">
        <f>ROUND(+NOMINA!AB298,2)</f>
        <v>130</v>
      </c>
      <c r="T325" s="1151">
        <f>ROUND(+NOMINA!AC298,2)</f>
        <v>12.5</v>
      </c>
      <c r="U325" s="1151">
        <f>ROUND(+NOMINA!AD298,2)</f>
        <v>0</v>
      </c>
      <c r="V325" s="1151">
        <f>ROUND(NOMINA!AQ298,2)</f>
        <v>0</v>
      </c>
      <c r="W325" s="1151">
        <f>+NOMINA!AS298</f>
        <v>0</v>
      </c>
      <c r="X325" s="1151">
        <f>+NOMINA!AT298</f>
        <v>0</v>
      </c>
      <c r="Y325" s="1151">
        <f>+NOMINA!AU298</f>
        <v>273.8</v>
      </c>
      <c r="Z325" s="1151">
        <f>+NOMINA!BX298</f>
        <v>513.38</v>
      </c>
      <c r="AA325" s="1151">
        <f>+NOMINA!BY298</f>
        <v>0</v>
      </c>
      <c r="AB325" s="1151">
        <f t="shared" ref="AB325:AB335" si="20">+Z325+AA325</f>
        <v>513.38</v>
      </c>
      <c r="AD325" s="634"/>
      <c r="AH325" s="1610" t="str">
        <f>NOMINA!P298</f>
        <v>01020373210000632229</v>
      </c>
    </row>
    <row r="326" spans="1:34" s="629" customFormat="1" ht="20.100000000000001" customHeight="1" thickBot="1">
      <c r="A326" s="770"/>
      <c r="B326" s="771">
        <f t="shared" ref="B326:B335" si="21">+B325+1</f>
        <v>259</v>
      </c>
      <c r="C326" s="1145">
        <f>NOMINA!C299</f>
        <v>27677242</v>
      </c>
      <c r="D326" s="1146" t="str">
        <f>NOMINA!D299</f>
        <v>Ramirez Torres Darwin Jose</v>
      </c>
      <c r="E326" s="1613" t="s">
        <v>4622</v>
      </c>
      <c r="F326" s="1153">
        <v>32351</v>
      </c>
      <c r="G326" s="1613" t="s">
        <v>4620</v>
      </c>
      <c r="H326" s="1572">
        <f>NOMINA!H299</f>
        <v>45139</v>
      </c>
      <c r="I326" s="1148">
        <f>NOMINA!I300</f>
        <v>3</v>
      </c>
      <c r="J326" s="1149">
        <f>NOMINA!J300</f>
        <v>0</v>
      </c>
      <c r="K326" s="1148">
        <f t="shared" si="19"/>
        <v>3</v>
      </c>
      <c r="L326" s="1149" t="s">
        <v>4932</v>
      </c>
      <c r="M326" s="1149"/>
      <c r="N326" s="1573" t="str">
        <f>NOMINA!O299</f>
        <v>Recreador</v>
      </c>
      <c r="O326" s="1149">
        <v>1.02087691000006E+18</v>
      </c>
      <c r="P326" s="1150">
        <f>ROUND(+NOMINA!T299,2)</f>
        <v>130</v>
      </c>
      <c r="Q326" s="1151">
        <v>0</v>
      </c>
      <c r="R326" s="1151">
        <f>ROUND(+NOMINA!AA299,2)</f>
        <v>1.3</v>
      </c>
      <c r="S326" s="1151">
        <f>ROUND(+NOMINA!AB299,2)</f>
        <v>130</v>
      </c>
      <c r="T326" s="1151">
        <f>ROUND(+NOMINA!AC299,2)</f>
        <v>0</v>
      </c>
      <c r="U326" s="1151">
        <f>ROUND(+NOMINA!AD299,2)</f>
        <v>0</v>
      </c>
      <c r="V326" s="1151">
        <f>ROUND(NOMINA!AQ299,2)</f>
        <v>0</v>
      </c>
      <c r="W326" s="1151">
        <f>+NOMINA!AS299</f>
        <v>0</v>
      </c>
      <c r="X326" s="1151">
        <f>+NOMINA!AT299</f>
        <v>0</v>
      </c>
      <c r="Y326" s="1151">
        <f>+NOMINA!AU299</f>
        <v>261.3</v>
      </c>
      <c r="Z326" s="1151">
        <f>+NOMINA!BX299</f>
        <v>489.94</v>
      </c>
      <c r="AA326" s="1151">
        <f>+NOMINA!BY299</f>
        <v>0</v>
      </c>
      <c r="AB326" s="1151">
        <f t="shared" si="20"/>
        <v>489.94</v>
      </c>
      <c r="AD326" s="634"/>
      <c r="AH326" s="1610" t="str">
        <f>NOMINA!P299</f>
        <v>01020494170000536998</v>
      </c>
    </row>
    <row r="327" spans="1:34" s="629" customFormat="1" ht="20.100000000000001" customHeight="1" thickBot="1">
      <c r="A327" s="770"/>
      <c r="B327" s="771">
        <f t="shared" si="21"/>
        <v>260</v>
      </c>
      <c r="C327" s="1145">
        <f>NOMINA!C300</f>
        <v>27889180</v>
      </c>
      <c r="D327" s="1146" t="str">
        <f>NOMINA!D300</f>
        <v>Moreno Andreina del Valle</v>
      </c>
      <c r="E327" s="1613" t="s">
        <v>4622</v>
      </c>
      <c r="F327" s="1153">
        <v>32351</v>
      </c>
      <c r="G327" s="1613" t="s">
        <v>4620</v>
      </c>
      <c r="H327" s="1572">
        <f>NOMINA!H300</f>
        <v>44393</v>
      </c>
      <c r="I327" s="1148">
        <f>NOMINA!I301</f>
        <v>3</v>
      </c>
      <c r="J327" s="1149">
        <f>NOMINA!J301</f>
        <v>0</v>
      </c>
      <c r="K327" s="1148">
        <f t="shared" si="19"/>
        <v>3</v>
      </c>
      <c r="L327" s="1149" t="s">
        <v>4932</v>
      </c>
      <c r="M327" s="1149"/>
      <c r="N327" s="1573" t="str">
        <f>NOMINA!O300</f>
        <v>Asistente Administrativo II</v>
      </c>
      <c r="O327" s="1149">
        <v>1.02087691000006E+18</v>
      </c>
      <c r="P327" s="1150">
        <f>ROUND(+NOMINA!T300,2)</f>
        <v>150</v>
      </c>
      <c r="Q327" s="1151">
        <v>0</v>
      </c>
      <c r="R327" s="1151">
        <f>ROUND(+NOMINA!AA300,2)</f>
        <v>4.5</v>
      </c>
      <c r="S327" s="1151">
        <f>ROUND(+NOMINA!AB300,2)</f>
        <v>130</v>
      </c>
      <c r="T327" s="1151">
        <f>ROUND(+NOMINA!AC300,2)</f>
        <v>12.5</v>
      </c>
      <c r="U327" s="1151">
        <f>ROUND(+NOMINA!AD300,2)</f>
        <v>0</v>
      </c>
      <c r="V327" s="1151">
        <f>ROUND(NOMINA!AQ300,2)</f>
        <v>0</v>
      </c>
      <c r="W327" s="1151">
        <f>+NOMINA!AS300</f>
        <v>0</v>
      </c>
      <c r="X327" s="1151">
        <f>+NOMINA!AT300</f>
        <v>0</v>
      </c>
      <c r="Y327" s="1151">
        <f>+NOMINA!AU300</f>
        <v>297</v>
      </c>
      <c r="Z327" s="1151">
        <f>+NOMINA!BX300</f>
        <v>556.88</v>
      </c>
      <c r="AA327" s="1151">
        <f>+NOMINA!BY300</f>
        <v>0</v>
      </c>
      <c r="AB327" s="1151">
        <f t="shared" si="20"/>
        <v>556.88</v>
      </c>
      <c r="AD327" s="634"/>
      <c r="AH327" s="1610" t="str">
        <f>NOMINA!P300</f>
        <v>01020373290000806990</v>
      </c>
    </row>
    <row r="328" spans="1:34" s="629" customFormat="1" ht="20.100000000000001" customHeight="1" thickBot="1">
      <c r="A328" s="770"/>
      <c r="B328" s="771">
        <f t="shared" si="21"/>
        <v>261</v>
      </c>
      <c r="C328" s="1145">
        <f>NOMINA!C301</f>
        <v>28079765</v>
      </c>
      <c r="D328" s="1146" t="str">
        <f>NOMINA!D301</f>
        <v>Mendoza Cardozo Josue Vicensio</v>
      </c>
      <c r="E328" s="1613" t="s">
        <v>4622</v>
      </c>
      <c r="F328" s="1153">
        <v>32351</v>
      </c>
      <c r="G328" s="1613" t="s">
        <v>4620</v>
      </c>
      <c r="H328" s="1572">
        <f>NOMINA!H301</f>
        <v>44348</v>
      </c>
      <c r="I328" s="1148">
        <f>NOMINA!I302</f>
        <v>3</v>
      </c>
      <c r="J328" s="1149">
        <f>NOMINA!J302</f>
        <v>0</v>
      </c>
      <c r="K328" s="1148">
        <f t="shared" si="19"/>
        <v>3</v>
      </c>
      <c r="L328" s="1149" t="s">
        <v>4932</v>
      </c>
      <c r="M328" s="1149"/>
      <c r="N328" s="1573" t="str">
        <f>NOMINA!O301</f>
        <v>Asistente Administrativo II</v>
      </c>
      <c r="O328" s="1149">
        <v>1.02087691000006E+18</v>
      </c>
      <c r="P328" s="1150">
        <f>ROUND(+NOMINA!T301,2)</f>
        <v>219</v>
      </c>
      <c r="Q328" s="1151">
        <v>0</v>
      </c>
      <c r="R328" s="1151">
        <f>ROUND(+NOMINA!AA301,2)</f>
        <v>6.57</v>
      </c>
      <c r="S328" s="1151">
        <f>ROUND(+NOMINA!AB301,2)</f>
        <v>130</v>
      </c>
      <c r="T328" s="1151">
        <f>ROUND(+NOMINA!AC301,2)</f>
        <v>0</v>
      </c>
      <c r="U328" s="1151">
        <f>ROUND(+NOMINA!AD301,2)</f>
        <v>71.11</v>
      </c>
      <c r="V328" s="1151">
        <f>ROUND(NOMINA!AQ301,2)</f>
        <v>0</v>
      </c>
      <c r="W328" s="1151">
        <f>+NOMINA!AS301</f>
        <v>0</v>
      </c>
      <c r="X328" s="1151">
        <f>+NOMINA!AT301</f>
        <v>0</v>
      </c>
      <c r="Y328" s="1151">
        <f>+NOMINA!AU301</f>
        <v>426.68</v>
      </c>
      <c r="Z328" s="1151">
        <f>+NOMINA!BX301</f>
        <v>800.03</v>
      </c>
      <c r="AA328" s="1151">
        <f>+NOMINA!BY301</f>
        <v>0</v>
      </c>
      <c r="AB328" s="1151">
        <f t="shared" si="20"/>
        <v>800.03</v>
      </c>
      <c r="AD328" s="634"/>
      <c r="AH328" s="1610" t="str">
        <f>NOMINA!P301</f>
        <v>01020373220000793896</v>
      </c>
    </row>
    <row r="329" spans="1:34" s="629" customFormat="1" ht="20.100000000000001" customHeight="1" thickBot="1">
      <c r="A329" s="770"/>
      <c r="B329" s="771">
        <f t="shared" si="21"/>
        <v>262</v>
      </c>
      <c r="C329" s="1145">
        <f>NOMINA!C302</f>
        <v>28096003</v>
      </c>
      <c r="D329" s="1146" t="str">
        <f>NOMINA!D302</f>
        <v>Quintero Peña Maria Alejandra</v>
      </c>
      <c r="E329" s="1613" t="s">
        <v>4622</v>
      </c>
      <c r="F329" s="1153">
        <v>32351</v>
      </c>
      <c r="G329" s="1613" t="s">
        <v>4620</v>
      </c>
      <c r="H329" s="1572">
        <f>NOMINA!H302</f>
        <v>44228</v>
      </c>
      <c r="I329" s="1148">
        <f>NOMINA!I304</f>
        <v>5</v>
      </c>
      <c r="J329" s="1149">
        <f>NOMINA!J304</f>
        <v>0</v>
      </c>
      <c r="K329" s="1148">
        <f t="shared" si="19"/>
        <v>5</v>
      </c>
      <c r="L329" s="1149" t="s">
        <v>4932</v>
      </c>
      <c r="M329" s="1149"/>
      <c r="N329" s="1573" t="str">
        <f>NOMINA!O302</f>
        <v>Guia de Centro I</v>
      </c>
      <c r="O329" s="1149">
        <v>1.02087691000006E+18</v>
      </c>
      <c r="P329" s="1150">
        <f>ROUND(+NOMINA!T302,2)</f>
        <v>150</v>
      </c>
      <c r="Q329" s="1151">
        <v>0</v>
      </c>
      <c r="R329" s="1151">
        <f>ROUND(+NOMINA!AA302,2)</f>
        <v>4.5</v>
      </c>
      <c r="S329" s="1151">
        <f>ROUND(+NOMINA!AB302,2)</f>
        <v>130</v>
      </c>
      <c r="T329" s="1151">
        <f>ROUND(+NOMINA!AC302,2)</f>
        <v>0</v>
      </c>
      <c r="U329" s="1151">
        <f>ROUND(+NOMINA!AD302,2)</f>
        <v>0</v>
      </c>
      <c r="V329" s="1151">
        <f>ROUND(NOMINA!AQ302,2)</f>
        <v>0</v>
      </c>
      <c r="W329" s="1151">
        <f>+NOMINA!AS302</f>
        <v>0</v>
      </c>
      <c r="X329" s="1151">
        <f>+NOMINA!AT302</f>
        <v>12.5</v>
      </c>
      <c r="Y329" s="1151">
        <f>+NOMINA!AU302</f>
        <v>369.85</v>
      </c>
      <c r="Z329" s="1151">
        <f>+NOMINA!BX302</f>
        <v>693.47</v>
      </c>
      <c r="AA329" s="1151">
        <f>+NOMINA!BY302</f>
        <v>0</v>
      </c>
      <c r="AB329" s="1151">
        <f t="shared" si="20"/>
        <v>693.47</v>
      </c>
      <c r="AD329" s="634"/>
      <c r="AH329" s="1610" t="str">
        <f>NOMINA!P302</f>
        <v>01020494170100027913</v>
      </c>
    </row>
    <row r="330" spans="1:34" s="629" customFormat="1" ht="20.100000000000001" customHeight="1" thickBot="1">
      <c r="A330" s="770"/>
      <c r="B330" s="771">
        <f t="shared" si="21"/>
        <v>263</v>
      </c>
      <c r="C330" s="1145">
        <f>NOMINA!C304</f>
        <v>28445465</v>
      </c>
      <c r="D330" s="1146" t="str">
        <f>NOMINA!D304</f>
        <v>Castillo Carrizo Katherine Cecilia</v>
      </c>
      <c r="E330" s="1613" t="s">
        <v>4622</v>
      </c>
      <c r="F330" s="1153">
        <v>32351</v>
      </c>
      <c r="G330" s="1613" t="s">
        <v>4620</v>
      </c>
      <c r="H330" s="1572">
        <f>NOMINA!H304</f>
        <v>43770</v>
      </c>
      <c r="I330" s="1148">
        <f>NOMINA!I305</f>
        <v>5</v>
      </c>
      <c r="J330" s="1149">
        <f>NOMINA!J305</f>
        <v>0</v>
      </c>
      <c r="K330" s="1148">
        <f t="shared" si="19"/>
        <v>5</v>
      </c>
      <c r="L330" s="1149" t="s">
        <v>4932</v>
      </c>
      <c r="M330" s="1149"/>
      <c r="N330" s="1573" t="str">
        <f>NOMINA!O304</f>
        <v>Asistente Administrativo II</v>
      </c>
      <c r="O330" s="1149">
        <v>1.02087691000006E+18</v>
      </c>
      <c r="P330" s="1150">
        <f>ROUND(+NOMINA!T304,2)</f>
        <v>150</v>
      </c>
      <c r="Q330" s="1151">
        <v>0</v>
      </c>
      <c r="R330" s="1151">
        <f>ROUND(+NOMINA!AA304,2)</f>
        <v>7.5</v>
      </c>
      <c r="S330" s="1151">
        <f>ROUND(+NOMINA!AB304,2)</f>
        <v>130</v>
      </c>
      <c r="T330" s="1151">
        <f>ROUND(+NOMINA!AC304,2)</f>
        <v>0</v>
      </c>
      <c r="U330" s="1151">
        <f>ROUND(+NOMINA!AD304,2)</f>
        <v>0</v>
      </c>
      <c r="V330" s="1151">
        <f>ROUND(NOMINA!AQ304,2)</f>
        <v>0</v>
      </c>
      <c r="W330" s="1151">
        <f>+NOMINA!AS304</f>
        <v>0</v>
      </c>
      <c r="X330" s="1151">
        <f>+NOMINA!AT304</f>
        <v>12.5</v>
      </c>
      <c r="Y330" s="1151">
        <f>+NOMINA!AU304</f>
        <v>287.5</v>
      </c>
      <c r="Z330" s="1151">
        <f>+NOMINA!BX304</f>
        <v>539.05999999999995</v>
      </c>
      <c r="AA330" s="1151">
        <f>+NOMINA!BY304</f>
        <v>0</v>
      </c>
      <c r="AB330" s="1151">
        <f t="shared" si="20"/>
        <v>539.05999999999995</v>
      </c>
      <c r="AD330" s="634"/>
      <c r="AH330" s="1610" t="str">
        <f>NOMINA!P304</f>
        <v>01020373260100100853</v>
      </c>
    </row>
    <row r="331" spans="1:34" s="629" customFormat="1" ht="20.100000000000001" customHeight="1" thickBot="1">
      <c r="A331" s="770"/>
      <c r="B331" s="771">
        <f t="shared" si="21"/>
        <v>264</v>
      </c>
      <c r="C331" s="1145">
        <f>NOMINA!C305</f>
        <v>29585477</v>
      </c>
      <c r="D331" s="1146" t="str">
        <f>NOMINA!D305</f>
        <v>Gil Ruiz Marianyeli Sarait</v>
      </c>
      <c r="E331" s="1613" t="s">
        <v>4622</v>
      </c>
      <c r="F331" s="1153">
        <v>32351</v>
      </c>
      <c r="G331" s="1613" t="s">
        <v>4620</v>
      </c>
      <c r="H331" s="1572">
        <f>NOMINA!H305</f>
        <v>43512</v>
      </c>
      <c r="I331" s="1148">
        <f>NOMINA!I306</f>
        <v>3</v>
      </c>
      <c r="J331" s="1149">
        <f>NOMINA!J306</f>
        <v>0</v>
      </c>
      <c r="K331" s="1148">
        <f t="shared" si="19"/>
        <v>3</v>
      </c>
      <c r="L331" s="1149" t="s">
        <v>4932</v>
      </c>
      <c r="M331" s="1149"/>
      <c r="N331" s="1573" t="str">
        <f>NOMINA!O305</f>
        <v>Entrenador Deportivo II</v>
      </c>
      <c r="O331" s="1149">
        <v>1.02087691000006E+18</v>
      </c>
      <c r="P331" s="1150">
        <f>ROUND(+NOMINA!T305,2)</f>
        <v>150</v>
      </c>
      <c r="Q331" s="1151">
        <v>0</v>
      </c>
      <c r="R331" s="1151">
        <f>ROUND(+NOMINA!AA305,2)</f>
        <v>7.5</v>
      </c>
      <c r="S331" s="1151">
        <f>ROUND(+NOMINA!AB305,2)</f>
        <v>130</v>
      </c>
      <c r="T331" s="1151">
        <f>ROUND(+NOMINA!AC305,2)</f>
        <v>12.5</v>
      </c>
      <c r="U331" s="1151">
        <f>ROUND(+NOMINA!AD305,2)</f>
        <v>0</v>
      </c>
      <c r="V331" s="1151">
        <f>ROUND(NOMINA!AQ305,2)</f>
        <v>0</v>
      </c>
      <c r="W331" s="1151">
        <f>+NOMINA!AS305</f>
        <v>0</v>
      </c>
      <c r="X331" s="1151">
        <f>+NOMINA!AT305</f>
        <v>0</v>
      </c>
      <c r="Y331" s="1151">
        <f>+NOMINA!AU305</f>
        <v>300</v>
      </c>
      <c r="Z331" s="1151">
        <f>+NOMINA!BX305</f>
        <v>562.5</v>
      </c>
      <c r="AA331" s="1151">
        <f>+NOMINA!BY305</f>
        <v>0</v>
      </c>
      <c r="AB331" s="1151">
        <f t="shared" si="20"/>
        <v>562.5</v>
      </c>
      <c r="AD331" s="634"/>
      <c r="AH331" s="1610" t="str">
        <f>NOMINA!P305</f>
        <v>01020373290000623380</v>
      </c>
    </row>
    <row r="332" spans="1:34" s="629" customFormat="1" ht="20.100000000000001" customHeight="1" thickBot="1">
      <c r="A332" s="770"/>
      <c r="B332" s="771">
        <f t="shared" si="21"/>
        <v>265</v>
      </c>
      <c r="C332" s="1145">
        <f>NOMINA!C306</f>
        <v>29916508</v>
      </c>
      <c r="D332" s="1146" t="str">
        <f>NOMINA!D306</f>
        <v>Zambrano Briceño Elio Jesus</v>
      </c>
      <c r="E332" s="1613" t="s">
        <v>4622</v>
      </c>
      <c r="F332" s="1153">
        <v>32351</v>
      </c>
      <c r="G332" s="1613" t="s">
        <v>4620</v>
      </c>
      <c r="H332" s="1572">
        <f>NOMINA!H306</f>
        <v>44378</v>
      </c>
      <c r="I332" s="1148">
        <f>NOMINA!I307</f>
        <v>1</v>
      </c>
      <c r="J332" s="1149">
        <f>NOMINA!J307</f>
        <v>0</v>
      </c>
      <c r="K332" s="1148">
        <f t="shared" si="19"/>
        <v>1</v>
      </c>
      <c r="L332" s="1149" t="s">
        <v>4932</v>
      </c>
      <c r="M332" s="1149"/>
      <c r="N332" s="1573" t="str">
        <f>NOMINA!O306</f>
        <v>Guia de Centro I</v>
      </c>
      <c r="O332" s="1149">
        <v>1.02087691000006E+18</v>
      </c>
      <c r="P332" s="1150">
        <f>ROUND(+NOMINA!T306,2)</f>
        <v>150</v>
      </c>
      <c r="Q332" s="1151">
        <v>0</v>
      </c>
      <c r="R332" s="1151">
        <f>ROUND(+NOMINA!AA306,2)</f>
        <v>4.5</v>
      </c>
      <c r="S332" s="1151">
        <f>ROUND(+NOMINA!AB306,2)</f>
        <v>130</v>
      </c>
      <c r="T332" s="1151">
        <f>ROUND(+NOMINA!AC306,2)</f>
        <v>0</v>
      </c>
      <c r="U332" s="1151">
        <f>ROUND(+NOMINA!AD306,2)</f>
        <v>0</v>
      </c>
      <c r="V332" s="1151">
        <f>ROUND(NOMINA!AQ306,2)</f>
        <v>0</v>
      </c>
      <c r="W332" s="1151">
        <f>+NOMINA!AS306</f>
        <v>0</v>
      </c>
      <c r="X332" s="1151">
        <f>+NOMINA!AT306</f>
        <v>12.5</v>
      </c>
      <c r="Y332" s="1151">
        <f>+NOMINA!AU306</f>
        <v>369.85</v>
      </c>
      <c r="Z332" s="1151">
        <f>+NOMINA!BX306</f>
        <v>693.47</v>
      </c>
      <c r="AA332" s="1151">
        <f>+NOMINA!BY306</f>
        <v>0</v>
      </c>
      <c r="AB332" s="1151">
        <f t="shared" si="20"/>
        <v>693.47</v>
      </c>
      <c r="AD332" s="634"/>
      <c r="AH332" s="1610" t="str">
        <f>NOMINA!P306</f>
        <v>01020493310100022258</v>
      </c>
    </row>
    <row r="333" spans="1:34" s="629" customFormat="1" ht="20.100000000000001" customHeight="1" thickBot="1">
      <c r="A333" s="770"/>
      <c r="B333" s="771">
        <f t="shared" si="21"/>
        <v>266</v>
      </c>
      <c r="C333" s="1145">
        <f>NOMINA!C307</f>
        <v>30190238</v>
      </c>
      <c r="D333" s="1146" t="str">
        <f>NOMINA!D307</f>
        <v>Mendoza Osuna Zaida Liseth</v>
      </c>
      <c r="E333" s="1613" t="s">
        <v>4622</v>
      </c>
      <c r="F333" s="1153">
        <v>32351</v>
      </c>
      <c r="G333" s="1613" t="s">
        <v>4620</v>
      </c>
      <c r="H333" s="1572">
        <f>NOMINA!H307</f>
        <v>45200</v>
      </c>
      <c r="I333" s="1148">
        <f>NOMINA!I308</f>
        <v>1</v>
      </c>
      <c r="J333" s="1149">
        <f>NOMINA!J308</f>
        <v>4</v>
      </c>
      <c r="K333" s="1148">
        <f t="shared" si="19"/>
        <v>5</v>
      </c>
      <c r="L333" s="1149" t="s">
        <v>4932</v>
      </c>
      <c r="M333" s="1149"/>
      <c r="N333" s="1573" t="str">
        <f>NOMINA!O307</f>
        <v>Guia de Centro I</v>
      </c>
      <c r="O333" s="1149">
        <v>1.02087691000006E+18</v>
      </c>
      <c r="P333" s="1150">
        <f>ROUND(+NOMINA!T307,2)</f>
        <v>130</v>
      </c>
      <c r="Q333" s="1151">
        <v>0</v>
      </c>
      <c r="R333" s="1151">
        <f>ROUND(+NOMINA!AA307,2)</f>
        <v>1.3</v>
      </c>
      <c r="S333" s="1151">
        <f>ROUND(+NOMINA!AB307,2)</f>
        <v>130</v>
      </c>
      <c r="T333" s="1151">
        <f>ROUND(+NOMINA!AC307,2)</f>
        <v>0</v>
      </c>
      <c r="U333" s="1151">
        <f>ROUND(+NOMINA!AD307,2)</f>
        <v>0</v>
      </c>
      <c r="V333" s="1151">
        <f>ROUND(NOMINA!AQ307,2)</f>
        <v>0</v>
      </c>
      <c r="W333" s="1151">
        <f>+NOMINA!AS307</f>
        <v>0</v>
      </c>
      <c r="X333" s="1151">
        <f>+NOMINA!AT307</f>
        <v>0</v>
      </c>
      <c r="Y333" s="1151">
        <f>+NOMINA!AU307</f>
        <v>339.69</v>
      </c>
      <c r="Z333" s="1151">
        <f>+NOMINA!BX307</f>
        <v>636.91999999999996</v>
      </c>
      <c r="AA333" s="1151">
        <f>+NOMINA!BY307</f>
        <v>0</v>
      </c>
      <c r="AB333" s="1151">
        <f t="shared" si="20"/>
        <v>636.91999999999996</v>
      </c>
      <c r="AD333" s="634"/>
      <c r="AH333" s="1610" t="str">
        <f>NOMINA!P307</f>
        <v>01020494130000428271</v>
      </c>
    </row>
    <row r="334" spans="1:34" s="629" customFormat="1" ht="20.100000000000001" customHeight="1" thickBot="1">
      <c r="A334" s="770"/>
      <c r="B334" s="771">
        <f t="shared" si="21"/>
        <v>267</v>
      </c>
      <c r="C334" s="1145">
        <f>NOMINA!C308</f>
        <v>30438508</v>
      </c>
      <c r="D334" s="1146" t="str">
        <f>NOMINA!D308</f>
        <v xml:space="preserve">Teran Araujo Marihangeli Nicoll </v>
      </c>
      <c r="E334" s="1613" t="s">
        <v>4622</v>
      </c>
      <c r="F334" s="1153">
        <v>32351</v>
      </c>
      <c r="G334" s="1613" t="s">
        <v>4620</v>
      </c>
      <c r="H334" s="1572">
        <f>NOMINA!H308</f>
        <v>45200</v>
      </c>
      <c r="I334" s="1148">
        <f>NOMINA!I309</f>
        <v>3</v>
      </c>
      <c r="J334" s="1149">
        <f>NOMINA!J309</f>
        <v>0</v>
      </c>
      <c r="K334" s="1148">
        <f t="shared" si="19"/>
        <v>3</v>
      </c>
      <c r="L334" s="1149" t="s">
        <v>4932</v>
      </c>
      <c r="M334" s="1149"/>
      <c r="N334" s="1573" t="str">
        <f>NOMINA!O308</f>
        <v>Asistente Administrativo II</v>
      </c>
      <c r="O334" s="1149">
        <v>1.02087691000006E+18</v>
      </c>
      <c r="P334" s="1150">
        <f>ROUND(+NOMINA!T308,2)</f>
        <v>150</v>
      </c>
      <c r="Q334" s="1151">
        <v>0</v>
      </c>
      <c r="R334" s="1151">
        <f>ROUND(+NOMINA!AA308,2)</f>
        <v>7.5</v>
      </c>
      <c r="S334" s="1151">
        <f>ROUND(+NOMINA!AB308,2)</f>
        <v>130</v>
      </c>
      <c r="T334" s="1151">
        <f>ROUND(+NOMINA!AC308,2)</f>
        <v>0</v>
      </c>
      <c r="U334" s="1151">
        <f>ROUND(+NOMINA!AD308,2)</f>
        <v>0</v>
      </c>
      <c r="V334" s="1151">
        <f>ROUND(NOMINA!AQ308,2)</f>
        <v>0</v>
      </c>
      <c r="W334" s="1151">
        <f>+NOMINA!AS308</f>
        <v>0</v>
      </c>
      <c r="X334" s="1151">
        <f>+NOMINA!AT308</f>
        <v>12.5</v>
      </c>
      <c r="Y334" s="1151">
        <f>+NOMINA!AU308</f>
        <v>287.5</v>
      </c>
      <c r="Z334" s="1151">
        <f>+NOMINA!BX308</f>
        <v>539.05999999999995</v>
      </c>
      <c r="AA334" s="1151">
        <f>+NOMINA!BY308</f>
        <v>0</v>
      </c>
      <c r="AB334" s="1151">
        <f t="shared" si="20"/>
        <v>539.05999999999995</v>
      </c>
      <c r="AD334" s="634"/>
      <c r="AH334" s="1610"/>
    </row>
    <row r="335" spans="1:34" s="629" customFormat="1" ht="20.100000000000001" customHeight="1" thickBot="1">
      <c r="A335" s="770"/>
      <c r="B335" s="771">
        <f t="shared" si="21"/>
        <v>268</v>
      </c>
      <c r="C335" s="1145">
        <f>NOMINA!C309</f>
        <v>30600641</v>
      </c>
      <c r="D335" s="1146" t="str">
        <f>NOMINA!D309</f>
        <v>Gonzalez Justo Jariana Roxanny</v>
      </c>
      <c r="E335" s="1613" t="s">
        <v>4622</v>
      </c>
      <c r="F335" s="1153">
        <v>32351</v>
      </c>
      <c r="G335" s="1613" t="s">
        <v>4620</v>
      </c>
      <c r="H335" s="1572">
        <f>NOMINA!H309</f>
        <v>44455</v>
      </c>
      <c r="I335" s="1148">
        <f>NOMINA!I310</f>
        <v>1950</v>
      </c>
      <c r="J335" s="1149">
        <f>NOMINA!J310</f>
        <v>355</v>
      </c>
      <c r="K335" s="1148">
        <f t="shared" si="19"/>
        <v>2305</v>
      </c>
      <c r="L335" s="1149" t="s">
        <v>4932</v>
      </c>
      <c r="M335" s="1149"/>
      <c r="N335" s="1573" t="str">
        <f>NOMINA!O309</f>
        <v>Asistente Administrativo I</v>
      </c>
      <c r="O335" s="1149">
        <v>1.02087691000006E+18</v>
      </c>
      <c r="P335" s="1150">
        <f>ROUND(+NOMINA!T309,2)</f>
        <v>0</v>
      </c>
      <c r="Q335" s="1151">
        <v>0</v>
      </c>
      <c r="R335" s="1151">
        <f>ROUND(+NOMINA!AA309,2)</f>
        <v>0</v>
      </c>
      <c r="S335" s="1151">
        <f>ROUND(+NOMINA!AB309,2)</f>
        <v>0</v>
      </c>
      <c r="T335" s="1151">
        <f>ROUND(+NOMINA!AC309,2)</f>
        <v>0</v>
      </c>
      <c r="U335" s="1151">
        <f>ROUND(+NOMINA!AD309,2)</f>
        <v>0</v>
      </c>
      <c r="V335" s="1151">
        <f>ROUND(NOMINA!AQ309,2)</f>
        <v>0</v>
      </c>
      <c r="W335" s="1151">
        <f>+NOMINA!AS309</f>
        <v>0</v>
      </c>
      <c r="X335" s="1151">
        <f>+NOMINA!AT309</f>
        <v>0</v>
      </c>
      <c r="Y335" s="1151">
        <f>+NOMINA!AU309</f>
        <v>0</v>
      </c>
      <c r="Z335" s="1151">
        <f>+NOMINA!BX309</f>
        <v>0</v>
      </c>
      <c r="AA335" s="1151">
        <f>+NOMINA!BY309</f>
        <v>0</v>
      </c>
      <c r="AB335" s="1151">
        <f t="shared" si="20"/>
        <v>0</v>
      </c>
      <c r="AD335" s="634"/>
      <c r="AH335" s="1610" t="str">
        <f>NOMINA!P308</f>
        <v>01020373290000703200</v>
      </c>
    </row>
    <row r="336" spans="1:34" s="629" customFormat="1" ht="19.5" customHeight="1" thickBot="1">
      <c r="A336" s="693"/>
      <c r="B336" s="676"/>
      <c r="C336" s="677" t="s">
        <v>4562</v>
      </c>
      <c r="D336" s="677"/>
      <c r="E336" s="677"/>
      <c r="F336" s="677"/>
      <c r="G336" s="677"/>
      <c r="H336" s="678"/>
      <c r="I336" s="677"/>
      <c r="J336" s="677"/>
      <c r="K336" s="677"/>
      <c r="L336" s="677"/>
      <c r="M336" s="677"/>
      <c r="N336" s="1578"/>
      <c r="O336" s="677"/>
      <c r="P336" s="694" t="e">
        <f t="shared" ref="P336:AB336" si="22">SUM(P68:P335)</f>
        <v>#REF!</v>
      </c>
      <c r="Q336" s="694">
        <f t="shared" si="22"/>
        <v>0</v>
      </c>
      <c r="R336" s="694" t="e">
        <f t="shared" si="22"/>
        <v>#REF!</v>
      </c>
      <c r="S336" s="694" t="e">
        <f t="shared" si="22"/>
        <v>#REF!</v>
      </c>
      <c r="T336" s="694" t="e">
        <f t="shared" si="22"/>
        <v>#REF!</v>
      </c>
      <c r="U336" s="694" t="e">
        <f t="shared" si="22"/>
        <v>#REF!</v>
      </c>
      <c r="V336" s="694" t="e">
        <f t="shared" si="22"/>
        <v>#REF!</v>
      </c>
      <c r="W336" s="694" t="e">
        <f t="shared" si="22"/>
        <v>#REF!</v>
      </c>
      <c r="X336" s="694" t="e">
        <f t="shared" si="22"/>
        <v>#REF!</v>
      </c>
      <c r="Y336" s="694" t="e">
        <f t="shared" si="22"/>
        <v>#REF!</v>
      </c>
      <c r="Z336" s="694" t="e">
        <f t="shared" si="22"/>
        <v>#REF!</v>
      </c>
      <c r="AA336" s="694" t="e">
        <f t="shared" si="22"/>
        <v>#REF!</v>
      </c>
      <c r="AB336" s="696" t="e">
        <f t="shared" si="22"/>
        <v>#REF!</v>
      </c>
      <c r="AC336" s="634"/>
      <c r="AD336" s="634"/>
      <c r="AH336" s="677"/>
    </row>
    <row r="337" spans="1:34" s="629" customFormat="1" ht="19.5" customHeight="1">
      <c r="A337" s="708"/>
      <c r="B337" s="778"/>
      <c r="C337" s="814"/>
      <c r="D337" s="814"/>
      <c r="E337" s="814"/>
      <c r="F337" s="814"/>
      <c r="G337" s="814"/>
      <c r="H337" s="815"/>
      <c r="I337" s="814"/>
      <c r="J337" s="814"/>
      <c r="K337" s="786"/>
      <c r="L337" s="814"/>
      <c r="M337" s="814"/>
      <c r="N337" s="814"/>
      <c r="O337" s="814"/>
      <c r="P337" s="816"/>
      <c r="Q337" s="816"/>
      <c r="R337" s="816"/>
      <c r="S337" s="816"/>
      <c r="T337" s="816"/>
      <c r="U337" s="816"/>
      <c r="V337" s="816"/>
      <c r="W337" s="816"/>
      <c r="X337" s="816"/>
      <c r="Y337" s="816"/>
      <c r="Z337" s="816"/>
      <c r="AA337" s="816"/>
      <c r="AB337" s="816"/>
      <c r="AD337" s="634"/>
      <c r="AH337" s="814"/>
    </row>
    <row r="338" spans="1:34" s="629" customFormat="1" ht="19.5" customHeight="1">
      <c r="A338" s="708"/>
      <c r="B338" s="720" t="s">
        <v>4664</v>
      </c>
      <c r="C338" s="700"/>
      <c r="D338" s="700"/>
      <c r="E338" s="700"/>
      <c r="F338" s="700"/>
      <c r="G338" s="700"/>
      <c r="H338" s="820"/>
      <c r="I338" s="700"/>
      <c r="J338" s="700"/>
      <c r="K338" s="611"/>
      <c r="L338" s="700"/>
      <c r="M338" s="700"/>
      <c r="N338" s="700"/>
      <c r="O338" s="700"/>
      <c r="P338" s="817"/>
      <c r="Q338" s="817"/>
      <c r="R338" s="817"/>
      <c r="S338" s="817"/>
      <c r="T338" s="817"/>
      <c r="U338" s="817"/>
      <c r="V338" s="817"/>
      <c r="W338" s="817"/>
      <c r="X338" s="817"/>
      <c r="Y338" s="817"/>
      <c r="Z338" s="817"/>
      <c r="AA338" s="817"/>
      <c r="AB338" s="817"/>
      <c r="AH338" s="700"/>
    </row>
    <row r="339" spans="1:34" s="629" customFormat="1" ht="19.5" customHeight="1">
      <c r="A339" s="708"/>
      <c r="B339" s="720" t="s">
        <v>4665</v>
      </c>
      <c r="C339" s="700"/>
      <c r="D339" s="700"/>
      <c r="E339" s="700"/>
      <c r="F339" s="700"/>
      <c r="G339" s="700"/>
      <c r="H339" s="820"/>
      <c r="I339" s="700"/>
      <c r="J339" s="700"/>
      <c r="K339" s="611"/>
      <c r="L339" s="700"/>
      <c r="M339" s="700"/>
      <c r="N339" s="700"/>
      <c r="O339" s="700"/>
      <c r="P339" s="817"/>
      <c r="Q339" s="817"/>
      <c r="R339" s="817"/>
      <c r="S339" s="817"/>
      <c r="T339" s="817"/>
      <c r="U339" s="817"/>
      <c r="V339" s="817"/>
      <c r="W339" s="817"/>
      <c r="X339" s="817"/>
      <c r="Y339" s="817"/>
      <c r="Z339" s="817"/>
      <c r="AA339" s="817"/>
      <c r="AB339" s="817"/>
      <c r="AH339" s="700"/>
    </row>
    <row r="340" spans="1:34" s="629" customFormat="1" ht="19.5" customHeight="1">
      <c r="A340" s="708"/>
      <c r="B340" s="720"/>
      <c r="C340" s="700"/>
      <c r="D340" s="700"/>
      <c r="E340" s="700"/>
      <c r="F340" s="700"/>
      <c r="G340" s="700"/>
      <c r="H340" s="820"/>
      <c r="I340" s="700"/>
      <c r="J340" s="700"/>
      <c r="K340" s="611"/>
      <c r="L340" s="700"/>
      <c r="M340" s="700"/>
      <c r="N340" s="700"/>
      <c r="O340" s="700"/>
      <c r="P340" s="817"/>
      <c r="Q340" s="817"/>
      <c r="R340" s="817"/>
      <c r="S340" s="817"/>
      <c r="T340" s="817"/>
      <c r="U340" s="817"/>
      <c r="V340" s="817"/>
      <c r="W340" s="817"/>
      <c r="X340" s="817"/>
      <c r="Y340" s="817"/>
      <c r="Z340" s="817"/>
      <c r="AA340" s="817"/>
      <c r="AB340" s="817"/>
      <c r="AH340" s="700"/>
    </row>
    <row r="341" spans="1:34" s="629" customFormat="1" ht="19.5" customHeight="1">
      <c r="A341" s="708"/>
      <c r="B341" s="720"/>
      <c r="C341" s="700"/>
      <c r="D341" s="700"/>
      <c r="E341" s="700"/>
      <c r="F341" s="700"/>
      <c r="G341" s="700"/>
      <c r="H341" s="820"/>
      <c r="I341" s="700"/>
      <c r="J341" s="700"/>
      <c r="K341" s="611"/>
      <c r="L341" s="700"/>
      <c r="M341" s="700"/>
      <c r="N341" s="700"/>
      <c r="O341" s="700"/>
      <c r="P341" s="817"/>
      <c r="Q341" s="817"/>
      <c r="R341" s="817"/>
      <c r="S341" s="817"/>
      <c r="T341" s="817"/>
      <c r="U341" s="817"/>
      <c r="V341" s="817"/>
      <c r="W341" s="817"/>
      <c r="X341" s="817"/>
      <c r="Y341" s="817"/>
      <c r="Z341" s="817"/>
      <c r="AA341" s="817"/>
      <c r="AB341" s="817"/>
      <c r="AH341" s="700"/>
    </row>
    <row r="342" spans="1:34" s="629" customFormat="1" ht="19.5" customHeight="1">
      <c r="A342" s="708"/>
      <c r="B342" s="790"/>
      <c r="C342" s="700"/>
      <c r="D342" s="700"/>
      <c r="E342" s="700"/>
      <c r="F342" s="700"/>
      <c r="G342" s="700"/>
      <c r="H342" s="820"/>
      <c r="I342" s="700"/>
      <c r="J342" s="700"/>
      <c r="K342" s="611"/>
      <c r="L342" s="700"/>
      <c r="M342" s="700"/>
      <c r="N342" s="700"/>
      <c r="O342" s="700"/>
      <c r="P342" s="817"/>
      <c r="Q342" s="817"/>
      <c r="R342" s="817"/>
      <c r="S342" s="817"/>
      <c r="T342" s="817"/>
      <c r="U342" s="817"/>
      <c r="V342" s="817"/>
      <c r="W342" s="817"/>
      <c r="X342" s="817"/>
      <c r="Y342" s="817"/>
      <c r="Z342" s="817"/>
      <c r="AA342" s="817"/>
      <c r="AB342" s="817"/>
      <c r="AH342" s="700"/>
    </row>
    <row r="343" spans="1:34" s="629" customFormat="1" ht="19.5" customHeight="1">
      <c r="A343" s="708"/>
      <c r="B343" s="790"/>
      <c r="C343" s="791"/>
      <c r="D343" s="735" t="s">
        <v>5860</v>
      </c>
      <c r="E343" s="708"/>
      <c r="F343" s="793"/>
      <c r="G343" s="708"/>
      <c r="H343" s="794"/>
      <c r="I343" s="795"/>
      <c r="J343" s="796"/>
      <c r="K343" s="611"/>
      <c r="L343" s="797"/>
      <c r="M343" s="796"/>
      <c r="N343" s="798"/>
      <c r="O343" s="796"/>
      <c r="P343" s="726" t="s">
        <v>5861</v>
      </c>
      <c r="Q343" s="799"/>
      <c r="R343" s="799"/>
      <c r="S343" s="799"/>
      <c r="T343" s="799"/>
      <c r="U343" s="799"/>
      <c r="V343" s="799"/>
      <c r="W343" s="799"/>
      <c r="X343" s="799"/>
      <c r="Y343" s="724" t="s">
        <v>5862</v>
      </c>
      <c r="Z343" s="724"/>
      <c r="AA343" s="724"/>
      <c r="AB343" s="817"/>
      <c r="AH343" s="735"/>
    </row>
    <row r="344" spans="1:34" s="629" customFormat="1" ht="19.5" customHeight="1">
      <c r="A344" s="708"/>
      <c r="B344" s="790"/>
      <c r="C344" s="791"/>
      <c r="D344" s="792"/>
      <c r="E344" s="708"/>
      <c r="F344" s="793"/>
      <c r="G344" s="708"/>
      <c r="H344" s="794"/>
      <c r="I344" s="795"/>
      <c r="J344" s="796"/>
      <c r="K344" s="611"/>
      <c r="L344" s="797"/>
      <c r="M344" s="796"/>
      <c r="N344" s="798"/>
      <c r="O344" s="796"/>
      <c r="P344" s="799"/>
      <c r="Q344" s="799"/>
      <c r="R344" s="799"/>
      <c r="S344" s="799"/>
      <c r="T344" s="799"/>
      <c r="U344" s="799"/>
      <c r="V344" s="799"/>
      <c r="W344" s="799"/>
      <c r="X344" s="799"/>
      <c r="Y344" s="799"/>
      <c r="Z344" s="799"/>
      <c r="AA344" s="799"/>
      <c r="AB344" s="817"/>
      <c r="AH344" s="792"/>
    </row>
    <row r="345" spans="1:34" s="629" customFormat="1" ht="19.5" customHeight="1">
      <c r="A345" s="708"/>
      <c r="B345" s="790"/>
      <c r="C345" s="791"/>
      <c r="D345" s="792"/>
      <c r="E345" s="708"/>
      <c r="F345" s="793"/>
      <c r="G345" s="708"/>
      <c r="H345" s="794"/>
      <c r="I345" s="795"/>
      <c r="J345" s="796"/>
      <c r="K345" s="611"/>
      <c r="L345" s="797"/>
      <c r="M345" s="796"/>
      <c r="N345" s="798"/>
      <c r="O345" s="796"/>
      <c r="P345" s="799"/>
      <c r="Q345" s="799"/>
      <c r="R345" s="799"/>
      <c r="S345" s="799"/>
      <c r="T345" s="799"/>
      <c r="U345" s="799"/>
      <c r="V345" s="799"/>
      <c r="W345" s="799"/>
      <c r="X345" s="799"/>
      <c r="Y345" s="799"/>
      <c r="Z345" s="799"/>
      <c r="AA345" s="799"/>
      <c r="AB345" s="817"/>
      <c r="AH345" s="792"/>
    </row>
    <row r="346" spans="1:34" s="629" customFormat="1" ht="19.5" customHeight="1">
      <c r="A346" s="708"/>
      <c r="B346" s="790"/>
      <c r="C346" s="791"/>
      <c r="D346" s="792"/>
      <c r="E346" s="708"/>
      <c r="F346" s="793"/>
      <c r="G346" s="708"/>
      <c r="H346" s="794"/>
      <c r="I346" s="795"/>
      <c r="J346" s="796"/>
      <c r="K346" s="611"/>
      <c r="L346" s="797"/>
      <c r="M346" s="796"/>
      <c r="N346" s="798"/>
      <c r="O346" s="796"/>
      <c r="P346" s="799"/>
      <c r="Q346" s="799"/>
      <c r="R346" s="799"/>
      <c r="S346" s="799"/>
      <c r="T346" s="799"/>
      <c r="U346" s="799"/>
      <c r="V346" s="799"/>
      <c r="W346" s="799"/>
      <c r="X346" s="799"/>
      <c r="Y346" s="799"/>
      <c r="Z346" s="799"/>
      <c r="AA346" s="799"/>
      <c r="AB346" s="817"/>
      <c r="AH346" s="792"/>
    </row>
    <row r="347" spans="1:34" s="629" customFormat="1" ht="19.5" customHeight="1">
      <c r="A347" s="708"/>
      <c r="B347" s="734" t="s">
        <v>6879</v>
      </c>
      <c r="C347" s="735"/>
      <c r="D347" s="733"/>
      <c r="E347" s="733"/>
      <c r="F347" s="733"/>
      <c r="G347" s="733"/>
      <c r="H347" s="734" t="s">
        <v>6152</v>
      </c>
      <c r="I347" s="734"/>
      <c r="K347" s="611"/>
      <c r="L347" s="797"/>
      <c r="M347" s="796"/>
      <c r="N347" s="798"/>
      <c r="O347" s="796"/>
      <c r="P347" s="736" t="s">
        <v>5863</v>
      </c>
      <c r="Q347" s="799"/>
      <c r="R347" s="799"/>
      <c r="S347" s="799"/>
      <c r="T347" s="799"/>
      <c r="U347" s="799"/>
      <c r="V347" s="799"/>
      <c r="W347" s="799"/>
      <c r="X347" s="799"/>
      <c r="Y347" s="724" t="s">
        <v>5874</v>
      </c>
      <c r="Z347" s="724"/>
      <c r="AA347" s="724"/>
      <c r="AB347" s="817"/>
      <c r="AH347" s="733"/>
    </row>
    <row r="348" spans="1:34" s="629" customFormat="1" ht="19.5" customHeight="1">
      <c r="A348" s="708"/>
      <c r="B348" s="734" t="s">
        <v>6880</v>
      </c>
      <c r="C348" s="735"/>
      <c r="D348" s="733"/>
      <c r="E348" s="733"/>
      <c r="F348" s="733"/>
      <c r="G348" s="733"/>
      <c r="H348" s="734" t="s">
        <v>6153</v>
      </c>
      <c r="I348" s="734"/>
      <c r="K348" s="611"/>
      <c r="L348" s="797"/>
      <c r="M348" s="796"/>
      <c r="N348" s="798"/>
      <c r="O348" s="796"/>
      <c r="P348" s="736" t="s">
        <v>5865</v>
      </c>
      <c r="Q348" s="799"/>
      <c r="R348" s="799"/>
      <c r="S348" s="799"/>
      <c r="T348" s="799"/>
      <c r="U348" s="799"/>
      <c r="V348" s="799"/>
      <c r="W348" s="799"/>
      <c r="X348" s="799"/>
      <c r="Y348" s="734" t="s">
        <v>5866</v>
      </c>
      <c r="Z348" s="734"/>
      <c r="AA348" s="734"/>
      <c r="AB348" s="817"/>
      <c r="AH348" s="733"/>
    </row>
    <row r="349" spans="1:34" s="629" customFormat="1" ht="19.5" customHeight="1">
      <c r="A349" s="708"/>
      <c r="B349" s="734" t="s">
        <v>5244</v>
      </c>
      <c r="C349" s="735"/>
      <c r="D349" s="733"/>
      <c r="E349" s="733"/>
      <c r="F349" s="733"/>
      <c r="G349" s="733"/>
      <c r="H349" s="734" t="s">
        <v>5265</v>
      </c>
      <c r="I349" s="734"/>
      <c r="K349" s="611"/>
      <c r="L349" s="797"/>
      <c r="M349" s="796"/>
      <c r="N349" s="798"/>
      <c r="O349" s="796"/>
      <c r="P349" s="736" t="s">
        <v>5867</v>
      </c>
      <c r="Q349" s="799"/>
      <c r="R349" s="799"/>
      <c r="S349" s="799"/>
      <c r="T349" s="799"/>
      <c r="U349" s="799"/>
      <c r="V349" s="799"/>
      <c r="W349" s="799"/>
      <c r="X349" s="799"/>
      <c r="Y349" s="724" t="s">
        <v>5868</v>
      </c>
      <c r="Z349" s="724"/>
      <c r="AA349" s="724"/>
      <c r="AB349" s="817"/>
      <c r="AH349" s="733"/>
    </row>
    <row r="350" spans="1:34" s="629" customFormat="1" ht="19.5" customHeight="1" thickBot="1">
      <c r="A350" s="708"/>
      <c r="B350" s="700"/>
      <c r="C350" s="700"/>
      <c r="D350" s="700"/>
      <c r="E350" s="700"/>
      <c r="F350" s="700"/>
      <c r="G350" s="700"/>
      <c r="H350" s="820"/>
      <c r="I350" s="700"/>
      <c r="J350" s="700"/>
      <c r="K350" s="700"/>
      <c r="L350" s="700"/>
      <c r="M350" s="700"/>
      <c r="N350" s="821"/>
      <c r="O350" s="700"/>
      <c r="P350" s="799"/>
      <c r="Q350" s="799"/>
      <c r="R350" s="799"/>
      <c r="S350" s="799"/>
      <c r="T350" s="799"/>
      <c r="U350" s="799"/>
      <c r="V350" s="799"/>
      <c r="W350" s="799"/>
      <c r="X350" s="799"/>
      <c r="Y350" s="799"/>
      <c r="Z350" s="799"/>
      <c r="AA350" s="799"/>
      <c r="AB350" s="799"/>
      <c r="AH350" s="700"/>
    </row>
    <row r="351" spans="1:34" s="707" customFormat="1" ht="18.75" thickBot="1">
      <c r="A351" s="698" t="s">
        <v>4563</v>
      </c>
      <c r="B351" s="758" t="str">
        <f>+"OBREROS FIJOS_NOMINA_4TO PAGO AGUINALDOS"</f>
        <v>OBREROS FIJOS_NOMINA_4TO PAGO AGUINALDOS</v>
      </c>
      <c r="C351" s="699"/>
      <c r="D351" s="700"/>
      <c r="E351" s="701"/>
      <c r="F351" s="700"/>
      <c r="G351" s="702"/>
      <c r="H351" s="703"/>
      <c r="I351" s="704"/>
      <c r="J351" s="704"/>
      <c r="K351" s="704"/>
      <c r="L351" s="704"/>
      <c r="M351" s="704"/>
      <c r="N351" s="822"/>
      <c r="O351" s="704"/>
      <c r="P351" s="823"/>
      <c r="Q351" s="823"/>
      <c r="R351" s="705"/>
      <c r="S351" s="705"/>
      <c r="T351" s="705"/>
      <c r="U351" s="705"/>
      <c r="V351" s="705"/>
      <c r="W351" s="824"/>
      <c r="X351" s="824"/>
      <c r="Y351" s="824"/>
      <c r="Z351" s="824"/>
      <c r="AA351" s="824"/>
      <c r="AB351" s="706"/>
      <c r="AH351" s="700"/>
    </row>
    <row r="352" spans="1:34" s="629" customFormat="1" ht="19.5" customHeight="1" thickBot="1">
      <c r="A352" s="770" t="s">
        <v>2846</v>
      </c>
      <c r="B352" s="771">
        <v>1</v>
      </c>
      <c r="C352" s="1145">
        <f>NOMINA!C312</f>
        <v>5505183</v>
      </c>
      <c r="D352" s="1146" t="str">
        <f>NOMINA!D312</f>
        <v>Paredes Marquez Eduardo Jesus</v>
      </c>
      <c r="E352" s="1602" t="s">
        <v>4622</v>
      </c>
      <c r="F352" s="1153">
        <v>32351</v>
      </c>
      <c r="G352" s="1602" t="s">
        <v>4620</v>
      </c>
      <c r="H352" s="1572">
        <f>NOMINA!H312</f>
        <v>44562</v>
      </c>
      <c r="I352" s="1148">
        <f>NOMINA!I310</f>
        <v>1950</v>
      </c>
      <c r="J352" s="1149">
        <f>NOMINA!J310</f>
        <v>355</v>
      </c>
      <c r="K352" s="1148">
        <f t="shared" ref="K352:K415" si="23">I352+J352</f>
        <v>2305</v>
      </c>
      <c r="L352" s="1149" t="s">
        <v>4932</v>
      </c>
      <c r="M352" s="1149"/>
      <c r="N352" s="1573" t="str">
        <f>NOMINA!O312</f>
        <v>Ayudante de Servicios Generales</v>
      </c>
      <c r="O352" s="1149">
        <v>1.02087691000006E+18</v>
      </c>
      <c r="P352" s="1150">
        <f>ROUND(+NOMINA!T312,2)</f>
        <v>152</v>
      </c>
      <c r="Q352" s="1151">
        <v>0</v>
      </c>
      <c r="R352" s="1151">
        <f>ROUND(+NOMINA!AA312,2)</f>
        <v>20.98</v>
      </c>
      <c r="S352" s="1151">
        <f>ROUND(+NOMINA!AB312,2)</f>
        <v>130</v>
      </c>
      <c r="T352" s="1151">
        <f>ROUND(+NOMINA!AC312,2)</f>
        <v>0</v>
      </c>
      <c r="U352" s="1151">
        <f>ROUND(+NOMINA!AD312,2)</f>
        <v>0</v>
      </c>
      <c r="V352" s="1151">
        <f>ROUND(NOMINA!AQ312,2)</f>
        <v>0</v>
      </c>
      <c r="W352" s="1151">
        <f>+NOMINA!AS312</f>
        <v>0</v>
      </c>
      <c r="X352" s="1151">
        <f>+NOMINA!AT312</f>
        <v>0</v>
      </c>
      <c r="Y352" s="1151">
        <f>+NOMINA!AU312</f>
        <v>302.98</v>
      </c>
      <c r="Z352" s="1151">
        <f>+NOMINA!BX312</f>
        <v>568.09</v>
      </c>
      <c r="AA352" s="1151">
        <f>+NOMINA!BY312</f>
        <v>0</v>
      </c>
      <c r="AB352" s="1151">
        <f t="shared" ref="AB352:AB415" si="24">+Z352+AA352</f>
        <v>568.09</v>
      </c>
      <c r="AD352" s="634"/>
      <c r="AH352" s="1610" t="str">
        <f>NOMINA!P312</f>
        <v>01020369460000170309</v>
      </c>
    </row>
    <row r="353" spans="1:34" s="629" customFormat="1" ht="19.5" customHeight="1" thickBot="1">
      <c r="A353" s="770" t="s">
        <v>2846</v>
      </c>
      <c r="B353" s="771">
        <f t="shared" ref="B353:B416" si="25">+B352+1</f>
        <v>2</v>
      </c>
      <c r="C353" s="1145">
        <f>NOMINA!C313</f>
        <v>5757455</v>
      </c>
      <c r="D353" s="1146" t="str">
        <f>NOMINA!D313</f>
        <v>Ramirez Garcia Maria Perpetua</v>
      </c>
      <c r="E353" s="1602" t="s">
        <v>4622</v>
      </c>
      <c r="F353" s="1153">
        <v>32351</v>
      </c>
      <c r="G353" s="1602" t="s">
        <v>4620</v>
      </c>
      <c r="H353" s="1572">
        <f>NOMINA!H313</f>
        <v>39409</v>
      </c>
      <c r="I353" s="1148">
        <f>NOMINA!I311</f>
        <v>0</v>
      </c>
      <c r="J353" s="1149">
        <f>NOMINA!J311</f>
        <v>0</v>
      </c>
      <c r="K353" s="1148">
        <f t="shared" si="23"/>
        <v>0</v>
      </c>
      <c r="L353" s="1149" t="s">
        <v>4932</v>
      </c>
      <c r="M353" s="1149"/>
      <c r="N353" s="1573" t="str">
        <f>NOMINA!O313</f>
        <v>Cocinera</v>
      </c>
      <c r="O353" s="1149">
        <v>1.02087691000006E+18</v>
      </c>
      <c r="P353" s="1150">
        <f>ROUND(+NOMINA!T313,2)</f>
        <v>171</v>
      </c>
      <c r="Q353" s="1151">
        <v>0</v>
      </c>
      <c r="R353" s="1151">
        <f>ROUND(+NOMINA!AA313,2)</f>
        <v>36.25</v>
      </c>
      <c r="S353" s="1151">
        <f>ROUND(+NOMINA!AB313,2)</f>
        <v>130</v>
      </c>
      <c r="T353" s="1151">
        <f>ROUND(+NOMINA!AC313,2)</f>
        <v>0</v>
      </c>
      <c r="U353" s="1151">
        <f>ROUND(+NOMINA!AD313,2)</f>
        <v>0</v>
      </c>
      <c r="V353" s="1151">
        <f>ROUND(NOMINA!AQ313,2)</f>
        <v>0</v>
      </c>
      <c r="W353" s="1151">
        <f>+NOMINA!AS313</f>
        <v>0</v>
      </c>
      <c r="X353" s="1151">
        <f>+NOMINA!AT313</f>
        <v>0</v>
      </c>
      <c r="Y353" s="1151">
        <f>+NOMINA!AU313</f>
        <v>337.25</v>
      </c>
      <c r="Z353" s="1151">
        <f>+NOMINA!BX313</f>
        <v>632.35</v>
      </c>
      <c r="AA353" s="1151">
        <f>+NOMINA!BY313</f>
        <v>0</v>
      </c>
      <c r="AB353" s="1151">
        <f t="shared" si="24"/>
        <v>632.35</v>
      </c>
      <c r="AD353" s="634"/>
      <c r="AH353" s="1610" t="str">
        <f>NOMINA!P313</f>
        <v>01020373230000439626</v>
      </c>
    </row>
    <row r="354" spans="1:34" s="629" customFormat="1" ht="19.5" customHeight="1" thickBot="1">
      <c r="A354" s="770" t="s">
        <v>2846</v>
      </c>
      <c r="B354" s="771">
        <f t="shared" si="25"/>
        <v>3</v>
      </c>
      <c r="C354" s="1145">
        <f>NOMINA!C314</f>
        <v>5762185</v>
      </c>
      <c r="D354" s="1146" t="str">
        <f>NOMINA!D314</f>
        <v>Salas Quintero Jose Gregorio</v>
      </c>
      <c r="E354" s="1602" t="s">
        <v>4622</v>
      </c>
      <c r="F354" s="1153">
        <v>32351</v>
      </c>
      <c r="G354" s="1602" t="s">
        <v>4620</v>
      </c>
      <c r="H354" s="1572">
        <f>NOMINA!H314</f>
        <v>37622</v>
      </c>
      <c r="I354" s="1148">
        <f>NOMINA!I312</f>
        <v>3</v>
      </c>
      <c r="J354" s="1149">
        <f>NOMINA!J312</f>
        <v>9</v>
      </c>
      <c r="K354" s="1148">
        <f t="shared" si="23"/>
        <v>12</v>
      </c>
      <c r="L354" s="1149" t="s">
        <v>4932</v>
      </c>
      <c r="M354" s="1149"/>
      <c r="N354" s="1573" t="str">
        <f>NOMINA!O314</f>
        <v xml:space="preserve">Vigilante  </v>
      </c>
      <c r="O354" s="1149">
        <v>1.02087691000006E+18</v>
      </c>
      <c r="P354" s="1150">
        <f>ROUND(+NOMINA!T314,2)</f>
        <v>171</v>
      </c>
      <c r="Q354" s="1151">
        <v>0</v>
      </c>
      <c r="R354" s="1151">
        <f>ROUND(+NOMINA!AA314,2)</f>
        <v>50.62</v>
      </c>
      <c r="S354" s="1151">
        <f>ROUND(+NOMINA!AB314,2)</f>
        <v>130</v>
      </c>
      <c r="T354" s="1151">
        <f>ROUND(+NOMINA!AC314,2)</f>
        <v>0</v>
      </c>
      <c r="U354" s="1151">
        <f>ROUND(+NOMINA!AD314,2)</f>
        <v>0</v>
      </c>
      <c r="V354" s="1151">
        <f>ROUND(NOMINA!AQ314,2)</f>
        <v>0</v>
      </c>
      <c r="W354" s="1151">
        <f>+NOMINA!AS314</f>
        <v>0</v>
      </c>
      <c r="X354" s="1151">
        <f>+NOMINA!AT314</f>
        <v>0</v>
      </c>
      <c r="Y354" s="1151">
        <f>+NOMINA!AU314</f>
        <v>351.62</v>
      </c>
      <c r="Z354" s="1151">
        <f>+NOMINA!BX314</f>
        <v>659.29</v>
      </c>
      <c r="AA354" s="1151">
        <f>+NOMINA!BY314</f>
        <v>0</v>
      </c>
      <c r="AB354" s="1151">
        <f t="shared" si="24"/>
        <v>659.29</v>
      </c>
      <c r="AD354" s="634"/>
      <c r="AH354" s="1610" t="str">
        <f>NOMINA!P314</f>
        <v>01020373250000439639</v>
      </c>
    </row>
    <row r="355" spans="1:34" s="629" customFormat="1" ht="19.5" customHeight="1" thickBot="1">
      <c r="A355" s="770" t="s">
        <v>2846</v>
      </c>
      <c r="B355" s="771">
        <f t="shared" si="25"/>
        <v>4</v>
      </c>
      <c r="C355" s="1145">
        <f>NOMINA!C315</f>
        <v>6332524</v>
      </c>
      <c r="D355" s="1146" t="str">
        <f>NOMINA!D315</f>
        <v>Flores Diana Yamilet</v>
      </c>
      <c r="E355" s="1602" t="s">
        <v>4622</v>
      </c>
      <c r="F355" s="1153">
        <v>32351</v>
      </c>
      <c r="G355" s="1602" t="s">
        <v>4620</v>
      </c>
      <c r="H355" s="1572">
        <f>NOMINA!H315</f>
        <v>42948</v>
      </c>
      <c r="I355" s="1148">
        <f>NOMINA!I313</f>
        <v>17</v>
      </c>
      <c r="J355" s="1149">
        <f>NOMINA!J313</f>
        <v>0</v>
      </c>
      <c r="K355" s="1148">
        <f t="shared" si="23"/>
        <v>17</v>
      </c>
      <c r="L355" s="1149" t="s">
        <v>4932</v>
      </c>
      <c r="M355" s="1149"/>
      <c r="N355" s="1573" t="str">
        <f>NOMINA!O315</f>
        <v>Cocinera</v>
      </c>
      <c r="O355" s="1149">
        <v>1.02087691000006E+18</v>
      </c>
      <c r="P355" s="1150">
        <f>ROUND(+NOMINA!T315,2)</f>
        <v>171</v>
      </c>
      <c r="Q355" s="1151">
        <v>0</v>
      </c>
      <c r="R355" s="1151">
        <f>ROUND(+NOMINA!AA315,2)</f>
        <v>12.65</v>
      </c>
      <c r="S355" s="1151">
        <f>ROUND(+NOMINA!AB315,2)</f>
        <v>130</v>
      </c>
      <c r="T355" s="1151">
        <f>ROUND(+NOMINA!AC315,2)</f>
        <v>0</v>
      </c>
      <c r="U355" s="1151">
        <f>ROUND(+NOMINA!AD315,2)</f>
        <v>0</v>
      </c>
      <c r="V355" s="1151">
        <f>ROUND(NOMINA!AQ315,2)</f>
        <v>0</v>
      </c>
      <c r="W355" s="1151">
        <f>+NOMINA!AS315</f>
        <v>0</v>
      </c>
      <c r="X355" s="1151">
        <f>+NOMINA!AT315</f>
        <v>0</v>
      </c>
      <c r="Y355" s="1151">
        <f>+NOMINA!AU315</f>
        <v>313.64999999999998</v>
      </c>
      <c r="Z355" s="1151">
        <f>+NOMINA!BX315</f>
        <v>588.1</v>
      </c>
      <c r="AA355" s="1151">
        <f>+NOMINA!BY315</f>
        <v>0</v>
      </c>
      <c r="AB355" s="1151">
        <f t="shared" si="24"/>
        <v>588.1</v>
      </c>
      <c r="AD355" s="634"/>
      <c r="AH355" s="1610" t="str">
        <f>NOMINA!P315</f>
        <v>01020373220000457925</v>
      </c>
    </row>
    <row r="356" spans="1:34" s="629" customFormat="1" ht="19.5" customHeight="1" thickBot="1">
      <c r="A356" s="770" t="s">
        <v>2846</v>
      </c>
      <c r="B356" s="771">
        <f t="shared" si="25"/>
        <v>5</v>
      </c>
      <c r="C356" s="1145">
        <f>NOMINA!C316</f>
        <v>6902701</v>
      </c>
      <c r="D356" s="1146" t="str">
        <f>NOMINA!D316</f>
        <v>Santiago Torres Jose Ramon</v>
      </c>
      <c r="E356" s="1602" t="s">
        <v>4622</v>
      </c>
      <c r="F356" s="1153">
        <v>32351</v>
      </c>
      <c r="G356" s="1602" t="s">
        <v>4620</v>
      </c>
      <c r="H356" s="1572">
        <f>NOMINA!H316</f>
        <v>44228</v>
      </c>
      <c r="I356" s="1148">
        <f>NOMINA!I314</f>
        <v>22</v>
      </c>
      <c r="J356" s="1149">
        <f>NOMINA!J314</f>
        <v>0</v>
      </c>
      <c r="K356" s="1148">
        <f t="shared" si="23"/>
        <v>22</v>
      </c>
      <c r="L356" s="1149" t="s">
        <v>4932</v>
      </c>
      <c r="M356" s="1149"/>
      <c r="N356" s="1573" t="str">
        <f>NOMINA!O316</f>
        <v>Mensajero</v>
      </c>
      <c r="O356" s="1149">
        <v>1.02087691000006E+18</v>
      </c>
      <c r="P356" s="1150">
        <f>ROUND(+NOMINA!T316,2)</f>
        <v>142</v>
      </c>
      <c r="Q356" s="1151">
        <v>0</v>
      </c>
      <c r="R356" s="1151">
        <f>ROUND(+NOMINA!AA316,2)</f>
        <v>4.26</v>
      </c>
      <c r="S356" s="1151">
        <f>ROUND(+NOMINA!AB316,2)</f>
        <v>130</v>
      </c>
      <c r="T356" s="1151">
        <f>ROUND(+NOMINA!AC316,2)</f>
        <v>12.5</v>
      </c>
      <c r="U356" s="1151">
        <f>ROUND(+NOMINA!AD316,2)</f>
        <v>0</v>
      </c>
      <c r="V356" s="1151">
        <f>ROUND(NOMINA!AQ316,2)</f>
        <v>0</v>
      </c>
      <c r="W356" s="1151">
        <f>+NOMINA!AS316</f>
        <v>0</v>
      </c>
      <c r="X356" s="1151">
        <f>+NOMINA!AT316</f>
        <v>0</v>
      </c>
      <c r="Y356" s="1151">
        <f>+NOMINA!AU316</f>
        <v>288.76</v>
      </c>
      <c r="Z356" s="1151">
        <f>+NOMINA!BX316</f>
        <v>541.42999999999995</v>
      </c>
      <c r="AA356" s="1151">
        <f>+NOMINA!BY316</f>
        <v>0</v>
      </c>
      <c r="AB356" s="1151">
        <f t="shared" si="24"/>
        <v>541.42999999999995</v>
      </c>
      <c r="AD356" s="634"/>
      <c r="AH356" s="1610" t="str">
        <f>NOMINA!P316</f>
        <v>01020494140100019952</v>
      </c>
    </row>
    <row r="357" spans="1:34" s="629" customFormat="1" ht="19.5" customHeight="1" thickBot="1">
      <c r="A357" s="770" t="s">
        <v>2846</v>
      </c>
      <c r="B357" s="771">
        <f t="shared" si="25"/>
        <v>6</v>
      </c>
      <c r="C357" s="1145">
        <f>NOMINA!C317</f>
        <v>7252065</v>
      </c>
      <c r="D357" s="1146" t="str">
        <f>NOMINA!D317</f>
        <v>Rivas Rivas Jose Gerardo</v>
      </c>
      <c r="E357" s="1602" t="s">
        <v>4622</v>
      </c>
      <c r="F357" s="1153">
        <v>32351</v>
      </c>
      <c r="G357" s="1602" t="s">
        <v>4620</v>
      </c>
      <c r="H357" s="1572">
        <f>NOMINA!H317</f>
        <v>43891</v>
      </c>
      <c r="I357" s="1148">
        <f>NOMINA!I315</f>
        <v>7</v>
      </c>
      <c r="J357" s="1149">
        <f>NOMINA!J315</f>
        <v>0</v>
      </c>
      <c r="K357" s="1148">
        <f t="shared" si="23"/>
        <v>7</v>
      </c>
      <c r="L357" s="1149" t="s">
        <v>4932</v>
      </c>
      <c r="M357" s="1149"/>
      <c r="N357" s="1573" t="str">
        <f>NOMINA!O317</f>
        <v>Ayudante de Servicios Generales</v>
      </c>
      <c r="O357" s="1149">
        <v>1.02087691000006E+18</v>
      </c>
      <c r="P357" s="1150">
        <f>ROUND(+NOMINA!T317,2)</f>
        <v>152</v>
      </c>
      <c r="Q357" s="1151">
        <v>0</v>
      </c>
      <c r="R357" s="1151">
        <f>ROUND(+NOMINA!AA317,2)</f>
        <v>6.08</v>
      </c>
      <c r="S357" s="1151">
        <f>ROUND(+NOMINA!AB317,2)</f>
        <v>130</v>
      </c>
      <c r="T357" s="1151">
        <f>ROUND(+NOMINA!AC317,2)</f>
        <v>0</v>
      </c>
      <c r="U357" s="1151">
        <f>ROUND(+NOMINA!AD317,2)</f>
        <v>0</v>
      </c>
      <c r="V357" s="1151">
        <f>ROUND(NOMINA!AQ317,2)</f>
        <v>0</v>
      </c>
      <c r="W357" s="1151">
        <f>+NOMINA!AS317</f>
        <v>0</v>
      </c>
      <c r="X357" s="1151">
        <f>+NOMINA!AT317</f>
        <v>0</v>
      </c>
      <c r="Y357" s="1151">
        <f>+NOMINA!AU317</f>
        <v>374.50000000000006</v>
      </c>
      <c r="Z357" s="1151">
        <f>+NOMINA!BX317</f>
        <v>702.19</v>
      </c>
      <c r="AA357" s="1151">
        <f>+NOMINA!BY317</f>
        <v>0</v>
      </c>
      <c r="AB357" s="1151">
        <f t="shared" si="24"/>
        <v>702.19</v>
      </c>
      <c r="AD357" s="634"/>
      <c r="AH357" s="1610" t="str">
        <f>NOMINA!P317</f>
        <v>01020373250000677572</v>
      </c>
    </row>
    <row r="358" spans="1:34" s="629" customFormat="1" ht="19.5" customHeight="1" thickBot="1">
      <c r="A358" s="770" t="s">
        <v>2846</v>
      </c>
      <c r="B358" s="771">
        <f t="shared" si="25"/>
        <v>7</v>
      </c>
      <c r="C358" s="1145">
        <f>NOMINA!C318</f>
        <v>9008311</v>
      </c>
      <c r="D358" s="1146" t="str">
        <f>NOMINA!D318</f>
        <v>Toro Margi Enrique</v>
      </c>
      <c r="E358" s="1602" t="s">
        <v>4622</v>
      </c>
      <c r="F358" s="1153">
        <v>32351</v>
      </c>
      <c r="G358" s="1602" t="s">
        <v>4620</v>
      </c>
      <c r="H358" s="1572">
        <f>NOMINA!H318</f>
        <v>39265</v>
      </c>
      <c r="I358" s="1148">
        <f>NOMINA!I316</f>
        <v>3</v>
      </c>
      <c r="J358" s="1149">
        <f>NOMINA!J316</f>
        <v>0</v>
      </c>
      <c r="K358" s="1148">
        <f t="shared" si="23"/>
        <v>3</v>
      </c>
      <c r="L358" s="1149" t="s">
        <v>4932</v>
      </c>
      <c r="M358" s="1149"/>
      <c r="N358" s="1573" t="str">
        <f>NOMINA!O318</f>
        <v>Ayudante de Servicios Generales</v>
      </c>
      <c r="O358" s="1149">
        <v>1.02087691000006E+18</v>
      </c>
      <c r="P358" s="1150">
        <f>ROUND(+NOMINA!T318,2)</f>
        <v>152</v>
      </c>
      <c r="Q358" s="1151">
        <v>0</v>
      </c>
      <c r="R358" s="1151">
        <f>ROUND(+NOMINA!AA318,2)</f>
        <v>32.22</v>
      </c>
      <c r="S358" s="1151">
        <f>ROUND(+NOMINA!AB318,2)</f>
        <v>130</v>
      </c>
      <c r="T358" s="1151">
        <f>ROUND(+NOMINA!AC318,2)</f>
        <v>0</v>
      </c>
      <c r="U358" s="1151">
        <f>ROUND(+NOMINA!AD318,2)</f>
        <v>0</v>
      </c>
      <c r="V358" s="1151">
        <f>ROUND(NOMINA!AQ318,2)</f>
        <v>0</v>
      </c>
      <c r="W358" s="1151">
        <f>+NOMINA!AS318</f>
        <v>0</v>
      </c>
      <c r="X358" s="1151">
        <f>+NOMINA!AT318</f>
        <v>0</v>
      </c>
      <c r="Y358" s="1151">
        <f>+NOMINA!AU318</f>
        <v>314.22000000000003</v>
      </c>
      <c r="Z358" s="1151">
        <f>+NOMINA!BX318</f>
        <v>589.16</v>
      </c>
      <c r="AA358" s="1151">
        <f>+NOMINA!BY318</f>
        <v>0</v>
      </c>
      <c r="AB358" s="1151">
        <f t="shared" si="24"/>
        <v>589.16</v>
      </c>
      <c r="AD358" s="634"/>
      <c r="AH358" s="1610" t="str">
        <f>NOMINA!P318</f>
        <v>01020373290000439024</v>
      </c>
    </row>
    <row r="359" spans="1:34" s="629" customFormat="1" ht="19.5" customHeight="1" thickBot="1">
      <c r="A359" s="770" t="s">
        <v>2846</v>
      </c>
      <c r="B359" s="771">
        <f t="shared" si="25"/>
        <v>8</v>
      </c>
      <c r="C359" s="1145">
        <f>NOMINA!C319</f>
        <v>9011963</v>
      </c>
      <c r="D359" s="1146" t="str">
        <f>NOMINA!D319</f>
        <v>Alarcon Argenio</v>
      </c>
      <c r="E359" s="1602" t="s">
        <v>4622</v>
      </c>
      <c r="F359" s="1153">
        <v>32351</v>
      </c>
      <c r="G359" s="1602" t="s">
        <v>4620</v>
      </c>
      <c r="H359" s="1572">
        <f>NOMINA!H319</f>
        <v>39820</v>
      </c>
      <c r="I359" s="1148">
        <f>NOMINA!I317</f>
        <v>4</v>
      </c>
      <c r="J359" s="1149">
        <f>NOMINA!J317</f>
        <v>0</v>
      </c>
      <c r="K359" s="1148">
        <f t="shared" si="23"/>
        <v>4</v>
      </c>
      <c r="L359" s="1149" t="s">
        <v>4932</v>
      </c>
      <c r="M359" s="1149"/>
      <c r="N359" s="1573" t="str">
        <f>NOMINA!O319</f>
        <v>Ayudante de Servicios Generales</v>
      </c>
      <c r="O359" s="1149">
        <v>1.02087691000006E+18</v>
      </c>
      <c r="P359" s="1150">
        <f>ROUND(+NOMINA!T319,2)</f>
        <v>152</v>
      </c>
      <c r="Q359" s="1151">
        <v>0</v>
      </c>
      <c r="R359" s="1151">
        <f>ROUND(+NOMINA!AA319,2)</f>
        <v>29.79</v>
      </c>
      <c r="S359" s="1151">
        <f>ROUND(+NOMINA!AB319,2)</f>
        <v>130</v>
      </c>
      <c r="T359" s="1151">
        <f>ROUND(+NOMINA!AC319,2)</f>
        <v>0</v>
      </c>
      <c r="U359" s="1151">
        <f>ROUND(+NOMINA!AD319,2)</f>
        <v>0</v>
      </c>
      <c r="V359" s="1151">
        <f>ROUND(NOMINA!AQ319,2)</f>
        <v>0</v>
      </c>
      <c r="W359" s="1151">
        <f>+NOMINA!AS319</f>
        <v>0</v>
      </c>
      <c r="X359" s="1151">
        <f>+NOMINA!AT319</f>
        <v>0</v>
      </c>
      <c r="Y359" s="1151">
        <f>+NOMINA!AU319</f>
        <v>311.78999999999996</v>
      </c>
      <c r="Z359" s="1151">
        <f>+NOMINA!BX319</f>
        <v>584.61</v>
      </c>
      <c r="AA359" s="1151">
        <f>+NOMINA!BY319</f>
        <v>0</v>
      </c>
      <c r="AB359" s="1151">
        <f t="shared" si="24"/>
        <v>584.61</v>
      </c>
      <c r="AD359" s="634"/>
      <c r="AH359" s="1610" t="str">
        <f>NOMINA!P319</f>
        <v>01020373200000441203</v>
      </c>
    </row>
    <row r="360" spans="1:34" s="629" customFormat="1" ht="19.5" customHeight="1" thickBot="1">
      <c r="A360" s="770" t="s">
        <v>2846</v>
      </c>
      <c r="B360" s="771">
        <f t="shared" si="25"/>
        <v>9</v>
      </c>
      <c r="C360" s="1145">
        <f>NOMINA!C320</f>
        <v>9100500</v>
      </c>
      <c r="D360" s="1146" t="str">
        <f>NOMINA!D320</f>
        <v>Hernandez de Villegas Zoraida Elodia</v>
      </c>
      <c r="E360" s="1602" t="s">
        <v>4622</v>
      </c>
      <c r="F360" s="1153">
        <v>32351</v>
      </c>
      <c r="G360" s="1602" t="s">
        <v>4620</v>
      </c>
      <c r="H360" s="1572">
        <f>NOMINA!H320</f>
        <v>39496</v>
      </c>
      <c r="I360" s="1148">
        <f>NOMINA!I318</f>
        <v>17</v>
      </c>
      <c r="J360" s="1149">
        <f>NOMINA!J318</f>
        <v>0</v>
      </c>
      <c r="K360" s="1148">
        <f t="shared" si="23"/>
        <v>17</v>
      </c>
      <c r="L360" s="1149" t="s">
        <v>4932</v>
      </c>
      <c r="M360" s="1149"/>
      <c r="N360" s="1573" t="str">
        <f>NOMINA!O320</f>
        <v>Aseadora</v>
      </c>
      <c r="O360" s="1149">
        <v>1.02087691000006E+18</v>
      </c>
      <c r="P360" s="1150">
        <f>ROUND(+NOMINA!T320,2)</f>
        <v>130</v>
      </c>
      <c r="Q360" s="1151">
        <v>0</v>
      </c>
      <c r="R360" s="1151">
        <f>ROUND(+NOMINA!AA320,2)</f>
        <v>25.48</v>
      </c>
      <c r="S360" s="1151">
        <f>ROUND(+NOMINA!AB320,2)</f>
        <v>130</v>
      </c>
      <c r="T360" s="1151">
        <f>ROUND(+NOMINA!AC320,2)</f>
        <v>0</v>
      </c>
      <c r="U360" s="1151">
        <f>ROUND(+NOMINA!AD320,2)</f>
        <v>0</v>
      </c>
      <c r="V360" s="1151">
        <f>ROUND(NOMINA!AQ320,2)</f>
        <v>0</v>
      </c>
      <c r="W360" s="1151">
        <f>+NOMINA!AS320</f>
        <v>0</v>
      </c>
      <c r="X360" s="1151">
        <f>+NOMINA!AT320</f>
        <v>0</v>
      </c>
      <c r="Y360" s="1151">
        <f>+NOMINA!AU320</f>
        <v>285.48</v>
      </c>
      <c r="Z360" s="1151">
        <f>+NOMINA!BX320</f>
        <v>535.28</v>
      </c>
      <c r="AA360" s="1151">
        <f>+NOMINA!BY320</f>
        <v>0</v>
      </c>
      <c r="AB360" s="1151">
        <f t="shared" si="24"/>
        <v>535.28</v>
      </c>
      <c r="AD360" s="634"/>
      <c r="AH360" s="1610" t="str">
        <f>NOMINA!P320</f>
        <v>01020373230000441232</v>
      </c>
    </row>
    <row r="361" spans="1:34" s="629" customFormat="1" ht="19.5" customHeight="1" thickBot="1">
      <c r="A361" s="770" t="s">
        <v>2846</v>
      </c>
      <c r="B361" s="771">
        <f t="shared" si="25"/>
        <v>10</v>
      </c>
      <c r="C361" s="1145">
        <f>NOMINA!C321</f>
        <v>9110498</v>
      </c>
      <c r="D361" s="1146" t="str">
        <f>NOMINA!D321</f>
        <v>Ruiz Alberto Jose</v>
      </c>
      <c r="E361" s="1602" t="s">
        <v>4622</v>
      </c>
      <c r="F361" s="1153">
        <v>32351</v>
      </c>
      <c r="G361" s="1602" t="s">
        <v>4620</v>
      </c>
      <c r="H361" s="1572">
        <f>NOMINA!H321</f>
        <v>37508</v>
      </c>
      <c r="I361" s="1148">
        <f>NOMINA!I319</f>
        <v>16</v>
      </c>
      <c r="J361" s="1149">
        <f>NOMINA!J319</f>
        <v>0</v>
      </c>
      <c r="K361" s="1148">
        <f t="shared" si="23"/>
        <v>16</v>
      </c>
      <c r="L361" s="1149" t="s">
        <v>4932</v>
      </c>
      <c r="M361" s="1149"/>
      <c r="N361" s="1573" t="str">
        <f>NOMINA!O321</f>
        <v>Ayudante de Servicios Generales</v>
      </c>
      <c r="O361" s="1149">
        <v>1.02087691000006E+18</v>
      </c>
      <c r="P361" s="1150">
        <f>ROUND(+NOMINA!T321,2)</f>
        <v>152</v>
      </c>
      <c r="Q361" s="1151">
        <v>0</v>
      </c>
      <c r="R361" s="1151">
        <f>ROUND(+NOMINA!AA321,2)</f>
        <v>44.99</v>
      </c>
      <c r="S361" s="1151">
        <f>ROUND(+NOMINA!AB321,2)</f>
        <v>130</v>
      </c>
      <c r="T361" s="1151">
        <f>ROUND(+NOMINA!AC321,2)</f>
        <v>0</v>
      </c>
      <c r="U361" s="1151">
        <f>ROUND(+NOMINA!AD321,2)</f>
        <v>0</v>
      </c>
      <c r="V361" s="1151">
        <f>ROUND(NOMINA!AQ321,2)</f>
        <v>0</v>
      </c>
      <c r="W361" s="1151">
        <f>+NOMINA!AS321</f>
        <v>0</v>
      </c>
      <c r="X361" s="1151">
        <f>+NOMINA!AT321</f>
        <v>0</v>
      </c>
      <c r="Y361" s="1151">
        <f>+NOMINA!AU321</f>
        <v>326.99</v>
      </c>
      <c r="Z361" s="1151">
        <f>+NOMINA!BX321</f>
        <v>613.11</v>
      </c>
      <c r="AA361" s="1151">
        <f>+NOMINA!BY321</f>
        <v>0</v>
      </c>
      <c r="AB361" s="1151">
        <f t="shared" si="24"/>
        <v>613.11</v>
      </c>
      <c r="AD361" s="634"/>
      <c r="AH361" s="1610" t="str">
        <f>NOMINA!P321</f>
        <v>01020373250000441245</v>
      </c>
    </row>
    <row r="362" spans="1:34" s="629" customFormat="1" ht="19.5" customHeight="1" thickBot="1">
      <c r="A362" s="770" t="s">
        <v>2846</v>
      </c>
      <c r="B362" s="771">
        <f t="shared" si="25"/>
        <v>11</v>
      </c>
      <c r="C362" s="1145">
        <f>NOMINA!C322</f>
        <v>9163994</v>
      </c>
      <c r="D362" s="1146" t="str">
        <f>NOMINA!D322</f>
        <v>Rodriguez Fernandez Carlos Eduardo</v>
      </c>
      <c r="E362" s="1602" t="s">
        <v>4622</v>
      </c>
      <c r="F362" s="1153">
        <v>32351</v>
      </c>
      <c r="G362" s="1602" t="s">
        <v>4620</v>
      </c>
      <c r="H362" s="1572">
        <f>NOMINA!H322</f>
        <v>43770</v>
      </c>
      <c r="I362" s="1148">
        <f>NOMINA!I320</f>
        <v>16</v>
      </c>
      <c r="J362" s="1149">
        <f>NOMINA!J320</f>
        <v>0</v>
      </c>
      <c r="K362" s="1148">
        <f t="shared" si="23"/>
        <v>16</v>
      </c>
      <c r="L362" s="1149" t="s">
        <v>4932</v>
      </c>
      <c r="M362" s="1149"/>
      <c r="N362" s="1573" t="str">
        <f>NOMINA!O322</f>
        <v>Ayudante de Almacen</v>
      </c>
      <c r="O362" s="1149">
        <v>1.02087691000006E+18</v>
      </c>
      <c r="P362" s="1150">
        <f>ROUND(+NOMINA!T322,2)</f>
        <v>171</v>
      </c>
      <c r="Q362" s="1151">
        <v>0</v>
      </c>
      <c r="R362" s="1151">
        <f>ROUND(+NOMINA!AA322,2)</f>
        <v>8.5500000000000007</v>
      </c>
      <c r="S362" s="1151">
        <f>ROUND(+NOMINA!AB322,2)</f>
        <v>130</v>
      </c>
      <c r="T362" s="1151">
        <f>ROUND(+NOMINA!AC322,2)</f>
        <v>0</v>
      </c>
      <c r="U362" s="1151">
        <f>ROUND(+NOMINA!AD322,2)</f>
        <v>0</v>
      </c>
      <c r="V362" s="1151">
        <f>ROUND(NOMINA!AQ322,2)</f>
        <v>0</v>
      </c>
      <c r="W362" s="1151">
        <f>+NOMINA!AS322</f>
        <v>0</v>
      </c>
      <c r="X362" s="1151">
        <f>+NOMINA!AT322</f>
        <v>0</v>
      </c>
      <c r="Y362" s="1151">
        <f>+NOMINA!AU322</f>
        <v>309.55</v>
      </c>
      <c r="Z362" s="1151">
        <f>+NOMINA!BX322</f>
        <v>580.41</v>
      </c>
      <c r="AA362" s="1151">
        <f>+NOMINA!BY322</f>
        <v>0</v>
      </c>
      <c r="AB362" s="1151">
        <f t="shared" si="24"/>
        <v>580.41</v>
      </c>
      <c r="AD362" s="634"/>
      <c r="AH362" s="1610" t="str">
        <f>NOMINA!P322</f>
        <v>01020373200000663269</v>
      </c>
    </row>
    <row r="363" spans="1:34" s="629" customFormat="1" ht="19.5" customHeight="1" thickBot="1">
      <c r="A363" s="770" t="s">
        <v>2846</v>
      </c>
      <c r="B363" s="771">
        <f t="shared" si="25"/>
        <v>12</v>
      </c>
      <c r="C363" s="1145">
        <f>NOMINA!C323</f>
        <v>9167342</v>
      </c>
      <c r="D363" s="1146" t="str">
        <f>NOMINA!D323</f>
        <v>Gutierrez Briceño Jose Justimiano</v>
      </c>
      <c r="E363" s="1602" t="s">
        <v>4622</v>
      </c>
      <c r="F363" s="1153">
        <v>32351</v>
      </c>
      <c r="G363" s="1602" t="s">
        <v>4620</v>
      </c>
      <c r="H363" s="1572">
        <f>NOMINA!H323</f>
        <v>43845</v>
      </c>
      <c r="I363" s="1148">
        <f>NOMINA!I321</f>
        <v>22</v>
      </c>
      <c r="J363" s="1149">
        <f>NOMINA!J321</f>
        <v>0</v>
      </c>
      <c r="K363" s="1148">
        <f t="shared" si="23"/>
        <v>22</v>
      </c>
      <c r="L363" s="1149" t="s">
        <v>4932</v>
      </c>
      <c r="M363" s="1149"/>
      <c r="N363" s="1573" t="str">
        <f>NOMINA!O323</f>
        <v>Ayudante Agropecuario</v>
      </c>
      <c r="O363" s="1149">
        <v>1.02087691000006E+18</v>
      </c>
      <c r="P363" s="1150">
        <f>ROUND(+NOMINA!T323,2)</f>
        <v>152</v>
      </c>
      <c r="Q363" s="1151">
        <v>0</v>
      </c>
      <c r="R363" s="1151">
        <f>ROUND(+NOMINA!AA323,2)</f>
        <v>7.6</v>
      </c>
      <c r="S363" s="1151">
        <f>ROUND(+NOMINA!AB323,2)</f>
        <v>130</v>
      </c>
      <c r="T363" s="1151">
        <f>ROUND(+NOMINA!AC323,2)</f>
        <v>0</v>
      </c>
      <c r="U363" s="1151">
        <f>ROUND(+NOMINA!AD323,2)</f>
        <v>0</v>
      </c>
      <c r="V363" s="1151">
        <f>ROUND(NOMINA!AQ323,2)</f>
        <v>0</v>
      </c>
      <c r="W363" s="1151">
        <f>+NOMINA!AS323</f>
        <v>0</v>
      </c>
      <c r="X363" s="1151">
        <f>+NOMINA!AT323</f>
        <v>0</v>
      </c>
      <c r="Y363" s="1151">
        <f>+NOMINA!AU323</f>
        <v>289.60000000000002</v>
      </c>
      <c r="Z363" s="1151">
        <f>+NOMINA!BX323</f>
        <v>543</v>
      </c>
      <c r="AA363" s="1151">
        <f>+NOMINA!BY323</f>
        <v>0</v>
      </c>
      <c r="AB363" s="1151">
        <f t="shared" si="24"/>
        <v>543</v>
      </c>
      <c r="AD363" s="634"/>
      <c r="AH363" s="1610" t="str">
        <f>NOMINA!P323</f>
        <v>01020747950000338701</v>
      </c>
    </row>
    <row r="364" spans="1:34" s="629" customFormat="1" ht="19.5" customHeight="1" thickBot="1">
      <c r="A364" s="770" t="s">
        <v>2846</v>
      </c>
      <c r="B364" s="771">
        <f t="shared" si="25"/>
        <v>13</v>
      </c>
      <c r="C364" s="1145">
        <f>NOMINA!C324</f>
        <v>9310477</v>
      </c>
      <c r="D364" s="1146" t="str">
        <f>NOMINA!D324</f>
        <v>Campos Muchacho Rafael Angel</v>
      </c>
      <c r="E364" s="1602" t="s">
        <v>4622</v>
      </c>
      <c r="F364" s="1153">
        <v>32351</v>
      </c>
      <c r="G364" s="1602" t="s">
        <v>4620</v>
      </c>
      <c r="H364" s="1572">
        <f>NOMINA!H324</f>
        <v>44075</v>
      </c>
      <c r="I364" s="1148">
        <f>NOMINA!I322</f>
        <v>5</v>
      </c>
      <c r="J364" s="1149">
        <f>NOMINA!J322</f>
        <v>0</v>
      </c>
      <c r="K364" s="1148">
        <f t="shared" si="23"/>
        <v>5</v>
      </c>
      <c r="L364" s="1149" t="s">
        <v>4932</v>
      </c>
      <c r="M364" s="1149"/>
      <c r="N364" s="1573" t="str">
        <f>NOMINA!O324</f>
        <v>Ayudante Agropecuario</v>
      </c>
      <c r="O364" s="1149">
        <v>1.02087691000006E+18</v>
      </c>
      <c r="P364" s="1150">
        <f>ROUND(+NOMINA!T324,2)</f>
        <v>152</v>
      </c>
      <c r="Q364" s="1151">
        <v>0</v>
      </c>
      <c r="R364" s="1151">
        <f>ROUND(+NOMINA!AA324,2)</f>
        <v>6.08</v>
      </c>
      <c r="S364" s="1151">
        <f>ROUND(+NOMINA!AB324,2)</f>
        <v>130</v>
      </c>
      <c r="T364" s="1151">
        <f>ROUND(+NOMINA!AC324,2)</f>
        <v>0</v>
      </c>
      <c r="U364" s="1151">
        <f>ROUND(+NOMINA!AD324,2)</f>
        <v>0</v>
      </c>
      <c r="V364" s="1151">
        <f>ROUND(NOMINA!AQ324,2)</f>
        <v>0</v>
      </c>
      <c r="W364" s="1151">
        <f>+NOMINA!AS324</f>
        <v>0</v>
      </c>
      <c r="X364" s="1151">
        <f>+NOMINA!AT324</f>
        <v>0</v>
      </c>
      <c r="Y364" s="1151">
        <f>+NOMINA!AU324</f>
        <v>288.08000000000004</v>
      </c>
      <c r="Z364" s="1151">
        <f>+NOMINA!BX324</f>
        <v>540.15</v>
      </c>
      <c r="AA364" s="1151">
        <f>+NOMINA!BY324</f>
        <v>0</v>
      </c>
      <c r="AB364" s="1151">
        <f t="shared" si="24"/>
        <v>540.15</v>
      </c>
      <c r="AD364" s="634"/>
      <c r="AH364" s="1610" t="str">
        <f>NOMINA!P324</f>
        <v>01020373220000636076</v>
      </c>
    </row>
    <row r="365" spans="1:34" s="629" customFormat="1" ht="19.5" customHeight="1" thickBot="1">
      <c r="A365" s="770" t="s">
        <v>2846</v>
      </c>
      <c r="B365" s="771">
        <f t="shared" si="25"/>
        <v>14</v>
      </c>
      <c r="C365" s="1145">
        <f>NOMINA!C325</f>
        <v>9323739</v>
      </c>
      <c r="D365" s="1146" t="str">
        <f>NOMINA!D325</f>
        <v>Vargas Benitez Jose Nerio</v>
      </c>
      <c r="E365" s="1602" t="s">
        <v>4622</v>
      </c>
      <c r="F365" s="1153">
        <v>32351</v>
      </c>
      <c r="G365" s="1602" t="s">
        <v>4620</v>
      </c>
      <c r="H365" s="1572">
        <f>NOMINA!H325</f>
        <v>39300</v>
      </c>
      <c r="I365" s="1148">
        <f>NOMINA!I323</f>
        <v>5</v>
      </c>
      <c r="J365" s="1149">
        <f>NOMINA!J323</f>
        <v>0</v>
      </c>
      <c r="K365" s="1148">
        <f t="shared" si="23"/>
        <v>5</v>
      </c>
      <c r="L365" s="1149" t="s">
        <v>4932</v>
      </c>
      <c r="M365" s="1149"/>
      <c r="N365" s="1573" t="str">
        <f>NOMINA!O325</f>
        <v>Ayudante de Servicios Generales</v>
      </c>
      <c r="O365" s="1149">
        <v>1.02087691000006E+18</v>
      </c>
      <c r="P365" s="1150">
        <f>ROUND(+NOMINA!T325,2)</f>
        <v>152</v>
      </c>
      <c r="Q365" s="1151">
        <v>0</v>
      </c>
      <c r="R365" s="1151">
        <f>ROUND(+NOMINA!AA325,2)</f>
        <v>32.22</v>
      </c>
      <c r="S365" s="1151">
        <f>ROUND(+NOMINA!AB325,2)</f>
        <v>130</v>
      </c>
      <c r="T365" s="1151">
        <f>ROUND(+NOMINA!AC325,2)</f>
        <v>0</v>
      </c>
      <c r="U365" s="1151">
        <f>ROUND(+NOMINA!AD325,2)</f>
        <v>0</v>
      </c>
      <c r="V365" s="1151">
        <f>ROUND(NOMINA!AQ325,2)</f>
        <v>0</v>
      </c>
      <c r="W365" s="1151">
        <f>+NOMINA!AS325</f>
        <v>0</v>
      </c>
      <c r="X365" s="1151">
        <f>+NOMINA!AT325</f>
        <v>0</v>
      </c>
      <c r="Y365" s="1151">
        <f>+NOMINA!AU325</f>
        <v>314.22000000000003</v>
      </c>
      <c r="Z365" s="1151">
        <f>+NOMINA!BX325</f>
        <v>589.16</v>
      </c>
      <c r="AA365" s="1151">
        <f>+NOMINA!BY325</f>
        <v>0</v>
      </c>
      <c r="AB365" s="1151">
        <f t="shared" si="24"/>
        <v>589.16</v>
      </c>
      <c r="AD365" s="634"/>
      <c r="AH365" s="1610" t="str">
        <f>NOMINA!P325</f>
        <v>01020373210000439121</v>
      </c>
    </row>
    <row r="366" spans="1:34" s="629" customFormat="1" ht="19.5" customHeight="1" thickBot="1">
      <c r="A366" s="770" t="s">
        <v>2846</v>
      </c>
      <c r="B366" s="771">
        <f t="shared" si="25"/>
        <v>15</v>
      </c>
      <c r="C366" s="1145">
        <f>NOMINA!C326</f>
        <v>9325664</v>
      </c>
      <c r="D366" s="1146" t="str">
        <f>NOMINA!D326</f>
        <v>Lobo Mendoza Luz Marina</v>
      </c>
      <c r="E366" s="1602" t="s">
        <v>4622</v>
      </c>
      <c r="F366" s="1153">
        <v>32351</v>
      </c>
      <c r="G366" s="1602" t="s">
        <v>4620</v>
      </c>
      <c r="H366" s="1572">
        <f>NOMINA!H326</f>
        <v>42948</v>
      </c>
      <c r="I366" s="1148">
        <f>NOMINA!I324</f>
        <v>4</v>
      </c>
      <c r="J366" s="1149">
        <f>NOMINA!J324</f>
        <v>0</v>
      </c>
      <c r="K366" s="1148">
        <f t="shared" si="23"/>
        <v>4</v>
      </c>
      <c r="L366" s="1149" t="s">
        <v>4932</v>
      </c>
      <c r="M366" s="1149"/>
      <c r="N366" s="1573" t="str">
        <f>NOMINA!O326</f>
        <v>Ayudante de Servicios Generales</v>
      </c>
      <c r="O366" s="1149">
        <v>1.02087691000006E+18</v>
      </c>
      <c r="P366" s="1150">
        <f>ROUND(+NOMINA!T326,2)</f>
        <v>152</v>
      </c>
      <c r="Q366" s="1151">
        <v>0</v>
      </c>
      <c r="R366" s="1151">
        <f>ROUND(+NOMINA!AA326,2)</f>
        <v>11.25</v>
      </c>
      <c r="S366" s="1151">
        <f>ROUND(+NOMINA!AB326,2)</f>
        <v>130</v>
      </c>
      <c r="T366" s="1151">
        <f>ROUND(+NOMINA!AC326,2)</f>
        <v>0</v>
      </c>
      <c r="U366" s="1151">
        <f>ROUND(+NOMINA!AD326,2)</f>
        <v>0</v>
      </c>
      <c r="V366" s="1151">
        <f>ROUND(NOMINA!AQ326,2)</f>
        <v>0</v>
      </c>
      <c r="W366" s="1151">
        <f>+NOMINA!AS326</f>
        <v>0</v>
      </c>
      <c r="X366" s="1151">
        <f>+NOMINA!AT326</f>
        <v>0</v>
      </c>
      <c r="Y366" s="1151">
        <f>+NOMINA!AU326</f>
        <v>293.25</v>
      </c>
      <c r="Z366" s="1151">
        <f>+NOMINA!BX326</f>
        <v>549.85</v>
      </c>
      <c r="AA366" s="1151">
        <f>+NOMINA!BY326</f>
        <v>0</v>
      </c>
      <c r="AB366" s="1151">
        <f t="shared" si="24"/>
        <v>549.85</v>
      </c>
      <c r="AD366" s="634"/>
      <c r="AH366" s="1610" t="str">
        <f>NOMINA!P326</f>
        <v>01020373220100088447</v>
      </c>
    </row>
    <row r="367" spans="1:34" s="629" customFormat="1" ht="19.5" customHeight="1" thickBot="1">
      <c r="A367" s="770" t="s">
        <v>2846</v>
      </c>
      <c r="B367" s="771">
        <f t="shared" si="25"/>
        <v>16</v>
      </c>
      <c r="C367" s="1145">
        <f>NOMINA!C327</f>
        <v>9328045</v>
      </c>
      <c r="D367" s="1146" t="str">
        <f>NOMINA!D327</f>
        <v>Paredes Quintero Jose Benigno</v>
      </c>
      <c r="E367" s="1602" t="s">
        <v>4622</v>
      </c>
      <c r="F367" s="1153">
        <v>32351</v>
      </c>
      <c r="G367" s="1602" t="s">
        <v>4620</v>
      </c>
      <c r="H367" s="1572">
        <f>NOMINA!H327</f>
        <v>44212</v>
      </c>
      <c r="I367" s="1148">
        <f>NOMINA!I325</f>
        <v>17</v>
      </c>
      <c r="J367" s="1149">
        <f>NOMINA!J325</f>
        <v>0</v>
      </c>
      <c r="K367" s="1148">
        <f t="shared" si="23"/>
        <v>17</v>
      </c>
      <c r="L367" s="1149" t="s">
        <v>4932</v>
      </c>
      <c r="M367" s="1149"/>
      <c r="N367" s="1573" t="str">
        <f>NOMINA!O327</f>
        <v>Ayudante de Servicios Generales</v>
      </c>
      <c r="O367" s="1149">
        <v>1.02087691000006E+18</v>
      </c>
      <c r="P367" s="1150">
        <f>ROUND(+NOMINA!T327,2)</f>
        <v>152</v>
      </c>
      <c r="Q367" s="1151">
        <v>0</v>
      </c>
      <c r="R367" s="1151">
        <f>ROUND(+NOMINA!AA327,2)</f>
        <v>6.08</v>
      </c>
      <c r="S367" s="1151">
        <f>ROUND(+NOMINA!AB327,2)</f>
        <v>130</v>
      </c>
      <c r="T367" s="1151">
        <f>ROUND(+NOMINA!AC327,2)</f>
        <v>0</v>
      </c>
      <c r="U367" s="1151">
        <f>ROUND(+NOMINA!AD327,2)</f>
        <v>0</v>
      </c>
      <c r="V367" s="1151">
        <f>ROUND(NOMINA!AQ327,2)</f>
        <v>0</v>
      </c>
      <c r="W367" s="1151">
        <f>+NOMINA!AS327</f>
        <v>0</v>
      </c>
      <c r="X367" s="1151">
        <f>+NOMINA!AT327</f>
        <v>0</v>
      </c>
      <c r="Y367" s="1151">
        <f>+NOMINA!AU327</f>
        <v>288.08000000000004</v>
      </c>
      <c r="Z367" s="1151">
        <f>+NOMINA!BX327</f>
        <v>540.15</v>
      </c>
      <c r="AA367" s="1151">
        <f>+NOMINA!BY327</f>
        <v>0</v>
      </c>
      <c r="AB367" s="1151">
        <f t="shared" si="24"/>
        <v>540.15</v>
      </c>
      <c r="AD367" s="634"/>
      <c r="AH367" s="1610" t="str">
        <f>NOMINA!P327</f>
        <v>01020373210000627881</v>
      </c>
    </row>
    <row r="368" spans="1:34" s="629" customFormat="1" ht="19.5" customHeight="1" thickBot="1">
      <c r="A368" s="770" t="s">
        <v>2846</v>
      </c>
      <c r="B368" s="771">
        <f t="shared" si="25"/>
        <v>17</v>
      </c>
      <c r="C368" s="1145">
        <f>NOMINA!C328</f>
        <v>10178456</v>
      </c>
      <c r="D368" s="1146" t="str">
        <f>NOMINA!D328</f>
        <v>Figueroa Roa Yudith Griselda</v>
      </c>
      <c r="E368" s="1602" t="s">
        <v>4622</v>
      </c>
      <c r="F368" s="1153">
        <v>32351</v>
      </c>
      <c r="G368" s="1602" t="s">
        <v>4620</v>
      </c>
      <c r="H368" s="1572">
        <f>NOMINA!H328</f>
        <v>44287</v>
      </c>
      <c r="I368" s="1148">
        <f>NOMINA!I326</f>
        <v>7</v>
      </c>
      <c r="J368" s="1149">
        <f>NOMINA!J326</f>
        <v>0</v>
      </c>
      <c r="K368" s="1148">
        <f t="shared" si="23"/>
        <v>7</v>
      </c>
      <c r="L368" s="1149" t="s">
        <v>4932</v>
      </c>
      <c r="M368" s="1149"/>
      <c r="N368" s="1573" t="str">
        <f>NOMINA!O328</f>
        <v>Aseadora</v>
      </c>
      <c r="O368" s="1149">
        <v>1.02087691000006E+18</v>
      </c>
      <c r="P368" s="1150">
        <f>ROUND(+NOMINA!T328,2)</f>
        <v>130</v>
      </c>
      <c r="Q368" s="1151">
        <v>0</v>
      </c>
      <c r="R368" s="1151">
        <f>ROUND(+NOMINA!AA328,2)</f>
        <v>3.9</v>
      </c>
      <c r="S368" s="1151">
        <f>ROUND(+NOMINA!AB328,2)</f>
        <v>130</v>
      </c>
      <c r="T368" s="1151">
        <f>ROUND(+NOMINA!AC328,2)</f>
        <v>0</v>
      </c>
      <c r="U368" s="1151">
        <f>ROUND(+NOMINA!AD328,2)</f>
        <v>0</v>
      </c>
      <c r="V368" s="1151">
        <f>ROUND(NOMINA!AQ328,2)</f>
        <v>0</v>
      </c>
      <c r="W368" s="1151">
        <f>+NOMINA!AS328</f>
        <v>0</v>
      </c>
      <c r="X368" s="1151">
        <f>+NOMINA!AT328</f>
        <v>0</v>
      </c>
      <c r="Y368" s="1151">
        <f>+NOMINA!AU328</f>
        <v>263.89999999999998</v>
      </c>
      <c r="Z368" s="1151">
        <f>+NOMINA!BX328</f>
        <v>494.81</v>
      </c>
      <c r="AA368" s="1151">
        <f>+NOMINA!BY328</f>
        <v>0</v>
      </c>
      <c r="AB368" s="1151">
        <f t="shared" si="24"/>
        <v>494.81</v>
      </c>
      <c r="AD368" s="634"/>
      <c r="AH368" s="1610" t="str">
        <f>NOMINA!P328</f>
        <v>01020373270000771465</v>
      </c>
    </row>
    <row r="369" spans="1:34" s="629" customFormat="1" ht="19.5" customHeight="1" thickBot="1">
      <c r="A369" s="770" t="s">
        <v>2846</v>
      </c>
      <c r="B369" s="771">
        <f t="shared" si="25"/>
        <v>18</v>
      </c>
      <c r="C369" s="1145">
        <f>NOMINA!C329</f>
        <v>10317435</v>
      </c>
      <c r="D369" s="1146" t="str">
        <f>NOMINA!D329</f>
        <v>Milla Ana Julia</v>
      </c>
      <c r="E369" s="1602" t="s">
        <v>4622</v>
      </c>
      <c r="F369" s="1153">
        <v>32351</v>
      </c>
      <c r="G369" s="1602" t="s">
        <v>4620</v>
      </c>
      <c r="H369" s="1572">
        <f>NOMINA!H329</f>
        <v>39559</v>
      </c>
      <c r="I369" s="1148">
        <f>NOMINA!I327</f>
        <v>4</v>
      </c>
      <c r="J369" s="1149">
        <f>NOMINA!J327</f>
        <v>0</v>
      </c>
      <c r="K369" s="1148">
        <f t="shared" si="23"/>
        <v>4</v>
      </c>
      <c r="L369" s="1149" t="s">
        <v>4932</v>
      </c>
      <c r="M369" s="1149"/>
      <c r="N369" s="1573" t="str">
        <f>NOMINA!O329</f>
        <v>Aseadora</v>
      </c>
      <c r="O369" s="1149">
        <v>1.02087691000006E+18</v>
      </c>
      <c r="P369" s="1150">
        <f>ROUND(+NOMINA!T329,2)</f>
        <v>130</v>
      </c>
      <c r="Q369" s="1151">
        <v>0</v>
      </c>
      <c r="R369" s="1151">
        <f>ROUND(+NOMINA!AA329,2)</f>
        <v>25.48</v>
      </c>
      <c r="S369" s="1151">
        <f>ROUND(+NOMINA!AB329,2)</f>
        <v>130</v>
      </c>
      <c r="T369" s="1151">
        <f>ROUND(+NOMINA!AC329,2)</f>
        <v>0</v>
      </c>
      <c r="U369" s="1151">
        <f>ROUND(+NOMINA!AD329,2)</f>
        <v>0</v>
      </c>
      <c r="V369" s="1151">
        <f>ROUND(NOMINA!AQ329,2)</f>
        <v>0</v>
      </c>
      <c r="W369" s="1151">
        <f>+NOMINA!AS329</f>
        <v>0</v>
      </c>
      <c r="X369" s="1151">
        <f>+NOMINA!AT329</f>
        <v>0</v>
      </c>
      <c r="Y369" s="1151">
        <f>+NOMINA!AU329</f>
        <v>285.48</v>
      </c>
      <c r="Z369" s="1151">
        <f>+NOMINA!BX329</f>
        <v>535.28</v>
      </c>
      <c r="AA369" s="1151">
        <f>+NOMINA!BY329</f>
        <v>0</v>
      </c>
      <c r="AB369" s="1151">
        <f t="shared" si="24"/>
        <v>535.28</v>
      </c>
      <c r="AD369" s="634"/>
      <c r="AH369" s="1610" t="str">
        <f>NOMINA!P329</f>
        <v>01020373260000438708</v>
      </c>
    </row>
    <row r="370" spans="1:34" s="629" customFormat="1" ht="19.5" customHeight="1" thickBot="1">
      <c r="A370" s="770" t="s">
        <v>2846</v>
      </c>
      <c r="B370" s="771">
        <f t="shared" si="25"/>
        <v>19</v>
      </c>
      <c r="C370" s="1145">
        <f>NOMINA!C330</f>
        <v>10396367</v>
      </c>
      <c r="D370" s="1146" t="str">
        <f>NOMINA!D330</f>
        <v>Hidalgo Linares Gloria Margarita</v>
      </c>
      <c r="E370" s="1602" t="s">
        <v>4622</v>
      </c>
      <c r="F370" s="1153">
        <v>32351</v>
      </c>
      <c r="G370" s="1602" t="s">
        <v>4620</v>
      </c>
      <c r="H370" s="1572">
        <f>NOMINA!H330</f>
        <v>39722</v>
      </c>
      <c r="I370" s="1148">
        <f>NOMINA!I328</f>
        <v>3</v>
      </c>
      <c r="J370" s="1149">
        <f>NOMINA!J328</f>
        <v>0</v>
      </c>
      <c r="K370" s="1148">
        <f t="shared" si="23"/>
        <v>3</v>
      </c>
      <c r="L370" s="1149" t="s">
        <v>4932</v>
      </c>
      <c r="M370" s="1149"/>
      <c r="N370" s="1573" t="str">
        <f>NOMINA!O330</f>
        <v>Cocinera</v>
      </c>
      <c r="O370" s="1149">
        <v>1.02087691000006E+18</v>
      </c>
      <c r="P370" s="1150">
        <f>ROUND(+NOMINA!T330,2)</f>
        <v>171</v>
      </c>
      <c r="Q370" s="1151">
        <v>0</v>
      </c>
      <c r="R370" s="1151">
        <f>ROUND(+NOMINA!AA330,2)</f>
        <v>33.520000000000003</v>
      </c>
      <c r="S370" s="1151">
        <f>ROUND(+NOMINA!AB330,2)</f>
        <v>130</v>
      </c>
      <c r="T370" s="1151">
        <f>ROUND(+NOMINA!AC330,2)</f>
        <v>0</v>
      </c>
      <c r="U370" s="1151">
        <f>ROUND(+NOMINA!AD330,2)</f>
        <v>0</v>
      </c>
      <c r="V370" s="1151">
        <f>ROUND(NOMINA!AQ330,2)</f>
        <v>0</v>
      </c>
      <c r="W370" s="1151">
        <f>+NOMINA!AS330</f>
        <v>0</v>
      </c>
      <c r="X370" s="1151">
        <f>+NOMINA!AT330</f>
        <v>0</v>
      </c>
      <c r="Y370" s="1151">
        <f>+NOMINA!AU330</f>
        <v>334.52</v>
      </c>
      <c r="Z370" s="1151">
        <f>+NOMINA!BX330</f>
        <v>627.23</v>
      </c>
      <c r="AA370" s="1151">
        <f>+NOMINA!BY330</f>
        <v>0</v>
      </c>
      <c r="AB370" s="1151">
        <f t="shared" si="24"/>
        <v>627.23</v>
      </c>
      <c r="AD370" s="634"/>
      <c r="AH370" s="1610" t="str">
        <f>NOMINA!P330</f>
        <v>01020373200000438737</v>
      </c>
    </row>
    <row r="371" spans="1:34" s="629" customFormat="1" ht="19.5" customHeight="1" thickBot="1">
      <c r="A371" s="770" t="s">
        <v>2846</v>
      </c>
      <c r="B371" s="771">
        <f t="shared" si="25"/>
        <v>20</v>
      </c>
      <c r="C371" s="1145">
        <f>NOMINA!C331</f>
        <v>10399474</v>
      </c>
      <c r="D371" s="1146" t="str">
        <f>NOMINA!D331</f>
        <v>Ramirez Araujo Teresa Maria</v>
      </c>
      <c r="E371" s="1602" t="s">
        <v>4622</v>
      </c>
      <c r="F371" s="1153">
        <v>32351</v>
      </c>
      <c r="G371" s="1602" t="s">
        <v>4620</v>
      </c>
      <c r="H371" s="1572">
        <f>NOMINA!H331</f>
        <v>45597</v>
      </c>
      <c r="I371" s="1148">
        <f>NOMINA!I329</f>
        <v>16</v>
      </c>
      <c r="J371" s="1149">
        <f>NOMINA!J329</f>
        <v>0</v>
      </c>
      <c r="K371" s="1148">
        <f t="shared" si="23"/>
        <v>16</v>
      </c>
      <c r="L371" s="1149" t="s">
        <v>4932</v>
      </c>
      <c r="M371" s="1149"/>
      <c r="N371" s="1573" t="str">
        <f>NOMINA!O331</f>
        <v>Ayudante de Servicios Generales</v>
      </c>
      <c r="O371" s="1149">
        <v>1.02087691000006E+18</v>
      </c>
      <c r="P371" s="1150">
        <f>ROUND(+NOMINA!T331,2)</f>
        <v>142</v>
      </c>
      <c r="Q371" s="1151">
        <v>0</v>
      </c>
      <c r="R371" s="1151">
        <f>ROUND(+NOMINA!AA331,2)</f>
        <v>0</v>
      </c>
      <c r="S371" s="1151">
        <f>ROUND(+NOMINA!AB331,2)</f>
        <v>130</v>
      </c>
      <c r="T371" s="1151">
        <f>ROUND(+NOMINA!AC331,2)</f>
        <v>0</v>
      </c>
      <c r="U371" s="1151">
        <f>ROUND(+NOMINA!AD331,2)</f>
        <v>0</v>
      </c>
      <c r="V371" s="1151">
        <f>ROUND(NOMINA!AQ331,2)</f>
        <v>0</v>
      </c>
      <c r="W371" s="1151">
        <f>+NOMINA!AS331</f>
        <v>0</v>
      </c>
      <c r="X371" s="1151">
        <f>+NOMINA!AT331</f>
        <v>0</v>
      </c>
      <c r="Y371" s="1151">
        <f>+NOMINA!AU331</f>
        <v>272</v>
      </c>
      <c r="Z371" s="1151">
        <f>+NOMINA!BX331</f>
        <v>81.849999999999994</v>
      </c>
      <c r="AA371" s="1151">
        <f>+NOMINA!BY331</f>
        <v>0</v>
      </c>
      <c r="AB371" s="1151">
        <f t="shared" si="24"/>
        <v>81.849999999999994</v>
      </c>
      <c r="AD371" s="634"/>
      <c r="AH371" s="1610" t="str">
        <f>NOMINA!P331</f>
        <v>01020747950000203153</v>
      </c>
    </row>
    <row r="372" spans="1:34" s="629" customFormat="1" ht="19.5" customHeight="1" thickBot="1">
      <c r="A372" s="770" t="s">
        <v>2846</v>
      </c>
      <c r="B372" s="771">
        <f t="shared" si="25"/>
        <v>21</v>
      </c>
      <c r="C372" s="1145">
        <f>NOMINA!C332</f>
        <v>10401329</v>
      </c>
      <c r="D372" s="1146" t="str">
        <f>NOMINA!D332</f>
        <v>Gonzalez Torres Orangel Ramon</v>
      </c>
      <c r="E372" s="1602" t="s">
        <v>4622</v>
      </c>
      <c r="F372" s="1153">
        <v>32351</v>
      </c>
      <c r="G372" s="1602" t="s">
        <v>4620</v>
      </c>
      <c r="H372" s="1572">
        <f>NOMINA!H332</f>
        <v>39539</v>
      </c>
      <c r="I372" s="1148">
        <f>NOMINA!I330</f>
        <v>16</v>
      </c>
      <c r="J372" s="1149">
        <f>NOMINA!J330</f>
        <v>0</v>
      </c>
      <c r="K372" s="1148">
        <f t="shared" si="23"/>
        <v>16</v>
      </c>
      <c r="L372" s="1149" t="s">
        <v>4932</v>
      </c>
      <c r="M372" s="1149"/>
      <c r="N372" s="1573" t="str">
        <f>NOMINA!O332</f>
        <v>Chofer De Transporte</v>
      </c>
      <c r="O372" s="1149">
        <v>1.02087691000006E+18</v>
      </c>
      <c r="P372" s="1150">
        <f>ROUND(+NOMINA!T332,2)</f>
        <v>171</v>
      </c>
      <c r="Q372" s="1151">
        <v>0</v>
      </c>
      <c r="R372" s="1151">
        <f>ROUND(+NOMINA!AA332,2)</f>
        <v>33.520000000000003</v>
      </c>
      <c r="S372" s="1151">
        <f>ROUND(+NOMINA!AB332,2)</f>
        <v>130</v>
      </c>
      <c r="T372" s="1151">
        <f>ROUND(+NOMINA!AC332,2)</f>
        <v>0</v>
      </c>
      <c r="U372" s="1151">
        <f>ROUND(+NOMINA!AD332,2)</f>
        <v>0</v>
      </c>
      <c r="V372" s="1151">
        <f>ROUND(NOMINA!AQ332,2)</f>
        <v>0</v>
      </c>
      <c r="W372" s="1151">
        <f>+NOMINA!AS332</f>
        <v>0</v>
      </c>
      <c r="X372" s="1151">
        <f>+NOMINA!AT332</f>
        <v>0</v>
      </c>
      <c r="Y372" s="1151">
        <f>+NOMINA!AU332</f>
        <v>434.88</v>
      </c>
      <c r="Z372" s="1151">
        <f>+NOMINA!BX332</f>
        <v>815.4</v>
      </c>
      <c r="AA372" s="1151">
        <f>+NOMINA!BY332</f>
        <v>0</v>
      </c>
      <c r="AB372" s="1151">
        <f t="shared" si="24"/>
        <v>815.4</v>
      </c>
      <c r="AD372" s="634"/>
      <c r="AH372" s="1610" t="str">
        <f>NOMINA!P332</f>
        <v>01020373250000442105</v>
      </c>
    </row>
    <row r="373" spans="1:34" s="629" customFormat="1" ht="19.5" customHeight="1" thickBot="1">
      <c r="A373" s="770" t="s">
        <v>2846</v>
      </c>
      <c r="B373" s="771">
        <f t="shared" si="25"/>
        <v>22</v>
      </c>
      <c r="C373" s="1145">
        <f>NOMINA!C333</f>
        <v>10907687</v>
      </c>
      <c r="D373" s="1146" t="str">
        <f>NOMINA!D333</f>
        <v>Viloria Garcia Karina Liseth</v>
      </c>
      <c r="E373" s="1602" t="s">
        <v>4622</v>
      </c>
      <c r="F373" s="1153">
        <v>32351</v>
      </c>
      <c r="G373" s="1602" t="s">
        <v>4620</v>
      </c>
      <c r="H373" s="1572">
        <f>NOMINA!H333</f>
        <v>38749</v>
      </c>
      <c r="I373" s="1148">
        <f>NOMINA!I331</f>
        <v>0</v>
      </c>
      <c r="J373" s="1149">
        <f>NOMINA!J331</f>
        <v>0</v>
      </c>
      <c r="K373" s="1148">
        <f t="shared" si="23"/>
        <v>0</v>
      </c>
      <c r="L373" s="1149" t="s">
        <v>4932</v>
      </c>
      <c r="M373" s="1149"/>
      <c r="N373" s="1573" t="str">
        <f>NOMINA!O333</f>
        <v>Cocinera</v>
      </c>
      <c r="O373" s="1149">
        <v>1.02087691000006E+18</v>
      </c>
      <c r="P373" s="1150">
        <f>ROUND(+NOMINA!T333,2)</f>
        <v>171</v>
      </c>
      <c r="Q373" s="1151">
        <v>0</v>
      </c>
      <c r="R373" s="1151">
        <f>ROUND(+NOMINA!AA333,2)</f>
        <v>38.99</v>
      </c>
      <c r="S373" s="1151">
        <f>ROUND(+NOMINA!AB333,2)</f>
        <v>130</v>
      </c>
      <c r="T373" s="1151">
        <f>ROUND(+NOMINA!AC333,2)</f>
        <v>0</v>
      </c>
      <c r="U373" s="1151">
        <f>ROUND(+NOMINA!AD333,2)</f>
        <v>0</v>
      </c>
      <c r="V373" s="1151">
        <f>ROUND(NOMINA!AQ333,2)</f>
        <v>0</v>
      </c>
      <c r="W373" s="1151">
        <f>+NOMINA!AS333</f>
        <v>0</v>
      </c>
      <c r="X373" s="1151">
        <f>+NOMINA!AT333</f>
        <v>0</v>
      </c>
      <c r="Y373" s="1151">
        <f>+NOMINA!AU333</f>
        <v>339.99</v>
      </c>
      <c r="Z373" s="1151">
        <f>+NOMINA!BX333</f>
        <v>637.48</v>
      </c>
      <c r="AA373" s="1151">
        <f>+NOMINA!BY333</f>
        <v>0</v>
      </c>
      <c r="AB373" s="1151">
        <f t="shared" si="24"/>
        <v>637.48</v>
      </c>
      <c r="AD373" s="634"/>
      <c r="AH373" s="1610" t="str">
        <f>NOMINA!P333</f>
        <v>01020373210000442231</v>
      </c>
    </row>
    <row r="374" spans="1:34" s="629" customFormat="1" ht="19.5" customHeight="1" thickBot="1">
      <c r="A374" s="770" t="s">
        <v>2846</v>
      </c>
      <c r="B374" s="771">
        <f t="shared" si="25"/>
        <v>23</v>
      </c>
      <c r="C374" s="1145">
        <f>NOMINA!C334</f>
        <v>10908543</v>
      </c>
      <c r="D374" s="1146" t="str">
        <f>NOMINA!D334</f>
        <v>Quintero Eric Ludwig</v>
      </c>
      <c r="E374" s="1602" t="s">
        <v>4622</v>
      </c>
      <c r="F374" s="1153">
        <v>32351</v>
      </c>
      <c r="G374" s="1602" t="s">
        <v>4620</v>
      </c>
      <c r="H374" s="1572">
        <f>NOMINA!H334</f>
        <v>42751</v>
      </c>
      <c r="I374" s="1148">
        <f>NOMINA!I332</f>
        <v>16</v>
      </c>
      <c r="J374" s="1149">
        <f>NOMINA!J332</f>
        <v>0</v>
      </c>
      <c r="K374" s="1148">
        <f t="shared" si="23"/>
        <v>16</v>
      </c>
      <c r="L374" s="1149" t="s">
        <v>4932</v>
      </c>
      <c r="M374" s="1149"/>
      <c r="N374" s="1573" t="str">
        <f>NOMINA!O334</f>
        <v>Cocinero</v>
      </c>
      <c r="O374" s="1149">
        <v>1.02087691000006E+18</v>
      </c>
      <c r="P374" s="1150">
        <f>ROUND(+NOMINA!T334,2)</f>
        <v>171</v>
      </c>
      <c r="Q374" s="1151">
        <v>0</v>
      </c>
      <c r="R374" s="1151">
        <f>ROUND(+NOMINA!AA334,2)</f>
        <v>14.71</v>
      </c>
      <c r="S374" s="1151">
        <f>ROUND(+NOMINA!AB334,2)</f>
        <v>130</v>
      </c>
      <c r="T374" s="1151">
        <f>ROUND(+NOMINA!AC334,2)</f>
        <v>0</v>
      </c>
      <c r="U374" s="1151">
        <f>ROUND(+NOMINA!AD334,2)</f>
        <v>0</v>
      </c>
      <c r="V374" s="1151">
        <f>ROUND(NOMINA!AQ334,2)</f>
        <v>0</v>
      </c>
      <c r="W374" s="1151">
        <f>+NOMINA!AS334</f>
        <v>0</v>
      </c>
      <c r="X374" s="1151">
        <f>+NOMINA!AT334</f>
        <v>0</v>
      </c>
      <c r="Y374" s="1151">
        <f>+NOMINA!AU334</f>
        <v>315.71000000000004</v>
      </c>
      <c r="Z374" s="1151">
        <f>+NOMINA!BX334</f>
        <v>591.96</v>
      </c>
      <c r="AA374" s="1151">
        <f>+NOMINA!BY334</f>
        <v>0</v>
      </c>
      <c r="AB374" s="1151">
        <f t="shared" si="24"/>
        <v>591.96</v>
      </c>
      <c r="AD374" s="634"/>
      <c r="AH374" s="1610" t="str">
        <f>NOMINA!P334</f>
        <v>01020373240000442257</v>
      </c>
    </row>
    <row r="375" spans="1:34" s="629" customFormat="1" ht="19.5" customHeight="1" thickBot="1">
      <c r="A375" s="770" t="s">
        <v>2846</v>
      </c>
      <c r="B375" s="771">
        <f t="shared" si="25"/>
        <v>24</v>
      </c>
      <c r="C375" s="1145">
        <f>NOMINA!C335</f>
        <v>10909678</v>
      </c>
      <c r="D375" s="1146" t="str">
        <f>NOMINA!D335</f>
        <v>Delgado Jose Argenis</v>
      </c>
      <c r="E375" s="1602" t="s">
        <v>4622</v>
      </c>
      <c r="F375" s="1153">
        <v>32351</v>
      </c>
      <c r="G375" s="1602" t="s">
        <v>4620</v>
      </c>
      <c r="H375" s="1572">
        <f>NOMINA!H335</f>
        <v>43952</v>
      </c>
      <c r="I375" s="1148">
        <f>NOMINA!I333</f>
        <v>18</v>
      </c>
      <c r="J375" s="1149">
        <f>NOMINA!J333</f>
        <v>0</v>
      </c>
      <c r="K375" s="1148">
        <f t="shared" si="23"/>
        <v>18</v>
      </c>
      <c r="L375" s="1149" t="s">
        <v>4932</v>
      </c>
      <c r="M375" s="1149"/>
      <c r="N375" s="1573" t="str">
        <f>NOMINA!O335</f>
        <v>Aseador</v>
      </c>
      <c r="O375" s="1149">
        <v>1.02087691000006E+18</v>
      </c>
      <c r="P375" s="1150">
        <f>ROUND(+NOMINA!T335,2)</f>
        <v>130</v>
      </c>
      <c r="Q375" s="1151">
        <v>0</v>
      </c>
      <c r="R375" s="1151">
        <f>ROUND(+NOMINA!AA335,2)</f>
        <v>5.2</v>
      </c>
      <c r="S375" s="1151">
        <f>ROUND(+NOMINA!AB335,2)</f>
        <v>130</v>
      </c>
      <c r="T375" s="1151">
        <f>ROUND(+NOMINA!AC335,2)</f>
        <v>0</v>
      </c>
      <c r="U375" s="1151">
        <f>ROUND(+NOMINA!AD335,2)</f>
        <v>0</v>
      </c>
      <c r="V375" s="1151">
        <f>ROUND(NOMINA!AQ335,2)</f>
        <v>0</v>
      </c>
      <c r="W375" s="1151">
        <f>+NOMINA!AS335</f>
        <v>0</v>
      </c>
      <c r="X375" s="1151">
        <f>+NOMINA!AT335</f>
        <v>0</v>
      </c>
      <c r="Y375" s="1151">
        <f>+NOMINA!AU335</f>
        <v>265.2</v>
      </c>
      <c r="Z375" s="1151">
        <f>+NOMINA!BX335</f>
        <v>497.25</v>
      </c>
      <c r="AA375" s="1151">
        <f>+NOMINA!BY335</f>
        <v>0</v>
      </c>
      <c r="AB375" s="1151">
        <f t="shared" si="24"/>
        <v>497.25</v>
      </c>
      <c r="AD375" s="634"/>
      <c r="AH375" s="1610" t="str">
        <f>NOMINA!P335</f>
        <v>01020373210000629274</v>
      </c>
    </row>
    <row r="376" spans="1:34" s="629" customFormat="1" ht="19.5" customHeight="1" thickBot="1">
      <c r="A376" s="770" t="s">
        <v>2846</v>
      </c>
      <c r="B376" s="771">
        <f t="shared" si="25"/>
        <v>25</v>
      </c>
      <c r="C376" s="1145">
        <f>NOMINA!C336</f>
        <v>10909819</v>
      </c>
      <c r="D376" s="1146" t="str">
        <f>NOMINA!D336</f>
        <v>Carrizo Jose Waldo</v>
      </c>
      <c r="E376" s="1602" t="s">
        <v>4622</v>
      </c>
      <c r="F376" s="1153">
        <v>32351</v>
      </c>
      <c r="G376" s="1602" t="s">
        <v>4620</v>
      </c>
      <c r="H376" s="1572">
        <f>NOMINA!H336</f>
        <v>43359</v>
      </c>
      <c r="I376" s="1148">
        <f>NOMINA!I334</f>
        <v>8</v>
      </c>
      <c r="J376" s="1149">
        <f>NOMINA!J334</f>
        <v>0</v>
      </c>
      <c r="K376" s="1148">
        <f t="shared" si="23"/>
        <v>8</v>
      </c>
      <c r="L376" s="1149" t="s">
        <v>4932</v>
      </c>
      <c r="M376" s="1149"/>
      <c r="N376" s="1573" t="str">
        <f>NOMINA!O336</f>
        <v>Cocinero</v>
      </c>
      <c r="O376" s="1149">
        <v>1.02087691000006E+18</v>
      </c>
      <c r="P376" s="1150">
        <f>ROUND(+NOMINA!T336,2)</f>
        <v>171</v>
      </c>
      <c r="Q376" s="1151">
        <v>0</v>
      </c>
      <c r="R376" s="1151">
        <f>ROUND(+NOMINA!AA336,2)</f>
        <v>10.6</v>
      </c>
      <c r="S376" s="1151">
        <f>ROUND(+NOMINA!AB336,2)</f>
        <v>130</v>
      </c>
      <c r="T376" s="1151">
        <f>ROUND(+NOMINA!AC336,2)</f>
        <v>0</v>
      </c>
      <c r="U376" s="1151">
        <f>ROUND(+NOMINA!AD336,2)</f>
        <v>0</v>
      </c>
      <c r="V376" s="1151">
        <f>ROUND(NOMINA!AQ336,2)</f>
        <v>0</v>
      </c>
      <c r="W376" s="1151">
        <f>+NOMINA!AS336</f>
        <v>0</v>
      </c>
      <c r="X376" s="1151">
        <f>+NOMINA!AT336</f>
        <v>0</v>
      </c>
      <c r="Y376" s="1151">
        <f>+NOMINA!AU336</f>
        <v>311.60000000000002</v>
      </c>
      <c r="Z376" s="1151">
        <f>+NOMINA!BX336</f>
        <v>584.25</v>
      </c>
      <c r="AA376" s="1151">
        <f>+NOMINA!BY336</f>
        <v>0</v>
      </c>
      <c r="AB376" s="1151">
        <f t="shared" si="24"/>
        <v>584.25</v>
      </c>
      <c r="AD376" s="634"/>
      <c r="AH376" s="1610" t="str">
        <f>NOMINA!P336</f>
        <v>01020373200000573359</v>
      </c>
    </row>
    <row r="377" spans="1:34" s="629" customFormat="1" ht="19.5" customHeight="1" thickBot="1">
      <c r="A377" s="770" t="s">
        <v>2846</v>
      </c>
      <c r="B377" s="771">
        <f t="shared" si="25"/>
        <v>26</v>
      </c>
      <c r="C377" s="1145">
        <f>NOMINA!C337</f>
        <v>10912635</v>
      </c>
      <c r="D377" s="1146" t="str">
        <f>NOMINA!D337</f>
        <v>Gutierrez Briceño Jose Orangel</v>
      </c>
      <c r="E377" s="1602" t="s">
        <v>4622</v>
      </c>
      <c r="F377" s="1153">
        <v>32351</v>
      </c>
      <c r="G377" s="1602" t="s">
        <v>4620</v>
      </c>
      <c r="H377" s="1572">
        <f>NOMINA!H337</f>
        <v>44348</v>
      </c>
      <c r="I377" s="1148">
        <f>NOMINA!I335</f>
        <v>4</v>
      </c>
      <c r="J377" s="1149">
        <f>NOMINA!J335</f>
        <v>0</v>
      </c>
      <c r="K377" s="1148">
        <f t="shared" si="23"/>
        <v>4</v>
      </c>
      <c r="L377" s="1149" t="s">
        <v>4932</v>
      </c>
      <c r="M377" s="1149"/>
      <c r="N377" s="1573" t="str">
        <f>NOMINA!O337</f>
        <v>Ayudante Agropecuario</v>
      </c>
      <c r="O377" s="1149">
        <v>1.02087691000006E+18</v>
      </c>
      <c r="P377" s="1150">
        <f>ROUND(+NOMINA!T337,2)</f>
        <v>152</v>
      </c>
      <c r="Q377" s="1151">
        <v>0</v>
      </c>
      <c r="R377" s="1151">
        <f>ROUND(+NOMINA!AA337,2)</f>
        <v>4.5599999999999996</v>
      </c>
      <c r="S377" s="1151">
        <f>ROUND(+NOMINA!AB337,2)</f>
        <v>130</v>
      </c>
      <c r="T377" s="1151">
        <f>ROUND(+NOMINA!AC337,2)</f>
        <v>0</v>
      </c>
      <c r="U377" s="1151">
        <f>ROUND(+NOMINA!AD337,2)</f>
        <v>0</v>
      </c>
      <c r="V377" s="1151">
        <f>ROUND(NOMINA!AQ337,2)</f>
        <v>0</v>
      </c>
      <c r="W377" s="1151">
        <f>+NOMINA!AS337</f>
        <v>0</v>
      </c>
      <c r="X377" s="1151">
        <f>+NOMINA!AT337</f>
        <v>0</v>
      </c>
      <c r="Y377" s="1151">
        <f>+NOMINA!AU337</f>
        <v>286.56</v>
      </c>
      <c r="Z377" s="1151">
        <f>+NOMINA!BX337</f>
        <v>537.29999999999995</v>
      </c>
      <c r="AA377" s="1151">
        <f>+NOMINA!BY337</f>
        <v>0</v>
      </c>
      <c r="AB377" s="1151">
        <f t="shared" si="24"/>
        <v>537.29999999999995</v>
      </c>
      <c r="AD377" s="634"/>
      <c r="AH377" s="1610" t="str">
        <f>NOMINA!P337</f>
        <v>01020494110100021350</v>
      </c>
    </row>
    <row r="378" spans="1:34" s="629" customFormat="1" ht="19.5" customHeight="1" thickBot="1">
      <c r="A378" s="770" t="s">
        <v>2846</v>
      </c>
      <c r="B378" s="771">
        <f t="shared" si="25"/>
        <v>27</v>
      </c>
      <c r="C378" s="1145">
        <f>NOMINA!C338</f>
        <v>10915274</v>
      </c>
      <c r="D378" s="1146" t="str">
        <f>NOMINA!D338</f>
        <v>Montilla Vergara Belkys Josefina</v>
      </c>
      <c r="E378" s="1602" t="s">
        <v>4622</v>
      </c>
      <c r="F378" s="1153">
        <v>32351</v>
      </c>
      <c r="G378" s="1602" t="s">
        <v>4620</v>
      </c>
      <c r="H378" s="1572">
        <f>NOMINA!H338</f>
        <v>44635</v>
      </c>
      <c r="I378" s="1148">
        <f>NOMINA!I336</f>
        <v>6</v>
      </c>
      <c r="J378" s="1149">
        <f>NOMINA!J336</f>
        <v>0</v>
      </c>
      <c r="K378" s="1148">
        <f t="shared" si="23"/>
        <v>6</v>
      </c>
      <c r="L378" s="1149" t="s">
        <v>4932</v>
      </c>
      <c r="M378" s="1149"/>
      <c r="N378" s="1573" t="str">
        <f>NOMINA!O338</f>
        <v>Ayudante de Servicios Generales</v>
      </c>
      <c r="O378" s="1149">
        <v>1.02087691000006E+18</v>
      </c>
      <c r="P378" s="1150">
        <f>ROUND(+NOMINA!T338,2)</f>
        <v>152</v>
      </c>
      <c r="Q378" s="1151">
        <v>0</v>
      </c>
      <c r="R378" s="1151">
        <f>ROUND(+NOMINA!AA338,2)</f>
        <v>3.04</v>
      </c>
      <c r="S378" s="1151">
        <f>ROUND(+NOMINA!AB338,2)</f>
        <v>130</v>
      </c>
      <c r="T378" s="1151">
        <f>ROUND(+NOMINA!AC338,2)</f>
        <v>0</v>
      </c>
      <c r="U378" s="1151">
        <f>ROUND(+NOMINA!AD338,2)</f>
        <v>0</v>
      </c>
      <c r="V378" s="1151">
        <f>ROUND(NOMINA!AQ338,2)</f>
        <v>0</v>
      </c>
      <c r="W378" s="1151">
        <f>+NOMINA!AS338</f>
        <v>0</v>
      </c>
      <c r="X378" s="1151">
        <f>+NOMINA!AT338</f>
        <v>0</v>
      </c>
      <c r="Y378" s="1151">
        <f>+NOMINA!AU338</f>
        <v>285.03999999999996</v>
      </c>
      <c r="Z378" s="1151">
        <f>+NOMINA!BX338</f>
        <v>534.45000000000005</v>
      </c>
      <c r="AA378" s="1151">
        <f>+NOMINA!BY338</f>
        <v>0</v>
      </c>
      <c r="AB378" s="1151">
        <f t="shared" si="24"/>
        <v>534.45000000000005</v>
      </c>
      <c r="AD378" s="634"/>
      <c r="AH378" s="1610" t="str">
        <f>NOMINA!P338</f>
        <v>01020373240000917180</v>
      </c>
    </row>
    <row r="379" spans="1:34" s="629" customFormat="1" ht="19.5" customHeight="1" thickBot="1">
      <c r="A379" s="770" t="s">
        <v>2846</v>
      </c>
      <c r="B379" s="771">
        <f t="shared" si="25"/>
        <v>28</v>
      </c>
      <c r="C379" s="1145">
        <f>NOMINA!C339</f>
        <v>11129355</v>
      </c>
      <c r="D379" s="1146" t="str">
        <f>NOMINA!D339</f>
        <v xml:space="preserve">Luque Azuaje Rigoberto </v>
      </c>
      <c r="E379" s="1602" t="s">
        <v>4622</v>
      </c>
      <c r="F379" s="1153">
        <v>32351</v>
      </c>
      <c r="G379" s="1602" t="s">
        <v>4620</v>
      </c>
      <c r="H379" s="1572">
        <f>NOMINA!H339</f>
        <v>39539</v>
      </c>
      <c r="I379" s="1148">
        <f>NOMINA!I337</f>
        <v>3</v>
      </c>
      <c r="J379" s="1149">
        <f>NOMINA!J337</f>
        <v>0</v>
      </c>
      <c r="K379" s="1148">
        <f t="shared" si="23"/>
        <v>3</v>
      </c>
      <c r="L379" s="1149" t="s">
        <v>4932</v>
      </c>
      <c r="M379" s="1149"/>
      <c r="N379" s="1573" t="str">
        <f>NOMINA!O339</f>
        <v>Ayudante de Servicios Generales</v>
      </c>
      <c r="O379" s="1149">
        <v>1.02087691000006E+18</v>
      </c>
      <c r="P379" s="1150">
        <f>ROUND(+NOMINA!T339,2)</f>
        <v>152</v>
      </c>
      <c r="Q379" s="1151">
        <v>0</v>
      </c>
      <c r="R379" s="1151">
        <f>ROUND(+NOMINA!AA339,2)</f>
        <v>29.79</v>
      </c>
      <c r="S379" s="1151">
        <f>ROUND(+NOMINA!AB339,2)</f>
        <v>130</v>
      </c>
      <c r="T379" s="1151">
        <f>ROUND(+NOMINA!AC339,2)</f>
        <v>0</v>
      </c>
      <c r="U379" s="1151">
        <f>ROUND(+NOMINA!AD339,2)</f>
        <v>0</v>
      </c>
      <c r="V379" s="1151">
        <f>ROUND(NOMINA!AQ339,2)</f>
        <v>0</v>
      </c>
      <c r="W379" s="1151">
        <f>+NOMINA!AS339</f>
        <v>0</v>
      </c>
      <c r="X379" s="1151">
        <f>+NOMINA!AT339</f>
        <v>0</v>
      </c>
      <c r="Y379" s="1151">
        <f>+NOMINA!AU339</f>
        <v>405.33</v>
      </c>
      <c r="Z379" s="1151">
        <f>+NOMINA!BX339</f>
        <v>760</v>
      </c>
      <c r="AA379" s="1151">
        <f>+NOMINA!BY339</f>
        <v>0</v>
      </c>
      <c r="AB379" s="1151">
        <f t="shared" si="24"/>
        <v>760</v>
      </c>
      <c r="AD379" s="634"/>
      <c r="AH379" s="1610" t="str">
        <f>NOMINA!P339</f>
        <v>01020373240000441481</v>
      </c>
    </row>
    <row r="380" spans="1:34" s="629" customFormat="1" ht="19.5" customHeight="1" thickBot="1">
      <c r="A380" s="770" t="s">
        <v>2846</v>
      </c>
      <c r="B380" s="771">
        <f t="shared" si="25"/>
        <v>29</v>
      </c>
      <c r="C380" s="1145">
        <f>NOMINA!C340</f>
        <v>11315202</v>
      </c>
      <c r="D380" s="1146" t="str">
        <f>NOMINA!D340</f>
        <v>Barreto Maria Ramona</v>
      </c>
      <c r="E380" s="1602" t="s">
        <v>4622</v>
      </c>
      <c r="F380" s="1153">
        <v>32351</v>
      </c>
      <c r="G380" s="1602" t="s">
        <v>4620</v>
      </c>
      <c r="H380" s="1572">
        <f>NOMINA!H340</f>
        <v>39539</v>
      </c>
      <c r="I380" s="1148">
        <f>NOMINA!I338</f>
        <v>2</v>
      </c>
      <c r="J380" s="1149">
        <f>NOMINA!J338</f>
        <v>0</v>
      </c>
      <c r="K380" s="1148">
        <f t="shared" si="23"/>
        <v>2</v>
      </c>
      <c r="L380" s="1149" t="s">
        <v>4932</v>
      </c>
      <c r="M380" s="1149"/>
      <c r="N380" s="1573" t="str">
        <f>NOMINA!O340</f>
        <v>Cocinera</v>
      </c>
      <c r="O380" s="1149">
        <v>1.02087691000006E+18</v>
      </c>
      <c r="P380" s="1150">
        <f>ROUND(+NOMINA!T340,2)</f>
        <v>171</v>
      </c>
      <c r="Q380" s="1151">
        <v>0</v>
      </c>
      <c r="R380" s="1151">
        <f>ROUND(+NOMINA!AA340,2)</f>
        <v>33.520000000000003</v>
      </c>
      <c r="S380" s="1151">
        <f>ROUND(+NOMINA!AB340,2)</f>
        <v>130</v>
      </c>
      <c r="T380" s="1151">
        <f>ROUND(+NOMINA!AC340,2)</f>
        <v>0</v>
      </c>
      <c r="U380" s="1151">
        <f>ROUND(+NOMINA!AD340,2)</f>
        <v>0</v>
      </c>
      <c r="V380" s="1151">
        <f>ROUND(NOMINA!AQ340,2)</f>
        <v>0</v>
      </c>
      <c r="W380" s="1151">
        <f>+NOMINA!AS340</f>
        <v>0</v>
      </c>
      <c r="X380" s="1151">
        <f>+NOMINA!AT340</f>
        <v>0</v>
      </c>
      <c r="Y380" s="1151">
        <f>+NOMINA!AU340</f>
        <v>334.52</v>
      </c>
      <c r="Z380" s="1151">
        <f>+NOMINA!BX340</f>
        <v>627.23</v>
      </c>
      <c r="AA380" s="1151">
        <f>+NOMINA!BY340</f>
        <v>0</v>
      </c>
      <c r="AB380" s="1151">
        <f t="shared" si="24"/>
        <v>627.23</v>
      </c>
      <c r="AD380" s="634"/>
      <c r="AH380" s="1610" t="str">
        <f>NOMINA!P340</f>
        <v>01020373210000441533</v>
      </c>
    </row>
    <row r="381" spans="1:34" s="629" customFormat="1" ht="19.5" customHeight="1" thickBot="1">
      <c r="A381" s="770" t="s">
        <v>2846</v>
      </c>
      <c r="B381" s="771">
        <f t="shared" si="25"/>
        <v>30</v>
      </c>
      <c r="C381" s="1145">
        <f>NOMINA!C341</f>
        <v>11321681</v>
      </c>
      <c r="D381" s="1146" t="str">
        <f>NOMINA!D341</f>
        <v>Bentancourt Rivas Luis Enrique</v>
      </c>
      <c r="E381" s="1602" t="s">
        <v>4622</v>
      </c>
      <c r="F381" s="1153">
        <v>32351</v>
      </c>
      <c r="G381" s="1602" t="s">
        <v>4620</v>
      </c>
      <c r="H381" s="1572">
        <f>NOMINA!H341</f>
        <v>44805</v>
      </c>
      <c r="I381" s="1148">
        <f>NOMINA!I339</f>
        <v>16</v>
      </c>
      <c r="J381" s="1149">
        <f>NOMINA!J339</f>
        <v>0</v>
      </c>
      <c r="K381" s="1148">
        <f t="shared" si="23"/>
        <v>16</v>
      </c>
      <c r="L381" s="1149" t="s">
        <v>4932</v>
      </c>
      <c r="M381" s="1149"/>
      <c r="N381" s="1573" t="str">
        <f>NOMINA!O341</f>
        <v>Ayudante de Servicios Generales</v>
      </c>
      <c r="O381" s="1149">
        <v>1.02087691000006E+18</v>
      </c>
      <c r="P381" s="1150">
        <f>ROUND(+NOMINA!T341,2)</f>
        <v>152</v>
      </c>
      <c r="Q381" s="1151">
        <v>0</v>
      </c>
      <c r="R381" s="1151">
        <f>ROUND(+NOMINA!AA341,2)</f>
        <v>3.04</v>
      </c>
      <c r="S381" s="1151">
        <f>ROUND(+NOMINA!AB341,2)</f>
        <v>130</v>
      </c>
      <c r="T381" s="1151">
        <f>ROUND(+NOMINA!AC341,2)</f>
        <v>0</v>
      </c>
      <c r="U381" s="1151">
        <f>ROUND(+NOMINA!AD341,2)</f>
        <v>0</v>
      </c>
      <c r="V381" s="1151">
        <f>ROUND(NOMINA!AQ341,2)</f>
        <v>0</v>
      </c>
      <c r="W381" s="1151">
        <f>+NOMINA!AS341</f>
        <v>0</v>
      </c>
      <c r="X381" s="1151">
        <f>+NOMINA!AT341</f>
        <v>0</v>
      </c>
      <c r="Y381" s="1151">
        <f>+NOMINA!AU341</f>
        <v>285.03999999999996</v>
      </c>
      <c r="Z381" s="1151">
        <f>+NOMINA!BX341</f>
        <v>534.45000000000005</v>
      </c>
      <c r="AA381" s="1151">
        <f>+NOMINA!BY341</f>
        <v>0</v>
      </c>
      <c r="AB381" s="1151">
        <f t="shared" si="24"/>
        <v>534.45000000000005</v>
      </c>
      <c r="AD381" s="634"/>
      <c r="AH381" s="1610" t="str">
        <f>NOMINA!P341</f>
        <v>01020373250001007549</v>
      </c>
    </row>
    <row r="382" spans="1:34" s="629" customFormat="1" ht="19.5" customHeight="1" thickBot="1">
      <c r="A382" s="770" t="s">
        <v>2846</v>
      </c>
      <c r="B382" s="771">
        <f t="shared" si="25"/>
        <v>31</v>
      </c>
      <c r="C382" s="1145">
        <f>NOMINA!C342</f>
        <v>11321782</v>
      </c>
      <c r="D382" s="1146" t="str">
        <f>NOMINA!D342</f>
        <v>Flores Camacho Maria Zoraida</v>
      </c>
      <c r="E382" s="1602" t="s">
        <v>4622</v>
      </c>
      <c r="F382" s="1153">
        <v>32351</v>
      </c>
      <c r="G382" s="1602" t="s">
        <v>4620</v>
      </c>
      <c r="H382" s="1572">
        <f>NOMINA!H342</f>
        <v>43815</v>
      </c>
      <c r="I382" s="1148">
        <f>NOMINA!I340</f>
        <v>16</v>
      </c>
      <c r="J382" s="1149">
        <f>NOMINA!J340</f>
        <v>0</v>
      </c>
      <c r="K382" s="1148">
        <f t="shared" si="23"/>
        <v>16</v>
      </c>
      <c r="L382" s="1149" t="s">
        <v>4932</v>
      </c>
      <c r="M382" s="1149"/>
      <c r="N382" s="1573" t="str">
        <f>NOMINA!O342</f>
        <v>Cocinera</v>
      </c>
      <c r="O382" s="1149">
        <v>1.02087691000006E+18</v>
      </c>
      <c r="P382" s="1150">
        <f>ROUND(+NOMINA!T342,2)</f>
        <v>171</v>
      </c>
      <c r="Q382" s="1151">
        <v>0</v>
      </c>
      <c r="R382" s="1151">
        <f>ROUND(+NOMINA!AA342,2)</f>
        <v>8.5500000000000007</v>
      </c>
      <c r="S382" s="1151">
        <f>ROUND(+NOMINA!AB342,2)</f>
        <v>130</v>
      </c>
      <c r="T382" s="1151">
        <f>ROUND(+NOMINA!AC342,2)</f>
        <v>0</v>
      </c>
      <c r="U382" s="1151">
        <f>ROUND(+NOMINA!AD342,2)</f>
        <v>0</v>
      </c>
      <c r="V382" s="1151">
        <f>ROUND(NOMINA!AQ342,2)</f>
        <v>0</v>
      </c>
      <c r="W382" s="1151">
        <f>+NOMINA!AS342</f>
        <v>0</v>
      </c>
      <c r="X382" s="1151">
        <f>+NOMINA!AT342</f>
        <v>0</v>
      </c>
      <c r="Y382" s="1151">
        <f>+NOMINA!AU342</f>
        <v>309.55</v>
      </c>
      <c r="Z382" s="1151">
        <f>+NOMINA!BX342</f>
        <v>580.41</v>
      </c>
      <c r="AA382" s="1151">
        <f>+NOMINA!BY342</f>
        <v>0</v>
      </c>
      <c r="AB382" s="1151">
        <f t="shared" si="24"/>
        <v>580.41</v>
      </c>
      <c r="AD382" s="634"/>
      <c r="AH382" s="1610" t="str">
        <f>NOMINA!P342</f>
        <v>01020373210000632070</v>
      </c>
    </row>
    <row r="383" spans="1:34" s="629" customFormat="1" ht="19.5" customHeight="1" thickBot="1">
      <c r="A383" s="770" t="s">
        <v>2846</v>
      </c>
      <c r="B383" s="771">
        <f t="shared" si="25"/>
        <v>32</v>
      </c>
      <c r="C383" s="1145">
        <f>NOMINA!C343</f>
        <v>11324931</v>
      </c>
      <c r="D383" s="1146" t="str">
        <f>NOMINA!D343</f>
        <v xml:space="preserve">Sulbaran De Araujo Magaly </v>
      </c>
      <c r="E383" s="1602" t="s">
        <v>4622</v>
      </c>
      <c r="F383" s="1153">
        <v>32351</v>
      </c>
      <c r="G383" s="1602" t="s">
        <v>4620</v>
      </c>
      <c r="H383" s="1572">
        <f>NOMINA!H343</f>
        <v>38784</v>
      </c>
      <c r="I383" s="1148">
        <f>NOMINA!I341</f>
        <v>2</v>
      </c>
      <c r="J383" s="1149">
        <f>NOMINA!J341</f>
        <v>0</v>
      </c>
      <c r="K383" s="1148">
        <f t="shared" si="23"/>
        <v>2</v>
      </c>
      <c r="L383" s="1149" t="s">
        <v>4932</v>
      </c>
      <c r="M383" s="1149"/>
      <c r="N383" s="1573" t="str">
        <f>NOMINA!O343</f>
        <v>Cocinera</v>
      </c>
      <c r="O383" s="1149">
        <v>1.02087691000006E+18</v>
      </c>
      <c r="P383" s="1150">
        <f>ROUND(+NOMINA!T343,2)</f>
        <v>171</v>
      </c>
      <c r="Q383" s="1151">
        <v>0</v>
      </c>
      <c r="R383" s="1151">
        <f>ROUND(+NOMINA!AA343,2)</f>
        <v>38.99</v>
      </c>
      <c r="S383" s="1151">
        <f>ROUND(+NOMINA!AB343,2)</f>
        <v>130</v>
      </c>
      <c r="T383" s="1151">
        <f>ROUND(+NOMINA!AC343,2)</f>
        <v>0</v>
      </c>
      <c r="U383" s="1151">
        <f>ROUND(+NOMINA!AD343,2)</f>
        <v>0</v>
      </c>
      <c r="V383" s="1151">
        <f>ROUND(NOMINA!AQ343,2)</f>
        <v>0</v>
      </c>
      <c r="W383" s="1151">
        <f>+NOMINA!AS343</f>
        <v>0</v>
      </c>
      <c r="X383" s="1151">
        <f>+NOMINA!AT343</f>
        <v>0</v>
      </c>
      <c r="Y383" s="1151">
        <f>+NOMINA!AU343</f>
        <v>339.99</v>
      </c>
      <c r="Z383" s="1151">
        <f>+NOMINA!BX343</f>
        <v>637.48</v>
      </c>
      <c r="AA383" s="1151">
        <f>+NOMINA!BY343</f>
        <v>0</v>
      </c>
      <c r="AB383" s="1151">
        <f t="shared" si="24"/>
        <v>637.48</v>
      </c>
      <c r="AD383" s="634"/>
      <c r="AH383" s="1610" t="str">
        <f>NOMINA!P343</f>
        <v>01020373260000439969</v>
      </c>
    </row>
    <row r="384" spans="1:34" s="629" customFormat="1" ht="19.5" customHeight="1" thickBot="1">
      <c r="A384" s="770" t="s">
        <v>2846</v>
      </c>
      <c r="B384" s="771">
        <f t="shared" si="25"/>
        <v>33</v>
      </c>
      <c r="C384" s="1145">
        <f>NOMINA!C344</f>
        <v>11894400</v>
      </c>
      <c r="D384" s="1146" t="str">
        <f>NOMINA!D344</f>
        <v>Aldana Olivar Maria del Carmen</v>
      </c>
      <c r="E384" s="1602" t="s">
        <v>4622</v>
      </c>
      <c r="F384" s="1153">
        <v>32351</v>
      </c>
      <c r="G384" s="1602" t="s">
        <v>4620</v>
      </c>
      <c r="H384" s="1572">
        <f>NOMINA!H344</f>
        <v>44287</v>
      </c>
      <c r="I384" s="1148">
        <f>NOMINA!I342</f>
        <v>5</v>
      </c>
      <c r="J384" s="1149">
        <f>NOMINA!J342</f>
        <v>0</v>
      </c>
      <c r="K384" s="1148">
        <f t="shared" si="23"/>
        <v>5</v>
      </c>
      <c r="L384" s="1149" t="s">
        <v>4932</v>
      </c>
      <c r="M384" s="1149"/>
      <c r="N384" s="1573" t="str">
        <f>NOMINA!O344</f>
        <v>Cocinera</v>
      </c>
      <c r="O384" s="1149">
        <v>1.02087691000006E+18</v>
      </c>
      <c r="P384" s="1150">
        <f>ROUND(+NOMINA!T344,2)</f>
        <v>171</v>
      </c>
      <c r="Q384" s="1151">
        <v>0</v>
      </c>
      <c r="R384" s="1151">
        <f>ROUND(+NOMINA!AA344,2)</f>
        <v>5.13</v>
      </c>
      <c r="S384" s="1151">
        <f>ROUND(+NOMINA!AB344,2)</f>
        <v>130</v>
      </c>
      <c r="T384" s="1151">
        <f>ROUND(+NOMINA!AC344,2)</f>
        <v>0</v>
      </c>
      <c r="U384" s="1151">
        <f>ROUND(+NOMINA!AD344,2)</f>
        <v>0</v>
      </c>
      <c r="V384" s="1151">
        <f>ROUND(NOMINA!AQ344,2)</f>
        <v>0</v>
      </c>
      <c r="W384" s="1151">
        <f>+NOMINA!AS344</f>
        <v>0</v>
      </c>
      <c r="X384" s="1151">
        <f>+NOMINA!AT344</f>
        <v>0</v>
      </c>
      <c r="Y384" s="1151">
        <f>+NOMINA!AU344</f>
        <v>306.13</v>
      </c>
      <c r="Z384" s="1151">
        <f>+NOMINA!BX344</f>
        <v>574</v>
      </c>
      <c r="AA384" s="1151">
        <f>+NOMINA!BY344</f>
        <v>0</v>
      </c>
      <c r="AB384" s="1151">
        <f t="shared" si="24"/>
        <v>574</v>
      </c>
      <c r="AD384" s="634"/>
      <c r="AH384" s="1610" t="str">
        <f>NOMINA!P344</f>
        <v>01020373290000645766</v>
      </c>
    </row>
    <row r="385" spans="1:34" s="629" customFormat="1" ht="19.5" customHeight="1" thickBot="1">
      <c r="A385" s="770" t="s">
        <v>2846</v>
      </c>
      <c r="B385" s="771">
        <f t="shared" si="25"/>
        <v>34</v>
      </c>
      <c r="C385" s="1145">
        <f>NOMINA!C345</f>
        <v>11897863</v>
      </c>
      <c r="D385" s="1146" t="str">
        <f>NOMINA!D345</f>
        <v>Rodriguez Maria Ibel</v>
      </c>
      <c r="E385" s="1602" t="s">
        <v>4622</v>
      </c>
      <c r="F385" s="1153">
        <v>32351</v>
      </c>
      <c r="G385" s="1602" t="s">
        <v>4620</v>
      </c>
      <c r="H385" s="1572">
        <f>NOMINA!H345</f>
        <v>41548</v>
      </c>
      <c r="I385" s="1148">
        <f>NOMINA!I343</f>
        <v>18</v>
      </c>
      <c r="J385" s="1149">
        <f>NOMINA!J343</f>
        <v>0</v>
      </c>
      <c r="K385" s="1148">
        <f t="shared" si="23"/>
        <v>18</v>
      </c>
      <c r="L385" s="1149" t="s">
        <v>4932</v>
      </c>
      <c r="M385" s="1149"/>
      <c r="N385" s="1573" t="str">
        <f>NOMINA!O345</f>
        <v>Aseadora</v>
      </c>
      <c r="O385" s="1149">
        <v>1.02087691000006E+18</v>
      </c>
      <c r="P385" s="1150">
        <f>ROUND(+NOMINA!T345,2)</f>
        <v>130</v>
      </c>
      <c r="Q385" s="1151">
        <v>0</v>
      </c>
      <c r="R385" s="1151">
        <f>ROUND(+NOMINA!AA345,2)</f>
        <v>16.12</v>
      </c>
      <c r="S385" s="1151">
        <f>ROUND(+NOMINA!AB345,2)</f>
        <v>130</v>
      </c>
      <c r="T385" s="1151">
        <f>ROUND(+NOMINA!AC345,2)</f>
        <v>0</v>
      </c>
      <c r="U385" s="1151">
        <f>ROUND(+NOMINA!AD345,2)</f>
        <v>0</v>
      </c>
      <c r="V385" s="1151">
        <f>ROUND(NOMINA!AQ345,2)</f>
        <v>0</v>
      </c>
      <c r="W385" s="1151">
        <f>+NOMINA!AS345</f>
        <v>0</v>
      </c>
      <c r="X385" s="1151">
        <f>+NOMINA!AT345</f>
        <v>0</v>
      </c>
      <c r="Y385" s="1151">
        <f>+NOMINA!AU345</f>
        <v>276.12</v>
      </c>
      <c r="Z385" s="1151">
        <f>+NOMINA!BX345</f>
        <v>517.73</v>
      </c>
      <c r="AA385" s="1151">
        <f>+NOMINA!BY345</f>
        <v>0</v>
      </c>
      <c r="AB385" s="1151">
        <f t="shared" si="24"/>
        <v>517.73</v>
      </c>
      <c r="AD385" s="634"/>
      <c r="AH385" s="1610" t="str">
        <f>NOMINA!P345</f>
        <v>01020373220000440039</v>
      </c>
    </row>
    <row r="386" spans="1:34" s="629" customFormat="1" ht="19.5" customHeight="1" thickBot="1">
      <c r="A386" s="770" t="s">
        <v>2846</v>
      </c>
      <c r="B386" s="771">
        <f t="shared" si="25"/>
        <v>35</v>
      </c>
      <c r="C386" s="1145">
        <f>NOMINA!C346</f>
        <v>12038359</v>
      </c>
      <c r="D386" s="1146" t="str">
        <f>NOMINA!D346</f>
        <v>Amaya Perez Carmen Elena</v>
      </c>
      <c r="E386" s="1602" t="s">
        <v>4622</v>
      </c>
      <c r="F386" s="1153">
        <v>32351</v>
      </c>
      <c r="G386" s="1602" t="s">
        <v>4620</v>
      </c>
      <c r="H386" s="1572">
        <f>NOMINA!H346</f>
        <v>38103</v>
      </c>
      <c r="I386" s="1148">
        <f>NOMINA!I344</f>
        <v>3</v>
      </c>
      <c r="J386" s="1149">
        <f>NOMINA!J344</f>
        <v>0</v>
      </c>
      <c r="K386" s="1148">
        <f t="shared" si="23"/>
        <v>3</v>
      </c>
      <c r="L386" s="1149" t="s">
        <v>4932</v>
      </c>
      <c r="M386" s="1149"/>
      <c r="N386" s="1573" t="str">
        <f>NOMINA!O346</f>
        <v>Cocinera</v>
      </c>
      <c r="O386" s="1149">
        <v>1.02087691000006E+18</v>
      </c>
      <c r="P386" s="1150">
        <f>ROUND(+NOMINA!T346,2)</f>
        <v>171</v>
      </c>
      <c r="Q386" s="1151">
        <v>0</v>
      </c>
      <c r="R386" s="1151">
        <f>ROUND(+NOMINA!AA346,2)</f>
        <v>44.46</v>
      </c>
      <c r="S386" s="1151">
        <f>ROUND(+NOMINA!AB346,2)</f>
        <v>130</v>
      </c>
      <c r="T386" s="1151">
        <f>ROUND(+NOMINA!AC346,2)</f>
        <v>0</v>
      </c>
      <c r="U386" s="1151">
        <f>ROUND(+NOMINA!AD346,2)</f>
        <v>0</v>
      </c>
      <c r="V386" s="1151">
        <f>ROUND(NOMINA!AQ346,2)</f>
        <v>0</v>
      </c>
      <c r="W386" s="1151">
        <f>+NOMINA!AS346</f>
        <v>0</v>
      </c>
      <c r="X386" s="1151">
        <f>+NOMINA!AT346</f>
        <v>0</v>
      </c>
      <c r="Y386" s="1151">
        <f>+NOMINA!AU346</f>
        <v>345.46000000000004</v>
      </c>
      <c r="Z386" s="1151">
        <f>+NOMINA!BX346</f>
        <v>647.74</v>
      </c>
      <c r="AA386" s="1151">
        <f>+NOMINA!BY346</f>
        <v>0</v>
      </c>
      <c r="AB386" s="1151">
        <f t="shared" si="24"/>
        <v>647.74</v>
      </c>
      <c r="AD386" s="634"/>
      <c r="AH386" s="1610" t="str">
        <f>NOMINA!P346</f>
        <v>01020373280000440084</v>
      </c>
    </row>
    <row r="387" spans="1:34" s="629" customFormat="1" ht="19.5" customHeight="1" thickBot="1">
      <c r="A387" s="770" t="s">
        <v>2846</v>
      </c>
      <c r="B387" s="771">
        <f t="shared" si="25"/>
        <v>36</v>
      </c>
      <c r="C387" s="1145">
        <f>NOMINA!C347</f>
        <v>12042930</v>
      </c>
      <c r="D387" s="1146" t="str">
        <f>NOMINA!D347</f>
        <v>Barroeta Cardozo Leonid Andrei</v>
      </c>
      <c r="E387" s="1602" t="s">
        <v>4622</v>
      </c>
      <c r="F387" s="1153">
        <v>32351</v>
      </c>
      <c r="G387" s="1602" t="s">
        <v>4620</v>
      </c>
      <c r="H387" s="1572">
        <f>NOMINA!H347</f>
        <v>44986</v>
      </c>
      <c r="I387" s="1148">
        <f>NOMINA!I345</f>
        <v>11</v>
      </c>
      <c r="J387" s="1149">
        <f>NOMINA!J345</f>
        <v>0</v>
      </c>
      <c r="K387" s="1148">
        <f t="shared" si="23"/>
        <v>11</v>
      </c>
      <c r="L387" s="1149" t="s">
        <v>4932</v>
      </c>
      <c r="M387" s="1149"/>
      <c r="N387" s="1573" t="str">
        <f>NOMINA!O347</f>
        <v>Ayudante de Servicios Generales</v>
      </c>
      <c r="O387" s="1149">
        <v>1.02087691000006E+18</v>
      </c>
      <c r="P387" s="1150">
        <f>ROUND(+NOMINA!T347,2)</f>
        <v>152</v>
      </c>
      <c r="Q387" s="1151">
        <v>0</v>
      </c>
      <c r="R387" s="1151">
        <f>ROUND(+NOMINA!AA347,2)</f>
        <v>1.52</v>
      </c>
      <c r="S387" s="1151">
        <f>ROUND(+NOMINA!AB347,2)</f>
        <v>130</v>
      </c>
      <c r="T387" s="1151">
        <f>ROUND(+NOMINA!AC347,2)</f>
        <v>0</v>
      </c>
      <c r="U387" s="1151">
        <f>ROUND(+NOMINA!AD347,2)</f>
        <v>0</v>
      </c>
      <c r="V387" s="1151">
        <f>ROUND(NOMINA!AQ347,2)</f>
        <v>0</v>
      </c>
      <c r="W387" s="1151">
        <f>+NOMINA!AS347</f>
        <v>0</v>
      </c>
      <c r="X387" s="1151">
        <f>+NOMINA!AT347</f>
        <v>0</v>
      </c>
      <c r="Y387" s="1151">
        <f>+NOMINA!AU347</f>
        <v>283.52</v>
      </c>
      <c r="Z387" s="1151">
        <f>+NOMINA!BX347</f>
        <v>531.6</v>
      </c>
      <c r="AA387" s="1151">
        <f>+NOMINA!BY347</f>
        <v>0</v>
      </c>
      <c r="AB387" s="1151">
        <f t="shared" si="24"/>
        <v>531.6</v>
      </c>
      <c r="AD387" s="634"/>
      <c r="AH387" s="1610" t="str">
        <f>NOMINA!P347</f>
        <v>01020373290000795425</v>
      </c>
    </row>
    <row r="388" spans="1:34" s="629" customFormat="1" ht="19.5" customHeight="1" thickBot="1">
      <c r="A388" s="770" t="s">
        <v>2846</v>
      </c>
      <c r="B388" s="771">
        <f t="shared" si="25"/>
        <v>37</v>
      </c>
      <c r="C388" s="1145">
        <f>NOMINA!C348</f>
        <v>12043135</v>
      </c>
      <c r="D388" s="1146" t="str">
        <f>NOMINA!D348</f>
        <v>Avila Salvio Rodolfo</v>
      </c>
      <c r="E388" s="1602" t="s">
        <v>4622</v>
      </c>
      <c r="F388" s="1153">
        <v>32351</v>
      </c>
      <c r="G388" s="1602" t="s">
        <v>4620</v>
      </c>
      <c r="H388" s="1572">
        <f>NOMINA!H348</f>
        <v>43724</v>
      </c>
      <c r="I388" s="1148">
        <f>NOMINA!I346</f>
        <v>20</v>
      </c>
      <c r="J388" s="1149">
        <f>NOMINA!J346</f>
        <v>0</v>
      </c>
      <c r="K388" s="1148">
        <f t="shared" si="23"/>
        <v>20</v>
      </c>
      <c r="L388" s="1149" t="s">
        <v>4932</v>
      </c>
      <c r="M388" s="1149"/>
      <c r="N388" s="1573" t="str">
        <f>NOMINA!O348</f>
        <v>Cocinero</v>
      </c>
      <c r="O388" s="1149">
        <v>1.02087691000006E+18</v>
      </c>
      <c r="P388" s="1150">
        <f>ROUND(+NOMINA!T348,2)</f>
        <v>171</v>
      </c>
      <c r="Q388" s="1151">
        <v>0</v>
      </c>
      <c r="R388" s="1151">
        <f>ROUND(+NOMINA!AA348,2)</f>
        <v>8.5500000000000007</v>
      </c>
      <c r="S388" s="1151">
        <f>ROUND(+NOMINA!AB348,2)</f>
        <v>130</v>
      </c>
      <c r="T388" s="1151">
        <f>ROUND(+NOMINA!AC348,2)</f>
        <v>0</v>
      </c>
      <c r="U388" s="1151">
        <f>ROUND(+NOMINA!AD348,2)</f>
        <v>0</v>
      </c>
      <c r="V388" s="1151">
        <f>ROUND(NOMINA!AQ348,2)</f>
        <v>0</v>
      </c>
      <c r="W388" s="1151">
        <f>+NOMINA!AS348</f>
        <v>0</v>
      </c>
      <c r="X388" s="1151">
        <f>+NOMINA!AT348</f>
        <v>0</v>
      </c>
      <c r="Y388" s="1151">
        <f>+NOMINA!AU348</f>
        <v>309.55</v>
      </c>
      <c r="Z388" s="1151">
        <f>+NOMINA!BX348</f>
        <v>580.41</v>
      </c>
      <c r="AA388" s="1151">
        <f>+NOMINA!BY348</f>
        <v>0</v>
      </c>
      <c r="AB388" s="1151">
        <f t="shared" si="24"/>
        <v>580.41</v>
      </c>
      <c r="AD388" s="634"/>
      <c r="AH388" s="1610" t="str">
        <f>NOMINA!P348</f>
        <v>01020373220000534194</v>
      </c>
    </row>
    <row r="389" spans="1:34" s="629" customFormat="1" ht="19.5" customHeight="1" thickBot="1">
      <c r="A389" s="770" t="s">
        <v>2846</v>
      </c>
      <c r="B389" s="771">
        <f t="shared" si="25"/>
        <v>38</v>
      </c>
      <c r="C389" s="1145">
        <f>NOMINA!C349</f>
        <v>12044124</v>
      </c>
      <c r="D389" s="1146" t="str">
        <f>NOMINA!D349</f>
        <v>Rivas Carlos Luis</v>
      </c>
      <c r="E389" s="1602" t="s">
        <v>4622</v>
      </c>
      <c r="F389" s="1153">
        <v>32351</v>
      </c>
      <c r="G389" s="1602" t="s">
        <v>4620</v>
      </c>
      <c r="H389" s="1572">
        <f>NOMINA!H349</f>
        <v>39539</v>
      </c>
      <c r="I389" s="1148">
        <f>NOMINA!I347</f>
        <v>1</v>
      </c>
      <c r="J389" s="1149">
        <f>NOMINA!J347</f>
        <v>0</v>
      </c>
      <c r="K389" s="1148">
        <f t="shared" si="23"/>
        <v>1</v>
      </c>
      <c r="L389" s="1149" t="s">
        <v>4932</v>
      </c>
      <c r="M389" s="1149"/>
      <c r="N389" s="1573" t="str">
        <f>NOMINA!O349</f>
        <v>Ayudante de Servicios Generales</v>
      </c>
      <c r="O389" s="1149">
        <v>1.02087691000006E+18</v>
      </c>
      <c r="P389" s="1150">
        <f>ROUND(+NOMINA!T349,2)</f>
        <v>152</v>
      </c>
      <c r="Q389" s="1151">
        <v>0</v>
      </c>
      <c r="R389" s="1151">
        <f>ROUND(+NOMINA!AA349,2)</f>
        <v>29.79</v>
      </c>
      <c r="S389" s="1151">
        <f>ROUND(+NOMINA!AB349,2)</f>
        <v>130</v>
      </c>
      <c r="T389" s="1151">
        <f>ROUND(+NOMINA!AC349,2)</f>
        <v>0</v>
      </c>
      <c r="U389" s="1151">
        <f>ROUND(+NOMINA!AD349,2)</f>
        <v>0</v>
      </c>
      <c r="V389" s="1151">
        <f>ROUND(NOMINA!AQ349,2)</f>
        <v>0</v>
      </c>
      <c r="W389" s="1151">
        <f>+NOMINA!AS349</f>
        <v>0</v>
      </c>
      <c r="X389" s="1151">
        <f>+NOMINA!AT349</f>
        <v>0</v>
      </c>
      <c r="Y389" s="1151">
        <f>+NOMINA!AU349</f>
        <v>405.33</v>
      </c>
      <c r="Z389" s="1151">
        <f>+NOMINA!BX349</f>
        <v>760</v>
      </c>
      <c r="AA389" s="1151">
        <f>+NOMINA!BY349</f>
        <v>0</v>
      </c>
      <c r="AB389" s="1151">
        <f t="shared" si="24"/>
        <v>760</v>
      </c>
      <c r="AD389" s="634"/>
      <c r="AH389" s="1610" t="str">
        <f>NOMINA!P349</f>
        <v>01020373240000440136</v>
      </c>
    </row>
    <row r="390" spans="1:34" s="629" customFormat="1" ht="19.5" customHeight="1" thickBot="1">
      <c r="A390" s="770" t="s">
        <v>2846</v>
      </c>
      <c r="B390" s="771">
        <f t="shared" si="25"/>
        <v>39</v>
      </c>
      <c r="C390" s="1145">
        <f>NOMINA!C350</f>
        <v>12044754</v>
      </c>
      <c r="D390" s="1146" t="str">
        <f>NOMINA!D350</f>
        <v>Briceño Graterol Oscar Antonio</v>
      </c>
      <c r="E390" s="1602" t="s">
        <v>4622</v>
      </c>
      <c r="F390" s="1153">
        <v>32351</v>
      </c>
      <c r="G390" s="1602" t="s">
        <v>4620</v>
      </c>
      <c r="H390" s="1572">
        <f>NOMINA!H350</f>
        <v>43481</v>
      </c>
      <c r="I390" s="1148">
        <f>NOMINA!I348</f>
        <v>5</v>
      </c>
      <c r="J390" s="1149">
        <f>NOMINA!J348</f>
        <v>0</v>
      </c>
      <c r="K390" s="1148">
        <f t="shared" si="23"/>
        <v>5</v>
      </c>
      <c r="L390" s="1149" t="s">
        <v>4932</v>
      </c>
      <c r="M390" s="1149"/>
      <c r="N390" s="1573" t="str">
        <f>NOMINA!O350</f>
        <v>Ayudante de Servicios Generales</v>
      </c>
      <c r="O390" s="1149">
        <v>1.02087691000006E+18</v>
      </c>
      <c r="P390" s="1150">
        <f>ROUND(+NOMINA!T350,2)</f>
        <v>152</v>
      </c>
      <c r="Q390" s="1151">
        <v>0</v>
      </c>
      <c r="R390" s="1151">
        <f>ROUND(+NOMINA!AA350,2)</f>
        <v>9.42</v>
      </c>
      <c r="S390" s="1151">
        <f>ROUND(+NOMINA!AB350,2)</f>
        <v>130</v>
      </c>
      <c r="T390" s="1151">
        <f>ROUND(+NOMINA!AC350,2)</f>
        <v>0</v>
      </c>
      <c r="U390" s="1151">
        <f>ROUND(+NOMINA!AD350,2)</f>
        <v>0</v>
      </c>
      <c r="V390" s="1151">
        <f>ROUND(NOMINA!AQ350,2)</f>
        <v>0</v>
      </c>
      <c r="W390" s="1151">
        <f>+NOMINA!AS350</f>
        <v>0</v>
      </c>
      <c r="X390" s="1151">
        <f>+NOMINA!AT350</f>
        <v>0</v>
      </c>
      <c r="Y390" s="1151">
        <f>+NOMINA!AU350</f>
        <v>291.41999999999996</v>
      </c>
      <c r="Z390" s="1151">
        <f>+NOMINA!BX350</f>
        <v>546.41</v>
      </c>
      <c r="AA390" s="1151">
        <f>+NOMINA!BY350</f>
        <v>0</v>
      </c>
      <c r="AB390" s="1151">
        <f t="shared" si="24"/>
        <v>546.41</v>
      </c>
      <c r="AD390" s="634"/>
      <c r="AH390" s="1610" t="str">
        <f>NOMINA!P350</f>
        <v>01020494190000306652</v>
      </c>
    </row>
    <row r="391" spans="1:34" s="629" customFormat="1" ht="19.5" customHeight="1" thickBot="1">
      <c r="A391" s="770" t="s">
        <v>2846</v>
      </c>
      <c r="B391" s="771">
        <f t="shared" si="25"/>
        <v>40</v>
      </c>
      <c r="C391" s="1145">
        <f>NOMINA!C351</f>
        <v>12046834</v>
      </c>
      <c r="D391" s="1146" t="str">
        <f>NOMINA!D351</f>
        <v>Perez Montilla William Jose</v>
      </c>
      <c r="E391" s="1602" t="s">
        <v>4622</v>
      </c>
      <c r="F391" s="1153">
        <v>32351</v>
      </c>
      <c r="G391" s="1602" t="s">
        <v>4620</v>
      </c>
      <c r="H391" s="1572">
        <f>NOMINA!H351</f>
        <v>43313</v>
      </c>
      <c r="I391" s="1148">
        <f>NOMINA!I349</f>
        <v>16</v>
      </c>
      <c r="J391" s="1149">
        <f>NOMINA!J349</f>
        <v>0</v>
      </c>
      <c r="K391" s="1148">
        <f t="shared" si="23"/>
        <v>16</v>
      </c>
      <c r="L391" s="1149" t="s">
        <v>4932</v>
      </c>
      <c r="M391" s="1149"/>
      <c r="N391" s="1573" t="str">
        <f>NOMINA!O351</f>
        <v>Cocinero</v>
      </c>
      <c r="O391" s="1149">
        <v>1.02087691000006E+18</v>
      </c>
      <c r="P391" s="1150">
        <f>ROUND(+NOMINA!T351,2)</f>
        <v>171</v>
      </c>
      <c r="Q391" s="1151">
        <v>0</v>
      </c>
      <c r="R391" s="1151">
        <f>ROUND(+NOMINA!AA351,2)</f>
        <v>44.46</v>
      </c>
      <c r="S391" s="1151">
        <f>ROUND(+NOMINA!AB351,2)</f>
        <v>130</v>
      </c>
      <c r="T391" s="1151">
        <f>ROUND(+NOMINA!AC351,2)</f>
        <v>12.5</v>
      </c>
      <c r="U391" s="1151">
        <f>ROUND(+NOMINA!AD351,2)</f>
        <v>0</v>
      </c>
      <c r="V391" s="1151">
        <f>ROUND(NOMINA!AQ351,2)</f>
        <v>0</v>
      </c>
      <c r="W391" s="1151">
        <f>+NOMINA!AS351</f>
        <v>0</v>
      </c>
      <c r="X391" s="1151">
        <f>+NOMINA!AT351</f>
        <v>12.5</v>
      </c>
      <c r="Y391" s="1151">
        <f>+NOMINA!AU351</f>
        <v>357.96000000000004</v>
      </c>
      <c r="Z391" s="1151">
        <f>+NOMINA!BX351</f>
        <v>671.18</v>
      </c>
      <c r="AA391" s="1151">
        <f>+NOMINA!BY351</f>
        <v>0</v>
      </c>
      <c r="AB391" s="1151">
        <f t="shared" si="24"/>
        <v>671.18</v>
      </c>
      <c r="AD391" s="634"/>
      <c r="AH391" s="1610" t="str">
        <f>NOMINA!P351</f>
        <v>01020373210000585499</v>
      </c>
    </row>
    <row r="392" spans="1:34" s="629" customFormat="1" ht="19.5" customHeight="1" thickBot="1">
      <c r="A392" s="770" t="s">
        <v>2846</v>
      </c>
      <c r="B392" s="771">
        <f t="shared" si="25"/>
        <v>41</v>
      </c>
      <c r="C392" s="1145">
        <f>NOMINA!C352</f>
        <v>12047016</v>
      </c>
      <c r="D392" s="1146" t="str">
        <f>NOMINA!D352</f>
        <v>Lozada de Estenoz Maria Edicta</v>
      </c>
      <c r="E392" s="1602" t="s">
        <v>4622</v>
      </c>
      <c r="F392" s="1153">
        <v>32351</v>
      </c>
      <c r="G392" s="1602" t="s">
        <v>4620</v>
      </c>
      <c r="H392" s="1572">
        <f>NOMINA!H352</f>
        <v>42948</v>
      </c>
      <c r="I392" s="1148">
        <f>NOMINA!I350</f>
        <v>6</v>
      </c>
      <c r="J392" s="1149">
        <f>NOMINA!J350</f>
        <v>0</v>
      </c>
      <c r="K392" s="1148">
        <f t="shared" si="23"/>
        <v>6</v>
      </c>
      <c r="L392" s="1149" t="s">
        <v>4932</v>
      </c>
      <c r="M392" s="1149"/>
      <c r="N392" s="1573" t="str">
        <f>NOMINA!O352</f>
        <v>Cocinera</v>
      </c>
      <c r="O392" s="1149">
        <v>1.02087691000006E+18</v>
      </c>
      <c r="P392" s="1150">
        <f>ROUND(+NOMINA!T352,2)</f>
        <v>171</v>
      </c>
      <c r="Q392" s="1151">
        <v>0</v>
      </c>
      <c r="R392" s="1151">
        <f>ROUND(+NOMINA!AA352,2)</f>
        <v>12.65</v>
      </c>
      <c r="S392" s="1151">
        <f>ROUND(+NOMINA!AB352,2)</f>
        <v>130</v>
      </c>
      <c r="T392" s="1151">
        <f>ROUND(+NOMINA!AC352,2)</f>
        <v>12.5</v>
      </c>
      <c r="U392" s="1151">
        <f>ROUND(+NOMINA!AD352,2)</f>
        <v>0</v>
      </c>
      <c r="V392" s="1151">
        <f>ROUND(NOMINA!AQ352,2)</f>
        <v>0</v>
      </c>
      <c r="W392" s="1151">
        <f>+NOMINA!AS352</f>
        <v>0</v>
      </c>
      <c r="X392" s="1151">
        <f>+NOMINA!AT352</f>
        <v>0</v>
      </c>
      <c r="Y392" s="1151">
        <f>+NOMINA!AU352</f>
        <v>326.14999999999998</v>
      </c>
      <c r="Z392" s="1151">
        <f>+NOMINA!BX352</f>
        <v>611.53</v>
      </c>
      <c r="AA392" s="1151">
        <f>+NOMINA!BY352</f>
        <v>0</v>
      </c>
      <c r="AB392" s="1151">
        <f t="shared" si="24"/>
        <v>611.53</v>
      </c>
      <c r="AD392" s="634"/>
      <c r="AH392" s="1610" t="str">
        <f>NOMINA!P352</f>
        <v>01020494180000215387</v>
      </c>
    </row>
    <row r="393" spans="1:34" s="629" customFormat="1" ht="19.5" customHeight="1" thickBot="1">
      <c r="A393" s="770" t="s">
        <v>2846</v>
      </c>
      <c r="B393" s="771">
        <f t="shared" si="25"/>
        <v>42</v>
      </c>
      <c r="C393" s="1145">
        <f>NOMINA!C353</f>
        <v>12797543</v>
      </c>
      <c r="D393" s="1146" t="str">
        <f>NOMINA!D353</f>
        <v>Carrizo Blanco Doris Coromoto</v>
      </c>
      <c r="E393" s="1602" t="s">
        <v>4622</v>
      </c>
      <c r="F393" s="1153">
        <v>32351</v>
      </c>
      <c r="G393" s="1602" t="s">
        <v>4620</v>
      </c>
      <c r="H393" s="1572">
        <f>NOMINA!H353</f>
        <v>42948</v>
      </c>
      <c r="I393" s="1148">
        <f>NOMINA!I351</f>
        <v>6</v>
      </c>
      <c r="J393" s="1149">
        <f>NOMINA!J351</f>
        <v>14</v>
      </c>
      <c r="K393" s="1148">
        <f t="shared" si="23"/>
        <v>20</v>
      </c>
      <c r="L393" s="1149" t="s">
        <v>4932</v>
      </c>
      <c r="M393" s="1149"/>
      <c r="N393" s="1573" t="str">
        <f>NOMINA!O353</f>
        <v>Ayudante de Servicios Generales</v>
      </c>
      <c r="O393" s="1149">
        <v>1.02087691000006E+18</v>
      </c>
      <c r="P393" s="1150">
        <f>ROUND(+NOMINA!T353,2)</f>
        <v>152</v>
      </c>
      <c r="Q393" s="1151">
        <v>0</v>
      </c>
      <c r="R393" s="1151">
        <f>ROUND(+NOMINA!AA353,2)</f>
        <v>11.25</v>
      </c>
      <c r="S393" s="1151">
        <f>ROUND(+NOMINA!AB353,2)</f>
        <v>130</v>
      </c>
      <c r="T393" s="1151">
        <f>ROUND(+NOMINA!AC353,2)</f>
        <v>0</v>
      </c>
      <c r="U393" s="1151">
        <f>ROUND(+NOMINA!AD353,2)</f>
        <v>0</v>
      </c>
      <c r="V393" s="1151">
        <f>ROUND(NOMINA!AQ353,2)</f>
        <v>0</v>
      </c>
      <c r="W393" s="1151">
        <f>+NOMINA!AS353</f>
        <v>12.5</v>
      </c>
      <c r="X393" s="1151">
        <f>+NOMINA!AT353</f>
        <v>12.5</v>
      </c>
      <c r="Y393" s="1151">
        <f>+NOMINA!AU353</f>
        <v>293.25</v>
      </c>
      <c r="Z393" s="1151">
        <f>+NOMINA!BX353</f>
        <v>549.85</v>
      </c>
      <c r="AA393" s="1151">
        <f>+NOMINA!BY353</f>
        <v>0</v>
      </c>
      <c r="AB393" s="1151">
        <f t="shared" si="24"/>
        <v>549.85</v>
      </c>
      <c r="AD393" s="634"/>
      <c r="AH393" s="1610" t="str">
        <f>NOMINA!P353</f>
        <v>01020373210000462826</v>
      </c>
    </row>
    <row r="394" spans="1:34" s="629" customFormat="1" ht="19.5" customHeight="1" thickBot="1">
      <c r="A394" s="770" t="s">
        <v>2846</v>
      </c>
      <c r="B394" s="771">
        <f t="shared" si="25"/>
        <v>43</v>
      </c>
      <c r="C394" s="1145">
        <f>NOMINA!C354</f>
        <v>12797598</v>
      </c>
      <c r="D394" s="1146" t="str">
        <f>NOMINA!D354</f>
        <v>Gutierrez Briceño Jose Gabriel</v>
      </c>
      <c r="E394" s="1602" t="s">
        <v>4622</v>
      </c>
      <c r="F394" s="1153">
        <v>32351</v>
      </c>
      <c r="G394" s="1602" t="s">
        <v>4620</v>
      </c>
      <c r="H394" s="1572">
        <f>NOMINA!H354</f>
        <v>44635</v>
      </c>
      <c r="I394" s="1148">
        <f>NOMINA!I352</f>
        <v>7</v>
      </c>
      <c r="J394" s="1149">
        <f>NOMINA!J352</f>
        <v>0</v>
      </c>
      <c r="K394" s="1148">
        <f t="shared" si="23"/>
        <v>7</v>
      </c>
      <c r="L394" s="1149" t="s">
        <v>4932</v>
      </c>
      <c r="M394" s="1149"/>
      <c r="N394" s="1573" t="str">
        <f>NOMINA!O354</f>
        <v>Cocinero</v>
      </c>
      <c r="O394" s="1149">
        <v>1.02087691000006E+18</v>
      </c>
      <c r="P394" s="1150">
        <f>ROUND(+NOMINA!T354,2)</f>
        <v>171</v>
      </c>
      <c r="Q394" s="1151">
        <v>0</v>
      </c>
      <c r="R394" s="1151">
        <f>ROUND(+NOMINA!AA354,2)</f>
        <v>3.42</v>
      </c>
      <c r="S394" s="1151">
        <f>ROUND(+NOMINA!AB354,2)</f>
        <v>130</v>
      </c>
      <c r="T394" s="1151">
        <f>ROUND(+NOMINA!AC354,2)</f>
        <v>12.5</v>
      </c>
      <c r="U394" s="1151">
        <f>ROUND(+NOMINA!AD354,2)</f>
        <v>0</v>
      </c>
      <c r="V394" s="1151">
        <f>ROUND(NOMINA!AQ354,2)</f>
        <v>0</v>
      </c>
      <c r="W394" s="1151">
        <f>+NOMINA!AS354</f>
        <v>0</v>
      </c>
      <c r="X394" s="1151">
        <f>+NOMINA!AT354</f>
        <v>12.5</v>
      </c>
      <c r="Y394" s="1151">
        <f>+NOMINA!AU354</f>
        <v>316.91999999999996</v>
      </c>
      <c r="Z394" s="1151">
        <f>+NOMINA!BX354</f>
        <v>594.23</v>
      </c>
      <c r="AA394" s="1151">
        <f>+NOMINA!BY354</f>
        <v>0</v>
      </c>
      <c r="AB394" s="1151">
        <f t="shared" si="24"/>
        <v>594.23</v>
      </c>
      <c r="AD394" s="634"/>
      <c r="AH394" s="1610" t="str">
        <f>NOMINA!P354</f>
        <v>01020747950000378907</v>
      </c>
    </row>
    <row r="395" spans="1:34" s="629" customFormat="1" ht="19.5" customHeight="1" thickBot="1">
      <c r="A395" s="770" t="s">
        <v>2846</v>
      </c>
      <c r="B395" s="771">
        <f t="shared" si="25"/>
        <v>44</v>
      </c>
      <c r="C395" s="1145">
        <f>NOMINA!C355</f>
        <v>13049800</v>
      </c>
      <c r="D395" s="1146" t="str">
        <f>NOMINA!D355</f>
        <v>Artigas Sanchez Mereldes Corina</v>
      </c>
      <c r="E395" s="1602" t="s">
        <v>4622</v>
      </c>
      <c r="F395" s="1153">
        <v>32351</v>
      </c>
      <c r="G395" s="1602" t="s">
        <v>4620</v>
      </c>
      <c r="H395" s="1572">
        <f>NOMINA!H355</f>
        <v>42171</v>
      </c>
      <c r="I395" s="1148">
        <f>NOMINA!I353</f>
        <v>7</v>
      </c>
      <c r="J395" s="1149">
        <f>NOMINA!J353</f>
        <v>0</v>
      </c>
      <c r="K395" s="1148">
        <f t="shared" si="23"/>
        <v>7</v>
      </c>
      <c r="L395" s="1149" t="s">
        <v>4932</v>
      </c>
      <c r="M395" s="1149"/>
      <c r="N395" s="1573" t="str">
        <f>NOMINA!O355</f>
        <v>Aseadora</v>
      </c>
      <c r="O395" s="1149">
        <v>1.02087691000006E+18</v>
      </c>
      <c r="P395" s="1150">
        <f>ROUND(+NOMINA!T355,2)</f>
        <v>130</v>
      </c>
      <c r="Q395" s="1151">
        <v>0</v>
      </c>
      <c r="R395" s="1151">
        <f>ROUND(+NOMINA!AA355,2)</f>
        <v>12.74</v>
      </c>
      <c r="S395" s="1151">
        <f>ROUND(+NOMINA!AB355,2)</f>
        <v>130</v>
      </c>
      <c r="T395" s="1151">
        <f>ROUND(+NOMINA!AC355,2)</f>
        <v>0</v>
      </c>
      <c r="U395" s="1151">
        <f>ROUND(+NOMINA!AD355,2)</f>
        <v>0</v>
      </c>
      <c r="V395" s="1151">
        <f>ROUND(NOMINA!AQ355,2)</f>
        <v>0</v>
      </c>
      <c r="W395" s="1151">
        <f>+NOMINA!AS355</f>
        <v>0</v>
      </c>
      <c r="X395" s="1151">
        <f>+NOMINA!AT355</f>
        <v>0</v>
      </c>
      <c r="Y395" s="1151">
        <f>+NOMINA!AU355</f>
        <v>272.74</v>
      </c>
      <c r="Z395" s="1151">
        <f>+NOMINA!BX355</f>
        <v>511.39</v>
      </c>
      <c r="AA395" s="1151">
        <f>+NOMINA!BY355</f>
        <v>0</v>
      </c>
      <c r="AB395" s="1151">
        <f t="shared" si="24"/>
        <v>511.39</v>
      </c>
      <c r="AD395" s="634"/>
      <c r="AH395" s="1610" t="str">
        <f>NOMINA!P355</f>
        <v>01020373230000440369</v>
      </c>
    </row>
    <row r="396" spans="1:34" s="629" customFormat="1" ht="19.5" customHeight="1" thickBot="1">
      <c r="A396" s="770" t="s">
        <v>2846</v>
      </c>
      <c r="B396" s="771">
        <f t="shared" si="25"/>
        <v>45</v>
      </c>
      <c r="C396" s="1145">
        <f>NOMINA!C356</f>
        <v>13260758</v>
      </c>
      <c r="D396" s="1146" t="str">
        <f>NOMINA!D356</f>
        <v>Zerpa Silva Frank Michael</v>
      </c>
      <c r="E396" s="1602" t="s">
        <v>4622</v>
      </c>
      <c r="F396" s="1153">
        <v>32351</v>
      </c>
      <c r="G396" s="1602" t="s">
        <v>4620</v>
      </c>
      <c r="H396" s="1572">
        <f>NOMINA!H356</f>
        <v>39118</v>
      </c>
      <c r="I396" s="1148">
        <f>NOMINA!I354</f>
        <v>2</v>
      </c>
      <c r="J396" s="1149">
        <f>NOMINA!J354</f>
        <v>0</v>
      </c>
      <c r="K396" s="1148">
        <f t="shared" si="23"/>
        <v>2</v>
      </c>
      <c r="L396" s="1149" t="s">
        <v>4932</v>
      </c>
      <c r="M396" s="1149"/>
      <c r="N396" s="1573" t="str">
        <f>NOMINA!O356</f>
        <v>Vigilante</v>
      </c>
      <c r="O396" s="1149">
        <v>1.02087691000006E+18</v>
      </c>
      <c r="P396" s="1150">
        <f>ROUND(+NOMINA!T356,2)</f>
        <v>171</v>
      </c>
      <c r="Q396" s="1151">
        <v>0</v>
      </c>
      <c r="R396" s="1151">
        <f>ROUND(+NOMINA!AA356,2)</f>
        <v>36.25</v>
      </c>
      <c r="S396" s="1151">
        <f>ROUND(+NOMINA!AB356,2)</f>
        <v>130</v>
      </c>
      <c r="T396" s="1151">
        <f>ROUND(+NOMINA!AC356,2)</f>
        <v>0</v>
      </c>
      <c r="U396" s="1151">
        <f>ROUND(+NOMINA!AD356,2)</f>
        <v>0</v>
      </c>
      <c r="V396" s="1151">
        <f>ROUND(NOMINA!AQ356,2)</f>
        <v>0</v>
      </c>
      <c r="W396" s="1151">
        <f>+NOMINA!AS356</f>
        <v>0</v>
      </c>
      <c r="X396" s="1151">
        <f>+NOMINA!AT356</f>
        <v>0</v>
      </c>
      <c r="Y396" s="1151">
        <f>+NOMINA!AU356</f>
        <v>438.43</v>
      </c>
      <c r="Z396" s="1151">
        <f>+NOMINA!BX356</f>
        <v>822.06</v>
      </c>
      <c r="AA396" s="1151">
        <f>+NOMINA!BY356</f>
        <v>0</v>
      </c>
      <c r="AB396" s="1151">
        <f t="shared" si="24"/>
        <v>822.06</v>
      </c>
      <c r="AD396" s="634"/>
      <c r="AH396" s="1610" t="str">
        <f>NOMINA!P356</f>
        <v>01020373210000440437</v>
      </c>
    </row>
    <row r="397" spans="1:34" s="629" customFormat="1" ht="19.5" customHeight="1" thickBot="1">
      <c r="A397" s="770" t="s">
        <v>2846</v>
      </c>
      <c r="B397" s="771">
        <f t="shared" si="25"/>
        <v>46</v>
      </c>
      <c r="C397" s="1145">
        <f>NOMINA!C357</f>
        <v>13376729</v>
      </c>
      <c r="D397" s="1146" t="str">
        <f>NOMINA!D357</f>
        <v>Briceño Aldana Yhon Mario</v>
      </c>
      <c r="E397" s="1602" t="s">
        <v>4622</v>
      </c>
      <c r="F397" s="1153">
        <v>32351</v>
      </c>
      <c r="G397" s="1602" t="s">
        <v>4620</v>
      </c>
      <c r="H397" s="1572">
        <f>NOMINA!H357</f>
        <v>42948</v>
      </c>
      <c r="I397" s="1148">
        <f>NOMINA!I355</f>
        <v>9</v>
      </c>
      <c r="J397" s="1149">
        <f>NOMINA!J355</f>
        <v>0</v>
      </c>
      <c r="K397" s="1148">
        <f t="shared" si="23"/>
        <v>9</v>
      </c>
      <c r="L397" s="1149" t="s">
        <v>4932</v>
      </c>
      <c r="M397" s="1149"/>
      <c r="N397" s="1573" t="str">
        <f>NOMINA!O357</f>
        <v>Vigilante</v>
      </c>
      <c r="O397" s="1149">
        <v>1.02087691000006E+18</v>
      </c>
      <c r="P397" s="1150">
        <f>ROUND(+NOMINA!T357,2)</f>
        <v>171</v>
      </c>
      <c r="Q397" s="1151">
        <v>0</v>
      </c>
      <c r="R397" s="1151">
        <f>ROUND(+NOMINA!AA357,2)</f>
        <v>12.65</v>
      </c>
      <c r="S397" s="1151">
        <f>ROUND(+NOMINA!AB357,2)</f>
        <v>130</v>
      </c>
      <c r="T397" s="1151">
        <f>ROUND(+NOMINA!AC357,2)</f>
        <v>12.5</v>
      </c>
      <c r="U397" s="1151">
        <f>ROUND(+NOMINA!AD357,2)</f>
        <v>0</v>
      </c>
      <c r="V397" s="1151">
        <f>ROUND(NOMINA!AQ357,2)</f>
        <v>0</v>
      </c>
      <c r="W397" s="1151">
        <f>+NOMINA!AS357</f>
        <v>0</v>
      </c>
      <c r="X397" s="1151">
        <f>+NOMINA!AT357</f>
        <v>0</v>
      </c>
      <c r="Y397" s="1151">
        <f>+NOMINA!AU357</f>
        <v>424</v>
      </c>
      <c r="Z397" s="1151">
        <f>+NOMINA!BX357</f>
        <v>795</v>
      </c>
      <c r="AA397" s="1151">
        <f>+NOMINA!BY357</f>
        <v>0</v>
      </c>
      <c r="AB397" s="1151">
        <f t="shared" si="24"/>
        <v>795</v>
      </c>
      <c r="AD397" s="634"/>
      <c r="AH397" s="1610" t="str">
        <f>NOMINA!P357</f>
        <v>01020369430000456395</v>
      </c>
    </row>
    <row r="398" spans="1:34" s="629" customFormat="1" ht="19.5" customHeight="1" thickBot="1">
      <c r="A398" s="770" t="s">
        <v>2846</v>
      </c>
      <c r="B398" s="771">
        <f t="shared" si="25"/>
        <v>47</v>
      </c>
      <c r="C398" s="1145">
        <f>NOMINA!C358</f>
        <v>13404824</v>
      </c>
      <c r="D398" s="1146" t="str">
        <f>NOMINA!D358</f>
        <v>Malpica Rivas Julio Enrique</v>
      </c>
      <c r="E398" s="1602" t="s">
        <v>4622</v>
      </c>
      <c r="F398" s="1153">
        <v>32351</v>
      </c>
      <c r="G398" s="1602" t="s">
        <v>4620</v>
      </c>
      <c r="H398" s="1572">
        <f>NOMINA!H358</f>
        <v>45474</v>
      </c>
      <c r="I398" s="1148">
        <f>NOMINA!I356</f>
        <v>17</v>
      </c>
      <c r="J398" s="1149">
        <f>NOMINA!J356</f>
        <v>0</v>
      </c>
      <c r="K398" s="1148">
        <f t="shared" si="23"/>
        <v>17</v>
      </c>
      <c r="L398" s="1149" t="s">
        <v>4932</v>
      </c>
      <c r="M398" s="1149"/>
      <c r="N398" s="1573" t="str">
        <f>NOMINA!O358</f>
        <v>Ayudante de Servicios Generales</v>
      </c>
      <c r="O398" s="1149">
        <v>1.02087691000006E+18</v>
      </c>
      <c r="P398" s="1150">
        <f>ROUND(+NOMINA!T358,2)</f>
        <v>152</v>
      </c>
      <c r="Q398" s="1151">
        <v>0</v>
      </c>
      <c r="R398" s="1151">
        <f>ROUND(+NOMINA!AA358,2)</f>
        <v>0</v>
      </c>
      <c r="S398" s="1151">
        <f>ROUND(+NOMINA!AB358,2)</f>
        <v>130</v>
      </c>
      <c r="T398" s="1151">
        <f>ROUND(+NOMINA!AC358,2)</f>
        <v>0</v>
      </c>
      <c r="U398" s="1151">
        <f>ROUND(+NOMINA!AD358,2)</f>
        <v>0</v>
      </c>
      <c r="V398" s="1151">
        <f>ROUND(NOMINA!AQ358,2)</f>
        <v>0</v>
      </c>
      <c r="W398" s="1151">
        <f>+NOMINA!AS358</f>
        <v>0</v>
      </c>
      <c r="X398" s="1151">
        <f>+NOMINA!AT358</f>
        <v>0</v>
      </c>
      <c r="Y398" s="1151">
        <f>+NOMINA!AU358</f>
        <v>282</v>
      </c>
      <c r="Z398" s="1151">
        <f>+NOMINA!BX358</f>
        <v>220.31</v>
      </c>
      <c r="AA398" s="1151">
        <f>+NOMINA!BY358</f>
        <v>0</v>
      </c>
      <c r="AB398" s="1151">
        <f t="shared" si="24"/>
        <v>220.31</v>
      </c>
      <c r="AD398" s="634"/>
      <c r="AH398" s="1610" t="str">
        <f>NOMINA!P358</f>
        <v>01020747950000526652</v>
      </c>
    </row>
    <row r="399" spans="1:34" s="629" customFormat="1" ht="19.5" customHeight="1" thickBot="1">
      <c r="A399" s="770" t="s">
        <v>2846</v>
      </c>
      <c r="B399" s="771">
        <f t="shared" si="25"/>
        <v>48</v>
      </c>
      <c r="C399" s="1145">
        <f>NOMINA!C359</f>
        <v>13522771</v>
      </c>
      <c r="D399" s="1146" t="str">
        <f>NOMINA!D359</f>
        <v>Briceño Leal Ana Edelmira</v>
      </c>
      <c r="E399" s="1602" t="s">
        <v>4622</v>
      </c>
      <c r="F399" s="1153">
        <v>32351</v>
      </c>
      <c r="G399" s="1602" t="s">
        <v>4620</v>
      </c>
      <c r="H399" s="1572">
        <f>NOMINA!H359</f>
        <v>44228</v>
      </c>
      <c r="I399" s="1148">
        <f>NOMINA!I357</f>
        <v>7</v>
      </c>
      <c r="J399" s="1149">
        <f>NOMINA!J357</f>
        <v>0</v>
      </c>
      <c r="K399" s="1148">
        <f t="shared" si="23"/>
        <v>7</v>
      </c>
      <c r="L399" s="1149" t="s">
        <v>4932</v>
      </c>
      <c r="M399" s="1149"/>
      <c r="N399" s="1573" t="str">
        <f>NOMINA!O359</f>
        <v>Aseadora</v>
      </c>
      <c r="O399" s="1149">
        <v>1.02087691000006E+18</v>
      </c>
      <c r="P399" s="1150">
        <f>ROUND(+NOMINA!T359,2)</f>
        <v>130</v>
      </c>
      <c r="Q399" s="1151">
        <v>0</v>
      </c>
      <c r="R399" s="1151">
        <f>ROUND(+NOMINA!AA359,2)</f>
        <v>3.9</v>
      </c>
      <c r="S399" s="1151">
        <f>ROUND(+NOMINA!AB359,2)</f>
        <v>130</v>
      </c>
      <c r="T399" s="1151">
        <f>ROUND(+NOMINA!AC359,2)</f>
        <v>12.5</v>
      </c>
      <c r="U399" s="1151">
        <f>ROUND(+NOMINA!AD359,2)</f>
        <v>0</v>
      </c>
      <c r="V399" s="1151">
        <f>ROUND(NOMINA!AQ359,2)</f>
        <v>0</v>
      </c>
      <c r="W399" s="1151">
        <f>+NOMINA!AS359</f>
        <v>0</v>
      </c>
      <c r="X399" s="1151">
        <f>+NOMINA!AT359</f>
        <v>0</v>
      </c>
      <c r="Y399" s="1151">
        <f>+NOMINA!AU359</f>
        <v>276.39999999999998</v>
      </c>
      <c r="Z399" s="1151">
        <f>+NOMINA!BX359</f>
        <v>518.25</v>
      </c>
      <c r="AA399" s="1151">
        <f>+NOMINA!BY359</f>
        <v>0</v>
      </c>
      <c r="AB399" s="1151">
        <f t="shared" si="24"/>
        <v>518.25</v>
      </c>
      <c r="AD399" s="634"/>
      <c r="AH399" s="1610" t="str">
        <f>NOMINA!P359</f>
        <v>01020373290000704542</v>
      </c>
    </row>
    <row r="400" spans="1:34" s="629" customFormat="1" ht="19.5" customHeight="1" thickBot="1">
      <c r="A400" s="770" t="s">
        <v>2846</v>
      </c>
      <c r="B400" s="771">
        <f t="shared" si="25"/>
        <v>49</v>
      </c>
      <c r="C400" s="1145">
        <f>NOMINA!C360</f>
        <v>13745328</v>
      </c>
      <c r="D400" s="1146" t="str">
        <f>NOMINA!D360</f>
        <v>Arroyo Williams Jose</v>
      </c>
      <c r="E400" s="1602" t="s">
        <v>4622</v>
      </c>
      <c r="F400" s="1153">
        <v>32351</v>
      </c>
      <c r="G400" s="1602" t="s">
        <v>4620</v>
      </c>
      <c r="H400" s="1572">
        <f>NOMINA!H360</f>
        <v>44805</v>
      </c>
      <c r="I400" s="1148">
        <f>NOMINA!I358</f>
        <v>0</v>
      </c>
      <c r="J400" s="1149">
        <f>NOMINA!J358</f>
        <v>0</v>
      </c>
      <c r="K400" s="1148">
        <f t="shared" si="23"/>
        <v>0</v>
      </c>
      <c r="L400" s="1149" t="s">
        <v>4932</v>
      </c>
      <c r="M400" s="1149"/>
      <c r="N400" s="1573" t="str">
        <f>NOMINA!O360</f>
        <v>Ayudante de Servicios Generales</v>
      </c>
      <c r="O400" s="1149">
        <v>1.02087691000006E+18</v>
      </c>
      <c r="P400" s="1150">
        <f>ROUND(+NOMINA!T360,2)</f>
        <v>152</v>
      </c>
      <c r="Q400" s="1151">
        <v>0</v>
      </c>
      <c r="R400" s="1151">
        <f>ROUND(+NOMINA!AA360,2)</f>
        <v>3.04</v>
      </c>
      <c r="S400" s="1151">
        <f>ROUND(+NOMINA!AB360,2)</f>
        <v>130</v>
      </c>
      <c r="T400" s="1151">
        <f>ROUND(+NOMINA!AC360,2)</f>
        <v>12.5</v>
      </c>
      <c r="U400" s="1151">
        <f>ROUND(+NOMINA!AD360,2)</f>
        <v>0</v>
      </c>
      <c r="V400" s="1151">
        <f>ROUND(NOMINA!AQ360,2)</f>
        <v>0</v>
      </c>
      <c r="W400" s="1151">
        <f>+NOMINA!AS360</f>
        <v>0</v>
      </c>
      <c r="X400" s="1151">
        <f>+NOMINA!AT360</f>
        <v>0</v>
      </c>
      <c r="Y400" s="1151">
        <f>+NOMINA!AU360</f>
        <v>386.79999999999995</v>
      </c>
      <c r="Z400" s="1151">
        <f>+NOMINA!BX360</f>
        <v>725.25</v>
      </c>
      <c r="AA400" s="1151">
        <f>+NOMINA!BY360</f>
        <v>0</v>
      </c>
      <c r="AB400" s="1151">
        <f t="shared" si="24"/>
        <v>725.25</v>
      </c>
      <c r="AD400" s="634"/>
      <c r="AH400" s="1610" t="str">
        <f>NOMINA!P360</f>
        <v>01020589150000132185</v>
      </c>
    </row>
    <row r="401" spans="1:34" s="629" customFormat="1" ht="19.5" customHeight="1" thickBot="1">
      <c r="A401" s="770" t="s">
        <v>2846</v>
      </c>
      <c r="B401" s="771">
        <f t="shared" si="25"/>
        <v>50</v>
      </c>
      <c r="C401" s="1145">
        <f>NOMINA!C361</f>
        <v>13996661</v>
      </c>
      <c r="D401" s="1146" t="str">
        <f>NOMINA!D361</f>
        <v>Perez Montilla Yosmer Alexander</v>
      </c>
      <c r="E401" s="1602" t="s">
        <v>4622</v>
      </c>
      <c r="F401" s="1153">
        <v>32351</v>
      </c>
      <c r="G401" s="1602" t="s">
        <v>4620</v>
      </c>
      <c r="H401" s="1572">
        <f>NOMINA!H361</f>
        <v>44743</v>
      </c>
      <c r="I401" s="1148">
        <f>NOMINA!I359</f>
        <v>3</v>
      </c>
      <c r="J401" s="1149">
        <f>NOMINA!J359</f>
        <v>0</v>
      </c>
      <c r="K401" s="1148">
        <f t="shared" si="23"/>
        <v>3</v>
      </c>
      <c r="L401" s="1149" t="s">
        <v>4932</v>
      </c>
      <c r="M401" s="1149"/>
      <c r="N401" s="1573" t="str">
        <f>NOMINA!O361</f>
        <v>Chofer</v>
      </c>
      <c r="O401" s="1149">
        <v>1.02087691000006E+18</v>
      </c>
      <c r="P401" s="1150">
        <f>ROUND(+NOMINA!T361,2)</f>
        <v>161</v>
      </c>
      <c r="Q401" s="1151">
        <v>0</v>
      </c>
      <c r="R401" s="1151">
        <f>ROUND(+NOMINA!AA361,2)</f>
        <v>3.22</v>
      </c>
      <c r="S401" s="1151">
        <f>ROUND(+NOMINA!AB361,2)</f>
        <v>130</v>
      </c>
      <c r="T401" s="1151">
        <f>ROUND(+NOMINA!AC361,2)</f>
        <v>12.5</v>
      </c>
      <c r="U401" s="1151">
        <f>ROUND(+NOMINA!AD361,2)</f>
        <v>0</v>
      </c>
      <c r="V401" s="1151">
        <f>ROUND(NOMINA!AQ361,2)</f>
        <v>0</v>
      </c>
      <c r="W401" s="1151">
        <f>+NOMINA!AS361</f>
        <v>0</v>
      </c>
      <c r="X401" s="1151">
        <f>+NOMINA!AT361</f>
        <v>12.5</v>
      </c>
      <c r="Y401" s="1151">
        <f>+NOMINA!AU361</f>
        <v>398.74</v>
      </c>
      <c r="Z401" s="1151">
        <f>+NOMINA!BX361</f>
        <v>747.64</v>
      </c>
      <c r="AA401" s="1151">
        <f>+NOMINA!BY361</f>
        <v>0</v>
      </c>
      <c r="AB401" s="1151">
        <f t="shared" si="24"/>
        <v>747.64</v>
      </c>
      <c r="AD401" s="634"/>
      <c r="AH401" s="1610" t="str">
        <f>NOMINA!P361</f>
        <v>01020747910000502511</v>
      </c>
    </row>
    <row r="402" spans="1:34" s="629" customFormat="1" ht="19.5" customHeight="1" thickBot="1">
      <c r="A402" s="770" t="s">
        <v>2846</v>
      </c>
      <c r="B402" s="771">
        <f t="shared" si="25"/>
        <v>51</v>
      </c>
      <c r="C402" s="1145">
        <f>NOMINA!C362</f>
        <v>13996885</v>
      </c>
      <c r="D402" s="1146" t="str">
        <f>NOMINA!D362</f>
        <v>Pulido Rojo Wilmer Jose</v>
      </c>
      <c r="E402" s="1602" t="s">
        <v>4622</v>
      </c>
      <c r="F402" s="1153">
        <v>32351</v>
      </c>
      <c r="G402" s="1602" t="s">
        <v>4620</v>
      </c>
      <c r="H402" s="1572">
        <f>NOMINA!H362</f>
        <v>44363</v>
      </c>
      <c r="I402" s="1148">
        <f>NOMINA!I360</f>
        <v>2</v>
      </c>
      <c r="J402" s="1149">
        <f>NOMINA!J360</f>
        <v>0</v>
      </c>
      <c r="K402" s="1148">
        <f t="shared" si="23"/>
        <v>2</v>
      </c>
      <c r="L402" s="1149" t="s">
        <v>4932</v>
      </c>
      <c r="M402" s="1149"/>
      <c r="N402" s="1573" t="str">
        <f>NOMINA!O362</f>
        <v>Chofer</v>
      </c>
      <c r="O402" s="1149">
        <v>1.02087691000006E+18</v>
      </c>
      <c r="P402" s="1150">
        <f>ROUND(+NOMINA!T362,2)</f>
        <v>161</v>
      </c>
      <c r="Q402" s="1151">
        <v>0</v>
      </c>
      <c r="R402" s="1151">
        <f>ROUND(+NOMINA!AA362,2)</f>
        <v>4.83</v>
      </c>
      <c r="S402" s="1151">
        <f>ROUND(+NOMINA!AB362,2)</f>
        <v>130</v>
      </c>
      <c r="T402" s="1151">
        <f>ROUND(+NOMINA!AC362,2)</f>
        <v>0</v>
      </c>
      <c r="U402" s="1151">
        <f>ROUND(+NOMINA!AD362,2)</f>
        <v>0</v>
      </c>
      <c r="V402" s="1151">
        <f>ROUND(NOMINA!AQ362,2)</f>
        <v>0</v>
      </c>
      <c r="W402" s="1151">
        <f>+NOMINA!AS362</f>
        <v>0</v>
      </c>
      <c r="X402" s="1151">
        <f>+NOMINA!AT362</f>
        <v>0</v>
      </c>
      <c r="Y402" s="1151">
        <f>+NOMINA!AU362</f>
        <v>384.58000000000004</v>
      </c>
      <c r="Z402" s="1151">
        <f>+NOMINA!BX362</f>
        <v>721.09</v>
      </c>
      <c r="AA402" s="1151">
        <f>+NOMINA!BY362</f>
        <v>0</v>
      </c>
      <c r="AB402" s="1151">
        <f t="shared" si="24"/>
        <v>721.09</v>
      </c>
      <c r="AD402" s="634"/>
      <c r="AH402" s="1610" t="str">
        <f>NOMINA!P362</f>
        <v>01020103970000402006</v>
      </c>
    </row>
    <row r="403" spans="1:34" s="629" customFormat="1" ht="19.5" customHeight="1" thickBot="1">
      <c r="A403" s="770" t="s">
        <v>2846</v>
      </c>
      <c r="B403" s="771">
        <f t="shared" si="25"/>
        <v>52</v>
      </c>
      <c r="C403" s="1145">
        <f>NOMINA!C363</f>
        <v>14149971</v>
      </c>
      <c r="D403" s="1146" t="str">
        <f>NOMINA!D363</f>
        <v>Rivera Virginia del Carmen</v>
      </c>
      <c r="E403" s="1602" t="s">
        <v>4622</v>
      </c>
      <c r="F403" s="1153">
        <v>32351</v>
      </c>
      <c r="G403" s="1602" t="s">
        <v>4620</v>
      </c>
      <c r="H403" s="1572">
        <f>NOMINA!H363</f>
        <v>41091</v>
      </c>
      <c r="I403" s="1148">
        <f>NOMINA!I361</f>
        <v>2</v>
      </c>
      <c r="J403" s="1149">
        <f>NOMINA!J361</f>
        <v>0</v>
      </c>
      <c r="K403" s="1148">
        <f t="shared" si="23"/>
        <v>2</v>
      </c>
      <c r="L403" s="1149" t="s">
        <v>4932</v>
      </c>
      <c r="M403" s="1149"/>
      <c r="N403" s="1573" t="str">
        <f>NOMINA!O363</f>
        <v>Aseadora</v>
      </c>
      <c r="O403" s="1149">
        <v>1.02087691000006E+18</v>
      </c>
      <c r="P403" s="1150">
        <f>ROUND(+NOMINA!T363,2)</f>
        <v>130</v>
      </c>
      <c r="Q403" s="1151">
        <v>0</v>
      </c>
      <c r="R403" s="1151">
        <f>ROUND(+NOMINA!AA363,2)</f>
        <v>17.940000000000001</v>
      </c>
      <c r="S403" s="1151">
        <f>ROUND(+NOMINA!AB363,2)</f>
        <v>130</v>
      </c>
      <c r="T403" s="1151">
        <f>ROUND(+NOMINA!AC363,2)</f>
        <v>12.5</v>
      </c>
      <c r="U403" s="1151">
        <f>ROUND(+NOMINA!AD363,2)</f>
        <v>0</v>
      </c>
      <c r="V403" s="1151">
        <f>ROUND(NOMINA!AQ363,2)</f>
        <v>0</v>
      </c>
      <c r="W403" s="1151">
        <f>+NOMINA!AS363</f>
        <v>0</v>
      </c>
      <c r="X403" s="1151">
        <f>+NOMINA!AT363</f>
        <v>0</v>
      </c>
      <c r="Y403" s="1151">
        <f>+NOMINA!AU363</f>
        <v>290.44</v>
      </c>
      <c r="Z403" s="1151">
        <f>+NOMINA!BX363</f>
        <v>544.58000000000004</v>
      </c>
      <c r="AA403" s="1151">
        <f>+NOMINA!BY363</f>
        <v>0</v>
      </c>
      <c r="AB403" s="1151">
        <f t="shared" si="24"/>
        <v>544.58000000000004</v>
      </c>
      <c r="AD403" s="634"/>
      <c r="AH403" s="1610" t="str">
        <f>NOMINA!P363</f>
        <v>01020373220000439862</v>
      </c>
    </row>
    <row r="404" spans="1:34" s="629" customFormat="1" ht="19.5" customHeight="1" thickBot="1">
      <c r="A404" s="770" t="s">
        <v>2846</v>
      </c>
      <c r="B404" s="771">
        <f t="shared" si="25"/>
        <v>53</v>
      </c>
      <c r="C404" s="1145">
        <f>NOMINA!C364</f>
        <v>14150495</v>
      </c>
      <c r="D404" s="1146" t="str">
        <f>NOMINA!D364</f>
        <v>Umbria de Segovia Alexandra del Carmen</v>
      </c>
      <c r="E404" s="1602" t="s">
        <v>4622</v>
      </c>
      <c r="F404" s="1153">
        <v>32351</v>
      </c>
      <c r="G404" s="1602" t="s">
        <v>4620</v>
      </c>
      <c r="H404" s="1572">
        <f>NOMINA!H364</f>
        <v>44228</v>
      </c>
      <c r="I404" s="1148">
        <f>NOMINA!I362</f>
        <v>3</v>
      </c>
      <c r="J404" s="1149">
        <f>NOMINA!J362</f>
        <v>0</v>
      </c>
      <c r="K404" s="1148">
        <f t="shared" si="23"/>
        <v>3</v>
      </c>
      <c r="L404" s="1149" t="s">
        <v>4932</v>
      </c>
      <c r="M404" s="1149"/>
      <c r="N404" s="1573" t="str">
        <f>NOMINA!O364</f>
        <v>Ayudante de Almacen</v>
      </c>
      <c r="O404" s="1149">
        <v>1.02087691000006E+18</v>
      </c>
      <c r="P404" s="1150">
        <f>ROUND(+NOMINA!T364,2)</f>
        <v>171</v>
      </c>
      <c r="Q404" s="1151">
        <v>0</v>
      </c>
      <c r="R404" s="1151">
        <f>ROUND(+NOMINA!AA364,2)</f>
        <v>5.13</v>
      </c>
      <c r="S404" s="1151">
        <f>ROUND(+NOMINA!AB364,2)</f>
        <v>130</v>
      </c>
      <c r="T404" s="1151">
        <f>ROUND(+NOMINA!AC364,2)</f>
        <v>0</v>
      </c>
      <c r="U404" s="1151">
        <f>ROUND(+NOMINA!AD364,2)</f>
        <v>0</v>
      </c>
      <c r="V404" s="1151">
        <f>ROUND(NOMINA!AQ364,2)</f>
        <v>0</v>
      </c>
      <c r="W404" s="1151">
        <f>+NOMINA!AS364</f>
        <v>0</v>
      </c>
      <c r="X404" s="1151">
        <f>+NOMINA!AT364</f>
        <v>0</v>
      </c>
      <c r="Y404" s="1151">
        <f>+NOMINA!AU364</f>
        <v>306.13</v>
      </c>
      <c r="Z404" s="1151">
        <f>+NOMINA!BX364</f>
        <v>574</v>
      </c>
      <c r="AA404" s="1151">
        <f>+NOMINA!BY364</f>
        <v>0</v>
      </c>
      <c r="AB404" s="1151">
        <f t="shared" si="24"/>
        <v>574</v>
      </c>
      <c r="AD404" s="634"/>
      <c r="AH404" s="1610" t="str">
        <f>NOMINA!P364</f>
        <v>01020493340100014013</v>
      </c>
    </row>
    <row r="405" spans="1:34" s="629" customFormat="1" ht="19.5" customHeight="1" thickBot="1">
      <c r="A405" s="770" t="s">
        <v>2846</v>
      </c>
      <c r="B405" s="771">
        <f t="shared" si="25"/>
        <v>54</v>
      </c>
      <c r="C405" s="1145">
        <f>NOMINA!C365</f>
        <v>14599616</v>
      </c>
      <c r="D405" s="1146" t="str">
        <f>NOMINA!D365</f>
        <v>Andara Briceño Jean Carlos</v>
      </c>
      <c r="E405" s="1602" t="s">
        <v>4622</v>
      </c>
      <c r="F405" s="1153">
        <v>32351</v>
      </c>
      <c r="G405" s="1602" t="s">
        <v>4620</v>
      </c>
      <c r="H405" s="1572">
        <f>NOMINA!H365</f>
        <v>43525</v>
      </c>
      <c r="I405" s="1148">
        <f>NOMINA!I363</f>
        <v>12</v>
      </c>
      <c r="J405" s="1149">
        <f>NOMINA!J363</f>
        <v>0</v>
      </c>
      <c r="K405" s="1148">
        <f t="shared" si="23"/>
        <v>12</v>
      </c>
      <c r="L405" s="1149" t="s">
        <v>4932</v>
      </c>
      <c r="M405" s="1149"/>
      <c r="N405" s="1573" t="str">
        <f>NOMINA!O365</f>
        <v>Aseador</v>
      </c>
      <c r="O405" s="1149">
        <v>1.02087691000006E+18</v>
      </c>
      <c r="P405" s="1150">
        <f>ROUND(+NOMINA!T365,2)</f>
        <v>130</v>
      </c>
      <c r="Q405" s="1151">
        <v>0</v>
      </c>
      <c r="R405" s="1151">
        <f>ROUND(+NOMINA!AA365,2)</f>
        <v>6.5</v>
      </c>
      <c r="S405" s="1151">
        <f>ROUND(+NOMINA!AB365,2)</f>
        <v>130</v>
      </c>
      <c r="T405" s="1151">
        <f>ROUND(+NOMINA!AC365,2)</f>
        <v>0</v>
      </c>
      <c r="U405" s="1151">
        <f>ROUND(+NOMINA!AD365,2)</f>
        <v>0</v>
      </c>
      <c r="V405" s="1151">
        <f>ROUND(NOMINA!AQ365,2)</f>
        <v>0</v>
      </c>
      <c r="W405" s="1151">
        <f>+NOMINA!AS365</f>
        <v>0</v>
      </c>
      <c r="X405" s="1151">
        <f>+NOMINA!AT365</f>
        <v>0</v>
      </c>
      <c r="Y405" s="1151">
        <f>+NOMINA!AU365</f>
        <v>266.5</v>
      </c>
      <c r="Z405" s="1151">
        <f>+NOMINA!BX365</f>
        <v>499.69</v>
      </c>
      <c r="AA405" s="1151">
        <f>+NOMINA!BY365</f>
        <v>0</v>
      </c>
      <c r="AB405" s="1151">
        <f t="shared" si="24"/>
        <v>499.69</v>
      </c>
      <c r="AD405" s="634"/>
      <c r="AH405" s="1610" t="str">
        <f>NOMINA!P365</f>
        <v>01020373220000626633</v>
      </c>
    </row>
    <row r="406" spans="1:34" s="629" customFormat="1" ht="19.5" customHeight="1" thickBot="1">
      <c r="A406" s="770" t="s">
        <v>2846</v>
      </c>
      <c r="B406" s="771">
        <f t="shared" si="25"/>
        <v>55</v>
      </c>
      <c r="C406" s="1145">
        <f>NOMINA!C366</f>
        <v>14718369</v>
      </c>
      <c r="D406" s="1146" t="str">
        <f>NOMINA!D366</f>
        <v>Pacheco Yudith Del Valle</v>
      </c>
      <c r="E406" s="1602" t="s">
        <v>4622</v>
      </c>
      <c r="F406" s="1153">
        <v>32351</v>
      </c>
      <c r="G406" s="1602" t="s">
        <v>4620</v>
      </c>
      <c r="H406" s="1572">
        <f>NOMINA!H366</f>
        <v>43147</v>
      </c>
      <c r="I406" s="1148">
        <f>NOMINA!I364</f>
        <v>3</v>
      </c>
      <c r="J406" s="1149">
        <f>NOMINA!J364</f>
        <v>0</v>
      </c>
      <c r="K406" s="1148">
        <f t="shared" si="23"/>
        <v>3</v>
      </c>
      <c r="L406" s="1149" t="s">
        <v>4932</v>
      </c>
      <c r="M406" s="1149"/>
      <c r="N406" s="1573" t="str">
        <f>NOMINA!O366</f>
        <v>Aseadora</v>
      </c>
      <c r="O406" s="1149">
        <v>1.02087691000006E+18</v>
      </c>
      <c r="P406" s="1150">
        <f>ROUND(+NOMINA!T366,2)</f>
        <v>130</v>
      </c>
      <c r="Q406" s="1151">
        <v>0</v>
      </c>
      <c r="R406" s="1151">
        <f>ROUND(+NOMINA!AA366,2)</f>
        <v>8.06</v>
      </c>
      <c r="S406" s="1151">
        <f>ROUND(+NOMINA!AB366,2)</f>
        <v>130</v>
      </c>
      <c r="T406" s="1151">
        <f>ROUND(+NOMINA!AC366,2)</f>
        <v>0</v>
      </c>
      <c r="U406" s="1151">
        <f>ROUND(+NOMINA!AD366,2)</f>
        <v>0</v>
      </c>
      <c r="V406" s="1151">
        <f>ROUND(NOMINA!AQ366,2)</f>
        <v>0</v>
      </c>
      <c r="W406" s="1151">
        <f>+NOMINA!AS366</f>
        <v>0</v>
      </c>
      <c r="X406" s="1151">
        <f>+NOMINA!AT366</f>
        <v>0</v>
      </c>
      <c r="Y406" s="1151">
        <f>+NOMINA!AU366</f>
        <v>268.06</v>
      </c>
      <c r="Z406" s="1151">
        <f>+NOMINA!BX366</f>
        <v>502.61</v>
      </c>
      <c r="AA406" s="1151">
        <f>+NOMINA!BY366</f>
        <v>0</v>
      </c>
      <c r="AB406" s="1151">
        <f t="shared" si="24"/>
        <v>502.61</v>
      </c>
      <c r="AD406" s="634"/>
      <c r="AH406" s="1610" t="str">
        <f>NOMINA!P366</f>
        <v>01020494160100025880</v>
      </c>
    </row>
    <row r="407" spans="1:34" s="629" customFormat="1" ht="19.5" customHeight="1" thickBot="1">
      <c r="A407" s="770" t="s">
        <v>2846</v>
      </c>
      <c r="B407" s="771">
        <f t="shared" si="25"/>
        <v>56</v>
      </c>
      <c r="C407" s="1145">
        <f>NOMINA!C367</f>
        <v>14718468</v>
      </c>
      <c r="D407" s="1146" t="str">
        <f>NOMINA!D367</f>
        <v>Frias Aldana Yhonny Ramon</v>
      </c>
      <c r="E407" s="1602" t="s">
        <v>4622</v>
      </c>
      <c r="F407" s="1153">
        <v>32351</v>
      </c>
      <c r="G407" s="1602" t="s">
        <v>4620</v>
      </c>
      <c r="H407" s="1572">
        <f>NOMINA!H367</f>
        <v>42948</v>
      </c>
      <c r="I407" s="1148">
        <f>NOMINA!I365</f>
        <v>5</v>
      </c>
      <c r="J407" s="1149">
        <f>NOMINA!J365</f>
        <v>0</v>
      </c>
      <c r="K407" s="1148">
        <f t="shared" si="23"/>
        <v>5</v>
      </c>
      <c r="L407" s="1149" t="s">
        <v>4932</v>
      </c>
      <c r="M407" s="1149"/>
      <c r="N407" s="1573" t="str">
        <f>NOMINA!O367</f>
        <v>Ayudante De Almacen</v>
      </c>
      <c r="O407" s="1149">
        <v>1.02087691000006E+18</v>
      </c>
      <c r="P407" s="1150">
        <f>ROUND(+NOMINA!T367,2)</f>
        <v>171</v>
      </c>
      <c r="Q407" s="1151">
        <v>0</v>
      </c>
      <c r="R407" s="1151">
        <f>ROUND(+NOMINA!AA367,2)</f>
        <v>12.65</v>
      </c>
      <c r="S407" s="1151">
        <f>ROUND(+NOMINA!AB367,2)</f>
        <v>130</v>
      </c>
      <c r="T407" s="1151">
        <f>ROUND(+NOMINA!AC367,2)</f>
        <v>12.5</v>
      </c>
      <c r="U407" s="1151">
        <f>ROUND(+NOMINA!AD367,2)</f>
        <v>0</v>
      </c>
      <c r="V407" s="1151">
        <f>ROUND(NOMINA!AQ367,2)</f>
        <v>0</v>
      </c>
      <c r="W407" s="1151">
        <f>+NOMINA!AS367</f>
        <v>0</v>
      </c>
      <c r="X407" s="1151">
        <f>+NOMINA!AT367</f>
        <v>12.5</v>
      </c>
      <c r="Y407" s="1151">
        <f>+NOMINA!AU367</f>
        <v>326.14999999999998</v>
      </c>
      <c r="Z407" s="1151">
        <f>+NOMINA!BX367</f>
        <v>611.53</v>
      </c>
      <c r="AA407" s="1151">
        <f>+NOMINA!BY367</f>
        <v>0</v>
      </c>
      <c r="AB407" s="1151">
        <f t="shared" si="24"/>
        <v>611.53</v>
      </c>
      <c r="AD407" s="634"/>
      <c r="AH407" s="1610" t="str">
        <f>NOMINA!P367</f>
        <v>01020373210000457747</v>
      </c>
    </row>
    <row r="408" spans="1:34" s="629" customFormat="1" ht="19.5" customHeight="1" thickBot="1">
      <c r="A408" s="770" t="s">
        <v>2846</v>
      </c>
      <c r="B408" s="771">
        <f t="shared" si="25"/>
        <v>57</v>
      </c>
      <c r="C408" s="1145">
        <f>NOMINA!C368</f>
        <v>14719205</v>
      </c>
      <c r="D408" s="1146" t="str">
        <f>NOMINA!D368</f>
        <v>Chinchilla Perez Jean Carlos</v>
      </c>
      <c r="E408" s="1602" t="s">
        <v>4622</v>
      </c>
      <c r="F408" s="1153">
        <v>32351</v>
      </c>
      <c r="G408" s="1602" t="s">
        <v>4620</v>
      </c>
      <c r="H408" s="1572">
        <f>NOMINA!H368</f>
        <v>39861</v>
      </c>
      <c r="I408" s="1148">
        <f>NOMINA!I366</f>
        <v>6</v>
      </c>
      <c r="J408" s="1149">
        <f>NOMINA!J366</f>
        <v>0</v>
      </c>
      <c r="K408" s="1148">
        <f t="shared" si="23"/>
        <v>6</v>
      </c>
      <c r="L408" s="1149" t="s">
        <v>4932</v>
      </c>
      <c r="M408" s="1149"/>
      <c r="N408" s="1573" t="str">
        <f>NOMINA!O368</f>
        <v>Ayudante de Servicios Generales</v>
      </c>
      <c r="O408" s="1149">
        <v>1.02087691000006E+18</v>
      </c>
      <c r="P408" s="1150">
        <f>ROUND(+NOMINA!T368,2)</f>
        <v>152</v>
      </c>
      <c r="Q408" s="1151">
        <v>0</v>
      </c>
      <c r="R408" s="1151">
        <f>ROUND(+NOMINA!AA368,2)</f>
        <v>27.36</v>
      </c>
      <c r="S408" s="1151">
        <f>ROUND(+NOMINA!AB368,2)</f>
        <v>130</v>
      </c>
      <c r="T408" s="1151">
        <f>ROUND(+NOMINA!AC368,2)</f>
        <v>0</v>
      </c>
      <c r="U408" s="1151">
        <f>ROUND(+NOMINA!AD368,2)</f>
        <v>0</v>
      </c>
      <c r="V408" s="1151">
        <f>ROUND(NOMINA!AQ368,2)</f>
        <v>12.5</v>
      </c>
      <c r="W408" s="1151">
        <f>+NOMINA!AS368</f>
        <v>0</v>
      </c>
      <c r="X408" s="1151">
        <f>+NOMINA!AT368</f>
        <v>12.5</v>
      </c>
      <c r="Y408" s="1151">
        <f>+NOMINA!AU368</f>
        <v>309.36</v>
      </c>
      <c r="Z408" s="1151">
        <f>+NOMINA!BX368</f>
        <v>580.04999999999995</v>
      </c>
      <c r="AA408" s="1151">
        <f>+NOMINA!BY368</f>
        <v>0</v>
      </c>
      <c r="AB408" s="1151">
        <f t="shared" si="24"/>
        <v>580.04999999999995</v>
      </c>
      <c r="AD408" s="634"/>
      <c r="AH408" s="1610" t="str">
        <f>NOMINA!P368</f>
        <v>01020373290000440819</v>
      </c>
    </row>
    <row r="409" spans="1:34" s="629" customFormat="1" ht="19.5" customHeight="1" thickBot="1">
      <c r="A409" s="770" t="s">
        <v>2846</v>
      </c>
      <c r="B409" s="771">
        <f t="shared" si="25"/>
        <v>58</v>
      </c>
      <c r="C409" s="1145">
        <f>NOMINA!C369</f>
        <v>14719356</v>
      </c>
      <c r="D409" s="1146" t="str">
        <f>NOMINA!D369</f>
        <v>Linares Montilla Gerardo Enrique</v>
      </c>
      <c r="E409" s="1602" t="s">
        <v>4622</v>
      </c>
      <c r="F409" s="1153">
        <v>32351</v>
      </c>
      <c r="G409" s="1602" t="s">
        <v>4620</v>
      </c>
      <c r="H409" s="1572">
        <f>NOMINA!H369</f>
        <v>44348</v>
      </c>
      <c r="I409" s="1148">
        <f>NOMINA!I367</f>
        <v>7</v>
      </c>
      <c r="J409" s="1149">
        <f>NOMINA!J367</f>
        <v>0</v>
      </c>
      <c r="K409" s="1148">
        <f t="shared" si="23"/>
        <v>7</v>
      </c>
      <c r="L409" s="1149" t="s">
        <v>4932</v>
      </c>
      <c r="M409" s="1149"/>
      <c r="N409" s="1573" t="str">
        <f>NOMINA!O369</f>
        <v>Ayudante de Servicios Generales</v>
      </c>
      <c r="O409" s="1149">
        <v>1.02087691000006E+18</v>
      </c>
      <c r="P409" s="1150">
        <f>ROUND(+NOMINA!T369,2)</f>
        <v>152</v>
      </c>
      <c r="Q409" s="1151">
        <v>0</v>
      </c>
      <c r="R409" s="1151">
        <f>ROUND(+NOMINA!AA369,2)</f>
        <v>4.5599999999999996</v>
      </c>
      <c r="S409" s="1151">
        <f>ROUND(+NOMINA!AB369,2)</f>
        <v>130</v>
      </c>
      <c r="T409" s="1151">
        <f>ROUND(+NOMINA!AC369,2)</f>
        <v>25</v>
      </c>
      <c r="U409" s="1151">
        <f>ROUND(+NOMINA!AD369,2)</f>
        <v>0</v>
      </c>
      <c r="V409" s="1151">
        <f>ROUND(NOMINA!AQ369,2)</f>
        <v>0</v>
      </c>
      <c r="W409" s="1151">
        <f>+NOMINA!AS369</f>
        <v>0</v>
      </c>
      <c r="X409" s="1151">
        <f>+NOMINA!AT369</f>
        <v>0</v>
      </c>
      <c r="Y409" s="1151">
        <f>+NOMINA!AU369</f>
        <v>311.56</v>
      </c>
      <c r="Z409" s="1151">
        <f>+NOMINA!BX369</f>
        <v>584.17999999999995</v>
      </c>
      <c r="AA409" s="1151">
        <f>+NOMINA!BY369</f>
        <v>0</v>
      </c>
      <c r="AB409" s="1151">
        <f t="shared" si="24"/>
        <v>584.17999999999995</v>
      </c>
      <c r="AD409" s="634"/>
      <c r="AH409" s="1610" t="str">
        <f>NOMINA!P369</f>
        <v>01020494180000228866</v>
      </c>
    </row>
    <row r="410" spans="1:34" s="629" customFormat="1" ht="19.5" customHeight="1" thickBot="1">
      <c r="A410" s="770" t="s">
        <v>2846</v>
      </c>
      <c r="B410" s="771">
        <f t="shared" si="25"/>
        <v>59</v>
      </c>
      <c r="C410" s="1145">
        <f>NOMINA!C370</f>
        <v>14780893</v>
      </c>
      <c r="D410" s="1146" t="str">
        <f>NOMINA!D370</f>
        <v>Perez Gonzalez Reinaldo Andre</v>
      </c>
      <c r="E410" s="1602" t="s">
        <v>4622</v>
      </c>
      <c r="F410" s="1153">
        <v>32351</v>
      </c>
      <c r="G410" s="1602" t="s">
        <v>4620</v>
      </c>
      <c r="H410" s="1572">
        <f>NOMINA!H370</f>
        <v>41570</v>
      </c>
      <c r="I410" s="1148">
        <f>NOMINA!I368</f>
        <v>15</v>
      </c>
      <c r="J410" s="1149">
        <f>NOMINA!J368</f>
        <v>0</v>
      </c>
      <c r="K410" s="1148">
        <f t="shared" si="23"/>
        <v>15</v>
      </c>
      <c r="L410" s="1149" t="s">
        <v>4932</v>
      </c>
      <c r="M410" s="1149"/>
      <c r="N410" s="1573" t="str">
        <f>NOMINA!O370</f>
        <v>Ayudante de Servicios Generales</v>
      </c>
      <c r="O410" s="1149">
        <v>1.02087691000006E+18</v>
      </c>
      <c r="P410" s="1150">
        <f>ROUND(+NOMINA!T370,2)</f>
        <v>152</v>
      </c>
      <c r="Q410" s="1151">
        <v>0</v>
      </c>
      <c r="R410" s="1151">
        <f>ROUND(+NOMINA!AA370,2)</f>
        <v>18.850000000000001</v>
      </c>
      <c r="S410" s="1151">
        <f>ROUND(+NOMINA!AB370,2)</f>
        <v>130</v>
      </c>
      <c r="T410" s="1151">
        <f>ROUND(+NOMINA!AC370,2)</f>
        <v>0</v>
      </c>
      <c r="U410" s="1151">
        <f>ROUND(+NOMINA!AD370,2)</f>
        <v>0</v>
      </c>
      <c r="V410" s="1151">
        <f>ROUND(NOMINA!AQ370,2)</f>
        <v>0</v>
      </c>
      <c r="W410" s="1151">
        <f>+NOMINA!AS370</f>
        <v>0</v>
      </c>
      <c r="X410" s="1151">
        <f>+NOMINA!AT370</f>
        <v>0</v>
      </c>
      <c r="Y410" s="1151">
        <f>+NOMINA!AU370</f>
        <v>300.85000000000002</v>
      </c>
      <c r="Z410" s="1151">
        <f>+NOMINA!BX370</f>
        <v>564.1</v>
      </c>
      <c r="AA410" s="1151">
        <f>+NOMINA!BY370</f>
        <v>0</v>
      </c>
      <c r="AB410" s="1151">
        <f t="shared" si="24"/>
        <v>564.1</v>
      </c>
      <c r="AD410" s="634"/>
      <c r="AH410" s="1610" t="str">
        <f>NOMINA!P370</f>
        <v>01020373210000440835</v>
      </c>
    </row>
    <row r="411" spans="1:34" s="629" customFormat="1" ht="19.5" customHeight="1" thickBot="1">
      <c r="A411" s="770" t="s">
        <v>2846</v>
      </c>
      <c r="B411" s="771">
        <f t="shared" si="25"/>
        <v>60</v>
      </c>
      <c r="C411" s="1145">
        <f>NOMINA!C371</f>
        <v>14928047</v>
      </c>
      <c r="D411" s="1146" t="str">
        <f>NOMINA!D371</f>
        <v>Becerra Teran Maria Alejandra</v>
      </c>
      <c r="E411" s="1602" t="s">
        <v>4622</v>
      </c>
      <c r="F411" s="1153">
        <v>32351</v>
      </c>
      <c r="G411" s="1602" t="s">
        <v>4620</v>
      </c>
      <c r="H411" s="1572">
        <f>NOMINA!H371</f>
        <v>43297</v>
      </c>
      <c r="I411" s="1148">
        <f>NOMINA!I369</f>
        <v>3</v>
      </c>
      <c r="J411" s="1149">
        <f>NOMINA!J369</f>
        <v>0</v>
      </c>
      <c r="K411" s="1148">
        <f t="shared" si="23"/>
        <v>3</v>
      </c>
      <c r="L411" s="1149" t="s">
        <v>4932</v>
      </c>
      <c r="M411" s="1149"/>
      <c r="N411" s="1573" t="str">
        <f>NOMINA!O371</f>
        <v>Cocinera</v>
      </c>
      <c r="O411" s="1149">
        <v>1.02087691000006E+18</v>
      </c>
      <c r="P411" s="1150">
        <f>ROUND(+NOMINA!T371,2)</f>
        <v>171</v>
      </c>
      <c r="Q411" s="1151">
        <v>0</v>
      </c>
      <c r="R411" s="1151">
        <f>ROUND(+NOMINA!AA371,2)</f>
        <v>10.6</v>
      </c>
      <c r="S411" s="1151">
        <f>ROUND(+NOMINA!AB371,2)</f>
        <v>130</v>
      </c>
      <c r="T411" s="1151">
        <f>ROUND(+NOMINA!AC371,2)</f>
        <v>0</v>
      </c>
      <c r="U411" s="1151">
        <f>ROUND(+NOMINA!AD371,2)</f>
        <v>0</v>
      </c>
      <c r="V411" s="1151">
        <f>ROUND(NOMINA!AQ371,2)</f>
        <v>0</v>
      </c>
      <c r="W411" s="1151">
        <f>+NOMINA!AS371</f>
        <v>0</v>
      </c>
      <c r="X411" s="1151">
        <f>+NOMINA!AT371</f>
        <v>0</v>
      </c>
      <c r="Y411" s="1151">
        <f>+NOMINA!AU371</f>
        <v>311.60000000000002</v>
      </c>
      <c r="Z411" s="1151">
        <f>+NOMINA!BX371</f>
        <v>584.25</v>
      </c>
      <c r="AA411" s="1151">
        <f>+NOMINA!BY371</f>
        <v>0</v>
      </c>
      <c r="AB411" s="1151">
        <f t="shared" si="24"/>
        <v>584.25</v>
      </c>
      <c r="AD411" s="634"/>
      <c r="AH411" s="1610" t="str">
        <f>NOMINA!P371</f>
        <v>01020373260100101629</v>
      </c>
    </row>
    <row r="412" spans="1:34" s="629" customFormat="1" ht="19.5" customHeight="1" thickBot="1">
      <c r="A412" s="770" t="s">
        <v>2846</v>
      </c>
      <c r="B412" s="771">
        <f t="shared" si="25"/>
        <v>61</v>
      </c>
      <c r="C412" s="1145">
        <f>NOMINA!C372</f>
        <v>15042683</v>
      </c>
      <c r="D412" s="1146" t="str">
        <f>NOMINA!D372</f>
        <v>Rivera Hermes Edixon</v>
      </c>
      <c r="E412" s="1602" t="s">
        <v>4622</v>
      </c>
      <c r="F412" s="1153">
        <v>32351</v>
      </c>
      <c r="G412" s="1602" t="s">
        <v>4620</v>
      </c>
      <c r="H412" s="1572">
        <f>NOMINA!H372</f>
        <v>45292</v>
      </c>
      <c r="I412" s="1148">
        <f>NOMINA!I370</f>
        <v>11</v>
      </c>
      <c r="J412" s="1149">
        <f>NOMINA!J370</f>
        <v>0</v>
      </c>
      <c r="K412" s="1148">
        <f t="shared" si="23"/>
        <v>11</v>
      </c>
      <c r="L412" s="1149" t="s">
        <v>4932</v>
      </c>
      <c r="M412" s="1149"/>
      <c r="N412" s="1573" t="str">
        <f>NOMINA!O372</f>
        <v>Aseador</v>
      </c>
      <c r="O412" s="1149">
        <v>1.02087691000006E+18</v>
      </c>
      <c r="P412" s="1150">
        <f>ROUND(+NOMINA!T372,2)</f>
        <v>130</v>
      </c>
      <c r="Q412" s="1151">
        <v>0</v>
      </c>
      <c r="R412" s="1151">
        <f>ROUND(+NOMINA!AA372,2)</f>
        <v>1.3</v>
      </c>
      <c r="S412" s="1151">
        <f>ROUND(+NOMINA!AB372,2)</f>
        <v>130</v>
      </c>
      <c r="T412" s="1151">
        <f>ROUND(+NOMINA!AC372,2)</f>
        <v>12.5</v>
      </c>
      <c r="U412" s="1151">
        <f>ROUND(+NOMINA!AD372,2)</f>
        <v>0</v>
      </c>
      <c r="V412" s="1151">
        <f>ROUND(NOMINA!AQ372,2)</f>
        <v>0</v>
      </c>
      <c r="W412" s="1151">
        <f>+NOMINA!AS372</f>
        <v>0</v>
      </c>
      <c r="X412" s="1151">
        <f>+NOMINA!AT372</f>
        <v>12.5</v>
      </c>
      <c r="Y412" s="1151">
        <f>+NOMINA!AU372</f>
        <v>273.8</v>
      </c>
      <c r="Z412" s="1151">
        <f>+NOMINA!BX372</f>
        <v>513.38</v>
      </c>
      <c r="AA412" s="1151">
        <f>+NOMINA!BY372</f>
        <v>0</v>
      </c>
      <c r="AB412" s="1151">
        <f t="shared" si="24"/>
        <v>513.38</v>
      </c>
      <c r="AD412" s="634"/>
      <c r="AH412" s="1610" t="str">
        <f>NOMINA!P372</f>
        <v>01020494110000293626</v>
      </c>
    </row>
    <row r="413" spans="1:34" s="629" customFormat="1" ht="19.5" customHeight="1" thickBot="1">
      <c r="A413" s="770" t="s">
        <v>2846</v>
      </c>
      <c r="B413" s="771">
        <f t="shared" si="25"/>
        <v>62</v>
      </c>
      <c r="C413" s="1145">
        <f>NOMINA!C373</f>
        <v>15583194</v>
      </c>
      <c r="D413" s="1146" t="str">
        <f>NOMINA!D373</f>
        <v>Garcia Briceño Wuiston Andres</v>
      </c>
      <c r="E413" s="1602" t="s">
        <v>4622</v>
      </c>
      <c r="F413" s="1153">
        <v>32351</v>
      </c>
      <c r="G413" s="1602" t="s">
        <v>4620</v>
      </c>
      <c r="H413" s="1572">
        <f>NOMINA!H373</f>
        <v>44166</v>
      </c>
      <c r="I413" s="1148">
        <f>NOMINA!I371</f>
        <v>6</v>
      </c>
      <c r="J413" s="1149">
        <f>NOMINA!J371</f>
        <v>0</v>
      </c>
      <c r="K413" s="1148">
        <f t="shared" si="23"/>
        <v>6</v>
      </c>
      <c r="L413" s="1149" t="s">
        <v>4932</v>
      </c>
      <c r="M413" s="1149"/>
      <c r="N413" s="1573" t="str">
        <f>NOMINA!O373</f>
        <v>Cocinero</v>
      </c>
      <c r="O413" s="1149">
        <v>1.02087691000006E+18</v>
      </c>
      <c r="P413" s="1150">
        <f>ROUND(+NOMINA!T373,2)</f>
        <v>171</v>
      </c>
      <c r="Q413" s="1151">
        <v>0</v>
      </c>
      <c r="R413" s="1151">
        <f>ROUND(+NOMINA!AA373,2)</f>
        <v>23.6</v>
      </c>
      <c r="S413" s="1151">
        <f>ROUND(+NOMINA!AB373,2)</f>
        <v>130</v>
      </c>
      <c r="T413" s="1151">
        <f>ROUND(+NOMINA!AC373,2)</f>
        <v>25</v>
      </c>
      <c r="U413" s="1151">
        <f>ROUND(+NOMINA!AD373,2)</f>
        <v>0</v>
      </c>
      <c r="V413" s="1151">
        <f>ROUND(NOMINA!AQ373,2)</f>
        <v>0</v>
      </c>
      <c r="W413" s="1151">
        <f>+NOMINA!AS373</f>
        <v>0</v>
      </c>
      <c r="X413" s="1151">
        <f>+NOMINA!AT373</f>
        <v>12.5</v>
      </c>
      <c r="Y413" s="1151">
        <f>+NOMINA!AU373</f>
        <v>349.6</v>
      </c>
      <c r="Z413" s="1151">
        <f>+NOMINA!BX373</f>
        <v>655.5</v>
      </c>
      <c r="AA413" s="1151">
        <f>+NOMINA!BY373</f>
        <v>0</v>
      </c>
      <c r="AB413" s="1151">
        <f t="shared" si="24"/>
        <v>655.5</v>
      </c>
      <c r="AD413" s="634"/>
      <c r="AH413" s="1610" t="str">
        <f>NOMINA!P373</f>
        <v>01020373260000274263</v>
      </c>
    </row>
    <row r="414" spans="1:34" s="629" customFormat="1" ht="19.5" customHeight="1" thickBot="1">
      <c r="A414" s="770" t="s">
        <v>2846</v>
      </c>
      <c r="B414" s="771">
        <f t="shared" si="25"/>
        <v>63</v>
      </c>
      <c r="C414" s="1145">
        <f>NOMINA!C374</f>
        <v>14928592</v>
      </c>
      <c r="D414" s="1146" t="str">
        <f>NOMINA!D374</f>
        <v>Rosales Ruiz Jesus Alberto</v>
      </c>
      <c r="E414" s="1602" t="s">
        <v>4622</v>
      </c>
      <c r="F414" s="1153">
        <v>32351</v>
      </c>
      <c r="G414" s="1602" t="s">
        <v>4620</v>
      </c>
      <c r="H414" s="1572">
        <f>NOMINA!H374</f>
        <v>45017</v>
      </c>
      <c r="I414" s="1148">
        <f>NOMINA!I372</f>
        <v>1</v>
      </c>
      <c r="J414" s="1149">
        <f>NOMINA!J372</f>
        <v>0</v>
      </c>
      <c r="K414" s="1148">
        <f t="shared" si="23"/>
        <v>1</v>
      </c>
      <c r="L414" s="1149" t="s">
        <v>4932</v>
      </c>
      <c r="M414" s="1149"/>
      <c r="N414" s="1573" t="str">
        <f>NOMINA!O374</f>
        <v>Cocinero</v>
      </c>
      <c r="O414" s="1149">
        <v>1.02087691000006E+18</v>
      </c>
      <c r="P414" s="1150">
        <f>ROUND(+NOMINA!T374,2)</f>
        <v>171</v>
      </c>
      <c r="Q414" s="1151">
        <v>0</v>
      </c>
      <c r="R414" s="1151">
        <f>ROUND(+NOMINA!AA374,2)</f>
        <v>1.71</v>
      </c>
      <c r="S414" s="1151">
        <f>ROUND(+NOMINA!AB374,2)</f>
        <v>130</v>
      </c>
      <c r="T414" s="1151">
        <f>ROUND(+NOMINA!AC374,2)</f>
        <v>0</v>
      </c>
      <c r="U414" s="1151">
        <f>ROUND(+NOMINA!AD374,2)</f>
        <v>0</v>
      </c>
      <c r="V414" s="1151">
        <f>ROUND(NOMINA!AQ374,2)</f>
        <v>0</v>
      </c>
      <c r="W414" s="1151">
        <f>+NOMINA!AS374</f>
        <v>0</v>
      </c>
      <c r="X414" s="1151">
        <f>+NOMINA!AT374</f>
        <v>0</v>
      </c>
      <c r="Y414" s="1151">
        <f>+NOMINA!AU374</f>
        <v>302.71000000000004</v>
      </c>
      <c r="Z414" s="1151">
        <f>+NOMINA!BX374</f>
        <v>567.58000000000004</v>
      </c>
      <c r="AA414" s="1151">
        <f>+NOMINA!BY374</f>
        <v>0</v>
      </c>
      <c r="AB414" s="1151">
        <f t="shared" si="24"/>
        <v>567.58000000000004</v>
      </c>
      <c r="AD414" s="634"/>
      <c r="AH414" s="1610" t="str">
        <f>NOMINA!P374</f>
        <v>01020494160000531485</v>
      </c>
    </row>
    <row r="415" spans="1:34" s="629" customFormat="1" ht="19.5" customHeight="1" thickBot="1">
      <c r="A415" s="770"/>
      <c r="B415" s="771">
        <f t="shared" si="25"/>
        <v>64</v>
      </c>
      <c r="C415" s="1145">
        <f>NOMINA!C375</f>
        <v>15952512</v>
      </c>
      <c r="D415" s="1146" t="str">
        <f>NOMINA!D375</f>
        <v>Graterol Gonzalez Maria Ysela</v>
      </c>
      <c r="E415" s="1602" t="s">
        <v>4622</v>
      </c>
      <c r="F415" s="1153">
        <v>32351</v>
      </c>
      <c r="G415" s="1602" t="s">
        <v>4620</v>
      </c>
      <c r="H415" s="1572">
        <f>NOMINA!H375</f>
        <v>40725</v>
      </c>
      <c r="I415" s="1148">
        <f>NOMINA!I373</f>
        <v>4</v>
      </c>
      <c r="J415" s="1149">
        <f>NOMINA!J373</f>
        <v>8</v>
      </c>
      <c r="K415" s="1148">
        <f t="shared" si="23"/>
        <v>12</v>
      </c>
      <c r="L415" s="1149" t="s">
        <v>4932</v>
      </c>
      <c r="M415" s="1149"/>
      <c r="N415" s="1573" t="str">
        <f>NOMINA!O375</f>
        <v>Aseadora</v>
      </c>
      <c r="O415" s="1149">
        <v>1.02087691000006E+18</v>
      </c>
      <c r="P415" s="1150">
        <f>ROUND(+NOMINA!T375,2)</f>
        <v>130</v>
      </c>
      <c r="Q415" s="1151">
        <v>0</v>
      </c>
      <c r="R415" s="1151">
        <f>ROUND(+NOMINA!AA375,2)</f>
        <v>19.760000000000002</v>
      </c>
      <c r="S415" s="1151">
        <f>ROUND(+NOMINA!AB375,2)</f>
        <v>130</v>
      </c>
      <c r="T415" s="1151">
        <f>ROUND(+NOMINA!AC375,2)</f>
        <v>0</v>
      </c>
      <c r="U415" s="1151">
        <f>ROUND(+NOMINA!AD375,2)</f>
        <v>0</v>
      </c>
      <c r="V415" s="1151">
        <f>ROUND(NOMINA!AQ375,2)</f>
        <v>0</v>
      </c>
      <c r="W415" s="1151">
        <f>+NOMINA!AS375</f>
        <v>0</v>
      </c>
      <c r="X415" s="1151">
        <f>+NOMINA!AT375</f>
        <v>0</v>
      </c>
      <c r="Y415" s="1151">
        <f>+NOMINA!AU375</f>
        <v>279.76</v>
      </c>
      <c r="Z415" s="1151">
        <f>+NOMINA!BX375</f>
        <v>524.54999999999995</v>
      </c>
      <c r="AA415" s="1151">
        <f>+NOMINA!BY375</f>
        <v>0</v>
      </c>
      <c r="AB415" s="1151">
        <f t="shared" si="24"/>
        <v>524.54999999999995</v>
      </c>
      <c r="AD415" s="634"/>
      <c r="AH415" s="1610" t="str">
        <f>NOMINA!P375</f>
        <v>01020373260000440233</v>
      </c>
    </row>
    <row r="416" spans="1:34" s="629" customFormat="1" ht="19.5" customHeight="1" thickBot="1">
      <c r="A416" s="770"/>
      <c r="B416" s="771">
        <f t="shared" si="25"/>
        <v>65</v>
      </c>
      <c r="C416" s="1145">
        <f>NOMINA!C376</f>
        <v>15953703</v>
      </c>
      <c r="D416" s="1146" t="str">
        <f>NOMINA!D376</f>
        <v>Briceño Salas Jose Leonardo</v>
      </c>
      <c r="E416" s="1602" t="s">
        <v>4622</v>
      </c>
      <c r="F416" s="1153">
        <v>32351</v>
      </c>
      <c r="G416" s="1602" t="s">
        <v>4620</v>
      </c>
      <c r="H416" s="1572">
        <f>NOMINA!H376</f>
        <v>38718</v>
      </c>
      <c r="I416" s="1148">
        <f>NOMINA!I374</f>
        <v>1</v>
      </c>
      <c r="J416" s="1149">
        <f>NOMINA!J374</f>
        <v>0</v>
      </c>
      <c r="K416" s="1148">
        <f t="shared" ref="K416:K443" si="26">I416+J416</f>
        <v>1</v>
      </c>
      <c r="L416" s="1149" t="s">
        <v>4932</v>
      </c>
      <c r="M416" s="1149"/>
      <c r="N416" s="1573" t="str">
        <f>NOMINA!O376</f>
        <v>Ayudante de Servicios Generales</v>
      </c>
      <c r="O416" s="1149">
        <v>1.02087691000006E+18</v>
      </c>
      <c r="P416" s="1150">
        <f>ROUND(+NOMINA!T376,2)</f>
        <v>152</v>
      </c>
      <c r="Q416" s="1151">
        <v>0</v>
      </c>
      <c r="R416" s="1151">
        <f>ROUND(+NOMINA!AA376,2)</f>
        <v>37.090000000000003</v>
      </c>
      <c r="S416" s="1151">
        <f>ROUND(+NOMINA!AB376,2)</f>
        <v>130</v>
      </c>
      <c r="T416" s="1151">
        <f>ROUND(+NOMINA!AC376,2)</f>
        <v>25</v>
      </c>
      <c r="U416" s="1151">
        <f>ROUND(+NOMINA!AD376,2)</f>
        <v>0</v>
      </c>
      <c r="V416" s="1151">
        <f>ROUND(NOMINA!AQ376,2)</f>
        <v>0</v>
      </c>
      <c r="W416" s="1151">
        <f>+NOMINA!AS376</f>
        <v>0</v>
      </c>
      <c r="X416" s="1151">
        <f>+NOMINA!AT376</f>
        <v>0</v>
      </c>
      <c r="Y416" s="1151">
        <f>+NOMINA!AU376</f>
        <v>344.09000000000003</v>
      </c>
      <c r="Z416" s="1151">
        <f>+NOMINA!BX376</f>
        <v>645.16999999999996</v>
      </c>
      <c r="AA416" s="1151">
        <f>+NOMINA!BY376</f>
        <v>0</v>
      </c>
      <c r="AB416" s="1151">
        <f t="shared" ref="AB416:AB443" si="27">+Z416+AA416</f>
        <v>645.16999999999996</v>
      </c>
      <c r="AD416" s="634"/>
      <c r="AH416" s="1610" t="str">
        <f>NOMINA!P376</f>
        <v>01020373210000440275</v>
      </c>
    </row>
    <row r="417" spans="1:34" s="629" customFormat="1" ht="19.5" customHeight="1" thickBot="1">
      <c r="A417" s="770"/>
      <c r="B417" s="771">
        <f t="shared" ref="B417:B443" si="28">+B416+1</f>
        <v>66</v>
      </c>
      <c r="C417" s="1145">
        <f>NOMINA!C377</f>
        <v>16266801</v>
      </c>
      <c r="D417" s="1146" t="str">
        <f>NOMINA!D377</f>
        <v>Briceño Gonzalez Mirla Carolina</v>
      </c>
      <c r="E417" s="1602" t="s">
        <v>4622</v>
      </c>
      <c r="F417" s="1153">
        <v>32351</v>
      </c>
      <c r="G417" s="1602" t="s">
        <v>4620</v>
      </c>
      <c r="H417" s="1572">
        <f>NOMINA!H377</f>
        <v>39496</v>
      </c>
      <c r="I417" s="1148">
        <f>NOMINA!I375</f>
        <v>13</v>
      </c>
      <c r="J417" s="1149">
        <f>NOMINA!J375</f>
        <v>0</v>
      </c>
      <c r="K417" s="1148">
        <f t="shared" si="26"/>
        <v>13</v>
      </c>
      <c r="L417" s="1149" t="s">
        <v>4932</v>
      </c>
      <c r="M417" s="1149"/>
      <c r="N417" s="1573" t="str">
        <f>NOMINA!O377</f>
        <v>Cocinera</v>
      </c>
      <c r="O417" s="1149">
        <v>1.02087691000006E+18</v>
      </c>
      <c r="P417" s="1150">
        <f>ROUND(+NOMINA!T377,2)</f>
        <v>171</v>
      </c>
      <c r="Q417" s="1151">
        <v>0</v>
      </c>
      <c r="R417" s="1151">
        <f>ROUND(+NOMINA!AA377,2)</f>
        <v>33.520000000000003</v>
      </c>
      <c r="S417" s="1151">
        <f>ROUND(+NOMINA!AB377,2)</f>
        <v>130</v>
      </c>
      <c r="T417" s="1151">
        <f>ROUND(+NOMINA!AC377,2)</f>
        <v>12.5</v>
      </c>
      <c r="U417" s="1151">
        <f>ROUND(+NOMINA!AD377,2)</f>
        <v>0</v>
      </c>
      <c r="V417" s="1151">
        <f>ROUND(NOMINA!AQ377,2)</f>
        <v>0</v>
      </c>
      <c r="W417" s="1151">
        <f>+NOMINA!AS377</f>
        <v>0</v>
      </c>
      <c r="X417" s="1151">
        <f>+NOMINA!AT377</f>
        <v>12.5</v>
      </c>
      <c r="Y417" s="1151">
        <f>+NOMINA!AU377</f>
        <v>347.02</v>
      </c>
      <c r="Z417" s="1151">
        <f>+NOMINA!BX377</f>
        <v>650.66</v>
      </c>
      <c r="AA417" s="1151">
        <f>+NOMINA!BY377</f>
        <v>0</v>
      </c>
      <c r="AB417" s="1151">
        <f t="shared" si="27"/>
        <v>650.66</v>
      </c>
      <c r="AD417" s="634"/>
      <c r="AH417" s="1610" t="str">
        <f>NOMINA!P377</f>
        <v>01020373200000441041</v>
      </c>
    </row>
    <row r="418" spans="1:34" s="629" customFormat="1" ht="19.5" customHeight="1" thickBot="1">
      <c r="A418" s="770"/>
      <c r="B418" s="771">
        <f t="shared" si="28"/>
        <v>67</v>
      </c>
      <c r="C418" s="1145">
        <f>NOMINA!C378</f>
        <v>16739958</v>
      </c>
      <c r="D418" s="1146" t="str">
        <f>NOMINA!D378</f>
        <v>Ramirez Ramirez Natali Gabriela</v>
      </c>
      <c r="E418" s="1602" t="s">
        <v>4622</v>
      </c>
      <c r="F418" s="1153">
        <v>32351</v>
      </c>
      <c r="G418" s="1602" t="s">
        <v>4620</v>
      </c>
      <c r="H418" s="1572">
        <f>NOMINA!H378</f>
        <v>44866</v>
      </c>
      <c r="I418" s="1148">
        <f>NOMINA!I376</f>
        <v>19</v>
      </c>
      <c r="J418" s="1149">
        <f>NOMINA!J376</f>
        <v>0</v>
      </c>
      <c r="K418" s="1148">
        <f t="shared" si="26"/>
        <v>19</v>
      </c>
      <c r="L418" s="1149" t="s">
        <v>4932</v>
      </c>
      <c r="M418" s="1149"/>
      <c r="N418" s="1573" t="str">
        <f>NOMINA!O378</f>
        <v>Ayud. Serv. De Cocina</v>
      </c>
      <c r="O418" s="1149">
        <v>1.02087691000006E+18</v>
      </c>
      <c r="P418" s="1150">
        <f>ROUND(+NOMINA!T378,2)</f>
        <v>142</v>
      </c>
      <c r="Q418" s="1151">
        <v>0</v>
      </c>
      <c r="R418" s="1151">
        <f>ROUND(+NOMINA!AA378,2)</f>
        <v>2.84</v>
      </c>
      <c r="S418" s="1151">
        <f>ROUND(+NOMINA!AB378,2)</f>
        <v>130</v>
      </c>
      <c r="T418" s="1151">
        <f>ROUND(+NOMINA!AC378,2)</f>
        <v>25</v>
      </c>
      <c r="U418" s="1151">
        <f>ROUND(+NOMINA!AD378,2)</f>
        <v>0</v>
      </c>
      <c r="V418" s="1151">
        <f>ROUND(NOMINA!AQ378,2)</f>
        <v>0</v>
      </c>
      <c r="W418" s="1151">
        <f>+NOMINA!AS378</f>
        <v>0</v>
      </c>
      <c r="X418" s="1151">
        <f>+NOMINA!AT378</f>
        <v>25</v>
      </c>
      <c r="Y418" s="1151">
        <f>+NOMINA!AU378</f>
        <v>299.84000000000003</v>
      </c>
      <c r="Z418" s="1151">
        <f>+NOMINA!BX378</f>
        <v>562.20000000000005</v>
      </c>
      <c r="AA418" s="1151">
        <f>+NOMINA!BY378</f>
        <v>0</v>
      </c>
      <c r="AB418" s="1151">
        <f t="shared" si="27"/>
        <v>562.20000000000005</v>
      </c>
      <c r="AD418" s="634"/>
      <c r="AH418" s="1610" t="str">
        <f>NOMINA!P378</f>
        <v>01020747960000205931</v>
      </c>
    </row>
    <row r="419" spans="1:34" s="629" customFormat="1" ht="19.5" customHeight="1" thickBot="1">
      <c r="A419" s="770"/>
      <c r="B419" s="771">
        <f t="shared" si="28"/>
        <v>68</v>
      </c>
      <c r="C419" s="1145">
        <f>NOMINA!C379</f>
        <v>16881526</v>
      </c>
      <c r="D419" s="1146" t="str">
        <f>NOMINA!D379</f>
        <v>Montilla Mendoza Addy Coromoto</v>
      </c>
      <c r="E419" s="1602" t="s">
        <v>4622</v>
      </c>
      <c r="F419" s="1153">
        <v>32351</v>
      </c>
      <c r="G419" s="1602" t="s">
        <v>4620</v>
      </c>
      <c r="H419" s="1572">
        <f>NOMINA!H379</f>
        <v>44470</v>
      </c>
      <c r="I419" s="1148">
        <f>NOMINA!I377</f>
        <v>16</v>
      </c>
      <c r="J419" s="1149">
        <f>NOMINA!J377</f>
        <v>0</v>
      </c>
      <c r="K419" s="1148">
        <f t="shared" si="26"/>
        <v>16</v>
      </c>
      <c r="L419" s="1149" t="s">
        <v>4932</v>
      </c>
      <c r="M419" s="1149"/>
      <c r="N419" s="1573" t="str">
        <f>NOMINA!O379</f>
        <v>Aseador</v>
      </c>
      <c r="O419" s="1149">
        <v>1.02087691000006E+18</v>
      </c>
      <c r="P419" s="1150">
        <f>ROUND(+NOMINA!T379,2)</f>
        <v>130</v>
      </c>
      <c r="Q419" s="1151">
        <v>0</v>
      </c>
      <c r="R419" s="1151">
        <f>ROUND(+NOMINA!AA379,2)</f>
        <v>3.9</v>
      </c>
      <c r="S419" s="1151">
        <f>ROUND(+NOMINA!AB379,2)</f>
        <v>130</v>
      </c>
      <c r="T419" s="1151">
        <f>ROUND(+NOMINA!AC379,2)</f>
        <v>25</v>
      </c>
      <c r="U419" s="1151">
        <f>ROUND(+NOMINA!AD379,2)</f>
        <v>0</v>
      </c>
      <c r="V419" s="1151">
        <f>ROUND(NOMINA!AQ379,2)</f>
        <v>0</v>
      </c>
      <c r="W419" s="1151">
        <f>+NOMINA!AS379</f>
        <v>0</v>
      </c>
      <c r="X419" s="1151">
        <f>+NOMINA!AT379</f>
        <v>12.5</v>
      </c>
      <c r="Y419" s="1151">
        <f>+NOMINA!AU379</f>
        <v>288.89999999999998</v>
      </c>
      <c r="Z419" s="1151">
        <f>+NOMINA!BX379</f>
        <v>541.69000000000005</v>
      </c>
      <c r="AA419" s="1151">
        <f>+NOMINA!BY379</f>
        <v>0</v>
      </c>
      <c r="AB419" s="1151">
        <f t="shared" si="27"/>
        <v>541.69000000000005</v>
      </c>
      <c r="AD419" s="634"/>
      <c r="AH419" s="1610" t="str">
        <f>NOMINA!P379</f>
        <v>01020747950000258959</v>
      </c>
    </row>
    <row r="420" spans="1:34" s="629" customFormat="1" ht="19.5" customHeight="1" thickBot="1">
      <c r="A420" s="770"/>
      <c r="B420" s="771">
        <f t="shared" si="28"/>
        <v>69</v>
      </c>
      <c r="C420" s="1145">
        <f>NOMINA!C380</f>
        <v>17093567</v>
      </c>
      <c r="D420" s="1146" t="str">
        <f>NOMINA!D380</f>
        <v>Torres Villarreal Yenny del Carmen</v>
      </c>
      <c r="E420" s="1602" t="s">
        <v>4622</v>
      </c>
      <c r="F420" s="1153">
        <v>32351</v>
      </c>
      <c r="G420" s="1602" t="s">
        <v>4620</v>
      </c>
      <c r="H420" s="1572">
        <f>NOMINA!H380</f>
        <v>39449</v>
      </c>
      <c r="I420" s="1148">
        <f>NOMINA!I378</f>
        <v>2</v>
      </c>
      <c r="J420" s="1149">
        <f>NOMINA!J378</f>
        <v>0</v>
      </c>
      <c r="K420" s="1148">
        <f t="shared" si="26"/>
        <v>2</v>
      </c>
      <c r="L420" s="1149" t="s">
        <v>4932</v>
      </c>
      <c r="M420" s="1149"/>
      <c r="N420" s="1573" t="str">
        <f>NOMINA!O380</f>
        <v>Ayudante de Servicios Generales</v>
      </c>
      <c r="O420" s="1149">
        <v>1.02087691000006E+18</v>
      </c>
      <c r="P420" s="1150">
        <f>ROUND(+NOMINA!T380,2)</f>
        <v>152</v>
      </c>
      <c r="Q420" s="1151">
        <v>0</v>
      </c>
      <c r="R420" s="1151">
        <f>ROUND(+NOMINA!AA380,2)</f>
        <v>32.22</v>
      </c>
      <c r="S420" s="1151">
        <f>ROUND(+NOMINA!AB380,2)</f>
        <v>130</v>
      </c>
      <c r="T420" s="1151">
        <f>ROUND(+NOMINA!AC380,2)</f>
        <v>0</v>
      </c>
      <c r="U420" s="1151">
        <f>ROUND(+NOMINA!AD380,2)</f>
        <v>0</v>
      </c>
      <c r="V420" s="1151">
        <f>ROUND(NOMINA!AQ380,2)</f>
        <v>0</v>
      </c>
      <c r="W420" s="1151">
        <f>+NOMINA!AS380</f>
        <v>0</v>
      </c>
      <c r="X420" s="1151">
        <f>+NOMINA!AT380</f>
        <v>0</v>
      </c>
      <c r="Y420" s="1151">
        <f>+NOMINA!AU380</f>
        <v>314.22000000000003</v>
      </c>
      <c r="Z420" s="1151">
        <f>+NOMINA!BX380</f>
        <v>589.16</v>
      </c>
      <c r="AA420" s="1151">
        <f>+NOMINA!BY380</f>
        <v>0</v>
      </c>
      <c r="AB420" s="1151">
        <f t="shared" si="27"/>
        <v>589.16</v>
      </c>
      <c r="AD420" s="634"/>
      <c r="AH420" s="1610" t="str">
        <f>NOMINA!P380</f>
        <v>01020373210000442477</v>
      </c>
    </row>
    <row r="421" spans="1:34" s="629" customFormat="1" ht="19.5" customHeight="1" thickBot="1">
      <c r="A421" s="770"/>
      <c r="B421" s="771">
        <f t="shared" si="28"/>
        <v>70</v>
      </c>
      <c r="C421" s="1145">
        <f>NOMINA!C381</f>
        <v>17093846</v>
      </c>
      <c r="D421" s="1146" t="str">
        <f>NOMINA!D381</f>
        <v>Bastidas Rivera Junior Antonio</v>
      </c>
      <c r="E421" s="1602" t="s">
        <v>4622</v>
      </c>
      <c r="F421" s="1153">
        <v>32351</v>
      </c>
      <c r="G421" s="1602" t="s">
        <v>4620</v>
      </c>
      <c r="H421" s="1572">
        <f>NOMINA!H381</f>
        <v>45017</v>
      </c>
      <c r="I421" s="1148">
        <f>NOMINA!I379</f>
        <v>3</v>
      </c>
      <c r="J421" s="1149">
        <f>NOMINA!J379</f>
        <v>0</v>
      </c>
      <c r="K421" s="1148">
        <f t="shared" si="26"/>
        <v>3</v>
      </c>
      <c r="L421" s="1149" t="s">
        <v>4932</v>
      </c>
      <c r="M421" s="1149"/>
      <c r="N421" s="1573" t="str">
        <f>NOMINA!O381</f>
        <v>Ayudante de Servicios Generales</v>
      </c>
      <c r="O421" s="1149">
        <v>1.02087691000006E+18</v>
      </c>
      <c r="P421" s="1150">
        <f>ROUND(+NOMINA!T381,2)</f>
        <v>152</v>
      </c>
      <c r="Q421" s="1151">
        <v>0</v>
      </c>
      <c r="R421" s="1151">
        <f>ROUND(+NOMINA!AA381,2)</f>
        <v>1.52</v>
      </c>
      <c r="S421" s="1151">
        <f>ROUND(+NOMINA!AB381,2)</f>
        <v>130</v>
      </c>
      <c r="T421" s="1151">
        <f>ROUND(+NOMINA!AC381,2)</f>
        <v>0</v>
      </c>
      <c r="U421" s="1151">
        <f>ROUND(+NOMINA!AD381,2)</f>
        <v>0</v>
      </c>
      <c r="V421" s="1151">
        <f>ROUND(NOMINA!AQ381,2)</f>
        <v>0</v>
      </c>
      <c r="W421" s="1151">
        <f>+NOMINA!AS381</f>
        <v>0</v>
      </c>
      <c r="X421" s="1151">
        <f>+NOMINA!AT381</f>
        <v>0</v>
      </c>
      <c r="Y421" s="1151">
        <f>+NOMINA!AU381</f>
        <v>283.52</v>
      </c>
      <c r="Z421" s="1151">
        <f>+NOMINA!BX381</f>
        <v>531.6</v>
      </c>
      <c r="AA421" s="1151">
        <f>+NOMINA!BY381</f>
        <v>0</v>
      </c>
      <c r="AB421" s="1151">
        <f t="shared" si="27"/>
        <v>531.6</v>
      </c>
      <c r="AD421" s="634"/>
      <c r="AH421" s="1610" t="str">
        <f>NOMINA!P381</f>
        <v>01020369410000923705</v>
      </c>
    </row>
    <row r="422" spans="1:34" s="629" customFormat="1" ht="19.5" customHeight="1" thickBot="1">
      <c r="A422" s="770"/>
      <c r="B422" s="771">
        <f t="shared" si="28"/>
        <v>71</v>
      </c>
      <c r="C422" s="1145">
        <f>NOMINA!C382</f>
        <v>17095084</v>
      </c>
      <c r="D422" s="1146" t="str">
        <f>NOMINA!D382</f>
        <v>Gonzalez Simancas Yulimar del Valle</v>
      </c>
      <c r="E422" s="1602" t="s">
        <v>4622</v>
      </c>
      <c r="F422" s="1153">
        <v>32351</v>
      </c>
      <c r="G422" s="1602" t="s">
        <v>4620</v>
      </c>
      <c r="H422" s="1572">
        <f>NOMINA!H382</f>
        <v>44317</v>
      </c>
      <c r="I422" s="1148">
        <f>NOMINA!I380</f>
        <v>17</v>
      </c>
      <c r="J422" s="1149">
        <f>NOMINA!J380</f>
        <v>0</v>
      </c>
      <c r="K422" s="1148">
        <f t="shared" si="26"/>
        <v>17</v>
      </c>
      <c r="L422" s="1149" t="s">
        <v>4932</v>
      </c>
      <c r="M422" s="1149"/>
      <c r="N422" s="1573" t="str">
        <f>NOMINA!O382</f>
        <v>Cocinera</v>
      </c>
      <c r="O422" s="1149">
        <v>1.02087691000006E+18</v>
      </c>
      <c r="P422" s="1150">
        <f>ROUND(+NOMINA!T382,2)</f>
        <v>171</v>
      </c>
      <c r="Q422" s="1151">
        <v>0</v>
      </c>
      <c r="R422" s="1151">
        <f>ROUND(+NOMINA!AA382,2)</f>
        <v>5.13</v>
      </c>
      <c r="S422" s="1151">
        <f>ROUND(+NOMINA!AB382,2)</f>
        <v>130</v>
      </c>
      <c r="T422" s="1151">
        <f>ROUND(+NOMINA!AC382,2)</f>
        <v>25</v>
      </c>
      <c r="U422" s="1151">
        <f>ROUND(+NOMINA!AD382,2)</f>
        <v>0</v>
      </c>
      <c r="V422" s="1151">
        <f>ROUND(NOMINA!AQ382,2)</f>
        <v>0</v>
      </c>
      <c r="W422" s="1151">
        <f>+NOMINA!AS382</f>
        <v>0</v>
      </c>
      <c r="X422" s="1151">
        <f>+NOMINA!AT382</f>
        <v>0</v>
      </c>
      <c r="Y422" s="1151">
        <f>+NOMINA!AU382</f>
        <v>331.13</v>
      </c>
      <c r="Z422" s="1151">
        <f>+NOMINA!BX382</f>
        <v>620.87</v>
      </c>
      <c r="AA422" s="1151">
        <f>+NOMINA!BY382</f>
        <v>0</v>
      </c>
      <c r="AB422" s="1151">
        <f t="shared" si="27"/>
        <v>620.87</v>
      </c>
      <c r="AD422" s="634"/>
      <c r="AH422" s="1610" t="str">
        <f>NOMINA!P382</f>
        <v>01020373290000785655</v>
      </c>
    </row>
    <row r="423" spans="1:34" s="629" customFormat="1" ht="19.5" customHeight="1" thickBot="1">
      <c r="A423" s="770"/>
      <c r="B423" s="771">
        <f t="shared" si="28"/>
        <v>72</v>
      </c>
      <c r="C423" s="1145">
        <f>NOMINA!C383</f>
        <v>17267173</v>
      </c>
      <c r="D423" s="1146" t="str">
        <f>NOMINA!D383</f>
        <v>Torres Alvarez Olga Josefina</v>
      </c>
      <c r="E423" s="1602" t="s">
        <v>4622</v>
      </c>
      <c r="F423" s="1153">
        <v>32351</v>
      </c>
      <c r="G423" s="1602" t="s">
        <v>4620</v>
      </c>
      <c r="H423" s="1572">
        <f>NOMINA!H383</f>
        <v>44317</v>
      </c>
      <c r="I423" s="1148">
        <f>NOMINA!I381</f>
        <v>1</v>
      </c>
      <c r="J423" s="1149">
        <f>NOMINA!J381</f>
        <v>0</v>
      </c>
      <c r="K423" s="1148">
        <f t="shared" si="26"/>
        <v>1</v>
      </c>
      <c r="L423" s="1149" t="s">
        <v>4932</v>
      </c>
      <c r="M423" s="1149"/>
      <c r="N423" s="1573" t="str">
        <f>NOMINA!O383</f>
        <v>AYUDANTE DE ALMACEN</v>
      </c>
      <c r="O423" s="1149">
        <v>1.02087691000006E+18</v>
      </c>
      <c r="P423" s="1150">
        <f>ROUND(+NOMINA!T383,2)</f>
        <v>171</v>
      </c>
      <c r="Q423" s="1151">
        <v>0</v>
      </c>
      <c r="R423" s="1151">
        <f>ROUND(+NOMINA!AA383,2)</f>
        <v>5.13</v>
      </c>
      <c r="S423" s="1151">
        <f>ROUND(+NOMINA!AB383,2)</f>
        <v>130</v>
      </c>
      <c r="T423" s="1151">
        <f>ROUND(+NOMINA!AC383,2)</f>
        <v>0</v>
      </c>
      <c r="U423" s="1151">
        <f>ROUND(+NOMINA!AD383,2)</f>
        <v>0</v>
      </c>
      <c r="V423" s="1151">
        <f>ROUND(NOMINA!AQ383,2)</f>
        <v>0</v>
      </c>
      <c r="W423" s="1151">
        <f>+NOMINA!AS383</f>
        <v>0</v>
      </c>
      <c r="X423" s="1151">
        <f>+NOMINA!AT383</f>
        <v>0</v>
      </c>
      <c r="Y423" s="1151">
        <f>+NOMINA!AU383</f>
        <v>306.13</v>
      </c>
      <c r="Z423" s="1151">
        <f>+NOMINA!BX383</f>
        <v>574</v>
      </c>
      <c r="AA423" s="1151">
        <f>+NOMINA!BY383</f>
        <v>0</v>
      </c>
      <c r="AB423" s="1151">
        <f t="shared" si="27"/>
        <v>574</v>
      </c>
      <c r="AD423" s="634"/>
      <c r="AH423" s="1610" t="str">
        <f>NOMINA!P383</f>
        <v>01020373210000785668</v>
      </c>
    </row>
    <row r="424" spans="1:34" s="629" customFormat="1" ht="19.5" customHeight="1" thickBot="1">
      <c r="A424" s="770"/>
      <c r="B424" s="771">
        <f t="shared" si="28"/>
        <v>73</v>
      </c>
      <c r="C424" s="1145">
        <f>NOMINA!C384</f>
        <v>17267546</v>
      </c>
      <c r="D424" s="1146" t="str">
        <f>NOMINA!D384</f>
        <v>Bastidas Rivera Franklin Enrique</v>
      </c>
      <c r="E424" s="1602" t="s">
        <v>4622</v>
      </c>
      <c r="F424" s="1153">
        <v>32351</v>
      </c>
      <c r="G424" s="1602" t="s">
        <v>4620</v>
      </c>
      <c r="H424" s="1572">
        <f>NOMINA!H384</f>
        <v>39197</v>
      </c>
      <c r="I424" s="1148">
        <f>NOMINA!I382</f>
        <v>3</v>
      </c>
      <c r="J424" s="1149">
        <f>NOMINA!J382</f>
        <v>0</v>
      </c>
      <c r="K424" s="1148">
        <f t="shared" si="26"/>
        <v>3</v>
      </c>
      <c r="L424" s="1149" t="s">
        <v>4932</v>
      </c>
      <c r="M424" s="1149"/>
      <c r="N424" s="1573" t="str">
        <f>NOMINA!O384</f>
        <v>Ayudante de Servicios Generales</v>
      </c>
      <c r="O424" s="1149">
        <v>1.02087691000006E+18</v>
      </c>
      <c r="P424" s="1150">
        <f>ROUND(+NOMINA!T384,2)</f>
        <v>152</v>
      </c>
      <c r="Q424" s="1151">
        <v>0</v>
      </c>
      <c r="R424" s="1151">
        <f>ROUND(+NOMINA!AA384,2)</f>
        <v>32.22</v>
      </c>
      <c r="S424" s="1151">
        <f>ROUND(+NOMINA!AB384,2)</f>
        <v>130</v>
      </c>
      <c r="T424" s="1151">
        <f>ROUND(+NOMINA!AC384,2)</f>
        <v>12.5</v>
      </c>
      <c r="U424" s="1151">
        <f>ROUND(+NOMINA!AD384,2)</f>
        <v>0</v>
      </c>
      <c r="V424" s="1151">
        <f>ROUND(NOMINA!AQ384,2)</f>
        <v>0</v>
      </c>
      <c r="W424" s="1151">
        <f>+NOMINA!AS384</f>
        <v>0</v>
      </c>
      <c r="X424" s="1151">
        <f>+NOMINA!AT384</f>
        <v>12.5</v>
      </c>
      <c r="Y424" s="1151">
        <f>+NOMINA!AU384</f>
        <v>326.72000000000003</v>
      </c>
      <c r="Z424" s="1151">
        <f>+NOMINA!BX384</f>
        <v>612.6</v>
      </c>
      <c r="AA424" s="1151">
        <f>+NOMINA!BY384</f>
        <v>0</v>
      </c>
      <c r="AB424" s="1151">
        <f t="shared" si="27"/>
        <v>612.6</v>
      </c>
      <c r="AD424" s="634"/>
      <c r="AH424" s="1610" t="str">
        <f>NOMINA!P384</f>
        <v>01020373260000442516</v>
      </c>
    </row>
    <row r="425" spans="1:34" s="629" customFormat="1" ht="19.5" customHeight="1" thickBot="1">
      <c r="A425" s="770"/>
      <c r="B425" s="771">
        <f t="shared" si="28"/>
        <v>74</v>
      </c>
      <c r="C425" s="1145">
        <f>NOMINA!C385</f>
        <v>18096032</v>
      </c>
      <c r="D425" s="1146" t="str">
        <f>NOMINA!D385</f>
        <v>Graterol Graterol Isidro Antonio</v>
      </c>
      <c r="E425" s="1602" t="s">
        <v>4622</v>
      </c>
      <c r="F425" s="1153">
        <v>32351</v>
      </c>
      <c r="G425" s="1602" t="s">
        <v>4620</v>
      </c>
      <c r="H425" s="1572">
        <f>NOMINA!H385</f>
        <v>45566</v>
      </c>
      <c r="I425" s="1148">
        <f>NOMINA!I383</f>
        <v>3</v>
      </c>
      <c r="J425" s="1149">
        <f>NOMINA!J383</f>
        <v>0</v>
      </c>
      <c r="K425" s="1148">
        <f t="shared" si="26"/>
        <v>3</v>
      </c>
      <c r="L425" s="1149" t="s">
        <v>4932</v>
      </c>
      <c r="M425" s="1149"/>
      <c r="N425" s="1573" t="str">
        <f>NOMINA!O385</f>
        <v>Chofer</v>
      </c>
      <c r="O425" s="1149">
        <v>1.02087691000006E+18</v>
      </c>
      <c r="P425" s="1150">
        <f>ROUND(+NOMINA!T385,2)</f>
        <v>161</v>
      </c>
      <c r="Q425" s="1151">
        <v>0</v>
      </c>
      <c r="R425" s="1151">
        <f>ROUND(+NOMINA!AA385,2)</f>
        <v>31.56</v>
      </c>
      <c r="S425" s="1151">
        <f>ROUND(+NOMINA!AB385,2)</f>
        <v>130</v>
      </c>
      <c r="T425" s="1151">
        <f>ROUND(+NOMINA!AC385,2)</f>
        <v>25</v>
      </c>
      <c r="U425" s="1151">
        <f>ROUND(+NOMINA!AD385,2)</f>
        <v>0</v>
      </c>
      <c r="V425" s="1151">
        <f>ROUND(NOMINA!AQ385,2)</f>
        <v>0</v>
      </c>
      <c r="W425" s="1151">
        <f>+NOMINA!AS385</f>
        <v>0</v>
      </c>
      <c r="X425" s="1151">
        <f>+NOMINA!AT385</f>
        <v>0</v>
      </c>
      <c r="Y425" s="1151">
        <f>+NOMINA!AU385</f>
        <v>451.83</v>
      </c>
      <c r="Z425" s="1151">
        <f>+NOMINA!BX385</f>
        <v>158.85</v>
      </c>
      <c r="AA425" s="1151">
        <f>+NOMINA!BY385</f>
        <v>0</v>
      </c>
      <c r="AB425" s="1151">
        <f t="shared" si="27"/>
        <v>158.85</v>
      </c>
      <c r="AD425" s="634"/>
      <c r="AH425" s="1610" t="str">
        <f>NOMINA!P385</f>
        <v>01020758460000003573</v>
      </c>
    </row>
    <row r="426" spans="1:34" s="629" customFormat="1" ht="19.5" customHeight="1" thickBot="1">
      <c r="A426" s="770"/>
      <c r="B426" s="771">
        <f t="shared" si="28"/>
        <v>75</v>
      </c>
      <c r="C426" s="1145">
        <f>NOMINA!C386</f>
        <v>18096338</v>
      </c>
      <c r="D426" s="1146" t="str">
        <f>NOMINA!D386</f>
        <v>Ramirez Manzanilla Jose Jesus</v>
      </c>
      <c r="E426" s="1602" t="s">
        <v>4622</v>
      </c>
      <c r="F426" s="1153">
        <v>32351</v>
      </c>
      <c r="G426" s="1602" t="s">
        <v>4620</v>
      </c>
      <c r="H426" s="1572">
        <f>NOMINA!H386</f>
        <v>39463</v>
      </c>
      <c r="I426" s="1148">
        <f>NOMINA!I384</f>
        <v>17</v>
      </c>
      <c r="J426" s="1149">
        <f>NOMINA!J384</f>
        <v>0</v>
      </c>
      <c r="K426" s="1148">
        <f t="shared" si="26"/>
        <v>17</v>
      </c>
      <c r="L426" s="1149" t="s">
        <v>4932</v>
      </c>
      <c r="M426" s="1149"/>
      <c r="N426" s="1573" t="str">
        <f>NOMINA!O386</f>
        <v>Cocinero</v>
      </c>
      <c r="O426" s="1149">
        <v>1.02087691000006E+18</v>
      </c>
      <c r="P426" s="1150">
        <f>ROUND(+NOMINA!T386,2)</f>
        <v>171</v>
      </c>
      <c r="Q426" s="1151">
        <v>0</v>
      </c>
      <c r="R426" s="1151">
        <f>ROUND(+NOMINA!AA386,2)</f>
        <v>44.46</v>
      </c>
      <c r="S426" s="1151">
        <f>ROUND(+NOMINA!AB386,2)</f>
        <v>130</v>
      </c>
      <c r="T426" s="1151">
        <f>ROUND(+NOMINA!AC386,2)</f>
        <v>12.5</v>
      </c>
      <c r="U426" s="1151">
        <f>ROUND(+NOMINA!AD386,2)</f>
        <v>0</v>
      </c>
      <c r="V426" s="1151">
        <f>ROUND(NOMINA!AQ386,2)</f>
        <v>0</v>
      </c>
      <c r="W426" s="1151">
        <f>+NOMINA!AS386</f>
        <v>0</v>
      </c>
      <c r="X426" s="1151">
        <f>+NOMINA!AT386</f>
        <v>0</v>
      </c>
      <c r="Y426" s="1151">
        <f>+NOMINA!AU386</f>
        <v>357.96000000000004</v>
      </c>
      <c r="Z426" s="1151">
        <f>+NOMINA!BX386</f>
        <v>671.18</v>
      </c>
      <c r="AA426" s="1151">
        <f>+NOMINA!BY386</f>
        <v>0</v>
      </c>
      <c r="AB426" s="1151">
        <f t="shared" si="27"/>
        <v>671.18</v>
      </c>
      <c r="AD426" s="634"/>
      <c r="AH426" s="1610" t="str">
        <f>NOMINA!P386</f>
        <v>01020373220000441630</v>
      </c>
    </row>
    <row r="427" spans="1:34" s="629" customFormat="1" ht="19.5" customHeight="1" thickBot="1">
      <c r="A427" s="770"/>
      <c r="B427" s="771">
        <f t="shared" si="28"/>
        <v>76</v>
      </c>
      <c r="C427" s="1145">
        <f>NOMINA!C387</f>
        <v>18350780</v>
      </c>
      <c r="D427" s="1146" t="str">
        <f>NOMINA!D387</f>
        <v>Frias Aldana Giovanny Jacinto</v>
      </c>
      <c r="E427" s="1602" t="s">
        <v>4622</v>
      </c>
      <c r="F427" s="1153">
        <v>32351</v>
      </c>
      <c r="G427" s="1602" t="s">
        <v>4620</v>
      </c>
      <c r="H427" s="1572">
        <f>NOMINA!H387</f>
        <v>43116</v>
      </c>
      <c r="I427" s="1148">
        <f>NOMINA!I385</f>
        <v>0</v>
      </c>
      <c r="J427" s="1149">
        <f>NOMINA!J385</f>
        <v>16</v>
      </c>
      <c r="K427" s="1148">
        <f t="shared" si="26"/>
        <v>16</v>
      </c>
      <c r="L427" s="1149" t="s">
        <v>4932</v>
      </c>
      <c r="M427" s="1149"/>
      <c r="N427" s="1573" t="str">
        <f>NOMINA!O387</f>
        <v>Vigilante</v>
      </c>
      <c r="O427" s="1149">
        <v>1.02087691000006E+18</v>
      </c>
      <c r="P427" s="1150">
        <f>ROUND(+NOMINA!T387,2)</f>
        <v>171</v>
      </c>
      <c r="Q427" s="1151">
        <v>0</v>
      </c>
      <c r="R427" s="1151">
        <f>ROUND(+NOMINA!AA387,2)</f>
        <v>12.65</v>
      </c>
      <c r="S427" s="1151">
        <f>ROUND(+NOMINA!AB387,2)</f>
        <v>130</v>
      </c>
      <c r="T427" s="1151">
        <f>ROUND(+NOMINA!AC387,2)</f>
        <v>12.5</v>
      </c>
      <c r="U427" s="1151">
        <f>ROUND(+NOMINA!AD387,2)</f>
        <v>0</v>
      </c>
      <c r="V427" s="1151">
        <f>ROUND(NOMINA!AQ387,2)</f>
        <v>0</v>
      </c>
      <c r="W427" s="1151">
        <f>+NOMINA!AS387</f>
        <v>0</v>
      </c>
      <c r="X427" s="1151">
        <f>+NOMINA!AT387</f>
        <v>0</v>
      </c>
      <c r="Y427" s="1151">
        <f>+NOMINA!AU387</f>
        <v>424</v>
      </c>
      <c r="Z427" s="1151">
        <f>+NOMINA!BX387</f>
        <v>795</v>
      </c>
      <c r="AA427" s="1151">
        <f>+NOMINA!BY387</f>
        <v>0</v>
      </c>
      <c r="AB427" s="1151">
        <f t="shared" si="27"/>
        <v>795</v>
      </c>
      <c r="AD427" s="634"/>
      <c r="AH427" s="1610" t="str">
        <f>NOMINA!P387</f>
        <v>01020373280000525734</v>
      </c>
    </row>
    <row r="428" spans="1:34" s="629" customFormat="1" ht="19.5" customHeight="1" thickBot="1">
      <c r="A428" s="770"/>
      <c r="B428" s="771">
        <f t="shared" si="28"/>
        <v>77</v>
      </c>
      <c r="C428" s="1145">
        <f>NOMINA!C388</f>
        <v>18456167</v>
      </c>
      <c r="D428" s="1146" t="str">
        <f>NOMINA!D388</f>
        <v>Olmos Linares Luis Alberto</v>
      </c>
      <c r="E428" s="1602" t="s">
        <v>4622</v>
      </c>
      <c r="F428" s="1153">
        <v>32351</v>
      </c>
      <c r="G428" s="1602" t="s">
        <v>4620</v>
      </c>
      <c r="H428" s="1572">
        <f>NOMINA!H388</f>
        <v>44516</v>
      </c>
      <c r="I428" s="1148">
        <f>NOMINA!I386</f>
        <v>17</v>
      </c>
      <c r="J428" s="1149">
        <f>NOMINA!J386</f>
        <v>3</v>
      </c>
      <c r="K428" s="1148">
        <f t="shared" si="26"/>
        <v>20</v>
      </c>
      <c r="L428" s="1149" t="s">
        <v>4932</v>
      </c>
      <c r="M428" s="1149"/>
      <c r="N428" s="1573" t="str">
        <f>NOMINA!O388</f>
        <v>Cocinero</v>
      </c>
      <c r="O428" s="1149">
        <v>1.02087691000006E+18</v>
      </c>
      <c r="P428" s="1150">
        <f>ROUND(+NOMINA!T388,2)</f>
        <v>171</v>
      </c>
      <c r="Q428" s="1151">
        <v>0</v>
      </c>
      <c r="R428" s="1151">
        <f>ROUND(+NOMINA!AA388,2)</f>
        <v>5.13</v>
      </c>
      <c r="S428" s="1151">
        <f>ROUND(+NOMINA!AB388,2)</f>
        <v>130</v>
      </c>
      <c r="T428" s="1151">
        <f>ROUND(+NOMINA!AC388,2)</f>
        <v>25</v>
      </c>
      <c r="U428" s="1151">
        <f>ROUND(+NOMINA!AD388,2)</f>
        <v>0</v>
      </c>
      <c r="V428" s="1151">
        <f>ROUND(NOMINA!AQ388,2)</f>
        <v>0</v>
      </c>
      <c r="W428" s="1151">
        <f>+NOMINA!AS388</f>
        <v>0</v>
      </c>
      <c r="X428" s="1151">
        <f>+NOMINA!AT388</f>
        <v>25</v>
      </c>
      <c r="Y428" s="1151">
        <f>+NOMINA!AU388</f>
        <v>331.13</v>
      </c>
      <c r="Z428" s="1151">
        <f>+NOMINA!BX388</f>
        <v>620.87</v>
      </c>
      <c r="AA428" s="1151">
        <f>+NOMINA!BY388</f>
        <v>0</v>
      </c>
      <c r="AB428" s="1151">
        <f t="shared" si="27"/>
        <v>620.87</v>
      </c>
      <c r="AD428" s="634"/>
      <c r="AH428" s="1610" t="str">
        <f>NOMINA!P388</f>
        <v>01020373220000845155</v>
      </c>
    </row>
    <row r="429" spans="1:34" s="629" customFormat="1" ht="19.5" customHeight="1" thickBot="1">
      <c r="A429" s="770"/>
      <c r="B429" s="771">
        <f t="shared" si="28"/>
        <v>78</v>
      </c>
      <c r="C429" s="1145">
        <f>NOMINA!C390</f>
        <v>20039961</v>
      </c>
      <c r="D429" s="1146" t="str">
        <f>NOMINA!D390</f>
        <v>Torres Villarreal Lisbeth Carolina</v>
      </c>
      <c r="E429" s="1602" t="s">
        <v>4622</v>
      </c>
      <c r="F429" s="1153">
        <v>32351</v>
      </c>
      <c r="G429" s="1602" t="s">
        <v>4620</v>
      </c>
      <c r="H429" s="1572">
        <f>NOMINA!H390</f>
        <v>38412</v>
      </c>
      <c r="I429" s="1148">
        <f>NOMINA!I387</f>
        <v>7</v>
      </c>
      <c r="J429" s="1149">
        <f>NOMINA!J387</f>
        <v>0</v>
      </c>
      <c r="K429" s="1148">
        <f t="shared" si="26"/>
        <v>7</v>
      </c>
      <c r="L429" s="1149" t="s">
        <v>4932</v>
      </c>
      <c r="M429" s="1149"/>
      <c r="N429" s="1573" t="str">
        <f>NOMINA!O390</f>
        <v>Aseadora</v>
      </c>
      <c r="O429" s="1149">
        <v>1.02087691000006E+18</v>
      </c>
      <c r="P429" s="1150">
        <f>ROUND(+NOMINA!T390,2)</f>
        <v>130</v>
      </c>
      <c r="Q429" s="1151">
        <v>0</v>
      </c>
      <c r="R429" s="1151">
        <f>ROUND(+NOMINA!AA390,2)</f>
        <v>31.72</v>
      </c>
      <c r="S429" s="1151">
        <f>ROUND(+NOMINA!AB390,2)</f>
        <v>130</v>
      </c>
      <c r="T429" s="1151">
        <f>ROUND(+NOMINA!AC390,2)</f>
        <v>25</v>
      </c>
      <c r="U429" s="1151">
        <f>ROUND(+NOMINA!AD390,2)</f>
        <v>0</v>
      </c>
      <c r="V429" s="1151">
        <f>ROUND(NOMINA!AQ390,2)</f>
        <v>0</v>
      </c>
      <c r="W429" s="1151">
        <f>+NOMINA!AS390</f>
        <v>0</v>
      </c>
      <c r="X429" s="1151">
        <f>+NOMINA!AT390</f>
        <v>0</v>
      </c>
      <c r="Y429" s="1151">
        <f>+NOMINA!AU390</f>
        <v>316.72000000000003</v>
      </c>
      <c r="Z429" s="1151">
        <f>+NOMINA!BX390</f>
        <v>593.85</v>
      </c>
      <c r="AA429" s="1151">
        <f>+NOMINA!BY390</f>
        <v>0</v>
      </c>
      <c r="AB429" s="1151">
        <f t="shared" si="27"/>
        <v>593.85</v>
      </c>
      <c r="AD429" s="634"/>
      <c r="AH429" s="1610" t="str">
        <f>NOMINA!P390</f>
        <v>01020373230000441876</v>
      </c>
    </row>
    <row r="430" spans="1:34" s="629" customFormat="1" ht="19.5" customHeight="1" thickBot="1">
      <c r="A430" s="770"/>
      <c r="B430" s="771">
        <f t="shared" si="28"/>
        <v>79</v>
      </c>
      <c r="C430" s="1145">
        <f>NOMINA!C391</f>
        <v>20040649</v>
      </c>
      <c r="D430" s="1146" t="str">
        <f>NOMINA!D391</f>
        <v>Isarra Materan Jose de La Paz</v>
      </c>
      <c r="E430" s="1602" t="s">
        <v>4622</v>
      </c>
      <c r="F430" s="1153">
        <v>32351</v>
      </c>
      <c r="G430" s="1602" t="s">
        <v>4620</v>
      </c>
      <c r="H430" s="1572">
        <f>NOMINA!H391</f>
        <v>44743</v>
      </c>
      <c r="I430" s="1148">
        <f>NOMINA!I388</f>
        <v>3</v>
      </c>
      <c r="J430" s="1149">
        <f>NOMINA!J388</f>
        <v>0</v>
      </c>
      <c r="K430" s="1148">
        <f t="shared" si="26"/>
        <v>3</v>
      </c>
      <c r="L430" s="1149" t="s">
        <v>4932</v>
      </c>
      <c r="M430" s="1149"/>
      <c r="N430" s="1573" t="str">
        <f>NOMINA!O391</f>
        <v>Chofer</v>
      </c>
      <c r="O430" s="1149">
        <v>1.02087691000006E+18</v>
      </c>
      <c r="P430" s="1150">
        <f>ROUND(+NOMINA!T391,2)</f>
        <v>161</v>
      </c>
      <c r="Q430" s="1151">
        <v>0</v>
      </c>
      <c r="R430" s="1151">
        <f>ROUND(+NOMINA!AA391,2)</f>
        <v>3.22</v>
      </c>
      <c r="S430" s="1151">
        <f>ROUND(+NOMINA!AB391,2)</f>
        <v>130</v>
      </c>
      <c r="T430" s="1151">
        <f>ROUND(+NOMINA!AC391,2)</f>
        <v>25</v>
      </c>
      <c r="U430" s="1151">
        <f>ROUND(+NOMINA!AD391,2)</f>
        <v>0</v>
      </c>
      <c r="V430" s="1151">
        <f>ROUND(NOMINA!AQ391,2)</f>
        <v>0</v>
      </c>
      <c r="W430" s="1151">
        <f>+NOMINA!AS391</f>
        <v>0</v>
      </c>
      <c r="X430" s="1151">
        <f>+NOMINA!AT391</f>
        <v>0</v>
      </c>
      <c r="Y430" s="1151">
        <f>+NOMINA!AU391</f>
        <v>414.99</v>
      </c>
      <c r="Z430" s="1151">
        <f>+NOMINA!BX391</f>
        <v>778.11</v>
      </c>
      <c r="AA430" s="1151">
        <f>+NOMINA!BY391</f>
        <v>0</v>
      </c>
      <c r="AB430" s="1151">
        <f t="shared" si="27"/>
        <v>778.11</v>
      </c>
      <c r="AD430" s="634"/>
      <c r="AH430" s="1610" t="str">
        <f>NOMINA!P391</f>
        <v>01020261260000181699</v>
      </c>
    </row>
    <row r="431" spans="1:34" s="629" customFormat="1" ht="19.5" customHeight="1" thickBot="1">
      <c r="A431" s="770"/>
      <c r="B431" s="771">
        <f t="shared" si="28"/>
        <v>80</v>
      </c>
      <c r="C431" s="1145">
        <f>NOMINA!C392</f>
        <v>21366579</v>
      </c>
      <c r="D431" s="1146" t="str">
        <f>NOMINA!D392</f>
        <v>Azuaje Espinoza Erick Enrique</v>
      </c>
      <c r="E431" s="1602" t="s">
        <v>4622</v>
      </c>
      <c r="F431" s="1153">
        <v>32351</v>
      </c>
      <c r="G431" s="1602" t="s">
        <v>4620</v>
      </c>
      <c r="H431" s="1572">
        <f>NOMINA!H392</f>
        <v>44774</v>
      </c>
      <c r="I431" s="1148">
        <f>NOMINA!I390</f>
        <v>19</v>
      </c>
      <c r="J431" s="1149">
        <f>NOMINA!J390</f>
        <v>0</v>
      </c>
      <c r="K431" s="1148">
        <f t="shared" si="26"/>
        <v>19</v>
      </c>
      <c r="L431" s="1149" t="s">
        <v>4932</v>
      </c>
      <c r="M431" s="1149"/>
      <c r="N431" s="1573" t="str">
        <f>NOMINA!O392</f>
        <v>Mensajero</v>
      </c>
      <c r="O431" s="1149">
        <v>1.02087691000006E+18</v>
      </c>
      <c r="P431" s="1150">
        <f>ROUND(+NOMINA!T392,2)</f>
        <v>142</v>
      </c>
      <c r="Q431" s="1151">
        <v>0</v>
      </c>
      <c r="R431" s="1151">
        <f>ROUND(+NOMINA!AA392,2)</f>
        <v>2.84</v>
      </c>
      <c r="S431" s="1151">
        <f>ROUND(+NOMINA!AB392,2)</f>
        <v>130</v>
      </c>
      <c r="T431" s="1151">
        <f>ROUND(+NOMINA!AC392,2)</f>
        <v>12.5</v>
      </c>
      <c r="U431" s="1151">
        <f>ROUND(+NOMINA!AD392,2)</f>
        <v>0</v>
      </c>
      <c r="V431" s="1151">
        <f>ROUND(NOMINA!AQ392,2)</f>
        <v>0</v>
      </c>
      <c r="W431" s="1151">
        <f>+NOMINA!AS392</f>
        <v>0</v>
      </c>
      <c r="X431" s="1151">
        <f>+NOMINA!AT392</f>
        <v>12.5</v>
      </c>
      <c r="Y431" s="1151">
        <f>+NOMINA!AU392</f>
        <v>287.34000000000003</v>
      </c>
      <c r="Z431" s="1151">
        <f>+NOMINA!BX392</f>
        <v>538.76</v>
      </c>
      <c r="AA431" s="1151">
        <f>+NOMINA!BY392</f>
        <v>0</v>
      </c>
      <c r="AB431" s="1151">
        <f t="shared" si="27"/>
        <v>538.76</v>
      </c>
      <c r="AD431" s="634"/>
      <c r="AH431" s="1610" t="str">
        <f>NOMINA!P392</f>
        <v>01020747980000545675</v>
      </c>
    </row>
    <row r="432" spans="1:34" s="629" customFormat="1" ht="19.5" customHeight="1" thickBot="1">
      <c r="A432" s="770"/>
      <c r="B432" s="771">
        <f t="shared" si="28"/>
        <v>81</v>
      </c>
      <c r="C432" s="1145">
        <f>NOMINA!C393</f>
        <v>23594381</v>
      </c>
      <c r="D432" s="1146" t="str">
        <f>NOMINA!D393</f>
        <v>Albornoz Montilla Daniel Enrique</v>
      </c>
      <c r="E432" s="1602" t="s">
        <v>4622</v>
      </c>
      <c r="F432" s="1153">
        <v>32351</v>
      </c>
      <c r="G432" s="1602" t="s">
        <v>4620</v>
      </c>
      <c r="H432" s="1572">
        <f>NOMINA!H393</f>
        <v>45597</v>
      </c>
      <c r="I432" s="1148">
        <f>NOMINA!I391</f>
        <v>2</v>
      </c>
      <c r="J432" s="1149">
        <f>NOMINA!J391</f>
        <v>0</v>
      </c>
      <c r="K432" s="1148">
        <f t="shared" si="26"/>
        <v>2</v>
      </c>
      <c r="L432" s="1149" t="s">
        <v>4932</v>
      </c>
      <c r="M432" s="1149"/>
      <c r="N432" s="1573" t="str">
        <f>NOMINA!O393</f>
        <v>Ayudante de Servicios Generales</v>
      </c>
      <c r="O432" s="1149">
        <v>1.02087691000006E+18</v>
      </c>
      <c r="P432" s="1150">
        <f>ROUND(+NOMINA!T393,2)</f>
        <v>142</v>
      </c>
      <c r="Q432" s="1151">
        <v>0</v>
      </c>
      <c r="R432" s="1151">
        <f>ROUND(+NOMINA!AA393,2)</f>
        <v>0</v>
      </c>
      <c r="S432" s="1151">
        <f>ROUND(+NOMINA!AB393,2)</f>
        <v>130</v>
      </c>
      <c r="T432" s="1151">
        <f>ROUND(+NOMINA!AC393,2)</f>
        <v>12.5</v>
      </c>
      <c r="U432" s="1151">
        <f>ROUND(+NOMINA!AD393,2)</f>
        <v>0</v>
      </c>
      <c r="V432" s="1151">
        <f>ROUND(NOMINA!AQ393,2)</f>
        <v>0</v>
      </c>
      <c r="W432" s="1151">
        <f>+NOMINA!AS393</f>
        <v>0</v>
      </c>
      <c r="X432" s="1151">
        <f>+NOMINA!AT393</f>
        <v>0</v>
      </c>
      <c r="Y432" s="1151">
        <f>+NOMINA!AU393</f>
        <v>284.5</v>
      </c>
      <c r="Z432" s="1151">
        <f>+NOMINA!BX393</f>
        <v>85.61</v>
      </c>
      <c r="AA432" s="1151">
        <f>+NOMINA!BY393</f>
        <v>0</v>
      </c>
      <c r="AB432" s="1151">
        <f t="shared" si="27"/>
        <v>85.61</v>
      </c>
      <c r="AD432" s="634"/>
      <c r="AH432" s="1610" t="str">
        <f>NOMINA!P393</f>
        <v>01020373260001424287</v>
      </c>
    </row>
    <row r="433" spans="1:34" s="629" customFormat="1" ht="19.5" customHeight="1" thickBot="1">
      <c r="A433" s="770"/>
      <c r="B433" s="771">
        <f t="shared" si="28"/>
        <v>82</v>
      </c>
      <c r="C433" s="1145">
        <f>NOMINA!C394</f>
        <v>25173228</v>
      </c>
      <c r="D433" s="1146" t="str">
        <f>NOMINA!D394</f>
        <v>Davila Sanchez Eduar Alexander</v>
      </c>
      <c r="E433" s="1602" t="s">
        <v>4622</v>
      </c>
      <c r="F433" s="1153">
        <v>32351</v>
      </c>
      <c r="G433" s="1602" t="s">
        <v>4620</v>
      </c>
      <c r="H433" s="1572">
        <f>NOMINA!H394</f>
        <v>44531</v>
      </c>
      <c r="I433" s="1148">
        <f>NOMINA!I392</f>
        <v>2</v>
      </c>
      <c r="J433" s="1149">
        <f>NOMINA!J392</f>
        <v>0</v>
      </c>
      <c r="K433" s="1148">
        <f t="shared" si="26"/>
        <v>2</v>
      </c>
      <c r="L433" s="1149" t="s">
        <v>4932</v>
      </c>
      <c r="M433" s="1149"/>
      <c r="N433" s="1573" t="str">
        <f>NOMINA!O394</f>
        <v>Ayudante de Servicios Generales</v>
      </c>
      <c r="O433" s="1149">
        <v>1.02087691000006E+18</v>
      </c>
      <c r="P433" s="1150">
        <f>ROUND(+NOMINA!T394,2)</f>
        <v>152</v>
      </c>
      <c r="Q433" s="1151">
        <v>0</v>
      </c>
      <c r="R433" s="1151">
        <f>ROUND(+NOMINA!AA394,2)</f>
        <v>4.5599999999999996</v>
      </c>
      <c r="S433" s="1151">
        <f>ROUND(+NOMINA!AB394,2)</f>
        <v>130</v>
      </c>
      <c r="T433" s="1151">
        <f>ROUND(+NOMINA!AC394,2)</f>
        <v>25</v>
      </c>
      <c r="U433" s="1151">
        <f>ROUND(+NOMINA!AD394,2)</f>
        <v>0</v>
      </c>
      <c r="V433" s="1151">
        <f>ROUND(NOMINA!AQ394,2)</f>
        <v>0</v>
      </c>
      <c r="W433" s="1151">
        <f>+NOMINA!AS394</f>
        <v>0</v>
      </c>
      <c r="X433" s="1151">
        <f>+NOMINA!AT394</f>
        <v>25</v>
      </c>
      <c r="Y433" s="1151">
        <f>+NOMINA!AU394</f>
        <v>405.03</v>
      </c>
      <c r="Z433" s="1151">
        <f>+NOMINA!BX394</f>
        <v>759.43</v>
      </c>
      <c r="AA433" s="1151">
        <f>+NOMINA!BY394</f>
        <v>0</v>
      </c>
      <c r="AB433" s="1151">
        <f t="shared" si="27"/>
        <v>759.43</v>
      </c>
      <c r="AD433" s="634"/>
      <c r="AH433" s="1610" t="str">
        <f>NOMINA!P394</f>
        <v>01020369410000550576</v>
      </c>
    </row>
    <row r="434" spans="1:34" s="629" customFormat="1" ht="19.5" customHeight="1" thickBot="1">
      <c r="A434" s="770"/>
      <c r="B434" s="771">
        <f t="shared" si="28"/>
        <v>83</v>
      </c>
      <c r="C434" s="1145">
        <f>NOMINA!C395</f>
        <v>25631811</v>
      </c>
      <c r="D434" s="1146" t="str">
        <f>NOMINA!D395</f>
        <v>Barrios Briceño Christian Xavier</v>
      </c>
      <c r="E434" s="1602" t="s">
        <v>4622</v>
      </c>
      <c r="F434" s="1153">
        <v>32351</v>
      </c>
      <c r="G434" s="1602" t="s">
        <v>4620</v>
      </c>
      <c r="H434" s="1572">
        <f>NOMINA!H395</f>
        <v>44440</v>
      </c>
      <c r="I434" s="1148">
        <f>NOMINA!I393</f>
        <v>0</v>
      </c>
      <c r="J434" s="1149">
        <f>NOMINA!J393</f>
        <v>0</v>
      </c>
      <c r="K434" s="1148">
        <f t="shared" si="26"/>
        <v>0</v>
      </c>
      <c r="L434" s="1149" t="s">
        <v>4932</v>
      </c>
      <c r="M434" s="1149"/>
      <c r="N434" s="1573" t="str">
        <f>NOMINA!O395</f>
        <v>Cocinero</v>
      </c>
      <c r="O434" s="1149">
        <v>1.02087691000006E+18</v>
      </c>
      <c r="P434" s="1150">
        <f>ROUND(+NOMINA!T395,2)</f>
        <v>171</v>
      </c>
      <c r="Q434" s="1151">
        <v>0</v>
      </c>
      <c r="R434" s="1151">
        <f>ROUND(+NOMINA!AA395,2)</f>
        <v>5.13</v>
      </c>
      <c r="S434" s="1151">
        <f>ROUND(+NOMINA!AB395,2)</f>
        <v>130</v>
      </c>
      <c r="T434" s="1151">
        <f>ROUND(+NOMINA!AC395,2)</f>
        <v>0</v>
      </c>
      <c r="U434" s="1151">
        <f>ROUND(+NOMINA!AD395,2)</f>
        <v>0</v>
      </c>
      <c r="V434" s="1151">
        <f>ROUND(NOMINA!AQ395,2)</f>
        <v>0</v>
      </c>
      <c r="W434" s="1151">
        <f>+NOMINA!AS395</f>
        <v>0</v>
      </c>
      <c r="X434" s="1151">
        <f>+NOMINA!AT395</f>
        <v>0</v>
      </c>
      <c r="Y434" s="1151">
        <f>+NOMINA!AU395</f>
        <v>306.13</v>
      </c>
      <c r="Z434" s="1151">
        <f>+NOMINA!BX395</f>
        <v>574</v>
      </c>
      <c r="AA434" s="1151">
        <f>+NOMINA!BY395</f>
        <v>0</v>
      </c>
      <c r="AB434" s="1151">
        <f t="shared" si="27"/>
        <v>574</v>
      </c>
      <c r="AD434" s="634"/>
      <c r="AH434" s="1610" t="str">
        <f>NOMINA!P395</f>
        <v>01020373280000814869</v>
      </c>
    </row>
    <row r="435" spans="1:34" s="629" customFormat="1" ht="19.5" customHeight="1" thickBot="1">
      <c r="A435" s="770"/>
      <c r="B435" s="771">
        <f t="shared" si="28"/>
        <v>84</v>
      </c>
      <c r="C435" s="1145">
        <f>NOMINA!C396</f>
        <v>25919888</v>
      </c>
      <c r="D435" s="1146" t="str">
        <f>NOMINA!D396</f>
        <v>Rivero Lamus Ninoska del Valle</v>
      </c>
      <c r="E435" s="1602" t="s">
        <v>4622</v>
      </c>
      <c r="F435" s="1153">
        <v>32351</v>
      </c>
      <c r="G435" s="1602" t="s">
        <v>4620</v>
      </c>
      <c r="H435" s="1572">
        <f>NOMINA!H396</f>
        <v>44805</v>
      </c>
      <c r="I435" s="1148">
        <f>NOMINA!I394</f>
        <v>3</v>
      </c>
      <c r="J435" s="1149">
        <f>NOMINA!J394</f>
        <v>0</v>
      </c>
      <c r="K435" s="1148">
        <f t="shared" si="26"/>
        <v>3</v>
      </c>
      <c r="L435" s="1149" t="s">
        <v>4932</v>
      </c>
      <c r="M435" s="1149"/>
      <c r="N435" s="1573" t="str">
        <f>NOMINA!O396</f>
        <v>Aseadora</v>
      </c>
      <c r="O435" s="1149">
        <v>1.02087691000006E+18</v>
      </c>
      <c r="P435" s="1150">
        <f>ROUND(+NOMINA!T396,2)</f>
        <v>130</v>
      </c>
      <c r="Q435" s="1151">
        <v>0</v>
      </c>
      <c r="R435" s="1151">
        <f>ROUND(+NOMINA!AA396,2)</f>
        <v>2.6</v>
      </c>
      <c r="S435" s="1151">
        <f>ROUND(+NOMINA!AB396,2)</f>
        <v>130</v>
      </c>
      <c r="T435" s="1151">
        <f>ROUND(+NOMINA!AC396,2)</f>
        <v>25</v>
      </c>
      <c r="U435" s="1151">
        <f>ROUND(+NOMINA!AD396,2)</f>
        <v>0</v>
      </c>
      <c r="V435" s="1151">
        <f>ROUND(NOMINA!AQ396,2)</f>
        <v>0</v>
      </c>
      <c r="W435" s="1151">
        <f>+NOMINA!AS396</f>
        <v>0</v>
      </c>
      <c r="X435" s="1151">
        <f>+NOMINA!AT396</f>
        <v>0</v>
      </c>
      <c r="Y435" s="1151">
        <f>+NOMINA!AU396</f>
        <v>287.60000000000002</v>
      </c>
      <c r="Z435" s="1151">
        <f>+NOMINA!BX396</f>
        <v>539.25</v>
      </c>
      <c r="AA435" s="1151">
        <f>+NOMINA!BY396</f>
        <v>0</v>
      </c>
      <c r="AB435" s="1151">
        <f t="shared" si="27"/>
        <v>539.25</v>
      </c>
      <c r="AD435" s="634"/>
      <c r="AH435" s="1610" t="str">
        <f>NOMINA!P396</f>
        <v>01020747950000559263</v>
      </c>
    </row>
    <row r="436" spans="1:34" s="629" customFormat="1" ht="19.5" customHeight="1" thickBot="1">
      <c r="A436" s="770"/>
      <c r="B436" s="771">
        <f t="shared" si="28"/>
        <v>85</v>
      </c>
      <c r="C436" s="1145">
        <f>NOMINA!C397</f>
        <v>26235670</v>
      </c>
      <c r="D436" s="1146" t="str">
        <f>NOMINA!D397</f>
        <v>Viloria Garcia Kieny Keyvit</v>
      </c>
      <c r="E436" s="1602" t="s">
        <v>4622</v>
      </c>
      <c r="F436" s="1153">
        <v>32351</v>
      </c>
      <c r="G436" s="1602" t="s">
        <v>4620</v>
      </c>
      <c r="H436" s="1572">
        <f>NOMINA!H397</f>
        <v>45597</v>
      </c>
      <c r="I436" s="1148">
        <f>NOMINA!I395</f>
        <v>3</v>
      </c>
      <c r="J436" s="1149">
        <f>NOMINA!J395</f>
        <v>0</v>
      </c>
      <c r="K436" s="1148">
        <f t="shared" si="26"/>
        <v>3</v>
      </c>
      <c r="L436" s="1149" t="s">
        <v>4932</v>
      </c>
      <c r="M436" s="1149"/>
      <c r="N436" s="1573" t="str">
        <f>NOMINA!O397</f>
        <v>Ayudante de Servicios Generales</v>
      </c>
      <c r="O436" s="1149">
        <v>1.02087691000006E+18</v>
      </c>
      <c r="P436" s="1150">
        <f>ROUND(+NOMINA!T397,2)</f>
        <v>142</v>
      </c>
      <c r="Q436" s="1151">
        <v>0</v>
      </c>
      <c r="R436" s="1151">
        <f>ROUND(+NOMINA!AA397,2)</f>
        <v>0</v>
      </c>
      <c r="S436" s="1151">
        <f>ROUND(+NOMINA!AB397,2)</f>
        <v>130</v>
      </c>
      <c r="T436" s="1151">
        <f>ROUND(+NOMINA!AC397,2)</f>
        <v>12.5</v>
      </c>
      <c r="U436" s="1151">
        <f>ROUND(+NOMINA!AD397,2)</f>
        <v>0</v>
      </c>
      <c r="V436" s="1151">
        <f>ROUND(NOMINA!AQ397,2)</f>
        <v>0</v>
      </c>
      <c r="W436" s="1151">
        <f>+NOMINA!AS397</f>
        <v>0</v>
      </c>
      <c r="X436" s="1151">
        <f>+NOMINA!AT397</f>
        <v>0</v>
      </c>
      <c r="Y436" s="1151">
        <f>+NOMINA!AU397</f>
        <v>284.5</v>
      </c>
      <c r="Z436" s="1151">
        <f>+NOMINA!BX397</f>
        <v>85.61</v>
      </c>
      <c r="AA436" s="1151">
        <f>+NOMINA!BY397</f>
        <v>0</v>
      </c>
      <c r="AB436" s="1151">
        <f t="shared" si="27"/>
        <v>85.61</v>
      </c>
      <c r="AD436" s="634"/>
      <c r="AH436" s="1610" t="str">
        <f>NOMINA!P397</f>
        <v>01020747950000398851</v>
      </c>
    </row>
    <row r="437" spans="1:34" s="629" customFormat="1" ht="19.5" customHeight="1" thickBot="1">
      <c r="A437" s="770"/>
      <c r="B437" s="771">
        <f t="shared" si="28"/>
        <v>86</v>
      </c>
      <c r="C437" s="1145">
        <f>NOMINA!C398</f>
        <v>26482867</v>
      </c>
      <c r="D437" s="1146" t="str">
        <f>NOMINA!D398</f>
        <v>Valecillos Duran Brando Jose</v>
      </c>
      <c r="E437" s="1602" t="s">
        <v>4622</v>
      </c>
      <c r="F437" s="1153">
        <v>32351</v>
      </c>
      <c r="G437" s="1602" t="s">
        <v>4620</v>
      </c>
      <c r="H437" s="1572">
        <f>NOMINA!H398</f>
        <v>45078</v>
      </c>
      <c r="I437" s="1148">
        <f>NOMINA!I396</f>
        <v>2</v>
      </c>
      <c r="J437" s="1149">
        <f>NOMINA!J396</f>
        <v>0</v>
      </c>
      <c r="K437" s="1148">
        <f t="shared" si="26"/>
        <v>2</v>
      </c>
      <c r="L437" s="1149" t="s">
        <v>4932</v>
      </c>
      <c r="M437" s="1149"/>
      <c r="N437" s="1573" t="str">
        <f>NOMINA!O398</f>
        <v>Ayudante de Servicios Generales</v>
      </c>
      <c r="O437" s="1149">
        <v>1.02087691000006E+18</v>
      </c>
      <c r="P437" s="1150">
        <f>ROUND(+NOMINA!T398,2)</f>
        <v>152</v>
      </c>
      <c r="Q437" s="1151">
        <v>0</v>
      </c>
      <c r="R437" s="1151">
        <f>ROUND(+NOMINA!AA398,2)</f>
        <v>1.52</v>
      </c>
      <c r="S437" s="1151">
        <f>ROUND(+NOMINA!AB398,2)</f>
        <v>130</v>
      </c>
      <c r="T437" s="1151">
        <f>ROUND(+NOMINA!AC398,2)</f>
        <v>0</v>
      </c>
      <c r="U437" s="1151">
        <f>ROUND(+NOMINA!AD398,2)</f>
        <v>0</v>
      </c>
      <c r="V437" s="1151">
        <f>ROUND(NOMINA!AQ398,2)</f>
        <v>0</v>
      </c>
      <c r="W437" s="1151">
        <f>+NOMINA!AS398</f>
        <v>0</v>
      </c>
      <c r="X437" s="1151">
        <f>+NOMINA!AT398</f>
        <v>0</v>
      </c>
      <c r="Y437" s="1151">
        <f>+NOMINA!AU398</f>
        <v>283.52</v>
      </c>
      <c r="Z437" s="1151">
        <f>+NOMINA!BX398</f>
        <v>531.6</v>
      </c>
      <c r="AA437" s="1151">
        <f>+NOMINA!BY398</f>
        <v>0</v>
      </c>
      <c r="AB437" s="1151">
        <f t="shared" si="27"/>
        <v>531.6</v>
      </c>
      <c r="AD437" s="634"/>
      <c r="AH437" s="1610" t="str">
        <f>NOMINA!P398</f>
        <v>01020494170000556541</v>
      </c>
    </row>
    <row r="438" spans="1:34" s="629" customFormat="1" ht="19.5" customHeight="1" thickBot="1">
      <c r="A438" s="770"/>
      <c r="B438" s="771">
        <f t="shared" si="28"/>
        <v>87</v>
      </c>
      <c r="C438" s="1145">
        <f>NOMINA!C399</f>
        <v>27415509</v>
      </c>
      <c r="D438" s="1146" t="str">
        <f>NOMINA!D399</f>
        <v>Barreto Rivero Luis Diego</v>
      </c>
      <c r="E438" s="1602" t="s">
        <v>4622</v>
      </c>
      <c r="F438" s="1153">
        <v>32351</v>
      </c>
      <c r="G438" s="1602" t="s">
        <v>4620</v>
      </c>
      <c r="H438" s="1572">
        <f>NOMINA!H399</f>
        <v>43678</v>
      </c>
      <c r="I438" s="1148">
        <f>NOMINA!I397</f>
        <v>0</v>
      </c>
      <c r="J438" s="1149">
        <f>NOMINA!J397</f>
        <v>0</v>
      </c>
      <c r="K438" s="1148">
        <f t="shared" si="26"/>
        <v>0</v>
      </c>
      <c r="L438" s="1149" t="s">
        <v>4932</v>
      </c>
      <c r="M438" s="1149"/>
      <c r="N438" s="1573" t="str">
        <f>NOMINA!O399</f>
        <v>Ayudante de Servicios Generales</v>
      </c>
      <c r="O438" s="1149">
        <v>1.02087691000006E+18</v>
      </c>
      <c r="P438" s="1150">
        <f>ROUND(+NOMINA!T399,2)</f>
        <v>152</v>
      </c>
      <c r="Q438" s="1151">
        <v>0</v>
      </c>
      <c r="R438" s="1151">
        <f>ROUND(+NOMINA!AA399,2)</f>
        <v>7.6</v>
      </c>
      <c r="S438" s="1151">
        <f>ROUND(+NOMINA!AB399,2)</f>
        <v>130</v>
      </c>
      <c r="T438" s="1151">
        <f>ROUND(+NOMINA!AC399,2)</f>
        <v>0</v>
      </c>
      <c r="U438" s="1151">
        <f>ROUND(+NOMINA!AD399,2)</f>
        <v>0</v>
      </c>
      <c r="V438" s="1151">
        <f>ROUND(NOMINA!AQ399,2)</f>
        <v>0</v>
      </c>
      <c r="W438" s="1151">
        <f>+NOMINA!AS399</f>
        <v>0</v>
      </c>
      <c r="X438" s="1151">
        <f>+NOMINA!AT399</f>
        <v>0</v>
      </c>
      <c r="Y438" s="1151">
        <f>+NOMINA!AU399</f>
        <v>289.60000000000002</v>
      </c>
      <c r="Z438" s="1151">
        <f>+NOMINA!BX399</f>
        <v>543</v>
      </c>
      <c r="AA438" s="1151">
        <f>+NOMINA!BY399</f>
        <v>0</v>
      </c>
      <c r="AB438" s="1151">
        <f t="shared" si="27"/>
        <v>543</v>
      </c>
      <c r="AD438" s="634"/>
      <c r="AH438" s="1610" t="str">
        <f>NOMINA!P399</f>
        <v>01020369460000565008</v>
      </c>
    </row>
    <row r="439" spans="1:34" s="629" customFormat="1" ht="19.5" customHeight="1" thickBot="1">
      <c r="A439" s="770"/>
      <c r="B439" s="771">
        <f t="shared" si="28"/>
        <v>88</v>
      </c>
      <c r="C439" s="1145">
        <f>NOMINA!C400</f>
        <v>27470077</v>
      </c>
      <c r="D439" s="1146" t="str">
        <f>NOMINA!D400</f>
        <v>Gonzalez Castellanos Yusberly Yohandri</v>
      </c>
      <c r="E439" s="1602" t="s">
        <v>4622</v>
      </c>
      <c r="F439" s="1153">
        <v>32351</v>
      </c>
      <c r="G439" s="1602" t="s">
        <v>4620</v>
      </c>
      <c r="H439" s="1572">
        <f>NOMINA!H400</f>
        <v>44743</v>
      </c>
      <c r="I439" s="1148">
        <f>NOMINA!I398</f>
        <v>1</v>
      </c>
      <c r="J439" s="1149">
        <f>NOMINA!J398</f>
        <v>0</v>
      </c>
      <c r="K439" s="1148">
        <f t="shared" si="26"/>
        <v>1</v>
      </c>
      <c r="L439" s="1149" t="s">
        <v>4932</v>
      </c>
      <c r="M439" s="1149"/>
      <c r="N439" s="1573" t="str">
        <f>NOMINA!O400</f>
        <v>Aseadora</v>
      </c>
      <c r="O439" s="1149">
        <v>1.02087691000006E+18</v>
      </c>
      <c r="P439" s="1150">
        <f>ROUND(+NOMINA!T400,2)</f>
        <v>130</v>
      </c>
      <c r="Q439" s="1151">
        <v>0</v>
      </c>
      <c r="R439" s="1151">
        <f>ROUND(+NOMINA!AA400,2)</f>
        <v>2.6</v>
      </c>
      <c r="S439" s="1151">
        <f>ROUND(+NOMINA!AB400,2)</f>
        <v>130</v>
      </c>
      <c r="T439" s="1151">
        <f>ROUND(+NOMINA!AC400,2)</f>
        <v>12.5</v>
      </c>
      <c r="U439" s="1151">
        <f>ROUND(+NOMINA!AD400,2)</f>
        <v>0</v>
      </c>
      <c r="V439" s="1151">
        <f>ROUND(NOMINA!AQ400,2)</f>
        <v>0</v>
      </c>
      <c r="W439" s="1151">
        <f>+NOMINA!AS400</f>
        <v>0</v>
      </c>
      <c r="X439" s="1151">
        <f>+NOMINA!AT400</f>
        <v>0</v>
      </c>
      <c r="Y439" s="1151">
        <f>+NOMINA!AU400</f>
        <v>275.10000000000002</v>
      </c>
      <c r="Z439" s="1151">
        <f>+NOMINA!BX400</f>
        <v>515.80999999999995</v>
      </c>
      <c r="AA439" s="1151">
        <f>+NOMINA!BY400</f>
        <v>0</v>
      </c>
      <c r="AB439" s="1151">
        <f t="shared" si="27"/>
        <v>515.80999999999995</v>
      </c>
      <c r="AD439" s="634"/>
      <c r="AH439" s="1610" t="str">
        <f>NOMINA!P400</f>
        <v>01020747900000537395</v>
      </c>
    </row>
    <row r="440" spans="1:34" s="629" customFormat="1" ht="19.5" customHeight="1" thickBot="1">
      <c r="A440" s="770"/>
      <c r="B440" s="771">
        <f t="shared" si="28"/>
        <v>89</v>
      </c>
      <c r="C440" s="1145" t="e">
        <f>NOMINA!#REF!</f>
        <v>#REF!</v>
      </c>
      <c r="D440" s="1146" t="e">
        <f>NOMINA!#REF!</f>
        <v>#REF!</v>
      </c>
      <c r="E440" s="1602" t="s">
        <v>4622</v>
      </c>
      <c r="F440" s="1153">
        <v>32351</v>
      </c>
      <c r="G440" s="1602" t="s">
        <v>4620</v>
      </c>
      <c r="H440" s="1572" t="e">
        <f>NOMINA!#REF!</f>
        <v>#REF!</v>
      </c>
      <c r="I440" s="1148">
        <f>NOMINA!I399</f>
        <v>5</v>
      </c>
      <c r="J440" s="1149">
        <f>NOMINA!J399</f>
        <v>0</v>
      </c>
      <c r="K440" s="1148">
        <f t="shared" si="26"/>
        <v>5</v>
      </c>
      <c r="L440" s="1149" t="s">
        <v>4932</v>
      </c>
      <c r="M440" s="1149"/>
      <c r="N440" s="1573" t="e">
        <f>NOMINA!#REF!</f>
        <v>#REF!</v>
      </c>
      <c r="O440" s="1149">
        <v>1.02087691000006E+18</v>
      </c>
      <c r="P440" s="1150" t="e">
        <f>ROUND(+NOMINA!#REF!,2)</f>
        <v>#REF!</v>
      </c>
      <c r="Q440" s="1151">
        <v>0</v>
      </c>
      <c r="R440" s="1151" t="e">
        <f>ROUND(+NOMINA!#REF!,2)</f>
        <v>#REF!</v>
      </c>
      <c r="S440" s="1151" t="e">
        <f>ROUND(+NOMINA!#REF!,2)</f>
        <v>#REF!</v>
      </c>
      <c r="T440" s="1151" t="e">
        <f>ROUND(+NOMINA!#REF!,2)</f>
        <v>#REF!</v>
      </c>
      <c r="U440" s="1151" t="e">
        <f>ROUND(+NOMINA!#REF!,2)</f>
        <v>#REF!</v>
      </c>
      <c r="V440" s="1151" t="e">
        <f>ROUND(NOMINA!#REF!,2)</f>
        <v>#REF!</v>
      </c>
      <c r="W440" s="1151" t="e">
        <f>+NOMINA!#REF!</f>
        <v>#REF!</v>
      </c>
      <c r="X440" s="1151" t="e">
        <f>+NOMINA!#REF!</f>
        <v>#REF!</v>
      </c>
      <c r="Y440" s="1151" t="e">
        <f>+NOMINA!#REF!</f>
        <v>#REF!</v>
      </c>
      <c r="Z440" s="1151" t="e">
        <f>+NOMINA!#REF!</f>
        <v>#REF!</v>
      </c>
      <c r="AA440" s="1151" t="e">
        <f>+NOMINA!#REF!</f>
        <v>#REF!</v>
      </c>
      <c r="AB440" s="1151" t="e">
        <f t="shared" si="27"/>
        <v>#REF!</v>
      </c>
      <c r="AD440" s="634"/>
      <c r="AH440" s="1610" t="e">
        <f>NOMINA!#REF!</f>
        <v>#REF!</v>
      </c>
    </row>
    <row r="441" spans="1:34" s="629" customFormat="1" ht="19.5" customHeight="1" thickBot="1">
      <c r="A441" s="770"/>
      <c r="B441" s="771">
        <f t="shared" si="28"/>
        <v>90</v>
      </c>
      <c r="C441" s="1145">
        <f>NOMINA!C401</f>
        <v>29539270</v>
      </c>
      <c r="D441" s="1146" t="str">
        <f>NOMINA!D401</f>
        <v>Rojas Carrillo Laureano Augusto</v>
      </c>
      <c r="E441" s="1602" t="s">
        <v>4622</v>
      </c>
      <c r="F441" s="1153">
        <v>32351</v>
      </c>
      <c r="G441" s="1602" t="s">
        <v>4620</v>
      </c>
      <c r="H441" s="1572">
        <f>NOMINA!H401</f>
        <v>44287</v>
      </c>
      <c r="I441" s="1148">
        <f>NOMINA!I400</f>
        <v>2</v>
      </c>
      <c r="J441" s="1149">
        <f>NOMINA!J400</f>
        <v>0</v>
      </c>
      <c r="K441" s="1148">
        <f t="shared" si="26"/>
        <v>2</v>
      </c>
      <c r="L441" s="1149" t="s">
        <v>4932</v>
      </c>
      <c r="M441" s="1149"/>
      <c r="N441" s="1573" t="str">
        <f>NOMINA!O401</f>
        <v>Ayudante de Servicios Generales</v>
      </c>
      <c r="O441" s="1149">
        <v>1.02087691000006E+18</v>
      </c>
      <c r="P441" s="1150">
        <f>ROUND(+NOMINA!T401,2)</f>
        <v>152</v>
      </c>
      <c r="Q441" s="1151">
        <v>0</v>
      </c>
      <c r="R441" s="1151">
        <f>ROUND(+NOMINA!AA401,2)</f>
        <v>4.5599999999999996</v>
      </c>
      <c r="S441" s="1151">
        <f>ROUND(+NOMINA!AB401,2)</f>
        <v>130</v>
      </c>
      <c r="T441" s="1151">
        <f>ROUND(+NOMINA!AC401,2)</f>
        <v>0</v>
      </c>
      <c r="U441" s="1151">
        <f>ROUND(+NOMINA!AD401,2)</f>
        <v>0</v>
      </c>
      <c r="V441" s="1151">
        <f>ROUND(NOMINA!AQ401,2)</f>
        <v>0</v>
      </c>
      <c r="W441" s="1151">
        <f>+NOMINA!AS401</f>
        <v>0</v>
      </c>
      <c r="X441" s="1151">
        <f>+NOMINA!AT401</f>
        <v>0</v>
      </c>
      <c r="Y441" s="1151">
        <f>+NOMINA!AU401</f>
        <v>286.56</v>
      </c>
      <c r="Z441" s="1151">
        <f>+NOMINA!BX401</f>
        <v>537.29999999999995</v>
      </c>
      <c r="AA441" s="1151">
        <f>+NOMINA!BY401</f>
        <v>0</v>
      </c>
      <c r="AB441" s="1151">
        <f t="shared" si="27"/>
        <v>537.29999999999995</v>
      </c>
      <c r="AD441" s="634"/>
      <c r="AH441" s="1610" t="str">
        <f>NOMINA!P401</f>
        <v>01020369480000637842</v>
      </c>
    </row>
    <row r="442" spans="1:34" s="629" customFormat="1" ht="19.5" customHeight="1" thickBot="1">
      <c r="A442" s="770"/>
      <c r="B442" s="771">
        <f t="shared" si="28"/>
        <v>91</v>
      </c>
      <c r="C442" s="1145">
        <f>NOMINA!C402</f>
        <v>29994277</v>
      </c>
      <c r="D442" s="1146" t="str">
        <f>NOMINA!D402</f>
        <v>Quintero Rangel Jose Arsenio</v>
      </c>
      <c r="E442" s="1602" t="s">
        <v>4622</v>
      </c>
      <c r="F442" s="1153">
        <v>32351</v>
      </c>
      <c r="G442" s="1602" t="s">
        <v>4620</v>
      </c>
      <c r="H442" s="1572">
        <f>NOMINA!H402</f>
        <v>44562</v>
      </c>
      <c r="I442" s="1148" t="e">
        <f>NOMINA!#REF!</f>
        <v>#REF!</v>
      </c>
      <c r="J442" s="1149" t="e">
        <f>NOMINA!#REF!</f>
        <v>#REF!</v>
      </c>
      <c r="K442" s="1148" t="e">
        <f t="shared" si="26"/>
        <v>#REF!</v>
      </c>
      <c r="L442" s="1149" t="s">
        <v>4932</v>
      </c>
      <c r="M442" s="1149"/>
      <c r="N442" s="1573" t="str">
        <f>NOMINA!O402</f>
        <v>Ayudante de Servicios Generales</v>
      </c>
      <c r="O442" s="1149">
        <v>1.02087691000006E+18</v>
      </c>
      <c r="P442" s="1150">
        <f>ROUND(+NOMINA!T402,2)</f>
        <v>152</v>
      </c>
      <c r="Q442" s="1151">
        <v>0</v>
      </c>
      <c r="R442" s="1151">
        <f>ROUND(+NOMINA!AA402,2)</f>
        <v>4.5599999999999996</v>
      </c>
      <c r="S442" s="1151">
        <f>ROUND(+NOMINA!AB402,2)</f>
        <v>130</v>
      </c>
      <c r="T442" s="1151">
        <f>ROUND(+NOMINA!AC402,2)</f>
        <v>0</v>
      </c>
      <c r="U442" s="1151">
        <f>ROUND(+NOMINA!AD402,2)</f>
        <v>0</v>
      </c>
      <c r="V442" s="1151">
        <f>ROUND(NOMINA!AQ402,2)</f>
        <v>0</v>
      </c>
      <c r="W442" s="1151">
        <f>+NOMINA!AS402</f>
        <v>0</v>
      </c>
      <c r="X442" s="1151">
        <f>+NOMINA!AT402</f>
        <v>0</v>
      </c>
      <c r="Y442" s="1151">
        <f>+NOMINA!AU402</f>
        <v>286.56</v>
      </c>
      <c r="Z442" s="1151">
        <f>+NOMINA!BX402</f>
        <v>537.29999999999995</v>
      </c>
      <c r="AA442" s="1151">
        <f>+NOMINA!BY402</f>
        <v>0</v>
      </c>
      <c r="AB442" s="1151">
        <f t="shared" si="27"/>
        <v>537.29999999999995</v>
      </c>
      <c r="AD442" s="634"/>
      <c r="AH442" s="1610" t="str">
        <f>NOMINA!P402</f>
        <v>01020373280000573346</v>
      </c>
    </row>
    <row r="443" spans="1:34" s="629" customFormat="1" ht="19.5" customHeight="1" thickBot="1">
      <c r="A443" s="770" t="s">
        <v>2846</v>
      </c>
      <c r="B443" s="771">
        <f t="shared" si="28"/>
        <v>92</v>
      </c>
      <c r="C443" s="1145">
        <f>NOMINA!C403</f>
        <v>32084560</v>
      </c>
      <c r="D443" s="1146" t="str">
        <f>NOMINA!D403</f>
        <v>Hernandez Gomez Carmen Elena</v>
      </c>
      <c r="E443" s="1602" t="s">
        <v>4622</v>
      </c>
      <c r="F443" s="1153">
        <v>32351</v>
      </c>
      <c r="G443" s="1602" t="s">
        <v>4620</v>
      </c>
      <c r="H443" s="1572">
        <f>NOMINA!H403</f>
        <v>44348</v>
      </c>
      <c r="I443" s="1148">
        <f>NOMINA!I401</f>
        <v>3</v>
      </c>
      <c r="J443" s="1149">
        <f>NOMINA!J401</f>
        <v>0</v>
      </c>
      <c r="K443" s="1148">
        <f t="shared" si="26"/>
        <v>3</v>
      </c>
      <c r="L443" s="1149" t="s">
        <v>4932</v>
      </c>
      <c r="M443" s="1149"/>
      <c r="N443" s="1573" t="str">
        <f>NOMINA!O403</f>
        <v xml:space="preserve">Cocinera </v>
      </c>
      <c r="O443" s="1149">
        <v>1.02087691000006E+18</v>
      </c>
      <c r="P443" s="1150">
        <f>ROUND(+NOMINA!T403,2)</f>
        <v>171</v>
      </c>
      <c r="Q443" s="1151">
        <v>0</v>
      </c>
      <c r="R443" s="1151">
        <f>ROUND(+NOMINA!AA403,2)</f>
        <v>5.13</v>
      </c>
      <c r="S443" s="1151">
        <f>ROUND(+NOMINA!AB403,2)</f>
        <v>130</v>
      </c>
      <c r="T443" s="1151">
        <f>ROUND(+NOMINA!AC403,2)</f>
        <v>0</v>
      </c>
      <c r="U443" s="1151">
        <f>ROUND(+NOMINA!AD403,2)</f>
        <v>0</v>
      </c>
      <c r="V443" s="1151">
        <f>ROUND(NOMINA!AQ403,2)</f>
        <v>0</v>
      </c>
      <c r="W443" s="1151">
        <f>+NOMINA!AS403</f>
        <v>0</v>
      </c>
      <c r="X443" s="1151">
        <f>+NOMINA!AT403</f>
        <v>0</v>
      </c>
      <c r="Y443" s="1151">
        <f>+NOMINA!AU403</f>
        <v>306.13</v>
      </c>
      <c r="Z443" s="1151">
        <f>+NOMINA!BX403</f>
        <v>574</v>
      </c>
      <c r="AA443" s="1151">
        <f>+NOMINA!BY403</f>
        <v>0</v>
      </c>
      <c r="AB443" s="1151">
        <f t="shared" si="27"/>
        <v>574</v>
      </c>
      <c r="AD443" s="634"/>
      <c r="AH443" s="1610" t="str">
        <f>NOMINA!P403</f>
        <v>01020373230000793906</v>
      </c>
    </row>
    <row r="444" spans="1:34" s="629" customFormat="1" ht="19.5" customHeight="1" thickBot="1">
      <c r="A444" s="708"/>
      <c r="B444" s="676"/>
      <c r="C444" s="678" t="s">
        <v>4493</v>
      </c>
      <c r="D444" s="677"/>
      <c r="E444" s="677"/>
      <c r="F444" s="677"/>
      <c r="G444" s="677"/>
      <c r="H444" s="678"/>
      <c r="I444" s="677"/>
      <c r="J444" s="677"/>
      <c r="K444" s="677"/>
      <c r="L444" s="677"/>
      <c r="M444" s="677"/>
      <c r="N444" s="677"/>
      <c r="O444" s="677"/>
      <c r="P444" s="679" t="e">
        <f t="shared" ref="P444:AB444" si="29">SUM(P352:P443)</f>
        <v>#REF!</v>
      </c>
      <c r="Q444" s="679">
        <f t="shared" si="29"/>
        <v>0</v>
      </c>
      <c r="R444" s="679" t="e">
        <f t="shared" si="29"/>
        <v>#REF!</v>
      </c>
      <c r="S444" s="679" t="e">
        <f t="shared" si="29"/>
        <v>#REF!</v>
      </c>
      <c r="T444" s="679" t="e">
        <f t="shared" si="29"/>
        <v>#REF!</v>
      </c>
      <c r="U444" s="679" t="e">
        <f t="shared" si="29"/>
        <v>#REF!</v>
      </c>
      <c r="V444" s="679" t="e">
        <f t="shared" si="29"/>
        <v>#REF!</v>
      </c>
      <c r="W444" s="679" t="e">
        <f t="shared" si="29"/>
        <v>#REF!</v>
      </c>
      <c r="X444" s="679" t="e">
        <f t="shared" si="29"/>
        <v>#REF!</v>
      </c>
      <c r="Y444" s="679" t="e">
        <f t="shared" si="29"/>
        <v>#REF!</v>
      </c>
      <c r="Z444" s="679" t="e">
        <f t="shared" si="29"/>
        <v>#REF!</v>
      </c>
      <c r="AA444" s="679" t="e">
        <f t="shared" si="29"/>
        <v>#REF!</v>
      </c>
      <c r="AB444" s="1579" t="e">
        <f t="shared" si="29"/>
        <v>#REF!</v>
      </c>
      <c r="AC444" s="634"/>
      <c r="AD444" s="634"/>
      <c r="AH444" s="677"/>
    </row>
    <row r="445" spans="1:34" s="629" customFormat="1">
      <c r="A445" s="1603"/>
      <c r="B445" s="628"/>
      <c r="D445" s="631"/>
      <c r="F445" s="631"/>
      <c r="G445" s="1603"/>
      <c r="H445" s="710"/>
      <c r="P445" s="628"/>
      <c r="Q445" s="628"/>
      <c r="R445" s="628"/>
      <c r="S445" s="628"/>
      <c r="T445" s="628"/>
      <c r="U445" s="628"/>
      <c r="V445" s="628"/>
      <c r="W445" s="741"/>
      <c r="X445" s="741"/>
      <c r="Y445" s="741"/>
      <c r="Z445" s="741"/>
      <c r="AA445" s="741"/>
      <c r="AD445" s="634"/>
      <c r="AH445" s="631"/>
    </row>
    <row r="446" spans="1:34" s="629" customFormat="1" ht="15.75" customHeight="1" thickBot="1">
      <c r="A446" s="1603"/>
      <c r="B446" s="628"/>
      <c r="D446" s="631"/>
      <c r="F446" s="631"/>
      <c r="G446" s="1603"/>
      <c r="H446" s="710"/>
      <c r="P446" s="628"/>
      <c r="Q446" s="628"/>
      <c r="R446" s="628"/>
      <c r="S446" s="628"/>
      <c r="T446" s="628"/>
      <c r="U446" s="628"/>
      <c r="V446" s="628"/>
      <c r="W446" s="741"/>
      <c r="X446" s="741"/>
      <c r="Y446" s="741"/>
      <c r="Z446" s="741"/>
      <c r="AA446" s="741"/>
      <c r="AH446" s="631"/>
    </row>
    <row r="447" spans="1:34" s="711" customFormat="1" ht="28.5" customHeight="1" thickBot="1">
      <c r="B447" s="771">
        <f ca="1">+B443+B335+B57+B14</f>
        <v>387</v>
      </c>
      <c r="C447" s="713"/>
      <c r="D447" s="714"/>
      <c r="E447" s="715"/>
      <c r="F447" s="714"/>
      <c r="G447" s="715"/>
      <c r="H447" s="1580" t="s">
        <v>2875</v>
      </c>
      <c r="I447" s="715"/>
      <c r="J447" s="715"/>
      <c r="K447" s="715"/>
      <c r="L447" s="715"/>
      <c r="M447" s="715"/>
      <c r="N447" s="825"/>
      <c r="O447" s="715"/>
      <c r="P447" s="717" t="e">
        <f>P15*0+P58+P336+P444</f>
        <v>#REF!</v>
      </c>
      <c r="Q447" s="717">
        <f t="shared" ref="Q447:AB447" si="30">Q15+Q58+Q336+Q444</f>
        <v>0</v>
      </c>
      <c r="R447" s="717" t="e">
        <f t="shared" si="30"/>
        <v>#REF!</v>
      </c>
      <c r="S447" s="717" t="e">
        <f t="shared" si="30"/>
        <v>#REF!</v>
      </c>
      <c r="T447" s="717" t="e">
        <f t="shared" si="30"/>
        <v>#REF!</v>
      </c>
      <c r="U447" s="717" t="e">
        <f t="shared" si="30"/>
        <v>#REF!</v>
      </c>
      <c r="V447" s="717" t="e">
        <f t="shared" si="30"/>
        <v>#REF!</v>
      </c>
      <c r="W447" s="717" t="e">
        <f t="shared" si="30"/>
        <v>#REF!</v>
      </c>
      <c r="X447" s="717" t="e">
        <f t="shared" si="30"/>
        <v>#REF!</v>
      </c>
      <c r="Y447" s="717" t="e">
        <f t="shared" si="30"/>
        <v>#REF!</v>
      </c>
      <c r="Z447" s="717" t="e">
        <f t="shared" si="30"/>
        <v>#REF!</v>
      </c>
      <c r="AA447" s="717" t="e">
        <f t="shared" si="30"/>
        <v>#REF!</v>
      </c>
      <c r="AB447" s="717" t="e">
        <f t="shared" si="30"/>
        <v>#REF!</v>
      </c>
      <c r="AC447" s="634"/>
      <c r="AD447" s="634"/>
    </row>
    <row r="448" spans="1:34" s="629" customFormat="1" ht="21.75" customHeight="1">
      <c r="A448" s="1603"/>
      <c r="B448" s="628"/>
      <c r="D448" s="631"/>
      <c r="F448" s="631"/>
      <c r="G448" s="1603"/>
      <c r="H448" s="632"/>
      <c r="I448" s="1603"/>
      <c r="J448" s="1603"/>
      <c r="K448" s="1603"/>
      <c r="L448" s="1603"/>
      <c r="M448" s="1603"/>
      <c r="O448" s="1603"/>
      <c r="P448" s="633"/>
      <c r="Q448" s="633"/>
      <c r="R448" s="633"/>
      <c r="S448" s="633"/>
      <c r="T448" s="633"/>
      <c r="U448" s="633"/>
      <c r="V448" s="633"/>
      <c r="W448" s="741"/>
      <c r="X448" s="741"/>
      <c r="Y448" s="741"/>
      <c r="Z448" s="741"/>
      <c r="AA448" s="741"/>
      <c r="AB448" s="634"/>
    </row>
    <row r="449" spans="1:28" s="629" customFormat="1">
      <c r="A449" s="1603"/>
      <c r="B449" s="720"/>
      <c r="C449" s="721"/>
      <c r="D449" s="722"/>
      <c r="F449" s="631"/>
      <c r="G449" s="1603"/>
      <c r="H449" s="710"/>
      <c r="P449" s="633"/>
      <c r="Q449" s="633"/>
      <c r="R449" s="633"/>
      <c r="S449" s="633"/>
      <c r="T449" s="633"/>
      <c r="U449" s="633"/>
      <c r="V449" s="633"/>
      <c r="W449" s="741"/>
      <c r="X449" s="741"/>
      <c r="Y449" s="741"/>
      <c r="Z449" s="741"/>
      <c r="AA449" s="741"/>
      <c r="AB449" s="634"/>
    </row>
    <row r="450" spans="1:28" s="629" customFormat="1">
      <c r="A450" s="1603"/>
      <c r="B450" s="628"/>
      <c r="D450" s="631"/>
      <c r="F450" s="631"/>
      <c r="G450" s="1603"/>
      <c r="H450" s="632"/>
      <c r="I450" s="1603"/>
      <c r="J450" s="1603"/>
      <c r="K450" s="1603"/>
      <c r="L450" s="1603"/>
      <c r="M450" s="1603"/>
      <c r="P450" s="633"/>
      <c r="Q450" s="633"/>
      <c r="R450" s="633"/>
      <c r="S450" s="633"/>
      <c r="T450" s="633"/>
      <c r="U450" s="633"/>
      <c r="V450" s="633"/>
      <c r="W450" s="741"/>
      <c r="X450" s="741"/>
      <c r="Y450" s="741"/>
      <c r="Z450" s="741"/>
      <c r="AA450" s="741"/>
      <c r="AB450" s="634"/>
    </row>
    <row r="451" spans="1:28" s="629" customFormat="1">
      <c r="A451" s="1603"/>
      <c r="C451" s="723"/>
      <c r="D451" s="735" t="s">
        <v>5860</v>
      </c>
      <c r="E451" s="725"/>
      <c r="F451" s="725"/>
      <c r="G451" s="725"/>
      <c r="I451" s="724"/>
      <c r="L451" s="725"/>
      <c r="M451" s="725"/>
      <c r="N451" s="725"/>
      <c r="O451" s="725"/>
      <c r="P451" s="726" t="s">
        <v>5861</v>
      </c>
      <c r="Q451" s="726" t="s">
        <v>5861</v>
      </c>
      <c r="R451" s="725"/>
      <c r="S451" s="725"/>
      <c r="T451" s="725"/>
      <c r="U451" s="826"/>
      <c r="V451" s="826"/>
      <c r="W451" s="725"/>
      <c r="X451" s="725"/>
      <c r="Y451" s="724" t="s">
        <v>5862</v>
      </c>
      <c r="Z451" s="724"/>
      <c r="AA451" s="724"/>
      <c r="AB451" s="634"/>
    </row>
    <row r="452" spans="1:28" s="629" customFormat="1">
      <c r="A452" s="1603"/>
      <c r="B452" s="723"/>
      <c r="C452" s="723"/>
      <c r="D452" s="727"/>
      <c r="E452" s="725"/>
      <c r="F452" s="725"/>
      <c r="G452" s="725"/>
      <c r="I452" s="723"/>
      <c r="L452" s="725"/>
      <c r="M452" s="725"/>
      <c r="N452" s="728"/>
      <c r="O452" s="725"/>
      <c r="P452" s="728"/>
      <c r="Q452" s="728"/>
      <c r="R452" s="725"/>
      <c r="S452" s="725"/>
      <c r="T452" s="725"/>
      <c r="U452" s="728"/>
      <c r="V452" s="728"/>
      <c r="W452" s="725"/>
      <c r="X452" s="725"/>
      <c r="Y452" s="729"/>
      <c r="Z452" s="729"/>
      <c r="AA452" s="729"/>
      <c r="AB452" s="634"/>
    </row>
    <row r="453" spans="1:28" s="629" customFormat="1">
      <c r="A453" s="1603"/>
      <c r="B453" s="730"/>
      <c r="C453" s="731"/>
      <c r="D453" s="732"/>
      <c r="E453" s="733"/>
      <c r="F453" s="733"/>
      <c r="G453" s="733"/>
      <c r="I453" s="730"/>
      <c r="L453" s="733"/>
      <c r="M453" s="733"/>
      <c r="N453" s="826"/>
      <c r="O453" s="733"/>
      <c r="P453" s="731"/>
      <c r="Q453" s="731"/>
      <c r="R453" s="733"/>
      <c r="S453" s="733"/>
      <c r="T453" s="733"/>
      <c r="U453" s="733"/>
      <c r="V453" s="733"/>
      <c r="W453" s="733"/>
      <c r="X453" s="733"/>
      <c r="Y453" s="724"/>
      <c r="Z453" s="724"/>
      <c r="AA453" s="724"/>
      <c r="AB453" s="634"/>
    </row>
    <row r="454" spans="1:28" s="629" customFormat="1">
      <c r="A454" s="1603"/>
      <c r="B454" s="734" t="s">
        <v>6879</v>
      </c>
      <c r="C454" s="735"/>
      <c r="D454" s="733"/>
      <c r="E454" s="733"/>
      <c r="F454" s="733"/>
      <c r="G454" s="733"/>
      <c r="H454" s="734" t="s">
        <v>6152</v>
      </c>
      <c r="I454" s="734"/>
      <c r="L454" s="733"/>
      <c r="M454" s="733"/>
      <c r="N454" s="733"/>
      <c r="O454" s="733"/>
      <c r="P454" s="736" t="s">
        <v>5863</v>
      </c>
      <c r="Q454" s="736" t="s">
        <v>5863</v>
      </c>
      <c r="R454" s="733"/>
      <c r="S454" s="733"/>
      <c r="T454" s="733"/>
      <c r="U454" s="733"/>
      <c r="V454" s="733"/>
      <c r="W454" s="733"/>
      <c r="X454" s="733"/>
      <c r="Y454" s="724" t="s">
        <v>5874</v>
      </c>
      <c r="Z454" s="724"/>
      <c r="AA454" s="724"/>
      <c r="AB454" s="634"/>
    </row>
    <row r="455" spans="1:28" s="629" customFormat="1">
      <c r="A455" s="1603"/>
      <c r="B455" s="734" t="s">
        <v>6880</v>
      </c>
      <c r="C455" s="735"/>
      <c r="D455" s="733"/>
      <c r="E455" s="733"/>
      <c r="F455" s="733"/>
      <c r="G455" s="733"/>
      <c r="H455" s="734" t="s">
        <v>6153</v>
      </c>
      <c r="I455" s="734"/>
      <c r="L455" s="733"/>
      <c r="M455" s="733"/>
      <c r="N455" s="733"/>
      <c r="O455" s="733"/>
      <c r="P455" s="736" t="s">
        <v>5865</v>
      </c>
      <c r="Q455" s="736" t="s">
        <v>5865</v>
      </c>
      <c r="R455" s="733"/>
      <c r="S455" s="733"/>
      <c r="T455" s="733"/>
      <c r="U455" s="733"/>
      <c r="V455" s="733"/>
      <c r="W455" s="733"/>
      <c r="X455" s="733"/>
      <c r="Y455" s="734" t="s">
        <v>5866</v>
      </c>
      <c r="Z455" s="734"/>
      <c r="AA455" s="734"/>
      <c r="AB455" s="634"/>
    </row>
    <row r="456" spans="1:28" s="629" customFormat="1">
      <c r="A456" s="1603"/>
      <c r="B456" s="734" t="s">
        <v>5244</v>
      </c>
      <c r="C456" s="735"/>
      <c r="D456" s="733"/>
      <c r="E456" s="733"/>
      <c r="F456" s="733"/>
      <c r="G456" s="733"/>
      <c r="H456" s="734" t="s">
        <v>5265</v>
      </c>
      <c r="I456" s="734"/>
      <c r="L456" s="733"/>
      <c r="M456" s="733"/>
      <c r="N456" s="733"/>
      <c r="O456" s="733"/>
      <c r="P456" s="736" t="s">
        <v>5867</v>
      </c>
      <c r="Q456" s="736" t="s">
        <v>5867</v>
      </c>
      <c r="R456" s="733"/>
      <c r="S456" s="733"/>
      <c r="T456" s="733"/>
      <c r="U456" s="733"/>
      <c r="V456" s="733"/>
      <c r="W456" s="733"/>
      <c r="X456" s="733"/>
      <c r="Y456" s="724" t="s">
        <v>5868</v>
      </c>
      <c r="Z456" s="724"/>
      <c r="AA456" s="724"/>
      <c r="AB456" s="634"/>
    </row>
    <row r="457" spans="1:28" s="629" customFormat="1">
      <c r="A457" s="1603"/>
      <c r="B457" s="628"/>
      <c r="D457" s="631"/>
      <c r="F457" s="631"/>
      <c r="G457" s="1603"/>
      <c r="H457" s="632"/>
      <c r="I457" s="1724"/>
      <c r="J457" s="1724"/>
      <c r="K457" s="1603"/>
      <c r="L457" s="1603"/>
      <c r="M457" s="1603"/>
      <c r="P457" s="633"/>
      <c r="Q457" s="633"/>
      <c r="R457" s="633"/>
      <c r="S457" s="633"/>
      <c r="T457" s="633"/>
      <c r="U457" s="633"/>
      <c r="V457" s="633"/>
      <c r="W457" s="741"/>
      <c r="X457" s="741"/>
      <c r="Y457" s="741"/>
      <c r="Z457" s="741"/>
      <c r="AA457" s="741"/>
      <c r="AB457" s="634"/>
    </row>
    <row r="458" spans="1:28" s="629" customFormat="1">
      <c r="A458" s="1603"/>
      <c r="B458" s="628"/>
      <c r="D458" s="631"/>
      <c r="F458" s="631"/>
      <c r="G458" s="1603"/>
      <c r="H458" s="632"/>
      <c r="I458" s="1724"/>
      <c r="J458" s="1724"/>
      <c r="K458" s="1603"/>
      <c r="L458" s="1603"/>
      <c r="M458" s="1603"/>
      <c r="P458" s="633"/>
      <c r="Q458" s="633"/>
      <c r="R458" s="633"/>
      <c r="S458" s="633"/>
      <c r="T458" s="633"/>
      <c r="U458" s="633"/>
      <c r="V458" s="633"/>
      <c r="W458" s="741"/>
      <c r="X458" s="741"/>
      <c r="Y458" s="741"/>
      <c r="Z458" s="741"/>
      <c r="AA458" s="741"/>
      <c r="AB458" s="634"/>
    </row>
    <row r="459" spans="1:28" ht="12">
      <c r="A459" s="265"/>
      <c r="B459" s="265"/>
      <c r="D459" s="265"/>
      <c r="F459" s="265"/>
      <c r="G459" s="265"/>
      <c r="H459" s="265"/>
      <c r="I459" s="265"/>
      <c r="J459" s="265"/>
      <c r="K459" s="265"/>
      <c r="L459" s="265"/>
      <c r="M459" s="265"/>
      <c r="P459" s="739"/>
      <c r="Q459" s="739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</row>
    <row r="460" spans="1:28" ht="12">
      <c r="A460" s="265"/>
      <c r="B460" s="265"/>
      <c r="D460" s="265"/>
      <c r="F460" s="265"/>
      <c r="G460" s="265"/>
      <c r="H460" s="265"/>
      <c r="I460" s="265"/>
      <c r="J460" s="265"/>
      <c r="K460" s="265"/>
      <c r="L460" s="265"/>
      <c r="M460" s="265"/>
      <c r="P460" s="739"/>
      <c r="Q460" s="739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</row>
    <row r="461" spans="1:28" ht="12">
      <c r="A461" s="265"/>
      <c r="B461" s="265"/>
      <c r="D461" s="265"/>
      <c r="F461" s="265"/>
      <c r="G461" s="265"/>
      <c r="H461" s="265"/>
      <c r="I461" s="265"/>
      <c r="J461" s="265"/>
      <c r="K461" s="265"/>
      <c r="L461" s="265"/>
      <c r="M461" s="265"/>
      <c r="P461" s="739"/>
      <c r="Q461" s="739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</row>
    <row r="462" spans="1:28" ht="12">
      <c r="A462" s="265"/>
      <c r="B462" s="265"/>
      <c r="D462" s="265"/>
      <c r="F462" s="265"/>
      <c r="G462" s="265"/>
      <c r="H462" s="265"/>
      <c r="I462" s="265"/>
      <c r="J462" s="265"/>
      <c r="K462" s="265"/>
      <c r="L462" s="265"/>
      <c r="M462" s="265"/>
      <c r="P462" s="739"/>
      <c r="Q462" s="739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</row>
    <row r="463" spans="1:28" ht="12">
      <c r="A463" s="265"/>
      <c r="B463" s="265"/>
      <c r="D463" s="265"/>
      <c r="F463" s="265"/>
      <c r="G463" s="265"/>
      <c r="H463" s="265"/>
      <c r="I463" s="265"/>
      <c r="J463" s="265"/>
      <c r="K463" s="265"/>
      <c r="L463" s="265"/>
      <c r="M463" s="265"/>
      <c r="P463" s="739"/>
      <c r="Q463" s="739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</row>
    <row r="464" spans="1:28" ht="12">
      <c r="A464" s="265"/>
      <c r="B464" s="265"/>
      <c r="D464" s="265"/>
      <c r="F464" s="265"/>
      <c r="G464" s="265"/>
      <c r="H464" s="265"/>
      <c r="I464" s="265"/>
      <c r="J464" s="265"/>
      <c r="K464" s="265"/>
      <c r="L464" s="265"/>
      <c r="M464" s="265"/>
      <c r="P464" s="739"/>
      <c r="Q464" s="739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</row>
    <row r="465" spans="1:28" ht="12">
      <c r="A465" s="265"/>
      <c r="B465" s="265"/>
      <c r="D465" s="265"/>
      <c r="F465" s="265"/>
      <c r="G465" s="265"/>
      <c r="H465" s="265"/>
      <c r="I465" s="265"/>
      <c r="J465" s="265"/>
      <c r="K465" s="265"/>
      <c r="L465" s="265"/>
      <c r="M465" s="265"/>
      <c r="P465" s="739"/>
      <c r="Q465" s="739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</row>
    <row r="466" spans="1:28" ht="12">
      <c r="A466" s="265"/>
      <c r="B466" s="265"/>
      <c r="D466" s="265"/>
      <c r="F466" s="265"/>
      <c r="G466" s="265"/>
      <c r="H466" s="265"/>
      <c r="I466" s="265"/>
      <c r="J466" s="265"/>
      <c r="K466" s="265"/>
      <c r="L466" s="265"/>
      <c r="M466" s="265"/>
      <c r="P466" s="739"/>
      <c r="Q466" s="739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</row>
    <row r="467" spans="1:28" ht="12">
      <c r="A467" s="265"/>
      <c r="B467" s="265"/>
      <c r="D467" s="265"/>
      <c r="F467" s="265"/>
      <c r="G467" s="265"/>
      <c r="H467" s="265"/>
      <c r="I467" s="265"/>
      <c r="J467" s="265"/>
      <c r="K467" s="265"/>
      <c r="L467" s="265"/>
      <c r="M467" s="265"/>
      <c r="P467" s="739"/>
      <c r="Q467" s="739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</row>
    <row r="468" spans="1:28" ht="12">
      <c r="A468" s="265"/>
      <c r="B468" s="265"/>
      <c r="D468" s="265"/>
      <c r="F468" s="265"/>
      <c r="G468" s="265"/>
      <c r="H468" s="265"/>
      <c r="I468" s="265"/>
      <c r="J468" s="265"/>
      <c r="K468" s="265"/>
      <c r="L468" s="265"/>
      <c r="M468" s="265"/>
      <c r="P468" s="739"/>
      <c r="Q468" s="739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</row>
    <row r="469" spans="1:28" ht="12">
      <c r="A469" s="265"/>
      <c r="B469" s="265"/>
      <c r="D469" s="265"/>
      <c r="F469" s="265"/>
      <c r="G469" s="265"/>
      <c r="H469" s="265"/>
      <c r="I469" s="265"/>
      <c r="J469" s="265"/>
      <c r="K469" s="265"/>
      <c r="L469" s="265"/>
      <c r="M469" s="265"/>
      <c r="P469" s="739"/>
      <c r="Q469" s="739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</row>
    <row r="470" spans="1:28" ht="12">
      <c r="A470" s="265"/>
      <c r="B470" s="265"/>
      <c r="D470" s="265"/>
      <c r="F470" s="265"/>
      <c r="G470" s="265"/>
      <c r="H470" s="265"/>
      <c r="I470" s="265"/>
      <c r="J470" s="265"/>
      <c r="K470" s="265"/>
      <c r="L470" s="265"/>
      <c r="M470" s="265"/>
      <c r="P470" s="739"/>
      <c r="Q470" s="739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</row>
    <row r="471" spans="1:28" ht="12">
      <c r="A471" s="265"/>
      <c r="B471" s="265"/>
      <c r="D471" s="265"/>
      <c r="F471" s="265"/>
      <c r="G471" s="265"/>
      <c r="H471" s="265"/>
      <c r="I471" s="265"/>
      <c r="J471" s="265"/>
      <c r="K471" s="265"/>
      <c r="L471" s="265"/>
      <c r="M471" s="265"/>
      <c r="P471" s="739"/>
      <c r="Q471" s="739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</row>
  </sheetData>
  <sheetProtection formatCells="0" formatColumns="0" formatRows="0" insertColumns="0" insertRows="0" deleteColumns="0" deleteRows="0" sort="0" autoFilter="0"/>
  <dataConsolidate/>
  <mergeCells count="5">
    <mergeCell ref="C9:J9"/>
    <mergeCell ref="L10:M10"/>
    <mergeCell ref="R10:S10"/>
    <mergeCell ref="I457:J457"/>
    <mergeCell ref="I458:J458"/>
  </mergeCells>
  <pageMargins left="0.39370078740157483" right="0" top="0.59055118110236227" bottom="0.59055118110236227" header="0.31496062992125984" footer="0.31496062992125984"/>
  <pageSetup paperSize="14" scale="48" orientation="landscape" r:id="rId1"/>
  <rowBreaks count="3" manualBreakCount="3">
    <brk id="31" min="1" max="45" man="1"/>
    <brk id="66" min="1" max="45" man="1"/>
    <brk id="350" min="1" max="4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rgb="FFFF0000"/>
  </sheetPr>
  <dimension ref="A1:BC531"/>
  <sheetViews>
    <sheetView view="pageBreakPreview" topLeftCell="B11" zoomScale="85" zoomScaleNormal="60" zoomScaleSheetLayoutView="85" workbookViewId="0">
      <pane ySplit="1305" activePane="bottomLeft"/>
      <selection sqref="A1:F1"/>
      <selection pane="bottomLeft" activeCell="L403" sqref="L403"/>
    </sheetView>
  </sheetViews>
  <sheetFormatPr baseColWidth="10" defaultRowHeight="15"/>
  <cols>
    <col min="1" max="1" width="16.5703125" style="603" hidden="1" customWidth="1"/>
    <col min="2" max="2" width="7.5703125" style="263" customWidth="1"/>
    <col min="3" max="3" width="16.140625" style="265" customWidth="1"/>
    <col min="4" max="4" width="50.7109375" style="737" customWidth="1"/>
    <col min="5" max="5" width="13.42578125" style="265" hidden="1" customWidth="1"/>
    <col min="6" max="6" width="17" style="737" hidden="1" customWidth="1"/>
    <col min="7" max="7" width="8.7109375" style="603" hidden="1" customWidth="1"/>
    <col min="8" max="8" width="17.5703125" style="738" customWidth="1"/>
    <col min="9" max="9" width="15" style="603" customWidth="1"/>
    <col min="10" max="10" width="15.28515625" style="603" customWidth="1"/>
    <col min="11" max="11" width="10.140625" style="603" customWidth="1"/>
    <col min="12" max="12" width="18.5703125" style="739" customWidth="1"/>
    <col min="13" max="13" width="15.140625" style="740" hidden="1" customWidth="1"/>
    <col min="14" max="14" width="12.85546875" style="740" hidden="1" customWidth="1"/>
    <col min="15" max="17" width="13.5703125" style="740" hidden="1" customWidth="1"/>
    <col min="18" max="18" width="16.140625" style="740" hidden="1" customWidth="1"/>
    <col min="19" max="24" width="14.28515625" style="740" hidden="1" customWidth="1"/>
    <col min="25" max="26" width="20.7109375" style="740" hidden="1" customWidth="1"/>
    <col min="27" max="27" width="19" style="740" hidden="1" customWidth="1"/>
    <col min="28" max="28" width="17.7109375" style="740" hidden="1" customWidth="1"/>
    <col min="29" max="30" width="14.28515625" style="740" hidden="1" customWidth="1"/>
    <col min="31" max="31" width="13.5703125" style="740" hidden="1" customWidth="1"/>
    <col min="32" max="32" width="14.7109375" style="265" customWidth="1"/>
    <col min="33" max="35" width="13.5703125" style="740" customWidth="1"/>
    <col min="36" max="41" width="11.42578125" style="265" customWidth="1"/>
    <col min="42" max="16384" width="11.42578125" style="265"/>
  </cols>
  <sheetData>
    <row r="1" spans="1:55" s="629" customFormat="1" ht="22.5" customHeight="1">
      <c r="A1" s="941"/>
      <c r="B1" s="628"/>
      <c r="D1" s="630" t="str">
        <f>F9</f>
        <v>MARZO</v>
      </c>
      <c r="F1" s="631"/>
      <c r="G1" s="941"/>
      <c r="H1" s="632"/>
      <c r="I1" s="941"/>
      <c r="J1" s="941"/>
      <c r="K1" s="941"/>
      <c r="L1" s="633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  <c r="Z1" s="634"/>
      <c r="AA1" s="634"/>
      <c r="AB1" s="634"/>
      <c r="AC1" s="634"/>
      <c r="AD1" s="634"/>
      <c r="AE1" s="634"/>
      <c r="AG1" s="634"/>
      <c r="AH1" s="634"/>
      <c r="AI1" s="634"/>
    </row>
    <row r="2" spans="1:55" s="629" customFormat="1" hidden="1">
      <c r="A2" s="941"/>
      <c r="B2" s="628"/>
      <c r="D2" s="631"/>
      <c r="F2" s="631"/>
      <c r="G2" s="941"/>
      <c r="H2" s="632"/>
      <c r="I2" s="941"/>
      <c r="J2" s="941"/>
      <c r="K2" s="941"/>
      <c r="L2" s="633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  <c r="Z2" s="634"/>
      <c r="AA2" s="634"/>
      <c r="AB2" s="634"/>
      <c r="AC2" s="634"/>
      <c r="AD2" s="634"/>
      <c r="AE2" s="634"/>
      <c r="AG2" s="634"/>
      <c r="AH2" s="634"/>
      <c r="AI2" s="634"/>
    </row>
    <row r="3" spans="1:55" s="629" customFormat="1" hidden="1">
      <c r="A3" s="941"/>
      <c r="B3" s="628"/>
      <c r="D3" s="631"/>
      <c r="F3" s="631"/>
      <c r="G3" s="941"/>
      <c r="H3" s="632"/>
      <c r="I3" s="941"/>
      <c r="J3" s="941"/>
      <c r="K3" s="941"/>
      <c r="L3" s="633"/>
      <c r="M3" s="634"/>
      <c r="N3" s="634"/>
      <c r="O3" s="634"/>
      <c r="P3" s="634"/>
      <c r="Q3" s="634"/>
      <c r="R3" s="634"/>
      <c r="S3" s="634"/>
      <c r="T3" s="634"/>
      <c r="U3" s="634"/>
      <c r="V3" s="634"/>
      <c r="W3" s="634"/>
      <c r="X3" s="634"/>
      <c r="Y3" s="634"/>
      <c r="Z3" s="634"/>
      <c r="AA3" s="634"/>
      <c r="AB3" s="634"/>
      <c r="AC3" s="634"/>
      <c r="AD3" s="634"/>
      <c r="AE3" s="634"/>
      <c r="AG3" s="634"/>
      <c r="AH3" s="634"/>
      <c r="AI3" s="634"/>
    </row>
    <row r="4" spans="1:55" s="629" customFormat="1" hidden="1">
      <c r="A4" s="941"/>
      <c r="B4" s="628"/>
      <c r="D4" s="631"/>
      <c r="F4" s="631"/>
      <c r="G4" s="941"/>
      <c r="H4" s="632"/>
      <c r="I4" s="941"/>
      <c r="J4" s="941"/>
      <c r="K4" s="941"/>
      <c r="L4" s="633"/>
      <c r="M4" s="634"/>
      <c r="N4" s="634"/>
      <c r="O4" s="634"/>
      <c r="P4" s="634"/>
      <c r="Q4" s="634"/>
      <c r="R4" s="634"/>
      <c r="S4" s="634"/>
      <c r="T4" s="634"/>
      <c r="U4" s="634"/>
      <c r="V4" s="634"/>
      <c r="W4" s="634"/>
      <c r="X4" s="634"/>
      <c r="Y4" s="634"/>
      <c r="Z4" s="634"/>
      <c r="AA4" s="634"/>
      <c r="AB4" s="634"/>
      <c r="AC4" s="634"/>
      <c r="AD4" s="634"/>
      <c r="AE4" s="634"/>
      <c r="AG4" s="634"/>
      <c r="AH4" s="634"/>
      <c r="AI4" s="634"/>
    </row>
    <row r="5" spans="1:55" s="629" customFormat="1">
      <c r="A5" s="941"/>
      <c r="B5" s="628"/>
      <c r="D5" s="631"/>
      <c r="F5" s="631"/>
      <c r="G5" s="941"/>
      <c r="H5" s="632"/>
      <c r="I5" s="941"/>
      <c r="J5" s="941"/>
      <c r="K5" s="941"/>
      <c r="L5" s="633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G5" s="634"/>
      <c r="AH5" s="634"/>
      <c r="AI5" s="634"/>
    </row>
    <row r="6" spans="1:55" s="629" customFormat="1">
      <c r="A6" s="941"/>
      <c r="B6" s="628"/>
      <c r="D6" s="631"/>
      <c r="F6" s="631"/>
      <c r="G6" s="941"/>
      <c r="H6" s="632"/>
      <c r="I6" s="941"/>
      <c r="J6" s="941"/>
      <c r="K6" s="941"/>
      <c r="L6" s="633"/>
      <c r="M6" s="634"/>
      <c r="N6" s="634"/>
      <c r="O6" s="634"/>
      <c r="P6" s="634"/>
      <c r="Q6" s="634"/>
      <c r="R6" s="634"/>
      <c r="S6" s="634"/>
      <c r="T6" s="634"/>
      <c r="U6" s="634"/>
      <c r="V6" s="634"/>
      <c r="W6" s="634"/>
      <c r="X6" s="634"/>
      <c r="Y6" s="634"/>
      <c r="Z6" s="634"/>
      <c r="AA6" s="634"/>
      <c r="AB6" s="634"/>
      <c r="AC6" s="634"/>
      <c r="AD6" s="634"/>
      <c r="AE6" s="634"/>
      <c r="AG6" s="634"/>
      <c r="AH6" s="634"/>
      <c r="AI6" s="634"/>
    </row>
    <row r="7" spans="1:55" s="629" customFormat="1" ht="37.5" customHeight="1">
      <c r="A7" s="941"/>
      <c r="B7" s="628"/>
      <c r="D7" s="631"/>
      <c r="F7" s="631"/>
      <c r="G7" s="941"/>
      <c r="H7" s="632"/>
      <c r="I7" s="941"/>
      <c r="J7" s="941"/>
      <c r="K7" s="941"/>
      <c r="L7" s="633"/>
      <c r="M7" s="634"/>
      <c r="N7" s="634"/>
      <c r="O7" s="634"/>
      <c r="P7" s="634"/>
      <c r="Q7" s="634"/>
      <c r="R7" s="634"/>
      <c r="S7" s="634"/>
      <c r="T7" s="634"/>
      <c r="U7" s="634"/>
      <c r="V7" s="634"/>
      <c r="W7" s="634"/>
      <c r="X7" s="634"/>
      <c r="Y7" s="634"/>
      <c r="Z7" s="634"/>
      <c r="AA7" s="634"/>
      <c r="AB7" s="634"/>
      <c r="AC7" s="634"/>
      <c r="AD7" s="634"/>
      <c r="AE7" s="634"/>
      <c r="AG7" s="634"/>
      <c r="AH7" s="634"/>
      <c r="AI7" s="634"/>
      <c r="BC7" s="635"/>
    </row>
    <row r="8" spans="1:55" s="629" customFormat="1" ht="21" customHeight="1">
      <c r="A8" s="941"/>
      <c r="B8" s="628"/>
      <c r="D8" s="631"/>
      <c r="F8" s="631"/>
      <c r="G8" s="941"/>
      <c r="H8" s="632"/>
      <c r="I8" s="941"/>
      <c r="J8" s="941"/>
      <c r="K8" s="941"/>
      <c r="L8" s="633"/>
      <c r="M8" s="634"/>
      <c r="N8" s="634"/>
      <c r="O8" s="634"/>
      <c r="P8" s="634"/>
      <c r="Q8" s="634"/>
      <c r="R8" s="634"/>
      <c r="S8" s="634"/>
      <c r="T8" s="634"/>
      <c r="U8" s="634"/>
      <c r="V8" s="634"/>
      <c r="W8" s="634"/>
      <c r="X8" s="634"/>
      <c r="Y8" s="634"/>
      <c r="Z8" s="634"/>
      <c r="AA8" s="634"/>
      <c r="AB8" s="634"/>
      <c r="AC8" s="634"/>
      <c r="AD8" s="634"/>
      <c r="AE8" s="634"/>
      <c r="AG8" s="634"/>
      <c r="AH8" s="634"/>
      <c r="AI8" s="634"/>
      <c r="BC8" s="635"/>
    </row>
    <row r="9" spans="1:55" s="629" customFormat="1" ht="29.25" customHeight="1" thickBot="1">
      <c r="A9" s="941"/>
      <c r="B9" s="628"/>
      <c r="C9" s="971" t="str">
        <f>+"MES DE "&amp;NOMINA!F9&amp;" "&amp;NOMINA!H9&amp;" - CESTA TICKET"</f>
        <v>MES DE ENERO 2025 - CESTA TICKET</v>
      </c>
      <c r="D9" s="972"/>
      <c r="E9" s="636" t="s">
        <v>4632</v>
      </c>
      <c r="F9" s="973" t="s">
        <v>2867</v>
      </c>
      <c r="G9" s="637" t="s">
        <v>4633</v>
      </c>
      <c r="H9" s="638" t="e">
        <f>#REF!</f>
        <v>#REF!</v>
      </c>
      <c r="I9" s="639"/>
      <c r="J9" s="639"/>
      <c r="K9" s="639"/>
      <c r="L9" s="633"/>
      <c r="M9" s="634"/>
      <c r="N9" s="634"/>
      <c r="O9" s="634"/>
      <c r="P9" s="634"/>
      <c r="Q9" s="634"/>
      <c r="R9" s="1725" t="s">
        <v>5515</v>
      </c>
      <c r="S9" s="1726"/>
      <c r="T9" s="1726"/>
      <c r="U9" s="1726"/>
      <c r="V9" s="1726"/>
      <c r="W9" s="1727"/>
      <c r="X9" s="640"/>
      <c r="Y9" s="640"/>
      <c r="Z9" s="640"/>
      <c r="AA9" s="640"/>
      <c r="AB9" s="640"/>
      <c r="AC9" s="640"/>
      <c r="AD9" s="640"/>
      <c r="AE9" s="634"/>
      <c r="AG9" s="634"/>
      <c r="AH9" s="634"/>
      <c r="AI9" s="634"/>
      <c r="BC9" s="635"/>
    </row>
    <row r="10" spans="1:55" s="642" customFormat="1" ht="27.75" customHeight="1" thickBot="1">
      <c r="A10" s="641"/>
      <c r="B10" s="641"/>
      <c r="D10" s="643"/>
      <c r="F10" s="643"/>
      <c r="G10" s="641"/>
      <c r="H10" s="644"/>
      <c r="I10" s="641"/>
      <c r="J10" s="641"/>
      <c r="K10" s="641"/>
      <c r="L10" s="645">
        <v>2</v>
      </c>
      <c r="M10" s="646">
        <v>3</v>
      </c>
      <c r="N10" s="647">
        <v>4</v>
      </c>
      <c r="R10" s="974" t="s">
        <v>5504</v>
      </c>
      <c r="S10" s="648"/>
      <c r="T10" s="974" t="s">
        <v>5504</v>
      </c>
      <c r="U10" s="974" t="s">
        <v>5504</v>
      </c>
      <c r="V10" s="974"/>
      <c r="W10" s="974" t="s">
        <v>5504</v>
      </c>
      <c r="X10" s="974" t="s">
        <v>5504</v>
      </c>
      <c r="Y10" s="974" t="s">
        <v>5504</v>
      </c>
      <c r="Z10" s="649"/>
      <c r="AA10" s="649" t="s">
        <v>5504</v>
      </c>
      <c r="AB10" s="1728" t="s">
        <v>5505</v>
      </c>
      <c r="AC10" s="1728"/>
      <c r="AD10" s="650"/>
      <c r="BC10" s="651"/>
    </row>
    <row r="11" spans="1:55" s="629" customFormat="1" ht="63" customHeight="1" thickBot="1">
      <c r="A11" s="652" t="s">
        <v>2840</v>
      </c>
      <c r="B11" s="653" t="s">
        <v>0</v>
      </c>
      <c r="C11" s="654" t="s">
        <v>2</v>
      </c>
      <c r="D11" s="655" t="s">
        <v>3</v>
      </c>
      <c r="E11" s="654" t="s">
        <v>4619</v>
      </c>
      <c r="F11" s="656" t="s">
        <v>4580</v>
      </c>
      <c r="G11" s="654" t="s">
        <v>4623</v>
      </c>
      <c r="H11" s="654" t="s">
        <v>4</v>
      </c>
      <c r="I11" s="654" t="s">
        <v>4625</v>
      </c>
      <c r="J11" s="654" t="s">
        <v>4624</v>
      </c>
      <c r="K11" s="654" t="s">
        <v>4574</v>
      </c>
      <c r="L11" s="657" t="s">
        <v>4661</v>
      </c>
      <c r="M11" s="658" t="s">
        <v>4568</v>
      </c>
      <c r="N11" s="657" t="s">
        <v>4569</v>
      </c>
      <c r="R11" s="659" t="s">
        <v>5506</v>
      </c>
      <c r="S11" s="660" t="s">
        <v>4637</v>
      </c>
      <c r="T11" s="659" t="s">
        <v>5507</v>
      </c>
      <c r="U11" s="659" t="s">
        <v>5508</v>
      </c>
      <c r="V11" s="659" t="s">
        <v>5857</v>
      </c>
      <c r="W11" s="659" t="s">
        <v>5510</v>
      </c>
      <c r="X11" s="659" t="s">
        <v>5858</v>
      </c>
      <c r="Y11" s="661" t="s">
        <v>5511</v>
      </c>
      <c r="Z11" s="662" t="s">
        <v>5859</v>
      </c>
      <c r="AA11" s="659" t="s">
        <v>5512</v>
      </c>
      <c r="AB11" s="663" t="s">
        <v>5507</v>
      </c>
      <c r="AC11" s="663" t="s">
        <v>5513</v>
      </c>
      <c r="AD11" s="659" t="s">
        <v>5514</v>
      </c>
      <c r="AE11" s="634"/>
      <c r="BC11" s="635"/>
    </row>
    <row r="12" spans="1:55" s="629" customFormat="1" ht="20.100000000000001" customHeight="1">
      <c r="A12" s="664"/>
      <c r="B12" s="665" t="str">
        <f>+"ALTO NIVEL Y DIRECCION_"&amp;NOMINA!F9&amp;"_"&amp;NOMINA!H9&amp;"-CESTA TICKET"</f>
        <v>ALTO NIVEL Y DIRECCION_ENERO_2025-CESTA TICKET</v>
      </c>
      <c r="C12" s="666"/>
      <c r="D12" s="667"/>
      <c r="E12" s="668"/>
      <c r="F12" s="669"/>
      <c r="G12" s="668"/>
      <c r="H12" s="670"/>
      <c r="I12" s="671"/>
      <c r="J12" s="672"/>
      <c r="K12" s="671"/>
      <c r="L12" s="673"/>
      <c r="M12" s="674"/>
      <c r="N12" s="975"/>
      <c r="Q12" s="634"/>
      <c r="R12" s="976"/>
      <c r="S12" s="977"/>
      <c r="T12" s="976"/>
      <c r="U12" s="977"/>
      <c r="V12" s="978"/>
      <c r="W12" s="977"/>
      <c r="X12" s="979"/>
      <c r="Y12" s="979"/>
      <c r="Z12" s="979"/>
      <c r="AA12" s="977"/>
      <c r="AB12" s="977"/>
      <c r="AC12" s="977"/>
      <c r="AD12" s="977"/>
      <c r="AE12" s="634"/>
    </row>
    <row r="13" spans="1:55" s="629" customFormat="1" ht="18" customHeight="1">
      <c r="A13" s="664" t="s">
        <v>2846</v>
      </c>
      <c r="B13" s="510">
        <v>1</v>
      </c>
      <c r="C13" s="980">
        <f>+NOMINA!C17</f>
        <v>11894534</v>
      </c>
      <c r="D13" s="981" t="str">
        <f>+NOMINA!D17</f>
        <v>Olmos Rodriguez Eberto de Jesus</v>
      </c>
      <c r="E13" s="978" t="s">
        <v>4622</v>
      </c>
      <c r="F13" s="982">
        <v>27081</v>
      </c>
      <c r="G13" s="978" t="s">
        <v>4620</v>
      </c>
      <c r="H13" s="983">
        <f>+NOMINA!H17</f>
        <v>40909</v>
      </c>
      <c r="I13" s="984">
        <f>+NOMINA!I17</f>
        <v>13</v>
      </c>
      <c r="J13" s="985">
        <f>+NOMINA!J17</f>
        <v>13</v>
      </c>
      <c r="K13" s="984">
        <f>+NOMINA!K17</f>
        <v>26</v>
      </c>
      <c r="L13" s="986">
        <f>+NOMINA!CA17</f>
        <v>2120</v>
      </c>
      <c r="M13" s="443" t="e">
        <f>#REF!+#REF!-#REF!</f>
        <v>#REF!</v>
      </c>
      <c r="N13" s="975" t="e">
        <f>ROUND((#REF!+#REF!+#REF!+#REF!+#REF!+#REF!+#REF!+#REF!),2)</f>
        <v>#REF!</v>
      </c>
      <c r="Q13" s="629" t="e">
        <f>SUM(#REF!)</f>
        <v>#REF!</v>
      </c>
      <c r="R13" s="976" t="e">
        <f>#REF!+#REF!-#REF!</f>
        <v>#REF!</v>
      </c>
      <c r="S13" s="977">
        <v>200</v>
      </c>
      <c r="T13" s="976" t="e">
        <f>#REF!+#REF!</f>
        <v>#REF!</v>
      </c>
      <c r="U13" s="977" t="e">
        <f>#REF!</f>
        <v>#REF!</v>
      </c>
      <c r="V13" s="978">
        <v>0</v>
      </c>
      <c r="W13" s="977" t="e">
        <f>#REF!</f>
        <v>#REF!</v>
      </c>
      <c r="X13" s="979" t="e">
        <f>#REF!+#REF!</f>
        <v>#REF!</v>
      </c>
      <c r="Y13" s="979" t="e">
        <f>#REF!+#REF!</f>
        <v>#REF!</v>
      </c>
      <c r="Z13" s="979"/>
      <c r="AA13" s="977" t="e">
        <f>#REF!</f>
        <v>#REF!</v>
      </c>
      <c r="AB13" s="977" t="e">
        <f>SUM(T13:AA13)</f>
        <v>#REF!</v>
      </c>
      <c r="AC13" s="977" t="e">
        <f>#REF!+#REF!</f>
        <v>#REF!</v>
      </c>
      <c r="AD13" s="977">
        <f t="shared" ref="AD13:AD36" si="0">L13</f>
        <v>2120</v>
      </c>
      <c r="AE13" s="634"/>
    </row>
    <row r="14" spans="1:55" s="629" customFormat="1" ht="18" customHeight="1">
      <c r="A14" s="664" t="s">
        <v>2846</v>
      </c>
      <c r="B14" s="510">
        <f>B13+1</f>
        <v>2</v>
      </c>
      <c r="C14" s="980">
        <f>+NOMINA!C18</f>
        <v>12458942</v>
      </c>
      <c r="D14" s="981" t="str">
        <f>+NOMINA!D18</f>
        <v>Mendoza Mendoza Mirian del Milagro</v>
      </c>
      <c r="E14" s="978" t="s">
        <v>4622</v>
      </c>
      <c r="F14" s="982">
        <v>27081</v>
      </c>
      <c r="G14" s="978" t="s">
        <v>4620</v>
      </c>
      <c r="H14" s="983">
        <f>+NOMINA!H18</f>
        <v>44424</v>
      </c>
      <c r="I14" s="984">
        <f>+NOMINA!I18</f>
        <v>3</v>
      </c>
      <c r="J14" s="985">
        <f>+NOMINA!J18</f>
        <v>19</v>
      </c>
      <c r="K14" s="984">
        <f>+NOMINA!K18</f>
        <v>22</v>
      </c>
      <c r="L14" s="986">
        <f>+NOMINA!CA18</f>
        <v>2120</v>
      </c>
      <c r="M14" s="443" t="e">
        <f>#REF!+#REF!-#REF!</f>
        <v>#REF!</v>
      </c>
      <c r="N14" s="975" t="e">
        <f>ROUND((#REF!+#REF!+#REF!+#REF!+#REF!+#REF!+#REF!+#REF!),2)</f>
        <v>#REF!</v>
      </c>
      <c r="Q14" s="629" t="e">
        <f>SUM(#REF!)</f>
        <v>#REF!</v>
      </c>
      <c r="R14" s="976" t="e">
        <f>#REF!+#REF!-#REF!</f>
        <v>#REF!</v>
      </c>
      <c r="S14" s="977">
        <v>200</v>
      </c>
      <c r="T14" s="976" t="e">
        <f>#REF!+#REF!</f>
        <v>#REF!</v>
      </c>
      <c r="U14" s="977" t="e">
        <f>#REF!</f>
        <v>#REF!</v>
      </c>
      <c r="V14" s="978">
        <v>0</v>
      </c>
      <c r="W14" s="977" t="e">
        <f>#REF!</f>
        <v>#REF!</v>
      </c>
      <c r="X14" s="979" t="e">
        <f>#REF!+#REF!</f>
        <v>#REF!</v>
      </c>
      <c r="Y14" s="979" t="e">
        <f>#REF!+#REF!</f>
        <v>#REF!</v>
      </c>
      <c r="Z14" s="979"/>
      <c r="AA14" s="977" t="e">
        <f>#REF!</f>
        <v>#REF!</v>
      </c>
      <c r="AB14" s="977" t="e">
        <f t="shared" ref="AB14:AB36" si="1">SUM(T14:AA14)</f>
        <v>#REF!</v>
      </c>
      <c r="AC14" s="977" t="e">
        <f>#REF!+#REF!</f>
        <v>#REF!</v>
      </c>
      <c r="AD14" s="977">
        <f t="shared" si="0"/>
        <v>2120</v>
      </c>
      <c r="AE14" s="634"/>
    </row>
    <row r="15" spans="1:55" s="629" customFormat="1" ht="18" customHeight="1">
      <c r="A15" s="664" t="s">
        <v>2846</v>
      </c>
      <c r="B15" s="510">
        <f t="shared" ref="B15:B36" si="2">B14+1</f>
        <v>3</v>
      </c>
      <c r="C15" s="980">
        <f>+NOMINA!C19</f>
        <v>8719807</v>
      </c>
      <c r="D15" s="981" t="str">
        <f>+NOMINA!D19</f>
        <v>Perez Saavedra Isabel Teresa</v>
      </c>
      <c r="E15" s="978" t="s">
        <v>4622</v>
      </c>
      <c r="F15" s="982">
        <v>27081</v>
      </c>
      <c r="G15" s="978" t="s">
        <v>4620</v>
      </c>
      <c r="H15" s="983">
        <f>+NOMINA!H19</f>
        <v>39874</v>
      </c>
      <c r="I15" s="984">
        <f>+NOMINA!I19</f>
        <v>15</v>
      </c>
      <c r="J15" s="985">
        <f>+NOMINA!J19</f>
        <v>4</v>
      </c>
      <c r="K15" s="984">
        <f>+NOMINA!K19</f>
        <v>19</v>
      </c>
      <c r="L15" s="986">
        <f>+NOMINA!CA19</f>
        <v>2120</v>
      </c>
      <c r="M15" s="443" t="e">
        <f>#REF!+#REF!-#REF!</f>
        <v>#REF!</v>
      </c>
      <c r="N15" s="975" t="e">
        <f>ROUND((#REF!+#REF!+#REF!+#REF!+#REF!+#REF!+#REF!+#REF!),2)</f>
        <v>#REF!</v>
      </c>
      <c r="Q15" s="629" t="e">
        <f>SUM(#REF!)</f>
        <v>#REF!</v>
      </c>
      <c r="R15" s="976" t="e">
        <f>#REF!+#REF!-#REF!</f>
        <v>#REF!</v>
      </c>
      <c r="S15" s="977">
        <v>200</v>
      </c>
      <c r="T15" s="976" t="e">
        <f>#REF!+#REF!</f>
        <v>#REF!</v>
      </c>
      <c r="U15" s="977" t="e">
        <f>#REF!</f>
        <v>#REF!</v>
      </c>
      <c r="V15" s="978">
        <v>0</v>
      </c>
      <c r="W15" s="977" t="e">
        <f>#REF!</f>
        <v>#REF!</v>
      </c>
      <c r="X15" s="979" t="e">
        <f>#REF!+#REF!</f>
        <v>#REF!</v>
      </c>
      <c r="Y15" s="979" t="e">
        <f>#REF!+#REF!</f>
        <v>#REF!</v>
      </c>
      <c r="Z15" s="979"/>
      <c r="AA15" s="977" t="e">
        <f>#REF!</f>
        <v>#REF!</v>
      </c>
      <c r="AB15" s="977" t="e">
        <f t="shared" si="1"/>
        <v>#REF!</v>
      </c>
      <c r="AC15" s="977" t="e">
        <f>#REF!+#REF!</f>
        <v>#REF!</v>
      </c>
      <c r="AD15" s="977">
        <f t="shared" si="0"/>
        <v>2120</v>
      </c>
      <c r="AE15" s="634"/>
    </row>
    <row r="16" spans="1:55" s="629" customFormat="1" ht="18" customHeight="1">
      <c r="A16" s="664" t="s">
        <v>2846</v>
      </c>
      <c r="B16" s="510">
        <f t="shared" si="2"/>
        <v>4</v>
      </c>
      <c r="C16" s="980">
        <f>+NOMINA!C20</f>
        <v>10404528</v>
      </c>
      <c r="D16" s="981" t="str">
        <f>+NOMINA!D20</f>
        <v>Perez Castellano Javier Horacio</v>
      </c>
      <c r="E16" s="978" t="s">
        <v>4622</v>
      </c>
      <c r="F16" s="982">
        <v>27081</v>
      </c>
      <c r="G16" s="978" t="s">
        <v>4620</v>
      </c>
      <c r="H16" s="983">
        <f>+NOMINA!H20</f>
        <v>37622</v>
      </c>
      <c r="I16" s="984">
        <f>+NOMINA!I20</f>
        <v>22</v>
      </c>
      <c r="J16" s="985">
        <f>+NOMINA!J20</f>
        <v>0</v>
      </c>
      <c r="K16" s="984">
        <f>+NOMINA!K20</f>
        <v>22</v>
      </c>
      <c r="L16" s="986">
        <f>+NOMINA!CA20</f>
        <v>2120</v>
      </c>
      <c r="M16" s="443" t="e">
        <f>#REF!+#REF!-#REF!</f>
        <v>#REF!</v>
      </c>
      <c r="N16" s="975" t="e">
        <f>ROUND((#REF!+#REF!+#REF!+#REF!+#REF!+#REF!+#REF!+#REF!),2)</f>
        <v>#REF!</v>
      </c>
      <c r="Q16" s="629" t="e">
        <f>SUM(#REF!)</f>
        <v>#REF!</v>
      </c>
      <c r="R16" s="976" t="e">
        <f>#REF!+#REF!-#REF!</f>
        <v>#REF!</v>
      </c>
      <c r="S16" s="977">
        <v>200</v>
      </c>
      <c r="T16" s="976" t="e">
        <f>#REF!+#REF!</f>
        <v>#REF!</v>
      </c>
      <c r="U16" s="977" t="e">
        <f>#REF!</f>
        <v>#REF!</v>
      </c>
      <c r="V16" s="978">
        <v>0</v>
      </c>
      <c r="W16" s="977" t="e">
        <f>#REF!</f>
        <v>#REF!</v>
      </c>
      <c r="X16" s="979" t="e">
        <f>#REF!+#REF!</f>
        <v>#REF!</v>
      </c>
      <c r="Y16" s="979" t="e">
        <f>#REF!+#REF!</f>
        <v>#REF!</v>
      </c>
      <c r="Z16" s="979"/>
      <c r="AA16" s="977" t="e">
        <f>#REF!</f>
        <v>#REF!</v>
      </c>
      <c r="AB16" s="977" t="e">
        <f t="shared" si="1"/>
        <v>#REF!</v>
      </c>
      <c r="AC16" s="977" t="e">
        <f>#REF!+#REF!</f>
        <v>#REF!</v>
      </c>
      <c r="AD16" s="977">
        <f t="shared" si="0"/>
        <v>2120</v>
      </c>
      <c r="AE16" s="634"/>
    </row>
    <row r="17" spans="1:31" s="629" customFormat="1" ht="18" customHeight="1">
      <c r="A17" s="664" t="s">
        <v>2846</v>
      </c>
      <c r="B17" s="510">
        <f t="shared" si="2"/>
        <v>5</v>
      </c>
      <c r="C17" s="980">
        <f>+NOMINA!C21</f>
        <v>9311822</v>
      </c>
      <c r="D17" s="981" t="str">
        <f>+NOMINA!D21</f>
        <v>Rojo Sanchez Alexis O.</v>
      </c>
      <c r="E17" s="978" t="s">
        <v>4622</v>
      </c>
      <c r="F17" s="982">
        <v>27081</v>
      </c>
      <c r="G17" s="978" t="s">
        <v>4620</v>
      </c>
      <c r="H17" s="983">
        <f>+NOMINA!H21</f>
        <v>37662</v>
      </c>
      <c r="I17" s="984">
        <f>+NOMINA!I21</f>
        <v>21</v>
      </c>
      <c r="J17" s="985">
        <f>+NOMINA!J21</f>
        <v>0</v>
      </c>
      <c r="K17" s="984">
        <f>+NOMINA!K21</f>
        <v>21</v>
      </c>
      <c r="L17" s="986">
        <f>+NOMINA!CA21</f>
        <v>2120</v>
      </c>
      <c r="M17" s="443" t="e">
        <f>#REF!+#REF!-#REF!</f>
        <v>#REF!</v>
      </c>
      <c r="N17" s="975" t="e">
        <f>ROUND((#REF!+#REF!+#REF!+#REF!+#REF!+#REF!+#REF!+#REF!),2)</f>
        <v>#REF!</v>
      </c>
      <c r="Q17" s="629" t="e">
        <f>SUM(#REF!)</f>
        <v>#REF!</v>
      </c>
      <c r="R17" s="976" t="e">
        <f>#REF!+#REF!-#REF!</f>
        <v>#REF!</v>
      </c>
      <c r="S17" s="977">
        <v>200</v>
      </c>
      <c r="T17" s="976" t="e">
        <f>#REF!+#REF!</f>
        <v>#REF!</v>
      </c>
      <c r="U17" s="977" t="e">
        <f>#REF!</f>
        <v>#REF!</v>
      </c>
      <c r="V17" s="978">
        <v>0</v>
      </c>
      <c r="W17" s="977" t="e">
        <f>#REF!</f>
        <v>#REF!</v>
      </c>
      <c r="X17" s="979" t="e">
        <f>#REF!+#REF!</f>
        <v>#REF!</v>
      </c>
      <c r="Y17" s="979" t="e">
        <f>#REF!+#REF!</f>
        <v>#REF!</v>
      </c>
      <c r="Z17" s="979"/>
      <c r="AA17" s="977" t="e">
        <f>#REF!</f>
        <v>#REF!</v>
      </c>
      <c r="AB17" s="977" t="e">
        <f t="shared" si="1"/>
        <v>#REF!</v>
      </c>
      <c r="AC17" s="977" t="e">
        <f>#REF!+#REF!</f>
        <v>#REF!</v>
      </c>
      <c r="AD17" s="977">
        <f t="shared" si="0"/>
        <v>2120</v>
      </c>
      <c r="AE17" s="634"/>
    </row>
    <row r="18" spans="1:31" s="629" customFormat="1" ht="18" customHeight="1">
      <c r="A18" s="664" t="s">
        <v>2846</v>
      </c>
      <c r="B18" s="510">
        <f t="shared" si="2"/>
        <v>6</v>
      </c>
      <c r="C18" s="980">
        <f>+NOMINA!C22</f>
        <v>21592108</v>
      </c>
      <c r="D18" s="981" t="str">
        <f>+NOMINA!D22</f>
        <v>Coy Andara Darlin Gabriela</v>
      </c>
      <c r="E18" s="978" t="s">
        <v>4622</v>
      </c>
      <c r="F18" s="982">
        <v>27081</v>
      </c>
      <c r="G18" s="978" t="s">
        <v>4620</v>
      </c>
      <c r="H18" s="983">
        <f>+NOMINA!H22</f>
        <v>43024</v>
      </c>
      <c r="I18" s="984">
        <f>+NOMINA!I22</f>
        <v>7</v>
      </c>
      <c r="J18" s="985">
        <f>+NOMINA!J22</f>
        <v>0</v>
      </c>
      <c r="K18" s="984">
        <f>+NOMINA!K22</f>
        <v>7</v>
      </c>
      <c r="L18" s="986">
        <f>+NOMINA!CA22</f>
        <v>2120</v>
      </c>
      <c r="M18" s="443" t="e">
        <f>#REF!+#REF!-#REF!</f>
        <v>#REF!</v>
      </c>
      <c r="N18" s="975" t="e">
        <f>ROUND((#REF!+#REF!+#REF!+#REF!+#REF!+#REF!+#REF!+#REF!),2)</f>
        <v>#REF!</v>
      </c>
      <c r="Q18" s="629" t="e">
        <f>SUM(#REF!)</f>
        <v>#REF!</v>
      </c>
      <c r="R18" s="976" t="e">
        <f>#REF!+#REF!-#REF!</f>
        <v>#REF!</v>
      </c>
      <c r="S18" s="977">
        <v>200</v>
      </c>
      <c r="T18" s="976" t="e">
        <f>#REF!+#REF!</f>
        <v>#REF!</v>
      </c>
      <c r="U18" s="977" t="e">
        <f>#REF!</f>
        <v>#REF!</v>
      </c>
      <c r="V18" s="978">
        <v>0</v>
      </c>
      <c r="W18" s="977" t="e">
        <f>#REF!</f>
        <v>#REF!</v>
      </c>
      <c r="X18" s="979" t="e">
        <f>#REF!+#REF!</f>
        <v>#REF!</v>
      </c>
      <c r="Y18" s="979" t="e">
        <f>#REF!+#REF!</f>
        <v>#REF!</v>
      </c>
      <c r="Z18" s="979"/>
      <c r="AA18" s="977" t="e">
        <f>#REF!</f>
        <v>#REF!</v>
      </c>
      <c r="AB18" s="977" t="e">
        <f t="shared" si="1"/>
        <v>#REF!</v>
      </c>
      <c r="AC18" s="977" t="e">
        <f>#REF!+#REF!</f>
        <v>#REF!</v>
      </c>
      <c r="AD18" s="977">
        <f t="shared" si="0"/>
        <v>2120</v>
      </c>
      <c r="AE18" s="634"/>
    </row>
    <row r="19" spans="1:31" s="629" customFormat="1" ht="18" customHeight="1">
      <c r="A19" s="664" t="s">
        <v>2846</v>
      </c>
      <c r="B19" s="510">
        <f t="shared" si="2"/>
        <v>7</v>
      </c>
      <c r="C19" s="980">
        <f>+NOMINA!C23</f>
        <v>13206767</v>
      </c>
      <c r="D19" s="981" t="str">
        <f>+NOMINA!D23</f>
        <v>Bastidas Guerra Soralis del Valle</v>
      </c>
      <c r="E19" s="978" t="s">
        <v>4622</v>
      </c>
      <c r="F19" s="982">
        <v>27081</v>
      </c>
      <c r="G19" s="978" t="s">
        <v>4620</v>
      </c>
      <c r="H19" s="983">
        <f>+NOMINA!H23</f>
        <v>44713</v>
      </c>
      <c r="I19" s="984">
        <f>+NOMINA!I23</f>
        <v>2</v>
      </c>
      <c r="J19" s="985">
        <f>+NOMINA!J23</f>
        <v>0</v>
      </c>
      <c r="K19" s="984">
        <f>+NOMINA!K23</f>
        <v>2</v>
      </c>
      <c r="L19" s="986">
        <f>+NOMINA!CA23</f>
        <v>2120</v>
      </c>
      <c r="M19" s="443" t="e">
        <f>#REF!+#REF!-#REF!</f>
        <v>#REF!</v>
      </c>
      <c r="N19" s="975" t="e">
        <f>ROUND((#REF!+#REF!+#REF!+#REF!+#REF!+#REF!+#REF!+#REF!),2)</f>
        <v>#REF!</v>
      </c>
      <c r="Q19" s="629" t="e">
        <f>SUM(#REF!)</f>
        <v>#REF!</v>
      </c>
      <c r="R19" s="976" t="e">
        <f>#REF!+#REF!-#REF!</f>
        <v>#REF!</v>
      </c>
      <c r="S19" s="977">
        <v>200</v>
      </c>
      <c r="T19" s="976" t="e">
        <f>#REF!+#REF!</f>
        <v>#REF!</v>
      </c>
      <c r="U19" s="977" t="e">
        <f>#REF!</f>
        <v>#REF!</v>
      </c>
      <c r="V19" s="978">
        <v>0</v>
      </c>
      <c r="W19" s="977" t="e">
        <f>#REF!</f>
        <v>#REF!</v>
      </c>
      <c r="X19" s="979" t="e">
        <f>#REF!+#REF!</f>
        <v>#REF!</v>
      </c>
      <c r="Y19" s="979" t="e">
        <f>#REF!+#REF!</f>
        <v>#REF!</v>
      </c>
      <c r="Z19" s="979"/>
      <c r="AA19" s="977" t="e">
        <f>#REF!</f>
        <v>#REF!</v>
      </c>
      <c r="AB19" s="977" t="e">
        <f t="shared" si="1"/>
        <v>#REF!</v>
      </c>
      <c r="AC19" s="977" t="e">
        <f>#REF!+#REF!</f>
        <v>#REF!</v>
      </c>
      <c r="AD19" s="977">
        <f t="shared" si="0"/>
        <v>2120</v>
      </c>
      <c r="AE19" s="634"/>
    </row>
    <row r="20" spans="1:31" s="629" customFormat="1" ht="18" customHeight="1">
      <c r="A20" s="664" t="s">
        <v>2846</v>
      </c>
      <c r="B20" s="510">
        <f t="shared" si="2"/>
        <v>8</v>
      </c>
      <c r="C20" s="980">
        <f>+NOMINA!C24</f>
        <v>13462933</v>
      </c>
      <c r="D20" s="981" t="str">
        <f>+NOMINA!D24</f>
        <v>Frias Aldana Maria Yaritza</v>
      </c>
      <c r="E20" s="978" t="s">
        <v>4622</v>
      </c>
      <c r="F20" s="982">
        <v>27081</v>
      </c>
      <c r="G20" s="978" t="s">
        <v>4620</v>
      </c>
      <c r="H20" s="983">
        <f>+NOMINA!H24</f>
        <v>39454</v>
      </c>
      <c r="I20" s="984">
        <f>+NOMINA!I24</f>
        <v>17</v>
      </c>
      <c r="J20" s="985">
        <f>+NOMINA!J24</f>
        <v>6</v>
      </c>
      <c r="K20" s="984">
        <f>+NOMINA!K24</f>
        <v>23</v>
      </c>
      <c r="L20" s="986">
        <f>+NOMINA!CA24</f>
        <v>2120</v>
      </c>
      <c r="M20" s="443" t="e">
        <f>#REF!+#REF!-#REF!</f>
        <v>#REF!</v>
      </c>
      <c r="N20" s="975" t="e">
        <f>ROUND((#REF!+#REF!+#REF!+#REF!+#REF!+#REF!+#REF!+#REF!),2)</f>
        <v>#REF!</v>
      </c>
      <c r="Q20" s="629" t="e">
        <f>SUM(#REF!)</f>
        <v>#REF!</v>
      </c>
      <c r="R20" s="976" t="e">
        <f>#REF!+#REF!-#REF!</f>
        <v>#REF!</v>
      </c>
      <c r="S20" s="977">
        <v>200</v>
      </c>
      <c r="T20" s="976" t="e">
        <f>#REF!+#REF!</f>
        <v>#REF!</v>
      </c>
      <c r="U20" s="977" t="e">
        <f>#REF!</f>
        <v>#REF!</v>
      </c>
      <c r="V20" s="978">
        <v>0</v>
      </c>
      <c r="W20" s="977" t="e">
        <f>#REF!</f>
        <v>#REF!</v>
      </c>
      <c r="X20" s="979" t="e">
        <f>#REF!+#REF!</f>
        <v>#REF!</v>
      </c>
      <c r="Y20" s="979" t="e">
        <f>#REF!+#REF!</f>
        <v>#REF!</v>
      </c>
      <c r="Z20" s="979"/>
      <c r="AA20" s="977" t="e">
        <f>#REF!</f>
        <v>#REF!</v>
      </c>
      <c r="AB20" s="977" t="e">
        <f t="shared" si="1"/>
        <v>#REF!</v>
      </c>
      <c r="AC20" s="977" t="e">
        <f>#REF!+#REF!</f>
        <v>#REF!</v>
      </c>
      <c r="AD20" s="977">
        <f t="shared" si="0"/>
        <v>2120</v>
      </c>
      <c r="AE20" s="634"/>
    </row>
    <row r="21" spans="1:31" s="629" customFormat="1" ht="18" customHeight="1">
      <c r="A21" s="664" t="s">
        <v>2846</v>
      </c>
      <c r="B21" s="510">
        <f t="shared" si="2"/>
        <v>9</v>
      </c>
      <c r="C21" s="980">
        <f>+NOMINA!C25</f>
        <v>11315315</v>
      </c>
      <c r="D21" s="981" t="str">
        <f>+NOMINA!D25</f>
        <v>Guillen Mendoza Edgar Daniel</v>
      </c>
      <c r="E21" s="978" t="s">
        <v>4622</v>
      </c>
      <c r="F21" s="982">
        <v>27081</v>
      </c>
      <c r="G21" s="978" t="s">
        <v>4620</v>
      </c>
      <c r="H21" s="983">
        <f>+NOMINA!H25</f>
        <v>45505</v>
      </c>
      <c r="I21" s="984">
        <f>+NOMINA!I25</f>
        <v>0</v>
      </c>
      <c r="J21" s="985">
        <f>+NOMINA!J25</f>
        <v>0</v>
      </c>
      <c r="K21" s="984">
        <f>+NOMINA!K25</f>
        <v>0</v>
      </c>
      <c r="L21" s="986">
        <f>+NOMINA!CA25</f>
        <v>2120</v>
      </c>
      <c r="M21" s="443" t="e">
        <f>#REF!+#REF!-#REF!</f>
        <v>#REF!</v>
      </c>
      <c r="N21" s="975" t="e">
        <f>ROUND((#REF!+#REF!+#REF!+#REF!+#REF!+#REF!+#REF!+#REF!),2)</f>
        <v>#REF!</v>
      </c>
      <c r="Q21" s="629" t="e">
        <f>SUM(#REF!)</f>
        <v>#REF!</v>
      </c>
      <c r="R21" s="976" t="e">
        <f>#REF!+#REF!-#REF!</f>
        <v>#REF!</v>
      </c>
      <c r="S21" s="977">
        <v>200</v>
      </c>
      <c r="T21" s="976" t="e">
        <f>#REF!+#REF!</f>
        <v>#REF!</v>
      </c>
      <c r="U21" s="977" t="e">
        <f>#REF!</f>
        <v>#REF!</v>
      </c>
      <c r="V21" s="978">
        <v>0</v>
      </c>
      <c r="W21" s="977" t="e">
        <f>#REF!</f>
        <v>#REF!</v>
      </c>
      <c r="X21" s="979" t="e">
        <f>#REF!+#REF!</f>
        <v>#REF!</v>
      </c>
      <c r="Y21" s="979" t="e">
        <f>#REF!+#REF!</f>
        <v>#REF!</v>
      </c>
      <c r="Z21" s="979"/>
      <c r="AA21" s="977" t="e">
        <f>#REF!</f>
        <v>#REF!</v>
      </c>
      <c r="AB21" s="977" t="e">
        <f t="shared" si="1"/>
        <v>#REF!</v>
      </c>
      <c r="AC21" s="977" t="e">
        <f>#REF!+#REF!</f>
        <v>#REF!</v>
      </c>
      <c r="AD21" s="977">
        <f t="shared" si="0"/>
        <v>2120</v>
      </c>
      <c r="AE21" s="634"/>
    </row>
    <row r="22" spans="1:31" s="629" customFormat="1" ht="18" customHeight="1">
      <c r="A22" s="664" t="s">
        <v>2846</v>
      </c>
      <c r="B22" s="510">
        <f t="shared" si="2"/>
        <v>10</v>
      </c>
      <c r="C22" s="980">
        <f>+NOMINA!C26</f>
        <v>12542413</v>
      </c>
      <c r="D22" s="981" t="str">
        <f>+NOMINA!D26</f>
        <v>Aponte Matheus Richard Alexander</v>
      </c>
      <c r="E22" s="978" t="s">
        <v>4622</v>
      </c>
      <c r="F22" s="982">
        <v>27081</v>
      </c>
      <c r="G22" s="978" t="s">
        <v>4620</v>
      </c>
      <c r="H22" s="983">
        <f>+NOMINA!H26</f>
        <v>36434</v>
      </c>
      <c r="I22" s="984">
        <f>+NOMINA!I26</f>
        <v>25</v>
      </c>
      <c r="J22" s="985">
        <f>+NOMINA!J26</f>
        <v>0</v>
      </c>
      <c r="K22" s="984">
        <f>+NOMINA!K26</f>
        <v>25</v>
      </c>
      <c r="L22" s="986">
        <f>+NOMINA!CA26</f>
        <v>2120</v>
      </c>
      <c r="M22" s="443" t="e">
        <f>#REF!+#REF!-#REF!</f>
        <v>#REF!</v>
      </c>
      <c r="N22" s="975" t="e">
        <f>ROUND((#REF!+#REF!+#REF!+#REF!+#REF!+#REF!+#REF!+#REF!),2)</f>
        <v>#REF!</v>
      </c>
      <c r="Q22" s="629" t="e">
        <f>SUM(#REF!)</f>
        <v>#REF!</v>
      </c>
      <c r="R22" s="976" t="e">
        <f>#REF!+#REF!-#REF!</f>
        <v>#REF!</v>
      </c>
      <c r="S22" s="977">
        <v>200</v>
      </c>
      <c r="T22" s="976" t="e">
        <f>#REF!+#REF!</f>
        <v>#REF!</v>
      </c>
      <c r="U22" s="977" t="e">
        <f>#REF!</f>
        <v>#REF!</v>
      </c>
      <c r="V22" s="978">
        <v>0</v>
      </c>
      <c r="W22" s="977" t="e">
        <f>#REF!</f>
        <v>#REF!</v>
      </c>
      <c r="X22" s="979" t="e">
        <f>#REF!+#REF!</f>
        <v>#REF!</v>
      </c>
      <c r="Y22" s="979" t="e">
        <f>#REF!+#REF!</f>
        <v>#REF!</v>
      </c>
      <c r="Z22" s="979"/>
      <c r="AA22" s="977" t="e">
        <f>#REF!</f>
        <v>#REF!</v>
      </c>
      <c r="AB22" s="977" t="e">
        <f t="shared" si="1"/>
        <v>#REF!</v>
      </c>
      <c r="AC22" s="977" t="e">
        <f>#REF!+#REF!</f>
        <v>#REF!</v>
      </c>
      <c r="AD22" s="977">
        <f t="shared" si="0"/>
        <v>2120</v>
      </c>
      <c r="AE22" s="634"/>
    </row>
    <row r="23" spans="1:31" s="629" customFormat="1" ht="18" customHeight="1">
      <c r="A23" s="664" t="s">
        <v>2846</v>
      </c>
      <c r="B23" s="510">
        <f t="shared" si="2"/>
        <v>11</v>
      </c>
      <c r="C23" s="980">
        <f>+NOMINA!C27</f>
        <v>18457406</v>
      </c>
      <c r="D23" s="981" t="str">
        <f>+NOMINA!D27</f>
        <v>Rivero Zambrano Herluis Jose</v>
      </c>
      <c r="E23" s="978" t="s">
        <v>4622</v>
      </c>
      <c r="F23" s="982">
        <v>27081</v>
      </c>
      <c r="G23" s="978" t="s">
        <v>4620</v>
      </c>
      <c r="H23" s="983">
        <f>+NOMINA!H27</f>
        <v>41548</v>
      </c>
      <c r="I23" s="984">
        <f>+NOMINA!I27</f>
        <v>11</v>
      </c>
      <c r="J23" s="985">
        <f>+NOMINA!J27</f>
        <v>0</v>
      </c>
      <c r="K23" s="984">
        <f>+NOMINA!K27</f>
        <v>11</v>
      </c>
      <c r="L23" s="986">
        <f>+NOMINA!CA27</f>
        <v>2120</v>
      </c>
      <c r="M23" s="443" t="e">
        <f>#REF!+#REF!-#REF!</f>
        <v>#REF!</v>
      </c>
      <c r="N23" s="975" t="e">
        <f>ROUND((#REF!+#REF!+#REF!+#REF!+#REF!+#REF!+#REF!+#REF!),2)</f>
        <v>#REF!</v>
      </c>
      <c r="Q23" s="629" t="e">
        <f>SUM(#REF!)</f>
        <v>#REF!</v>
      </c>
      <c r="R23" s="976" t="e">
        <f>#REF!+#REF!-#REF!</f>
        <v>#REF!</v>
      </c>
      <c r="S23" s="977">
        <v>200</v>
      </c>
      <c r="T23" s="976" t="e">
        <f>#REF!+#REF!</f>
        <v>#REF!</v>
      </c>
      <c r="U23" s="977" t="e">
        <f>#REF!</f>
        <v>#REF!</v>
      </c>
      <c r="V23" s="978">
        <v>0</v>
      </c>
      <c r="W23" s="977" t="e">
        <f>#REF!</f>
        <v>#REF!</v>
      </c>
      <c r="X23" s="979" t="e">
        <f>#REF!+#REF!</f>
        <v>#REF!</v>
      </c>
      <c r="Y23" s="979" t="e">
        <f>#REF!+#REF!</f>
        <v>#REF!</v>
      </c>
      <c r="Z23" s="979"/>
      <c r="AA23" s="977" t="e">
        <f>#REF!</f>
        <v>#REF!</v>
      </c>
      <c r="AB23" s="977" t="e">
        <f t="shared" si="1"/>
        <v>#REF!</v>
      </c>
      <c r="AC23" s="977" t="e">
        <f>#REF!+#REF!</f>
        <v>#REF!</v>
      </c>
      <c r="AD23" s="977">
        <f t="shared" si="0"/>
        <v>2120</v>
      </c>
      <c r="AE23" s="634"/>
    </row>
    <row r="24" spans="1:31" s="629" customFormat="1" ht="18" customHeight="1">
      <c r="A24" s="664" t="s">
        <v>2846</v>
      </c>
      <c r="B24" s="510">
        <f t="shared" si="2"/>
        <v>12</v>
      </c>
      <c r="C24" s="980">
        <f>+NOMINA!C28</f>
        <v>11895772</v>
      </c>
      <c r="D24" s="981" t="str">
        <f>+NOMINA!D28</f>
        <v>Rangel Rivas Ildemaro</v>
      </c>
      <c r="E24" s="978" t="s">
        <v>4622</v>
      </c>
      <c r="F24" s="982">
        <v>27081</v>
      </c>
      <c r="G24" s="978" t="s">
        <v>4620</v>
      </c>
      <c r="H24" s="983">
        <f>+NOMINA!H28</f>
        <v>44743</v>
      </c>
      <c r="I24" s="984">
        <f>+NOMINA!I28</f>
        <v>2</v>
      </c>
      <c r="J24" s="985">
        <f>+NOMINA!J28</f>
        <v>0</v>
      </c>
      <c r="K24" s="984">
        <f>+NOMINA!K28</f>
        <v>2</v>
      </c>
      <c r="L24" s="986">
        <f>+NOMINA!CA28</f>
        <v>2120</v>
      </c>
      <c r="M24" s="443" t="e">
        <f>#REF!+#REF!-#REF!</f>
        <v>#REF!</v>
      </c>
      <c r="N24" s="975" t="e">
        <f>ROUND((#REF!+#REF!+#REF!+#REF!+#REF!+#REF!+#REF!+#REF!),2)</f>
        <v>#REF!</v>
      </c>
      <c r="Q24" s="629" t="e">
        <f>SUM(#REF!)</f>
        <v>#REF!</v>
      </c>
      <c r="R24" s="976" t="e">
        <f>#REF!+#REF!-#REF!</f>
        <v>#REF!</v>
      </c>
      <c r="S24" s="977">
        <v>200</v>
      </c>
      <c r="T24" s="976" t="e">
        <f>#REF!+#REF!</f>
        <v>#REF!</v>
      </c>
      <c r="U24" s="977" t="e">
        <f>#REF!</f>
        <v>#REF!</v>
      </c>
      <c r="V24" s="978">
        <v>0</v>
      </c>
      <c r="W24" s="977" t="e">
        <f>#REF!</f>
        <v>#REF!</v>
      </c>
      <c r="X24" s="979" t="e">
        <f>#REF!+#REF!</f>
        <v>#REF!</v>
      </c>
      <c r="Y24" s="979" t="e">
        <f>#REF!+#REF!</f>
        <v>#REF!</v>
      </c>
      <c r="Z24" s="979"/>
      <c r="AA24" s="977" t="e">
        <f>#REF!</f>
        <v>#REF!</v>
      </c>
      <c r="AB24" s="977" t="e">
        <f t="shared" si="1"/>
        <v>#REF!</v>
      </c>
      <c r="AC24" s="977" t="e">
        <f>#REF!+#REF!</f>
        <v>#REF!</v>
      </c>
      <c r="AD24" s="977">
        <f t="shared" si="0"/>
        <v>2120</v>
      </c>
      <c r="AE24" s="634"/>
    </row>
    <row r="25" spans="1:31" s="629" customFormat="1" ht="18" customHeight="1">
      <c r="A25" s="664" t="s">
        <v>2846</v>
      </c>
      <c r="B25" s="510">
        <f t="shared" si="2"/>
        <v>13</v>
      </c>
      <c r="C25" s="980">
        <f>+NOMINA!C29</f>
        <v>9495661</v>
      </c>
      <c r="D25" s="981" t="str">
        <f>+NOMINA!D29</f>
        <v>Aguial Carrillo Gregoria Coromoto</v>
      </c>
      <c r="E25" s="978" t="s">
        <v>4622</v>
      </c>
      <c r="F25" s="982">
        <v>27081</v>
      </c>
      <c r="G25" s="978" t="s">
        <v>4620</v>
      </c>
      <c r="H25" s="983">
        <f>+NOMINA!H29</f>
        <v>39692</v>
      </c>
      <c r="I25" s="984">
        <f>+NOMINA!I29</f>
        <v>16</v>
      </c>
      <c r="J25" s="985">
        <f>+NOMINA!J29</f>
        <v>0</v>
      </c>
      <c r="K25" s="984">
        <f>+NOMINA!K29</f>
        <v>16</v>
      </c>
      <c r="L25" s="986">
        <f>+NOMINA!CA29</f>
        <v>2120</v>
      </c>
      <c r="M25" s="443" t="e">
        <f>#REF!+#REF!-#REF!</f>
        <v>#REF!</v>
      </c>
      <c r="N25" s="975" t="e">
        <f>ROUND((#REF!+#REF!+#REF!+#REF!+#REF!+#REF!+#REF!+#REF!),2)</f>
        <v>#REF!</v>
      </c>
      <c r="Q25" s="629" t="e">
        <f>SUM(#REF!)</f>
        <v>#REF!</v>
      </c>
      <c r="R25" s="976" t="e">
        <f>#REF!+#REF!-#REF!</f>
        <v>#REF!</v>
      </c>
      <c r="S25" s="977">
        <v>200</v>
      </c>
      <c r="T25" s="976" t="e">
        <f>#REF!+#REF!</f>
        <v>#REF!</v>
      </c>
      <c r="U25" s="977" t="e">
        <f>#REF!</f>
        <v>#REF!</v>
      </c>
      <c r="V25" s="978">
        <v>0</v>
      </c>
      <c r="W25" s="977" t="e">
        <f>#REF!</f>
        <v>#REF!</v>
      </c>
      <c r="X25" s="979" t="e">
        <f>#REF!+#REF!</f>
        <v>#REF!</v>
      </c>
      <c r="Y25" s="979" t="e">
        <f>#REF!+#REF!</f>
        <v>#REF!</v>
      </c>
      <c r="Z25" s="979"/>
      <c r="AA25" s="977" t="e">
        <f>#REF!</f>
        <v>#REF!</v>
      </c>
      <c r="AB25" s="977" t="e">
        <f t="shared" si="1"/>
        <v>#REF!</v>
      </c>
      <c r="AC25" s="977" t="e">
        <f>#REF!+#REF!</f>
        <v>#REF!</v>
      </c>
      <c r="AD25" s="977">
        <f t="shared" si="0"/>
        <v>2120</v>
      </c>
      <c r="AE25" s="634"/>
    </row>
    <row r="26" spans="1:31" s="629" customFormat="1" ht="18" customHeight="1">
      <c r="A26" s="664" t="s">
        <v>2846</v>
      </c>
      <c r="B26" s="510">
        <f t="shared" si="2"/>
        <v>14</v>
      </c>
      <c r="C26" s="980">
        <f>+NOMINA!C30</f>
        <v>5348397</v>
      </c>
      <c r="D26" s="981" t="str">
        <f>+NOMINA!D30</f>
        <v>Araujo Manzanilla Carlos Antonio</v>
      </c>
      <c r="E26" s="978" t="s">
        <v>4622</v>
      </c>
      <c r="F26" s="982">
        <v>27081</v>
      </c>
      <c r="G26" s="978" t="s">
        <v>4620</v>
      </c>
      <c r="H26" s="983">
        <f>+NOMINA!H30</f>
        <v>43359</v>
      </c>
      <c r="I26" s="984">
        <f>+NOMINA!I30</f>
        <v>6</v>
      </c>
      <c r="J26" s="985">
        <f>+NOMINA!J30</f>
        <v>0</v>
      </c>
      <c r="K26" s="984">
        <f>+NOMINA!K30</f>
        <v>6</v>
      </c>
      <c r="L26" s="986">
        <f>+NOMINA!CA30</f>
        <v>2120</v>
      </c>
      <c r="M26" s="443" t="e">
        <f>#REF!+#REF!-#REF!</f>
        <v>#REF!</v>
      </c>
      <c r="N26" s="975" t="e">
        <f>ROUND((#REF!+#REF!+#REF!+#REF!+#REF!+#REF!+#REF!+#REF!),2)</f>
        <v>#REF!</v>
      </c>
      <c r="Q26" s="629" t="e">
        <f>SUM(#REF!)</f>
        <v>#REF!</v>
      </c>
      <c r="R26" s="976" t="e">
        <f>#REF!+#REF!-#REF!</f>
        <v>#REF!</v>
      </c>
      <c r="S26" s="977">
        <v>200</v>
      </c>
      <c r="T26" s="976" t="e">
        <f>#REF!+#REF!</f>
        <v>#REF!</v>
      </c>
      <c r="U26" s="977" t="e">
        <f>#REF!</f>
        <v>#REF!</v>
      </c>
      <c r="V26" s="978">
        <v>0</v>
      </c>
      <c r="W26" s="977" t="e">
        <f>#REF!</f>
        <v>#REF!</v>
      </c>
      <c r="X26" s="979" t="e">
        <f>#REF!+#REF!</f>
        <v>#REF!</v>
      </c>
      <c r="Y26" s="979" t="e">
        <f>#REF!+#REF!</f>
        <v>#REF!</v>
      </c>
      <c r="Z26" s="979"/>
      <c r="AA26" s="977" t="e">
        <f>#REF!</f>
        <v>#REF!</v>
      </c>
      <c r="AB26" s="977" t="e">
        <f t="shared" si="1"/>
        <v>#REF!</v>
      </c>
      <c r="AC26" s="977" t="e">
        <f>#REF!+#REF!</f>
        <v>#REF!</v>
      </c>
      <c r="AD26" s="977">
        <f t="shared" si="0"/>
        <v>2120</v>
      </c>
      <c r="AE26" s="634"/>
    </row>
    <row r="27" spans="1:31" s="629" customFormat="1" ht="18" customHeight="1">
      <c r="A27" s="664" t="s">
        <v>2846</v>
      </c>
      <c r="B27" s="510">
        <f t="shared" si="2"/>
        <v>15</v>
      </c>
      <c r="C27" s="980">
        <f>+NOMINA!C31</f>
        <v>9314132</v>
      </c>
      <c r="D27" s="981" t="str">
        <f>+NOMINA!D31</f>
        <v>Viloria Montilla Gerardo</v>
      </c>
      <c r="E27" s="978" t="s">
        <v>4622</v>
      </c>
      <c r="F27" s="982">
        <v>27081</v>
      </c>
      <c r="G27" s="978" t="s">
        <v>4620</v>
      </c>
      <c r="H27" s="983">
        <f>+NOMINA!H31</f>
        <v>44348</v>
      </c>
      <c r="I27" s="984">
        <f>+NOMINA!I31</f>
        <v>3</v>
      </c>
      <c r="J27" s="985">
        <f>+NOMINA!J31</f>
        <v>0</v>
      </c>
      <c r="K27" s="984">
        <f>+NOMINA!K31</f>
        <v>3</v>
      </c>
      <c r="L27" s="986">
        <f>+NOMINA!CA31</f>
        <v>2120</v>
      </c>
      <c r="M27" s="443" t="e">
        <f>#REF!+#REF!-#REF!</f>
        <v>#REF!</v>
      </c>
      <c r="N27" s="975" t="e">
        <f>ROUND((#REF!+#REF!+#REF!+#REF!+#REF!+#REF!+#REF!+#REF!),2)</f>
        <v>#REF!</v>
      </c>
      <c r="Q27" s="629" t="e">
        <f>SUM(#REF!)</f>
        <v>#REF!</v>
      </c>
      <c r="R27" s="976" t="e">
        <f>#REF!+#REF!-#REF!</f>
        <v>#REF!</v>
      </c>
      <c r="S27" s="977">
        <v>200</v>
      </c>
      <c r="T27" s="976" t="e">
        <f>#REF!+#REF!</f>
        <v>#REF!</v>
      </c>
      <c r="U27" s="977" t="e">
        <f>#REF!</f>
        <v>#REF!</v>
      </c>
      <c r="V27" s="978">
        <v>0</v>
      </c>
      <c r="W27" s="977" t="e">
        <f>#REF!</f>
        <v>#REF!</v>
      </c>
      <c r="X27" s="979" t="e">
        <f>#REF!+#REF!</f>
        <v>#REF!</v>
      </c>
      <c r="Y27" s="979" t="e">
        <f>#REF!+#REF!</f>
        <v>#REF!</v>
      </c>
      <c r="Z27" s="979"/>
      <c r="AA27" s="977" t="e">
        <f>#REF!</f>
        <v>#REF!</v>
      </c>
      <c r="AB27" s="977" t="e">
        <f t="shared" si="1"/>
        <v>#REF!</v>
      </c>
      <c r="AC27" s="977" t="e">
        <f>#REF!+#REF!</f>
        <v>#REF!</v>
      </c>
      <c r="AD27" s="977">
        <f t="shared" si="0"/>
        <v>2120</v>
      </c>
      <c r="AE27" s="634"/>
    </row>
    <row r="28" spans="1:31" s="629" customFormat="1" ht="18" customHeight="1">
      <c r="A28" s="664" t="s">
        <v>2846</v>
      </c>
      <c r="B28" s="510">
        <f t="shared" si="2"/>
        <v>16</v>
      </c>
      <c r="C28" s="980">
        <f>+NOMINA!C32</f>
        <v>11320533</v>
      </c>
      <c r="D28" s="981" t="str">
        <f>+NOMINA!D32</f>
        <v>Suarez Chiquin Yaritza Josefina</v>
      </c>
      <c r="E28" s="978" t="s">
        <v>4622</v>
      </c>
      <c r="F28" s="982">
        <v>27081</v>
      </c>
      <c r="G28" s="978" t="s">
        <v>4620</v>
      </c>
      <c r="H28" s="983">
        <f>+NOMINA!H32</f>
        <v>37629</v>
      </c>
      <c r="I28" s="984">
        <f>+NOMINA!I32</f>
        <v>22</v>
      </c>
      <c r="J28" s="985">
        <f>+NOMINA!J32</f>
        <v>0</v>
      </c>
      <c r="K28" s="984">
        <f>+NOMINA!K32</f>
        <v>22</v>
      </c>
      <c r="L28" s="986">
        <f>+NOMINA!CA32</f>
        <v>2120</v>
      </c>
      <c r="M28" s="443" t="e">
        <f>#REF!+#REF!-#REF!</f>
        <v>#REF!</v>
      </c>
      <c r="N28" s="975" t="e">
        <f>ROUND((#REF!+#REF!+#REF!+#REF!+#REF!+#REF!+#REF!+#REF!),2)</f>
        <v>#REF!</v>
      </c>
      <c r="Q28" s="629" t="e">
        <f>SUM(#REF!)</f>
        <v>#REF!</v>
      </c>
      <c r="R28" s="976" t="e">
        <f>#REF!+#REF!-#REF!</f>
        <v>#REF!</v>
      </c>
      <c r="S28" s="977">
        <v>200</v>
      </c>
      <c r="T28" s="976" t="e">
        <f>#REF!+#REF!</f>
        <v>#REF!</v>
      </c>
      <c r="U28" s="977" t="e">
        <f>#REF!</f>
        <v>#REF!</v>
      </c>
      <c r="V28" s="978">
        <v>0</v>
      </c>
      <c r="W28" s="977" t="e">
        <f>#REF!</f>
        <v>#REF!</v>
      </c>
      <c r="X28" s="979" t="e">
        <f>#REF!+#REF!</f>
        <v>#REF!</v>
      </c>
      <c r="Y28" s="979" t="e">
        <f>#REF!+#REF!</f>
        <v>#REF!</v>
      </c>
      <c r="Z28" s="979"/>
      <c r="AA28" s="977" t="e">
        <f>#REF!</f>
        <v>#REF!</v>
      </c>
      <c r="AB28" s="977" t="e">
        <f t="shared" si="1"/>
        <v>#REF!</v>
      </c>
      <c r="AC28" s="977" t="e">
        <f>#REF!+#REF!</f>
        <v>#REF!</v>
      </c>
      <c r="AD28" s="977">
        <f t="shared" si="0"/>
        <v>2120</v>
      </c>
      <c r="AE28" s="634"/>
    </row>
    <row r="29" spans="1:31" s="629" customFormat="1" ht="18" customHeight="1">
      <c r="A29" s="664" t="s">
        <v>2846</v>
      </c>
      <c r="B29" s="510">
        <f t="shared" si="2"/>
        <v>17</v>
      </c>
      <c r="C29" s="980">
        <f>+NOMINA!C33</f>
        <v>10912595</v>
      </c>
      <c r="D29" s="981" t="str">
        <f>+NOMINA!D33</f>
        <v>Delfin Bustos Jose Hercilio</v>
      </c>
      <c r="E29" s="978" t="s">
        <v>4622</v>
      </c>
      <c r="F29" s="982">
        <v>27081</v>
      </c>
      <c r="G29" s="978" t="s">
        <v>4620</v>
      </c>
      <c r="H29" s="983">
        <f>+NOMINA!H33</f>
        <v>36039</v>
      </c>
      <c r="I29" s="984">
        <f>+NOMINA!I33</f>
        <v>26</v>
      </c>
      <c r="J29" s="985">
        <f>+NOMINA!J33</f>
        <v>0</v>
      </c>
      <c r="K29" s="984">
        <f>+NOMINA!K33</f>
        <v>26</v>
      </c>
      <c r="L29" s="986">
        <f>+NOMINA!CA33</f>
        <v>2120</v>
      </c>
      <c r="M29" s="443" t="e">
        <f>#REF!+#REF!-#REF!</f>
        <v>#REF!</v>
      </c>
      <c r="N29" s="975" t="e">
        <f>ROUND((#REF!+#REF!+#REF!+#REF!+#REF!+#REF!+#REF!+#REF!),2)</f>
        <v>#REF!</v>
      </c>
      <c r="Q29" s="629" t="e">
        <f>SUM(#REF!)</f>
        <v>#REF!</v>
      </c>
      <c r="R29" s="976" t="e">
        <f>#REF!+#REF!-#REF!</f>
        <v>#REF!</v>
      </c>
      <c r="S29" s="977">
        <v>200</v>
      </c>
      <c r="T29" s="976" t="e">
        <f>#REF!+#REF!</f>
        <v>#REF!</v>
      </c>
      <c r="U29" s="977" t="e">
        <f>#REF!</f>
        <v>#REF!</v>
      </c>
      <c r="V29" s="978">
        <v>0</v>
      </c>
      <c r="W29" s="977" t="e">
        <f>#REF!</f>
        <v>#REF!</v>
      </c>
      <c r="X29" s="979" t="e">
        <f>#REF!+#REF!</f>
        <v>#REF!</v>
      </c>
      <c r="Y29" s="979" t="e">
        <f>#REF!+#REF!</f>
        <v>#REF!</v>
      </c>
      <c r="Z29" s="979"/>
      <c r="AA29" s="977" t="e">
        <f>#REF!</f>
        <v>#REF!</v>
      </c>
      <c r="AB29" s="977" t="e">
        <f t="shared" si="1"/>
        <v>#REF!</v>
      </c>
      <c r="AC29" s="977" t="e">
        <f>#REF!+#REF!</f>
        <v>#REF!</v>
      </c>
      <c r="AD29" s="977">
        <f t="shared" si="0"/>
        <v>2120</v>
      </c>
      <c r="AE29" s="634"/>
    </row>
    <row r="30" spans="1:31" s="629" customFormat="1" ht="18" customHeight="1">
      <c r="A30" s="664" t="s">
        <v>2846</v>
      </c>
      <c r="B30" s="510">
        <f t="shared" si="2"/>
        <v>18</v>
      </c>
      <c r="C30" s="980">
        <f>+NOMINA!C34</f>
        <v>4306476</v>
      </c>
      <c r="D30" s="981" t="str">
        <f>+NOMINA!D34</f>
        <v xml:space="preserve">Triviño De Bastidas Dioni De La Coromoto </v>
      </c>
      <c r="E30" s="978" t="s">
        <v>4622</v>
      </c>
      <c r="F30" s="982">
        <v>27081</v>
      </c>
      <c r="G30" s="978" t="s">
        <v>4620</v>
      </c>
      <c r="H30" s="983">
        <f>+NOMINA!H34</f>
        <v>44409</v>
      </c>
      <c r="I30" s="984">
        <f>+NOMINA!I34</f>
        <v>3</v>
      </c>
      <c r="J30" s="985">
        <f>+NOMINA!J34</f>
        <v>25</v>
      </c>
      <c r="K30" s="984">
        <f>+NOMINA!K34</f>
        <v>28</v>
      </c>
      <c r="L30" s="986">
        <f>+NOMINA!CA34</f>
        <v>2120</v>
      </c>
      <c r="M30" s="443" t="e">
        <f>#REF!+#REF!-#REF!</f>
        <v>#REF!</v>
      </c>
      <c r="N30" s="975" t="e">
        <f>ROUND((#REF!+#REF!+#REF!+#REF!+#REF!+#REF!+#REF!+#REF!),2)</f>
        <v>#REF!</v>
      </c>
      <c r="Q30" s="629" t="e">
        <f>SUM(#REF!)</f>
        <v>#REF!</v>
      </c>
      <c r="R30" s="976" t="e">
        <f>#REF!+#REF!-#REF!</f>
        <v>#REF!</v>
      </c>
      <c r="S30" s="977">
        <v>200</v>
      </c>
      <c r="T30" s="976" t="e">
        <f>#REF!+#REF!</f>
        <v>#REF!</v>
      </c>
      <c r="U30" s="977" t="e">
        <f>#REF!</f>
        <v>#REF!</v>
      </c>
      <c r="V30" s="978">
        <v>0</v>
      </c>
      <c r="W30" s="977" t="e">
        <f>#REF!</f>
        <v>#REF!</v>
      </c>
      <c r="X30" s="979" t="e">
        <f>#REF!+#REF!</f>
        <v>#REF!</v>
      </c>
      <c r="Y30" s="979" t="e">
        <f>#REF!+#REF!</f>
        <v>#REF!</v>
      </c>
      <c r="Z30" s="979"/>
      <c r="AA30" s="977" t="e">
        <f>#REF!</f>
        <v>#REF!</v>
      </c>
      <c r="AB30" s="977" t="e">
        <f t="shared" si="1"/>
        <v>#REF!</v>
      </c>
      <c r="AC30" s="977" t="e">
        <f>#REF!+#REF!</f>
        <v>#REF!</v>
      </c>
      <c r="AD30" s="977">
        <f t="shared" si="0"/>
        <v>2120</v>
      </c>
      <c r="AE30" s="634"/>
    </row>
    <row r="31" spans="1:31" s="629" customFormat="1" ht="18" customHeight="1">
      <c r="A31" s="664" t="s">
        <v>2846</v>
      </c>
      <c r="B31" s="510">
        <f t="shared" si="2"/>
        <v>19</v>
      </c>
      <c r="C31" s="980">
        <f>+NOMINA!C35</f>
        <v>13568733</v>
      </c>
      <c r="D31" s="981" t="str">
        <f>+NOMINA!D35</f>
        <v>Campos de Velazquez Nilda Carolina</v>
      </c>
      <c r="E31" s="978" t="s">
        <v>4622</v>
      </c>
      <c r="F31" s="982">
        <v>27081</v>
      </c>
      <c r="G31" s="978" t="s">
        <v>4620</v>
      </c>
      <c r="H31" s="983">
        <f>+NOMINA!H35</f>
        <v>44805</v>
      </c>
      <c r="I31" s="984">
        <f>+NOMINA!I35</f>
        <v>2</v>
      </c>
      <c r="J31" s="985">
        <f>+NOMINA!J35</f>
        <v>0</v>
      </c>
      <c r="K31" s="984">
        <f>+NOMINA!K35</f>
        <v>2</v>
      </c>
      <c r="L31" s="986">
        <f>+NOMINA!CA35</f>
        <v>2120</v>
      </c>
      <c r="M31" s="443" t="e">
        <f>#REF!+#REF!-#REF!</f>
        <v>#REF!</v>
      </c>
      <c r="N31" s="975" t="e">
        <f>ROUND((#REF!+#REF!+#REF!+#REF!+#REF!+#REF!+#REF!+#REF!),2)</f>
        <v>#REF!</v>
      </c>
      <c r="Q31" s="629" t="e">
        <f>SUM(#REF!)</f>
        <v>#REF!</v>
      </c>
      <c r="R31" s="976" t="e">
        <f>#REF!+#REF!-#REF!</f>
        <v>#REF!</v>
      </c>
      <c r="S31" s="977">
        <v>200</v>
      </c>
      <c r="T31" s="976" t="e">
        <f>#REF!+#REF!</f>
        <v>#REF!</v>
      </c>
      <c r="U31" s="977" t="e">
        <f>#REF!</f>
        <v>#REF!</v>
      </c>
      <c r="V31" s="978">
        <v>0</v>
      </c>
      <c r="W31" s="977" t="e">
        <f>#REF!</f>
        <v>#REF!</v>
      </c>
      <c r="X31" s="979" t="e">
        <f>#REF!+#REF!</f>
        <v>#REF!</v>
      </c>
      <c r="Y31" s="979" t="e">
        <f>#REF!+#REF!</f>
        <v>#REF!</v>
      </c>
      <c r="Z31" s="979"/>
      <c r="AA31" s="977" t="e">
        <f>#REF!</f>
        <v>#REF!</v>
      </c>
      <c r="AB31" s="977" t="e">
        <f t="shared" si="1"/>
        <v>#REF!</v>
      </c>
      <c r="AC31" s="977" t="e">
        <f>#REF!+#REF!</f>
        <v>#REF!</v>
      </c>
      <c r="AD31" s="977">
        <f t="shared" si="0"/>
        <v>2120</v>
      </c>
      <c r="AE31" s="634"/>
    </row>
    <row r="32" spans="1:31" s="629" customFormat="1" ht="18" customHeight="1">
      <c r="A32" s="664" t="s">
        <v>2846</v>
      </c>
      <c r="B32" s="510">
        <f t="shared" si="2"/>
        <v>20</v>
      </c>
      <c r="C32" s="980">
        <f>+NOMINA!C36</f>
        <v>20790947</v>
      </c>
      <c r="D32" s="981" t="str">
        <f>+NOMINA!D36</f>
        <v>Urbina Cuellar Tannessy Lenery</v>
      </c>
      <c r="E32" s="978" t="s">
        <v>4622</v>
      </c>
      <c r="F32" s="982">
        <v>27081</v>
      </c>
      <c r="G32" s="978" t="s">
        <v>4620</v>
      </c>
      <c r="H32" s="983">
        <f>+NOMINA!H36</f>
        <v>43967</v>
      </c>
      <c r="I32" s="984">
        <f>+NOMINA!I36</f>
        <v>4</v>
      </c>
      <c r="J32" s="985">
        <f>+NOMINA!J36</f>
        <v>0</v>
      </c>
      <c r="K32" s="984">
        <f>+NOMINA!K36</f>
        <v>4</v>
      </c>
      <c r="L32" s="986">
        <f>+NOMINA!CA36</f>
        <v>2120</v>
      </c>
      <c r="M32" s="443" t="e">
        <f>#REF!+#REF!-#REF!</f>
        <v>#REF!</v>
      </c>
      <c r="N32" s="975" t="e">
        <f>ROUND((#REF!+#REF!+#REF!+#REF!+#REF!+#REF!+#REF!+#REF!),2)</f>
        <v>#REF!</v>
      </c>
      <c r="Q32" s="629" t="e">
        <f>SUM(#REF!)</f>
        <v>#REF!</v>
      </c>
      <c r="R32" s="976" t="e">
        <f>#REF!+#REF!-#REF!</f>
        <v>#REF!</v>
      </c>
      <c r="S32" s="977">
        <v>200</v>
      </c>
      <c r="T32" s="976" t="e">
        <f>#REF!+#REF!</f>
        <v>#REF!</v>
      </c>
      <c r="U32" s="977" t="e">
        <f>#REF!</f>
        <v>#REF!</v>
      </c>
      <c r="V32" s="978">
        <v>0</v>
      </c>
      <c r="W32" s="977" t="e">
        <f>#REF!</f>
        <v>#REF!</v>
      </c>
      <c r="X32" s="979" t="e">
        <f>#REF!+#REF!</f>
        <v>#REF!</v>
      </c>
      <c r="Y32" s="979" t="e">
        <f>#REF!+#REF!</f>
        <v>#REF!</v>
      </c>
      <c r="Z32" s="979"/>
      <c r="AA32" s="977" t="e">
        <f>#REF!</f>
        <v>#REF!</v>
      </c>
      <c r="AB32" s="977" t="e">
        <f t="shared" si="1"/>
        <v>#REF!</v>
      </c>
      <c r="AC32" s="977" t="e">
        <f>#REF!+#REF!</f>
        <v>#REF!</v>
      </c>
      <c r="AD32" s="977">
        <f t="shared" si="0"/>
        <v>2120</v>
      </c>
      <c r="AE32" s="634"/>
    </row>
    <row r="33" spans="1:35" s="629" customFormat="1" ht="18" customHeight="1">
      <c r="A33" s="664" t="s">
        <v>2846</v>
      </c>
      <c r="B33" s="510">
        <f t="shared" si="2"/>
        <v>21</v>
      </c>
      <c r="C33" s="980">
        <f>+NOMINA!C37</f>
        <v>15752183</v>
      </c>
      <c r="D33" s="981" t="str">
        <f>+NOMINA!D37</f>
        <v>Delduca Adriana Del Valle</v>
      </c>
      <c r="E33" s="978" t="s">
        <v>4622</v>
      </c>
      <c r="F33" s="982">
        <v>27081</v>
      </c>
      <c r="G33" s="978" t="s">
        <v>4620</v>
      </c>
      <c r="H33" s="983">
        <f>+NOMINA!H37</f>
        <v>38930</v>
      </c>
      <c r="I33" s="984">
        <f>+NOMINA!I37</f>
        <v>18</v>
      </c>
      <c r="J33" s="985">
        <f>+NOMINA!J37</f>
        <v>0</v>
      </c>
      <c r="K33" s="984">
        <f>+NOMINA!K37</f>
        <v>18</v>
      </c>
      <c r="L33" s="986">
        <f>+NOMINA!CA37</f>
        <v>2120</v>
      </c>
      <c r="M33" s="443" t="e">
        <f>#REF!+#REF!-#REF!</f>
        <v>#REF!</v>
      </c>
      <c r="N33" s="975" t="e">
        <f>ROUND((#REF!+#REF!+#REF!+#REF!+#REF!+#REF!+#REF!+#REF!),2)</f>
        <v>#REF!</v>
      </c>
      <c r="Q33" s="629" t="e">
        <f>SUM(#REF!)</f>
        <v>#REF!</v>
      </c>
      <c r="R33" s="976" t="e">
        <f>#REF!+#REF!-#REF!</f>
        <v>#REF!</v>
      </c>
      <c r="S33" s="977">
        <v>200</v>
      </c>
      <c r="T33" s="976" t="e">
        <f>#REF!+#REF!</f>
        <v>#REF!</v>
      </c>
      <c r="U33" s="977" t="e">
        <f>#REF!</f>
        <v>#REF!</v>
      </c>
      <c r="V33" s="978">
        <v>0</v>
      </c>
      <c r="W33" s="977" t="e">
        <f>#REF!</f>
        <v>#REF!</v>
      </c>
      <c r="X33" s="979" t="e">
        <f>#REF!+#REF!</f>
        <v>#REF!</v>
      </c>
      <c r="Y33" s="979" t="e">
        <f>#REF!+#REF!</f>
        <v>#REF!</v>
      </c>
      <c r="Z33" s="979"/>
      <c r="AA33" s="977" t="e">
        <f>#REF!</f>
        <v>#REF!</v>
      </c>
      <c r="AB33" s="977" t="e">
        <f t="shared" si="1"/>
        <v>#REF!</v>
      </c>
      <c r="AC33" s="977" t="e">
        <f>#REF!+#REF!</f>
        <v>#REF!</v>
      </c>
      <c r="AD33" s="977">
        <f t="shared" si="0"/>
        <v>2120</v>
      </c>
      <c r="AE33" s="634"/>
    </row>
    <row r="34" spans="1:35" s="629" customFormat="1" ht="18" customHeight="1">
      <c r="A34" s="664" t="s">
        <v>2846</v>
      </c>
      <c r="B34" s="510">
        <f t="shared" si="2"/>
        <v>22</v>
      </c>
      <c r="C34" s="980">
        <f>+NOMINA!C38</f>
        <v>16739081</v>
      </c>
      <c r="D34" s="981" t="str">
        <f>+NOMINA!D38</f>
        <v>Albarran Araujo Yely Coromoto</v>
      </c>
      <c r="E34" s="978" t="s">
        <v>4622</v>
      </c>
      <c r="F34" s="982">
        <v>27081</v>
      </c>
      <c r="G34" s="978" t="s">
        <v>4620</v>
      </c>
      <c r="H34" s="983">
        <f>+NOMINA!H38</f>
        <v>42948</v>
      </c>
      <c r="I34" s="984">
        <f>+NOMINA!I38</f>
        <v>7</v>
      </c>
      <c r="J34" s="985">
        <f>+NOMINA!J38</f>
        <v>0</v>
      </c>
      <c r="K34" s="984">
        <f>+NOMINA!K38</f>
        <v>7</v>
      </c>
      <c r="L34" s="986">
        <f>+NOMINA!CA38</f>
        <v>2120</v>
      </c>
      <c r="M34" s="443" t="e">
        <f>#REF!+#REF!-#REF!</f>
        <v>#REF!</v>
      </c>
      <c r="N34" s="975" t="e">
        <f>ROUND((#REF!+#REF!+#REF!+#REF!+#REF!+#REF!+#REF!+#REF!),2)</f>
        <v>#REF!</v>
      </c>
      <c r="Q34" s="629" t="e">
        <f>SUM(#REF!)</f>
        <v>#REF!</v>
      </c>
      <c r="R34" s="976" t="e">
        <f>#REF!+#REF!-#REF!</f>
        <v>#REF!</v>
      </c>
      <c r="S34" s="977">
        <v>200</v>
      </c>
      <c r="T34" s="976" t="e">
        <f>#REF!+#REF!</f>
        <v>#REF!</v>
      </c>
      <c r="U34" s="977" t="e">
        <f>#REF!</f>
        <v>#REF!</v>
      </c>
      <c r="V34" s="978">
        <v>0</v>
      </c>
      <c r="W34" s="977" t="e">
        <f>#REF!</f>
        <v>#REF!</v>
      </c>
      <c r="X34" s="979" t="e">
        <f>#REF!+#REF!</f>
        <v>#REF!</v>
      </c>
      <c r="Y34" s="979" t="e">
        <f>#REF!+#REF!</f>
        <v>#REF!</v>
      </c>
      <c r="Z34" s="979"/>
      <c r="AA34" s="977" t="e">
        <f>#REF!</f>
        <v>#REF!</v>
      </c>
      <c r="AB34" s="977" t="e">
        <f t="shared" si="1"/>
        <v>#REF!</v>
      </c>
      <c r="AC34" s="977" t="e">
        <f>#REF!+#REF!</f>
        <v>#REF!</v>
      </c>
      <c r="AD34" s="977">
        <f t="shared" si="0"/>
        <v>2120</v>
      </c>
      <c r="AE34" s="634"/>
    </row>
    <row r="35" spans="1:35" s="629" customFormat="1" ht="18" customHeight="1">
      <c r="A35" s="664"/>
      <c r="B35" s="510">
        <f t="shared" si="2"/>
        <v>23</v>
      </c>
      <c r="C35" s="980">
        <f>+NOMINA!C39</f>
        <v>12781930</v>
      </c>
      <c r="D35" s="981" t="str">
        <f>+NOMINA!D39</f>
        <v>Berrios Gomez Neida Marina</v>
      </c>
      <c r="E35" s="978" t="s">
        <v>4622</v>
      </c>
      <c r="F35" s="982">
        <v>27081</v>
      </c>
      <c r="G35" s="978" t="s">
        <v>4620</v>
      </c>
      <c r="H35" s="983">
        <f>+NOMINA!H39</f>
        <v>44652</v>
      </c>
      <c r="I35" s="984">
        <f>+NOMINA!I39</f>
        <v>2</v>
      </c>
      <c r="J35" s="985">
        <f>+NOMINA!J39</f>
        <v>0</v>
      </c>
      <c r="K35" s="984">
        <f>+NOMINA!K39</f>
        <v>2</v>
      </c>
      <c r="L35" s="986">
        <f>+NOMINA!CA39</f>
        <v>2120</v>
      </c>
      <c r="M35" s="443"/>
      <c r="N35" s="975"/>
      <c r="R35" s="976"/>
      <c r="S35" s="977"/>
      <c r="T35" s="976"/>
      <c r="U35" s="977"/>
      <c r="V35" s="978"/>
      <c r="W35" s="977"/>
      <c r="X35" s="979"/>
      <c r="Y35" s="979"/>
      <c r="Z35" s="979"/>
      <c r="AA35" s="977"/>
      <c r="AB35" s="977"/>
      <c r="AC35" s="977"/>
      <c r="AD35" s="977"/>
      <c r="AE35" s="634"/>
    </row>
    <row r="36" spans="1:35" s="629" customFormat="1" ht="18" customHeight="1" thickBot="1">
      <c r="A36" s="664" t="s">
        <v>2846</v>
      </c>
      <c r="B36" s="510">
        <f t="shared" si="2"/>
        <v>24</v>
      </c>
      <c r="C36" s="980">
        <f>+NOMINA!C40</f>
        <v>13896239</v>
      </c>
      <c r="D36" s="981" t="str">
        <f>+NOMINA!D40</f>
        <v>Sulbaran Campos Yusneida Ayarith</v>
      </c>
      <c r="E36" s="978" t="s">
        <v>4622</v>
      </c>
      <c r="F36" s="982">
        <v>27081</v>
      </c>
      <c r="G36" s="978" t="s">
        <v>4620</v>
      </c>
      <c r="H36" s="983">
        <f>+NOMINA!H40</f>
        <v>42416</v>
      </c>
      <c r="I36" s="984">
        <f>+NOMINA!I40</f>
        <v>8</v>
      </c>
      <c r="J36" s="985">
        <f>+NOMINA!J40</f>
        <v>0</v>
      </c>
      <c r="K36" s="984">
        <f>+NOMINA!K40</f>
        <v>8</v>
      </c>
      <c r="L36" s="986">
        <f>+NOMINA!CA40</f>
        <v>2120</v>
      </c>
      <c r="M36" s="443" t="e">
        <f>#REF!+#REF!-#REF!</f>
        <v>#REF!</v>
      </c>
      <c r="N36" s="975" t="e">
        <f>ROUND((#REF!+#REF!+#REF!+#REF!+#REF!+#REF!+#REF!+#REF!),2)</f>
        <v>#REF!</v>
      </c>
      <c r="Q36" s="629" t="e">
        <f>SUM(#REF!)</f>
        <v>#REF!</v>
      </c>
      <c r="R36" s="976" t="e">
        <f>#REF!+#REF!-#REF!</f>
        <v>#REF!</v>
      </c>
      <c r="S36" s="977">
        <v>200</v>
      </c>
      <c r="T36" s="976" t="e">
        <f>#REF!+#REF!</f>
        <v>#REF!</v>
      </c>
      <c r="U36" s="977" t="e">
        <f>#REF!</f>
        <v>#REF!</v>
      </c>
      <c r="V36" s="978">
        <v>0</v>
      </c>
      <c r="W36" s="977" t="e">
        <f>#REF!</f>
        <v>#REF!</v>
      </c>
      <c r="X36" s="979" t="e">
        <f>#REF!+#REF!</f>
        <v>#REF!</v>
      </c>
      <c r="Y36" s="979" t="e">
        <f>#REF!+#REF!</f>
        <v>#REF!</v>
      </c>
      <c r="Z36" s="979"/>
      <c r="AA36" s="977" t="e">
        <f>#REF!</f>
        <v>#REF!</v>
      </c>
      <c r="AB36" s="977" t="e">
        <f t="shared" si="1"/>
        <v>#REF!</v>
      </c>
      <c r="AC36" s="977" t="e">
        <f>#REF!+#REF!</f>
        <v>#REF!</v>
      </c>
      <c r="AD36" s="977">
        <f t="shared" si="0"/>
        <v>2120</v>
      </c>
      <c r="AE36" s="634"/>
    </row>
    <row r="37" spans="1:35" s="629" customFormat="1" ht="19.5" customHeight="1" thickBot="1">
      <c r="A37" s="675"/>
      <c r="B37" s="676"/>
      <c r="C37" s="677"/>
      <c r="D37" s="677"/>
      <c r="E37" s="677"/>
      <c r="F37" s="677"/>
      <c r="G37" s="677"/>
      <c r="H37" s="678"/>
      <c r="I37" s="677"/>
      <c r="J37" s="677"/>
      <c r="K37" s="1139" t="s">
        <v>5791</v>
      </c>
      <c r="L37" s="679">
        <f>SUM(L13:L36)</f>
        <v>50880</v>
      </c>
      <c r="M37" s="680" t="e">
        <f>SUM(M13:M36)</f>
        <v>#REF!</v>
      </c>
      <c r="N37" s="681" t="e">
        <f>SUM(N13:N36)</f>
        <v>#REF!</v>
      </c>
      <c r="O37" s="682"/>
      <c r="P37" s="682" t="e">
        <f>R37-#REF!</f>
        <v>#REF!</v>
      </c>
      <c r="Q37" s="682"/>
      <c r="R37" s="987" t="e">
        <f t="shared" ref="R37:Y37" si="3">SUM(R12:R36)</f>
        <v>#REF!</v>
      </c>
      <c r="S37" s="987">
        <f t="shared" si="3"/>
        <v>4600</v>
      </c>
      <c r="T37" s="988" t="e">
        <f t="shared" si="3"/>
        <v>#REF!</v>
      </c>
      <c r="U37" s="988" t="e">
        <f t="shared" si="3"/>
        <v>#REF!</v>
      </c>
      <c r="V37" s="987">
        <f t="shared" si="3"/>
        <v>0</v>
      </c>
      <c r="W37" s="987" t="e">
        <f t="shared" si="3"/>
        <v>#REF!</v>
      </c>
      <c r="X37" s="987" t="e">
        <f t="shared" si="3"/>
        <v>#REF!</v>
      </c>
      <c r="Y37" s="987" t="e">
        <f t="shared" si="3"/>
        <v>#REF!</v>
      </c>
      <c r="Z37" s="987"/>
      <c r="AA37" s="987" t="e">
        <f>SUM(AA12:AA36)</f>
        <v>#REF!</v>
      </c>
      <c r="AB37" s="987" t="e">
        <f>SUM(AB12:AB36)</f>
        <v>#REF!</v>
      </c>
      <c r="AC37" s="987" t="e">
        <f>SUM(AC12:AC36)</f>
        <v>#REF!</v>
      </c>
      <c r="AD37" s="987">
        <f>SUM(AD12:AD36)</f>
        <v>48760</v>
      </c>
      <c r="AE37" s="634"/>
      <c r="AF37" s="634"/>
      <c r="AG37" s="682"/>
      <c r="AH37" s="682"/>
      <c r="AI37" s="682"/>
    </row>
    <row r="38" spans="1:35" s="692" customFormat="1" ht="25.5" customHeight="1" thickBot="1">
      <c r="A38" s="683" t="s">
        <v>4561</v>
      </c>
      <c r="B38" s="665" t="str">
        <f>+"EMPLEADOS FIJOS_NOMINA_"&amp;NOMINA!F9&amp;"_"&amp;NOMINA!H9&amp;"-CESTA TICKET"</f>
        <v>EMPLEADOS FIJOS_NOMINA_ENERO_2025-CESTA TICKET</v>
      </c>
      <c r="C38" s="684"/>
      <c r="D38" s="685"/>
      <c r="E38" s="684"/>
      <c r="F38" s="685"/>
      <c r="G38" s="686"/>
      <c r="H38" s="687"/>
      <c r="I38" s="688"/>
      <c r="J38" s="688"/>
      <c r="K38" s="688"/>
      <c r="L38" s="689"/>
      <c r="M38" s="690"/>
      <c r="N38" s="691"/>
      <c r="O38" s="691"/>
      <c r="P38" s="691"/>
      <c r="Q38" s="691"/>
      <c r="R38" s="691"/>
      <c r="S38" s="691"/>
      <c r="T38" s="691"/>
      <c r="U38" s="691"/>
      <c r="V38" s="691"/>
      <c r="W38" s="691"/>
      <c r="X38" s="691"/>
      <c r="Y38" s="691"/>
      <c r="Z38" s="691"/>
      <c r="AA38" s="691"/>
      <c r="AB38" s="691"/>
      <c r="AC38" s="691"/>
      <c r="AD38" s="691"/>
      <c r="AE38" s="691"/>
      <c r="AG38" s="691"/>
      <c r="AH38" s="691"/>
      <c r="AI38" s="691"/>
    </row>
    <row r="39" spans="1:35" s="629" customFormat="1" ht="18" customHeight="1">
      <c r="A39" s="664" t="s">
        <v>2846</v>
      </c>
      <c r="B39" s="510">
        <v>1</v>
      </c>
      <c r="C39" s="980">
        <f>+NOMINA!C43</f>
        <v>4324055</v>
      </c>
      <c r="D39" s="981" t="str">
        <f>+NOMINA!D43</f>
        <v>Mejia Linares Alexis de Jesus</v>
      </c>
      <c r="E39" s="978" t="s">
        <v>4622</v>
      </c>
      <c r="F39" s="982">
        <v>27081</v>
      </c>
      <c r="G39" s="978" t="s">
        <v>4620</v>
      </c>
      <c r="H39" s="983">
        <f>+NOMINA!H43</f>
        <v>44470</v>
      </c>
      <c r="I39" s="984">
        <f>+NOMINA!I43</f>
        <v>3</v>
      </c>
      <c r="J39" s="985">
        <f>+NOMINA!J43</f>
        <v>0</v>
      </c>
      <c r="K39" s="984">
        <f>+NOMINA!K43</f>
        <v>3</v>
      </c>
      <c r="L39" s="986">
        <f>+NOMINA!CA43</f>
        <v>2120</v>
      </c>
      <c r="M39" s="443" t="e">
        <f>#REF!+#REF!-#REF!</f>
        <v>#REF!</v>
      </c>
      <c r="N39" s="975" t="e">
        <f>ROUND((#REF!+#REF!+#REF!+#REF!+#REF!+#REF!+#REF!+#REF!),2)</f>
        <v>#REF!</v>
      </c>
      <c r="Q39" s="629" t="e">
        <f>SUM(#REF!)</f>
        <v>#REF!</v>
      </c>
      <c r="R39" s="976" t="e">
        <f>#REF!+#REF!-#REF!</f>
        <v>#REF!</v>
      </c>
      <c r="S39" s="977">
        <v>200</v>
      </c>
      <c r="T39" s="976" t="e">
        <f>#REF!+#REF!</f>
        <v>#REF!</v>
      </c>
      <c r="U39" s="977" t="e">
        <f>#REF!</f>
        <v>#REF!</v>
      </c>
      <c r="V39" s="978">
        <v>0</v>
      </c>
      <c r="W39" s="977" t="e">
        <f>#REF!</f>
        <v>#REF!</v>
      </c>
      <c r="X39" s="979" t="e">
        <f>#REF!+#REF!</f>
        <v>#REF!</v>
      </c>
      <c r="Y39" s="979" t="e">
        <f>#REF!+#REF!</f>
        <v>#REF!</v>
      </c>
      <c r="Z39" s="979"/>
      <c r="AA39" s="977" t="e">
        <f>#REF!</f>
        <v>#REF!</v>
      </c>
      <c r="AB39" s="977" t="e">
        <f t="shared" ref="AB39:AB92" si="4">SUM(T39:AA39)</f>
        <v>#REF!</v>
      </c>
      <c r="AC39" s="977" t="e">
        <f>#REF!+#REF!</f>
        <v>#REF!</v>
      </c>
      <c r="AD39" s="977">
        <f t="shared" ref="AD39:AD100" si="5">L39</f>
        <v>2120</v>
      </c>
      <c r="AE39" s="634"/>
    </row>
    <row r="40" spans="1:35" s="629" customFormat="1" ht="18" customHeight="1">
      <c r="A40" s="664" t="s">
        <v>2846</v>
      </c>
      <c r="B40" s="510">
        <f>B39+1</f>
        <v>2</v>
      </c>
      <c r="C40" s="980">
        <f>+NOMINA!C44</f>
        <v>4657974</v>
      </c>
      <c r="D40" s="981" t="str">
        <f>+NOMINA!D44</f>
        <v>Balestrini Nuñez Ulises Ramon</v>
      </c>
      <c r="E40" s="978" t="s">
        <v>4622</v>
      </c>
      <c r="F40" s="982">
        <v>27081</v>
      </c>
      <c r="G40" s="978" t="s">
        <v>4620</v>
      </c>
      <c r="H40" s="983">
        <f>+NOMINA!H44</f>
        <v>39463</v>
      </c>
      <c r="I40" s="984">
        <f>+NOMINA!I44</f>
        <v>17</v>
      </c>
      <c r="J40" s="985">
        <f>+NOMINA!J44</f>
        <v>0</v>
      </c>
      <c r="K40" s="984">
        <f>+NOMINA!K44</f>
        <v>17</v>
      </c>
      <c r="L40" s="986">
        <f>+NOMINA!CA44</f>
        <v>2120</v>
      </c>
      <c r="M40" s="443" t="e">
        <f>#REF!+#REF!-#REF!</f>
        <v>#REF!</v>
      </c>
      <c r="N40" s="975" t="e">
        <f>ROUND((#REF!+#REF!+#REF!+#REF!+#REF!+#REF!+#REF!+#REF!),2)</f>
        <v>#REF!</v>
      </c>
      <c r="Q40" s="629" t="e">
        <f>SUM(#REF!)</f>
        <v>#REF!</v>
      </c>
      <c r="R40" s="976" t="e">
        <f>#REF!+#REF!-#REF!</f>
        <v>#REF!</v>
      </c>
      <c r="S40" s="977">
        <v>200</v>
      </c>
      <c r="T40" s="976" t="e">
        <f>#REF!+#REF!</f>
        <v>#REF!</v>
      </c>
      <c r="U40" s="977" t="e">
        <f>#REF!</f>
        <v>#REF!</v>
      </c>
      <c r="V40" s="978">
        <v>0</v>
      </c>
      <c r="W40" s="977" t="e">
        <f>#REF!</f>
        <v>#REF!</v>
      </c>
      <c r="X40" s="979" t="e">
        <f>#REF!+#REF!</f>
        <v>#REF!</v>
      </c>
      <c r="Y40" s="979" t="e">
        <f>#REF!+#REF!</f>
        <v>#REF!</v>
      </c>
      <c r="Z40" s="979"/>
      <c r="AA40" s="977" t="e">
        <f>#REF!</f>
        <v>#REF!</v>
      </c>
      <c r="AB40" s="977" t="e">
        <f t="shared" si="4"/>
        <v>#REF!</v>
      </c>
      <c r="AC40" s="977" t="e">
        <f>#REF!+#REF!</f>
        <v>#REF!</v>
      </c>
      <c r="AD40" s="977">
        <f t="shared" si="5"/>
        <v>2120</v>
      </c>
      <c r="AE40" s="634"/>
    </row>
    <row r="41" spans="1:35" s="629" customFormat="1" ht="18" customHeight="1">
      <c r="A41" s="664" t="s">
        <v>2846</v>
      </c>
      <c r="B41" s="510">
        <f t="shared" ref="B41:B104" si="6">B40+1</f>
        <v>3</v>
      </c>
      <c r="C41" s="980">
        <f>+NOMINA!C45</f>
        <v>5762861</v>
      </c>
      <c r="D41" s="981" t="str">
        <f>+NOMINA!D45</f>
        <v>Aldana Duran Delia Mercedes</v>
      </c>
      <c r="E41" s="978" t="s">
        <v>4622</v>
      </c>
      <c r="F41" s="982">
        <v>27081</v>
      </c>
      <c r="G41" s="978" t="s">
        <v>4620</v>
      </c>
      <c r="H41" s="983">
        <f>+NOMINA!H45</f>
        <v>37851</v>
      </c>
      <c r="I41" s="984">
        <f>+NOMINA!I45</f>
        <v>21</v>
      </c>
      <c r="J41" s="985">
        <f>+NOMINA!J45</f>
        <v>4</v>
      </c>
      <c r="K41" s="984">
        <f>+NOMINA!K45</f>
        <v>25</v>
      </c>
      <c r="L41" s="986">
        <f>+NOMINA!CA45</f>
        <v>2120</v>
      </c>
      <c r="M41" s="443" t="e">
        <f>#REF!+#REF!-#REF!</f>
        <v>#REF!</v>
      </c>
      <c r="N41" s="975" t="e">
        <f>ROUND((#REF!+#REF!+#REF!+#REF!+#REF!+#REF!+#REF!+#REF!),2)</f>
        <v>#REF!</v>
      </c>
      <c r="Q41" s="629" t="e">
        <f>SUM(#REF!)</f>
        <v>#REF!</v>
      </c>
      <c r="R41" s="976" t="e">
        <f>#REF!+#REF!-#REF!</f>
        <v>#REF!</v>
      </c>
      <c r="S41" s="977">
        <v>200</v>
      </c>
      <c r="T41" s="976" t="e">
        <f>#REF!+#REF!</f>
        <v>#REF!</v>
      </c>
      <c r="U41" s="977" t="e">
        <f>#REF!</f>
        <v>#REF!</v>
      </c>
      <c r="V41" s="978">
        <v>0</v>
      </c>
      <c r="W41" s="977" t="e">
        <f>#REF!</f>
        <v>#REF!</v>
      </c>
      <c r="X41" s="979" t="e">
        <f>#REF!+#REF!</f>
        <v>#REF!</v>
      </c>
      <c r="Y41" s="979" t="e">
        <f>#REF!+#REF!</f>
        <v>#REF!</v>
      </c>
      <c r="Z41" s="979"/>
      <c r="AA41" s="977" t="e">
        <f>#REF!</f>
        <v>#REF!</v>
      </c>
      <c r="AB41" s="977" t="e">
        <f t="shared" si="4"/>
        <v>#REF!</v>
      </c>
      <c r="AC41" s="977" t="e">
        <f>#REF!+#REF!</f>
        <v>#REF!</v>
      </c>
      <c r="AD41" s="977">
        <f t="shared" si="5"/>
        <v>2120</v>
      </c>
      <c r="AE41" s="634"/>
    </row>
    <row r="42" spans="1:35" s="629" customFormat="1" ht="18" customHeight="1">
      <c r="A42" s="664" t="s">
        <v>2846</v>
      </c>
      <c r="B42" s="510">
        <f t="shared" si="6"/>
        <v>4</v>
      </c>
      <c r="C42" s="980">
        <f>+NOMINA!C46</f>
        <v>5782060</v>
      </c>
      <c r="D42" s="981" t="str">
        <f>+NOMINA!D46</f>
        <v>Linares Araujo Adolfo Jose</v>
      </c>
      <c r="E42" s="978" t="s">
        <v>4622</v>
      </c>
      <c r="F42" s="982">
        <v>27081</v>
      </c>
      <c r="G42" s="978" t="s">
        <v>4620</v>
      </c>
      <c r="H42" s="983">
        <f>+NOMINA!H46</f>
        <v>39539</v>
      </c>
      <c r="I42" s="984">
        <f>+NOMINA!I46</f>
        <v>16</v>
      </c>
      <c r="J42" s="985">
        <f>+NOMINA!J46</f>
        <v>0</v>
      </c>
      <c r="K42" s="984">
        <f>+NOMINA!K46</f>
        <v>16</v>
      </c>
      <c r="L42" s="986">
        <f>+NOMINA!CA46</f>
        <v>2120</v>
      </c>
      <c r="M42" s="443" t="e">
        <f>#REF!+#REF!-#REF!</f>
        <v>#REF!</v>
      </c>
      <c r="N42" s="975" t="e">
        <f>ROUND((#REF!+#REF!+#REF!+#REF!+#REF!+#REF!+#REF!+#REF!),2)</f>
        <v>#REF!</v>
      </c>
      <c r="Q42" s="629" t="e">
        <f>SUM(#REF!)</f>
        <v>#REF!</v>
      </c>
      <c r="R42" s="976" t="e">
        <f>#REF!+#REF!-#REF!</f>
        <v>#REF!</v>
      </c>
      <c r="S42" s="977">
        <v>200</v>
      </c>
      <c r="T42" s="976" t="e">
        <f>#REF!+#REF!</f>
        <v>#REF!</v>
      </c>
      <c r="U42" s="977" t="e">
        <f>#REF!</f>
        <v>#REF!</v>
      </c>
      <c r="V42" s="978">
        <v>0</v>
      </c>
      <c r="W42" s="977" t="e">
        <f>#REF!</f>
        <v>#REF!</v>
      </c>
      <c r="X42" s="979" t="e">
        <f>#REF!+#REF!</f>
        <v>#REF!</v>
      </c>
      <c r="Y42" s="979" t="e">
        <f>#REF!+#REF!</f>
        <v>#REF!</v>
      </c>
      <c r="Z42" s="979"/>
      <c r="AA42" s="977" t="e">
        <f>#REF!</f>
        <v>#REF!</v>
      </c>
      <c r="AB42" s="977" t="e">
        <f t="shared" si="4"/>
        <v>#REF!</v>
      </c>
      <c r="AC42" s="977" t="e">
        <f>#REF!+#REF!</f>
        <v>#REF!</v>
      </c>
      <c r="AD42" s="977">
        <f t="shared" si="5"/>
        <v>2120</v>
      </c>
      <c r="AE42" s="634"/>
    </row>
    <row r="43" spans="1:35" s="629" customFormat="1" ht="18" customHeight="1">
      <c r="A43" s="664" t="s">
        <v>2846</v>
      </c>
      <c r="B43" s="510">
        <f t="shared" si="6"/>
        <v>5</v>
      </c>
      <c r="C43" s="980">
        <f>+NOMINA!C47</f>
        <v>5790501</v>
      </c>
      <c r="D43" s="981" t="str">
        <f>+NOMINA!D47</f>
        <v>Castellanos de Araujo Maria Eustoquia</v>
      </c>
      <c r="E43" s="978" t="s">
        <v>4622</v>
      </c>
      <c r="F43" s="982">
        <v>27081</v>
      </c>
      <c r="G43" s="978" t="s">
        <v>4620</v>
      </c>
      <c r="H43" s="983">
        <f>+NOMINA!H47</f>
        <v>39707</v>
      </c>
      <c r="I43" s="984">
        <f>+NOMINA!I47</f>
        <v>16</v>
      </c>
      <c r="J43" s="985">
        <f>+NOMINA!J47</f>
        <v>3</v>
      </c>
      <c r="K43" s="984">
        <f>+NOMINA!K47</f>
        <v>19</v>
      </c>
      <c r="L43" s="986">
        <f>+NOMINA!CA47</f>
        <v>2120</v>
      </c>
      <c r="M43" s="443" t="e">
        <f>#REF!+#REF!-#REF!</f>
        <v>#REF!</v>
      </c>
      <c r="N43" s="975" t="e">
        <f>ROUND((#REF!+#REF!+#REF!+#REF!+#REF!+#REF!+#REF!+#REF!),2)</f>
        <v>#REF!</v>
      </c>
      <c r="Q43" s="629" t="e">
        <f>SUM(#REF!)</f>
        <v>#REF!</v>
      </c>
      <c r="R43" s="976" t="e">
        <f>#REF!+#REF!-#REF!</f>
        <v>#REF!</v>
      </c>
      <c r="S43" s="977">
        <v>200</v>
      </c>
      <c r="T43" s="976" t="e">
        <f>#REF!+#REF!</f>
        <v>#REF!</v>
      </c>
      <c r="U43" s="977" t="e">
        <f>#REF!</f>
        <v>#REF!</v>
      </c>
      <c r="V43" s="978">
        <v>0</v>
      </c>
      <c r="W43" s="977" t="e">
        <f>#REF!</f>
        <v>#REF!</v>
      </c>
      <c r="X43" s="979" t="e">
        <f>#REF!+#REF!</f>
        <v>#REF!</v>
      </c>
      <c r="Y43" s="979" t="e">
        <f>#REF!+#REF!</f>
        <v>#REF!</v>
      </c>
      <c r="Z43" s="979"/>
      <c r="AA43" s="977" t="e">
        <f>#REF!</f>
        <v>#REF!</v>
      </c>
      <c r="AB43" s="977" t="e">
        <f t="shared" si="4"/>
        <v>#REF!</v>
      </c>
      <c r="AC43" s="977" t="e">
        <f>#REF!+#REF!</f>
        <v>#REF!</v>
      </c>
      <c r="AD43" s="977">
        <f t="shared" si="5"/>
        <v>2120</v>
      </c>
      <c r="AE43" s="634"/>
    </row>
    <row r="44" spans="1:35" s="629" customFormat="1" ht="18" customHeight="1">
      <c r="A44" s="664" t="s">
        <v>2846</v>
      </c>
      <c r="B44" s="510">
        <f t="shared" si="6"/>
        <v>6</v>
      </c>
      <c r="C44" s="980">
        <f>+NOMINA!C48</f>
        <v>7744688</v>
      </c>
      <c r="D44" s="981" t="str">
        <f>+NOMINA!D48</f>
        <v>Aguilera Carroz Gerardo Raul</v>
      </c>
      <c r="E44" s="978" t="s">
        <v>4622</v>
      </c>
      <c r="F44" s="982">
        <v>27081</v>
      </c>
      <c r="G44" s="978" t="s">
        <v>4620</v>
      </c>
      <c r="H44" s="983">
        <f>+NOMINA!H48</f>
        <v>44713</v>
      </c>
      <c r="I44" s="984">
        <f>+NOMINA!I48</f>
        <v>2</v>
      </c>
      <c r="J44" s="985">
        <f>+NOMINA!J48</f>
        <v>0</v>
      </c>
      <c r="K44" s="984">
        <f>+NOMINA!K48</f>
        <v>2</v>
      </c>
      <c r="L44" s="986">
        <f>+NOMINA!CA48</f>
        <v>2120</v>
      </c>
      <c r="M44" s="443" t="e">
        <f>#REF!+#REF!-#REF!</f>
        <v>#REF!</v>
      </c>
      <c r="N44" s="975" t="e">
        <f>ROUND((#REF!+#REF!+#REF!+#REF!+#REF!+#REF!+#REF!+#REF!),2)</f>
        <v>#REF!</v>
      </c>
      <c r="Q44" s="629" t="e">
        <f>SUM(#REF!)</f>
        <v>#REF!</v>
      </c>
      <c r="R44" s="976" t="e">
        <f>#REF!+#REF!-#REF!</f>
        <v>#REF!</v>
      </c>
      <c r="S44" s="977">
        <v>200</v>
      </c>
      <c r="T44" s="976" t="e">
        <f>#REF!+#REF!</f>
        <v>#REF!</v>
      </c>
      <c r="U44" s="977" t="e">
        <f>#REF!</f>
        <v>#REF!</v>
      </c>
      <c r="V44" s="978">
        <v>0</v>
      </c>
      <c r="W44" s="977" t="e">
        <f>#REF!</f>
        <v>#REF!</v>
      </c>
      <c r="X44" s="979" t="e">
        <f>#REF!+#REF!</f>
        <v>#REF!</v>
      </c>
      <c r="Y44" s="979" t="e">
        <f>#REF!+#REF!</f>
        <v>#REF!</v>
      </c>
      <c r="Z44" s="979"/>
      <c r="AA44" s="977" t="e">
        <f>#REF!</f>
        <v>#REF!</v>
      </c>
      <c r="AB44" s="977" t="e">
        <f t="shared" si="4"/>
        <v>#REF!</v>
      </c>
      <c r="AC44" s="977" t="e">
        <f>#REF!+#REF!</f>
        <v>#REF!</v>
      </c>
      <c r="AD44" s="977">
        <f t="shared" si="5"/>
        <v>2120</v>
      </c>
      <c r="AE44" s="634"/>
    </row>
    <row r="45" spans="1:35" s="629" customFormat="1" ht="18" customHeight="1">
      <c r="A45" s="664" t="s">
        <v>2846</v>
      </c>
      <c r="B45" s="510">
        <f t="shared" si="6"/>
        <v>7</v>
      </c>
      <c r="C45" s="980">
        <f>+NOMINA!C49</f>
        <v>7890070</v>
      </c>
      <c r="D45" s="981" t="str">
        <f>+NOMINA!D49</f>
        <v>Pacheco Bermudez Bebsabeth Coromoto</v>
      </c>
      <c r="E45" s="978" t="s">
        <v>4622</v>
      </c>
      <c r="F45" s="982">
        <v>27081</v>
      </c>
      <c r="G45" s="978" t="s">
        <v>4620</v>
      </c>
      <c r="H45" s="983">
        <f>+NOMINA!H49</f>
        <v>38930</v>
      </c>
      <c r="I45" s="984">
        <f>+NOMINA!I49</f>
        <v>18</v>
      </c>
      <c r="J45" s="985">
        <f>+NOMINA!J49</f>
        <v>5</v>
      </c>
      <c r="K45" s="984">
        <f>+NOMINA!K49</f>
        <v>23</v>
      </c>
      <c r="L45" s="986">
        <f>+NOMINA!CA49</f>
        <v>2120</v>
      </c>
      <c r="M45" s="443" t="e">
        <f>#REF!+#REF!-#REF!</f>
        <v>#REF!</v>
      </c>
      <c r="N45" s="975" t="e">
        <f>ROUND((#REF!+#REF!+#REF!+#REF!+#REF!+#REF!+#REF!+#REF!),2)</f>
        <v>#REF!</v>
      </c>
      <c r="Q45" s="629" t="e">
        <f>SUM(#REF!)</f>
        <v>#REF!</v>
      </c>
      <c r="R45" s="976" t="e">
        <f>#REF!+#REF!-#REF!</f>
        <v>#REF!</v>
      </c>
      <c r="S45" s="977">
        <v>200</v>
      </c>
      <c r="T45" s="976" t="e">
        <f>#REF!+#REF!</f>
        <v>#REF!</v>
      </c>
      <c r="U45" s="977" t="e">
        <f>#REF!</f>
        <v>#REF!</v>
      </c>
      <c r="V45" s="978">
        <v>0</v>
      </c>
      <c r="W45" s="977" t="e">
        <f>#REF!</f>
        <v>#REF!</v>
      </c>
      <c r="X45" s="979" t="e">
        <f>#REF!+#REF!</f>
        <v>#REF!</v>
      </c>
      <c r="Y45" s="979" t="e">
        <f>#REF!+#REF!</f>
        <v>#REF!</v>
      </c>
      <c r="Z45" s="979"/>
      <c r="AA45" s="977" t="e">
        <f>#REF!</f>
        <v>#REF!</v>
      </c>
      <c r="AB45" s="977" t="e">
        <f t="shared" si="4"/>
        <v>#REF!</v>
      </c>
      <c r="AC45" s="977" t="e">
        <f>#REF!+#REF!</f>
        <v>#REF!</v>
      </c>
      <c r="AD45" s="977">
        <f t="shared" si="5"/>
        <v>2120</v>
      </c>
      <c r="AE45" s="634"/>
    </row>
    <row r="46" spans="1:35" s="629" customFormat="1" ht="18" customHeight="1">
      <c r="A46" s="664" t="s">
        <v>2846</v>
      </c>
      <c r="B46" s="510">
        <f t="shared" si="6"/>
        <v>8</v>
      </c>
      <c r="C46" s="980">
        <f>+NOMINA!C50</f>
        <v>8719807</v>
      </c>
      <c r="D46" s="981" t="str">
        <f>+NOMINA!D50</f>
        <v>Perez Saavedra Isabel Teresa</v>
      </c>
      <c r="E46" s="978" t="s">
        <v>4622</v>
      </c>
      <c r="F46" s="982">
        <v>27081</v>
      </c>
      <c r="G46" s="978" t="s">
        <v>4620</v>
      </c>
      <c r="H46" s="983">
        <f>+NOMINA!H50</f>
        <v>39874</v>
      </c>
      <c r="I46" s="984">
        <f>+NOMINA!I50</f>
        <v>15</v>
      </c>
      <c r="J46" s="985">
        <f>+NOMINA!J50</f>
        <v>4</v>
      </c>
      <c r="K46" s="984">
        <f>+NOMINA!K50</f>
        <v>19</v>
      </c>
      <c r="L46" s="986">
        <f>+NOMINA!CA50</f>
        <v>0</v>
      </c>
      <c r="M46" s="443" t="e">
        <f>#REF!+#REF!-#REF!</f>
        <v>#REF!</v>
      </c>
      <c r="N46" s="975" t="e">
        <f>ROUND((#REF!+#REF!+#REF!+#REF!+#REF!+#REF!+#REF!+#REF!),2)</f>
        <v>#REF!</v>
      </c>
      <c r="Q46" s="629" t="e">
        <f>SUM(#REF!)</f>
        <v>#REF!</v>
      </c>
      <c r="R46" s="976" t="e">
        <f>#REF!+#REF!-#REF!</f>
        <v>#REF!</v>
      </c>
      <c r="S46" s="977">
        <v>200</v>
      </c>
      <c r="T46" s="976" t="e">
        <f>#REF!+#REF!</f>
        <v>#REF!</v>
      </c>
      <c r="U46" s="977" t="e">
        <f>#REF!</f>
        <v>#REF!</v>
      </c>
      <c r="V46" s="978">
        <v>0</v>
      </c>
      <c r="W46" s="977" t="e">
        <f>#REF!</f>
        <v>#REF!</v>
      </c>
      <c r="X46" s="979" t="e">
        <f>#REF!+#REF!</f>
        <v>#REF!</v>
      </c>
      <c r="Y46" s="979" t="e">
        <f>#REF!+#REF!</f>
        <v>#REF!</v>
      </c>
      <c r="Z46" s="979"/>
      <c r="AA46" s="977" t="e">
        <f>#REF!</f>
        <v>#REF!</v>
      </c>
      <c r="AB46" s="977" t="e">
        <f t="shared" si="4"/>
        <v>#REF!</v>
      </c>
      <c r="AC46" s="977" t="e">
        <f>#REF!+#REF!</f>
        <v>#REF!</v>
      </c>
      <c r="AD46" s="977">
        <f t="shared" si="5"/>
        <v>0</v>
      </c>
      <c r="AE46" s="634"/>
    </row>
    <row r="47" spans="1:35" s="629" customFormat="1" ht="18" customHeight="1">
      <c r="A47" s="664" t="s">
        <v>2846</v>
      </c>
      <c r="B47" s="510">
        <f t="shared" si="6"/>
        <v>9</v>
      </c>
      <c r="C47" s="980">
        <f>+NOMINA!C51</f>
        <v>8266170</v>
      </c>
      <c r="D47" s="981" t="str">
        <f>+NOMINA!D51</f>
        <v>Aguana Sanchez Yraida Josefina</v>
      </c>
      <c r="E47" s="978" t="s">
        <v>4622</v>
      </c>
      <c r="F47" s="982">
        <v>27081</v>
      </c>
      <c r="G47" s="978" t="s">
        <v>4620</v>
      </c>
      <c r="H47" s="983">
        <f>+NOMINA!H51</f>
        <v>45323</v>
      </c>
      <c r="I47" s="984">
        <f>+NOMINA!I51</f>
        <v>0</v>
      </c>
      <c r="J47" s="985">
        <f>+NOMINA!J51</f>
        <v>5</v>
      </c>
      <c r="K47" s="984">
        <f>+NOMINA!K51</f>
        <v>5</v>
      </c>
      <c r="L47" s="986">
        <f>+NOMINA!CA51</f>
        <v>2120</v>
      </c>
      <c r="M47" s="443" t="e">
        <f>#REF!+#REF!-#REF!</f>
        <v>#REF!</v>
      </c>
      <c r="N47" s="975" t="e">
        <f>ROUND((#REF!+#REF!+#REF!+#REF!+#REF!+#REF!+#REF!+#REF!),2)</f>
        <v>#REF!</v>
      </c>
      <c r="Q47" s="629" t="e">
        <f>SUM(#REF!)</f>
        <v>#REF!</v>
      </c>
      <c r="R47" s="976" t="e">
        <f>#REF!+#REF!-#REF!</f>
        <v>#REF!</v>
      </c>
      <c r="S47" s="977">
        <v>200</v>
      </c>
      <c r="T47" s="976" t="e">
        <f>#REF!+#REF!</f>
        <v>#REF!</v>
      </c>
      <c r="U47" s="977" t="e">
        <f>#REF!</f>
        <v>#REF!</v>
      </c>
      <c r="V47" s="978">
        <v>0</v>
      </c>
      <c r="W47" s="977" t="e">
        <f>#REF!</f>
        <v>#REF!</v>
      </c>
      <c r="X47" s="979" t="e">
        <f>#REF!+#REF!</f>
        <v>#REF!</v>
      </c>
      <c r="Y47" s="979" t="e">
        <f>#REF!+#REF!</f>
        <v>#REF!</v>
      </c>
      <c r="Z47" s="979"/>
      <c r="AA47" s="977" t="e">
        <f>#REF!</f>
        <v>#REF!</v>
      </c>
      <c r="AB47" s="977" t="e">
        <f t="shared" si="4"/>
        <v>#REF!</v>
      </c>
      <c r="AC47" s="977" t="e">
        <f>#REF!+#REF!</f>
        <v>#REF!</v>
      </c>
      <c r="AD47" s="977">
        <f t="shared" si="5"/>
        <v>2120</v>
      </c>
      <c r="AE47" s="634"/>
    </row>
    <row r="48" spans="1:35" s="629" customFormat="1" ht="18" customHeight="1">
      <c r="A48" s="664" t="s">
        <v>2846</v>
      </c>
      <c r="B48" s="510">
        <f t="shared" si="6"/>
        <v>10</v>
      </c>
      <c r="C48" s="980">
        <f>+NOMINA!C52</f>
        <v>9162178</v>
      </c>
      <c r="D48" s="981" t="str">
        <f>+NOMINA!D52</f>
        <v>Duarte de Bastidas Gladys Margarita</v>
      </c>
      <c r="E48" s="978" t="s">
        <v>4622</v>
      </c>
      <c r="F48" s="982">
        <v>27081</v>
      </c>
      <c r="G48" s="978" t="s">
        <v>4620</v>
      </c>
      <c r="H48" s="983">
        <f>+NOMINA!H52</f>
        <v>39566</v>
      </c>
      <c r="I48" s="984">
        <f>+NOMINA!I52</f>
        <v>16</v>
      </c>
      <c r="J48" s="985">
        <f>+NOMINA!J52</f>
        <v>4</v>
      </c>
      <c r="K48" s="984">
        <f>+NOMINA!K52</f>
        <v>20</v>
      </c>
      <c r="L48" s="986">
        <f>+NOMINA!CA52</f>
        <v>2120</v>
      </c>
      <c r="M48" s="443" t="e">
        <f>#REF!+#REF!-#REF!</f>
        <v>#REF!</v>
      </c>
      <c r="N48" s="975" t="e">
        <f>ROUND((#REF!+#REF!+#REF!+#REF!+#REF!+#REF!+#REF!+#REF!),2)</f>
        <v>#REF!</v>
      </c>
      <c r="Q48" s="629" t="e">
        <f>SUM(#REF!)</f>
        <v>#REF!</v>
      </c>
      <c r="R48" s="976" t="e">
        <f>#REF!+#REF!-#REF!</f>
        <v>#REF!</v>
      </c>
      <c r="S48" s="977">
        <v>200</v>
      </c>
      <c r="T48" s="976" t="e">
        <f>#REF!+#REF!</f>
        <v>#REF!</v>
      </c>
      <c r="U48" s="977" t="e">
        <f>#REF!</f>
        <v>#REF!</v>
      </c>
      <c r="V48" s="978">
        <v>0</v>
      </c>
      <c r="W48" s="977" t="e">
        <f>#REF!</f>
        <v>#REF!</v>
      </c>
      <c r="X48" s="979" t="e">
        <f>#REF!+#REF!</f>
        <v>#REF!</v>
      </c>
      <c r="Y48" s="979" t="e">
        <f>#REF!+#REF!</f>
        <v>#REF!</v>
      </c>
      <c r="Z48" s="979"/>
      <c r="AA48" s="977" t="e">
        <f>#REF!</f>
        <v>#REF!</v>
      </c>
      <c r="AB48" s="977" t="e">
        <f t="shared" si="4"/>
        <v>#REF!</v>
      </c>
      <c r="AC48" s="977" t="e">
        <f>#REF!+#REF!</f>
        <v>#REF!</v>
      </c>
      <c r="AD48" s="977">
        <f t="shared" si="5"/>
        <v>2120</v>
      </c>
      <c r="AE48" s="634"/>
    </row>
    <row r="49" spans="1:31" s="629" customFormat="1" ht="18" customHeight="1">
      <c r="A49" s="664" t="s">
        <v>2846</v>
      </c>
      <c r="B49" s="510">
        <f t="shared" si="6"/>
        <v>11</v>
      </c>
      <c r="C49" s="980">
        <f>+NOMINA!C53</f>
        <v>9162243</v>
      </c>
      <c r="D49" s="981" t="str">
        <f>+NOMINA!D53</f>
        <v>Valera Borrero Marcos Tulio</v>
      </c>
      <c r="E49" s="978" t="s">
        <v>4622</v>
      </c>
      <c r="F49" s="982">
        <v>27081</v>
      </c>
      <c r="G49" s="978" t="s">
        <v>4620</v>
      </c>
      <c r="H49" s="983">
        <f>+NOMINA!H53</f>
        <v>35535</v>
      </c>
      <c r="I49" s="984">
        <f>+NOMINA!I53</f>
        <v>27</v>
      </c>
      <c r="J49" s="985">
        <f>+NOMINA!J53</f>
        <v>0</v>
      </c>
      <c r="K49" s="984">
        <f>+NOMINA!K53</f>
        <v>27</v>
      </c>
      <c r="L49" s="986">
        <f>+NOMINA!CA53</f>
        <v>0</v>
      </c>
      <c r="M49" s="443" t="e">
        <f>#REF!+#REF!-#REF!</f>
        <v>#REF!</v>
      </c>
      <c r="N49" s="975" t="e">
        <f>ROUND((#REF!+#REF!+#REF!+#REF!+#REF!+#REF!+#REF!+#REF!),2)</f>
        <v>#REF!</v>
      </c>
      <c r="Q49" s="629" t="e">
        <f>SUM(#REF!)</f>
        <v>#REF!</v>
      </c>
      <c r="R49" s="976" t="e">
        <f>#REF!+#REF!-#REF!</f>
        <v>#REF!</v>
      </c>
      <c r="S49" s="977">
        <v>200</v>
      </c>
      <c r="T49" s="976" t="e">
        <f>#REF!+#REF!</f>
        <v>#REF!</v>
      </c>
      <c r="U49" s="977" t="e">
        <f>#REF!</f>
        <v>#REF!</v>
      </c>
      <c r="V49" s="978">
        <v>0</v>
      </c>
      <c r="W49" s="977" t="e">
        <f>#REF!</f>
        <v>#REF!</v>
      </c>
      <c r="X49" s="979" t="e">
        <f>#REF!+#REF!</f>
        <v>#REF!</v>
      </c>
      <c r="Y49" s="979" t="e">
        <f>#REF!+#REF!</f>
        <v>#REF!</v>
      </c>
      <c r="Z49" s="979"/>
      <c r="AA49" s="977" t="e">
        <f>#REF!</f>
        <v>#REF!</v>
      </c>
      <c r="AB49" s="977" t="e">
        <f t="shared" si="4"/>
        <v>#REF!</v>
      </c>
      <c r="AC49" s="977" t="e">
        <f>#REF!+#REF!</f>
        <v>#REF!</v>
      </c>
      <c r="AD49" s="977">
        <f t="shared" si="5"/>
        <v>0</v>
      </c>
      <c r="AE49" s="634"/>
    </row>
    <row r="50" spans="1:31" s="629" customFormat="1" ht="18" customHeight="1">
      <c r="A50" s="664" t="s">
        <v>2846</v>
      </c>
      <c r="B50" s="510">
        <f t="shared" si="6"/>
        <v>12</v>
      </c>
      <c r="C50" s="980">
        <f>+NOMINA!C54</f>
        <v>9170647</v>
      </c>
      <c r="D50" s="981" t="str">
        <f>+NOMINA!D54</f>
        <v>Torres Gonzalez Meris Del Carmen</v>
      </c>
      <c r="E50" s="978" t="s">
        <v>4622</v>
      </c>
      <c r="F50" s="982">
        <v>27081</v>
      </c>
      <c r="G50" s="978" t="s">
        <v>4620</v>
      </c>
      <c r="H50" s="983">
        <f>+NOMINA!H54</f>
        <v>39238</v>
      </c>
      <c r="I50" s="984">
        <f>+NOMINA!I54</f>
        <v>17</v>
      </c>
      <c r="J50" s="985">
        <f>+NOMINA!J54</f>
        <v>0</v>
      </c>
      <c r="K50" s="984">
        <f>+NOMINA!K54</f>
        <v>17</v>
      </c>
      <c r="L50" s="986">
        <f>+NOMINA!CA54</f>
        <v>2120</v>
      </c>
      <c r="M50" s="443" t="e">
        <f>#REF!+#REF!-#REF!</f>
        <v>#REF!</v>
      </c>
      <c r="N50" s="975" t="e">
        <f>ROUND((#REF!+#REF!+#REF!+#REF!+#REF!+#REF!+#REF!+#REF!),2)</f>
        <v>#REF!</v>
      </c>
      <c r="Q50" s="629" t="e">
        <f>SUM(#REF!)</f>
        <v>#REF!</v>
      </c>
      <c r="R50" s="976" t="e">
        <f>#REF!+#REF!-#REF!</f>
        <v>#REF!</v>
      </c>
      <c r="S50" s="977">
        <v>200</v>
      </c>
      <c r="T50" s="976" t="e">
        <f>#REF!+#REF!</f>
        <v>#REF!</v>
      </c>
      <c r="U50" s="977" t="e">
        <f>#REF!</f>
        <v>#REF!</v>
      </c>
      <c r="V50" s="978">
        <v>0</v>
      </c>
      <c r="W50" s="977" t="e">
        <f>#REF!</f>
        <v>#REF!</v>
      </c>
      <c r="X50" s="979" t="e">
        <f>#REF!+#REF!</f>
        <v>#REF!</v>
      </c>
      <c r="Y50" s="979" t="e">
        <f>#REF!+#REF!</f>
        <v>#REF!</v>
      </c>
      <c r="Z50" s="979"/>
      <c r="AA50" s="977" t="e">
        <f>#REF!</f>
        <v>#REF!</v>
      </c>
      <c r="AB50" s="977" t="e">
        <f t="shared" si="4"/>
        <v>#REF!</v>
      </c>
      <c r="AC50" s="977" t="e">
        <f>#REF!+#REF!</f>
        <v>#REF!</v>
      </c>
      <c r="AD50" s="977">
        <f t="shared" si="5"/>
        <v>2120</v>
      </c>
      <c r="AE50" s="634"/>
    </row>
    <row r="51" spans="1:31" s="629" customFormat="1" ht="18" customHeight="1">
      <c r="A51" s="664" t="s">
        <v>2846</v>
      </c>
      <c r="B51" s="510">
        <f t="shared" si="6"/>
        <v>13</v>
      </c>
      <c r="C51" s="980">
        <f>+NOMINA!C55</f>
        <v>9177323</v>
      </c>
      <c r="D51" s="981" t="str">
        <f>+NOMINA!D55</f>
        <v>Simancas De Mendoza Alix Josefina</v>
      </c>
      <c r="E51" s="978" t="s">
        <v>4622</v>
      </c>
      <c r="F51" s="982">
        <v>27081</v>
      </c>
      <c r="G51" s="978" t="s">
        <v>4620</v>
      </c>
      <c r="H51" s="983">
        <f>+NOMINA!H55</f>
        <v>37879</v>
      </c>
      <c r="I51" s="984">
        <f>+NOMINA!I55</f>
        <v>21</v>
      </c>
      <c r="J51" s="985">
        <f>+NOMINA!J55</f>
        <v>0</v>
      </c>
      <c r="K51" s="984">
        <f>+NOMINA!K55</f>
        <v>21</v>
      </c>
      <c r="L51" s="986">
        <f>+NOMINA!CA55</f>
        <v>2120</v>
      </c>
      <c r="M51" s="443" t="e">
        <f>#REF!+#REF!-#REF!</f>
        <v>#REF!</v>
      </c>
      <c r="N51" s="975" t="e">
        <f>ROUND((#REF!+#REF!+#REF!+#REF!+#REF!+#REF!+#REF!+#REF!),2)</f>
        <v>#REF!</v>
      </c>
      <c r="Q51" s="629" t="e">
        <f>SUM(#REF!)</f>
        <v>#REF!</v>
      </c>
      <c r="R51" s="976" t="e">
        <f>#REF!+#REF!-#REF!</f>
        <v>#REF!</v>
      </c>
      <c r="S51" s="977">
        <v>200</v>
      </c>
      <c r="T51" s="976" t="e">
        <f>#REF!+#REF!</f>
        <v>#REF!</v>
      </c>
      <c r="U51" s="977" t="e">
        <f>#REF!</f>
        <v>#REF!</v>
      </c>
      <c r="V51" s="978">
        <v>0</v>
      </c>
      <c r="W51" s="977" t="e">
        <f>#REF!</f>
        <v>#REF!</v>
      </c>
      <c r="X51" s="979" t="e">
        <f>#REF!+#REF!</f>
        <v>#REF!</v>
      </c>
      <c r="Y51" s="979" t="e">
        <f>#REF!+#REF!</f>
        <v>#REF!</v>
      </c>
      <c r="Z51" s="979"/>
      <c r="AA51" s="977" t="e">
        <f>#REF!</f>
        <v>#REF!</v>
      </c>
      <c r="AB51" s="977" t="e">
        <f t="shared" si="4"/>
        <v>#REF!</v>
      </c>
      <c r="AC51" s="977" t="e">
        <f>#REF!+#REF!</f>
        <v>#REF!</v>
      </c>
      <c r="AD51" s="977">
        <f t="shared" si="5"/>
        <v>2120</v>
      </c>
      <c r="AE51" s="634"/>
    </row>
    <row r="52" spans="1:31" s="629" customFormat="1" ht="18" customHeight="1">
      <c r="A52" s="664" t="s">
        <v>2846</v>
      </c>
      <c r="B52" s="510">
        <f t="shared" si="6"/>
        <v>14</v>
      </c>
      <c r="C52" s="980">
        <f>+NOMINA!C56</f>
        <v>9178087</v>
      </c>
      <c r="D52" s="981" t="str">
        <f>+NOMINA!D56</f>
        <v>Saavedra Juan Jose</v>
      </c>
      <c r="E52" s="978" t="s">
        <v>4622</v>
      </c>
      <c r="F52" s="982">
        <v>27081</v>
      </c>
      <c r="G52" s="978" t="s">
        <v>4620</v>
      </c>
      <c r="H52" s="983">
        <f>+NOMINA!H56</f>
        <v>37622</v>
      </c>
      <c r="I52" s="984">
        <f>+NOMINA!I56</f>
        <v>22</v>
      </c>
      <c r="J52" s="985">
        <f>+NOMINA!J56</f>
        <v>0</v>
      </c>
      <c r="K52" s="984">
        <f>+NOMINA!K56</f>
        <v>22</v>
      </c>
      <c r="L52" s="986">
        <f>+NOMINA!CA56</f>
        <v>2120</v>
      </c>
      <c r="M52" s="443" t="e">
        <f>#REF!+#REF!-#REF!</f>
        <v>#REF!</v>
      </c>
      <c r="N52" s="975" t="e">
        <f>ROUND((#REF!+#REF!+#REF!+#REF!+#REF!+#REF!+#REF!+#REF!),2)</f>
        <v>#REF!</v>
      </c>
      <c r="Q52" s="629" t="e">
        <f>SUM(#REF!)</f>
        <v>#REF!</v>
      </c>
      <c r="R52" s="976" t="e">
        <f>#REF!+#REF!-#REF!</f>
        <v>#REF!</v>
      </c>
      <c r="S52" s="977">
        <v>200</v>
      </c>
      <c r="T52" s="976" t="e">
        <f>#REF!+#REF!</f>
        <v>#REF!</v>
      </c>
      <c r="U52" s="977" t="e">
        <f>#REF!</f>
        <v>#REF!</v>
      </c>
      <c r="V52" s="978">
        <v>0</v>
      </c>
      <c r="W52" s="977" t="e">
        <f>#REF!</f>
        <v>#REF!</v>
      </c>
      <c r="X52" s="979" t="e">
        <f>#REF!+#REF!</f>
        <v>#REF!</v>
      </c>
      <c r="Y52" s="979" t="e">
        <f>#REF!+#REF!</f>
        <v>#REF!</v>
      </c>
      <c r="Z52" s="979"/>
      <c r="AA52" s="977" t="e">
        <f>#REF!</f>
        <v>#REF!</v>
      </c>
      <c r="AB52" s="977" t="e">
        <f t="shared" si="4"/>
        <v>#REF!</v>
      </c>
      <c r="AC52" s="977" t="e">
        <f>#REF!+#REF!</f>
        <v>#REF!</v>
      </c>
      <c r="AD52" s="977">
        <f t="shared" si="5"/>
        <v>2120</v>
      </c>
      <c r="AE52" s="634"/>
    </row>
    <row r="53" spans="1:31" s="629" customFormat="1" ht="18" customHeight="1">
      <c r="A53" s="664" t="s">
        <v>2846</v>
      </c>
      <c r="B53" s="510">
        <f t="shared" si="6"/>
        <v>15</v>
      </c>
      <c r="C53" s="980">
        <f>+NOMINA!C57</f>
        <v>9179981</v>
      </c>
      <c r="D53" s="981" t="str">
        <f>+NOMINA!D57</f>
        <v>Manzanilla Molina Alfredo Jose</v>
      </c>
      <c r="E53" s="978" t="s">
        <v>4622</v>
      </c>
      <c r="F53" s="982">
        <v>27081</v>
      </c>
      <c r="G53" s="978" t="s">
        <v>4620</v>
      </c>
      <c r="H53" s="983">
        <f>+NOMINA!H57</f>
        <v>45597</v>
      </c>
      <c r="I53" s="984">
        <f>+NOMINA!I57</f>
        <v>0</v>
      </c>
      <c r="J53" s="985">
        <f>+NOMINA!J57</f>
        <v>18</v>
      </c>
      <c r="K53" s="984">
        <f>+NOMINA!K57</f>
        <v>18</v>
      </c>
      <c r="L53" s="986">
        <f>+NOMINA!CA57</f>
        <v>2120</v>
      </c>
      <c r="M53" s="443" t="e">
        <f>#REF!+#REF!-#REF!</f>
        <v>#REF!</v>
      </c>
      <c r="N53" s="975" t="e">
        <f>ROUND((#REF!+#REF!+#REF!+#REF!+#REF!+#REF!+#REF!+#REF!),2)</f>
        <v>#REF!</v>
      </c>
      <c r="Q53" s="629" t="e">
        <f>SUM(#REF!)</f>
        <v>#REF!</v>
      </c>
      <c r="R53" s="976" t="e">
        <f>#REF!+#REF!-#REF!</f>
        <v>#REF!</v>
      </c>
      <c r="S53" s="977">
        <v>200</v>
      </c>
      <c r="T53" s="976" t="e">
        <f>#REF!+#REF!</f>
        <v>#REF!</v>
      </c>
      <c r="U53" s="977" t="e">
        <f>#REF!</f>
        <v>#REF!</v>
      </c>
      <c r="V53" s="978">
        <v>0</v>
      </c>
      <c r="W53" s="977" t="e">
        <f>#REF!</f>
        <v>#REF!</v>
      </c>
      <c r="X53" s="979" t="e">
        <f>#REF!+#REF!</f>
        <v>#REF!</v>
      </c>
      <c r="Y53" s="979" t="e">
        <f>#REF!+#REF!</f>
        <v>#REF!</v>
      </c>
      <c r="Z53" s="979"/>
      <c r="AA53" s="977" t="e">
        <f>#REF!</f>
        <v>#REF!</v>
      </c>
      <c r="AB53" s="977" t="e">
        <f t="shared" si="4"/>
        <v>#REF!</v>
      </c>
      <c r="AC53" s="977" t="e">
        <f>#REF!+#REF!</f>
        <v>#REF!</v>
      </c>
      <c r="AD53" s="977">
        <f t="shared" si="5"/>
        <v>2120</v>
      </c>
      <c r="AE53" s="634"/>
    </row>
    <row r="54" spans="1:31" s="629" customFormat="1" ht="18" customHeight="1">
      <c r="A54" s="664" t="s">
        <v>2846</v>
      </c>
      <c r="B54" s="510">
        <f t="shared" si="6"/>
        <v>16</v>
      </c>
      <c r="C54" s="980">
        <f>+NOMINA!C58</f>
        <v>9311822</v>
      </c>
      <c r="D54" s="981" t="str">
        <f>+NOMINA!D58</f>
        <v>Rojo Sanchez Alexis O.</v>
      </c>
      <c r="E54" s="978" t="s">
        <v>4622</v>
      </c>
      <c r="F54" s="982">
        <v>27081</v>
      </c>
      <c r="G54" s="978" t="s">
        <v>4620</v>
      </c>
      <c r="H54" s="983">
        <f>+NOMINA!H58</f>
        <v>37662</v>
      </c>
      <c r="I54" s="984">
        <f>+NOMINA!I58</f>
        <v>21</v>
      </c>
      <c r="J54" s="985">
        <f>+NOMINA!J58</f>
        <v>0</v>
      </c>
      <c r="K54" s="984">
        <f>+NOMINA!K58</f>
        <v>21</v>
      </c>
      <c r="L54" s="986">
        <f>+NOMINA!CA58</f>
        <v>0</v>
      </c>
      <c r="M54" s="443" t="e">
        <f>#REF!+#REF!-#REF!</f>
        <v>#REF!</v>
      </c>
      <c r="N54" s="975" t="e">
        <f>ROUND((#REF!+#REF!+#REF!+#REF!+#REF!+#REF!+#REF!+#REF!),2)</f>
        <v>#REF!</v>
      </c>
      <c r="Q54" s="629" t="e">
        <f>SUM(#REF!)</f>
        <v>#REF!</v>
      </c>
      <c r="R54" s="976" t="e">
        <f>#REF!+#REF!-#REF!</f>
        <v>#REF!</v>
      </c>
      <c r="S54" s="977">
        <v>200</v>
      </c>
      <c r="T54" s="976" t="e">
        <f>#REF!+#REF!</f>
        <v>#REF!</v>
      </c>
      <c r="U54" s="977" t="e">
        <f>#REF!</f>
        <v>#REF!</v>
      </c>
      <c r="V54" s="978">
        <v>0</v>
      </c>
      <c r="W54" s="977" t="e">
        <f>#REF!</f>
        <v>#REF!</v>
      </c>
      <c r="X54" s="979" t="e">
        <f>#REF!+#REF!</f>
        <v>#REF!</v>
      </c>
      <c r="Y54" s="979" t="e">
        <f>#REF!+#REF!</f>
        <v>#REF!</v>
      </c>
      <c r="Z54" s="979"/>
      <c r="AA54" s="977" t="e">
        <f>#REF!</f>
        <v>#REF!</v>
      </c>
      <c r="AB54" s="977" t="e">
        <f t="shared" si="4"/>
        <v>#REF!</v>
      </c>
      <c r="AC54" s="977" t="e">
        <f>#REF!+#REF!</f>
        <v>#REF!</v>
      </c>
      <c r="AD54" s="977">
        <f t="shared" si="5"/>
        <v>0</v>
      </c>
      <c r="AE54" s="634"/>
    </row>
    <row r="55" spans="1:31" s="629" customFormat="1" ht="18" customHeight="1">
      <c r="A55" s="664" t="s">
        <v>2846</v>
      </c>
      <c r="B55" s="510">
        <f t="shared" si="6"/>
        <v>17</v>
      </c>
      <c r="C55" s="980">
        <f>+NOMINA!C59</f>
        <v>9315117</v>
      </c>
      <c r="D55" s="981" t="str">
        <f>+NOMINA!D59</f>
        <v>Palma de Briceño Sonia Josefina</v>
      </c>
      <c r="E55" s="978" t="s">
        <v>4622</v>
      </c>
      <c r="F55" s="982">
        <v>27081</v>
      </c>
      <c r="G55" s="978" t="s">
        <v>4620</v>
      </c>
      <c r="H55" s="983">
        <f>+NOMINA!H59</f>
        <v>38412</v>
      </c>
      <c r="I55" s="984">
        <f>+NOMINA!I59</f>
        <v>19</v>
      </c>
      <c r="J55" s="985">
        <f>+NOMINA!J59</f>
        <v>0</v>
      </c>
      <c r="K55" s="984">
        <f>+NOMINA!K59</f>
        <v>19</v>
      </c>
      <c r="L55" s="986">
        <f>+NOMINA!CA59</f>
        <v>2120</v>
      </c>
      <c r="M55" s="443" t="e">
        <f>#REF!+#REF!-#REF!</f>
        <v>#REF!</v>
      </c>
      <c r="N55" s="975" t="e">
        <f>ROUND((#REF!+#REF!+#REF!+#REF!+#REF!+#REF!+#REF!+#REF!),2)</f>
        <v>#REF!</v>
      </c>
      <c r="Q55" s="629" t="e">
        <f>SUM(#REF!)</f>
        <v>#REF!</v>
      </c>
      <c r="R55" s="976" t="e">
        <f>#REF!+#REF!-#REF!</f>
        <v>#REF!</v>
      </c>
      <c r="S55" s="977">
        <v>200</v>
      </c>
      <c r="T55" s="976" t="e">
        <f>#REF!+#REF!</f>
        <v>#REF!</v>
      </c>
      <c r="U55" s="977" t="e">
        <f>#REF!</f>
        <v>#REF!</v>
      </c>
      <c r="V55" s="978">
        <v>0</v>
      </c>
      <c r="W55" s="977" t="e">
        <f>#REF!</f>
        <v>#REF!</v>
      </c>
      <c r="X55" s="979" t="e">
        <f>#REF!+#REF!</f>
        <v>#REF!</v>
      </c>
      <c r="Y55" s="979" t="e">
        <f>#REF!+#REF!</f>
        <v>#REF!</v>
      </c>
      <c r="Z55" s="979"/>
      <c r="AA55" s="977" t="e">
        <f>#REF!</f>
        <v>#REF!</v>
      </c>
      <c r="AB55" s="977" t="e">
        <f t="shared" si="4"/>
        <v>#REF!</v>
      </c>
      <c r="AC55" s="977" t="e">
        <f>#REF!+#REF!</f>
        <v>#REF!</v>
      </c>
      <c r="AD55" s="977">
        <f t="shared" si="5"/>
        <v>2120</v>
      </c>
      <c r="AE55" s="634"/>
    </row>
    <row r="56" spans="1:31" s="629" customFormat="1" ht="18" customHeight="1">
      <c r="A56" s="664" t="s">
        <v>2846</v>
      </c>
      <c r="B56" s="510">
        <f t="shared" si="6"/>
        <v>18</v>
      </c>
      <c r="C56" s="980">
        <f>+NOMINA!C60</f>
        <v>9315325</v>
      </c>
      <c r="D56" s="981" t="str">
        <f>+NOMINA!D60</f>
        <v>Gonzalez Hernandez Marianela</v>
      </c>
      <c r="E56" s="978" t="s">
        <v>4622</v>
      </c>
      <c r="F56" s="982">
        <v>27081</v>
      </c>
      <c r="G56" s="978" t="s">
        <v>4620</v>
      </c>
      <c r="H56" s="983">
        <f>+NOMINA!H60</f>
        <v>39678</v>
      </c>
      <c r="I56" s="984">
        <f>+NOMINA!I60</f>
        <v>16</v>
      </c>
      <c r="J56" s="985">
        <f>+NOMINA!J60</f>
        <v>2</v>
      </c>
      <c r="K56" s="984">
        <f>+NOMINA!K60</f>
        <v>18</v>
      </c>
      <c r="L56" s="986">
        <f>+NOMINA!CA60</f>
        <v>2120</v>
      </c>
      <c r="M56" s="443" t="e">
        <f>#REF!+#REF!-#REF!</f>
        <v>#REF!</v>
      </c>
      <c r="N56" s="975" t="e">
        <f>ROUND((#REF!+#REF!+#REF!+#REF!+#REF!+#REF!+#REF!+#REF!),2)</f>
        <v>#REF!</v>
      </c>
      <c r="Q56" s="629" t="e">
        <f>SUM(#REF!)</f>
        <v>#REF!</v>
      </c>
      <c r="R56" s="976" t="e">
        <f>#REF!+#REF!-#REF!</f>
        <v>#REF!</v>
      </c>
      <c r="S56" s="977">
        <v>200</v>
      </c>
      <c r="T56" s="976" t="e">
        <f>#REF!+#REF!</f>
        <v>#REF!</v>
      </c>
      <c r="U56" s="977" t="e">
        <f>#REF!</f>
        <v>#REF!</v>
      </c>
      <c r="V56" s="978">
        <v>0</v>
      </c>
      <c r="W56" s="977" t="e">
        <f>#REF!</f>
        <v>#REF!</v>
      </c>
      <c r="X56" s="979" t="e">
        <f>#REF!+#REF!</f>
        <v>#REF!</v>
      </c>
      <c r="Y56" s="979" t="e">
        <f>#REF!+#REF!</f>
        <v>#REF!</v>
      </c>
      <c r="Z56" s="979"/>
      <c r="AA56" s="977" t="e">
        <f>#REF!</f>
        <v>#REF!</v>
      </c>
      <c r="AB56" s="977" t="e">
        <f t="shared" si="4"/>
        <v>#REF!</v>
      </c>
      <c r="AC56" s="977" t="e">
        <f>#REF!+#REF!</f>
        <v>#REF!</v>
      </c>
      <c r="AD56" s="977">
        <f t="shared" si="5"/>
        <v>2120</v>
      </c>
      <c r="AE56" s="634"/>
    </row>
    <row r="57" spans="1:31" s="629" customFormat="1" ht="18" customHeight="1">
      <c r="A57" s="664" t="s">
        <v>2846</v>
      </c>
      <c r="B57" s="510">
        <f t="shared" si="6"/>
        <v>19</v>
      </c>
      <c r="C57" s="980">
        <f>+NOMINA!C61</f>
        <v>9316224</v>
      </c>
      <c r="D57" s="981" t="str">
        <f>+NOMINA!D61</f>
        <v>Sanchez Barrios Magalis del Carmen</v>
      </c>
      <c r="E57" s="978" t="s">
        <v>4622</v>
      </c>
      <c r="F57" s="982">
        <v>27081</v>
      </c>
      <c r="G57" s="978" t="s">
        <v>4620</v>
      </c>
      <c r="H57" s="983">
        <f>+NOMINA!H61</f>
        <v>44317</v>
      </c>
      <c r="I57" s="984">
        <f>+NOMINA!I61</f>
        <v>3</v>
      </c>
      <c r="J57" s="985">
        <f>+NOMINA!J61</f>
        <v>0</v>
      </c>
      <c r="K57" s="984">
        <f>+NOMINA!K61</f>
        <v>3</v>
      </c>
      <c r="L57" s="986">
        <f>+NOMINA!CA61</f>
        <v>2120</v>
      </c>
      <c r="M57" s="443" t="e">
        <f>#REF!+#REF!-#REF!</f>
        <v>#REF!</v>
      </c>
      <c r="N57" s="975" t="e">
        <f>ROUND((#REF!+#REF!+#REF!+#REF!+#REF!+#REF!+#REF!+#REF!),2)</f>
        <v>#REF!</v>
      </c>
      <c r="Q57" s="629" t="e">
        <f>SUM(#REF!)</f>
        <v>#REF!</v>
      </c>
      <c r="R57" s="976" t="e">
        <f>#REF!+#REF!-#REF!</f>
        <v>#REF!</v>
      </c>
      <c r="S57" s="977">
        <v>200</v>
      </c>
      <c r="T57" s="976" t="e">
        <f>#REF!+#REF!</f>
        <v>#REF!</v>
      </c>
      <c r="U57" s="977" t="e">
        <f>#REF!</f>
        <v>#REF!</v>
      </c>
      <c r="V57" s="978">
        <v>0</v>
      </c>
      <c r="W57" s="977" t="e">
        <f>#REF!</f>
        <v>#REF!</v>
      </c>
      <c r="X57" s="979" t="e">
        <f>#REF!+#REF!</f>
        <v>#REF!</v>
      </c>
      <c r="Y57" s="979" t="e">
        <f>#REF!+#REF!</f>
        <v>#REF!</v>
      </c>
      <c r="Z57" s="979"/>
      <c r="AA57" s="977" t="e">
        <f>#REF!</f>
        <v>#REF!</v>
      </c>
      <c r="AB57" s="977" t="e">
        <f t="shared" si="4"/>
        <v>#REF!</v>
      </c>
      <c r="AC57" s="977" t="e">
        <f>#REF!+#REF!</f>
        <v>#REF!</v>
      </c>
      <c r="AD57" s="977">
        <f t="shared" si="5"/>
        <v>2120</v>
      </c>
      <c r="AE57" s="634"/>
    </row>
    <row r="58" spans="1:31" s="629" customFormat="1" ht="18" customHeight="1">
      <c r="A58" s="664" t="s">
        <v>2846</v>
      </c>
      <c r="B58" s="510">
        <f t="shared" si="6"/>
        <v>20</v>
      </c>
      <c r="C58" s="980">
        <f>+NOMINA!C62</f>
        <v>9323927</v>
      </c>
      <c r="D58" s="981" t="str">
        <f>+NOMINA!D62</f>
        <v>Cardozo Garcia Jorge Antonio</v>
      </c>
      <c r="E58" s="978" t="s">
        <v>4622</v>
      </c>
      <c r="F58" s="982">
        <v>27081</v>
      </c>
      <c r="G58" s="978" t="s">
        <v>4620</v>
      </c>
      <c r="H58" s="983">
        <f>+NOMINA!H62</f>
        <v>35704</v>
      </c>
      <c r="I58" s="984">
        <f>+NOMINA!I62</f>
        <v>27</v>
      </c>
      <c r="J58" s="985">
        <f>+NOMINA!J62</f>
        <v>0</v>
      </c>
      <c r="K58" s="984">
        <f>+NOMINA!K62</f>
        <v>27</v>
      </c>
      <c r="L58" s="986">
        <f>+NOMINA!CA62</f>
        <v>2120</v>
      </c>
      <c r="M58" s="443" t="e">
        <f>#REF!+#REF!-#REF!</f>
        <v>#REF!</v>
      </c>
      <c r="N58" s="975" t="e">
        <f>ROUND((#REF!+#REF!+#REF!+#REF!+#REF!+#REF!+#REF!+#REF!),2)</f>
        <v>#REF!</v>
      </c>
      <c r="Q58" s="629" t="e">
        <f>SUM(#REF!)</f>
        <v>#REF!</v>
      </c>
      <c r="R58" s="976" t="e">
        <f>#REF!+#REF!-#REF!</f>
        <v>#REF!</v>
      </c>
      <c r="S58" s="977">
        <v>200</v>
      </c>
      <c r="T58" s="976" t="e">
        <f>#REF!+#REF!</f>
        <v>#REF!</v>
      </c>
      <c r="U58" s="977" t="e">
        <f>#REF!</f>
        <v>#REF!</v>
      </c>
      <c r="V58" s="978">
        <v>0</v>
      </c>
      <c r="W58" s="977" t="e">
        <f>#REF!</f>
        <v>#REF!</v>
      </c>
      <c r="X58" s="979" t="e">
        <f>#REF!+#REF!</f>
        <v>#REF!</v>
      </c>
      <c r="Y58" s="979" t="e">
        <f>#REF!+#REF!</f>
        <v>#REF!</v>
      </c>
      <c r="Z58" s="979"/>
      <c r="AA58" s="977" t="e">
        <f>#REF!</f>
        <v>#REF!</v>
      </c>
      <c r="AB58" s="977" t="e">
        <f t="shared" si="4"/>
        <v>#REF!</v>
      </c>
      <c r="AC58" s="977" t="e">
        <f>#REF!+#REF!</f>
        <v>#REF!</v>
      </c>
      <c r="AD58" s="977">
        <f t="shared" si="5"/>
        <v>2120</v>
      </c>
      <c r="AE58" s="634"/>
    </row>
    <row r="59" spans="1:31" s="629" customFormat="1" ht="18" customHeight="1">
      <c r="A59" s="664" t="s">
        <v>2846</v>
      </c>
      <c r="B59" s="510">
        <f t="shared" si="6"/>
        <v>21</v>
      </c>
      <c r="C59" s="980">
        <f>+NOMINA!C63</f>
        <v>9327253</v>
      </c>
      <c r="D59" s="981" t="str">
        <f>+NOMINA!D63</f>
        <v>Garcia Araujo Jose Domingo</v>
      </c>
      <c r="E59" s="978" t="s">
        <v>4622</v>
      </c>
      <c r="F59" s="982">
        <v>27081</v>
      </c>
      <c r="G59" s="978" t="s">
        <v>4620</v>
      </c>
      <c r="H59" s="983">
        <f>+NOMINA!H63</f>
        <v>38930</v>
      </c>
      <c r="I59" s="984">
        <f>+NOMINA!I63</f>
        <v>18</v>
      </c>
      <c r="J59" s="985">
        <f>+NOMINA!J63</f>
        <v>0</v>
      </c>
      <c r="K59" s="984">
        <f>+NOMINA!K63</f>
        <v>18</v>
      </c>
      <c r="L59" s="986">
        <f>+NOMINA!CA63</f>
        <v>2120</v>
      </c>
      <c r="M59" s="443" t="e">
        <f>#REF!+#REF!-#REF!</f>
        <v>#REF!</v>
      </c>
      <c r="N59" s="975" t="e">
        <f>ROUND((#REF!+#REF!+#REF!+#REF!+#REF!+#REF!+#REF!+#REF!),2)</f>
        <v>#REF!</v>
      </c>
      <c r="Q59" s="629" t="e">
        <f>SUM(#REF!)</f>
        <v>#REF!</v>
      </c>
      <c r="R59" s="976" t="e">
        <f>#REF!+#REF!-#REF!</f>
        <v>#REF!</v>
      </c>
      <c r="S59" s="977">
        <v>200</v>
      </c>
      <c r="T59" s="976" t="e">
        <f>#REF!+#REF!</f>
        <v>#REF!</v>
      </c>
      <c r="U59" s="977" t="e">
        <f>#REF!</f>
        <v>#REF!</v>
      </c>
      <c r="V59" s="978">
        <v>0</v>
      </c>
      <c r="W59" s="977" t="e">
        <f>#REF!</f>
        <v>#REF!</v>
      </c>
      <c r="X59" s="979" t="e">
        <f>#REF!+#REF!</f>
        <v>#REF!</v>
      </c>
      <c r="Y59" s="979" t="e">
        <f>#REF!+#REF!</f>
        <v>#REF!</v>
      </c>
      <c r="Z59" s="979"/>
      <c r="AA59" s="977" t="e">
        <f>#REF!</f>
        <v>#REF!</v>
      </c>
      <c r="AB59" s="977" t="e">
        <f t="shared" si="4"/>
        <v>#REF!</v>
      </c>
      <c r="AC59" s="977" t="e">
        <f>#REF!+#REF!</f>
        <v>#REF!</v>
      </c>
      <c r="AD59" s="977">
        <f t="shared" si="5"/>
        <v>2120</v>
      </c>
      <c r="AE59" s="634"/>
    </row>
    <row r="60" spans="1:31" s="629" customFormat="1" ht="18" customHeight="1">
      <c r="A60" s="664" t="s">
        <v>2846</v>
      </c>
      <c r="B60" s="510">
        <f t="shared" si="6"/>
        <v>22</v>
      </c>
      <c r="C60" s="980">
        <f>+NOMINA!C64</f>
        <v>9328157</v>
      </c>
      <c r="D60" s="981" t="str">
        <f>+NOMINA!D64</f>
        <v>Perez Salas Olga Margarita</v>
      </c>
      <c r="E60" s="978" t="s">
        <v>4622</v>
      </c>
      <c r="F60" s="982">
        <v>27081</v>
      </c>
      <c r="G60" s="978" t="s">
        <v>4620</v>
      </c>
      <c r="H60" s="983">
        <f>+NOMINA!H64</f>
        <v>41153</v>
      </c>
      <c r="I60" s="984">
        <f>+NOMINA!I64</f>
        <v>12</v>
      </c>
      <c r="J60" s="985">
        <f>+NOMINA!J64</f>
        <v>0</v>
      </c>
      <c r="K60" s="984">
        <f>+NOMINA!K64</f>
        <v>12</v>
      </c>
      <c r="L60" s="986">
        <f>+NOMINA!CA64</f>
        <v>2120</v>
      </c>
      <c r="M60" s="443" t="e">
        <f>#REF!+#REF!-#REF!</f>
        <v>#REF!</v>
      </c>
      <c r="N60" s="975" t="e">
        <f>ROUND((#REF!+#REF!+#REF!+#REF!+#REF!+#REF!+#REF!+#REF!),2)</f>
        <v>#REF!</v>
      </c>
      <c r="Q60" s="629" t="e">
        <f>SUM(#REF!)</f>
        <v>#REF!</v>
      </c>
      <c r="R60" s="976" t="e">
        <f>#REF!+#REF!-#REF!</f>
        <v>#REF!</v>
      </c>
      <c r="S60" s="977">
        <v>200</v>
      </c>
      <c r="T60" s="976" t="e">
        <f>#REF!+#REF!</f>
        <v>#REF!</v>
      </c>
      <c r="U60" s="977" t="e">
        <f>#REF!</f>
        <v>#REF!</v>
      </c>
      <c r="V60" s="978">
        <v>0</v>
      </c>
      <c r="W60" s="977" t="e">
        <f>#REF!</f>
        <v>#REF!</v>
      </c>
      <c r="X60" s="979" t="e">
        <f>#REF!+#REF!</f>
        <v>#REF!</v>
      </c>
      <c r="Y60" s="979" t="e">
        <f>#REF!+#REF!</f>
        <v>#REF!</v>
      </c>
      <c r="Z60" s="979"/>
      <c r="AA60" s="977" t="e">
        <f>#REF!</f>
        <v>#REF!</v>
      </c>
      <c r="AB60" s="977" t="e">
        <f t="shared" si="4"/>
        <v>#REF!</v>
      </c>
      <c r="AC60" s="977" t="e">
        <f>#REF!+#REF!</f>
        <v>#REF!</v>
      </c>
      <c r="AD60" s="977">
        <f t="shared" si="5"/>
        <v>2120</v>
      </c>
      <c r="AE60" s="634"/>
    </row>
    <row r="61" spans="1:31" s="629" customFormat="1" ht="18" customHeight="1">
      <c r="A61" s="664" t="s">
        <v>2846</v>
      </c>
      <c r="B61" s="510">
        <f t="shared" si="6"/>
        <v>23</v>
      </c>
      <c r="C61" s="980">
        <f>+NOMINA!C65</f>
        <v>9328224</v>
      </c>
      <c r="D61" s="981" t="str">
        <f>+NOMINA!D65</f>
        <v>Abreu Araujo Omar Antonio</v>
      </c>
      <c r="E61" s="978" t="s">
        <v>4622</v>
      </c>
      <c r="F61" s="982">
        <v>27081</v>
      </c>
      <c r="G61" s="978" t="s">
        <v>4620</v>
      </c>
      <c r="H61" s="983">
        <f>+NOMINA!H65</f>
        <v>39356</v>
      </c>
      <c r="I61" s="984">
        <f>+NOMINA!I65</f>
        <v>17</v>
      </c>
      <c r="J61" s="985">
        <f>+NOMINA!J65</f>
        <v>2</v>
      </c>
      <c r="K61" s="984">
        <f>+NOMINA!K65</f>
        <v>19</v>
      </c>
      <c r="L61" s="986">
        <f>+NOMINA!CA65</f>
        <v>2120</v>
      </c>
      <c r="M61" s="443" t="e">
        <f>#REF!+#REF!-#REF!</f>
        <v>#REF!</v>
      </c>
      <c r="N61" s="975" t="e">
        <f>ROUND((#REF!+#REF!+#REF!+#REF!+#REF!+#REF!+#REF!+#REF!),2)</f>
        <v>#REF!</v>
      </c>
      <c r="Q61" s="629" t="e">
        <f>SUM(#REF!)</f>
        <v>#REF!</v>
      </c>
      <c r="R61" s="976" t="e">
        <f>#REF!+#REF!-#REF!</f>
        <v>#REF!</v>
      </c>
      <c r="S61" s="977">
        <v>200</v>
      </c>
      <c r="T61" s="976" t="e">
        <f>#REF!+#REF!</f>
        <v>#REF!</v>
      </c>
      <c r="U61" s="977" t="e">
        <f>#REF!</f>
        <v>#REF!</v>
      </c>
      <c r="V61" s="978">
        <v>0</v>
      </c>
      <c r="W61" s="977" t="e">
        <f>#REF!</f>
        <v>#REF!</v>
      </c>
      <c r="X61" s="979" t="e">
        <f>#REF!+#REF!</f>
        <v>#REF!</v>
      </c>
      <c r="Y61" s="979" t="e">
        <f>#REF!+#REF!</f>
        <v>#REF!</v>
      </c>
      <c r="Z61" s="979"/>
      <c r="AA61" s="977" t="e">
        <f>#REF!</f>
        <v>#REF!</v>
      </c>
      <c r="AB61" s="977" t="e">
        <f t="shared" si="4"/>
        <v>#REF!</v>
      </c>
      <c r="AC61" s="977" t="e">
        <f>#REF!+#REF!</f>
        <v>#REF!</v>
      </c>
      <c r="AD61" s="977">
        <f t="shared" si="5"/>
        <v>2120</v>
      </c>
      <c r="AE61" s="634"/>
    </row>
    <row r="62" spans="1:31" s="629" customFormat="1" ht="18" customHeight="1">
      <c r="A62" s="664" t="s">
        <v>2846</v>
      </c>
      <c r="B62" s="510">
        <f t="shared" si="6"/>
        <v>24</v>
      </c>
      <c r="C62" s="980">
        <f>+NOMINA!C66</f>
        <v>9495661</v>
      </c>
      <c r="D62" s="981" t="str">
        <f>+NOMINA!D66</f>
        <v>Aguial Carrillo Gregoria Coromoto</v>
      </c>
      <c r="E62" s="978" t="s">
        <v>4622</v>
      </c>
      <c r="F62" s="982">
        <v>27081</v>
      </c>
      <c r="G62" s="978" t="s">
        <v>4620</v>
      </c>
      <c r="H62" s="983">
        <f>+NOMINA!H66</f>
        <v>39692</v>
      </c>
      <c r="I62" s="984">
        <f>+NOMINA!I66</f>
        <v>16</v>
      </c>
      <c r="J62" s="985">
        <f>+NOMINA!J66</f>
        <v>0</v>
      </c>
      <c r="K62" s="984">
        <f>+NOMINA!K66</f>
        <v>16</v>
      </c>
      <c r="L62" s="986">
        <f>+NOMINA!CA66</f>
        <v>0</v>
      </c>
      <c r="M62" s="443" t="e">
        <f>#REF!+#REF!-#REF!</f>
        <v>#REF!</v>
      </c>
      <c r="N62" s="975" t="e">
        <f>ROUND((#REF!+#REF!+#REF!+#REF!+#REF!+#REF!+#REF!+#REF!),2)</f>
        <v>#REF!</v>
      </c>
      <c r="Q62" s="629" t="e">
        <f>SUM(#REF!)</f>
        <v>#REF!</v>
      </c>
      <c r="R62" s="976" t="e">
        <f>#REF!+#REF!-#REF!</f>
        <v>#REF!</v>
      </c>
      <c r="S62" s="977">
        <v>200</v>
      </c>
      <c r="T62" s="976" t="e">
        <f>#REF!+#REF!</f>
        <v>#REF!</v>
      </c>
      <c r="U62" s="977" t="e">
        <f>#REF!</f>
        <v>#REF!</v>
      </c>
      <c r="V62" s="978">
        <v>0</v>
      </c>
      <c r="W62" s="977" t="e">
        <f>#REF!</f>
        <v>#REF!</v>
      </c>
      <c r="X62" s="979" t="e">
        <f>#REF!+#REF!</f>
        <v>#REF!</v>
      </c>
      <c r="Y62" s="979" t="e">
        <f>#REF!+#REF!</f>
        <v>#REF!</v>
      </c>
      <c r="Z62" s="979"/>
      <c r="AA62" s="977" t="e">
        <f>#REF!</f>
        <v>#REF!</v>
      </c>
      <c r="AB62" s="977" t="e">
        <f t="shared" si="4"/>
        <v>#REF!</v>
      </c>
      <c r="AC62" s="977" t="e">
        <f>#REF!+#REF!</f>
        <v>#REF!</v>
      </c>
      <c r="AD62" s="977">
        <f t="shared" si="5"/>
        <v>0</v>
      </c>
      <c r="AE62" s="634"/>
    </row>
    <row r="63" spans="1:31" s="629" customFormat="1" ht="18" customHeight="1">
      <c r="A63" s="664" t="s">
        <v>2846</v>
      </c>
      <c r="B63" s="510">
        <f t="shared" si="6"/>
        <v>25</v>
      </c>
      <c r="C63" s="980">
        <f>+NOMINA!C67</f>
        <v>9496860</v>
      </c>
      <c r="D63" s="981" t="str">
        <f>+NOMINA!D67</f>
        <v>Hernandez Valero Jose Alfredo</v>
      </c>
      <c r="E63" s="978" t="s">
        <v>4622</v>
      </c>
      <c r="F63" s="982">
        <v>27081</v>
      </c>
      <c r="G63" s="978" t="s">
        <v>4620</v>
      </c>
      <c r="H63" s="983">
        <f>+NOMINA!H67</f>
        <v>43877</v>
      </c>
      <c r="I63" s="984">
        <f>+NOMINA!I67</f>
        <v>4</v>
      </c>
      <c r="J63" s="985">
        <f>+NOMINA!J67</f>
        <v>9</v>
      </c>
      <c r="K63" s="984">
        <f>+NOMINA!K67</f>
        <v>13</v>
      </c>
      <c r="L63" s="986">
        <f>+NOMINA!CA67</f>
        <v>2120</v>
      </c>
      <c r="M63" s="443" t="e">
        <f>#REF!+#REF!-#REF!</f>
        <v>#REF!</v>
      </c>
      <c r="N63" s="975" t="e">
        <f>ROUND((#REF!+#REF!+#REF!+#REF!+#REF!+#REF!+#REF!+#REF!),2)</f>
        <v>#REF!</v>
      </c>
      <c r="Q63" s="629" t="e">
        <f>SUM(#REF!)</f>
        <v>#REF!</v>
      </c>
      <c r="R63" s="976" t="e">
        <f>#REF!+#REF!-#REF!</f>
        <v>#REF!</v>
      </c>
      <c r="S63" s="977">
        <v>200</v>
      </c>
      <c r="T63" s="976" t="e">
        <f>#REF!+#REF!</f>
        <v>#REF!</v>
      </c>
      <c r="U63" s="977" t="e">
        <f>#REF!</f>
        <v>#REF!</v>
      </c>
      <c r="V63" s="978">
        <v>0</v>
      </c>
      <c r="W63" s="977" t="e">
        <f>#REF!</f>
        <v>#REF!</v>
      </c>
      <c r="X63" s="979" t="e">
        <f>#REF!+#REF!</f>
        <v>#REF!</v>
      </c>
      <c r="Y63" s="979" t="e">
        <f>#REF!+#REF!</f>
        <v>#REF!</v>
      </c>
      <c r="Z63" s="979"/>
      <c r="AA63" s="977" t="e">
        <f>#REF!</f>
        <v>#REF!</v>
      </c>
      <c r="AB63" s="977" t="e">
        <f t="shared" si="4"/>
        <v>#REF!</v>
      </c>
      <c r="AC63" s="977" t="e">
        <f>#REF!+#REF!</f>
        <v>#REF!</v>
      </c>
      <c r="AD63" s="977">
        <f t="shared" si="5"/>
        <v>2120</v>
      </c>
      <c r="AE63" s="634"/>
    </row>
    <row r="64" spans="1:31" s="629" customFormat="1" ht="18" customHeight="1">
      <c r="A64" s="664" t="s">
        <v>2846</v>
      </c>
      <c r="B64" s="510">
        <f t="shared" si="6"/>
        <v>26</v>
      </c>
      <c r="C64" s="980">
        <f>+NOMINA!C68</f>
        <v>9497151</v>
      </c>
      <c r="D64" s="981" t="str">
        <f>+NOMINA!D68</f>
        <v>Mendoza Vieras Pedro Luis</v>
      </c>
      <c r="E64" s="978" t="s">
        <v>4622</v>
      </c>
      <c r="F64" s="982">
        <v>27081</v>
      </c>
      <c r="G64" s="978" t="s">
        <v>4620</v>
      </c>
      <c r="H64" s="983">
        <f>+NOMINA!H68</f>
        <v>36770</v>
      </c>
      <c r="I64" s="984">
        <f>+NOMINA!I68</f>
        <v>24</v>
      </c>
      <c r="J64" s="985">
        <f>+NOMINA!J68</f>
        <v>0</v>
      </c>
      <c r="K64" s="984">
        <f>+NOMINA!K68</f>
        <v>24</v>
      </c>
      <c r="L64" s="986">
        <f>+NOMINA!CA68</f>
        <v>2120</v>
      </c>
      <c r="M64" s="443" t="e">
        <f>#REF!+#REF!-#REF!</f>
        <v>#REF!</v>
      </c>
      <c r="N64" s="975" t="e">
        <f>ROUND((#REF!+#REF!+#REF!+#REF!+#REF!+#REF!+#REF!+#REF!),2)</f>
        <v>#REF!</v>
      </c>
      <c r="Q64" s="629" t="e">
        <f>SUM(#REF!)</f>
        <v>#REF!</v>
      </c>
      <c r="R64" s="976" t="e">
        <f>#REF!+#REF!-#REF!</f>
        <v>#REF!</v>
      </c>
      <c r="S64" s="977">
        <v>200</v>
      </c>
      <c r="T64" s="976" t="e">
        <f>#REF!+#REF!</f>
        <v>#REF!</v>
      </c>
      <c r="U64" s="977" t="e">
        <f>#REF!</f>
        <v>#REF!</v>
      </c>
      <c r="V64" s="978">
        <v>0</v>
      </c>
      <c r="W64" s="977" t="e">
        <f>#REF!</f>
        <v>#REF!</v>
      </c>
      <c r="X64" s="979" t="e">
        <f>#REF!+#REF!</f>
        <v>#REF!</v>
      </c>
      <c r="Y64" s="979" t="e">
        <f>#REF!+#REF!</f>
        <v>#REF!</v>
      </c>
      <c r="Z64" s="979"/>
      <c r="AA64" s="977" t="e">
        <f>#REF!</f>
        <v>#REF!</v>
      </c>
      <c r="AB64" s="977" t="e">
        <f t="shared" si="4"/>
        <v>#REF!</v>
      </c>
      <c r="AC64" s="977" t="e">
        <f>#REF!+#REF!</f>
        <v>#REF!</v>
      </c>
      <c r="AD64" s="977">
        <f t="shared" si="5"/>
        <v>2120</v>
      </c>
      <c r="AE64" s="634"/>
    </row>
    <row r="65" spans="1:31" s="629" customFormat="1" ht="18" customHeight="1">
      <c r="A65" s="664" t="s">
        <v>2846</v>
      </c>
      <c r="B65" s="510">
        <f t="shared" si="6"/>
        <v>27</v>
      </c>
      <c r="C65" s="980">
        <f>+NOMINA!C69</f>
        <v>10033119</v>
      </c>
      <c r="D65" s="981" t="str">
        <f>+NOMINA!D69</f>
        <v>Artigas de Hernandez Ana Maria</v>
      </c>
      <c r="E65" s="978" t="s">
        <v>4622</v>
      </c>
      <c r="F65" s="982">
        <v>27081</v>
      </c>
      <c r="G65" s="978" t="s">
        <v>4620</v>
      </c>
      <c r="H65" s="983">
        <f>+NOMINA!H69</f>
        <v>43359</v>
      </c>
      <c r="I65" s="984">
        <f>+NOMINA!I69</f>
        <v>6</v>
      </c>
      <c r="J65" s="985">
        <f>+NOMINA!J69</f>
        <v>0</v>
      </c>
      <c r="K65" s="984">
        <f>+NOMINA!K69</f>
        <v>6</v>
      </c>
      <c r="L65" s="986">
        <f>+NOMINA!CA69</f>
        <v>2120</v>
      </c>
      <c r="M65" s="443" t="e">
        <f>#REF!+#REF!-#REF!</f>
        <v>#REF!</v>
      </c>
      <c r="N65" s="975" t="e">
        <f>ROUND((#REF!+#REF!+#REF!+#REF!+#REF!+#REF!+#REF!+#REF!),2)</f>
        <v>#REF!</v>
      </c>
      <c r="Q65" s="629" t="e">
        <f>SUM(#REF!)</f>
        <v>#REF!</v>
      </c>
      <c r="R65" s="976" t="e">
        <f>#REF!+#REF!-#REF!</f>
        <v>#REF!</v>
      </c>
      <c r="S65" s="977">
        <v>200</v>
      </c>
      <c r="T65" s="976" t="e">
        <f>#REF!+#REF!</f>
        <v>#REF!</v>
      </c>
      <c r="U65" s="977" t="e">
        <f>#REF!</f>
        <v>#REF!</v>
      </c>
      <c r="V65" s="978">
        <v>0</v>
      </c>
      <c r="W65" s="977" t="e">
        <f>#REF!</f>
        <v>#REF!</v>
      </c>
      <c r="X65" s="979" t="e">
        <f>#REF!+#REF!</f>
        <v>#REF!</v>
      </c>
      <c r="Y65" s="979" t="e">
        <f>#REF!+#REF!</f>
        <v>#REF!</v>
      </c>
      <c r="Z65" s="979"/>
      <c r="AA65" s="977" t="e">
        <f>#REF!</f>
        <v>#REF!</v>
      </c>
      <c r="AB65" s="977" t="e">
        <f t="shared" si="4"/>
        <v>#REF!</v>
      </c>
      <c r="AC65" s="977" t="e">
        <f>#REF!+#REF!</f>
        <v>#REF!</v>
      </c>
      <c r="AD65" s="977">
        <f t="shared" si="5"/>
        <v>2120</v>
      </c>
      <c r="AE65" s="634"/>
    </row>
    <row r="66" spans="1:31" s="629" customFormat="1" ht="18" customHeight="1">
      <c r="A66" s="664" t="s">
        <v>2846</v>
      </c>
      <c r="B66" s="510">
        <f t="shared" si="6"/>
        <v>28</v>
      </c>
      <c r="C66" s="980">
        <f>+NOMINA!C70</f>
        <v>10035540</v>
      </c>
      <c r="D66" s="981" t="str">
        <f>+NOMINA!D70</f>
        <v xml:space="preserve">Linares Linares Emma Teresa </v>
      </c>
      <c r="E66" s="978" t="s">
        <v>4622</v>
      </c>
      <c r="F66" s="982">
        <v>27081</v>
      </c>
      <c r="G66" s="978" t="s">
        <v>4620</v>
      </c>
      <c r="H66" s="983">
        <f>+NOMINA!H70</f>
        <v>43236</v>
      </c>
      <c r="I66" s="984">
        <f>+NOMINA!I70</f>
        <v>6</v>
      </c>
      <c r="J66" s="985">
        <f>+NOMINA!J70</f>
        <v>0</v>
      </c>
      <c r="K66" s="984">
        <f>+NOMINA!K70</f>
        <v>6</v>
      </c>
      <c r="L66" s="986">
        <f>+NOMINA!CA70</f>
        <v>2120</v>
      </c>
      <c r="M66" s="443" t="e">
        <f>#REF!+#REF!-#REF!</f>
        <v>#REF!</v>
      </c>
      <c r="N66" s="975" t="e">
        <f>ROUND((#REF!+#REF!+#REF!+#REF!+#REF!+#REF!+#REF!+#REF!),2)</f>
        <v>#REF!</v>
      </c>
      <c r="Q66" s="629" t="e">
        <f>SUM(#REF!)</f>
        <v>#REF!</v>
      </c>
      <c r="R66" s="976" t="e">
        <f>#REF!+#REF!-#REF!</f>
        <v>#REF!</v>
      </c>
      <c r="S66" s="977">
        <v>200</v>
      </c>
      <c r="T66" s="976" t="e">
        <f>#REF!+#REF!</f>
        <v>#REF!</v>
      </c>
      <c r="U66" s="977" t="e">
        <f>#REF!</f>
        <v>#REF!</v>
      </c>
      <c r="V66" s="978">
        <v>0</v>
      </c>
      <c r="W66" s="977" t="e">
        <f>#REF!</f>
        <v>#REF!</v>
      </c>
      <c r="X66" s="979" t="e">
        <f>#REF!+#REF!</f>
        <v>#REF!</v>
      </c>
      <c r="Y66" s="979" t="e">
        <f>#REF!+#REF!</f>
        <v>#REF!</v>
      </c>
      <c r="Z66" s="979"/>
      <c r="AA66" s="977" t="e">
        <f>#REF!</f>
        <v>#REF!</v>
      </c>
      <c r="AB66" s="977" t="e">
        <f t="shared" si="4"/>
        <v>#REF!</v>
      </c>
      <c r="AC66" s="977" t="e">
        <f>#REF!+#REF!</f>
        <v>#REF!</v>
      </c>
      <c r="AD66" s="977">
        <f t="shared" si="5"/>
        <v>2120</v>
      </c>
      <c r="AE66" s="634"/>
    </row>
    <row r="67" spans="1:31" s="629" customFormat="1" ht="18" customHeight="1">
      <c r="A67" s="664" t="s">
        <v>2846</v>
      </c>
      <c r="B67" s="510">
        <f t="shared" si="6"/>
        <v>29</v>
      </c>
      <c r="C67" s="980">
        <f>+NOMINA!C71</f>
        <v>10037054</v>
      </c>
      <c r="D67" s="981" t="str">
        <f>+NOMINA!D71</f>
        <v>Aguial Carrillo Deris Margarita</v>
      </c>
      <c r="E67" s="978" t="s">
        <v>4622</v>
      </c>
      <c r="F67" s="982">
        <v>27081</v>
      </c>
      <c r="G67" s="978" t="s">
        <v>4620</v>
      </c>
      <c r="H67" s="983">
        <f>+NOMINA!H71</f>
        <v>39820</v>
      </c>
      <c r="I67" s="984">
        <f>+NOMINA!I71</f>
        <v>16</v>
      </c>
      <c r="J67" s="985">
        <f>+NOMINA!J71</f>
        <v>0</v>
      </c>
      <c r="K67" s="984">
        <f>+NOMINA!K71</f>
        <v>16</v>
      </c>
      <c r="L67" s="986">
        <f>+NOMINA!CA71</f>
        <v>2120</v>
      </c>
      <c r="M67" s="443" t="e">
        <f>#REF!+#REF!-#REF!</f>
        <v>#REF!</v>
      </c>
      <c r="N67" s="975" t="e">
        <f>ROUND((#REF!+#REF!+#REF!+#REF!+#REF!+#REF!+#REF!+#REF!),2)</f>
        <v>#REF!</v>
      </c>
      <c r="Q67" s="629" t="e">
        <f>SUM(#REF!)</f>
        <v>#REF!</v>
      </c>
      <c r="R67" s="976" t="e">
        <f>#REF!+#REF!-#REF!</f>
        <v>#REF!</v>
      </c>
      <c r="S67" s="977">
        <v>200</v>
      </c>
      <c r="T67" s="976" t="e">
        <f>#REF!+#REF!</f>
        <v>#REF!</v>
      </c>
      <c r="U67" s="977" t="e">
        <f>#REF!</f>
        <v>#REF!</v>
      </c>
      <c r="V67" s="978">
        <v>0</v>
      </c>
      <c r="W67" s="977" t="e">
        <f>#REF!</f>
        <v>#REF!</v>
      </c>
      <c r="X67" s="979" t="e">
        <f>#REF!+#REF!</f>
        <v>#REF!</v>
      </c>
      <c r="Y67" s="979" t="e">
        <f>#REF!+#REF!</f>
        <v>#REF!</v>
      </c>
      <c r="Z67" s="979"/>
      <c r="AA67" s="977" t="e">
        <f>#REF!</f>
        <v>#REF!</v>
      </c>
      <c r="AB67" s="977" t="e">
        <f t="shared" si="4"/>
        <v>#REF!</v>
      </c>
      <c r="AC67" s="977" t="e">
        <f>#REF!+#REF!</f>
        <v>#REF!</v>
      </c>
      <c r="AD67" s="977">
        <f t="shared" si="5"/>
        <v>2120</v>
      </c>
      <c r="AE67" s="634"/>
    </row>
    <row r="68" spans="1:31" s="629" customFormat="1" ht="18" customHeight="1">
      <c r="A68" s="664" t="s">
        <v>2846</v>
      </c>
      <c r="B68" s="510">
        <f t="shared" si="6"/>
        <v>30</v>
      </c>
      <c r="C68" s="980">
        <f>+NOMINA!C72</f>
        <v>10175616</v>
      </c>
      <c r="D68" s="981" t="str">
        <f>+NOMINA!D72</f>
        <v>Carrillo Prato Blanca Isabel</v>
      </c>
      <c r="E68" s="978" t="s">
        <v>4622</v>
      </c>
      <c r="F68" s="982">
        <v>27081</v>
      </c>
      <c r="G68" s="978" t="s">
        <v>4620</v>
      </c>
      <c r="H68" s="983">
        <f>+NOMINA!H72</f>
        <v>44228</v>
      </c>
      <c r="I68" s="984">
        <f>+NOMINA!I72</f>
        <v>3</v>
      </c>
      <c r="J68" s="985">
        <f>+NOMINA!J72</f>
        <v>0</v>
      </c>
      <c r="K68" s="984">
        <f>+NOMINA!K72</f>
        <v>3</v>
      </c>
      <c r="L68" s="986">
        <f>+NOMINA!CA72</f>
        <v>2120</v>
      </c>
      <c r="M68" s="443" t="e">
        <f>#REF!+#REF!-#REF!</f>
        <v>#REF!</v>
      </c>
      <c r="N68" s="975" t="e">
        <f>ROUND((#REF!+#REF!+#REF!+#REF!+#REF!+#REF!+#REF!+#REF!),2)</f>
        <v>#REF!</v>
      </c>
      <c r="Q68" s="629" t="e">
        <f>SUM(#REF!)</f>
        <v>#REF!</v>
      </c>
      <c r="R68" s="976" t="e">
        <f>#REF!+#REF!-#REF!</f>
        <v>#REF!</v>
      </c>
      <c r="S68" s="977">
        <v>200</v>
      </c>
      <c r="T68" s="976" t="e">
        <f>#REF!+#REF!</f>
        <v>#REF!</v>
      </c>
      <c r="U68" s="977" t="e">
        <f>#REF!</f>
        <v>#REF!</v>
      </c>
      <c r="V68" s="978">
        <v>0</v>
      </c>
      <c r="W68" s="977" t="e">
        <f>#REF!</f>
        <v>#REF!</v>
      </c>
      <c r="X68" s="979" t="e">
        <f>#REF!+#REF!</f>
        <v>#REF!</v>
      </c>
      <c r="Y68" s="979" t="e">
        <f>#REF!+#REF!</f>
        <v>#REF!</v>
      </c>
      <c r="Z68" s="979"/>
      <c r="AA68" s="977" t="e">
        <f>#REF!</f>
        <v>#REF!</v>
      </c>
      <c r="AB68" s="977" t="e">
        <f t="shared" si="4"/>
        <v>#REF!</v>
      </c>
      <c r="AC68" s="977" t="e">
        <f>#REF!+#REF!</f>
        <v>#REF!</v>
      </c>
      <c r="AD68" s="977">
        <f t="shared" si="5"/>
        <v>2120</v>
      </c>
      <c r="AE68" s="634"/>
    </row>
    <row r="69" spans="1:31" s="629" customFormat="1" ht="18" customHeight="1">
      <c r="A69" s="664" t="s">
        <v>2846</v>
      </c>
      <c r="B69" s="510">
        <f t="shared" si="6"/>
        <v>31</v>
      </c>
      <c r="C69" s="980">
        <f>+NOMINA!C73</f>
        <v>10257016</v>
      </c>
      <c r="D69" s="981" t="str">
        <f>+NOMINA!D73</f>
        <v>Torres Dulma Ramona</v>
      </c>
      <c r="E69" s="978" t="s">
        <v>4622</v>
      </c>
      <c r="F69" s="982">
        <v>27081</v>
      </c>
      <c r="G69" s="978" t="s">
        <v>4620</v>
      </c>
      <c r="H69" s="983">
        <f>+NOMINA!H73</f>
        <v>35947</v>
      </c>
      <c r="I69" s="984">
        <f>+NOMINA!I73</f>
        <v>26</v>
      </c>
      <c r="J69" s="985">
        <f>+NOMINA!J73</f>
        <v>0</v>
      </c>
      <c r="K69" s="984">
        <f>+NOMINA!K73</f>
        <v>26</v>
      </c>
      <c r="L69" s="986">
        <f>+NOMINA!CA73</f>
        <v>2120</v>
      </c>
      <c r="M69" s="443" t="e">
        <f>#REF!+#REF!-#REF!</f>
        <v>#REF!</v>
      </c>
      <c r="N69" s="975" t="e">
        <f>ROUND((#REF!+#REF!+#REF!+#REF!+#REF!+#REF!+#REF!+#REF!),2)</f>
        <v>#REF!</v>
      </c>
      <c r="Q69" s="629" t="e">
        <f>SUM(#REF!)</f>
        <v>#REF!</v>
      </c>
      <c r="R69" s="976" t="e">
        <f>#REF!+#REF!-#REF!</f>
        <v>#REF!</v>
      </c>
      <c r="S69" s="977">
        <v>200</v>
      </c>
      <c r="T69" s="976" t="e">
        <f>#REF!+#REF!</f>
        <v>#REF!</v>
      </c>
      <c r="U69" s="977" t="e">
        <f>#REF!</f>
        <v>#REF!</v>
      </c>
      <c r="V69" s="978">
        <v>0</v>
      </c>
      <c r="W69" s="977" t="e">
        <f>#REF!</f>
        <v>#REF!</v>
      </c>
      <c r="X69" s="979" t="e">
        <f>#REF!+#REF!</f>
        <v>#REF!</v>
      </c>
      <c r="Y69" s="979" t="e">
        <f>#REF!+#REF!</f>
        <v>#REF!</v>
      </c>
      <c r="Z69" s="979"/>
      <c r="AA69" s="977" t="e">
        <f>#REF!</f>
        <v>#REF!</v>
      </c>
      <c r="AB69" s="977" t="e">
        <f t="shared" si="4"/>
        <v>#REF!</v>
      </c>
      <c r="AC69" s="977" t="e">
        <f>#REF!+#REF!</f>
        <v>#REF!</v>
      </c>
      <c r="AD69" s="977">
        <f t="shared" si="5"/>
        <v>2120</v>
      </c>
      <c r="AE69" s="634"/>
    </row>
    <row r="70" spans="1:31" s="629" customFormat="1" ht="18" customHeight="1">
      <c r="A70" s="664" t="s">
        <v>2846</v>
      </c>
      <c r="B70" s="510">
        <f t="shared" si="6"/>
        <v>32</v>
      </c>
      <c r="C70" s="980">
        <f>+NOMINA!C74</f>
        <v>10315803</v>
      </c>
      <c r="D70" s="981" t="str">
        <f>+NOMINA!D74</f>
        <v>Frias Jacson Daniel</v>
      </c>
      <c r="E70" s="978" t="s">
        <v>4622</v>
      </c>
      <c r="F70" s="982">
        <v>27081</v>
      </c>
      <c r="G70" s="978" t="s">
        <v>4620</v>
      </c>
      <c r="H70" s="983">
        <f>+NOMINA!H74</f>
        <v>35415</v>
      </c>
      <c r="I70" s="984">
        <f>+NOMINA!I74</f>
        <v>28</v>
      </c>
      <c r="J70" s="985">
        <f>+NOMINA!J74</f>
        <v>0</v>
      </c>
      <c r="K70" s="984">
        <f>+NOMINA!K74</f>
        <v>28</v>
      </c>
      <c r="L70" s="986">
        <f>+NOMINA!CA74</f>
        <v>2120</v>
      </c>
      <c r="M70" s="443" t="e">
        <f>#REF!+#REF!-#REF!</f>
        <v>#REF!</v>
      </c>
      <c r="N70" s="975" t="e">
        <f>ROUND((#REF!+#REF!+#REF!+#REF!+#REF!+#REF!+#REF!+#REF!),2)</f>
        <v>#REF!</v>
      </c>
      <c r="Q70" s="629" t="e">
        <f>SUM(#REF!)</f>
        <v>#REF!</v>
      </c>
      <c r="R70" s="976" t="e">
        <f>#REF!+#REF!-#REF!</f>
        <v>#REF!</v>
      </c>
      <c r="S70" s="977">
        <v>200</v>
      </c>
      <c r="T70" s="976" t="e">
        <f>#REF!+#REF!</f>
        <v>#REF!</v>
      </c>
      <c r="U70" s="977" t="e">
        <f>#REF!</f>
        <v>#REF!</v>
      </c>
      <c r="V70" s="978">
        <v>0</v>
      </c>
      <c r="W70" s="977" t="e">
        <f>#REF!</f>
        <v>#REF!</v>
      </c>
      <c r="X70" s="979" t="e">
        <f>#REF!+#REF!</f>
        <v>#REF!</v>
      </c>
      <c r="Y70" s="979" t="e">
        <f>#REF!+#REF!</f>
        <v>#REF!</v>
      </c>
      <c r="Z70" s="979"/>
      <c r="AA70" s="977" t="e">
        <f>#REF!</f>
        <v>#REF!</v>
      </c>
      <c r="AB70" s="977" t="e">
        <f t="shared" si="4"/>
        <v>#REF!</v>
      </c>
      <c r="AC70" s="977" t="e">
        <f>#REF!+#REF!</f>
        <v>#REF!</v>
      </c>
      <c r="AD70" s="977">
        <f t="shared" si="5"/>
        <v>2120</v>
      </c>
      <c r="AE70" s="634"/>
    </row>
    <row r="71" spans="1:31" s="629" customFormat="1" ht="18" customHeight="1">
      <c r="A71" s="664" t="s">
        <v>2846</v>
      </c>
      <c r="B71" s="510">
        <f t="shared" si="6"/>
        <v>33</v>
      </c>
      <c r="C71" s="980">
        <f>+NOMINA!C75</f>
        <v>10319457</v>
      </c>
      <c r="D71" s="981" t="str">
        <f>+NOMINA!D75</f>
        <v>Marquez Marquez Maribel del Valle</v>
      </c>
      <c r="E71" s="978" t="s">
        <v>4622</v>
      </c>
      <c r="F71" s="982">
        <v>27081</v>
      </c>
      <c r="G71" s="978" t="s">
        <v>4620</v>
      </c>
      <c r="H71" s="983">
        <f>+NOMINA!H75</f>
        <v>38831</v>
      </c>
      <c r="I71" s="984">
        <f>+NOMINA!I75</f>
        <v>18</v>
      </c>
      <c r="J71" s="985">
        <f>+NOMINA!J75</f>
        <v>0</v>
      </c>
      <c r="K71" s="984">
        <f>+NOMINA!K75</f>
        <v>18</v>
      </c>
      <c r="L71" s="986">
        <f>+NOMINA!CA75</f>
        <v>2120</v>
      </c>
      <c r="M71" s="443" t="e">
        <f>#REF!+#REF!-#REF!</f>
        <v>#REF!</v>
      </c>
      <c r="N71" s="975" t="e">
        <f>ROUND((#REF!+#REF!+#REF!+#REF!+#REF!+#REF!+#REF!+#REF!),2)</f>
        <v>#REF!</v>
      </c>
      <c r="Q71" s="629" t="e">
        <f>SUM(#REF!)</f>
        <v>#REF!</v>
      </c>
      <c r="R71" s="976" t="e">
        <f>#REF!+#REF!-#REF!</f>
        <v>#REF!</v>
      </c>
      <c r="S71" s="977">
        <v>200</v>
      </c>
      <c r="T71" s="976" t="e">
        <f>#REF!+#REF!</f>
        <v>#REF!</v>
      </c>
      <c r="U71" s="977" t="e">
        <f>#REF!</f>
        <v>#REF!</v>
      </c>
      <c r="V71" s="978">
        <v>0</v>
      </c>
      <c r="W71" s="977" t="e">
        <f>#REF!</f>
        <v>#REF!</v>
      </c>
      <c r="X71" s="979" t="e">
        <f>#REF!+#REF!</f>
        <v>#REF!</v>
      </c>
      <c r="Y71" s="979" t="e">
        <f>#REF!+#REF!</f>
        <v>#REF!</v>
      </c>
      <c r="Z71" s="979"/>
      <c r="AA71" s="977" t="e">
        <f>#REF!</f>
        <v>#REF!</v>
      </c>
      <c r="AB71" s="977" t="e">
        <f t="shared" si="4"/>
        <v>#REF!</v>
      </c>
      <c r="AC71" s="977" t="e">
        <f>#REF!+#REF!</f>
        <v>#REF!</v>
      </c>
      <c r="AD71" s="977">
        <f t="shared" si="5"/>
        <v>2120</v>
      </c>
      <c r="AE71" s="634"/>
    </row>
    <row r="72" spans="1:31" s="629" customFormat="1" ht="18" customHeight="1">
      <c r="A72" s="664" t="s">
        <v>2846</v>
      </c>
      <c r="B72" s="510">
        <f t="shared" si="6"/>
        <v>34</v>
      </c>
      <c r="C72" s="980">
        <f>+NOMINA!C76</f>
        <v>10396379</v>
      </c>
      <c r="D72" s="981" t="str">
        <f>+NOMINA!D76</f>
        <v>Ruiz Luis Alfonzo</v>
      </c>
      <c r="E72" s="978" t="s">
        <v>4622</v>
      </c>
      <c r="F72" s="982">
        <v>27081</v>
      </c>
      <c r="G72" s="978" t="s">
        <v>4620</v>
      </c>
      <c r="H72" s="983">
        <f>+NOMINA!H76</f>
        <v>44743</v>
      </c>
      <c r="I72" s="984">
        <f>+NOMINA!I76</f>
        <v>2</v>
      </c>
      <c r="J72" s="985">
        <f>+NOMINA!J76</f>
        <v>0</v>
      </c>
      <c r="K72" s="984">
        <f>+NOMINA!K76</f>
        <v>2</v>
      </c>
      <c r="L72" s="986">
        <f>+NOMINA!CA76</f>
        <v>2120</v>
      </c>
      <c r="M72" s="443" t="e">
        <f>#REF!+#REF!-#REF!</f>
        <v>#REF!</v>
      </c>
      <c r="N72" s="975" t="e">
        <f>ROUND((#REF!+#REF!+#REF!+#REF!+#REF!+#REF!+#REF!+#REF!),2)</f>
        <v>#REF!</v>
      </c>
      <c r="Q72" s="629" t="e">
        <f>SUM(#REF!)</f>
        <v>#REF!</v>
      </c>
      <c r="R72" s="976" t="e">
        <f>#REF!+#REF!-#REF!</f>
        <v>#REF!</v>
      </c>
      <c r="S72" s="977">
        <v>200</v>
      </c>
      <c r="T72" s="976" t="e">
        <f>#REF!+#REF!</f>
        <v>#REF!</v>
      </c>
      <c r="U72" s="977" t="e">
        <f>#REF!</f>
        <v>#REF!</v>
      </c>
      <c r="V72" s="978">
        <v>0</v>
      </c>
      <c r="W72" s="977" t="e">
        <f>#REF!</f>
        <v>#REF!</v>
      </c>
      <c r="X72" s="979" t="e">
        <f>#REF!+#REF!</f>
        <v>#REF!</v>
      </c>
      <c r="Y72" s="979" t="e">
        <f>#REF!+#REF!</f>
        <v>#REF!</v>
      </c>
      <c r="Z72" s="979"/>
      <c r="AA72" s="977" t="e">
        <f>#REF!</f>
        <v>#REF!</v>
      </c>
      <c r="AB72" s="977" t="e">
        <f t="shared" si="4"/>
        <v>#REF!</v>
      </c>
      <c r="AC72" s="977" t="e">
        <f>#REF!+#REF!</f>
        <v>#REF!</v>
      </c>
      <c r="AD72" s="977">
        <f t="shared" si="5"/>
        <v>2120</v>
      </c>
      <c r="AE72" s="634"/>
    </row>
    <row r="73" spans="1:31" s="629" customFormat="1" ht="18" customHeight="1">
      <c r="A73" s="664" t="s">
        <v>2846</v>
      </c>
      <c r="B73" s="510">
        <f t="shared" si="6"/>
        <v>35</v>
      </c>
      <c r="C73" s="980">
        <f>+NOMINA!C77</f>
        <v>10398694</v>
      </c>
      <c r="D73" s="981" t="str">
        <f>+NOMINA!D77</f>
        <v>Santana Briceño Jose Gregorio</v>
      </c>
      <c r="E73" s="978" t="s">
        <v>4622</v>
      </c>
      <c r="F73" s="982">
        <v>27081</v>
      </c>
      <c r="G73" s="978" t="s">
        <v>4620</v>
      </c>
      <c r="H73" s="983">
        <f>+NOMINA!H77</f>
        <v>44743</v>
      </c>
      <c r="I73" s="984">
        <f>+NOMINA!I77</f>
        <v>2</v>
      </c>
      <c r="J73" s="985">
        <f>+NOMINA!J77</f>
        <v>23</v>
      </c>
      <c r="K73" s="984">
        <f>+NOMINA!K77</f>
        <v>25</v>
      </c>
      <c r="L73" s="986">
        <f>+NOMINA!CA77</f>
        <v>2120</v>
      </c>
      <c r="M73" s="443" t="e">
        <f>#REF!+#REF!-#REF!</f>
        <v>#REF!</v>
      </c>
      <c r="N73" s="975" t="e">
        <f>ROUND((#REF!+#REF!+#REF!+#REF!+#REF!+#REF!+#REF!+#REF!),2)</f>
        <v>#REF!</v>
      </c>
      <c r="Q73" s="629" t="e">
        <f>SUM(#REF!)</f>
        <v>#REF!</v>
      </c>
      <c r="R73" s="976" t="e">
        <f>#REF!+#REF!-#REF!</f>
        <v>#REF!</v>
      </c>
      <c r="S73" s="977">
        <v>200</v>
      </c>
      <c r="T73" s="976" t="e">
        <f>#REF!+#REF!</f>
        <v>#REF!</v>
      </c>
      <c r="U73" s="977" t="e">
        <f>#REF!</f>
        <v>#REF!</v>
      </c>
      <c r="V73" s="978">
        <v>0</v>
      </c>
      <c r="W73" s="977" t="e">
        <f>#REF!</f>
        <v>#REF!</v>
      </c>
      <c r="X73" s="979" t="e">
        <f>#REF!+#REF!</f>
        <v>#REF!</v>
      </c>
      <c r="Y73" s="979" t="e">
        <f>#REF!+#REF!</f>
        <v>#REF!</v>
      </c>
      <c r="Z73" s="979"/>
      <c r="AA73" s="977" t="e">
        <f>#REF!</f>
        <v>#REF!</v>
      </c>
      <c r="AB73" s="977" t="e">
        <f t="shared" si="4"/>
        <v>#REF!</v>
      </c>
      <c r="AC73" s="977" t="e">
        <f>#REF!+#REF!</f>
        <v>#REF!</v>
      </c>
      <c r="AD73" s="977">
        <f t="shared" si="5"/>
        <v>2120</v>
      </c>
      <c r="AE73" s="634"/>
    </row>
    <row r="74" spans="1:31" s="629" customFormat="1" ht="18" customHeight="1">
      <c r="A74" s="664" t="s">
        <v>2846</v>
      </c>
      <c r="B74" s="510">
        <f t="shared" si="6"/>
        <v>36</v>
      </c>
      <c r="C74" s="980">
        <f>+NOMINA!C78</f>
        <v>10399064</v>
      </c>
      <c r="D74" s="981" t="str">
        <f>+NOMINA!D78</f>
        <v>Perdomo Perdomo Angela Aurora</v>
      </c>
      <c r="E74" s="978" t="s">
        <v>4622</v>
      </c>
      <c r="F74" s="982">
        <v>27081</v>
      </c>
      <c r="G74" s="978" t="s">
        <v>4620</v>
      </c>
      <c r="H74" s="983">
        <f>+NOMINA!H78</f>
        <v>39328</v>
      </c>
      <c r="I74" s="984">
        <f>+NOMINA!I78</f>
        <v>17</v>
      </c>
      <c r="J74" s="985">
        <f>+NOMINA!J78</f>
        <v>0</v>
      </c>
      <c r="K74" s="984">
        <f>+NOMINA!K78</f>
        <v>17</v>
      </c>
      <c r="L74" s="986">
        <f>+NOMINA!CA78</f>
        <v>2120</v>
      </c>
      <c r="M74" s="443" t="e">
        <f>#REF!+#REF!-#REF!</f>
        <v>#REF!</v>
      </c>
      <c r="N74" s="975" t="e">
        <f>ROUND((#REF!+#REF!+#REF!+#REF!+#REF!+#REF!+#REF!+#REF!),2)</f>
        <v>#REF!</v>
      </c>
      <c r="Q74" s="629" t="e">
        <f>SUM(#REF!)</f>
        <v>#REF!</v>
      </c>
      <c r="R74" s="976" t="e">
        <f>#REF!+#REF!-#REF!</f>
        <v>#REF!</v>
      </c>
      <c r="S74" s="977">
        <v>200</v>
      </c>
      <c r="T74" s="976" t="e">
        <f>#REF!+#REF!</f>
        <v>#REF!</v>
      </c>
      <c r="U74" s="977" t="e">
        <f>#REF!</f>
        <v>#REF!</v>
      </c>
      <c r="V74" s="978">
        <v>0</v>
      </c>
      <c r="W74" s="977" t="e">
        <f>#REF!</f>
        <v>#REF!</v>
      </c>
      <c r="X74" s="979" t="e">
        <f>#REF!+#REF!</f>
        <v>#REF!</v>
      </c>
      <c r="Y74" s="979" t="e">
        <f>#REF!+#REF!</f>
        <v>#REF!</v>
      </c>
      <c r="Z74" s="979"/>
      <c r="AA74" s="977" t="e">
        <f>#REF!</f>
        <v>#REF!</v>
      </c>
      <c r="AB74" s="977" t="e">
        <f t="shared" si="4"/>
        <v>#REF!</v>
      </c>
      <c r="AC74" s="977" t="e">
        <f>#REF!+#REF!</f>
        <v>#REF!</v>
      </c>
      <c r="AD74" s="977">
        <f t="shared" si="5"/>
        <v>2120</v>
      </c>
      <c r="AE74" s="634"/>
    </row>
    <row r="75" spans="1:31" s="629" customFormat="1" ht="18" customHeight="1">
      <c r="A75" s="664" t="s">
        <v>2846</v>
      </c>
      <c r="B75" s="510">
        <f t="shared" si="6"/>
        <v>37</v>
      </c>
      <c r="C75" s="980">
        <f>+NOMINA!C79</f>
        <v>10400214</v>
      </c>
      <c r="D75" s="981" t="str">
        <f>+NOMINA!D79</f>
        <v>Bastidas Yanitza Del Valle</v>
      </c>
      <c r="E75" s="978" t="s">
        <v>4622</v>
      </c>
      <c r="F75" s="982">
        <v>27081</v>
      </c>
      <c r="G75" s="978" t="s">
        <v>4620</v>
      </c>
      <c r="H75" s="983">
        <f>+NOMINA!H79</f>
        <v>41153</v>
      </c>
      <c r="I75" s="984">
        <f>+NOMINA!I79</f>
        <v>12</v>
      </c>
      <c r="J75" s="985">
        <f>+NOMINA!J79</f>
        <v>0</v>
      </c>
      <c r="K75" s="984">
        <f>+NOMINA!K79</f>
        <v>12</v>
      </c>
      <c r="L75" s="986">
        <f>+NOMINA!CA79</f>
        <v>2120</v>
      </c>
      <c r="M75" s="443" t="e">
        <f>#REF!+#REF!-#REF!</f>
        <v>#REF!</v>
      </c>
      <c r="N75" s="975" t="e">
        <f>ROUND((#REF!+#REF!+#REF!+#REF!+#REF!+#REF!+#REF!+#REF!),2)</f>
        <v>#REF!</v>
      </c>
      <c r="Q75" s="629" t="e">
        <f>SUM(#REF!)</f>
        <v>#REF!</v>
      </c>
      <c r="R75" s="976" t="e">
        <f>#REF!+#REF!-#REF!</f>
        <v>#REF!</v>
      </c>
      <c r="S75" s="977">
        <v>200</v>
      </c>
      <c r="T75" s="976" t="e">
        <f>#REF!+#REF!</f>
        <v>#REF!</v>
      </c>
      <c r="U75" s="977" t="e">
        <f>#REF!</f>
        <v>#REF!</v>
      </c>
      <c r="V75" s="978">
        <v>0</v>
      </c>
      <c r="W75" s="977" t="e">
        <f>#REF!</f>
        <v>#REF!</v>
      </c>
      <c r="X75" s="979" t="e">
        <f>#REF!+#REF!</f>
        <v>#REF!</v>
      </c>
      <c r="Y75" s="979" t="e">
        <f>#REF!+#REF!</f>
        <v>#REF!</v>
      </c>
      <c r="Z75" s="979"/>
      <c r="AA75" s="977" t="e">
        <f>#REF!</f>
        <v>#REF!</v>
      </c>
      <c r="AB75" s="977" t="e">
        <f t="shared" si="4"/>
        <v>#REF!</v>
      </c>
      <c r="AC75" s="977" t="e">
        <f>#REF!+#REF!</f>
        <v>#REF!</v>
      </c>
      <c r="AD75" s="977">
        <f t="shared" si="5"/>
        <v>2120</v>
      </c>
      <c r="AE75" s="634"/>
    </row>
    <row r="76" spans="1:31" s="629" customFormat="1" ht="18" customHeight="1">
      <c r="A76" s="664" t="s">
        <v>2846</v>
      </c>
      <c r="B76" s="510">
        <f t="shared" si="6"/>
        <v>38</v>
      </c>
      <c r="C76" s="980">
        <f>+NOMINA!C80</f>
        <v>10400365</v>
      </c>
      <c r="D76" s="981" t="str">
        <f>+NOMINA!D80</f>
        <v>Briceño Ruiz Sara Josefina</v>
      </c>
      <c r="E76" s="978" t="s">
        <v>4622</v>
      </c>
      <c r="F76" s="982">
        <v>27081</v>
      </c>
      <c r="G76" s="978" t="s">
        <v>4620</v>
      </c>
      <c r="H76" s="983">
        <f>+NOMINA!H80</f>
        <v>39328</v>
      </c>
      <c r="I76" s="984">
        <f>+NOMINA!I80</f>
        <v>17</v>
      </c>
      <c r="J76" s="985">
        <f>+NOMINA!J80</f>
        <v>0</v>
      </c>
      <c r="K76" s="984">
        <f>+NOMINA!K80</f>
        <v>17</v>
      </c>
      <c r="L76" s="986">
        <f>+NOMINA!CA80</f>
        <v>2120</v>
      </c>
      <c r="M76" s="443" t="e">
        <f>#REF!+#REF!-#REF!</f>
        <v>#REF!</v>
      </c>
      <c r="N76" s="975" t="e">
        <f>ROUND((#REF!+#REF!+#REF!+#REF!+#REF!+#REF!+#REF!+#REF!),2)</f>
        <v>#REF!</v>
      </c>
      <c r="Q76" s="629" t="e">
        <f>SUM(#REF!)</f>
        <v>#REF!</v>
      </c>
      <c r="R76" s="976" t="e">
        <f>#REF!+#REF!-#REF!</f>
        <v>#REF!</v>
      </c>
      <c r="S76" s="977">
        <v>200</v>
      </c>
      <c r="T76" s="976" t="e">
        <f>#REF!+#REF!</f>
        <v>#REF!</v>
      </c>
      <c r="U76" s="977" t="e">
        <f>#REF!</f>
        <v>#REF!</v>
      </c>
      <c r="V76" s="978">
        <v>0</v>
      </c>
      <c r="W76" s="977" t="e">
        <f>#REF!</f>
        <v>#REF!</v>
      </c>
      <c r="X76" s="979" t="e">
        <f>#REF!+#REF!</f>
        <v>#REF!</v>
      </c>
      <c r="Y76" s="979" t="e">
        <f>#REF!+#REF!</f>
        <v>#REF!</v>
      </c>
      <c r="Z76" s="979"/>
      <c r="AA76" s="977" t="e">
        <f>#REF!</f>
        <v>#REF!</v>
      </c>
      <c r="AB76" s="977" t="e">
        <f t="shared" si="4"/>
        <v>#REF!</v>
      </c>
      <c r="AC76" s="977" t="e">
        <f>#REF!+#REF!</f>
        <v>#REF!</v>
      </c>
      <c r="AD76" s="977">
        <f t="shared" si="5"/>
        <v>2120</v>
      </c>
      <c r="AE76" s="634"/>
    </row>
    <row r="77" spans="1:31" s="629" customFormat="1" ht="18" customHeight="1">
      <c r="A77" s="664" t="s">
        <v>2846</v>
      </c>
      <c r="B77" s="510">
        <f t="shared" si="6"/>
        <v>39</v>
      </c>
      <c r="C77" s="980">
        <f>+NOMINA!C81</f>
        <v>10400876</v>
      </c>
      <c r="D77" s="981" t="str">
        <f>+NOMINA!D81</f>
        <v>Ramirez Vergara Graciela De Jesus</v>
      </c>
      <c r="E77" s="978" t="s">
        <v>4622</v>
      </c>
      <c r="F77" s="982">
        <v>27081</v>
      </c>
      <c r="G77" s="978" t="s">
        <v>4620</v>
      </c>
      <c r="H77" s="983">
        <f>+NOMINA!H81</f>
        <v>43556</v>
      </c>
      <c r="I77" s="984">
        <f>+NOMINA!I81</f>
        <v>5</v>
      </c>
      <c r="J77" s="985">
        <f>+NOMINA!J81</f>
        <v>10</v>
      </c>
      <c r="K77" s="984">
        <f>+NOMINA!K81</f>
        <v>15</v>
      </c>
      <c r="L77" s="986">
        <f>+NOMINA!CA81</f>
        <v>2120</v>
      </c>
      <c r="M77" s="443" t="e">
        <f>#REF!+#REF!-#REF!</f>
        <v>#REF!</v>
      </c>
      <c r="N77" s="975" t="e">
        <f>ROUND((#REF!+#REF!+#REF!+#REF!+#REF!+#REF!+#REF!+#REF!),2)</f>
        <v>#REF!</v>
      </c>
      <c r="Q77" s="629" t="e">
        <f>SUM(#REF!)</f>
        <v>#REF!</v>
      </c>
      <c r="R77" s="976" t="e">
        <f>#REF!+#REF!-#REF!</f>
        <v>#REF!</v>
      </c>
      <c r="S77" s="977">
        <v>200</v>
      </c>
      <c r="T77" s="976" t="e">
        <f>#REF!+#REF!</f>
        <v>#REF!</v>
      </c>
      <c r="U77" s="977" t="e">
        <f>#REF!</f>
        <v>#REF!</v>
      </c>
      <c r="V77" s="978">
        <v>0</v>
      </c>
      <c r="W77" s="977" t="e">
        <f>#REF!</f>
        <v>#REF!</v>
      </c>
      <c r="X77" s="979" t="e">
        <f>#REF!+#REF!</f>
        <v>#REF!</v>
      </c>
      <c r="Y77" s="979" t="e">
        <f>#REF!+#REF!</f>
        <v>#REF!</v>
      </c>
      <c r="Z77" s="979"/>
      <c r="AA77" s="977" t="e">
        <f>#REF!</f>
        <v>#REF!</v>
      </c>
      <c r="AB77" s="977" t="e">
        <f t="shared" si="4"/>
        <v>#REF!</v>
      </c>
      <c r="AC77" s="977" t="e">
        <f>#REF!+#REF!</f>
        <v>#REF!</v>
      </c>
      <c r="AD77" s="977">
        <f t="shared" si="5"/>
        <v>2120</v>
      </c>
      <c r="AE77" s="634"/>
    </row>
    <row r="78" spans="1:31" s="629" customFormat="1" ht="18" customHeight="1">
      <c r="A78" s="664" t="s">
        <v>2846</v>
      </c>
      <c r="B78" s="510">
        <f t="shared" si="6"/>
        <v>40</v>
      </c>
      <c r="C78" s="980">
        <f>+NOMINA!C82</f>
        <v>10404528</v>
      </c>
      <c r="D78" s="981" t="str">
        <f>+NOMINA!D82</f>
        <v>Perez Castellano Javier Horacio</v>
      </c>
      <c r="E78" s="978" t="s">
        <v>4622</v>
      </c>
      <c r="F78" s="982">
        <v>27081</v>
      </c>
      <c r="G78" s="978" t="s">
        <v>4620</v>
      </c>
      <c r="H78" s="983">
        <f>+NOMINA!H82</f>
        <v>37622</v>
      </c>
      <c r="I78" s="984">
        <f>+NOMINA!I82</f>
        <v>22</v>
      </c>
      <c r="J78" s="985">
        <f>+NOMINA!J82</f>
        <v>0</v>
      </c>
      <c r="K78" s="984">
        <f>+NOMINA!K82</f>
        <v>22</v>
      </c>
      <c r="L78" s="986">
        <f>+NOMINA!CA82</f>
        <v>0</v>
      </c>
      <c r="M78" s="443" t="e">
        <f>#REF!+#REF!-#REF!</f>
        <v>#REF!</v>
      </c>
      <c r="N78" s="975" t="e">
        <f>ROUND((#REF!+#REF!+#REF!+#REF!+#REF!+#REF!+#REF!+#REF!),2)</f>
        <v>#REF!</v>
      </c>
      <c r="Q78" s="629" t="e">
        <f>SUM(#REF!)</f>
        <v>#REF!</v>
      </c>
      <c r="R78" s="976" t="e">
        <f>#REF!+#REF!-#REF!</f>
        <v>#REF!</v>
      </c>
      <c r="S78" s="977">
        <v>200</v>
      </c>
      <c r="T78" s="976" t="e">
        <f>#REF!+#REF!</f>
        <v>#REF!</v>
      </c>
      <c r="U78" s="977" t="e">
        <f>#REF!</f>
        <v>#REF!</v>
      </c>
      <c r="V78" s="978">
        <v>0</v>
      </c>
      <c r="W78" s="977" t="e">
        <f>#REF!</f>
        <v>#REF!</v>
      </c>
      <c r="X78" s="979" t="e">
        <f>#REF!+#REF!</f>
        <v>#REF!</v>
      </c>
      <c r="Y78" s="979" t="e">
        <f>#REF!+#REF!</f>
        <v>#REF!</v>
      </c>
      <c r="Z78" s="979"/>
      <c r="AA78" s="977" t="e">
        <f>#REF!</f>
        <v>#REF!</v>
      </c>
      <c r="AB78" s="977" t="e">
        <f t="shared" si="4"/>
        <v>#REF!</v>
      </c>
      <c r="AC78" s="977" t="e">
        <f>#REF!+#REF!</f>
        <v>#REF!</v>
      </c>
      <c r="AD78" s="977">
        <f t="shared" si="5"/>
        <v>0</v>
      </c>
      <c r="AE78" s="634"/>
    </row>
    <row r="79" spans="1:31" s="629" customFormat="1" ht="18" customHeight="1">
      <c r="A79" s="664" t="s">
        <v>2846</v>
      </c>
      <c r="B79" s="510">
        <f t="shared" si="6"/>
        <v>41</v>
      </c>
      <c r="C79" s="980">
        <f>+NOMINA!C83</f>
        <v>10906110</v>
      </c>
      <c r="D79" s="981" t="str">
        <f>+NOMINA!D83</f>
        <v>Linares Prato Yraima Gregoria</v>
      </c>
      <c r="E79" s="978" t="s">
        <v>4622</v>
      </c>
      <c r="F79" s="982">
        <v>27081</v>
      </c>
      <c r="G79" s="978" t="s">
        <v>4620</v>
      </c>
      <c r="H79" s="983">
        <f>+NOMINA!H83</f>
        <v>45292</v>
      </c>
      <c r="I79" s="984">
        <f>+NOMINA!I83</f>
        <v>1</v>
      </c>
      <c r="J79" s="985">
        <f>+NOMINA!J83</f>
        <v>0</v>
      </c>
      <c r="K79" s="984">
        <f>+NOMINA!K83</f>
        <v>1</v>
      </c>
      <c r="L79" s="986">
        <f>+NOMINA!CA83</f>
        <v>2120</v>
      </c>
      <c r="M79" s="443" t="e">
        <f>#REF!+#REF!-#REF!</f>
        <v>#REF!</v>
      </c>
      <c r="N79" s="975" t="e">
        <f>ROUND((#REF!+#REF!+#REF!+#REF!+#REF!+#REF!+#REF!+#REF!),2)</f>
        <v>#REF!</v>
      </c>
      <c r="Q79" s="629" t="e">
        <f>SUM(#REF!)</f>
        <v>#REF!</v>
      </c>
      <c r="R79" s="976" t="e">
        <f>#REF!+#REF!-#REF!</f>
        <v>#REF!</v>
      </c>
      <c r="S79" s="977">
        <v>200</v>
      </c>
      <c r="T79" s="976" t="e">
        <f>#REF!+#REF!</f>
        <v>#REF!</v>
      </c>
      <c r="U79" s="977" t="e">
        <f>#REF!</f>
        <v>#REF!</v>
      </c>
      <c r="V79" s="978">
        <v>0</v>
      </c>
      <c r="W79" s="977" t="e">
        <f>#REF!</f>
        <v>#REF!</v>
      </c>
      <c r="X79" s="979" t="e">
        <f>#REF!+#REF!</f>
        <v>#REF!</v>
      </c>
      <c r="Y79" s="979" t="e">
        <f>#REF!+#REF!</f>
        <v>#REF!</v>
      </c>
      <c r="Z79" s="979"/>
      <c r="AA79" s="977" t="e">
        <f>#REF!</f>
        <v>#REF!</v>
      </c>
      <c r="AB79" s="977" t="e">
        <f t="shared" si="4"/>
        <v>#REF!</v>
      </c>
      <c r="AC79" s="977" t="e">
        <f>#REF!+#REF!</f>
        <v>#REF!</v>
      </c>
      <c r="AD79" s="977">
        <f t="shared" si="5"/>
        <v>2120</v>
      </c>
      <c r="AE79" s="634"/>
    </row>
    <row r="80" spans="1:31" s="629" customFormat="1" ht="18" customHeight="1">
      <c r="A80" s="664" t="s">
        <v>2846</v>
      </c>
      <c r="B80" s="510">
        <f t="shared" si="6"/>
        <v>42</v>
      </c>
      <c r="C80" s="980">
        <f>+NOMINA!C84</f>
        <v>10906923</v>
      </c>
      <c r="D80" s="981" t="str">
        <f>+NOMINA!D84</f>
        <v>Cruz de Rodriguez Yanet Coromoto</v>
      </c>
      <c r="E80" s="978" t="s">
        <v>4622</v>
      </c>
      <c r="F80" s="982">
        <v>27081</v>
      </c>
      <c r="G80" s="978" t="s">
        <v>4620</v>
      </c>
      <c r="H80" s="983">
        <f>+NOMINA!H84</f>
        <v>44636</v>
      </c>
      <c r="I80" s="984">
        <f>+NOMINA!I84</f>
        <v>2</v>
      </c>
      <c r="J80" s="985">
        <f>+NOMINA!J84</f>
        <v>0</v>
      </c>
      <c r="K80" s="984">
        <f>+NOMINA!K84</f>
        <v>2</v>
      </c>
      <c r="L80" s="986">
        <f>+NOMINA!CA84</f>
        <v>2120</v>
      </c>
      <c r="M80" s="443" t="e">
        <f>#REF!+#REF!-#REF!</f>
        <v>#REF!</v>
      </c>
      <c r="N80" s="975" t="e">
        <f>ROUND((#REF!+#REF!+#REF!+#REF!+#REF!+#REF!+#REF!+#REF!),2)</f>
        <v>#REF!</v>
      </c>
      <c r="Q80" s="629" t="e">
        <f>SUM(#REF!)</f>
        <v>#REF!</v>
      </c>
      <c r="R80" s="976" t="e">
        <f>#REF!+#REF!-#REF!</f>
        <v>#REF!</v>
      </c>
      <c r="S80" s="977">
        <v>200</v>
      </c>
      <c r="T80" s="976" t="e">
        <f>#REF!+#REF!</f>
        <v>#REF!</v>
      </c>
      <c r="U80" s="977" t="e">
        <f>#REF!</f>
        <v>#REF!</v>
      </c>
      <c r="V80" s="978">
        <v>0</v>
      </c>
      <c r="W80" s="977" t="e">
        <f>#REF!</f>
        <v>#REF!</v>
      </c>
      <c r="X80" s="979" t="e">
        <f>#REF!+#REF!</f>
        <v>#REF!</v>
      </c>
      <c r="Y80" s="979" t="e">
        <f>#REF!+#REF!</f>
        <v>#REF!</v>
      </c>
      <c r="Z80" s="979"/>
      <c r="AA80" s="977" t="e">
        <f>#REF!</f>
        <v>#REF!</v>
      </c>
      <c r="AB80" s="977" t="e">
        <f t="shared" si="4"/>
        <v>#REF!</v>
      </c>
      <c r="AC80" s="977" t="e">
        <f>#REF!+#REF!</f>
        <v>#REF!</v>
      </c>
      <c r="AD80" s="977">
        <f t="shared" si="5"/>
        <v>2120</v>
      </c>
      <c r="AE80" s="634"/>
    </row>
    <row r="81" spans="1:31" s="629" customFormat="1" ht="18" customHeight="1">
      <c r="A81" s="664" t="s">
        <v>2846</v>
      </c>
      <c r="B81" s="510">
        <f t="shared" si="6"/>
        <v>43</v>
      </c>
      <c r="C81" s="980">
        <f>+NOMINA!C85</f>
        <v>10908510</v>
      </c>
      <c r="D81" s="981" t="str">
        <f>+NOMINA!D85</f>
        <v>Castro de Vielma Yanira Rosa</v>
      </c>
      <c r="E81" s="978" t="s">
        <v>4622</v>
      </c>
      <c r="F81" s="982">
        <v>27081</v>
      </c>
      <c r="G81" s="978" t="s">
        <v>4620</v>
      </c>
      <c r="H81" s="983">
        <f>+NOMINA!H85</f>
        <v>39874</v>
      </c>
      <c r="I81" s="984">
        <f>+NOMINA!I85</f>
        <v>15</v>
      </c>
      <c r="J81" s="985">
        <f>+NOMINA!J85</f>
        <v>6</v>
      </c>
      <c r="K81" s="984">
        <f>+NOMINA!K85</f>
        <v>21</v>
      </c>
      <c r="L81" s="986">
        <f>+NOMINA!CA85</f>
        <v>2120</v>
      </c>
      <c r="M81" s="443" t="e">
        <f>#REF!+#REF!-#REF!</f>
        <v>#REF!</v>
      </c>
      <c r="N81" s="975" t="e">
        <f>ROUND((#REF!+#REF!+#REF!+#REF!+#REF!+#REF!+#REF!+#REF!),2)</f>
        <v>#REF!</v>
      </c>
      <c r="Q81" s="629" t="e">
        <f>SUM(#REF!)</f>
        <v>#REF!</v>
      </c>
      <c r="R81" s="976" t="e">
        <f>#REF!+#REF!-#REF!</f>
        <v>#REF!</v>
      </c>
      <c r="S81" s="977">
        <v>200</v>
      </c>
      <c r="T81" s="976" t="e">
        <f>#REF!+#REF!</f>
        <v>#REF!</v>
      </c>
      <c r="U81" s="977" t="e">
        <f>#REF!</f>
        <v>#REF!</v>
      </c>
      <c r="V81" s="978">
        <v>0</v>
      </c>
      <c r="W81" s="977" t="e">
        <f>#REF!</f>
        <v>#REF!</v>
      </c>
      <c r="X81" s="979" t="e">
        <f>#REF!+#REF!</f>
        <v>#REF!</v>
      </c>
      <c r="Y81" s="979" t="e">
        <f>#REF!+#REF!</f>
        <v>#REF!</v>
      </c>
      <c r="Z81" s="979"/>
      <c r="AA81" s="977" t="e">
        <f>#REF!</f>
        <v>#REF!</v>
      </c>
      <c r="AB81" s="977" t="e">
        <f t="shared" si="4"/>
        <v>#REF!</v>
      </c>
      <c r="AC81" s="977" t="e">
        <f>#REF!+#REF!</f>
        <v>#REF!</v>
      </c>
      <c r="AD81" s="977">
        <f t="shared" si="5"/>
        <v>2120</v>
      </c>
      <c r="AE81" s="634"/>
    </row>
    <row r="82" spans="1:31" s="629" customFormat="1" ht="18" customHeight="1">
      <c r="A82" s="664" t="s">
        <v>2846</v>
      </c>
      <c r="B82" s="510">
        <f t="shared" si="6"/>
        <v>44</v>
      </c>
      <c r="C82" s="980">
        <f>+NOMINA!C86</f>
        <v>10909245</v>
      </c>
      <c r="D82" s="981" t="str">
        <f>+NOMINA!D86</f>
        <v>Delduca Moreno Luisa</v>
      </c>
      <c r="E82" s="978" t="s">
        <v>4622</v>
      </c>
      <c r="F82" s="982">
        <v>27081</v>
      </c>
      <c r="G82" s="978" t="s">
        <v>4620</v>
      </c>
      <c r="H82" s="983">
        <f>+NOMINA!H86</f>
        <v>36054</v>
      </c>
      <c r="I82" s="984">
        <f>+NOMINA!I86</f>
        <v>26</v>
      </c>
      <c r="J82" s="985">
        <f>+NOMINA!J86</f>
        <v>0</v>
      </c>
      <c r="K82" s="984">
        <f>+NOMINA!K86</f>
        <v>26</v>
      </c>
      <c r="L82" s="986">
        <f>+NOMINA!CA86</f>
        <v>2120</v>
      </c>
      <c r="M82" s="443" t="e">
        <f>#REF!+#REF!-#REF!</f>
        <v>#REF!</v>
      </c>
      <c r="N82" s="975" t="e">
        <f>ROUND((#REF!+#REF!+#REF!+#REF!+#REF!+#REF!+#REF!+#REF!),2)</f>
        <v>#REF!</v>
      </c>
      <c r="Q82" s="629" t="e">
        <f>SUM(#REF!)</f>
        <v>#REF!</v>
      </c>
      <c r="R82" s="976" t="e">
        <f>#REF!+#REF!-#REF!</f>
        <v>#REF!</v>
      </c>
      <c r="S82" s="977">
        <v>200</v>
      </c>
      <c r="T82" s="976" t="e">
        <f>#REF!+#REF!</f>
        <v>#REF!</v>
      </c>
      <c r="U82" s="977" t="e">
        <f>#REF!</f>
        <v>#REF!</v>
      </c>
      <c r="V82" s="978">
        <v>0</v>
      </c>
      <c r="W82" s="977" t="e">
        <f>#REF!</f>
        <v>#REF!</v>
      </c>
      <c r="X82" s="979" t="e">
        <f>#REF!+#REF!</f>
        <v>#REF!</v>
      </c>
      <c r="Y82" s="979" t="e">
        <f>#REF!+#REF!</f>
        <v>#REF!</v>
      </c>
      <c r="Z82" s="979"/>
      <c r="AA82" s="977" t="e">
        <f>#REF!</f>
        <v>#REF!</v>
      </c>
      <c r="AB82" s="977" t="e">
        <f t="shared" si="4"/>
        <v>#REF!</v>
      </c>
      <c r="AC82" s="977" t="e">
        <f>#REF!+#REF!</f>
        <v>#REF!</v>
      </c>
      <c r="AD82" s="977">
        <f t="shared" si="5"/>
        <v>2120</v>
      </c>
      <c r="AE82" s="634"/>
    </row>
    <row r="83" spans="1:31" s="629" customFormat="1" ht="18" customHeight="1">
      <c r="A83" s="664" t="s">
        <v>2846</v>
      </c>
      <c r="B83" s="510">
        <f t="shared" si="6"/>
        <v>45</v>
      </c>
      <c r="C83" s="980">
        <f>+NOMINA!C87</f>
        <v>10910698</v>
      </c>
      <c r="D83" s="981" t="str">
        <f>+NOMINA!D87</f>
        <v>Rangel Briceño Marcial Segundo</v>
      </c>
      <c r="E83" s="978" t="s">
        <v>4622</v>
      </c>
      <c r="F83" s="982">
        <v>27081</v>
      </c>
      <c r="G83" s="978" t="s">
        <v>4620</v>
      </c>
      <c r="H83" s="983">
        <f>+NOMINA!H87</f>
        <v>43891</v>
      </c>
      <c r="I83" s="984">
        <f>+NOMINA!I87</f>
        <v>4</v>
      </c>
      <c r="J83" s="985">
        <f>+NOMINA!J87</f>
        <v>0</v>
      </c>
      <c r="K83" s="984">
        <f>+NOMINA!K87</f>
        <v>4</v>
      </c>
      <c r="L83" s="986">
        <f>+NOMINA!CA87</f>
        <v>2120</v>
      </c>
      <c r="M83" s="443" t="e">
        <f>#REF!+#REF!-#REF!</f>
        <v>#REF!</v>
      </c>
      <c r="N83" s="975" t="e">
        <f>ROUND((#REF!+#REF!+#REF!+#REF!+#REF!+#REF!+#REF!+#REF!),2)</f>
        <v>#REF!</v>
      </c>
      <c r="Q83" s="629" t="e">
        <f>SUM(#REF!)</f>
        <v>#REF!</v>
      </c>
      <c r="R83" s="976" t="e">
        <f>#REF!+#REF!-#REF!</f>
        <v>#REF!</v>
      </c>
      <c r="S83" s="977">
        <v>200</v>
      </c>
      <c r="T83" s="976" t="e">
        <f>#REF!+#REF!</f>
        <v>#REF!</v>
      </c>
      <c r="U83" s="977" t="e">
        <f>#REF!</f>
        <v>#REF!</v>
      </c>
      <c r="V83" s="978">
        <v>0</v>
      </c>
      <c r="W83" s="977" t="e">
        <f>#REF!</f>
        <v>#REF!</v>
      </c>
      <c r="X83" s="979" t="e">
        <f>#REF!+#REF!</f>
        <v>#REF!</v>
      </c>
      <c r="Y83" s="979" t="e">
        <f>#REF!+#REF!</f>
        <v>#REF!</v>
      </c>
      <c r="Z83" s="979"/>
      <c r="AA83" s="977" t="e">
        <f>#REF!</f>
        <v>#REF!</v>
      </c>
      <c r="AB83" s="977" t="e">
        <f t="shared" si="4"/>
        <v>#REF!</v>
      </c>
      <c r="AC83" s="977" t="e">
        <f>#REF!+#REF!</f>
        <v>#REF!</v>
      </c>
      <c r="AD83" s="977">
        <f t="shared" si="5"/>
        <v>2120</v>
      </c>
      <c r="AE83" s="634"/>
    </row>
    <row r="84" spans="1:31" s="629" customFormat="1" ht="18" customHeight="1">
      <c r="A84" s="664" t="s">
        <v>2846</v>
      </c>
      <c r="B84" s="510">
        <f t="shared" si="6"/>
        <v>46</v>
      </c>
      <c r="C84" s="980">
        <f>+NOMINA!C88</f>
        <v>10912595</v>
      </c>
      <c r="D84" s="981" t="str">
        <f>+NOMINA!D88</f>
        <v>Delfin Bustos Jose Hercilio</v>
      </c>
      <c r="E84" s="978" t="s">
        <v>4622</v>
      </c>
      <c r="F84" s="982">
        <v>27081</v>
      </c>
      <c r="G84" s="978" t="s">
        <v>4620</v>
      </c>
      <c r="H84" s="983">
        <f>+NOMINA!H88</f>
        <v>36039</v>
      </c>
      <c r="I84" s="984">
        <f>+NOMINA!I88</f>
        <v>26</v>
      </c>
      <c r="J84" s="985">
        <f>+NOMINA!J88</f>
        <v>0</v>
      </c>
      <c r="K84" s="984">
        <f>+NOMINA!K88</f>
        <v>26</v>
      </c>
      <c r="L84" s="986">
        <f>+NOMINA!CA88</f>
        <v>0</v>
      </c>
      <c r="M84" s="443" t="e">
        <f>#REF!+#REF!-#REF!</f>
        <v>#REF!</v>
      </c>
      <c r="N84" s="975" t="e">
        <f>ROUND((#REF!+#REF!+#REF!+#REF!+#REF!+#REF!+#REF!+#REF!),2)</f>
        <v>#REF!</v>
      </c>
      <c r="Q84" s="629" t="e">
        <f>SUM(#REF!)</f>
        <v>#REF!</v>
      </c>
      <c r="R84" s="976" t="e">
        <f>#REF!+#REF!-#REF!</f>
        <v>#REF!</v>
      </c>
      <c r="S84" s="977">
        <v>200</v>
      </c>
      <c r="T84" s="976" t="e">
        <f>#REF!+#REF!</f>
        <v>#REF!</v>
      </c>
      <c r="U84" s="977" t="e">
        <f>#REF!</f>
        <v>#REF!</v>
      </c>
      <c r="V84" s="978">
        <v>0</v>
      </c>
      <c r="W84" s="977" t="e">
        <f>#REF!</f>
        <v>#REF!</v>
      </c>
      <c r="X84" s="979" t="e">
        <f>#REF!+#REF!</f>
        <v>#REF!</v>
      </c>
      <c r="Y84" s="979" t="e">
        <f>#REF!+#REF!</f>
        <v>#REF!</v>
      </c>
      <c r="Z84" s="979"/>
      <c r="AA84" s="977" t="e">
        <f>#REF!</f>
        <v>#REF!</v>
      </c>
      <c r="AB84" s="977" t="e">
        <f t="shared" si="4"/>
        <v>#REF!</v>
      </c>
      <c r="AC84" s="977" t="e">
        <f>#REF!+#REF!</f>
        <v>#REF!</v>
      </c>
      <c r="AD84" s="977">
        <f t="shared" si="5"/>
        <v>0</v>
      </c>
      <c r="AE84" s="634"/>
    </row>
    <row r="85" spans="1:31" s="629" customFormat="1" ht="18" customHeight="1">
      <c r="A85" s="664" t="s">
        <v>2846</v>
      </c>
      <c r="B85" s="510">
        <f t="shared" si="6"/>
        <v>47</v>
      </c>
      <c r="C85" s="980">
        <f>+NOMINA!C89</f>
        <v>10913178</v>
      </c>
      <c r="D85" s="981" t="str">
        <f>+NOMINA!D89</f>
        <v>Garcia Moreno Iris Josefina</v>
      </c>
      <c r="E85" s="978" t="s">
        <v>4622</v>
      </c>
      <c r="F85" s="982">
        <v>27081</v>
      </c>
      <c r="G85" s="978" t="s">
        <v>4620</v>
      </c>
      <c r="H85" s="983">
        <f>+NOMINA!H89</f>
        <v>44805</v>
      </c>
      <c r="I85" s="984">
        <f>+NOMINA!I89</f>
        <v>2</v>
      </c>
      <c r="J85" s="985">
        <f>+NOMINA!J89</f>
        <v>9</v>
      </c>
      <c r="K85" s="984">
        <f>+NOMINA!K89</f>
        <v>11</v>
      </c>
      <c r="L85" s="986">
        <f>+NOMINA!CA89</f>
        <v>2120</v>
      </c>
      <c r="M85" s="443" t="e">
        <f>#REF!+#REF!-#REF!</f>
        <v>#REF!</v>
      </c>
      <c r="N85" s="975" t="e">
        <f>ROUND((#REF!+#REF!+#REF!+#REF!+#REF!+#REF!+#REF!+#REF!),2)</f>
        <v>#REF!</v>
      </c>
      <c r="Q85" s="629" t="e">
        <f>SUM(#REF!)</f>
        <v>#REF!</v>
      </c>
      <c r="R85" s="976" t="e">
        <f>#REF!+#REF!-#REF!</f>
        <v>#REF!</v>
      </c>
      <c r="S85" s="977">
        <v>200</v>
      </c>
      <c r="T85" s="976" t="e">
        <f>#REF!+#REF!</f>
        <v>#REF!</v>
      </c>
      <c r="U85" s="977" t="e">
        <f>#REF!</f>
        <v>#REF!</v>
      </c>
      <c r="V85" s="978">
        <v>0</v>
      </c>
      <c r="W85" s="977" t="e">
        <f>#REF!</f>
        <v>#REF!</v>
      </c>
      <c r="X85" s="979" t="e">
        <f>#REF!+#REF!</f>
        <v>#REF!</v>
      </c>
      <c r="Y85" s="979" t="e">
        <f>#REF!+#REF!</f>
        <v>#REF!</v>
      </c>
      <c r="Z85" s="979"/>
      <c r="AA85" s="977" t="e">
        <f>#REF!</f>
        <v>#REF!</v>
      </c>
      <c r="AB85" s="977" t="e">
        <f t="shared" si="4"/>
        <v>#REF!</v>
      </c>
      <c r="AC85" s="977" t="e">
        <f>#REF!+#REF!</f>
        <v>#REF!</v>
      </c>
      <c r="AD85" s="977">
        <f t="shared" si="5"/>
        <v>2120</v>
      </c>
      <c r="AE85" s="634"/>
    </row>
    <row r="86" spans="1:31" s="629" customFormat="1" ht="18" customHeight="1">
      <c r="A86" s="664" t="s">
        <v>2846</v>
      </c>
      <c r="B86" s="510">
        <f t="shared" si="6"/>
        <v>48</v>
      </c>
      <c r="C86" s="980">
        <f>+NOMINA!C90</f>
        <v>10913637</v>
      </c>
      <c r="D86" s="981" t="str">
        <f>+NOMINA!D90</f>
        <v>Angarita Hernandez Ana Del Carmen</v>
      </c>
      <c r="E86" s="978" t="s">
        <v>4622</v>
      </c>
      <c r="F86" s="982">
        <v>27081</v>
      </c>
      <c r="G86" s="978" t="s">
        <v>4620</v>
      </c>
      <c r="H86" s="983">
        <f>+NOMINA!H90</f>
        <v>40664</v>
      </c>
      <c r="I86" s="984">
        <f>+NOMINA!I90</f>
        <v>13</v>
      </c>
      <c r="J86" s="985">
        <f>+NOMINA!J90</f>
        <v>0</v>
      </c>
      <c r="K86" s="984">
        <f>+NOMINA!K90</f>
        <v>13</v>
      </c>
      <c r="L86" s="986">
        <f>+NOMINA!CA90</f>
        <v>2120</v>
      </c>
      <c r="M86" s="443" t="e">
        <f>#REF!+#REF!-#REF!</f>
        <v>#REF!</v>
      </c>
      <c r="N86" s="975" t="e">
        <f>ROUND((#REF!+#REF!+#REF!+#REF!+#REF!+#REF!+#REF!+#REF!),2)</f>
        <v>#REF!</v>
      </c>
      <c r="Q86" s="629" t="e">
        <f>SUM(#REF!)</f>
        <v>#REF!</v>
      </c>
      <c r="R86" s="976" t="e">
        <f>#REF!+#REF!-#REF!</f>
        <v>#REF!</v>
      </c>
      <c r="S86" s="977">
        <v>200</v>
      </c>
      <c r="T86" s="976" t="e">
        <f>#REF!+#REF!</f>
        <v>#REF!</v>
      </c>
      <c r="U86" s="977" t="e">
        <f>#REF!</f>
        <v>#REF!</v>
      </c>
      <c r="V86" s="978">
        <v>0</v>
      </c>
      <c r="W86" s="977" t="e">
        <f>#REF!</f>
        <v>#REF!</v>
      </c>
      <c r="X86" s="979" t="e">
        <f>#REF!+#REF!</f>
        <v>#REF!</v>
      </c>
      <c r="Y86" s="979" t="e">
        <f>#REF!+#REF!</f>
        <v>#REF!</v>
      </c>
      <c r="Z86" s="979"/>
      <c r="AA86" s="977" t="e">
        <f>#REF!</f>
        <v>#REF!</v>
      </c>
      <c r="AB86" s="977" t="e">
        <f t="shared" si="4"/>
        <v>#REF!</v>
      </c>
      <c r="AC86" s="977" t="e">
        <f>#REF!+#REF!</f>
        <v>#REF!</v>
      </c>
      <c r="AD86" s="977">
        <f t="shared" si="5"/>
        <v>2120</v>
      </c>
      <c r="AE86" s="634"/>
    </row>
    <row r="87" spans="1:31" s="629" customFormat="1" ht="18" customHeight="1">
      <c r="A87" s="664" t="s">
        <v>2846</v>
      </c>
      <c r="B87" s="510">
        <f t="shared" si="6"/>
        <v>49</v>
      </c>
      <c r="C87" s="980">
        <f>+NOMINA!C91</f>
        <v>10915223</v>
      </c>
      <c r="D87" s="981" t="str">
        <f>+NOMINA!D91</f>
        <v>Contreras Rojo Gerardo Alexander</v>
      </c>
      <c r="E87" s="978" t="s">
        <v>4622</v>
      </c>
      <c r="F87" s="982">
        <v>27081</v>
      </c>
      <c r="G87" s="978" t="s">
        <v>4620</v>
      </c>
      <c r="H87" s="983">
        <f>+NOMINA!H91</f>
        <v>35339</v>
      </c>
      <c r="I87" s="984">
        <f>+NOMINA!I91</f>
        <v>28</v>
      </c>
      <c r="J87" s="985">
        <f>+NOMINA!J91</f>
        <v>0</v>
      </c>
      <c r="K87" s="984">
        <f>+NOMINA!K91</f>
        <v>28</v>
      </c>
      <c r="L87" s="986">
        <f>+NOMINA!CA91</f>
        <v>2120</v>
      </c>
      <c r="M87" s="443" t="e">
        <f>#REF!+#REF!-#REF!</f>
        <v>#REF!</v>
      </c>
      <c r="N87" s="975" t="e">
        <f>ROUND((#REF!+#REF!+#REF!+#REF!+#REF!+#REF!+#REF!+#REF!),2)</f>
        <v>#REF!</v>
      </c>
      <c r="Q87" s="629" t="e">
        <f>SUM(#REF!)</f>
        <v>#REF!</v>
      </c>
      <c r="R87" s="976" t="e">
        <f>#REF!+#REF!-#REF!</f>
        <v>#REF!</v>
      </c>
      <c r="S87" s="977">
        <v>200</v>
      </c>
      <c r="T87" s="976" t="e">
        <f>#REF!+#REF!</f>
        <v>#REF!</v>
      </c>
      <c r="U87" s="977" t="e">
        <f>#REF!</f>
        <v>#REF!</v>
      </c>
      <c r="V87" s="978">
        <v>0</v>
      </c>
      <c r="W87" s="977" t="e">
        <f>#REF!</f>
        <v>#REF!</v>
      </c>
      <c r="X87" s="979" t="e">
        <f>#REF!+#REF!</f>
        <v>#REF!</v>
      </c>
      <c r="Y87" s="979" t="e">
        <f>#REF!+#REF!</f>
        <v>#REF!</v>
      </c>
      <c r="Z87" s="979"/>
      <c r="AA87" s="977" t="e">
        <f>#REF!</f>
        <v>#REF!</v>
      </c>
      <c r="AB87" s="977" t="e">
        <f t="shared" si="4"/>
        <v>#REF!</v>
      </c>
      <c r="AC87" s="977" t="e">
        <f>#REF!+#REF!</f>
        <v>#REF!</v>
      </c>
      <c r="AD87" s="977">
        <f t="shared" si="5"/>
        <v>2120</v>
      </c>
      <c r="AE87" s="634"/>
    </row>
    <row r="88" spans="1:31" s="629" customFormat="1" ht="18" customHeight="1">
      <c r="A88" s="664" t="s">
        <v>2846</v>
      </c>
      <c r="B88" s="510">
        <f t="shared" si="6"/>
        <v>50</v>
      </c>
      <c r="C88" s="980">
        <f>+NOMINA!C92</f>
        <v>10915384</v>
      </c>
      <c r="D88" s="981" t="str">
        <f>+NOMINA!D92</f>
        <v>Rojas Hernandez Morela Del Carmen</v>
      </c>
      <c r="E88" s="978" t="s">
        <v>4622</v>
      </c>
      <c r="F88" s="982">
        <v>27081</v>
      </c>
      <c r="G88" s="978" t="s">
        <v>4620</v>
      </c>
      <c r="H88" s="983">
        <f>+NOMINA!H92</f>
        <v>43147</v>
      </c>
      <c r="I88" s="984">
        <f>+NOMINA!I92</f>
        <v>6</v>
      </c>
      <c r="J88" s="985">
        <f>+NOMINA!J92</f>
        <v>0</v>
      </c>
      <c r="K88" s="984">
        <f>+NOMINA!K92</f>
        <v>6</v>
      </c>
      <c r="L88" s="986">
        <f>+NOMINA!CA92</f>
        <v>2120</v>
      </c>
      <c r="M88" s="443" t="e">
        <f>#REF!+#REF!-#REF!</f>
        <v>#REF!</v>
      </c>
      <c r="N88" s="975" t="e">
        <f>ROUND((#REF!+#REF!+#REF!+#REF!+#REF!+#REF!+#REF!+#REF!),2)</f>
        <v>#REF!</v>
      </c>
      <c r="Q88" s="629" t="e">
        <f>SUM(#REF!)</f>
        <v>#REF!</v>
      </c>
      <c r="R88" s="976" t="e">
        <f>#REF!+#REF!-#REF!</f>
        <v>#REF!</v>
      </c>
      <c r="S88" s="977">
        <v>200</v>
      </c>
      <c r="T88" s="976" t="e">
        <f>#REF!+#REF!</f>
        <v>#REF!</v>
      </c>
      <c r="U88" s="977" t="e">
        <f>#REF!</f>
        <v>#REF!</v>
      </c>
      <c r="V88" s="978">
        <v>0</v>
      </c>
      <c r="W88" s="977" t="e">
        <f>#REF!</f>
        <v>#REF!</v>
      </c>
      <c r="X88" s="979" t="e">
        <f>#REF!+#REF!</f>
        <v>#REF!</v>
      </c>
      <c r="Y88" s="979" t="e">
        <f>#REF!+#REF!</f>
        <v>#REF!</v>
      </c>
      <c r="Z88" s="979"/>
      <c r="AA88" s="977" t="e">
        <f>#REF!</f>
        <v>#REF!</v>
      </c>
      <c r="AB88" s="977" t="e">
        <f t="shared" si="4"/>
        <v>#REF!</v>
      </c>
      <c r="AC88" s="977" t="e">
        <f>#REF!+#REF!</f>
        <v>#REF!</v>
      </c>
      <c r="AD88" s="977">
        <f t="shared" si="5"/>
        <v>2120</v>
      </c>
      <c r="AE88" s="634"/>
    </row>
    <row r="89" spans="1:31" s="629" customFormat="1" ht="18" customHeight="1">
      <c r="A89" s="664" t="s">
        <v>2846</v>
      </c>
      <c r="B89" s="510">
        <f t="shared" si="6"/>
        <v>51</v>
      </c>
      <c r="C89" s="980">
        <f>+NOMINA!C93</f>
        <v>10915597</v>
      </c>
      <c r="D89" s="981" t="str">
        <f>+NOMINA!D93</f>
        <v>Carrillo Altuve Maria Mercedes</v>
      </c>
      <c r="E89" s="978" t="s">
        <v>4622</v>
      </c>
      <c r="F89" s="982">
        <v>27081</v>
      </c>
      <c r="G89" s="978" t="s">
        <v>4620</v>
      </c>
      <c r="H89" s="983">
        <f>+NOMINA!H93</f>
        <v>44501</v>
      </c>
      <c r="I89" s="984">
        <f>+NOMINA!I93</f>
        <v>3</v>
      </c>
      <c r="J89" s="985">
        <f>+NOMINA!J93</f>
        <v>0</v>
      </c>
      <c r="K89" s="984">
        <f>+NOMINA!K93</f>
        <v>3</v>
      </c>
      <c r="L89" s="986">
        <f>+NOMINA!CA93</f>
        <v>2120</v>
      </c>
      <c r="M89" s="443" t="e">
        <f>#REF!+#REF!-#REF!</f>
        <v>#REF!</v>
      </c>
      <c r="N89" s="975" t="e">
        <f>ROUND((#REF!+#REF!+#REF!+#REF!+#REF!+#REF!+#REF!+#REF!),2)</f>
        <v>#REF!</v>
      </c>
      <c r="Q89" s="629" t="e">
        <f>SUM(#REF!)</f>
        <v>#REF!</v>
      </c>
      <c r="R89" s="976" t="e">
        <f>#REF!+#REF!-#REF!</f>
        <v>#REF!</v>
      </c>
      <c r="S89" s="977">
        <v>200</v>
      </c>
      <c r="T89" s="976" t="e">
        <f>#REF!+#REF!</f>
        <v>#REF!</v>
      </c>
      <c r="U89" s="977" t="e">
        <f>#REF!</f>
        <v>#REF!</v>
      </c>
      <c r="V89" s="978">
        <v>0</v>
      </c>
      <c r="W89" s="977" t="e">
        <f>#REF!</f>
        <v>#REF!</v>
      </c>
      <c r="X89" s="979" t="e">
        <f>#REF!+#REF!</f>
        <v>#REF!</v>
      </c>
      <c r="Y89" s="979" t="e">
        <f>#REF!+#REF!</f>
        <v>#REF!</v>
      </c>
      <c r="Z89" s="979"/>
      <c r="AA89" s="977" t="e">
        <f>#REF!</f>
        <v>#REF!</v>
      </c>
      <c r="AB89" s="977" t="e">
        <f t="shared" si="4"/>
        <v>#REF!</v>
      </c>
      <c r="AC89" s="977" t="e">
        <f>#REF!+#REF!</f>
        <v>#REF!</v>
      </c>
      <c r="AD89" s="977">
        <f t="shared" si="5"/>
        <v>2120</v>
      </c>
      <c r="AE89" s="634"/>
    </row>
    <row r="90" spans="1:31" s="629" customFormat="1" ht="18" customHeight="1">
      <c r="A90" s="664" t="s">
        <v>2846</v>
      </c>
      <c r="B90" s="510">
        <f t="shared" si="6"/>
        <v>52</v>
      </c>
      <c r="C90" s="980">
        <f>+NOMINA!C94</f>
        <v>11128954</v>
      </c>
      <c r="D90" s="981" t="str">
        <f>+NOMINA!D94</f>
        <v>Soto Lopez Rafael Maria</v>
      </c>
      <c r="E90" s="978" t="s">
        <v>4622</v>
      </c>
      <c r="F90" s="982">
        <v>27081</v>
      </c>
      <c r="G90" s="978" t="s">
        <v>4620</v>
      </c>
      <c r="H90" s="983">
        <f>+NOMINA!H94</f>
        <v>45170</v>
      </c>
      <c r="I90" s="984">
        <f>+NOMINA!I94</f>
        <v>1</v>
      </c>
      <c r="J90" s="985">
        <f>+NOMINA!J94</f>
        <v>23</v>
      </c>
      <c r="K90" s="984">
        <f>+NOMINA!K94</f>
        <v>24</v>
      </c>
      <c r="L90" s="986">
        <f>+NOMINA!CA94</f>
        <v>2120</v>
      </c>
      <c r="M90" s="443" t="e">
        <f>#REF!+#REF!-#REF!</f>
        <v>#REF!</v>
      </c>
      <c r="N90" s="975" t="e">
        <f>ROUND((#REF!+#REF!+#REF!+#REF!+#REF!+#REF!+#REF!+#REF!),2)</f>
        <v>#REF!</v>
      </c>
      <c r="Q90" s="629" t="e">
        <f>SUM(#REF!)</f>
        <v>#REF!</v>
      </c>
      <c r="R90" s="976" t="e">
        <f>#REF!+#REF!-#REF!</f>
        <v>#REF!</v>
      </c>
      <c r="S90" s="977">
        <v>200</v>
      </c>
      <c r="T90" s="976" t="e">
        <f>#REF!+#REF!</f>
        <v>#REF!</v>
      </c>
      <c r="U90" s="977" t="e">
        <f>#REF!</f>
        <v>#REF!</v>
      </c>
      <c r="V90" s="978">
        <v>0</v>
      </c>
      <c r="W90" s="977" t="e">
        <f>#REF!</f>
        <v>#REF!</v>
      </c>
      <c r="X90" s="979" t="e">
        <f>#REF!+#REF!</f>
        <v>#REF!</v>
      </c>
      <c r="Y90" s="979" t="e">
        <f>#REF!+#REF!</f>
        <v>#REF!</v>
      </c>
      <c r="Z90" s="979"/>
      <c r="AA90" s="977" t="e">
        <f>#REF!</f>
        <v>#REF!</v>
      </c>
      <c r="AB90" s="977" t="e">
        <f t="shared" si="4"/>
        <v>#REF!</v>
      </c>
      <c r="AC90" s="977" t="e">
        <f>#REF!+#REF!</f>
        <v>#REF!</v>
      </c>
      <c r="AD90" s="977">
        <f t="shared" si="5"/>
        <v>2120</v>
      </c>
      <c r="AE90" s="634"/>
    </row>
    <row r="91" spans="1:31" s="629" customFormat="1" ht="18" customHeight="1">
      <c r="A91" s="664" t="s">
        <v>2846</v>
      </c>
      <c r="B91" s="510">
        <f t="shared" si="6"/>
        <v>53</v>
      </c>
      <c r="C91" s="980">
        <f>+NOMINA!C95</f>
        <v>11132900</v>
      </c>
      <c r="D91" s="981" t="str">
        <f>+NOMINA!D95</f>
        <v>Morillo Valero Ender Ramon</v>
      </c>
      <c r="E91" s="978" t="s">
        <v>4622</v>
      </c>
      <c r="F91" s="982">
        <v>27081</v>
      </c>
      <c r="G91" s="978" t="s">
        <v>4620</v>
      </c>
      <c r="H91" s="983">
        <f>+NOMINA!H95</f>
        <v>44866</v>
      </c>
      <c r="I91" s="984">
        <f>+NOMINA!I95</f>
        <v>2</v>
      </c>
      <c r="J91" s="985">
        <f>+NOMINA!J95</f>
        <v>0</v>
      </c>
      <c r="K91" s="984">
        <f>+NOMINA!K95</f>
        <v>2</v>
      </c>
      <c r="L91" s="986">
        <f>+NOMINA!CA95</f>
        <v>2120</v>
      </c>
      <c r="M91" s="443" t="e">
        <f>#REF!+#REF!-#REF!</f>
        <v>#REF!</v>
      </c>
      <c r="N91" s="975" t="e">
        <f>ROUND((#REF!+#REF!+#REF!+#REF!+#REF!+#REF!+#REF!+#REF!),2)</f>
        <v>#REF!</v>
      </c>
      <c r="Q91" s="629" t="e">
        <f>SUM(#REF!)</f>
        <v>#REF!</v>
      </c>
      <c r="R91" s="976" t="e">
        <f>#REF!+#REF!-#REF!</f>
        <v>#REF!</v>
      </c>
      <c r="S91" s="977">
        <v>200</v>
      </c>
      <c r="T91" s="976" t="e">
        <f>#REF!+#REF!</f>
        <v>#REF!</v>
      </c>
      <c r="U91" s="977" t="e">
        <f>#REF!</f>
        <v>#REF!</v>
      </c>
      <c r="V91" s="978">
        <v>0</v>
      </c>
      <c r="W91" s="977" t="e">
        <f>#REF!</f>
        <v>#REF!</v>
      </c>
      <c r="X91" s="979" t="e">
        <f>#REF!+#REF!</f>
        <v>#REF!</v>
      </c>
      <c r="Y91" s="979" t="e">
        <f>#REF!+#REF!</f>
        <v>#REF!</v>
      </c>
      <c r="Z91" s="979"/>
      <c r="AA91" s="977" t="e">
        <f>#REF!</f>
        <v>#REF!</v>
      </c>
      <c r="AB91" s="977" t="e">
        <f t="shared" si="4"/>
        <v>#REF!</v>
      </c>
      <c r="AC91" s="977" t="e">
        <f>#REF!+#REF!</f>
        <v>#REF!</v>
      </c>
      <c r="AD91" s="977">
        <f t="shared" si="5"/>
        <v>2120</v>
      </c>
      <c r="AE91" s="634"/>
    </row>
    <row r="92" spans="1:31" s="629" customFormat="1" ht="18" customHeight="1">
      <c r="A92" s="664" t="s">
        <v>2846</v>
      </c>
      <c r="B92" s="510">
        <f t="shared" si="6"/>
        <v>54</v>
      </c>
      <c r="C92" s="980">
        <f>+NOMINA!C96</f>
        <v>11132943</v>
      </c>
      <c r="D92" s="981" t="str">
        <f>+NOMINA!D96</f>
        <v>Materano Delgado Yoleida Josefina</v>
      </c>
      <c r="E92" s="978" t="s">
        <v>4622</v>
      </c>
      <c r="F92" s="982">
        <v>27081</v>
      </c>
      <c r="G92" s="978" t="s">
        <v>4620</v>
      </c>
      <c r="H92" s="983">
        <f>+NOMINA!H96</f>
        <v>39738</v>
      </c>
      <c r="I92" s="984">
        <f>+NOMINA!I96</f>
        <v>16</v>
      </c>
      <c r="J92" s="985">
        <f>+NOMINA!J96</f>
        <v>0</v>
      </c>
      <c r="K92" s="984">
        <f>+NOMINA!K96</f>
        <v>16</v>
      </c>
      <c r="L92" s="986">
        <f>+NOMINA!CA96</f>
        <v>2120</v>
      </c>
      <c r="M92" s="443" t="e">
        <f>#REF!+#REF!-#REF!</f>
        <v>#REF!</v>
      </c>
      <c r="N92" s="975" t="e">
        <f>ROUND((#REF!+#REF!+#REF!+#REF!+#REF!+#REF!+#REF!+#REF!),2)</f>
        <v>#REF!</v>
      </c>
      <c r="Q92" s="629" t="e">
        <f>SUM(#REF!)</f>
        <v>#REF!</v>
      </c>
      <c r="R92" s="976" t="e">
        <f>#REF!+#REF!-#REF!</f>
        <v>#REF!</v>
      </c>
      <c r="S92" s="977">
        <v>200</v>
      </c>
      <c r="T92" s="976" t="e">
        <f>#REF!+#REF!</f>
        <v>#REF!</v>
      </c>
      <c r="U92" s="977" t="e">
        <f>#REF!</f>
        <v>#REF!</v>
      </c>
      <c r="V92" s="978">
        <v>0</v>
      </c>
      <c r="W92" s="977" t="e">
        <f>#REF!</f>
        <v>#REF!</v>
      </c>
      <c r="X92" s="979" t="e">
        <f>#REF!+#REF!</f>
        <v>#REF!</v>
      </c>
      <c r="Y92" s="979" t="e">
        <f>#REF!+#REF!</f>
        <v>#REF!</v>
      </c>
      <c r="Z92" s="979"/>
      <c r="AA92" s="977" t="e">
        <f>#REF!</f>
        <v>#REF!</v>
      </c>
      <c r="AB92" s="977" t="e">
        <f t="shared" si="4"/>
        <v>#REF!</v>
      </c>
      <c r="AC92" s="977" t="e">
        <f>#REF!+#REF!</f>
        <v>#REF!</v>
      </c>
      <c r="AD92" s="977">
        <f t="shared" si="5"/>
        <v>2120</v>
      </c>
      <c r="AE92" s="634"/>
    </row>
    <row r="93" spans="1:31" s="629" customFormat="1" ht="18" customHeight="1">
      <c r="A93" s="664" t="s">
        <v>2846</v>
      </c>
      <c r="B93" s="510">
        <f t="shared" si="6"/>
        <v>55</v>
      </c>
      <c r="C93" s="980">
        <f>+NOMINA!C97</f>
        <v>11132979</v>
      </c>
      <c r="D93" s="981" t="str">
        <f>+NOMINA!D97</f>
        <v>Olivar Santana Maria Valbina</v>
      </c>
      <c r="E93" s="978" t="s">
        <v>4622</v>
      </c>
      <c r="F93" s="982">
        <v>27081</v>
      </c>
      <c r="G93" s="978" t="s">
        <v>4620</v>
      </c>
      <c r="H93" s="983">
        <f>+NOMINA!H97</f>
        <v>44348</v>
      </c>
      <c r="I93" s="984">
        <f>+NOMINA!I97</f>
        <v>3</v>
      </c>
      <c r="J93" s="985">
        <f>+NOMINA!J97</f>
        <v>12</v>
      </c>
      <c r="K93" s="984">
        <f>+NOMINA!K97</f>
        <v>15</v>
      </c>
      <c r="L93" s="986">
        <f>+NOMINA!CA97</f>
        <v>2120</v>
      </c>
      <c r="M93" s="443" t="e">
        <f>#REF!+#REF!-#REF!</f>
        <v>#REF!</v>
      </c>
      <c r="N93" s="975" t="e">
        <f>ROUND((#REF!+#REF!+#REF!+#REF!+#REF!+#REF!+#REF!+#REF!),2)</f>
        <v>#REF!</v>
      </c>
      <c r="Q93" s="629" t="e">
        <f>SUM(#REF!)</f>
        <v>#REF!</v>
      </c>
      <c r="R93" s="976" t="e">
        <f>#REF!+#REF!-#REF!</f>
        <v>#REF!</v>
      </c>
      <c r="S93" s="977">
        <v>200</v>
      </c>
      <c r="T93" s="976" t="e">
        <f>#REF!+#REF!</f>
        <v>#REF!</v>
      </c>
      <c r="U93" s="977" t="e">
        <f>#REF!</f>
        <v>#REF!</v>
      </c>
      <c r="V93" s="978">
        <v>0</v>
      </c>
      <c r="W93" s="977" t="e">
        <f>#REF!</f>
        <v>#REF!</v>
      </c>
      <c r="X93" s="979" t="e">
        <f>#REF!+#REF!</f>
        <v>#REF!</v>
      </c>
      <c r="Y93" s="979" t="e">
        <f>#REF!+#REF!</f>
        <v>#REF!</v>
      </c>
      <c r="Z93" s="979"/>
      <c r="AA93" s="977" t="e">
        <f>#REF!</f>
        <v>#REF!</v>
      </c>
      <c r="AB93" s="977" t="e">
        <f t="shared" ref="AB93:AB156" si="7">SUM(T93:AA93)</f>
        <v>#REF!</v>
      </c>
      <c r="AC93" s="977" t="e">
        <f>#REF!+#REF!</f>
        <v>#REF!</v>
      </c>
      <c r="AD93" s="977">
        <f t="shared" si="5"/>
        <v>2120</v>
      </c>
      <c r="AE93" s="634"/>
    </row>
    <row r="94" spans="1:31" s="629" customFormat="1" ht="18" customHeight="1">
      <c r="A94" s="664" t="s">
        <v>2846</v>
      </c>
      <c r="B94" s="510">
        <f t="shared" si="6"/>
        <v>56</v>
      </c>
      <c r="C94" s="980">
        <f>+NOMINA!C98</f>
        <v>11257247</v>
      </c>
      <c r="D94" s="981" t="str">
        <f>+NOMINA!D98</f>
        <v>Chacin Sanchez Eduard Fabian</v>
      </c>
      <c r="E94" s="978" t="s">
        <v>4622</v>
      </c>
      <c r="F94" s="982">
        <v>27081</v>
      </c>
      <c r="G94" s="978" t="s">
        <v>4620</v>
      </c>
      <c r="H94" s="983">
        <f>+NOMINA!H98</f>
        <v>42492</v>
      </c>
      <c r="I94" s="984">
        <f>+NOMINA!I98</f>
        <v>8</v>
      </c>
      <c r="J94" s="985">
        <f>+NOMINA!J98</f>
        <v>0</v>
      </c>
      <c r="K94" s="984">
        <f>+NOMINA!K98</f>
        <v>8</v>
      </c>
      <c r="L94" s="986">
        <f>+NOMINA!CA98</f>
        <v>2120</v>
      </c>
      <c r="M94" s="443" t="e">
        <f>#REF!+#REF!-#REF!</f>
        <v>#REF!</v>
      </c>
      <c r="N94" s="975" t="e">
        <f>ROUND((#REF!+#REF!+#REF!+#REF!+#REF!+#REF!+#REF!+#REF!),2)</f>
        <v>#REF!</v>
      </c>
      <c r="Q94" s="629" t="e">
        <f>SUM(#REF!)</f>
        <v>#REF!</v>
      </c>
      <c r="R94" s="976" t="e">
        <f>#REF!+#REF!-#REF!</f>
        <v>#REF!</v>
      </c>
      <c r="S94" s="977">
        <v>200</v>
      </c>
      <c r="T94" s="976" t="e">
        <f>#REF!+#REF!</f>
        <v>#REF!</v>
      </c>
      <c r="U94" s="977" t="e">
        <f>#REF!</f>
        <v>#REF!</v>
      </c>
      <c r="V94" s="978">
        <v>0</v>
      </c>
      <c r="W94" s="977" t="e">
        <f>#REF!</f>
        <v>#REF!</v>
      </c>
      <c r="X94" s="979" t="e">
        <f>#REF!+#REF!</f>
        <v>#REF!</v>
      </c>
      <c r="Y94" s="979" t="e">
        <f>#REF!+#REF!</f>
        <v>#REF!</v>
      </c>
      <c r="Z94" s="979"/>
      <c r="AA94" s="977" t="e">
        <f>#REF!</f>
        <v>#REF!</v>
      </c>
      <c r="AB94" s="977" t="e">
        <f t="shared" si="7"/>
        <v>#REF!</v>
      </c>
      <c r="AC94" s="977" t="e">
        <f>#REF!+#REF!</f>
        <v>#REF!</v>
      </c>
      <c r="AD94" s="977">
        <f t="shared" si="5"/>
        <v>2120</v>
      </c>
      <c r="AE94" s="634"/>
    </row>
    <row r="95" spans="1:31" s="629" customFormat="1" ht="18" customHeight="1">
      <c r="A95" s="664" t="s">
        <v>2846</v>
      </c>
      <c r="B95" s="510">
        <f t="shared" si="6"/>
        <v>57</v>
      </c>
      <c r="C95" s="980">
        <f>+NOMINA!C99</f>
        <v>11318142</v>
      </c>
      <c r="D95" s="981" t="str">
        <f>+NOMINA!D99</f>
        <v>Perdomo Rosales Modesto Ramon</v>
      </c>
      <c r="E95" s="978" t="s">
        <v>4622</v>
      </c>
      <c r="F95" s="982">
        <v>27081</v>
      </c>
      <c r="G95" s="978" t="s">
        <v>4620</v>
      </c>
      <c r="H95" s="983">
        <f>+NOMINA!H99</f>
        <v>43983</v>
      </c>
      <c r="I95" s="984">
        <f>+NOMINA!I99</f>
        <v>4</v>
      </c>
      <c r="J95" s="985">
        <f>+NOMINA!J99</f>
        <v>0</v>
      </c>
      <c r="K95" s="984">
        <f>+NOMINA!K99</f>
        <v>4</v>
      </c>
      <c r="L95" s="986">
        <f>+NOMINA!CA99</f>
        <v>2120</v>
      </c>
      <c r="M95" s="443" t="e">
        <f>#REF!+#REF!-#REF!</f>
        <v>#REF!</v>
      </c>
      <c r="N95" s="975" t="e">
        <f>ROUND((#REF!+#REF!+#REF!+#REF!+#REF!+#REF!+#REF!+#REF!),2)</f>
        <v>#REF!</v>
      </c>
      <c r="Q95" s="629" t="e">
        <f>SUM(#REF!)</f>
        <v>#REF!</v>
      </c>
      <c r="R95" s="976" t="e">
        <f>#REF!+#REF!-#REF!</f>
        <v>#REF!</v>
      </c>
      <c r="S95" s="977">
        <v>200</v>
      </c>
      <c r="T95" s="976" t="e">
        <f>#REF!+#REF!</f>
        <v>#REF!</v>
      </c>
      <c r="U95" s="977" t="e">
        <f>#REF!</f>
        <v>#REF!</v>
      </c>
      <c r="V95" s="978">
        <v>0</v>
      </c>
      <c r="W95" s="977" t="e">
        <f>#REF!</f>
        <v>#REF!</v>
      </c>
      <c r="X95" s="979" t="e">
        <f>#REF!+#REF!</f>
        <v>#REF!</v>
      </c>
      <c r="Y95" s="979" t="e">
        <f>#REF!+#REF!</f>
        <v>#REF!</v>
      </c>
      <c r="Z95" s="979"/>
      <c r="AA95" s="977" t="e">
        <f>#REF!</f>
        <v>#REF!</v>
      </c>
      <c r="AB95" s="977" t="e">
        <f t="shared" si="7"/>
        <v>#REF!</v>
      </c>
      <c r="AC95" s="977" t="e">
        <f>#REF!+#REF!</f>
        <v>#REF!</v>
      </c>
      <c r="AD95" s="977">
        <f t="shared" si="5"/>
        <v>2120</v>
      </c>
      <c r="AE95" s="634"/>
    </row>
    <row r="96" spans="1:31" s="629" customFormat="1" ht="18" customHeight="1">
      <c r="A96" s="664" t="s">
        <v>2846</v>
      </c>
      <c r="B96" s="510">
        <f t="shared" si="6"/>
        <v>58</v>
      </c>
      <c r="C96" s="980">
        <f>+NOMINA!C100</f>
        <v>11318697</v>
      </c>
      <c r="D96" s="981" t="str">
        <f>+NOMINA!D100</f>
        <v>Sardi Hernandez Gladis Josefina</v>
      </c>
      <c r="E96" s="978" t="s">
        <v>4622</v>
      </c>
      <c r="F96" s="982">
        <v>27081</v>
      </c>
      <c r="G96" s="978" t="s">
        <v>4620</v>
      </c>
      <c r="H96" s="983">
        <f>+NOMINA!H100</f>
        <v>39539</v>
      </c>
      <c r="I96" s="984">
        <f>+NOMINA!I100</f>
        <v>16</v>
      </c>
      <c r="J96" s="985">
        <f>+NOMINA!J100</f>
        <v>0</v>
      </c>
      <c r="K96" s="984">
        <f>+NOMINA!K100</f>
        <v>16</v>
      </c>
      <c r="L96" s="986">
        <f>+NOMINA!CA100</f>
        <v>0</v>
      </c>
      <c r="M96" s="443" t="e">
        <f>#REF!+#REF!-#REF!</f>
        <v>#REF!</v>
      </c>
      <c r="N96" s="975" t="e">
        <f>ROUND((#REF!+#REF!+#REF!+#REF!+#REF!+#REF!+#REF!+#REF!),2)</f>
        <v>#REF!</v>
      </c>
      <c r="Q96" s="629" t="e">
        <f>SUM(#REF!)</f>
        <v>#REF!</v>
      </c>
      <c r="R96" s="976" t="e">
        <f>#REF!+#REF!-#REF!</f>
        <v>#REF!</v>
      </c>
      <c r="S96" s="977">
        <v>200</v>
      </c>
      <c r="T96" s="976" t="e">
        <f>#REF!+#REF!</f>
        <v>#REF!</v>
      </c>
      <c r="U96" s="977" t="e">
        <f>#REF!</f>
        <v>#REF!</v>
      </c>
      <c r="V96" s="978">
        <v>0</v>
      </c>
      <c r="W96" s="977" t="e">
        <f>#REF!</f>
        <v>#REF!</v>
      </c>
      <c r="X96" s="979" t="e">
        <f>#REF!+#REF!</f>
        <v>#REF!</v>
      </c>
      <c r="Y96" s="979" t="e">
        <f>#REF!+#REF!</f>
        <v>#REF!</v>
      </c>
      <c r="Z96" s="979"/>
      <c r="AA96" s="977" t="e">
        <f>#REF!</f>
        <v>#REF!</v>
      </c>
      <c r="AB96" s="977" t="e">
        <f t="shared" si="7"/>
        <v>#REF!</v>
      </c>
      <c r="AC96" s="977" t="e">
        <f>#REF!+#REF!</f>
        <v>#REF!</v>
      </c>
      <c r="AD96" s="977">
        <f t="shared" si="5"/>
        <v>0</v>
      </c>
      <c r="AE96" s="634"/>
    </row>
    <row r="97" spans="1:31" s="629" customFormat="1" ht="18" customHeight="1">
      <c r="A97" s="664" t="s">
        <v>2846</v>
      </c>
      <c r="B97" s="510">
        <f t="shared" si="6"/>
        <v>59</v>
      </c>
      <c r="C97" s="980">
        <f>+NOMINA!C101</f>
        <v>11319154</v>
      </c>
      <c r="D97" s="981" t="str">
        <f>+NOMINA!D101</f>
        <v>Peña Villegas Lisette Carolina</v>
      </c>
      <c r="E97" s="978" t="s">
        <v>4622</v>
      </c>
      <c r="F97" s="982">
        <v>27081</v>
      </c>
      <c r="G97" s="978" t="s">
        <v>4620</v>
      </c>
      <c r="H97" s="983">
        <f>+NOMINA!H101</f>
        <v>34428</v>
      </c>
      <c r="I97" s="984">
        <f>+NOMINA!I101</f>
        <v>30</v>
      </c>
      <c r="J97" s="985">
        <f>+NOMINA!J101</f>
        <v>0</v>
      </c>
      <c r="K97" s="984">
        <f>+NOMINA!K101</f>
        <v>30</v>
      </c>
      <c r="L97" s="986">
        <f>+NOMINA!CA101</f>
        <v>2120</v>
      </c>
      <c r="M97" s="443" t="e">
        <f>#REF!+#REF!-#REF!</f>
        <v>#REF!</v>
      </c>
      <c r="N97" s="975" t="e">
        <f>ROUND((#REF!+#REF!+#REF!+#REF!+#REF!+#REF!+#REF!+#REF!),2)</f>
        <v>#REF!</v>
      </c>
      <c r="Q97" s="629" t="e">
        <f>SUM(#REF!)</f>
        <v>#REF!</v>
      </c>
      <c r="R97" s="976" t="e">
        <f>#REF!+#REF!-#REF!</f>
        <v>#REF!</v>
      </c>
      <c r="S97" s="977">
        <v>200</v>
      </c>
      <c r="T97" s="976" t="e">
        <f>#REF!+#REF!</f>
        <v>#REF!</v>
      </c>
      <c r="U97" s="977" t="e">
        <f>#REF!</f>
        <v>#REF!</v>
      </c>
      <c r="V97" s="978">
        <v>0</v>
      </c>
      <c r="W97" s="977" t="e">
        <f>#REF!</f>
        <v>#REF!</v>
      </c>
      <c r="X97" s="979" t="e">
        <f>#REF!+#REF!</f>
        <v>#REF!</v>
      </c>
      <c r="Y97" s="979" t="e">
        <f>#REF!+#REF!</f>
        <v>#REF!</v>
      </c>
      <c r="Z97" s="979"/>
      <c r="AA97" s="977" t="e">
        <f>#REF!</f>
        <v>#REF!</v>
      </c>
      <c r="AB97" s="977" t="e">
        <f t="shared" si="7"/>
        <v>#REF!</v>
      </c>
      <c r="AC97" s="977" t="e">
        <f>#REF!+#REF!</f>
        <v>#REF!</v>
      </c>
      <c r="AD97" s="977">
        <f t="shared" si="5"/>
        <v>2120</v>
      </c>
      <c r="AE97" s="634"/>
    </row>
    <row r="98" spans="1:31" s="629" customFormat="1" ht="18" customHeight="1">
      <c r="A98" s="664" t="s">
        <v>2846</v>
      </c>
      <c r="B98" s="510">
        <f t="shared" si="6"/>
        <v>60</v>
      </c>
      <c r="C98" s="980">
        <f>+NOMINA!C102</f>
        <v>11320533</v>
      </c>
      <c r="D98" s="981" t="str">
        <f>+NOMINA!D102</f>
        <v>Suarez Chiquin Yaritza Josefina</v>
      </c>
      <c r="E98" s="978" t="s">
        <v>4622</v>
      </c>
      <c r="F98" s="982">
        <v>27081</v>
      </c>
      <c r="G98" s="978" t="s">
        <v>4620</v>
      </c>
      <c r="H98" s="983">
        <f>+NOMINA!H102</f>
        <v>37629</v>
      </c>
      <c r="I98" s="984">
        <f>+NOMINA!I102</f>
        <v>22</v>
      </c>
      <c r="J98" s="985">
        <f>+NOMINA!J102</f>
        <v>0</v>
      </c>
      <c r="K98" s="984">
        <f>+NOMINA!K102</f>
        <v>22</v>
      </c>
      <c r="L98" s="986">
        <f>+NOMINA!CA102</f>
        <v>0</v>
      </c>
      <c r="M98" s="443" t="e">
        <f>#REF!+#REF!-#REF!</f>
        <v>#REF!</v>
      </c>
      <c r="N98" s="975" t="e">
        <f>ROUND((#REF!+#REF!+#REF!+#REF!+#REF!+#REF!+#REF!+#REF!),2)</f>
        <v>#REF!</v>
      </c>
      <c r="Q98" s="629" t="e">
        <f>SUM(#REF!)</f>
        <v>#REF!</v>
      </c>
      <c r="R98" s="976" t="e">
        <f>#REF!+#REF!-#REF!</f>
        <v>#REF!</v>
      </c>
      <c r="S98" s="977">
        <v>200</v>
      </c>
      <c r="T98" s="976" t="e">
        <f>#REF!+#REF!</f>
        <v>#REF!</v>
      </c>
      <c r="U98" s="977" t="e">
        <f>#REF!</f>
        <v>#REF!</v>
      </c>
      <c r="V98" s="978">
        <v>0</v>
      </c>
      <c r="W98" s="977" t="e">
        <f>#REF!</f>
        <v>#REF!</v>
      </c>
      <c r="X98" s="979" t="e">
        <f>#REF!+#REF!</f>
        <v>#REF!</v>
      </c>
      <c r="Y98" s="979" t="e">
        <f>#REF!+#REF!</f>
        <v>#REF!</v>
      </c>
      <c r="Z98" s="979"/>
      <c r="AA98" s="977" t="e">
        <f>#REF!</f>
        <v>#REF!</v>
      </c>
      <c r="AB98" s="977" t="e">
        <f t="shared" si="7"/>
        <v>#REF!</v>
      </c>
      <c r="AC98" s="977" t="e">
        <f>#REF!+#REF!</f>
        <v>#REF!</v>
      </c>
      <c r="AD98" s="977">
        <f t="shared" si="5"/>
        <v>0</v>
      </c>
      <c r="AE98" s="634"/>
    </row>
    <row r="99" spans="1:31" s="629" customFormat="1" ht="18" customHeight="1">
      <c r="A99" s="664" t="s">
        <v>2846</v>
      </c>
      <c r="B99" s="510">
        <f t="shared" si="6"/>
        <v>61</v>
      </c>
      <c r="C99" s="980">
        <f>+NOMINA!C103</f>
        <v>11322871</v>
      </c>
      <c r="D99" s="981" t="str">
        <f>+NOMINA!D103</f>
        <v>Rivas Albarran Martin Antonio</v>
      </c>
      <c r="E99" s="978" t="s">
        <v>4622</v>
      </c>
      <c r="F99" s="982">
        <v>27081</v>
      </c>
      <c r="G99" s="978" t="s">
        <v>4620</v>
      </c>
      <c r="H99" s="983">
        <f>+NOMINA!H103</f>
        <v>38718</v>
      </c>
      <c r="I99" s="984">
        <f>+NOMINA!I103</f>
        <v>19</v>
      </c>
      <c r="J99" s="985">
        <f>+NOMINA!J103</f>
        <v>0</v>
      </c>
      <c r="K99" s="984">
        <f>+NOMINA!K103</f>
        <v>19</v>
      </c>
      <c r="L99" s="986">
        <f>+NOMINA!CA103</f>
        <v>2120</v>
      </c>
      <c r="M99" s="443" t="e">
        <f>#REF!+#REF!-#REF!</f>
        <v>#REF!</v>
      </c>
      <c r="N99" s="975" t="e">
        <f>ROUND((#REF!+#REF!+#REF!+#REF!+#REF!+#REF!+#REF!+#REF!),2)</f>
        <v>#REF!</v>
      </c>
      <c r="Q99" s="629" t="e">
        <f>SUM(#REF!)</f>
        <v>#REF!</v>
      </c>
      <c r="R99" s="976" t="e">
        <f>#REF!+#REF!-#REF!</f>
        <v>#REF!</v>
      </c>
      <c r="S99" s="977">
        <v>200</v>
      </c>
      <c r="T99" s="976" t="e">
        <f>#REF!+#REF!</f>
        <v>#REF!</v>
      </c>
      <c r="U99" s="977" t="e">
        <f>#REF!</f>
        <v>#REF!</v>
      </c>
      <c r="V99" s="978">
        <v>0</v>
      </c>
      <c r="W99" s="977" t="e">
        <f>#REF!</f>
        <v>#REF!</v>
      </c>
      <c r="X99" s="979" t="e">
        <f>#REF!+#REF!</f>
        <v>#REF!</v>
      </c>
      <c r="Y99" s="979" t="e">
        <f>#REF!+#REF!</f>
        <v>#REF!</v>
      </c>
      <c r="Z99" s="979"/>
      <c r="AA99" s="977" t="e">
        <f>#REF!</f>
        <v>#REF!</v>
      </c>
      <c r="AB99" s="977" t="e">
        <f t="shared" si="7"/>
        <v>#REF!</v>
      </c>
      <c r="AC99" s="977" t="e">
        <f>#REF!+#REF!</f>
        <v>#REF!</v>
      </c>
      <c r="AD99" s="977">
        <f t="shared" si="5"/>
        <v>2120</v>
      </c>
      <c r="AE99" s="634"/>
    </row>
    <row r="100" spans="1:31" s="629" customFormat="1" ht="18" customHeight="1">
      <c r="A100" s="664" t="s">
        <v>2846</v>
      </c>
      <c r="B100" s="510">
        <f t="shared" si="6"/>
        <v>62</v>
      </c>
      <c r="C100" s="980">
        <f>+NOMINA!C104</f>
        <v>11616673</v>
      </c>
      <c r="D100" s="981" t="str">
        <f>+NOMINA!D104</f>
        <v>Perdomo Orlando Jose</v>
      </c>
      <c r="E100" s="978" t="s">
        <v>4622</v>
      </c>
      <c r="F100" s="982">
        <v>27081</v>
      </c>
      <c r="G100" s="978" t="s">
        <v>4620</v>
      </c>
      <c r="H100" s="983">
        <f>+NOMINA!H104</f>
        <v>35066</v>
      </c>
      <c r="I100" s="984">
        <f>+NOMINA!I104</f>
        <v>29</v>
      </c>
      <c r="J100" s="985">
        <f>+NOMINA!J104</f>
        <v>0</v>
      </c>
      <c r="K100" s="984">
        <f>+NOMINA!K104</f>
        <v>29</v>
      </c>
      <c r="L100" s="986">
        <f>+NOMINA!CA104</f>
        <v>2120</v>
      </c>
      <c r="M100" s="443" t="e">
        <f>#REF!+#REF!-#REF!</f>
        <v>#REF!</v>
      </c>
      <c r="N100" s="975" t="e">
        <f>ROUND((#REF!+#REF!+#REF!+#REF!+#REF!+#REF!+#REF!+#REF!),2)</f>
        <v>#REF!</v>
      </c>
      <c r="Q100" s="629" t="e">
        <f>SUM(#REF!)</f>
        <v>#REF!</v>
      </c>
      <c r="R100" s="976" t="e">
        <f>#REF!+#REF!-#REF!</f>
        <v>#REF!</v>
      </c>
      <c r="S100" s="977">
        <v>200</v>
      </c>
      <c r="T100" s="976" t="e">
        <f>#REF!+#REF!</f>
        <v>#REF!</v>
      </c>
      <c r="U100" s="977" t="e">
        <f>#REF!</f>
        <v>#REF!</v>
      </c>
      <c r="V100" s="978">
        <v>0</v>
      </c>
      <c r="W100" s="977" t="e">
        <f>#REF!</f>
        <v>#REF!</v>
      </c>
      <c r="X100" s="979" t="e">
        <f>#REF!+#REF!</f>
        <v>#REF!</v>
      </c>
      <c r="Y100" s="979" t="e">
        <f>#REF!+#REF!</f>
        <v>#REF!</v>
      </c>
      <c r="Z100" s="979"/>
      <c r="AA100" s="977" t="e">
        <f>#REF!</f>
        <v>#REF!</v>
      </c>
      <c r="AB100" s="977" t="e">
        <f t="shared" si="7"/>
        <v>#REF!</v>
      </c>
      <c r="AC100" s="977" t="e">
        <f>#REF!+#REF!</f>
        <v>#REF!</v>
      </c>
      <c r="AD100" s="977">
        <f t="shared" si="5"/>
        <v>2120</v>
      </c>
      <c r="AE100" s="634"/>
    </row>
    <row r="101" spans="1:31" s="629" customFormat="1" ht="18" customHeight="1">
      <c r="A101" s="664" t="s">
        <v>2846</v>
      </c>
      <c r="B101" s="510">
        <f t="shared" si="6"/>
        <v>63</v>
      </c>
      <c r="C101" s="980">
        <f>+NOMINA!C105</f>
        <v>11734553</v>
      </c>
      <c r="D101" s="981" t="str">
        <f>+NOMINA!D105</f>
        <v>Teran Torres Olga del Carmen</v>
      </c>
      <c r="E101" s="978" t="s">
        <v>4622</v>
      </c>
      <c r="F101" s="982">
        <v>27081</v>
      </c>
      <c r="G101" s="978" t="s">
        <v>4620</v>
      </c>
      <c r="H101" s="983">
        <f>+NOMINA!H105</f>
        <v>43206</v>
      </c>
      <c r="I101" s="984">
        <f>+NOMINA!I105</f>
        <v>6</v>
      </c>
      <c r="J101" s="985">
        <f>+NOMINA!J105</f>
        <v>0</v>
      </c>
      <c r="K101" s="984">
        <f>+NOMINA!K105</f>
        <v>6</v>
      </c>
      <c r="L101" s="986">
        <f>+NOMINA!CA105</f>
        <v>2120</v>
      </c>
      <c r="M101" s="443" t="e">
        <f>#REF!+#REF!-#REF!</f>
        <v>#REF!</v>
      </c>
      <c r="N101" s="975" t="e">
        <f>ROUND((#REF!+#REF!+#REF!+#REF!+#REF!+#REF!+#REF!+#REF!),2)</f>
        <v>#REF!</v>
      </c>
      <c r="Q101" s="629" t="e">
        <f>SUM(#REF!)</f>
        <v>#REF!</v>
      </c>
      <c r="R101" s="976" t="e">
        <f>#REF!+#REF!-#REF!</f>
        <v>#REF!</v>
      </c>
      <c r="S101" s="977">
        <v>200</v>
      </c>
      <c r="T101" s="976" t="e">
        <f>#REF!+#REF!</f>
        <v>#REF!</v>
      </c>
      <c r="U101" s="977" t="e">
        <f>#REF!</f>
        <v>#REF!</v>
      </c>
      <c r="V101" s="978">
        <v>0</v>
      </c>
      <c r="W101" s="977" t="e">
        <f>#REF!</f>
        <v>#REF!</v>
      </c>
      <c r="X101" s="979" t="e">
        <f>#REF!+#REF!</f>
        <v>#REF!</v>
      </c>
      <c r="Y101" s="979" t="e">
        <f>#REF!+#REF!</f>
        <v>#REF!</v>
      </c>
      <c r="Z101" s="979"/>
      <c r="AA101" s="977" t="e">
        <f>#REF!</f>
        <v>#REF!</v>
      </c>
      <c r="AB101" s="977" t="e">
        <f t="shared" si="7"/>
        <v>#REF!</v>
      </c>
      <c r="AC101" s="977" t="e">
        <f>#REF!+#REF!</f>
        <v>#REF!</v>
      </c>
      <c r="AD101" s="977">
        <f t="shared" ref="AD101:AD164" si="8">L101</f>
        <v>2120</v>
      </c>
      <c r="AE101" s="634"/>
    </row>
    <row r="102" spans="1:31" s="629" customFormat="1" ht="18" customHeight="1">
      <c r="A102" s="664" t="s">
        <v>2846</v>
      </c>
      <c r="B102" s="510">
        <f t="shared" si="6"/>
        <v>64</v>
      </c>
      <c r="C102" s="980">
        <f>+NOMINA!C106</f>
        <v>11894534</v>
      </c>
      <c r="D102" s="981" t="str">
        <f>+NOMINA!D106</f>
        <v>Olmos Rodriguez Eberto de Jesus</v>
      </c>
      <c r="E102" s="978" t="s">
        <v>4622</v>
      </c>
      <c r="F102" s="982">
        <v>27081</v>
      </c>
      <c r="G102" s="978" t="s">
        <v>4620</v>
      </c>
      <c r="H102" s="983">
        <f>+NOMINA!H106</f>
        <v>40909</v>
      </c>
      <c r="I102" s="984">
        <f>+NOMINA!I106</f>
        <v>13</v>
      </c>
      <c r="J102" s="985">
        <f>+NOMINA!J106</f>
        <v>13</v>
      </c>
      <c r="K102" s="984">
        <f>+NOMINA!K106</f>
        <v>26</v>
      </c>
      <c r="L102" s="986">
        <f>+NOMINA!CA106</f>
        <v>0</v>
      </c>
      <c r="M102" s="443" t="e">
        <f>#REF!+#REF!-#REF!</f>
        <v>#REF!</v>
      </c>
      <c r="N102" s="975" t="e">
        <f>ROUND((#REF!+#REF!+#REF!+#REF!+#REF!+#REF!+#REF!+#REF!),2)</f>
        <v>#REF!</v>
      </c>
      <c r="Q102" s="629" t="e">
        <f>SUM(#REF!)</f>
        <v>#REF!</v>
      </c>
      <c r="R102" s="976" t="e">
        <f>#REF!+#REF!-#REF!</f>
        <v>#REF!</v>
      </c>
      <c r="S102" s="977">
        <v>200</v>
      </c>
      <c r="T102" s="976" t="e">
        <f>#REF!+#REF!</f>
        <v>#REF!</v>
      </c>
      <c r="U102" s="977" t="e">
        <f>#REF!</f>
        <v>#REF!</v>
      </c>
      <c r="V102" s="978">
        <v>0</v>
      </c>
      <c r="W102" s="977" t="e">
        <f>#REF!</f>
        <v>#REF!</v>
      </c>
      <c r="X102" s="979" t="e">
        <f>#REF!+#REF!</f>
        <v>#REF!</v>
      </c>
      <c r="Y102" s="979" t="e">
        <f>#REF!+#REF!</f>
        <v>#REF!</v>
      </c>
      <c r="Z102" s="979"/>
      <c r="AA102" s="977" t="e">
        <f>#REF!</f>
        <v>#REF!</v>
      </c>
      <c r="AB102" s="977" t="e">
        <f t="shared" si="7"/>
        <v>#REF!</v>
      </c>
      <c r="AC102" s="977" t="e">
        <f>#REF!+#REF!</f>
        <v>#REF!</v>
      </c>
      <c r="AD102" s="977">
        <f t="shared" si="8"/>
        <v>0</v>
      </c>
      <c r="AE102" s="634"/>
    </row>
    <row r="103" spans="1:31" s="629" customFormat="1" ht="18" customHeight="1">
      <c r="A103" s="664" t="s">
        <v>2846</v>
      </c>
      <c r="B103" s="510">
        <f t="shared" si="6"/>
        <v>65</v>
      </c>
      <c r="C103" s="980">
        <f>+NOMINA!C107</f>
        <v>11895772</v>
      </c>
      <c r="D103" s="981" t="str">
        <f>+NOMINA!D107</f>
        <v>Rangel Rivas Ildemaro</v>
      </c>
      <c r="E103" s="978" t="s">
        <v>4622</v>
      </c>
      <c r="F103" s="982">
        <v>27081</v>
      </c>
      <c r="G103" s="978" t="s">
        <v>4620</v>
      </c>
      <c r="H103" s="983">
        <f>+NOMINA!H107</f>
        <v>44743</v>
      </c>
      <c r="I103" s="984">
        <f>+NOMINA!I107</f>
        <v>2</v>
      </c>
      <c r="J103" s="985">
        <f>+NOMINA!J107</f>
        <v>0</v>
      </c>
      <c r="K103" s="984">
        <f>+NOMINA!K107</f>
        <v>2</v>
      </c>
      <c r="L103" s="986">
        <f>+NOMINA!CA107</f>
        <v>0</v>
      </c>
      <c r="M103" s="443" t="e">
        <f>#REF!+#REF!-#REF!</f>
        <v>#REF!</v>
      </c>
      <c r="N103" s="975" t="e">
        <f>ROUND((#REF!+#REF!+#REF!+#REF!+#REF!+#REF!+#REF!+#REF!),2)</f>
        <v>#REF!</v>
      </c>
      <c r="Q103" s="629" t="e">
        <f>SUM(#REF!)</f>
        <v>#REF!</v>
      </c>
      <c r="R103" s="976" t="e">
        <f>#REF!+#REF!-#REF!</f>
        <v>#REF!</v>
      </c>
      <c r="S103" s="977">
        <v>200</v>
      </c>
      <c r="T103" s="976" t="e">
        <f>#REF!+#REF!</f>
        <v>#REF!</v>
      </c>
      <c r="U103" s="977" t="e">
        <f>#REF!</f>
        <v>#REF!</v>
      </c>
      <c r="V103" s="978">
        <v>0</v>
      </c>
      <c r="W103" s="977" t="e">
        <f>#REF!</f>
        <v>#REF!</v>
      </c>
      <c r="X103" s="979" t="e">
        <f>#REF!+#REF!</f>
        <v>#REF!</v>
      </c>
      <c r="Y103" s="979" t="e">
        <f>#REF!+#REF!</f>
        <v>#REF!</v>
      </c>
      <c r="Z103" s="979"/>
      <c r="AA103" s="977" t="e">
        <f>#REF!</f>
        <v>#REF!</v>
      </c>
      <c r="AB103" s="977" t="e">
        <f t="shared" si="7"/>
        <v>#REF!</v>
      </c>
      <c r="AC103" s="977" t="e">
        <f>#REF!+#REF!</f>
        <v>#REF!</v>
      </c>
      <c r="AD103" s="977">
        <f t="shared" si="8"/>
        <v>0</v>
      </c>
      <c r="AE103" s="634"/>
    </row>
    <row r="104" spans="1:31" s="629" customFormat="1" ht="18" customHeight="1">
      <c r="A104" s="664" t="s">
        <v>2846</v>
      </c>
      <c r="B104" s="510">
        <f t="shared" si="6"/>
        <v>66</v>
      </c>
      <c r="C104" s="980">
        <f>+NOMINA!C108</f>
        <v>11896941</v>
      </c>
      <c r="D104" s="981" t="str">
        <f>+NOMINA!D108</f>
        <v>Justo Angel Jannessy</v>
      </c>
      <c r="E104" s="978" t="s">
        <v>4622</v>
      </c>
      <c r="F104" s="982">
        <v>27081</v>
      </c>
      <c r="G104" s="978" t="s">
        <v>4620</v>
      </c>
      <c r="H104" s="983">
        <f>+NOMINA!H108</f>
        <v>38698</v>
      </c>
      <c r="I104" s="984">
        <f>+NOMINA!I108</f>
        <v>19</v>
      </c>
      <c r="J104" s="985">
        <f>+NOMINA!J108</f>
        <v>0</v>
      </c>
      <c r="K104" s="984">
        <f>+NOMINA!K108</f>
        <v>19</v>
      </c>
      <c r="L104" s="986">
        <f>+NOMINA!CA108</f>
        <v>0</v>
      </c>
      <c r="M104" s="443" t="e">
        <f>#REF!+#REF!-#REF!</f>
        <v>#REF!</v>
      </c>
      <c r="N104" s="975" t="e">
        <f>ROUND((#REF!+#REF!+#REF!+#REF!+#REF!+#REF!+#REF!+#REF!),2)</f>
        <v>#REF!</v>
      </c>
      <c r="Q104" s="629" t="e">
        <f>SUM(#REF!)</f>
        <v>#REF!</v>
      </c>
      <c r="R104" s="976" t="e">
        <f>#REF!+#REF!-#REF!</f>
        <v>#REF!</v>
      </c>
      <c r="S104" s="977">
        <v>200</v>
      </c>
      <c r="T104" s="976" t="e">
        <f>#REF!+#REF!</f>
        <v>#REF!</v>
      </c>
      <c r="U104" s="977" t="e">
        <f>#REF!</f>
        <v>#REF!</v>
      </c>
      <c r="V104" s="978">
        <v>0</v>
      </c>
      <c r="W104" s="977" t="e">
        <f>#REF!</f>
        <v>#REF!</v>
      </c>
      <c r="X104" s="979" t="e">
        <f>#REF!+#REF!</f>
        <v>#REF!</v>
      </c>
      <c r="Y104" s="979" t="e">
        <f>#REF!+#REF!</f>
        <v>#REF!</v>
      </c>
      <c r="Z104" s="979"/>
      <c r="AA104" s="977" t="e">
        <f>#REF!</f>
        <v>#REF!</v>
      </c>
      <c r="AB104" s="977" t="e">
        <f t="shared" si="7"/>
        <v>#REF!</v>
      </c>
      <c r="AC104" s="977" t="e">
        <f>#REF!+#REF!</f>
        <v>#REF!</v>
      </c>
      <c r="AD104" s="977">
        <f t="shared" si="8"/>
        <v>0</v>
      </c>
      <c r="AE104" s="634"/>
    </row>
    <row r="105" spans="1:31" s="629" customFormat="1" ht="18" customHeight="1">
      <c r="A105" s="664" t="s">
        <v>2846</v>
      </c>
      <c r="B105" s="510">
        <f t="shared" ref="B105:B168" si="9">B104+1</f>
        <v>67</v>
      </c>
      <c r="C105" s="980">
        <f>+NOMINA!C109</f>
        <v>11898486</v>
      </c>
      <c r="D105" s="981" t="str">
        <f>+NOMINA!D109</f>
        <v>Linares Hernandez Thaiz Yoconda</v>
      </c>
      <c r="E105" s="978" t="s">
        <v>4622</v>
      </c>
      <c r="F105" s="982">
        <v>27081</v>
      </c>
      <c r="G105" s="978" t="s">
        <v>4620</v>
      </c>
      <c r="H105" s="983">
        <f>+NOMINA!H109</f>
        <v>40065</v>
      </c>
      <c r="I105" s="984">
        <f>+NOMINA!I109</f>
        <v>15</v>
      </c>
      <c r="J105" s="985">
        <f>+NOMINA!J109</f>
        <v>0</v>
      </c>
      <c r="K105" s="984">
        <f>+NOMINA!K109</f>
        <v>15</v>
      </c>
      <c r="L105" s="986">
        <f>+NOMINA!CA109</f>
        <v>2120</v>
      </c>
      <c r="M105" s="443" t="e">
        <f>#REF!+#REF!-#REF!</f>
        <v>#REF!</v>
      </c>
      <c r="N105" s="975" t="e">
        <f>ROUND((#REF!+#REF!+#REF!+#REF!+#REF!+#REF!+#REF!+#REF!),2)</f>
        <v>#REF!</v>
      </c>
      <c r="Q105" s="629" t="e">
        <f>SUM(#REF!)</f>
        <v>#REF!</v>
      </c>
      <c r="R105" s="976" t="e">
        <f>#REF!+#REF!-#REF!</f>
        <v>#REF!</v>
      </c>
      <c r="S105" s="977">
        <v>200</v>
      </c>
      <c r="T105" s="976" t="e">
        <f>#REF!+#REF!</f>
        <v>#REF!</v>
      </c>
      <c r="U105" s="977" t="e">
        <f>#REF!</f>
        <v>#REF!</v>
      </c>
      <c r="V105" s="978">
        <v>0</v>
      </c>
      <c r="W105" s="977" t="e">
        <f>#REF!</f>
        <v>#REF!</v>
      </c>
      <c r="X105" s="979" t="e">
        <f>#REF!+#REF!</f>
        <v>#REF!</v>
      </c>
      <c r="Y105" s="979" t="e">
        <f>#REF!+#REF!</f>
        <v>#REF!</v>
      </c>
      <c r="Z105" s="979"/>
      <c r="AA105" s="977" t="e">
        <f>#REF!</f>
        <v>#REF!</v>
      </c>
      <c r="AB105" s="977" t="e">
        <f t="shared" si="7"/>
        <v>#REF!</v>
      </c>
      <c r="AC105" s="977" t="e">
        <f>#REF!+#REF!</f>
        <v>#REF!</v>
      </c>
      <c r="AD105" s="977">
        <f t="shared" si="8"/>
        <v>2120</v>
      </c>
      <c r="AE105" s="634"/>
    </row>
    <row r="106" spans="1:31" s="629" customFormat="1" ht="18" customHeight="1">
      <c r="A106" s="664" t="s">
        <v>2846</v>
      </c>
      <c r="B106" s="510">
        <f t="shared" si="9"/>
        <v>68</v>
      </c>
      <c r="C106" s="980">
        <f>+NOMINA!C110</f>
        <v>12040792</v>
      </c>
      <c r="D106" s="981" t="str">
        <f>+NOMINA!D110</f>
        <v>Sulbaran Campos Jesus Alberto</v>
      </c>
      <c r="E106" s="978" t="s">
        <v>4622</v>
      </c>
      <c r="F106" s="982">
        <v>27081</v>
      </c>
      <c r="G106" s="978" t="s">
        <v>4620</v>
      </c>
      <c r="H106" s="983">
        <f>+NOMINA!H110</f>
        <v>43236</v>
      </c>
      <c r="I106" s="984">
        <f>+NOMINA!I110</f>
        <v>6</v>
      </c>
      <c r="J106" s="985">
        <f>+NOMINA!J110</f>
        <v>0</v>
      </c>
      <c r="K106" s="984">
        <f>+NOMINA!K110</f>
        <v>6</v>
      </c>
      <c r="L106" s="986">
        <f>+NOMINA!CA110</f>
        <v>2120</v>
      </c>
      <c r="M106" s="443" t="e">
        <f>#REF!+#REF!-#REF!</f>
        <v>#REF!</v>
      </c>
      <c r="N106" s="975" t="e">
        <f>ROUND((#REF!+#REF!+#REF!+#REF!+#REF!+#REF!+#REF!+#REF!),2)</f>
        <v>#REF!</v>
      </c>
      <c r="Q106" s="629" t="e">
        <f>SUM(#REF!)</f>
        <v>#REF!</v>
      </c>
      <c r="R106" s="976" t="e">
        <f>#REF!+#REF!-#REF!</f>
        <v>#REF!</v>
      </c>
      <c r="S106" s="977">
        <v>200</v>
      </c>
      <c r="T106" s="976" t="e">
        <f>#REF!+#REF!</f>
        <v>#REF!</v>
      </c>
      <c r="U106" s="977" t="e">
        <f>#REF!</f>
        <v>#REF!</v>
      </c>
      <c r="V106" s="978">
        <v>0</v>
      </c>
      <c r="W106" s="977" t="e">
        <f>#REF!</f>
        <v>#REF!</v>
      </c>
      <c r="X106" s="979" t="e">
        <f>#REF!+#REF!</f>
        <v>#REF!</v>
      </c>
      <c r="Y106" s="979" t="e">
        <f>#REF!+#REF!</f>
        <v>#REF!</v>
      </c>
      <c r="Z106" s="979"/>
      <c r="AA106" s="977" t="e">
        <f>#REF!</f>
        <v>#REF!</v>
      </c>
      <c r="AB106" s="977" t="e">
        <f t="shared" si="7"/>
        <v>#REF!</v>
      </c>
      <c r="AC106" s="977" t="e">
        <f>#REF!+#REF!</f>
        <v>#REF!</v>
      </c>
      <c r="AD106" s="977">
        <f t="shared" si="8"/>
        <v>2120</v>
      </c>
      <c r="AE106" s="634"/>
    </row>
    <row r="107" spans="1:31" s="629" customFormat="1" ht="18" customHeight="1">
      <c r="A107" s="664" t="s">
        <v>2846</v>
      </c>
      <c r="B107" s="510">
        <f t="shared" si="9"/>
        <v>69</v>
      </c>
      <c r="C107" s="980">
        <f>+NOMINA!C111</f>
        <v>12042855</v>
      </c>
      <c r="D107" s="981" t="str">
        <f>+NOMINA!D111</f>
        <v>Alburguez  Manzanilla Neira Josefina</v>
      </c>
      <c r="E107" s="978" t="s">
        <v>4622</v>
      </c>
      <c r="F107" s="982">
        <v>27081</v>
      </c>
      <c r="G107" s="978" t="s">
        <v>4620</v>
      </c>
      <c r="H107" s="983">
        <f>+NOMINA!H111</f>
        <v>44028</v>
      </c>
      <c r="I107" s="984">
        <f>+NOMINA!I111</f>
        <v>4</v>
      </c>
      <c r="J107" s="985">
        <f>+NOMINA!J111</f>
        <v>0</v>
      </c>
      <c r="K107" s="984">
        <f>+NOMINA!K111</f>
        <v>4</v>
      </c>
      <c r="L107" s="986">
        <f>+NOMINA!CA111</f>
        <v>2120</v>
      </c>
      <c r="M107" s="443" t="e">
        <f>#REF!+#REF!-#REF!</f>
        <v>#REF!</v>
      </c>
      <c r="N107" s="975" t="e">
        <f>ROUND((#REF!+#REF!+#REF!+#REF!+#REF!+#REF!+#REF!+#REF!),2)</f>
        <v>#REF!</v>
      </c>
      <c r="Q107" s="629" t="e">
        <f>SUM(#REF!)</f>
        <v>#REF!</v>
      </c>
      <c r="R107" s="976" t="e">
        <f>#REF!+#REF!-#REF!</f>
        <v>#REF!</v>
      </c>
      <c r="S107" s="977">
        <v>200</v>
      </c>
      <c r="T107" s="976" t="e">
        <f>#REF!+#REF!</f>
        <v>#REF!</v>
      </c>
      <c r="U107" s="977" t="e">
        <f>#REF!</f>
        <v>#REF!</v>
      </c>
      <c r="V107" s="978">
        <v>0</v>
      </c>
      <c r="W107" s="977" t="e">
        <f>#REF!</f>
        <v>#REF!</v>
      </c>
      <c r="X107" s="979" t="e">
        <f>#REF!+#REF!</f>
        <v>#REF!</v>
      </c>
      <c r="Y107" s="979" t="e">
        <f>#REF!+#REF!</f>
        <v>#REF!</v>
      </c>
      <c r="Z107" s="979"/>
      <c r="AA107" s="977" t="e">
        <f>#REF!</f>
        <v>#REF!</v>
      </c>
      <c r="AB107" s="977" t="e">
        <f t="shared" si="7"/>
        <v>#REF!</v>
      </c>
      <c r="AC107" s="977" t="e">
        <f>#REF!+#REF!</f>
        <v>#REF!</v>
      </c>
      <c r="AD107" s="977">
        <f t="shared" si="8"/>
        <v>2120</v>
      </c>
      <c r="AE107" s="634"/>
    </row>
    <row r="108" spans="1:31" s="629" customFormat="1" ht="18" customHeight="1">
      <c r="A108" s="664" t="s">
        <v>2846</v>
      </c>
      <c r="B108" s="510">
        <f t="shared" si="9"/>
        <v>70</v>
      </c>
      <c r="C108" s="980">
        <f>+NOMINA!C112</f>
        <v>12045335</v>
      </c>
      <c r="D108" s="981" t="str">
        <f>+NOMINA!D112</f>
        <v>Gonzalez De Briceño Yasmin Coromoto</v>
      </c>
      <c r="E108" s="978" t="s">
        <v>4622</v>
      </c>
      <c r="F108" s="982">
        <v>27081</v>
      </c>
      <c r="G108" s="978" t="s">
        <v>4620</v>
      </c>
      <c r="H108" s="983">
        <f>+NOMINA!H112</f>
        <v>45505</v>
      </c>
      <c r="I108" s="984">
        <f>+NOMINA!I112</f>
        <v>0</v>
      </c>
      <c r="J108" s="985">
        <f>+NOMINA!J112</f>
        <v>0</v>
      </c>
      <c r="K108" s="984">
        <f>+NOMINA!K112</f>
        <v>0</v>
      </c>
      <c r="L108" s="986">
        <f>+NOMINA!CA112</f>
        <v>2120</v>
      </c>
      <c r="M108" s="443" t="e">
        <f>#REF!+#REF!-#REF!</f>
        <v>#REF!</v>
      </c>
      <c r="N108" s="975" t="e">
        <f>ROUND((#REF!+#REF!+#REF!+#REF!+#REF!+#REF!+#REF!+#REF!),2)</f>
        <v>#REF!</v>
      </c>
      <c r="Q108" s="629" t="e">
        <f>SUM(#REF!)</f>
        <v>#REF!</v>
      </c>
      <c r="R108" s="976" t="e">
        <f>#REF!+#REF!-#REF!</f>
        <v>#REF!</v>
      </c>
      <c r="S108" s="977">
        <v>200</v>
      </c>
      <c r="T108" s="976" t="e">
        <f>#REF!+#REF!</f>
        <v>#REF!</v>
      </c>
      <c r="U108" s="977" t="e">
        <f>#REF!</f>
        <v>#REF!</v>
      </c>
      <c r="V108" s="978">
        <v>0</v>
      </c>
      <c r="W108" s="977" t="e">
        <f>#REF!</f>
        <v>#REF!</v>
      </c>
      <c r="X108" s="979" t="e">
        <f>#REF!+#REF!</f>
        <v>#REF!</v>
      </c>
      <c r="Y108" s="979" t="e">
        <f>#REF!+#REF!</f>
        <v>#REF!</v>
      </c>
      <c r="Z108" s="979"/>
      <c r="AA108" s="977" t="e">
        <f>#REF!</f>
        <v>#REF!</v>
      </c>
      <c r="AB108" s="977" t="e">
        <f t="shared" si="7"/>
        <v>#REF!</v>
      </c>
      <c r="AC108" s="977" t="e">
        <f>#REF!+#REF!</f>
        <v>#REF!</v>
      </c>
      <c r="AD108" s="977">
        <f t="shared" si="8"/>
        <v>2120</v>
      </c>
      <c r="AE108" s="634"/>
    </row>
    <row r="109" spans="1:31" s="629" customFormat="1" ht="18" customHeight="1">
      <c r="A109" s="664" t="s">
        <v>2846</v>
      </c>
      <c r="B109" s="510">
        <f t="shared" si="9"/>
        <v>71</v>
      </c>
      <c r="C109" s="980">
        <f>+NOMINA!C113</f>
        <v>12045360</v>
      </c>
      <c r="D109" s="981" t="str">
        <f>+NOMINA!D113</f>
        <v>Montilla Lamus Ana Cristina</v>
      </c>
      <c r="E109" s="978" t="s">
        <v>4622</v>
      </c>
      <c r="F109" s="982">
        <v>27081</v>
      </c>
      <c r="G109" s="978" t="s">
        <v>4620</v>
      </c>
      <c r="H109" s="983">
        <f>+NOMINA!H113</f>
        <v>39238</v>
      </c>
      <c r="I109" s="984">
        <f>+NOMINA!I113</f>
        <v>17</v>
      </c>
      <c r="J109" s="985">
        <f>+NOMINA!J113</f>
        <v>0</v>
      </c>
      <c r="K109" s="984">
        <f>+NOMINA!K113</f>
        <v>17</v>
      </c>
      <c r="L109" s="986">
        <f>+NOMINA!CA113</f>
        <v>2120</v>
      </c>
      <c r="M109" s="443" t="e">
        <f>#REF!+#REF!-#REF!</f>
        <v>#REF!</v>
      </c>
      <c r="N109" s="975" t="e">
        <f>ROUND((#REF!+#REF!+#REF!+#REF!+#REF!+#REF!+#REF!+#REF!),2)</f>
        <v>#REF!</v>
      </c>
      <c r="Q109" s="629" t="e">
        <f>SUM(#REF!)</f>
        <v>#REF!</v>
      </c>
      <c r="R109" s="976" t="e">
        <f>#REF!+#REF!-#REF!</f>
        <v>#REF!</v>
      </c>
      <c r="S109" s="977">
        <v>200</v>
      </c>
      <c r="T109" s="976" t="e">
        <f>#REF!+#REF!</f>
        <v>#REF!</v>
      </c>
      <c r="U109" s="977" t="e">
        <f>#REF!</f>
        <v>#REF!</v>
      </c>
      <c r="V109" s="978">
        <v>0</v>
      </c>
      <c r="W109" s="977" t="e">
        <f>#REF!</f>
        <v>#REF!</v>
      </c>
      <c r="X109" s="979" t="e">
        <f>#REF!+#REF!</f>
        <v>#REF!</v>
      </c>
      <c r="Y109" s="979" t="e">
        <f>#REF!+#REF!</f>
        <v>#REF!</v>
      </c>
      <c r="Z109" s="979"/>
      <c r="AA109" s="977" t="e">
        <f>#REF!</f>
        <v>#REF!</v>
      </c>
      <c r="AB109" s="977" t="e">
        <f t="shared" si="7"/>
        <v>#REF!</v>
      </c>
      <c r="AC109" s="977" t="e">
        <f>#REF!+#REF!</f>
        <v>#REF!</v>
      </c>
      <c r="AD109" s="977">
        <f t="shared" si="8"/>
        <v>2120</v>
      </c>
      <c r="AE109" s="634"/>
    </row>
    <row r="110" spans="1:31" s="629" customFormat="1" ht="18" customHeight="1">
      <c r="A110" s="664" t="s">
        <v>2846</v>
      </c>
      <c r="B110" s="510">
        <f t="shared" si="9"/>
        <v>72</v>
      </c>
      <c r="C110" s="980">
        <f>+NOMINA!C114</f>
        <v>12045504</v>
      </c>
      <c r="D110" s="981" t="str">
        <f>+NOMINA!D114</f>
        <v>Sanchez Olivar Denis Josefina</v>
      </c>
      <c r="E110" s="978" t="s">
        <v>4622</v>
      </c>
      <c r="F110" s="982">
        <v>27081</v>
      </c>
      <c r="G110" s="978" t="s">
        <v>4620</v>
      </c>
      <c r="H110" s="983">
        <f>+NOMINA!H114</f>
        <v>43862</v>
      </c>
      <c r="I110" s="984">
        <f>+NOMINA!I114</f>
        <v>4</v>
      </c>
      <c r="J110" s="985">
        <f>+NOMINA!J114</f>
        <v>0</v>
      </c>
      <c r="K110" s="984">
        <f>+NOMINA!K114</f>
        <v>4</v>
      </c>
      <c r="L110" s="986">
        <f>+NOMINA!CA114</f>
        <v>2120</v>
      </c>
      <c r="M110" s="443" t="e">
        <f>#REF!+#REF!-#REF!</f>
        <v>#REF!</v>
      </c>
      <c r="N110" s="975" t="e">
        <f>ROUND((#REF!+#REF!+#REF!+#REF!+#REF!+#REF!+#REF!+#REF!),2)</f>
        <v>#REF!</v>
      </c>
      <c r="Q110" s="629" t="e">
        <f>SUM(#REF!)</f>
        <v>#REF!</v>
      </c>
      <c r="R110" s="976" t="e">
        <f>#REF!+#REF!-#REF!</f>
        <v>#REF!</v>
      </c>
      <c r="S110" s="977">
        <v>200</v>
      </c>
      <c r="T110" s="976" t="e">
        <f>#REF!+#REF!</f>
        <v>#REF!</v>
      </c>
      <c r="U110" s="977" t="e">
        <f>#REF!</f>
        <v>#REF!</v>
      </c>
      <c r="V110" s="978">
        <v>0</v>
      </c>
      <c r="W110" s="977" t="e">
        <f>#REF!</f>
        <v>#REF!</v>
      </c>
      <c r="X110" s="979" t="e">
        <f>#REF!+#REF!</f>
        <v>#REF!</v>
      </c>
      <c r="Y110" s="979" t="e">
        <f>#REF!+#REF!</f>
        <v>#REF!</v>
      </c>
      <c r="Z110" s="979"/>
      <c r="AA110" s="977" t="e">
        <f>#REF!</f>
        <v>#REF!</v>
      </c>
      <c r="AB110" s="977" t="e">
        <f t="shared" si="7"/>
        <v>#REF!</v>
      </c>
      <c r="AC110" s="977" t="e">
        <f>#REF!+#REF!</f>
        <v>#REF!</v>
      </c>
      <c r="AD110" s="977">
        <f t="shared" si="8"/>
        <v>2120</v>
      </c>
      <c r="AE110" s="634"/>
    </row>
    <row r="111" spans="1:31" s="629" customFormat="1" ht="18" customHeight="1">
      <c r="A111" s="664" t="s">
        <v>2846</v>
      </c>
      <c r="B111" s="510">
        <f t="shared" si="9"/>
        <v>73</v>
      </c>
      <c r="C111" s="980">
        <f>+NOMINA!C115</f>
        <v>12045934</v>
      </c>
      <c r="D111" s="981" t="str">
        <f>+NOMINA!D115</f>
        <v>Mendez Olmos Tulio Enrique</v>
      </c>
      <c r="E111" s="978" t="s">
        <v>4622</v>
      </c>
      <c r="F111" s="982">
        <v>27081</v>
      </c>
      <c r="G111" s="978" t="s">
        <v>4620</v>
      </c>
      <c r="H111" s="983">
        <f>+NOMINA!H115</f>
        <v>36342</v>
      </c>
      <c r="I111" s="984">
        <f>+NOMINA!I115</f>
        <v>25</v>
      </c>
      <c r="J111" s="985">
        <f>+NOMINA!J115</f>
        <v>1</v>
      </c>
      <c r="K111" s="984">
        <f>+NOMINA!K115</f>
        <v>26</v>
      </c>
      <c r="L111" s="986">
        <f>+NOMINA!CA115</f>
        <v>2120</v>
      </c>
      <c r="M111" s="443" t="e">
        <f>#REF!+#REF!-#REF!</f>
        <v>#REF!</v>
      </c>
      <c r="N111" s="975" t="e">
        <f>ROUND((#REF!+#REF!+#REF!+#REF!+#REF!+#REF!+#REF!+#REF!),2)</f>
        <v>#REF!</v>
      </c>
      <c r="Q111" s="629" t="e">
        <f>SUM(#REF!)</f>
        <v>#REF!</v>
      </c>
      <c r="R111" s="976" t="e">
        <f>#REF!+#REF!-#REF!</f>
        <v>#REF!</v>
      </c>
      <c r="S111" s="977">
        <v>200</v>
      </c>
      <c r="T111" s="976" t="e">
        <f>#REF!+#REF!</f>
        <v>#REF!</v>
      </c>
      <c r="U111" s="977" t="e">
        <f>#REF!</f>
        <v>#REF!</v>
      </c>
      <c r="V111" s="978">
        <v>0</v>
      </c>
      <c r="W111" s="977" t="e">
        <f>#REF!</f>
        <v>#REF!</v>
      </c>
      <c r="X111" s="979" t="e">
        <f>#REF!+#REF!</f>
        <v>#REF!</v>
      </c>
      <c r="Y111" s="979" t="e">
        <f>#REF!+#REF!</f>
        <v>#REF!</v>
      </c>
      <c r="Z111" s="979"/>
      <c r="AA111" s="977" t="e">
        <f>#REF!</f>
        <v>#REF!</v>
      </c>
      <c r="AB111" s="977" t="e">
        <f t="shared" si="7"/>
        <v>#REF!</v>
      </c>
      <c r="AC111" s="977" t="e">
        <f>#REF!+#REF!</f>
        <v>#REF!</v>
      </c>
      <c r="AD111" s="977">
        <f t="shared" si="8"/>
        <v>2120</v>
      </c>
      <c r="AE111" s="634"/>
    </row>
    <row r="112" spans="1:31" s="629" customFormat="1" ht="18" customHeight="1">
      <c r="A112" s="664" t="s">
        <v>2846</v>
      </c>
      <c r="B112" s="510">
        <f t="shared" si="9"/>
        <v>74</v>
      </c>
      <c r="C112" s="980">
        <f>+NOMINA!C116</f>
        <v>12457981</v>
      </c>
      <c r="D112" s="981" t="str">
        <f>+NOMINA!D116</f>
        <v>Escalona Ruiz Luis Alberto</v>
      </c>
      <c r="E112" s="978" t="s">
        <v>4622</v>
      </c>
      <c r="F112" s="982">
        <v>27081</v>
      </c>
      <c r="G112" s="978" t="s">
        <v>4620</v>
      </c>
      <c r="H112" s="983">
        <f>+NOMINA!H116</f>
        <v>44348</v>
      </c>
      <c r="I112" s="984">
        <f>+NOMINA!I116</f>
        <v>3</v>
      </c>
      <c r="J112" s="985">
        <f>+NOMINA!J116</f>
        <v>4</v>
      </c>
      <c r="K112" s="984">
        <f>+NOMINA!K116</f>
        <v>7</v>
      </c>
      <c r="L112" s="986">
        <f>+NOMINA!CA116</f>
        <v>2120</v>
      </c>
      <c r="M112" s="443" t="e">
        <f>#REF!+#REF!-#REF!</f>
        <v>#REF!</v>
      </c>
      <c r="N112" s="975" t="e">
        <f>ROUND((#REF!+#REF!+#REF!+#REF!+#REF!+#REF!+#REF!+#REF!),2)</f>
        <v>#REF!</v>
      </c>
      <c r="Q112" s="629" t="e">
        <f>SUM(#REF!)</f>
        <v>#REF!</v>
      </c>
      <c r="R112" s="976" t="e">
        <f>#REF!+#REF!-#REF!</f>
        <v>#REF!</v>
      </c>
      <c r="S112" s="977">
        <v>200</v>
      </c>
      <c r="T112" s="976" t="e">
        <f>#REF!+#REF!</f>
        <v>#REF!</v>
      </c>
      <c r="U112" s="977" t="e">
        <f>#REF!</f>
        <v>#REF!</v>
      </c>
      <c r="V112" s="978">
        <v>0</v>
      </c>
      <c r="W112" s="977" t="e">
        <f>#REF!</f>
        <v>#REF!</v>
      </c>
      <c r="X112" s="979" t="e">
        <f>#REF!+#REF!</f>
        <v>#REF!</v>
      </c>
      <c r="Y112" s="979" t="e">
        <f>#REF!+#REF!</f>
        <v>#REF!</v>
      </c>
      <c r="Z112" s="979"/>
      <c r="AA112" s="977" t="e">
        <f>#REF!</f>
        <v>#REF!</v>
      </c>
      <c r="AB112" s="977" t="e">
        <f t="shared" si="7"/>
        <v>#REF!</v>
      </c>
      <c r="AC112" s="977" t="e">
        <f>#REF!+#REF!</f>
        <v>#REF!</v>
      </c>
      <c r="AD112" s="977">
        <f t="shared" si="8"/>
        <v>2120</v>
      </c>
      <c r="AE112" s="634"/>
    </row>
    <row r="113" spans="1:31" s="629" customFormat="1" ht="18" customHeight="1">
      <c r="A113" s="664" t="s">
        <v>2846</v>
      </c>
      <c r="B113" s="510">
        <f t="shared" si="9"/>
        <v>75</v>
      </c>
      <c r="C113" s="980">
        <f>+NOMINA!C117</f>
        <v>12458811</v>
      </c>
      <c r="D113" s="981" t="str">
        <f>+NOMINA!D117</f>
        <v>Segovia Rondon Milagros Del Valle</v>
      </c>
      <c r="E113" s="978" t="s">
        <v>4622</v>
      </c>
      <c r="F113" s="982">
        <v>27081</v>
      </c>
      <c r="G113" s="978" t="s">
        <v>4620</v>
      </c>
      <c r="H113" s="983">
        <f>+NOMINA!H117</f>
        <v>39514</v>
      </c>
      <c r="I113" s="984">
        <f>+NOMINA!I117</f>
        <v>16</v>
      </c>
      <c r="J113" s="985">
        <f>+NOMINA!J117</f>
        <v>7</v>
      </c>
      <c r="K113" s="984">
        <f>+NOMINA!K117</f>
        <v>23</v>
      </c>
      <c r="L113" s="986">
        <f>+NOMINA!CA117</f>
        <v>2120</v>
      </c>
      <c r="M113" s="443" t="e">
        <f>#REF!+#REF!-#REF!</f>
        <v>#REF!</v>
      </c>
      <c r="N113" s="975" t="e">
        <f>ROUND((#REF!+#REF!+#REF!+#REF!+#REF!+#REF!+#REF!+#REF!),2)</f>
        <v>#REF!</v>
      </c>
      <c r="Q113" s="629" t="e">
        <f>SUM(#REF!)</f>
        <v>#REF!</v>
      </c>
      <c r="R113" s="976" t="e">
        <f>#REF!+#REF!-#REF!</f>
        <v>#REF!</v>
      </c>
      <c r="S113" s="977">
        <v>200</v>
      </c>
      <c r="T113" s="976" t="e">
        <f>#REF!+#REF!</f>
        <v>#REF!</v>
      </c>
      <c r="U113" s="977" t="e">
        <f>#REF!</f>
        <v>#REF!</v>
      </c>
      <c r="V113" s="978">
        <v>0</v>
      </c>
      <c r="W113" s="977" t="e">
        <f>#REF!</f>
        <v>#REF!</v>
      </c>
      <c r="X113" s="979" t="e">
        <f>#REF!+#REF!</f>
        <v>#REF!</v>
      </c>
      <c r="Y113" s="979" t="e">
        <f>#REF!+#REF!</f>
        <v>#REF!</v>
      </c>
      <c r="Z113" s="979"/>
      <c r="AA113" s="977" t="e">
        <f>#REF!</f>
        <v>#REF!</v>
      </c>
      <c r="AB113" s="977" t="e">
        <f t="shared" si="7"/>
        <v>#REF!</v>
      </c>
      <c r="AC113" s="977" t="e">
        <f>#REF!+#REF!</f>
        <v>#REF!</v>
      </c>
      <c r="AD113" s="977">
        <f t="shared" si="8"/>
        <v>2120</v>
      </c>
      <c r="AE113" s="634"/>
    </row>
    <row r="114" spans="1:31" s="629" customFormat="1" ht="18" customHeight="1">
      <c r="A114" s="664" t="s">
        <v>2846</v>
      </c>
      <c r="B114" s="510">
        <f t="shared" si="9"/>
        <v>76</v>
      </c>
      <c r="C114" s="980">
        <f>+NOMINA!C118</f>
        <v>12458942</v>
      </c>
      <c r="D114" s="981" t="str">
        <f>+NOMINA!D118</f>
        <v>Mendoza Mendoza Mirian Del Milagro</v>
      </c>
      <c r="E114" s="978" t="s">
        <v>4622</v>
      </c>
      <c r="F114" s="982">
        <v>27081</v>
      </c>
      <c r="G114" s="978" t="s">
        <v>4620</v>
      </c>
      <c r="H114" s="983">
        <f>+NOMINA!H118</f>
        <v>44424</v>
      </c>
      <c r="I114" s="984">
        <f>+NOMINA!I118</f>
        <v>3</v>
      </c>
      <c r="J114" s="985">
        <f>+NOMINA!J118</f>
        <v>19</v>
      </c>
      <c r="K114" s="984">
        <f>+NOMINA!K118</f>
        <v>22</v>
      </c>
      <c r="L114" s="986">
        <f>+NOMINA!CA118</f>
        <v>0</v>
      </c>
      <c r="M114" s="443" t="e">
        <f>#REF!+#REF!-#REF!</f>
        <v>#REF!</v>
      </c>
      <c r="N114" s="975" t="e">
        <f>ROUND((#REF!+#REF!+#REF!+#REF!+#REF!+#REF!+#REF!+#REF!),2)</f>
        <v>#REF!</v>
      </c>
      <c r="Q114" s="629" t="e">
        <f>SUM(#REF!)</f>
        <v>#REF!</v>
      </c>
      <c r="R114" s="976" t="e">
        <f>#REF!+#REF!-#REF!</f>
        <v>#REF!</v>
      </c>
      <c r="S114" s="977">
        <v>200</v>
      </c>
      <c r="T114" s="976" t="e">
        <f>#REF!+#REF!</f>
        <v>#REF!</v>
      </c>
      <c r="U114" s="977" t="e">
        <f>#REF!</f>
        <v>#REF!</v>
      </c>
      <c r="V114" s="978">
        <v>0</v>
      </c>
      <c r="W114" s="977" t="e">
        <f>#REF!</f>
        <v>#REF!</v>
      </c>
      <c r="X114" s="979" t="e">
        <f>#REF!+#REF!</f>
        <v>#REF!</v>
      </c>
      <c r="Y114" s="979" t="e">
        <f>#REF!+#REF!</f>
        <v>#REF!</v>
      </c>
      <c r="Z114" s="979"/>
      <c r="AA114" s="977" t="e">
        <f>#REF!</f>
        <v>#REF!</v>
      </c>
      <c r="AB114" s="977" t="e">
        <f t="shared" si="7"/>
        <v>#REF!</v>
      </c>
      <c r="AC114" s="977" t="e">
        <f>#REF!+#REF!</f>
        <v>#REF!</v>
      </c>
      <c r="AD114" s="977">
        <f t="shared" si="8"/>
        <v>0</v>
      </c>
      <c r="AE114" s="634"/>
    </row>
    <row r="115" spans="1:31" s="629" customFormat="1" ht="18" customHeight="1">
      <c r="A115" s="664" t="s">
        <v>2846</v>
      </c>
      <c r="B115" s="510">
        <f t="shared" si="9"/>
        <v>77</v>
      </c>
      <c r="C115" s="980">
        <f>+NOMINA!C119</f>
        <v>12541044</v>
      </c>
      <c r="D115" s="981" t="str">
        <f>+NOMINA!D119</f>
        <v>Rojas Telles Lisbeth Josefina</v>
      </c>
      <c r="E115" s="978" t="s">
        <v>4622</v>
      </c>
      <c r="F115" s="982">
        <v>27081</v>
      </c>
      <c r="G115" s="978" t="s">
        <v>4620</v>
      </c>
      <c r="H115" s="983">
        <f>+NOMINA!H119</f>
        <v>45597</v>
      </c>
      <c r="I115" s="984">
        <f>+NOMINA!I119</f>
        <v>0</v>
      </c>
      <c r="J115" s="985">
        <f>+NOMINA!J119</f>
        <v>0</v>
      </c>
      <c r="K115" s="984">
        <f>+NOMINA!K119</f>
        <v>0</v>
      </c>
      <c r="L115" s="986">
        <f>+NOMINA!CA119</f>
        <v>2120</v>
      </c>
      <c r="M115" s="443" t="e">
        <f>#REF!+#REF!-#REF!</f>
        <v>#REF!</v>
      </c>
      <c r="N115" s="975" t="e">
        <f>ROUND((#REF!+#REF!+#REF!+#REF!+#REF!+#REF!+#REF!+#REF!),2)</f>
        <v>#REF!</v>
      </c>
      <c r="Q115" s="629" t="e">
        <f>SUM(#REF!)</f>
        <v>#REF!</v>
      </c>
      <c r="R115" s="976" t="e">
        <f>#REF!+#REF!-#REF!</f>
        <v>#REF!</v>
      </c>
      <c r="S115" s="977">
        <v>200</v>
      </c>
      <c r="T115" s="976" t="e">
        <f>#REF!+#REF!</f>
        <v>#REF!</v>
      </c>
      <c r="U115" s="977" t="e">
        <f>#REF!</f>
        <v>#REF!</v>
      </c>
      <c r="V115" s="978">
        <v>0</v>
      </c>
      <c r="W115" s="977" t="e">
        <f>#REF!</f>
        <v>#REF!</v>
      </c>
      <c r="X115" s="979" t="e">
        <f>#REF!+#REF!</f>
        <v>#REF!</v>
      </c>
      <c r="Y115" s="979" t="e">
        <f>#REF!+#REF!</f>
        <v>#REF!</v>
      </c>
      <c r="Z115" s="979"/>
      <c r="AA115" s="977" t="e">
        <f>#REF!</f>
        <v>#REF!</v>
      </c>
      <c r="AB115" s="977" t="e">
        <f t="shared" si="7"/>
        <v>#REF!</v>
      </c>
      <c r="AC115" s="977" t="e">
        <f>#REF!+#REF!</f>
        <v>#REF!</v>
      </c>
      <c r="AD115" s="977">
        <f t="shared" si="8"/>
        <v>2120</v>
      </c>
      <c r="AE115" s="634"/>
    </row>
    <row r="116" spans="1:31" s="629" customFormat="1" ht="18" customHeight="1">
      <c r="A116" s="664" t="s">
        <v>2846</v>
      </c>
      <c r="B116" s="510">
        <f t="shared" si="9"/>
        <v>78</v>
      </c>
      <c r="C116" s="980">
        <f>+NOMINA!C120</f>
        <v>12542413</v>
      </c>
      <c r="D116" s="981" t="str">
        <f>+NOMINA!D120</f>
        <v>Aponte Matheus Richard Alexander</v>
      </c>
      <c r="E116" s="978" t="s">
        <v>4622</v>
      </c>
      <c r="F116" s="982">
        <v>27081</v>
      </c>
      <c r="G116" s="978" t="s">
        <v>4620</v>
      </c>
      <c r="H116" s="983">
        <f>+NOMINA!H120</f>
        <v>36434</v>
      </c>
      <c r="I116" s="984">
        <f>+NOMINA!I120</f>
        <v>25</v>
      </c>
      <c r="J116" s="985">
        <f>+NOMINA!J120</f>
        <v>0</v>
      </c>
      <c r="K116" s="984">
        <f>+NOMINA!K120</f>
        <v>25</v>
      </c>
      <c r="L116" s="986">
        <f>+NOMINA!CA120</f>
        <v>0</v>
      </c>
      <c r="M116" s="443" t="e">
        <f>#REF!+#REF!-#REF!</f>
        <v>#REF!</v>
      </c>
      <c r="N116" s="975" t="e">
        <f>ROUND((#REF!+#REF!+#REF!+#REF!+#REF!+#REF!+#REF!+#REF!),2)</f>
        <v>#REF!</v>
      </c>
      <c r="Q116" s="629" t="e">
        <f>SUM(#REF!)</f>
        <v>#REF!</v>
      </c>
      <c r="R116" s="976" t="e">
        <f>#REF!+#REF!-#REF!</f>
        <v>#REF!</v>
      </c>
      <c r="S116" s="977">
        <v>200</v>
      </c>
      <c r="T116" s="976" t="e">
        <f>#REF!+#REF!</f>
        <v>#REF!</v>
      </c>
      <c r="U116" s="977" t="e">
        <f>#REF!</f>
        <v>#REF!</v>
      </c>
      <c r="V116" s="978">
        <v>0</v>
      </c>
      <c r="W116" s="977" t="e">
        <f>#REF!</f>
        <v>#REF!</v>
      </c>
      <c r="X116" s="979" t="e">
        <f>#REF!+#REF!</f>
        <v>#REF!</v>
      </c>
      <c r="Y116" s="979" t="e">
        <f>#REF!+#REF!</f>
        <v>#REF!</v>
      </c>
      <c r="Z116" s="979"/>
      <c r="AA116" s="977" t="e">
        <f>#REF!</f>
        <v>#REF!</v>
      </c>
      <c r="AB116" s="977" t="e">
        <f t="shared" si="7"/>
        <v>#REF!</v>
      </c>
      <c r="AC116" s="977" t="e">
        <f>#REF!+#REF!</f>
        <v>#REF!</v>
      </c>
      <c r="AD116" s="977">
        <f t="shared" si="8"/>
        <v>0</v>
      </c>
      <c r="AE116" s="634"/>
    </row>
    <row r="117" spans="1:31" s="629" customFormat="1" ht="18" customHeight="1">
      <c r="A117" s="664" t="s">
        <v>2846</v>
      </c>
      <c r="B117" s="510">
        <f t="shared" si="9"/>
        <v>79</v>
      </c>
      <c r="C117" s="980">
        <f>+NOMINA!C121</f>
        <v>12798604</v>
      </c>
      <c r="D117" s="981" t="str">
        <f>+NOMINA!D121</f>
        <v>Camacho Gomez Trina Margarita</v>
      </c>
      <c r="E117" s="978" t="s">
        <v>4622</v>
      </c>
      <c r="F117" s="982">
        <v>27081</v>
      </c>
      <c r="G117" s="978" t="s">
        <v>4620</v>
      </c>
      <c r="H117" s="983">
        <f>+NOMINA!H121</f>
        <v>35384</v>
      </c>
      <c r="I117" s="984">
        <f>+NOMINA!I121</f>
        <v>28</v>
      </c>
      <c r="J117" s="985">
        <f>+NOMINA!J121</f>
        <v>0</v>
      </c>
      <c r="K117" s="984">
        <f>+NOMINA!K121</f>
        <v>28</v>
      </c>
      <c r="L117" s="986">
        <f>+NOMINA!CA121</f>
        <v>2120</v>
      </c>
      <c r="M117" s="443" t="e">
        <f>#REF!+#REF!-#REF!</f>
        <v>#REF!</v>
      </c>
      <c r="N117" s="975" t="e">
        <f>ROUND((#REF!+#REF!+#REF!+#REF!+#REF!+#REF!+#REF!+#REF!),2)</f>
        <v>#REF!</v>
      </c>
      <c r="Q117" s="629" t="e">
        <f>SUM(#REF!)</f>
        <v>#REF!</v>
      </c>
      <c r="R117" s="976" t="e">
        <f>#REF!+#REF!-#REF!</f>
        <v>#REF!</v>
      </c>
      <c r="S117" s="977">
        <v>200</v>
      </c>
      <c r="T117" s="976" t="e">
        <f>#REF!+#REF!</f>
        <v>#REF!</v>
      </c>
      <c r="U117" s="977" t="e">
        <f>#REF!</f>
        <v>#REF!</v>
      </c>
      <c r="V117" s="978">
        <v>0</v>
      </c>
      <c r="W117" s="977" t="e">
        <f>#REF!</f>
        <v>#REF!</v>
      </c>
      <c r="X117" s="979" t="e">
        <f>#REF!+#REF!</f>
        <v>#REF!</v>
      </c>
      <c r="Y117" s="979" t="e">
        <f>#REF!+#REF!</f>
        <v>#REF!</v>
      </c>
      <c r="Z117" s="979"/>
      <c r="AA117" s="977" t="e">
        <f>#REF!</f>
        <v>#REF!</v>
      </c>
      <c r="AB117" s="977" t="e">
        <f t="shared" si="7"/>
        <v>#REF!</v>
      </c>
      <c r="AC117" s="977" t="e">
        <f>#REF!+#REF!</f>
        <v>#REF!</v>
      </c>
      <c r="AD117" s="977">
        <f t="shared" si="8"/>
        <v>2120</v>
      </c>
      <c r="AE117" s="634"/>
    </row>
    <row r="118" spans="1:31" s="629" customFormat="1" ht="18" customHeight="1">
      <c r="A118" s="664" t="s">
        <v>2846</v>
      </c>
      <c r="B118" s="510">
        <f t="shared" si="9"/>
        <v>80</v>
      </c>
      <c r="C118" s="980">
        <f>+NOMINA!C122</f>
        <v>12798736</v>
      </c>
      <c r="D118" s="981" t="str">
        <f>+NOMINA!D122</f>
        <v>Gonzalez Pabon Marianela</v>
      </c>
      <c r="E118" s="978" t="s">
        <v>4622</v>
      </c>
      <c r="F118" s="982">
        <v>27081</v>
      </c>
      <c r="G118" s="978" t="s">
        <v>4620</v>
      </c>
      <c r="H118" s="983">
        <f>+NOMINA!H122</f>
        <v>39479</v>
      </c>
      <c r="I118" s="984">
        <f>+NOMINA!I122</f>
        <v>16</v>
      </c>
      <c r="J118" s="985">
        <f>+NOMINA!J122</f>
        <v>7</v>
      </c>
      <c r="K118" s="984">
        <f>+NOMINA!K122</f>
        <v>23</v>
      </c>
      <c r="L118" s="986">
        <f>+NOMINA!CA122</f>
        <v>2120</v>
      </c>
      <c r="M118" s="443" t="e">
        <f>#REF!+#REF!-#REF!</f>
        <v>#REF!</v>
      </c>
      <c r="N118" s="975" t="e">
        <f>ROUND((#REF!+#REF!+#REF!+#REF!+#REF!+#REF!+#REF!+#REF!),2)</f>
        <v>#REF!</v>
      </c>
      <c r="Q118" s="629" t="e">
        <f>SUM(#REF!)</f>
        <v>#REF!</v>
      </c>
      <c r="R118" s="976" t="e">
        <f>#REF!+#REF!-#REF!</f>
        <v>#REF!</v>
      </c>
      <c r="S118" s="977">
        <v>200</v>
      </c>
      <c r="T118" s="976" t="e">
        <f>#REF!+#REF!</f>
        <v>#REF!</v>
      </c>
      <c r="U118" s="977" t="e">
        <f>#REF!</f>
        <v>#REF!</v>
      </c>
      <c r="V118" s="978">
        <v>0</v>
      </c>
      <c r="W118" s="977" t="e">
        <f>#REF!</f>
        <v>#REF!</v>
      </c>
      <c r="X118" s="979" t="e">
        <f>#REF!+#REF!</f>
        <v>#REF!</v>
      </c>
      <c r="Y118" s="979" t="e">
        <f>#REF!+#REF!</f>
        <v>#REF!</v>
      </c>
      <c r="Z118" s="979"/>
      <c r="AA118" s="977" t="e">
        <f>#REF!</f>
        <v>#REF!</v>
      </c>
      <c r="AB118" s="977" t="e">
        <f t="shared" si="7"/>
        <v>#REF!</v>
      </c>
      <c r="AC118" s="977" t="e">
        <f>#REF!+#REF!</f>
        <v>#REF!</v>
      </c>
      <c r="AD118" s="977">
        <f t="shared" si="8"/>
        <v>2120</v>
      </c>
      <c r="AE118" s="634"/>
    </row>
    <row r="119" spans="1:31" s="629" customFormat="1" ht="18" customHeight="1">
      <c r="A119" s="664" t="s">
        <v>2846</v>
      </c>
      <c r="B119" s="510">
        <f t="shared" si="9"/>
        <v>81</v>
      </c>
      <c r="C119" s="980">
        <f>+NOMINA!C123</f>
        <v>12939010</v>
      </c>
      <c r="D119" s="981" t="str">
        <f>+NOMINA!D123</f>
        <v>Mendez de Viloria Yelitza Del Valle</v>
      </c>
      <c r="E119" s="978" t="s">
        <v>4622</v>
      </c>
      <c r="F119" s="982">
        <v>27081</v>
      </c>
      <c r="G119" s="978" t="s">
        <v>4620</v>
      </c>
      <c r="H119" s="983">
        <f>+NOMINA!H123</f>
        <v>42948</v>
      </c>
      <c r="I119" s="984">
        <f>+NOMINA!I123</f>
        <v>7</v>
      </c>
      <c r="J119" s="985">
        <f>+NOMINA!J123</f>
        <v>0</v>
      </c>
      <c r="K119" s="984">
        <f>+NOMINA!K123</f>
        <v>7</v>
      </c>
      <c r="L119" s="986">
        <f>+NOMINA!CA123</f>
        <v>2120</v>
      </c>
      <c r="M119" s="443" t="e">
        <f>#REF!+#REF!-#REF!</f>
        <v>#REF!</v>
      </c>
      <c r="N119" s="975" t="e">
        <f>ROUND((#REF!+#REF!+#REF!+#REF!+#REF!+#REF!+#REF!+#REF!),2)</f>
        <v>#REF!</v>
      </c>
      <c r="Q119" s="629" t="e">
        <f>SUM(#REF!)</f>
        <v>#REF!</v>
      </c>
      <c r="R119" s="976" t="e">
        <f>#REF!+#REF!-#REF!</f>
        <v>#REF!</v>
      </c>
      <c r="S119" s="977">
        <v>200</v>
      </c>
      <c r="T119" s="976" t="e">
        <f>#REF!+#REF!</f>
        <v>#REF!</v>
      </c>
      <c r="U119" s="977" t="e">
        <f>#REF!</f>
        <v>#REF!</v>
      </c>
      <c r="V119" s="978">
        <v>0</v>
      </c>
      <c r="W119" s="977" t="e">
        <f>#REF!</f>
        <v>#REF!</v>
      </c>
      <c r="X119" s="979" t="e">
        <f>#REF!+#REF!</f>
        <v>#REF!</v>
      </c>
      <c r="Y119" s="979" t="e">
        <f>#REF!+#REF!</f>
        <v>#REF!</v>
      </c>
      <c r="Z119" s="979"/>
      <c r="AA119" s="977" t="e">
        <f>#REF!</f>
        <v>#REF!</v>
      </c>
      <c r="AB119" s="977" t="e">
        <f t="shared" si="7"/>
        <v>#REF!</v>
      </c>
      <c r="AC119" s="977" t="e">
        <f>#REF!+#REF!</f>
        <v>#REF!</v>
      </c>
      <c r="AD119" s="977">
        <f t="shared" si="8"/>
        <v>2120</v>
      </c>
      <c r="AE119" s="634"/>
    </row>
    <row r="120" spans="1:31" s="629" customFormat="1" ht="18" customHeight="1">
      <c r="A120" s="664" t="s">
        <v>2846</v>
      </c>
      <c r="B120" s="510">
        <f t="shared" si="9"/>
        <v>82</v>
      </c>
      <c r="C120" s="980">
        <f>+NOMINA!C124</f>
        <v>12941385</v>
      </c>
      <c r="D120" s="981" t="str">
        <f>+NOMINA!D124</f>
        <v>Torres de Gonzalez Milangela Maria</v>
      </c>
      <c r="E120" s="978" t="s">
        <v>4622</v>
      </c>
      <c r="F120" s="982">
        <v>27081</v>
      </c>
      <c r="G120" s="978" t="s">
        <v>4620</v>
      </c>
      <c r="H120" s="983">
        <f>+NOMINA!H124</f>
        <v>42948</v>
      </c>
      <c r="I120" s="984">
        <f>+NOMINA!I124</f>
        <v>7</v>
      </c>
      <c r="J120" s="985">
        <f>+NOMINA!J124</f>
        <v>0</v>
      </c>
      <c r="K120" s="984">
        <f>+NOMINA!K124</f>
        <v>7</v>
      </c>
      <c r="L120" s="986">
        <f>+NOMINA!CA124</f>
        <v>2120</v>
      </c>
      <c r="M120" s="443" t="e">
        <f>#REF!+#REF!-#REF!</f>
        <v>#REF!</v>
      </c>
      <c r="N120" s="975" t="e">
        <f>ROUND((#REF!+#REF!+#REF!+#REF!+#REF!+#REF!+#REF!+#REF!),2)</f>
        <v>#REF!</v>
      </c>
      <c r="Q120" s="629" t="e">
        <f>SUM(#REF!)</f>
        <v>#REF!</v>
      </c>
      <c r="R120" s="976" t="e">
        <f>#REF!+#REF!-#REF!</f>
        <v>#REF!</v>
      </c>
      <c r="S120" s="977">
        <v>200</v>
      </c>
      <c r="T120" s="976" t="e">
        <f>#REF!+#REF!</f>
        <v>#REF!</v>
      </c>
      <c r="U120" s="977" t="e">
        <f>#REF!</f>
        <v>#REF!</v>
      </c>
      <c r="V120" s="978">
        <v>0</v>
      </c>
      <c r="W120" s="977" t="e">
        <f>#REF!</f>
        <v>#REF!</v>
      </c>
      <c r="X120" s="979" t="e">
        <f>#REF!+#REF!</f>
        <v>#REF!</v>
      </c>
      <c r="Y120" s="979" t="e">
        <f>#REF!+#REF!</f>
        <v>#REF!</v>
      </c>
      <c r="Z120" s="979"/>
      <c r="AA120" s="977" t="e">
        <f>#REF!</f>
        <v>#REF!</v>
      </c>
      <c r="AB120" s="977" t="e">
        <f t="shared" si="7"/>
        <v>#REF!</v>
      </c>
      <c r="AC120" s="977" t="e">
        <f>#REF!+#REF!</f>
        <v>#REF!</v>
      </c>
      <c r="AD120" s="977">
        <f t="shared" si="8"/>
        <v>2120</v>
      </c>
      <c r="AE120" s="634"/>
    </row>
    <row r="121" spans="1:31" s="629" customFormat="1" ht="18" customHeight="1">
      <c r="A121" s="664" t="s">
        <v>2846</v>
      </c>
      <c r="B121" s="510">
        <f t="shared" si="9"/>
        <v>83</v>
      </c>
      <c r="C121" s="980">
        <f>+NOMINA!C125</f>
        <v>13117904</v>
      </c>
      <c r="D121" s="981" t="str">
        <f>+NOMINA!D125</f>
        <v>Villegas Jaime Antonio</v>
      </c>
      <c r="E121" s="978" t="s">
        <v>4622</v>
      </c>
      <c r="F121" s="982">
        <v>27081</v>
      </c>
      <c r="G121" s="978" t="s">
        <v>4620</v>
      </c>
      <c r="H121" s="983">
        <f>+NOMINA!H125</f>
        <v>43693</v>
      </c>
      <c r="I121" s="984">
        <f>+NOMINA!I125</f>
        <v>5</v>
      </c>
      <c r="J121" s="985">
        <f>+NOMINA!J125</f>
        <v>0</v>
      </c>
      <c r="K121" s="984">
        <f>+NOMINA!K125</f>
        <v>5</v>
      </c>
      <c r="L121" s="986">
        <f>+NOMINA!CA125</f>
        <v>2120</v>
      </c>
      <c r="M121" s="443" t="e">
        <f>#REF!+#REF!-#REF!</f>
        <v>#REF!</v>
      </c>
      <c r="N121" s="975" t="e">
        <f>ROUND((#REF!+#REF!+#REF!+#REF!+#REF!+#REF!+#REF!+#REF!),2)</f>
        <v>#REF!</v>
      </c>
      <c r="Q121" s="629" t="e">
        <f>SUM(#REF!)</f>
        <v>#REF!</v>
      </c>
      <c r="R121" s="976" t="e">
        <f>#REF!+#REF!-#REF!</f>
        <v>#REF!</v>
      </c>
      <c r="S121" s="977">
        <v>200</v>
      </c>
      <c r="T121" s="976" t="e">
        <f>#REF!+#REF!</f>
        <v>#REF!</v>
      </c>
      <c r="U121" s="977" t="e">
        <f>#REF!</f>
        <v>#REF!</v>
      </c>
      <c r="V121" s="978">
        <v>0</v>
      </c>
      <c r="W121" s="977" t="e">
        <f>#REF!</f>
        <v>#REF!</v>
      </c>
      <c r="X121" s="979" t="e">
        <f>#REF!+#REF!</f>
        <v>#REF!</v>
      </c>
      <c r="Y121" s="979" t="e">
        <f>#REF!+#REF!</f>
        <v>#REF!</v>
      </c>
      <c r="Z121" s="979"/>
      <c r="AA121" s="977" t="e">
        <f>#REF!</f>
        <v>#REF!</v>
      </c>
      <c r="AB121" s="977" t="e">
        <f t="shared" si="7"/>
        <v>#REF!</v>
      </c>
      <c r="AC121" s="977" t="e">
        <f>#REF!+#REF!</f>
        <v>#REF!</v>
      </c>
      <c r="AD121" s="977">
        <f t="shared" si="8"/>
        <v>2120</v>
      </c>
      <c r="AE121" s="634"/>
    </row>
    <row r="122" spans="1:31" s="629" customFormat="1" ht="18" customHeight="1">
      <c r="A122" s="664" t="s">
        <v>2846</v>
      </c>
      <c r="B122" s="510">
        <f t="shared" si="9"/>
        <v>84</v>
      </c>
      <c r="C122" s="980">
        <f>+NOMINA!C126</f>
        <v>13206767</v>
      </c>
      <c r="D122" s="981" t="str">
        <f>+NOMINA!D126</f>
        <v>Bastidas Guerra Soralis del Valle</v>
      </c>
      <c r="E122" s="978" t="s">
        <v>4622</v>
      </c>
      <c r="F122" s="982">
        <v>27081</v>
      </c>
      <c r="G122" s="978" t="s">
        <v>4620</v>
      </c>
      <c r="H122" s="983">
        <f>+NOMINA!H126</f>
        <v>44713</v>
      </c>
      <c r="I122" s="984">
        <f>+NOMINA!I126</f>
        <v>2</v>
      </c>
      <c r="J122" s="985">
        <f>+NOMINA!J126</f>
        <v>0</v>
      </c>
      <c r="K122" s="984">
        <f>+NOMINA!K126</f>
        <v>2</v>
      </c>
      <c r="L122" s="986">
        <f>+NOMINA!CA126</f>
        <v>0</v>
      </c>
      <c r="M122" s="443" t="e">
        <f>#REF!+#REF!-#REF!</f>
        <v>#REF!</v>
      </c>
      <c r="N122" s="975" t="e">
        <f>ROUND((#REF!+#REF!+#REF!+#REF!+#REF!+#REF!+#REF!+#REF!),2)</f>
        <v>#REF!</v>
      </c>
      <c r="Q122" s="629" t="e">
        <f>SUM(#REF!)</f>
        <v>#REF!</v>
      </c>
      <c r="R122" s="976" t="e">
        <f>#REF!+#REF!-#REF!</f>
        <v>#REF!</v>
      </c>
      <c r="S122" s="977">
        <v>200</v>
      </c>
      <c r="T122" s="976" t="e">
        <f>#REF!+#REF!</f>
        <v>#REF!</v>
      </c>
      <c r="U122" s="977" t="e">
        <f>#REF!</f>
        <v>#REF!</v>
      </c>
      <c r="V122" s="978">
        <v>0</v>
      </c>
      <c r="W122" s="977" t="e">
        <f>#REF!</f>
        <v>#REF!</v>
      </c>
      <c r="X122" s="979" t="e">
        <f>#REF!+#REF!</f>
        <v>#REF!</v>
      </c>
      <c r="Y122" s="979" t="e">
        <f>#REF!+#REF!</f>
        <v>#REF!</v>
      </c>
      <c r="Z122" s="979"/>
      <c r="AA122" s="977" t="e">
        <f>#REF!</f>
        <v>#REF!</v>
      </c>
      <c r="AB122" s="977" t="e">
        <f t="shared" si="7"/>
        <v>#REF!</v>
      </c>
      <c r="AC122" s="977" t="e">
        <f>#REF!+#REF!</f>
        <v>#REF!</v>
      </c>
      <c r="AD122" s="977">
        <f t="shared" si="8"/>
        <v>0</v>
      </c>
      <c r="AE122" s="634"/>
    </row>
    <row r="123" spans="1:31" s="629" customFormat="1" ht="18" customHeight="1">
      <c r="A123" s="664" t="s">
        <v>2846</v>
      </c>
      <c r="B123" s="510">
        <f t="shared" si="9"/>
        <v>85</v>
      </c>
      <c r="C123" s="980">
        <f>+NOMINA!C127</f>
        <v>13207692</v>
      </c>
      <c r="D123" s="981" t="str">
        <f>+NOMINA!D127</f>
        <v>Macias Briceño Alejandra Coromoto</v>
      </c>
      <c r="E123" s="978" t="s">
        <v>4622</v>
      </c>
      <c r="F123" s="982">
        <v>27081</v>
      </c>
      <c r="G123" s="978" t="s">
        <v>4620</v>
      </c>
      <c r="H123" s="983">
        <f>+NOMINA!H127</f>
        <v>38504</v>
      </c>
      <c r="I123" s="984">
        <f>+NOMINA!I127</f>
        <v>19</v>
      </c>
      <c r="J123" s="985">
        <f>+NOMINA!J127</f>
        <v>0</v>
      </c>
      <c r="K123" s="984">
        <f>+NOMINA!K127</f>
        <v>19</v>
      </c>
      <c r="L123" s="986">
        <f>+NOMINA!CA127</f>
        <v>2120</v>
      </c>
      <c r="M123" s="443" t="e">
        <f>#REF!+#REF!-#REF!</f>
        <v>#REF!</v>
      </c>
      <c r="N123" s="975" t="e">
        <f>ROUND((#REF!+#REF!+#REF!+#REF!+#REF!+#REF!+#REF!+#REF!),2)</f>
        <v>#REF!</v>
      </c>
      <c r="Q123" s="629" t="e">
        <f>SUM(#REF!)</f>
        <v>#REF!</v>
      </c>
      <c r="R123" s="976" t="e">
        <f>#REF!+#REF!-#REF!</f>
        <v>#REF!</v>
      </c>
      <c r="S123" s="977">
        <v>200</v>
      </c>
      <c r="T123" s="976" t="e">
        <f>#REF!+#REF!</f>
        <v>#REF!</v>
      </c>
      <c r="U123" s="977" t="e">
        <f>#REF!</f>
        <v>#REF!</v>
      </c>
      <c r="V123" s="978">
        <v>0</v>
      </c>
      <c r="W123" s="977" t="e">
        <f>#REF!</f>
        <v>#REF!</v>
      </c>
      <c r="X123" s="979" t="e">
        <f>#REF!+#REF!</f>
        <v>#REF!</v>
      </c>
      <c r="Y123" s="979" t="e">
        <f>#REF!+#REF!</f>
        <v>#REF!</v>
      </c>
      <c r="Z123" s="979"/>
      <c r="AA123" s="977" t="e">
        <f>#REF!</f>
        <v>#REF!</v>
      </c>
      <c r="AB123" s="977" t="e">
        <f t="shared" si="7"/>
        <v>#REF!</v>
      </c>
      <c r="AC123" s="977" t="e">
        <f>#REF!+#REF!</f>
        <v>#REF!</v>
      </c>
      <c r="AD123" s="977">
        <f t="shared" si="8"/>
        <v>2120</v>
      </c>
      <c r="AE123" s="634"/>
    </row>
    <row r="124" spans="1:31" s="629" customFormat="1" ht="18" customHeight="1">
      <c r="A124" s="664" t="s">
        <v>2846</v>
      </c>
      <c r="B124" s="510">
        <f t="shared" si="9"/>
        <v>86</v>
      </c>
      <c r="C124" s="980">
        <f>+NOMINA!C128</f>
        <v>13260050</v>
      </c>
      <c r="D124" s="981" t="str">
        <f>+NOMINA!D128</f>
        <v>Mendoza Vieras Maria Elena</v>
      </c>
      <c r="E124" s="978" t="s">
        <v>4622</v>
      </c>
      <c r="F124" s="982">
        <v>27081</v>
      </c>
      <c r="G124" s="978" t="s">
        <v>4620</v>
      </c>
      <c r="H124" s="983">
        <f>+NOMINA!H128</f>
        <v>45444</v>
      </c>
      <c r="I124" s="984">
        <f>+NOMINA!I128</f>
        <v>0</v>
      </c>
      <c r="J124" s="985">
        <f>+NOMINA!J128</f>
        <v>12</v>
      </c>
      <c r="K124" s="984">
        <f>+NOMINA!K128</f>
        <v>12</v>
      </c>
      <c r="L124" s="986">
        <f>+NOMINA!CA128</f>
        <v>2120</v>
      </c>
      <c r="M124" s="443" t="e">
        <f>#REF!+#REF!-#REF!</f>
        <v>#REF!</v>
      </c>
      <c r="N124" s="975" t="e">
        <f>ROUND((#REF!+#REF!+#REF!+#REF!+#REF!+#REF!+#REF!+#REF!),2)</f>
        <v>#REF!</v>
      </c>
      <c r="Q124" s="629" t="e">
        <f>SUM(#REF!)</f>
        <v>#REF!</v>
      </c>
      <c r="R124" s="976" t="e">
        <f>#REF!+#REF!-#REF!</f>
        <v>#REF!</v>
      </c>
      <c r="S124" s="977">
        <v>200</v>
      </c>
      <c r="T124" s="976" t="e">
        <f>#REF!+#REF!</f>
        <v>#REF!</v>
      </c>
      <c r="U124" s="977" t="e">
        <f>#REF!</f>
        <v>#REF!</v>
      </c>
      <c r="V124" s="978">
        <v>0</v>
      </c>
      <c r="W124" s="977" t="e">
        <f>#REF!</f>
        <v>#REF!</v>
      </c>
      <c r="X124" s="979" t="e">
        <f>#REF!+#REF!</f>
        <v>#REF!</v>
      </c>
      <c r="Y124" s="979" t="e">
        <f>#REF!+#REF!</f>
        <v>#REF!</v>
      </c>
      <c r="Z124" s="979"/>
      <c r="AA124" s="977" t="e">
        <f>#REF!</f>
        <v>#REF!</v>
      </c>
      <c r="AB124" s="977" t="e">
        <f t="shared" si="7"/>
        <v>#REF!</v>
      </c>
      <c r="AC124" s="977" t="e">
        <f>#REF!+#REF!</f>
        <v>#REF!</v>
      </c>
      <c r="AD124" s="977">
        <f t="shared" si="8"/>
        <v>2120</v>
      </c>
      <c r="AE124" s="634"/>
    </row>
    <row r="125" spans="1:31" s="629" customFormat="1" ht="18" customHeight="1">
      <c r="A125" s="664" t="s">
        <v>2846</v>
      </c>
      <c r="B125" s="510">
        <f t="shared" si="9"/>
        <v>87</v>
      </c>
      <c r="C125" s="980">
        <f>+NOMINA!C129</f>
        <v>13260933</v>
      </c>
      <c r="D125" s="981" t="str">
        <f>+NOMINA!D129</f>
        <v>Venegas Azuaje Freddy Jose</v>
      </c>
      <c r="E125" s="978" t="s">
        <v>4622</v>
      </c>
      <c r="F125" s="982">
        <v>27081</v>
      </c>
      <c r="G125" s="978" t="s">
        <v>4620</v>
      </c>
      <c r="H125" s="983">
        <f>+NOMINA!H129</f>
        <v>45474</v>
      </c>
      <c r="I125" s="984">
        <f>+NOMINA!I129</f>
        <v>0</v>
      </c>
      <c r="J125" s="985">
        <f>+NOMINA!J129</f>
        <v>0</v>
      </c>
      <c r="K125" s="984">
        <f>+NOMINA!K129</f>
        <v>0</v>
      </c>
      <c r="L125" s="986">
        <f>+NOMINA!CA129</f>
        <v>2120</v>
      </c>
      <c r="M125" s="443" t="e">
        <f>#REF!+#REF!-#REF!</f>
        <v>#REF!</v>
      </c>
      <c r="N125" s="975" t="e">
        <f>ROUND((#REF!+#REF!+#REF!+#REF!+#REF!+#REF!+#REF!+#REF!),2)</f>
        <v>#REF!</v>
      </c>
      <c r="Q125" s="629" t="e">
        <f>SUM(#REF!)</f>
        <v>#REF!</v>
      </c>
      <c r="R125" s="976" t="e">
        <f>#REF!+#REF!-#REF!</f>
        <v>#REF!</v>
      </c>
      <c r="S125" s="977">
        <v>200</v>
      </c>
      <c r="T125" s="976" t="e">
        <f>#REF!+#REF!</f>
        <v>#REF!</v>
      </c>
      <c r="U125" s="977" t="e">
        <f>#REF!</f>
        <v>#REF!</v>
      </c>
      <c r="V125" s="978">
        <v>0</v>
      </c>
      <c r="W125" s="977" t="e">
        <f>#REF!</f>
        <v>#REF!</v>
      </c>
      <c r="X125" s="979" t="e">
        <f>#REF!+#REF!</f>
        <v>#REF!</v>
      </c>
      <c r="Y125" s="979" t="e">
        <f>#REF!+#REF!</f>
        <v>#REF!</v>
      </c>
      <c r="Z125" s="979"/>
      <c r="AA125" s="977" t="e">
        <f>#REF!</f>
        <v>#REF!</v>
      </c>
      <c r="AB125" s="977" t="e">
        <f t="shared" si="7"/>
        <v>#REF!</v>
      </c>
      <c r="AC125" s="977" t="e">
        <f>#REF!+#REF!</f>
        <v>#REF!</v>
      </c>
      <c r="AD125" s="977">
        <f t="shared" si="8"/>
        <v>2120</v>
      </c>
      <c r="AE125" s="634"/>
    </row>
    <row r="126" spans="1:31" s="629" customFormat="1" ht="18" customHeight="1">
      <c r="A126" s="664" t="s">
        <v>2846</v>
      </c>
      <c r="B126" s="510">
        <f t="shared" si="9"/>
        <v>88</v>
      </c>
      <c r="C126" s="980">
        <f>+NOMINA!C130</f>
        <v>13261035</v>
      </c>
      <c r="D126" s="981" t="str">
        <f>+NOMINA!D130</f>
        <v>Henry Peña Yokary Nakary</v>
      </c>
      <c r="E126" s="978" t="s">
        <v>4622</v>
      </c>
      <c r="F126" s="982">
        <v>27081</v>
      </c>
      <c r="G126" s="978" t="s">
        <v>4620</v>
      </c>
      <c r="H126" s="983">
        <f>+NOMINA!H130</f>
        <v>43770</v>
      </c>
      <c r="I126" s="984">
        <f>+NOMINA!I130</f>
        <v>5</v>
      </c>
      <c r="J126" s="985">
        <f>+NOMINA!J130</f>
        <v>0</v>
      </c>
      <c r="K126" s="984">
        <f>+NOMINA!K130</f>
        <v>5</v>
      </c>
      <c r="L126" s="986">
        <f>+NOMINA!CA130</f>
        <v>2120</v>
      </c>
      <c r="M126" s="443" t="e">
        <f>#REF!+#REF!-#REF!</f>
        <v>#REF!</v>
      </c>
      <c r="N126" s="975" t="e">
        <f>ROUND((#REF!+#REF!+#REF!+#REF!+#REF!+#REF!+#REF!+#REF!),2)</f>
        <v>#REF!</v>
      </c>
      <c r="Q126" s="629" t="e">
        <f>SUM(#REF!)</f>
        <v>#REF!</v>
      </c>
      <c r="R126" s="976" t="e">
        <f>#REF!+#REF!-#REF!</f>
        <v>#REF!</v>
      </c>
      <c r="S126" s="977">
        <v>200</v>
      </c>
      <c r="T126" s="976" t="e">
        <f>#REF!+#REF!</f>
        <v>#REF!</v>
      </c>
      <c r="U126" s="977" t="e">
        <f>#REF!</f>
        <v>#REF!</v>
      </c>
      <c r="V126" s="978">
        <v>0</v>
      </c>
      <c r="W126" s="977" t="e">
        <f>#REF!</f>
        <v>#REF!</v>
      </c>
      <c r="X126" s="979" t="e">
        <f>#REF!+#REF!</f>
        <v>#REF!</v>
      </c>
      <c r="Y126" s="979" t="e">
        <f>#REF!+#REF!</f>
        <v>#REF!</v>
      </c>
      <c r="Z126" s="979"/>
      <c r="AA126" s="977" t="e">
        <f>#REF!</f>
        <v>#REF!</v>
      </c>
      <c r="AB126" s="977" t="e">
        <f t="shared" si="7"/>
        <v>#REF!</v>
      </c>
      <c r="AC126" s="977" t="e">
        <f>#REF!+#REF!</f>
        <v>#REF!</v>
      </c>
      <c r="AD126" s="977">
        <f t="shared" si="8"/>
        <v>2120</v>
      </c>
      <c r="AE126" s="634"/>
    </row>
    <row r="127" spans="1:31" s="629" customFormat="1" ht="18" customHeight="1">
      <c r="A127" s="664" t="s">
        <v>2846</v>
      </c>
      <c r="B127" s="510">
        <f t="shared" si="9"/>
        <v>89</v>
      </c>
      <c r="C127" s="980">
        <f>+NOMINA!C131</f>
        <v>13261229</v>
      </c>
      <c r="D127" s="981" t="str">
        <f>+NOMINA!D131</f>
        <v>Abreu Rodriguez Eva Del Carmen</v>
      </c>
      <c r="E127" s="978" t="s">
        <v>4622</v>
      </c>
      <c r="F127" s="982">
        <v>27081</v>
      </c>
      <c r="G127" s="978" t="s">
        <v>4620</v>
      </c>
      <c r="H127" s="983">
        <f>+NOMINA!H131</f>
        <v>42644</v>
      </c>
      <c r="I127" s="984">
        <f>+NOMINA!I131</f>
        <v>8</v>
      </c>
      <c r="J127" s="985">
        <f>+NOMINA!J131</f>
        <v>0</v>
      </c>
      <c r="K127" s="984">
        <f>+NOMINA!K131</f>
        <v>8</v>
      </c>
      <c r="L127" s="986">
        <f>+NOMINA!CA131</f>
        <v>2120</v>
      </c>
      <c r="M127" s="443" t="e">
        <f>#REF!+#REF!-#REF!</f>
        <v>#REF!</v>
      </c>
      <c r="N127" s="975" t="e">
        <f>ROUND((#REF!+#REF!+#REF!+#REF!+#REF!+#REF!+#REF!+#REF!),2)</f>
        <v>#REF!</v>
      </c>
      <c r="Q127" s="629" t="e">
        <f>SUM(#REF!)</f>
        <v>#REF!</v>
      </c>
      <c r="R127" s="976" t="e">
        <f>#REF!+#REF!-#REF!</f>
        <v>#REF!</v>
      </c>
      <c r="S127" s="977">
        <v>200</v>
      </c>
      <c r="T127" s="976" t="e">
        <f>#REF!+#REF!</f>
        <v>#REF!</v>
      </c>
      <c r="U127" s="977" t="e">
        <f>#REF!</f>
        <v>#REF!</v>
      </c>
      <c r="V127" s="978">
        <v>0</v>
      </c>
      <c r="W127" s="977" t="e">
        <f>#REF!</f>
        <v>#REF!</v>
      </c>
      <c r="X127" s="979" t="e">
        <f>#REF!+#REF!</f>
        <v>#REF!</v>
      </c>
      <c r="Y127" s="979" t="e">
        <f>#REF!+#REF!</f>
        <v>#REF!</v>
      </c>
      <c r="Z127" s="979"/>
      <c r="AA127" s="977" t="e">
        <f>#REF!</f>
        <v>#REF!</v>
      </c>
      <c r="AB127" s="977" t="e">
        <f t="shared" si="7"/>
        <v>#REF!</v>
      </c>
      <c r="AC127" s="977" t="e">
        <f>#REF!+#REF!</f>
        <v>#REF!</v>
      </c>
      <c r="AD127" s="977">
        <f t="shared" si="8"/>
        <v>2120</v>
      </c>
      <c r="AE127" s="634"/>
    </row>
    <row r="128" spans="1:31" s="629" customFormat="1" ht="18" customHeight="1">
      <c r="A128" s="664" t="s">
        <v>2846</v>
      </c>
      <c r="B128" s="510">
        <f t="shared" si="9"/>
        <v>90</v>
      </c>
      <c r="C128" s="980">
        <f>+NOMINA!C132</f>
        <v>13461747</v>
      </c>
      <c r="D128" s="981" t="str">
        <f>+NOMINA!D132</f>
        <v>Santos Hernandez Karine Yenilet</v>
      </c>
      <c r="E128" s="978" t="s">
        <v>4622</v>
      </c>
      <c r="F128" s="982">
        <v>27081</v>
      </c>
      <c r="G128" s="978" t="s">
        <v>4620</v>
      </c>
      <c r="H128" s="983">
        <f>+NOMINA!H132</f>
        <v>44683</v>
      </c>
      <c r="I128" s="984">
        <f>+NOMINA!I132</f>
        <v>2</v>
      </c>
      <c r="J128" s="985">
        <f>+NOMINA!J132</f>
        <v>2</v>
      </c>
      <c r="K128" s="984">
        <f>+NOMINA!K132</f>
        <v>4</v>
      </c>
      <c r="L128" s="986">
        <f>+NOMINA!CA132</f>
        <v>2120</v>
      </c>
      <c r="M128" s="443" t="e">
        <f>#REF!+#REF!-#REF!</f>
        <v>#REF!</v>
      </c>
      <c r="N128" s="975" t="e">
        <f>ROUND((#REF!+#REF!+#REF!+#REF!+#REF!+#REF!+#REF!+#REF!),2)</f>
        <v>#REF!</v>
      </c>
      <c r="Q128" s="629" t="e">
        <f>SUM(#REF!)</f>
        <v>#REF!</v>
      </c>
      <c r="R128" s="976" t="e">
        <f>#REF!+#REF!-#REF!</f>
        <v>#REF!</v>
      </c>
      <c r="S128" s="977">
        <v>200</v>
      </c>
      <c r="T128" s="976" t="e">
        <f>#REF!+#REF!</f>
        <v>#REF!</v>
      </c>
      <c r="U128" s="977" t="e">
        <f>#REF!</f>
        <v>#REF!</v>
      </c>
      <c r="V128" s="978">
        <v>0</v>
      </c>
      <c r="W128" s="977" t="e">
        <f>#REF!</f>
        <v>#REF!</v>
      </c>
      <c r="X128" s="979" t="e">
        <f>#REF!+#REF!</f>
        <v>#REF!</v>
      </c>
      <c r="Y128" s="979" t="e">
        <f>#REF!+#REF!</f>
        <v>#REF!</v>
      </c>
      <c r="Z128" s="979"/>
      <c r="AA128" s="977" t="e">
        <f>#REF!</f>
        <v>#REF!</v>
      </c>
      <c r="AB128" s="977" t="e">
        <f t="shared" si="7"/>
        <v>#REF!</v>
      </c>
      <c r="AC128" s="977" t="e">
        <f>#REF!+#REF!</f>
        <v>#REF!</v>
      </c>
      <c r="AD128" s="977">
        <f t="shared" si="8"/>
        <v>2120</v>
      </c>
      <c r="AE128" s="634"/>
    </row>
    <row r="129" spans="1:31" s="629" customFormat="1" ht="18" customHeight="1">
      <c r="A129" s="664" t="s">
        <v>2846</v>
      </c>
      <c r="B129" s="510">
        <f t="shared" si="9"/>
        <v>91</v>
      </c>
      <c r="C129" s="980">
        <f>+NOMINA!C133</f>
        <v>13461934</v>
      </c>
      <c r="D129" s="981" t="str">
        <f>+NOMINA!D133</f>
        <v>Ramirez Ayala Jenny Marisela</v>
      </c>
      <c r="E129" s="978" t="s">
        <v>4622</v>
      </c>
      <c r="F129" s="982">
        <v>27081</v>
      </c>
      <c r="G129" s="978" t="s">
        <v>4620</v>
      </c>
      <c r="H129" s="983">
        <f>+NOMINA!H133</f>
        <v>43252</v>
      </c>
      <c r="I129" s="984">
        <f>+NOMINA!I133</f>
        <v>6</v>
      </c>
      <c r="J129" s="985">
        <f>+NOMINA!J133</f>
        <v>0</v>
      </c>
      <c r="K129" s="984">
        <f>+NOMINA!K133</f>
        <v>6</v>
      </c>
      <c r="L129" s="986">
        <f>+NOMINA!CA133</f>
        <v>2120</v>
      </c>
      <c r="M129" s="443" t="e">
        <f>#REF!+#REF!-#REF!</f>
        <v>#REF!</v>
      </c>
      <c r="N129" s="975" t="e">
        <f>ROUND((#REF!+#REF!+#REF!+#REF!+#REF!+#REF!+#REF!+#REF!),2)</f>
        <v>#REF!</v>
      </c>
      <c r="Q129" s="629" t="e">
        <f>SUM(#REF!)</f>
        <v>#REF!</v>
      </c>
      <c r="R129" s="976" t="e">
        <f>#REF!+#REF!-#REF!</f>
        <v>#REF!</v>
      </c>
      <c r="S129" s="977">
        <v>200</v>
      </c>
      <c r="T129" s="976" t="e">
        <f>#REF!+#REF!</f>
        <v>#REF!</v>
      </c>
      <c r="U129" s="977" t="e">
        <f>#REF!</f>
        <v>#REF!</v>
      </c>
      <c r="V129" s="978">
        <v>0</v>
      </c>
      <c r="W129" s="977" t="e">
        <f>#REF!</f>
        <v>#REF!</v>
      </c>
      <c r="X129" s="979" t="e">
        <f>#REF!+#REF!</f>
        <v>#REF!</v>
      </c>
      <c r="Y129" s="979" t="e">
        <f>#REF!+#REF!</f>
        <v>#REF!</v>
      </c>
      <c r="Z129" s="979"/>
      <c r="AA129" s="977" t="e">
        <f>#REF!</f>
        <v>#REF!</v>
      </c>
      <c r="AB129" s="977" t="e">
        <f t="shared" si="7"/>
        <v>#REF!</v>
      </c>
      <c r="AC129" s="977" t="e">
        <f>#REF!+#REF!</f>
        <v>#REF!</v>
      </c>
      <c r="AD129" s="977">
        <f t="shared" si="8"/>
        <v>2120</v>
      </c>
      <c r="AE129" s="634"/>
    </row>
    <row r="130" spans="1:31" s="629" customFormat="1" ht="18" customHeight="1">
      <c r="A130" s="664" t="s">
        <v>2846</v>
      </c>
      <c r="B130" s="510">
        <f t="shared" si="9"/>
        <v>92</v>
      </c>
      <c r="C130" s="980">
        <f>+NOMINA!C134</f>
        <v>13462933</v>
      </c>
      <c r="D130" s="981" t="str">
        <f>+NOMINA!D134</f>
        <v>Frias Aldana Maria Yaritza</v>
      </c>
      <c r="E130" s="978" t="s">
        <v>4622</v>
      </c>
      <c r="F130" s="982">
        <v>27081</v>
      </c>
      <c r="G130" s="978" t="s">
        <v>4620</v>
      </c>
      <c r="H130" s="983">
        <f>+NOMINA!H134</f>
        <v>39454</v>
      </c>
      <c r="I130" s="984">
        <f>+NOMINA!I134</f>
        <v>17</v>
      </c>
      <c r="J130" s="985">
        <f>+NOMINA!J134</f>
        <v>6</v>
      </c>
      <c r="K130" s="984">
        <f>+NOMINA!K134</f>
        <v>23</v>
      </c>
      <c r="L130" s="986">
        <f>+NOMINA!CA134</f>
        <v>0</v>
      </c>
      <c r="M130" s="443" t="e">
        <f>#REF!+#REF!-#REF!</f>
        <v>#REF!</v>
      </c>
      <c r="N130" s="975" t="e">
        <f>ROUND((#REF!+#REF!+#REF!+#REF!+#REF!+#REF!+#REF!+#REF!),2)</f>
        <v>#REF!</v>
      </c>
      <c r="Q130" s="629" t="e">
        <f>SUM(#REF!)</f>
        <v>#REF!</v>
      </c>
      <c r="R130" s="976" t="e">
        <f>#REF!+#REF!-#REF!</f>
        <v>#REF!</v>
      </c>
      <c r="S130" s="977">
        <v>200</v>
      </c>
      <c r="T130" s="976" t="e">
        <f>#REF!+#REF!</f>
        <v>#REF!</v>
      </c>
      <c r="U130" s="977" t="e">
        <f>#REF!</f>
        <v>#REF!</v>
      </c>
      <c r="V130" s="978">
        <v>0</v>
      </c>
      <c r="W130" s="977" t="e">
        <f>#REF!</f>
        <v>#REF!</v>
      </c>
      <c r="X130" s="979" t="e">
        <f>#REF!+#REF!</f>
        <v>#REF!</v>
      </c>
      <c r="Y130" s="979" t="e">
        <f>#REF!+#REF!</f>
        <v>#REF!</v>
      </c>
      <c r="Z130" s="979"/>
      <c r="AA130" s="977" t="e">
        <f>#REF!</f>
        <v>#REF!</v>
      </c>
      <c r="AB130" s="977" t="e">
        <f t="shared" si="7"/>
        <v>#REF!</v>
      </c>
      <c r="AC130" s="977" t="e">
        <f>#REF!+#REF!</f>
        <v>#REF!</v>
      </c>
      <c r="AD130" s="977">
        <f t="shared" si="8"/>
        <v>0</v>
      </c>
      <c r="AE130" s="634"/>
    </row>
    <row r="131" spans="1:31" s="629" customFormat="1" ht="18" customHeight="1">
      <c r="A131" s="664" t="s">
        <v>2846</v>
      </c>
      <c r="B131" s="510">
        <f t="shared" si="9"/>
        <v>93</v>
      </c>
      <c r="C131" s="980">
        <f>+NOMINA!C135</f>
        <v>13462511</v>
      </c>
      <c r="D131" s="981" t="str">
        <f>+NOMINA!D135</f>
        <v>Vielma Jenifer</v>
      </c>
      <c r="E131" s="978" t="s">
        <v>4622</v>
      </c>
      <c r="F131" s="982">
        <v>27081</v>
      </c>
      <c r="G131" s="978" t="s">
        <v>4620</v>
      </c>
      <c r="H131" s="983">
        <f>+NOMINA!H135</f>
        <v>43738</v>
      </c>
      <c r="I131" s="984">
        <f>+NOMINA!I135</f>
        <v>5</v>
      </c>
      <c r="J131" s="985">
        <f>+NOMINA!J135</f>
        <v>8</v>
      </c>
      <c r="K131" s="984">
        <f>+NOMINA!K135</f>
        <v>13</v>
      </c>
      <c r="L131" s="986">
        <f>+NOMINA!CA135</f>
        <v>2120</v>
      </c>
      <c r="M131" s="443" t="e">
        <f>#REF!+#REF!-#REF!</f>
        <v>#REF!</v>
      </c>
      <c r="N131" s="975" t="e">
        <f>ROUND((#REF!+#REF!+#REF!+#REF!+#REF!+#REF!+#REF!+#REF!),2)</f>
        <v>#REF!</v>
      </c>
      <c r="Q131" s="629" t="e">
        <f>SUM(#REF!)</f>
        <v>#REF!</v>
      </c>
      <c r="R131" s="976" t="e">
        <f>#REF!+#REF!-#REF!</f>
        <v>#REF!</v>
      </c>
      <c r="S131" s="977">
        <v>200</v>
      </c>
      <c r="T131" s="976" t="e">
        <f>#REF!+#REF!</f>
        <v>#REF!</v>
      </c>
      <c r="U131" s="977" t="e">
        <f>#REF!</f>
        <v>#REF!</v>
      </c>
      <c r="V131" s="978">
        <v>0</v>
      </c>
      <c r="W131" s="977" t="e">
        <f>#REF!</f>
        <v>#REF!</v>
      </c>
      <c r="X131" s="979" t="e">
        <f>#REF!+#REF!</f>
        <v>#REF!</v>
      </c>
      <c r="Y131" s="979" t="e">
        <f>#REF!+#REF!</f>
        <v>#REF!</v>
      </c>
      <c r="Z131" s="979"/>
      <c r="AA131" s="977" t="e">
        <f>#REF!</f>
        <v>#REF!</v>
      </c>
      <c r="AB131" s="977" t="e">
        <f t="shared" si="7"/>
        <v>#REF!</v>
      </c>
      <c r="AC131" s="977" t="e">
        <f>#REF!+#REF!</f>
        <v>#REF!</v>
      </c>
      <c r="AD131" s="977">
        <f t="shared" si="8"/>
        <v>2120</v>
      </c>
      <c r="AE131" s="634"/>
    </row>
    <row r="132" spans="1:31" s="629" customFormat="1" ht="18" customHeight="1">
      <c r="A132" s="664" t="s">
        <v>2846</v>
      </c>
      <c r="B132" s="510">
        <f t="shared" si="9"/>
        <v>94</v>
      </c>
      <c r="C132" s="980">
        <f>+NOMINA!C136</f>
        <v>13522518</v>
      </c>
      <c r="D132" s="981" t="str">
        <f>+NOMINA!D136</f>
        <v>Altuve Diaz Jose Antonio</v>
      </c>
      <c r="E132" s="978" t="s">
        <v>4622</v>
      </c>
      <c r="F132" s="982">
        <v>27081</v>
      </c>
      <c r="G132" s="978" t="s">
        <v>4620</v>
      </c>
      <c r="H132" s="983">
        <f>+NOMINA!H136</f>
        <v>43739</v>
      </c>
      <c r="I132" s="984">
        <f>+NOMINA!I136</f>
        <v>5</v>
      </c>
      <c r="J132" s="985">
        <f>+NOMINA!J136</f>
        <v>0</v>
      </c>
      <c r="K132" s="984">
        <f>+NOMINA!K136</f>
        <v>5</v>
      </c>
      <c r="L132" s="986">
        <f>+NOMINA!CA136</f>
        <v>2120</v>
      </c>
      <c r="M132" s="443" t="e">
        <f>#REF!+#REF!-#REF!</f>
        <v>#REF!</v>
      </c>
      <c r="N132" s="975" t="e">
        <f>ROUND((#REF!+#REF!+#REF!+#REF!+#REF!+#REF!+#REF!+#REF!),2)</f>
        <v>#REF!</v>
      </c>
      <c r="Q132" s="629" t="e">
        <f>SUM(#REF!)</f>
        <v>#REF!</v>
      </c>
      <c r="R132" s="976" t="e">
        <f>#REF!+#REF!-#REF!</f>
        <v>#REF!</v>
      </c>
      <c r="S132" s="977">
        <v>200</v>
      </c>
      <c r="T132" s="976" t="e">
        <f>#REF!+#REF!</f>
        <v>#REF!</v>
      </c>
      <c r="U132" s="977" t="e">
        <f>#REF!</f>
        <v>#REF!</v>
      </c>
      <c r="V132" s="978">
        <v>0</v>
      </c>
      <c r="W132" s="977" t="e">
        <f>#REF!</f>
        <v>#REF!</v>
      </c>
      <c r="X132" s="979" t="e">
        <f>#REF!+#REF!</f>
        <v>#REF!</v>
      </c>
      <c r="Y132" s="979" t="e">
        <f>#REF!+#REF!</f>
        <v>#REF!</v>
      </c>
      <c r="Z132" s="979"/>
      <c r="AA132" s="977" t="e">
        <f>#REF!</f>
        <v>#REF!</v>
      </c>
      <c r="AB132" s="977" t="e">
        <f t="shared" si="7"/>
        <v>#REF!</v>
      </c>
      <c r="AC132" s="977" t="e">
        <f>#REF!+#REF!</f>
        <v>#REF!</v>
      </c>
      <c r="AD132" s="977">
        <f t="shared" si="8"/>
        <v>2120</v>
      </c>
      <c r="AE132" s="634"/>
    </row>
    <row r="133" spans="1:31" s="629" customFormat="1" ht="18" customHeight="1">
      <c r="A133" s="664" t="s">
        <v>2846</v>
      </c>
      <c r="B133" s="510">
        <f t="shared" si="9"/>
        <v>95</v>
      </c>
      <c r="C133" s="980">
        <f>+NOMINA!C137</f>
        <v>13523075</v>
      </c>
      <c r="D133" s="981" t="str">
        <f>+NOMINA!D137</f>
        <v>Zambrano Castellanos Maria Alejandra</v>
      </c>
      <c r="E133" s="978" t="s">
        <v>4622</v>
      </c>
      <c r="F133" s="982">
        <v>27081</v>
      </c>
      <c r="G133" s="978" t="s">
        <v>4620</v>
      </c>
      <c r="H133" s="983">
        <f>+NOMINA!H137</f>
        <v>37718</v>
      </c>
      <c r="I133" s="984">
        <f>+NOMINA!I137</f>
        <v>21</v>
      </c>
      <c r="J133" s="985">
        <f>+NOMINA!J137</f>
        <v>0</v>
      </c>
      <c r="K133" s="984">
        <f>+NOMINA!K137</f>
        <v>21</v>
      </c>
      <c r="L133" s="986">
        <f>+NOMINA!CA137</f>
        <v>2120</v>
      </c>
      <c r="M133" s="443" t="e">
        <f>#REF!+#REF!-#REF!</f>
        <v>#REF!</v>
      </c>
      <c r="N133" s="975" t="e">
        <f>ROUND((#REF!+#REF!+#REF!+#REF!+#REF!+#REF!+#REF!+#REF!),2)</f>
        <v>#REF!</v>
      </c>
      <c r="Q133" s="629" t="e">
        <f>SUM(#REF!)</f>
        <v>#REF!</v>
      </c>
      <c r="R133" s="976" t="e">
        <f>#REF!+#REF!-#REF!</f>
        <v>#REF!</v>
      </c>
      <c r="S133" s="977">
        <v>200</v>
      </c>
      <c r="T133" s="976" t="e">
        <f>#REF!+#REF!</f>
        <v>#REF!</v>
      </c>
      <c r="U133" s="977" t="e">
        <f>#REF!</f>
        <v>#REF!</v>
      </c>
      <c r="V133" s="978">
        <v>0</v>
      </c>
      <c r="W133" s="977" t="e">
        <f>#REF!</f>
        <v>#REF!</v>
      </c>
      <c r="X133" s="979" t="e">
        <f>#REF!+#REF!</f>
        <v>#REF!</v>
      </c>
      <c r="Y133" s="979" t="e">
        <f>#REF!+#REF!</f>
        <v>#REF!</v>
      </c>
      <c r="Z133" s="979"/>
      <c r="AA133" s="977" t="e">
        <f>#REF!</f>
        <v>#REF!</v>
      </c>
      <c r="AB133" s="977" t="e">
        <f t="shared" si="7"/>
        <v>#REF!</v>
      </c>
      <c r="AC133" s="977" t="e">
        <f>#REF!+#REF!</f>
        <v>#REF!</v>
      </c>
      <c r="AD133" s="977">
        <f t="shared" si="8"/>
        <v>2120</v>
      </c>
      <c r="AE133" s="634"/>
    </row>
    <row r="134" spans="1:31" s="629" customFormat="1" ht="18" customHeight="1">
      <c r="A134" s="664" t="s">
        <v>2846</v>
      </c>
      <c r="B134" s="510">
        <f t="shared" si="9"/>
        <v>96</v>
      </c>
      <c r="C134" s="980">
        <f>+NOMINA!C138</f>
        <v>13745803</v>
      </c>
      <c r="D134" s="981" t="str">
        <f>+NOMINA!D138</f>
        <v>Materan Riveros Yorvis Alexis</v>
      </c>
      <c r="E134" s="978" t="s">
        <v>4622</v>
      </c>
      <c r="F134" s="982">
        <v>27081</v>
      </c>
      <c r="G134" s="978" t="s">
        <v>4620</v>
      </c>
      <c r="H134" s="983">
        <f>+NOMINA!H138</f>
        <v>44774</v>
      </c>
      <c r="I134" s="984">
        <f>+NOMINA!I138</f>
        <v>2</v>
      </c>
      <c r="J134" s="985">
        <f>+NOMINA!J138</f>
        <v>22</v>
      </c>
      <c r="K134" s="984">
        <f>+NOMINA!K138</f>
        <v>24</v>
      </c>
      <c r="L134" s="986">
        <f>+NOMINA!CA138</f>
        <v>2120</v>
      </c>
      <c r="M134" s="443" t="e">
        <f>#REF!+#REF!-#REF!</f>
        <v>#REF!</v>
      </c>
      <c r="N134" s="975" t="e">
        <f>ROUND((#REF!+#REF!+#REF!+#REF!+#REF!+#REF!+#REF!+#REF!),2)</f>
        <v>#REF!</v>
      </c>
      <c r="Q134" s="629" t="e">
        <f>SUM(#REF!)</f>
        <v>#REF!</v>
      </c>
      <c r="R134" s="976" t="e">
        <f>#REF!+#REF!-#REF!</f>
        <v>#REF!</v>
      </c>
      <c r="S134" s="977">
        <v>200</v>
      </c>
      <c r="T134" s="976" t="e">
        <f>#REF!+#REF!</f>
        <v>#REF!</v>
      </c>
      <c r="U134" s="977" t="e">
        <f>#REF!</f>
        <v>#REF!</v>
      </c>
      <c r="V134" s="978">
        <v>0</v>
      </c>
      <c r="W134" s="977" t="e">
        <f>#REF!</f>
        <v>#REF!</v>
      </c>
      <c r="X134" s="979" t="e">
        <f>#REF!+#REF!</f>
        <v>#REF!</v>
      </c>
      <c r="Y134" s="979" t="e">
        <f>#REF!+#REF!</f>
        <v>#REF!</v>
      </c>
      <c r="Z134" s="979"/>
      <c r="AA134" s="977" t="e">
        <f>#REF!</f>
        <v>#REF!</v>
      </c>
      <c r="AB134" s="977" t="e">
        <f t="shared" si="7"/>
        <v>#REF!</v>
      </c>
      <c r="AC134" s="977" t="e">
        <f>#REF!+#REF!</f>
        <v>#REF!</v>
      </c>
      <c r="AD134" s="977">
        <f t="shared" si="8"/>
        <v>2120</v>
      </c>
      <c r="AE134" s="634"/>
    </row>
    <row r="135" spans="1:31" s="629" customFormat="1" ht="18" customHeight="1">
      <c r="A135" s="664" t="s">
        <v>2846</v>
      </c>
      <c r="B135" s="510">
        <f t="shared" si="9"/>
        <v>97</v>
      </c>
      <c r="C135" s="980">
        <f>+NOMINA!C139</f>
        <v>13765028</v>
      </c>
      <c r="D135" s="981" t="str">
        <f>+NOMINA!D139</f>
        <v xml:space="preserve">Diaz Ramirez Mileyda Del Valle </v>
      </c>
      <c r="E135" s="978" t="s">
        <v>4622</v>
      </c>
      <c r="F135" s="982">
        <v>27081</v>
      </c>
      <c r="G135" s="978" t="s">
        <v>4620</v>
      </c>
      <c r="H135" s="983">
        <f>+NOMINA!H139</f>
        <v>44348</v>
      </c>
      <c r="I135" s="984">
        <f>+NOMINA!I139</f>
        <v>3</v>
      </c>
      <c r="J135" s="985">
        <f>+NOMINA!J139</f>
        <v>7</v>
      </c>
      <c r="K135" s="984">
        <f>+NOMINA!K139</f>
        <v>10</v>
      </c>
      <c r="L135" s="986">
        <f>+NOMINA!CA139</f>
        <v>2120</v>
      </c>
      <c r="M135" s="443" t="e">
        <f>#REF!+#REF!-#REF!</f>
        <v>#REF!</v>
      </c>
      <c r="N135" s="975" t="e">
        <f>ROUND((#REF!+#REF!+#REF!+#REF!+#REF!+#REF!+#REF!+#REF!),2)</f>
        <v>#REF!</v>
      </c>
      <c r="Q135" s="629" t="e">
        <f>SUM(#REF!)</f>
        <v>#REF!</v>
      </c>
      <c r="R135" s="976" t="e">
        <f>#REF!+#REF!-#REF!</f>
        <v>#REF!</v>
      </c>
      <c r="S135" s="977">
        <v>200</v>
      </c>
      <c r="T135" s="976" t="e">
        <f>#REF!+#REF!</f>
        <v>#REF!</v>
      </c>
      <c r="U135" s="977" t="e">
        <f>#REF!</f>
        <v>#REF!</v>
      </c>
      <c r="V135" s="978">
        <v>0</v>
      </c>
      <c r="W135" s="977" t="e">
        <f>#REF!</f>
        <v>#REF!</v>
      </c>
      <c r="X135" s="979" t="e">
        <f>#REF!+#REF!</f>
        <v>#REF!</v>
      </c>
      <c r="Y135" s="979" t="e">
        <f>#REF!+#REF!</f>
        <v>#REF!</v>
      </c>
      <c r="Z135" s="979"/>
      <c r="AA135" s="977" t="e">
        <f>#REF!</f>
        <v>#REF!</v>
      </c>
      <c r="AB135" s="977" t="e">
        <f t="shared" si="7"/>
        <v>#REF!</v>
      </c>
      <c r="AC135" s="977" t="e">
        <f>#REF!+#REF!</f>
        <v>#REF!</v>
      </c>
      <c r="AD135" s="977">
        <f t="shared" si="8"/>
        <v>2120</v>
      </c>
      <c r="AE135" s="634"/>
    </row>
    <row r="136" spans="1:31" s="629" customFormat="1" ht="18" customHeight="1">
      <c r="A136" s="664" t="s">
        <v>2846</v>
      </c>
      <c r="B136" s="510">
        <f t="shared" si="9"/>
        <v>98</v>
      </c>
      <c r="C136" s="980">
        <f>+NOMINA!C140</f>
        <v>13896147</v>
      </c>
      <c r="D136" s="981" t="str">
        <f>+NOMINA!D140</f>
        <v>Carrizo Blanco Belquis Cecilia</v>
      </c>
      <c r="E136" s="978" t="s">
        <v>4622</v>
      </c>
      <c r="F136" s="982">
        <v>27081</v>
      </c>
      <c r="G136" s="978" t="s">
        <v>4620</v>
      </c>
      <c r="H136" s="983">
        <f>+NOMINA!H140</f>
        <v>41334</v>
      </c>
      <c r="I136" s="984">
        <f>+NOMINA!I140</f>
        <v>11</v>
      </c>
      <c r="J136" s="985">
        <f>+NOMINA!J140</f>
        <v>0</v>
      </c>
      <c r="K136" s="984">
        <f>+NOMINA!K140</f>
        <v>11</v>
      </c>
      <c r="L136" s="986">
        <f>+NOMINA!CA140</f>
        <v>2120</v>
      </c>
      <c r="M136" s="443" t="e">
        <f>#REF!+#REF!-#REF!</f>
        <v>#REF!</v>
      </c>
      <c r="N136" s="975" t="e">
        <f>ROUND((#REF!+#REF!+#REF!+#REF!+#REF!+#REF!+#REF!+#REF!),2)</f>
        <v>#REF!</v>
      </c>
      <c r="Q136" s="629" t="e">
        <f>SUM(#REF!)</f>
        <v>#REF!</v>
      </c>
      <c r="R136" s="976" t="e">
        <f>#REF!+#REF!-#REF!</f>
        <v>#REF!</v>
      </c>
      <c r="S136" s="977">
        <v>200</v>
      </c>
      <c r="T136" s="976" t="e">
        <f>#REF!+#REF!</f>
        <v>#REF!</v>
      </c>
      <c r="U136" s="977" t="e">
        <f>#REF!</f>
        <v>#REF!</v>
      </c>
      <c r="V136" s="978">
        <v>0</v>
      </c>
      <c r="W136" s="977" t="e">
        <f>#REF!</f>
        <v>#REF!</v>
      </c>
      <c r="X136" s="979" t="e">
        <f>#REF!+#REF!</f>
        <v>#REF!</v>
      </c>
      <c r="Y136" s="979" t="e">
        <f>#REF!+#REF!</f>
        <v>#REF!</v>
      </c>
      <c r="Z136" s="979"/>
      <c r="AA136" s="977" t="e">
        <f>#REF!</f>
        <v>#REF!</v>
      </c>
      <c r="AB136" s="977" t="e">
        <f t="shared" si="7"/>
        <v>#REF!</v>
      </c>
      <c r="AC136" s="977" t="e">
        <f>#REF!+#REF!</f>
        <v>#REF!</v>
      </c>
      <c r="AD136" s="977">
        <f t="shared" si="8"/>
        <v>2120</v>
      </c>
      <c r="AE136" s="634"/>
    </row>
    <row r="137" spans="1:31" s="629" customFormat="1" ht="18" customHeight="1">
      <c r="A137" s="664" t="s">
        <v>2846</v>
      </c>
      <c r="B137" s="510">
        <f t="shared" si="9"/>
        <v>99</v>
      </c>
      <c r="C137" s="980">
        <f>+NOMINA!C141</f>
        <v>13896239</v>
      </c>
      <c r="D137" s="981" t="str">
        <f>+NOMINA!D141</f>
        <v>Sulbaran Campos Yusneida Ayarith</v>
      </c>
      <c r="E137" s="978" t="s">
        <v>4622</v>
      </c>
      <c r="F137" s="982">
        <v>27081</v>
      </c>
      <c r="G137" s="978" t="s">
        <v>4620</v>
      </c>
      <c r="H137" s="983">
        <f>+NOMINA!H141</f>
        <v>42416</v>
      </c>
      <c r="I137" s="984">
        <f>+NOMINA!I141</f>
        <v>8</v>
      </c>
      <c r="J137" s="985">
        <f>+NOMINA!J141</f>
        <v>0</v>
      </c>
      <c r="K137" s="984">
        <f>+NOMINA!K141</f>
        <v>8</v>
      </c>
      <c r="L137" s="986">
        <f>+NOMINA!CA141</f>
        <v>0</v>
      </c>
      <c r="M137" s="443" t="e">
        <f>#REF!+#REF!-#REF!</f>
        <v>#REF!</v>
      </c>
      <c r="N137" s="975" t="e">
        <f>ROUND((#REF!+#REF!+#REF!+#REF!+#REF!+#REF!+#REF!+#REF!),2)</f>
        <v>#REF!</v>
      </c>
      <c r="Q137" s="629" t="e">
        <f>SUM(#REF!)</f>
        <v>#REF!</v>
      </c>
      <c r="R137" s="976" t="e">
        <f>#REF!+#REF!-#REF!</f>
        <v>#REF!</v>
      </c>
      <c r="S137" s="977">
        <v>200</v>
      </c>
      <c r="T137" s="976" t="e">
        <f>#REF!+#REF!</f>
        <v>#REF!</v>
      </c>
      <c r="U137" s="977" t="e">
        <f>#REF!</f>
        <v>#REF!</v>
      </c>
      <c r="V137" s="978">
        <v>0</v>
      </c>
      <c r="W137" s="977" t="e">
        <f>#REF!</f>
        <v>#REF!</v>
      </c>
      <c r="X137" s="979" t="e">
        <f>#REF!+#REF!</f>
        <v>#REF!</v>
      </c>
      <c r="Y137" s="979" t="e">
        <f>#REF!+#REF!</f>
        <v>#REF!</v>
      </c>
      <c r="Z137" s="979"/>
      <c r="AA137" s="977" t="e">
        <f>#REF!</f>
        <v>#REF!</v>
      </c>
      <c r="AB137" s="977" t="e">
        <f t="shared" si="7"/>
        <v>#REF!</v>
      </c>
      <c r="AC137" s="977" t="e">
        <f>#REF!+#REF!</f>
        <v>#REF!</v>
      </c>
      <c r="AD137" s="977">
        <f t="shared" si="8"/>
        <v>0</v>
      </c>
      <c r="AE137" s="634"/>
    </row>
    <row r="138" spans="1:31" s="629" customFormat="1" ht="18" customHeight="1">
      <c r="A138" s="664" t="s">
        <v>2846</v>
      </c>
      <c r="B138" s="510">
        <f t="shared" si="9"/>
        <v>100</v>
      </c>
      <c r="C138" s="980">
        <f>+NOMINA!C142</f>
        <v>13897046</v>
      </c>
      <c r="D138" s="981" t="str">
        <f>+NOMINA!D142</f>
        <v>Artigas Sanchez Mireya Carolina</v>
      </c>
      <c r="E138" s="978" t="s">
        <v>4622</v>
      </c>
      <c r="F138" s="982">
        <v>27081</v>
      </c>
      <c r="G138" s="978" t="s">
        <v>4620</v>
      </c>
      <c r="H138" s="983">
        <f>+NOMINA!H142</f>
        <v>42384</v>
      </c>
      <c r="I138" s="984">
        <f>+NOMINA!I142</f>
        <v>9</v>
      </c>
      <c r="J138" s="985">
        <f>+NOMINA!J142</f>
        <v>0</v>
      </c>
      <c r="K138" s="984">
        <f>+NOMINA!K142</f>
        <v>9</v>
      </c>
      <c r="L138" s="986">
        <f>+NOMINA!CA142</f>
        <v>2120</v>
      </c>
      <c r="M138" s="443" t="e">
        <f>#REF!+#REF!-#REF!</f>
        <v>#REF!</v>
      </c>
      <c r="N138" s="975" t="e">
        <f>ROUND((#REF!+#REF!+#REF!+#REF!+#REF!+#REF!+#REF!+#REF!),2)</f>
        <v>#REF!</v>
      </c>
      <c r="Q138" s="629" t="e">
        <f>SUM(#REF!)</f>
        <v>#REF!</v>
      </c>
      <c r="R138" s="976" t="e">
        <f>#REF!+#REF!-#REF!</f>
        <v>#REF!</v>
      </c>
      <c r="S138" s="977">
        <v>200</v>
      </c>
      <c r="T138" s="976" t="e">
        <f>#REF!+#REF!</f>
        <v>#REF!</v>
      </c>
      <c r="U138" s="977" t="e">
        <f>#REF!</f>
        <v>#REF!</v>
      </c>
      <c r="V138" s="978">
        <v>0</v>
      </c>
      <c r="W138" s="977" t="e">
        <f>#REF!</f>
        <v>#REF!</v>
      </c>
      <c r="X138" s="979" t="e">
        <f>#REF!+#REF!</f>
        <v>#REF!</v>
      </c>
      <c r="Y138" s="979" t="e">
        <f>#REF!+#REF!</f>
        <v>#REF!</v>
      </c>
      <c r="Z138" s="979"/>
      <c r="AA138" s="977" t="e">
        <f>#REF!</f>
        <v>#REF!</v>
      </c>
      <c r="AB138" s="977" t="e">
        <f t="shared" si="7"/>
        <v>#REF!</v>
      </c>
      <c r="AC138" s="977" t="e">
        <f>#REF!+#REF!</f>
        <v>#REF!</v>
      </c>
      <c r="AD138" s="977">
        <f t="shared" si="8"/>
        <v>2120</v>
      </c>
      <c r="AE138" s="634"/>
    </row>
    <row r="139" spans="1:31" s="629" customFormat="1" ht="18" customHeight="1">
      <c r="A139" s="664" t="s">
        <v>2846</v>
      </c>
      <c r="B139" s="510">
        <f t="shared" si="9"/>
        <v>101</v>
      </c>
      <c r="C139" s="980">
        <f>+NOMINA!C143</f>
        <v>13897695</v>
      </c>
      <c r="D139" s="981" t="str">
        <f>+NOMINA!D143</f>
        <v>Araujo Matheus Alba Mariela</v>
      </c>
      <c r="E139" s="978" t="s">
        <v>4622</v>
      </c>
      <c r="F139" s="982">
        <v>27081</v>
      </c>
      <c r="G139" s="978" t="s">
        <v>4620</v>
      </c>
      <c r="H139" s="983">
        <f>+NOMINA!H143</f>
        <v>39496</v>
      </c>
      <c r="I139" s="984">
        <f>+NOMINA!I143</f>
        <v>16</v>
      </c>
      <c r="J139" s="985">
        <f>+NOMINA!J143</f>
        <v>3</v>
      </c>
      <c r="K139" s="984">
        <f>+NOMINA!K143</f>
        <v>19</v>
      </c>
      <c r="L139" s="986">
        <f>+NOMINA!CA143</f>
        <v>2120</v>
      </c>
      <c r="M139" s="443" t="e">
        <f>#REF!+#REF!-#REF!</f>
        <v>#REF!</v>
      </c>
      <c r="N139" s="975" t="e">
        <f>ROUND((#REF!+#REF!+#REF!+#REF!+#REF!+#REF!+#REF!+#REF!),2)</f>
        <v>#REF!</v>
      </c>
      <c r="Q139" s="629" t="e">
        <f>SUM(#REF!)</f>
        <v>#REF!</v>
      </c>
      <c r="R139" s="976" t="e">
        <f>#REF!+#REF!-#REF!</f>
        <v>#REF!</v>
      </c>
      <c r="S139" s="977">
        <v>200</v>
      </c>
      <c r="T139" s="976" t="e">
        <f>#REF!+#REF!</f>
        <v>#REF!</v>
      </c>
      <c r="U139" s="977" t="e">
        <f>#REF!</f>
        <v>#REF!</v>
      </c>
      <c r="V139" s="978">
        <v>0</v>
      </c>
      <c r="W139" s="977" t="e">
        <f>#REF!</f>
        <v>#REF!</v>
      </c>
      <c r="X139" s="979" t="e">
        <f>#REF!+#REF!</f>
        <v>#REF!</v>
      </c>
      <c r="Y139" s="979" t="e">
        <f>#REF!+#REF!</f>
        <v>#REF!</v>
      </c>
      <c r="Z139" s="979"/>
      <c r="AA139" s="977" t="e">
        <f>#REF!</f>
        <v>#REF!</v>
      </c>
      <c r="AB139" s="977" t="e">
        <f t="shared" si="7"/>
        <v>#REF!</v>
      </c>
      <c r="AC139" s="977" t="e">
        <f>#REF!+#REF!</f>
        <v>#REF!</v>
      </c>
      <c r="AD139" s="977">
        <f t="shared" si="8"/>
        <v>2120</v>
      </c>
      <c r="AE139" s="634"/>
    </row>
    <row r="140" spans="1:31" s="629" customFormat="1" ht="18" customHeight="1">
      <c r="A140" s="664" t="s">
        <v>2846</v>
      </c>
      <c r="B140" s="510">
        <f t="shared" si="9"/>
        <v>102</v>
      </c>
      <c r="C140" s="980">
        <f>+NOMINA!C144</f>
        <v>13996024</v>
      </c>
      <c r="D140" s="981" t="str">
        <f>+NOMINA!D144</f>
        <v>Perez Barrios Helenmar</v>
      </c>
      <c r="E140" s="978" t="s">
        <v>4622</v>
      </c>
      <c r="F140" s="982">
        <v>27081</v>
      </c>
      <c r="G140" s="978" t="s">
        <v>4620</v>
      </c>
      <c r="H140" s="983">
        <f>+NOMINA!H144</f>
        <v>40028</v>
      </c>
      <c r="I140" s="984">
        <f>+NOMINA!I144</f>
        <v>15</v>
      </c>
      <c r="J140" s="985">
        <f>+NOMINA!J144</f>
        <v>0</v>
      </c>
      <c r="K140" s="984">
        <f>+NOMINA!K144</f>
        <v>15</v>
      </c>
      <c r="L140" s="986">
        <f>+NOMINA!CA144</f>
        <v>2120</v>
      </c>
      <c r="M140" s="443" t="e">
        <f>#REF!+#REF!-#REF!</f>
        <v>#REF!</v>
      </c>
      <c r="N140" s="975" t="e">
        <f>ROUND((#REF!+#REF!+#REF!+#REF!+#REF!+#REF!+#REF!+#REF!),2)</f>
        <v>#REF!</v>
      </c>
      <c r="Q140" s="629" t="e">
        <f>SUM(#REF!)</f>
        <v>#REF!</v>
      </c>
      <c r="R140" s="976" t="e">
        <f>#REF!+#REF!-#REF!</f>
        <v>#REF!</v>
      </c>
      <c r="S140" s="977">
        <v>200</v>
      </c>
      <c r="T140" s="976" t="e">
        <f>#REF!+#REF!</f>
        <v>#REF!</v>
      </c>
      <c r="U140" s="977" t="e">
        <f>#REF!</f>
        <v>#REF!</v>
      </c>
      <c r="V140" s="978">
        <v>0</v>
      </c>
      <c r="W140" s="977" t="e">
        <f>#REF!</f>
        <v>#REF!</v>
      </c>
      <c r="X140" s="979" t="e">
        <f>#REF!+#REF!</f>
        <v>#REF!</v>
      </c>
      <c r="Y140" s="979" t="e">
        <f>#REF!+#REF!</f>
        <v>#REF!</v>
      </c>
      <c r="Z140" s="979"/>
      <c r="AA140" s="977" t="e">
        <f>#REF!</f>
        <v>#REF!</v>
      </c>
      <c r="AB140" s="977" t="e">
        <f t="shared" si="7"/>
        <v>#REF!</v>
      </c>
      <c r="AC140" s="977" t="e">
        <f>#REF!+#REF!</f>
        <v>#REF!</v>
      </c>
      <c r="AD140" s="977">
        <f t="shared" si="8"/>
        <v>2120</v>
      </c>
      <c r="AE140" s="634"/>
    </row>
    <row r="141" spans="1:31" s="629" customFormat="1" ht="18" customHeight="1">
      <c r="A141" s="664" t="s">
        <v>2846</v>
      </c>
      <c r="B141" s="510">
        <f t="shared" si="9"/>
        <v>103</v>
      </c>
      <c r="C141" s="980">
        <f>+NOMINA!C145</f>
        <v>14106648</v>
      </c>
      <c r="D141" s="981" t="str">
        <f>+NOMINA!D145</f>
        <v>Aguilar Flores Heidy Coromoto</v>
      </c>
      <c r="E141" s="978" t="s">
        <v>4622</v>
      </c>
      <c r="F141" s="982">
        <v>27081</v>
      </c>
      <c r="G141" s="978" t="s">
        <v>4620</v>
      </c>
      <c r="H141" s="983">
        <f>+NOMINA!H145</f>
        <v>40787</v>
      </c>
      <c r="I141" s="984">
        <f>+NOMINA!I145</f>
        <v>13</v>
      </c>
      <c r="J141" s="985">
        <f>+NOMINA!J145</f>
        <v>6</v>
      </c>
      <c r="K141" s="984">
        <f>+NOMINA!K145</f>
        <v>19</v>
      </c>
      <c r="L141" s="986">
        <f>+NOMINA!CA145</f>
        <v>2120</v>
      </c>
      <c r="M141" s="443" t="e">
        <f>#REF!+#REF!-#REF!</f>
        <v>#REF!</v>
      </c>
      <c r="N141" s="975" t="e">
        <f>ROUND((#REF!+#REF!+#REF!+#REF!+#REF!+#REF!+#REF!+#REF!),2)</f>
        <v>#REF!</v>
      </c>
      <c r="Q141" s="629" t="e">
        <f>SUM(#REF!)</f>
        <v>#REF!</v>
      </c>
      <c r="R141" s="976" t="e">
        <f>#REF!+#REF!-#REF!</f>
        <v>#REF!</v>
      </c>
      <c r="S141" s="977">
        <v>200</v>
      </c>
      <c r="T141" s="976" t="e">
        <f>#REF!+#REF!</f>
        <v>#REF!</v>
      </c>
      <c r="U141" s="977" t="e">
        <f>#REF!</f>
        <v>#REF!</v>
      </c>
      <c r="V141" s="978">
        <v>0</v>
      </c>
      <c r="W141" s="977" t="e">
        <f>#REF!</f>
        <v>#REF!</v>
      </c>
      <c r="X141" s="979" t="e">
        <f>#REF!+#REF!</f>
        <v>#REF!</v>
      </c>
      <c r="Y141" s="979" t="e">
        <f>#REF!+#REF!</f>
        <v>#REF!</v>
      </c>
      <c r="Z141" s="979"/>
      <c r="AA141" s="977" t="e">
        <f>#REF!</f>
        <v>#REF!</v>
      </c>
      <c r="AB141" s="977" t="e">
        <f t="shared" si="7"/>
        <v>#REF!</v>
      </c>
      <c r="AC141" s="977" t="e">
        <f>#REF!+#REF!</f>
        <v>#REF!</v>
      </c>
      <c r="AD141" s="977">
        <f t="shared" si="8"/>
        <v>2120</v>
      </c>
      <c r="AE141" s="634"/>
    </row>
    <row r="142" spans="1:31" s="629" customFormat="1" ht="18" customHeight="1">
      <c r="A142" s="664" t="s">
        <v>2846</v>
      </c>
      <c r="B142" s="510">
        <f t="shared" si="9"/>
        <v>104</v>
      </c>
      <c r="C142" s="980">
        <f>+NOMINA!C146</f>
        <v>14329448</v>
      </c>
      <c r="D142" s="981" t="str">
        <f>+NOMINA!D146</f>
        <v>Leal Mejia Jociany Trinny</v>
      </c>
      <c r="E142" s="978" t="s">
        <v>4622</v>
      </c>
      <c r="F142" s="982">
        <v>27081</v>
      </c>
      <c r="G142" s="978" t="s">
        <v>4620</v>
      </c>
      <c r="H142" s="983">
        <f>+NOMINA!H146</f>
        <v>44743</v>
      </c>
      <c r="I142" s="984">
        <f>+NOMINA!I146</f>
        <v>2</v>
      </c>
      <c r="J142" s="985">
        <f>+NOMINA!J146</f>
        <v>0</v>
      </c>
      <c r="K142" s="984">
        <f>+NOMINA!K146</f>
        <v>2</v>
      </c>
      <c r="L142" s="986">
        <f>+NOMINA!CA146</f>
        <v>2120</v>
      </c>
      <c r="M142" s="443" t="e">
        <f>#REF!+#REF!-#REF!</f>
        <v>#REF!</v>
      </c>
      <c r="N142" s="975" t="e">
        <f>ROUND((#REF!+#REF!+#REF!+#REF!+#REF!+#REF!+#REF!+#REF!),2)</f>
        <v>#REF!</v>
      </c>
      <c r="Q142" s="629" t="e">
        <f>SUM(#REF!)</f>
        <v>#REF!</v>
      </c>
      <c r="R142" s="976" t="e">
        <f>#REF!+#REF!-#REF!</f>
        <v>#REF!</v>
      </c>
      <c r="S142" s="977">
        <v>200</v>
      </c>
      <c r="T142" s="976" t="e">
        <f>#REF!+#REF!</f>
        <v>#REF!</v>
      </c>
      <c r="U142" s="977" t="e">
        <f>#REF!</f>
        <v>#REF!</v>
      </c>
      <c r="V142" s="978">
        <v>0</v>
      </c>
      <c r="W142" s="977" t="e">
        <f>#REF!</f>
        <v>#REF!</v>
      </c>
      <c r="X142" s="979" t="e">
        <f>#REF!+#REF!</f>
        <v>#REF!</v>
      </c>
      <c r="Y142" s="979" t="e">
        <f>#REF!+#REF!</f>
        <v>#REF!</v>
      </c>
      <c r="Z142" s="979"/>
      <c r="AA142" s="977" t="e">
        <f>#REF!</f>
        <v>#REF!</v>
      </c>
      <c r="AB142" s="977" t="e">
        <f t="shared" si="7"/>
        <v>#REF!</v>
      </c>
      <c r="AC142" s="977" t="e">
        <f>#REF!+#REF!</f>
        <v>#REF!</v>
      </c>
      <c r="AD142" s="977">
        <f t="shared" si="8"/>
        <v>2120</v>
      </c>
      <c r="AE142" s="634"/>
    </row>
    <row r="143" spans="1:31" s="629" customFormat="1" ht="18" customHeight="1">
      <c r="A143" s="664" t="s">
        <v>2846</v>
      </c>
      <c r="B143" s="510">
        <f t="shared" si="9"/>
        <v>105</v>
      </c>
      <c r="C143" s="980">
        <f>+NOMINA!C147</f>
        <v>14406240</v>
      </c>
      <c r="D143" s="981" t="str">
        <f>+NOMINA!D147</f>
        <v>Sarmiento Suarez Karem Yanira</v>
      </c>
      <c r="E143" s="978" t="s">
        <v>4622</v>
      </c>
      <c r="F143" s="982">
        <v>27081</v>
      </c>
      <c r="G143" s="978" t="s">
        <v>4620</v>
      </c>
      <c r="H143" s="983">
        <f>+NOMINA!H147</f>
        <v>43785</v>
      </c>
      <c r="I143" s="984">
        <f>+NOMINA!I147</f>
        <v>5</v>
      </c>
      <c r="J143" s="985">
        <f>+NOMINA!J147</f>
        <v>11</v>
      </c>
      <c r="K143" s="984">
        <f>+NOMINA!K147</f>
        <v>16</v>
      </c>
      <c r="L143" s="986">
        <f>+NOMINA!CA147</f>
        <v>2120</v>
      </c>
      <c r="M143" s="443" t="e">
        <f>#REF!+#REF!-#REF!</f>
        <v>#REF!</v>
      </c>
      <c r="N143" s="975" t="e">
        <f>ROUND((#REF!+#REF!+#REF!+#REF!+#REF!+#REF!+#REF!+#REF!),2)</f>
        <v>#REF!</v>
      </c>
      <c r="Q143" s="629" t="e">
        <f>SUM(#REF!)</f>
        <v>#REF!</v>
      </c>
      <c r="R143" s="976" t="e">
        <f>#REF!+#REF!-#REF!</f>
        <v>#REF!</v>
      </c>
      <c r="S143" s="977">
        <v>200</v>
      </c>
      <c r="T143" s="976" t="e">
        <f>#REF!+#REF!</f>
        <v>#REF!</v>
      </c>
      <c r="U143" s="977" t="e">
        <f>#REF!</f>
        <v>#REF!</v>
      </c>
      <c r="V143" s="978">
        <v>0</v>
      </c>
      <c r="W143" s="977" t="e">
        <f>#REF!</f>
        <v>#REF!</v>
      </c>
      <c r="X143" s="979" t="e">
        <f>#REF!+#REF!</f>
        <v>#REF!</v>
      </c>
      <c r="Y143" s="979" t="e">
        <f>#REF!+#REF!</f>
        <v>#REF!</v>
      </c>
      <c r="Z143" s="979"/>
      <c r="AA143" s="977" t="e">
        <f>#REF!</f>
        <v>#REF!</v>
      </c>
      <c r="AB143" s="977" t="e">
        <f t="shared" si="7"/>
        <v>#REF!</v>
      </c>
      <c r="AC143" s="977" t="e">
        <f>#REF!+#REF!</f>
        <v>#REF!</v>
      </c>
      <c r="AD143" s="977">
        <f t="shared" si="8"/>
        <v>2120</v>
      </c>
      <c r="AE143" s="634"/>
    </row>
    <row r="144" spans="1:31" s="629" customFormat="1" ht="18" customHeight="1">
      <c r="A144" s="664" t="s">
        <v>2846</v>
      </c>
      <c r="B144" s="510">
        <f t="shared" si="9"/>
        <v>106</v>
      </c>
      <c r="C144" s="980">
        <f>+NOMINA!C148</f>
        <v>14459607</v>
      </c>
      <c r="D144" s="981" t="str">
        <f>+NOMINA!D148</f>
        <v>Martinez Leal Deyanira Yusissan</v>
      </c>
      <c r="E144" s="978" t="s">
        <v>4622</v>
      </c>
      <c r="F144" s="982">
        <v>27081</v>
      </c>
      <c r="G144" s="978" t="s">
        <v>4620</v>
      </c>
      <c r="H144" s="983">
        <f>+NOMINA!H148</f>
        <v>43116</v>
      </c>
      <c r="I144" s="984">
        <f>+NOMINA!I148</f>
        <v>7</v>
      </c>
      <c r="J144" s="985">
        <f>+NOMINA!J148</f>
        <v>0</v>
      </c>
      <c r="K144" s="984">
        <f>+NOMINA!K148</f>
        <v>7</v>
      </c>
      <c r="L144" s="986">
        <f>+NOMINA!CA148</f>
        <v>2120</v>
      </c>
      <c r="M144" s="443" t="e">
        <f>#REF!+#REF!-#REF!</f>
        <v>#REF!</v>
      </c>
      <c r="N144" s="975" t="e">
        <f>ROUND((#REF!+#REF!+#REF!+#REF!+#REF!+#REF!+#REF!+#REF!),2)</f>
        <v>#REF!</v>
      </c>
      <c r="Q144" s="629" t="e">
        <f>SUM(#REF!)</f>
        <v>#REF!</v>
      </c>
      <c r="R144" s="976" t="e">
        <f>#REF!+#REF!-#REF!</f>
        <v>#REF!</v>
      </c>
      <c r="S144" s="977">
        <v>200</v>
      </c>
      <c r="T144" s="976" t="e">
        <f>#REF!+#REF!</f>
        <v>#REF!</v>
      </c>
      <c r="U144" s="977" t="e">
        <f>#REF!</f>
        <v>#REF!</v>
      </c>
      <c r="V144" s="978">
        <v>0</v>
      </c>
      <c r="W144" s="977" t="e">
        <f>#REF!</f>
        <v>#REF!</v>
      </c>
      <c r="X144" s="979" t="e">
        <f>#REF!+#REF!</f>
        <v>#REF!</v>
      </c>
      <c r="Y144" s="979" t="e">
        <f>#REF!+#REF!</f>
        <v>#REF!</v>
      </c>
      <c r="Z144" s="979"/>
      <c r="AA144" s="977" t="e">
        <f>#REF!</f>
        <v>#REF!</v>
      </c>
      <c r="AB144" s="977" t="e">
        <f t="shared" si="7"/>
        <v>#REF!</v>
      </c>
      <c r="AC144" s="977" t="e">
        <f>#REF!+#REF!</f>
        <v>#REF!</v>
      </c>
      <c r="AD144" s="977">
        <f t="shared" si="8"/>
        <v>2120</v>
      </c>
      <c r="AE144" s="634"/>
    </row>
    <row r="145" spans="1:31" s="629" customFormat="1" ht="18" customHeight="1">
      <c r="A145" s="664" t="s">
        <v>2846</v>
      </c>
      <c r="B145" s="510">
        <f t="shared" si="9"/>
        <v>107</v>
      </c>
      <c r="C145" s="980">
        <f>+NOMINA!C149</f>
        <v>14598170</v>
      </c>
      <c r="D145" s="981" t="str">
        <f>+NOMINA!D149</f>
        <v>Rendon Utrilla Gerson Paul</v>
      </c>
      <c r="E145" s="978" t="s">
        <v>4622</v>
      </c>
      <c r="F145" s="982">
        <v>27081</v>
      </c>
      <c r="G145" s="978" t="s">
        <v>4620</v>
      </c>
      <c r="H145" s="983">
        <f>+NOMINA!H149</f>
        <v>43435</v>
      </c>
      <c r="I145" s="984">
        <f>+NOMINA!I149</f>
        <v>6</v>
      </c>
      <c r="J145" s="985">
        <f>+NOMINA!J149</f>
        <v>0</v>
      </c>
      <c r="K145" s="984">
        <f>+NOMINA!K149</f>
        <v>6</v>
      </c>
      <c r="L145" s="986">
        <f>+NOMINA!CA149</f>
        <v>2120</v>
      </c>
      <c r="M145" s="443" t="e">
        <f>#REF!+#REF!-#REF!</f>
        <v>#REF!</v>
      </c>
      <c r="N145" s="975" t="e">
        <f>ROUND((#REF!+#REF!+#REF!+#REF!+#REF!+#REF!+#REF!+#REF!),2)</f>
        <v>#REF!</v>
      </c>
      <c r="Q145" s="629" t="e">
        <f>SUM(#REF!)</f>
        <v>#REF!</v>
      </c>
      <c r="R145" s="976" t="e">
        <f>#REF!+#REF!-#REF!</f>
        <v>#REF!</v>
      </c>
      <c r="S145" s="977">
        <v>200</v>
      </c>
      <c r="T145" s="976" t="e">
        <f>#REF!+#REF!</f>
        <v>#REF!</v>
      </c>
      <c r="U145" s="977" t="e">
        <f>#REF!</f>
        <v>#REF!</v>
      </c>
      <c r="V145" s="978">
        <v>0</v>
      </c>
      <c r="W145" s="977" t="e">
        <f>#REF!</f>
        <v>#REF!</v>
      </c>
      <c r="X145" s="979" t="e">
        <f>#REF!+#REF!</f>
        <v>#REF!</v>
      </c>
      <c r="Y145" s="979" t="e">
        <f>#REF!+#REF!</f>
        <v>#REF!</v>
      </c>
      <c r="Z145" s="979"/>
      <c r="AA145" s="977" t="e">
        <f>#REF!</f>
        <v>#REF!</v>
      </c>
      <c r="AB145" s="977" t="e">
        <f t="shared" si="7"/>
        <v>#REF!</v>
      </c>
      <c r="AC145" s="977" t="e">
        <f>#REF!+#REF!</f>
        <v>#REF!</v>
      </c>
      <c r="AD145" s="977">
        <f t="shared" si="8"/>
        <v>2120</v>
      </c>
      <c r="AE145" s="634"/>
    </row>
    <row r="146" spans="1:31" s="629" customFormat="1" ht="18" customHeight="1">
      <c r="A146" s="664" t="s">
        <v>2846</v>
      </c>
      <c r="B146" s="510">
        <f t="shared" si="9"/>
        <v>108</v>
      </c>
      <c r="C146" s="980">
        <f>+NOMINA!C150</f>
        <v>14598687</v>
      </c>
      <c r="D146" s="981" t="str">
        <f>+NOMINA!D150</f>
        <v>Godoy Bracamonte Juan Carlos</v>
      </c>
      <c r="E146" s="978" t="s">
        <v>4622</v>
      </c>
      <c r="F146" s="982">
        <v>27081</v>
      </c>
      <c r="G146" s="978" t="s">
        <v>4620</v>
      </c>
      <c r="H146" s="983">
        <f>+NOMINA!H150</f>
        <v>44332</v>
      </c>
      <c r="I146" s="984">
        <f>+NOMINA!I150</f>
        <v>3</v>
      </c>
      <c r="J146" s="985">
        <f>+NOMINA!J150</f>
        <v>0</v>
      </c>
      <c r="K146" s="984">
        <f>+NOMINA!K150</f>
        <v>3</v>
      </c>
      <c r="L146" s="986">
        <f>+NOMINA!CA150</f>
        <v>2120</v>
      </c>
      <c r="M146" s="443" t="e">
        <f>#REF!+#REF!-#REF!</f>
        <v>#REF!</v>
      </c>
      <c r="N146" s="975" t="e">
        <f>ROUND((#REF!+#REF!+#REF!+#REF!+#REF!+#REF!+#REF!+#REF!),2)</f>
        <v>#REF!</v>
      </c>
      <c r="Q146" s="629" t="e">
        <f>SUM(#REF!)</f>
        <v>#REF!</v>
      </c>
      <c r="R146" s="976" t="e">
        <f>#REF!+#REF!-#REF!</f>
        <v>#REF!</v>
      </c>
      <c r="S146" s="977">
        <v>200</v>
      </c>
      <c r="T146" s="976" t="e">
        <f>#REF!+#REF!</f>
        <v>#REF!</v>
      </c>
      <c r="U146" s="977" t="e">
        <f>#REF!</f>
        <v>#REF!</v>
      </c>
      <c r="V146" s="978">
        <v>0</v>
      </c>
      <c r="W146" s="977" t="e">
        <f>#REF!</f>
        <v>#REF!</v>
      </c>
      <c r="X146" s="979" t="e">
        <f>#REF!+#REF!</f>
        <v>#REF!</v>
      </c>
      <c r="Y146" s="979" t="e">
        <f>#REF!+#REF!</f>
        <v>#REF!</v>
      </c>
      <c r="Z146" s="979"/>
      <c r="AA146" s="977" t="e">
        <f>#REF!</f>
        <v>#REF!</v>
      </c>
      <c r="AB146" s="977" t="e">
        <f t="shared" si="7"/>
        <v>#REF!</v>
      </c>
      <c r="AC146" s="977" t="e">
        <f>#REF!+#REF!</f>
        <v>#REF!</v>
      </c>
      <c r="AD146" s="977">
        <f t="shared" si="8"/>
        <v>2120</v>
      </c>
      <c r="AE146" s="634"/>
    </row>
    <row r="147" spans="1:31" s="629" customFormat="1" ht="18" customHeight="1">
      <c r="A147" s="664" t="s">
        <v>2846</v>
      </c>
      <c r="B147" s="510">
        <f t="shared" si="9"/>
        <v>109</v>
      </c>
      <c r="C147" s="980">
        <f>+NOMINA!C151</f>
        <v>14719639</v>
      </c>
      <c r="D147" s="981" t="str">
        <f>+NOMINA!D151</f>
        <v xml:space="preserve">Coy de Dorante Sandra Liliana </v>
      </c>
      <c r="E147" s="978" t="s">
        <v>4622</v>
      </c>
      <c r="F147" s="982">
        <v>27081</v>
      </c>
      <c r="G147" s="978" t="s">
        <v>4620</v>
      </c>
      <c r="H147" s="983">
        <f>+NOMINA!H151</f>
        <v>44896</v>
      </c>
      <c r="I147" s="984">
        <f>+NOMINA!I151</f>
        <v>2</v>
      </c>
      <c r="J147" s="985">
        <f>+NOMINA!J151</f>
        <v>0</v>
      </c>
      <c r="K147" s="984">
        <f>+NOMINA!K151</f>
        <v>2</v>
      </c>
      <c r="L147" s="986">
        <f>+NOMINA!CA151</f>
        <v>2120</v>
      </c>
      <c r="M147" s="443" t="e">
        <f>#REF!+#REF!-#REF!</f>
        <v>#REF!</v>
      </c>
      <c r="N147" s="975" t="e">
        <f>ROUND((#REF!+#REF!+#REF!+#REF!+#REF!+#REF!+#REF!+#REF!),2)</f>
        <v>#REF!</v>
      </c>
      <c r="Q147" s="629" t="e">
        <f>SUM(#REF!)</f>
        <v>#REF!</v>
      </c>
      <c r="R147" s="976" t="e">
        <f>#REF!+#REF!-#REF!</f>
        <v>#REF!</v>
      </c>
      <c r="S147" s="977">
        <v>200</v>
      </c>
      <c r="T147" s="976" t="e">
        <f>#REF!+#REF!</f>
        <v>#REF!</v>
      </c>
      <c r="U147" s="977" t="e">
        <f>#REF!</f>
        <v>#REF!</v>
      </c>
      <c r="V147" s="978">
        <v>0</v>
      </c>
      <c r="W147" s="977" t="e">
        <f>#REF!</f>
        <v>#REF!</v>
      </c>
      <c r="X147" s="979" t="e">
        <f>#REF!+#REF!</f>
        <v>#REF!</v>
      </c>
      <c r="Y147" s="979" t="e">
        <f>#REF!+#REF!</f>
        <v>#REF!</v>
      </c>
      <c r="Z147" s="979"/>
      <c r="AA147" s="977" t="e">
        <f>#REF!</f>
        <v>#REF!</v>
      </c>
      <c r="AB147" s="977" t="e">
        <f t="shared" si="7"/>
        <v>#REF!</v>
      </c>
      <c r="AC147" s="977" t="e">
        <f>#REF!+#REF!</f>
        <v>#REF!</v>
      </c>
      <c r="AD147" s="977">
        <f t="shared" si="8"/>
        <v>2120</v>
      </c>
      <c r="AE147" s="634"/>
    </row>
    <row r="148" spans="1:31" s="629" customFormat="1" ht="18" customHeight="1">
      <c r="A148" s="664" t="s">
        <v>2846</v>
      </c>
      <c r="B148" s="510">
        <f t="shared" si="9"/>
        <v>110</v>
      </c>
      <c r="C148" s="980">
        <f>+NOMINA!C152</f>
        <v>14739168</v>
      </c>
      <c r="D148" s="981" t="str">
        <f>+NOMINA!D152</f>
        <v>Briceño Hernandez Yeny Del Carmen</v>
      </c>
      <c r="E148" s="978" t="s">
        <v>4622</v>
      </c>
      <c r="F148" s="982">
        <v>27081</v>
      </c>
      <c r="G148" s="978" t="s">
        <v>4620</v>
      </c>
      <c r="H148" s="983">
        <f>+NOMINA!H152</f>
        <v>38841</v>
      </c>
      <c r="I148" s="984">
        <f>+NOMINA!I152</f>
        <v>18</v>
      </c>
      <c r="J148" s="985">
        <f>+NOMINA!J152</f>
        <v>0</v>
      </c>
      <c r="K148" s="984">
        <f>+NOMINA!K152</f>
        <v>18</v>
      </c>
      <c r="L148" s="986">
        <f>+NOMINA!CA152</f>
        <v>2120</v>
      </c>
      <c r="M148" s="443" t="e">
        <f>#REF!+#REF!-#REF!</f>
        <v>#REF!</v>
      </c>
      <c r="N148" s="975" t="e">
        <f>ROUND((#REF!+#REF!+#REF!+#REF!+#REF!+#REF!+#REF!+#REF!),2)</f>
        <v>#REF!</v>
      </c>
      <c r="Q148" s="629" t="e">
        <f>SUM(#REF!)</f>
        <v>#REF!</v>
      </c>
      <c r="R148" s="976" t="e">
        <f>#REF!+#REF!-#REF!</f>
        <v>#REF!</v>
      </c>
      <c r="S148" s="977">
        <v>200</v>
      </c>
      <c r="T148" s="976" t="e">
        <f>#REF!+#REF!</f>
        <v>#REF!</v>
      </c>
      <c r="U148" s="977" t="e">
        <f>#REF!</f>
        <v>#REF!</v>
      </c>
      <c r="V148" s="978">
        <v>0</v>
      </c>
      <c r="W148" s="977" t="e">
        <f>#REF!</f>
        <v>#REF!</v>
      </c>
      <c r="X148" s="979" t="e">
        <f>#REF!+#REF!</f>
        <v>#REF!</v>
      </c>
      <c r="Y148" s="979" t="e">
        <f>#REF!+#REF!</f>
        <v>#REF!</v>
      </c>
      <c r="Z148" s="979"/>
      <c r="AA148" s="977" t="e">
        <f>#REF!</f>
        <v>#REF!</v>
      </c>
      <c r="AB148" s="977" t="e">
        <f t="shared" si="7"/>
        <v>#REF!</v>
      </c>
      <c r="AC148" s="977" t="e">
        <f>#REF!+#REF!</f>
        <v>#REF!</v>
      </c>
      <c r="AD148" s="977">
        <f t="shared" si="8"/>
        <v>2120</v>
      </c>
      <c r="AE148" s="634"/>
    </row>
    <row r="149" spans="1:31" s="629" customFormat="1" ht="18" customHeight="1">
      <c r="A149" s="664" t="s">
        <v>2846</v>
      </c>
      <c r="B149" s="510">
        <f t="shared" si="9"/>
        <v>111</v>
      </c>
      <c r="C149" s="980">
        <f>+NOMINA!C153</f>
        <v>14928034</v>
      </c>
      <c r="D149" s="981" t="str">
        <f>+NOMINA!D153</f>
        <v>Ramirez Palomares Mariana Teresa</v>
      </c>
      <c r="E149" s="978" t="s">
        <v>4622</v>
      </c>
      <c r="F149" s="982">
        <v>27081</v>
      </c>
      <c r="G149" s="978" t="s">
        <v>4620</v>
      </c>
      <c r="H149" s="983">
        <f>+NOMINA!H153</f>
        <v>44302</v>
      </c>
      <c r="I149" s="984">
        <f>+NOMINA!I153</f>
        <v>3</v>
      </c>
      <c r="J149" s="985">
        <f>+NOMINA!J153</f>
        <v>11</v>
      </c>
      <c r="K149" s="984">
        <f>+NOMINA!K153</f>
        <v>14</v>
      </c>
      <c r="L149" s="986">
        <f>+NOMINA!CA153</f>
        <v>2120</v>
      </c>
      <c r="M149" s="443" t="e">
        <f>#REF!+#REF!-#REF!</f>
        <v>#REF!</v>
      </c>
      <c r="N149" s="975" t="e">
        <f>ROUND((#REF!+#REF!+#REF!+#REF!+#REF!+#REF!+#REF!+#REF!),2)</f>
        <v>#REF!</v>
      </c>
      <c r="Q149" s="629" t="e">
        <f>SUM(#REF!)</f>
        <v>#REF!</v>
      </c>
      <c r="R149" s="976" t="e">
        <f>#REF!+#REF!-#REF!</f>
        <v>#REF!</v>
      </c>
      <c r="S149" s="977">
        <v>200</v>
      </c>
      <c r="T149" s="976" t="e">
        <f>#REF!+#REF!</f>
        <v>#REF!</v>
      </c>
      <c r="U149" s="977" t="e">
        <f>#REF!</f>
        <v>#REF!</v>
      </c>
      <c r="V149" s="978">
        <v>0</v>
      </c>
      <c r="W149" s="977" t="e">
        <f>#REF!</f>
        <v>#REF!</v>
      </c>
      <c r="X149" s="979" t="e">
        <f>#REF!+#REF!</f>
        <v>#REF!</v>
      </c>
      <c r="Y149" s="979" t="e">
        <f>#REF!+#REF!</f>
        <v>#REF!</v>
      </c>
      <c r="Z149" s="979"/>
      <c r="AA149" s="977" t="e">
        <f>#REF!</f>
        <v>#REF!</v>
      </c>
      <c r="AB149" s="977" t="e">
        <f t="shared" si="7"/>
        <v>#REF!</v>
      </c>
      <c r="AC149" s="977" t="e">
        <f>#REF!+#REF!</f>
        <v>#REF!</v>
      </c>
      <c r="AD149" s="977">
        <f t="shared" si="8"/>
        <v>2120</v>
      </c>
      <c r="AE149" s="634"/>
    </row>
    <row r="150" spans="1:31" s="629" customFormat="1" ht="18" customHeight="1">
      <c r="A150" s="664" t="s">
        <v>2846</v>
      </c>
      <c r="B150" s="510">
        <f t="shared" si="9"/>
        <v>112</v>
      </c>
      <c r="C150" s="980">
        <f>+NOMINA!C154</f>
        <v>14928260</v>
      </c>
      <c r="D150" s="981" t="str">
        <f>+NOMINA!D154</f>
        <v>Rivas Ana Lucila</v>
      </c>
      <c r="E150" s="978" t="s">
        <v>4622</v>
      </c>
      <c r="F150" s="982">
        <v>27081</v>
      </c>
      <c r="G150" s="978" t="s">
        <v>4620</v>
      </c>
      <c r="H150" s="983">
        <f>+NOMINA!H154</f>
        <v>39104</v>
      </c>
      <c r="I150" s="984">
        <f>+NOMINA!I154</f>
        <v>18</v>
      </c>
      <c r="J150" s="985">
        <f>+NOMINA!J154</f>
        <v>0</v>
      </c>
      <c r="K150" s="984">
        <f>+NOMINA!K154</f>
        <v>18</v>
      </c>
      <c r="L150" s="986">
        <f>+NOMINA!CA154</f>
        <v>2120</v>
      </c>
      <c r="M150" s="443" t="e">
        <f>#REF!+#REF!-#REF!</f>
        <v>#REF!</v>
      </c>
      <c r="N150" s="975" t="e">
        <f>ROUND((#REF!+#REF!+#REF!+#REF!+#REF!+#REF!+#REF!+#REF!),2)</f>
        <v>#REF!</v>
      </c>
      <c r="Q150" s="629" t="e">
        <f>SUM(#REF!)</f>
        <v>#REF!</v>
      </c>
      <c r="R150" s="976" t="e">
        <f>#REF!+#REF!-#REF!</f>
        <v>#REF!</v>
      </c>
      <c r="S150" s="977">
        <v>200</v>
      </c>
      <c r="T150" s="976" t="e">
        <f>#REF!+#REF!</f>
        <v>#REF!</v>
      </c>
      <c r="U150" s="977" t="e">
        <f>#REF!</f>
        <v>#REF!</v>
      </c>
      <c r="V150" s="978">
        <v>0</v>
      </c>
      <c r="W150" s="977" t="e">
        <f>#REF!</f>
        <v>#REF!</v>
      </c>
      <c r="X150" s="979" t="e">
        <f>#REF!+#REF!</f>
        <v>#REF!</v>
      </c>
      <c r="Y150" s="979" t="e">
        <f>#REF!+#REF!</f>
        <v>#REF!</v>
      </c>
      <c r="Z150" s="979"/>
      <c r="AA150" s="977" t="e">
        <f>#REF!</f>
        <v>#REF!</v>
      </c>
      <c r="AB150" s="977" t="e">
        <f t="shared" si="7"/>
        <v>#REF!</v>
      </c>
      <c r="AC150" s="977" t="e">
        <f>#REF!+#REF!</f>
        <v>#REF!</v>
      </c>
      <c r="AD150" s="977">
        <f t="shared" si="8"/>
        <v>2120</v>
      </c>
      <c r="AE150" s="634"/>
    </row>
    <row r="151" spans="1:31" s="629" customFormat="1" ht="18" customHeight="1">
      <c r="A151" s="664" t="s">
        <v>2846</v>
      </c>
      <c r="B151" s="510">
        <f t="shared" si="9"/>
        <v>113</v>
      </c>
      <c r="C151" s="980">
        <f>+NOMINA!C155</f>
        <v>14929642</v>
      </c>
      <c r="D151" s="981" t="str">
        <f>+NOMINA!D155</f>
        <v>Alvarran Arjona Ismenia Del Carmen</v>
      </c>
      <c r="E151" s="978" t="s">
        <v>4622</v>
      </c>
      <c r="F151" s="982">
        <v>27081</v>
      </c>
      <c r="G151" s="978" t="s">
        <v>4620</v>
      </c>
      <c r="H151" s="983">
        <f>+NOMINA!H155</f>
        <v>43419</v>
      </c>
      <c r="I151" s="984">
        <f>+NOMINA!I155</f>
        <v>6</v>
      </c>
      <c r="J151" s="985">
        <f>+NOMINA!J155</f>
        <v>0</v>
      </c>
      <c r="K151" s="984">
        <f>+NOMINA!K155</f>
        <v>6</v>
      </c>
      <c r="L151" s="986">
        <f>+NOMINA!CA155</f>
        <v>2120</v>
      </c>
      <c r="M151" s="443" t="e">
        <f>#REF!+#REF!-#REF!</f>
        <v>#REF!</v>
      </c>
      <c r="N151" s="975" t="e">
        <f>ROUND((#REF!+#REF!+#REF!+#REF!+#REF!+#REF!+#REF!+#REF!),2)</f>
        <v>#REF!</v>
      </c>
      <c r="Q151" s="629" t="e">
        <f>SUM(#REF!)</f>
        <v>#REF!</v>
      </c>
      <c r="R151" s="976" t="e">
        <f>#REF!+#REF!-#REF!</f>
        <v>#REF!</v>
      </c>
      <c r="S151" s="977">
        <v>200</v>
      </c>
      <c r="T151" s="976" t="e">
        <f>#REF!+#REF!</f>
        <v>#REF!</v>
      </c>
      <c r="U151" s="977" t="e">
        <f>#REF!</f>
        <v>#REF!</v>
      </c>
      <c r="V151" s="978">
        <v>0</v>
      </c>
      <c r="W151" s="977" t="e">
        <f>#REF!</f>
        <v>#REF!</v>
      </c>
      <c r="X151" s="979" t="e">
        <f>#REF!+#REF!</f>
        <v>#REF!</v>
      </c>
      <c r="Y151" s="979" t="e">
        <f>#REF!+#REF!</f>
        <v>#REF!</v>
      </c>
      <c r="Z151" s="979"/>
      <c r="AA151" s="977" t="e">
        <f>#REF!</f>
        <v>#REF!</v>
      </c>
      <c r="AB151" s="977" t="e">
        <f t="shared" si="7"/>
        <v>#REF!</v>
      </c>
      <c r="AC151" s="977" t="e">
        <f>#REF!+#REF!</f>
        <v>#REF!</v>
      </c>
      <c r="AD151" s="977">
        <f t="shared" si="8"/>
        <v>2120</v>
      </c>
      <c r="AE151" s="634"/>
    </row>
    <row r="152" spans="1:31" s="629" customFormat="1" ht="18" customHeight="1">
      <c r="A152" s="664" t="s">
        <v>2846</v>
      </c>
      <c r="B152" s="510">
        <f t="shared" si="9"/>
        <v>114</v>
      </c>
      <c r="C152" s="980">
        <f>+NOMINA!C156</f>
        <v>14986675</v>
      </c>
      <c r="D152" s="981" t="str">
        <f>+NOMINA!D156</f>
        <v>Mecias Nuñez Shirly Ygnacia</v>
      </c>
      <c r="E152" s="978" t="s">
        <v>4622</v>
      </c>
      <c r="F152" s="982">
        <v>27081</v>
      </c>
      <c r="G152" s="978" t="s">
        <v>4620</v>
      </c>
      <c r="H152" s="983">
        <f>+NOMINA!H156</f>
        <v>44805</v>
      </c>
      <c r="I152" s="984">
        <f>+NOMINA!I156</f>
        <v>2</v>
      </c>
      <c r="J152" s="985">
        <f>+NOMINA!J156</f>
        <v>0</v>
      </c>
      <c r="K152" s="984">
        <f>+NOMINA!K156</f>
        <v>2</v>
      </c>
      <c r="L152" s="986">
        <f>+NOMINA!CA156</f>
        <v>2120</v>
      </c>
      <c r="M152" s="443" t="e">
        <f>#REF!+#REF!-#REF!</f>
        <v>#REF!</v>
      </c>
      <c r="N152" s="975" t="e">
        <f>ROUND((#REF!+#REF!+#REF!+#REF!+#REF!+#REF!+#REF!+#REF!),2)</f>
        <v>#REF!</v>
      </c>
      <c r="Q152" s="629" t="e">
        <f>SUM(#REF!)</f>
        <v>#REF!</v>
      </c>
      <c r="R152" s="976" t="e">
        <f>#REF!+#REF!-#REF!</f>
        <v>#REF!</v>
      </c>
      <c r="S152" s="977">
        <v>200</v>
      </c>
      <c r="T152" s="976" t="e">
        <f>#REF!+#REF!</f>
        <v>#REF!</v>
      </c>
      <c r="U152" s="977" t="e">
        <f>#REF!</f>
        <v>#REF!</v>
      </c>
      <c r="V152" s="978">
        <v>0</v>
      </c>
      <c r="W152" s="977" t="e">
        <f>#REF!</f>
        <v>#REF!</v>
      </c>
      <c r="X152" s="979" t="e">
        <f>#REF!+#REF!</f>
        <v>#REF!</v>
      </c>
      <c r="Y152" s="979" t="e">
        <f>#REF!+#REF!</f>
        <v>#REF!</v>
      </c>
      <c r="Z152" s="979"/>
      <c r="AA152" s="977" t="e">
        <f>#REF!</f>
        <v>#REF!</v>
      </c>
      <c r="AB152" s="977" t="e">
        <f t="shared" si="7"/>
        <v>#REF!</v>
      </c>
      <c r="AC152" s="977" t="e">
        <f>#REF!+#REF!</f>
        <v>#REF!</v>
      </c>
      <c r="AD152" s="977">
        <f t="shared" si="8"/>
        <v>2120</v>
      </c>
      <c r="AE152" s="634"/>
    </row>
    <row r="153" spans="1:31" s="629" customFormat="1" ht="18" customHeight="1">
      <c r="A153" s="664" t="s">
        <v>2846</v>
      </c>
      <c r="B153" s="510">
        <f t="shared" si="9"/>
        <v>115</v>
      </c>
      <c r="C153" s="980">
        <f>+NOMINA!C157</f>
        <v>15188927</v>
      </c>
      <c r="D153" s="981" t="str">
        <f>+NOMINA!D157</f>
        <v>Linares Villarreal Rosmely del Carmen</v>
      </c>
      <c r="E153" s="978" t="s">
        <v>4622</v>
      </c>
      <c r="F153" s="982">
        <v>27081</v>
      </c>
      <c r="G153" s="978" t="s">
        <v>4620</v>
      </c>
      <c r="H153" s="983">
        <f>+NOMINA!H157</f>
        <v>44409</v>
      </c>
      <c r="I153" s="984">
        <f>+NOMINA!I157</f>
        <v>3</v>
      </c>
      <c r="J153" s="985">
        <f>+NOMINA!J157</f>
        <v>0</v>
      </c>
      <c r="K153" s="984">
        <f>+NOMINA!K157</f>
        <v>3</v>
      </c>
      <c r="L153" s="986">
        <f>+NOMINA!CA157</f>
        <v>2120</v>
      </c>
      <c r="M153" s="443" t="e">
        <f>#REF!+#REF!-#REF!</f>
        <v>#REF!</v>
      </c>
      <c r="N153" s="975" t="e">
        <f>ROUND((#REF!+#REF!+#REF!+#REF!+#REF!+#REF!+#REF!+#REF!),2)</f>
        <v>#REF!</v>
      </c>
      <c r="Q153" s="629" t="e">
        <f>SUM(#REF!)</f>
        <v>#REF!</v>
      </c>
      <c r="R153" s="976" t="e">
        <f>#REF!+#REF!-#REF!</f>
        <v>#REF!</v>
      </c>
      <c r="S153" s="977">
        <v>200</v>
      </c>
      <c r="T153" s="976" t="e">
        <f>#REF!+#REF!</f>
        <v>#REF!</v>
      </c>
      <c r="U153" s="977" t="e">
        <f>#REF!</f>
        <v>#REF!</v>
      </c>
      <c r="V153" s="978">
        <v>0</v>
      </c>
      <c r="W153" s="977" t="e">
        <f>#REF!</f>
        <v>#REF!</v>
      </c>
      <c r="X153" s="979" t="e">
        <f>#REF!+#REF!</f>
        <v>#REF!</v>
      </c>
      <c r="Y153" s="979" t="e">
        <f>#REF!+#REF!</f>
        <v>#REF!</v>
      </c>
      <c r="Z153" s="979"/>
      <c r="AA153" s="977" t="e">
        <f>#REF!</f>
        <v>#REF!</v>
      </c>
      <c r="AB153" s="977" t="e">
        <f t="shared" si="7"/>
        <v>#REF!</v>
      </c>
      <c r="AC153" s="977" t="e">
        <f>#REF!+#REF!</f>
        <v>#REF!</v>
      </c>
      <c r="AD153" s="977">
        <f t="shared" si="8"/>
        <v>2120</v>
      </c>
      <c r="AE153" s="634"/>
    </row>
    <row r="154" spans="1:31" s="629" customFormat="1" ht="18" customHeight="1">
      <c r="A154" s="664" t="s">
        <v>2846</v>
      </c>
      <c r="B154" s="510">
        <f t="shared" si="9"/>
        <v>116</v>
      </c>
      <c r="C154" s="980">
        <f>+NOMINA!C158</f>
        <v>15560762</v>
      </c>
      <c r="D154" s="981" t="str">
        <f>+NOMINA!D158</f>
        <v>Villalobos Javier Jose</v>
      </c>
      <c r="E154" s="978" t="s">
        <v>4622</v>
      </c>
      <c r="F154" s="982">
        <v>27081</v>
      </c>
      <c r="G154" s="978" t="s">
        <v>4620</v>
      </c>
      <c r="H154" s="983">
        <f>+NOMINA!H158</f>
        <v>45474</v>
      </c>
      <c r="I154" s="984">
        <f>+NOMINA!I158</f>
        <v>0</v>
      </c>
      <c r="J154" s="985">
        <f>+NOMINA!J158</f>
        <v>0</v>
      </c>
      <c r="K154" s="984">
        <f>+NOMINA!K158</f>
        <v>0</v>
      </c>
      <c r="L154" s="986">
        <f>+NOMINA!CA158</f>
        <v>2120</v>
      </c>
      <c r="M154" s="443" t="e">
        <f>#REF!+#REF!-#REF!</f>
        <v>#REF!</v>
      </c>
      <c r="N154" s="975" t="e">
        <f>ROUND((#REF!+#REF!+#REF!+#REF!+#REF!+#REF!+#REF!+#REF!),2)</f>
        <v>#REF!</v>
      </c>
      <c r="Q154" s="629" t="e">
        <f>SUM(#REF!)</f>
        <v>#REF!</v>
      </c>
      <c r="R154" s="976" t="e">
        <f>#REF!+#REF!-#REF!</f>
        <v>#REF!</v>
      </c>
      <c r="S154" s="977">
        <v>200</v>
      </c>
      <c r="T154" s="976" t="e">
        <f>#REF!+#REF!</f>
        <v>#REF!</v>
      </c>
      <c r="U154" s="977" t="e">
        <f>#REF!</f>
        <v>#REF!</v>
      </c>
      <c r="V154" s="978">
        <v>0</v>
      </c>
      <c r="W154" s="977" t="e">
        <f>#REF!</f>
        <v>#REF!</v>
      </c>
      <c r="X154" s="979" t="e">
        <f>#REF!+#REF!</f>
        <v>#REF!</v>
      </c>
      <c r="Y154" s="979" t="e">
        <f>#REF!+#REF!</f>
        <v>#REF!</v>
      </c>
      <c r="Z154" s="979"/>
      <c r="AA154" s="977" t="e">
        <f>#REF!</f>
        <v>#REF!</v>
      </c>
      <c r="AB154" s="977" t="e">
        <f t="shared" si="7"/>
        <v>#REF!</v>
      </c>
      <c r="AC154" s="977" t="e">
        <f>#REF!+#REF!</f>
        <v>#REF!</v>
      </c>
      <c r="AD154" s="977">
        <f t="shared" si="8"/>
        <v>2120</v>
      </c>
      <c r="AE154" s="634"/>
    </row>
    <row r="155" spans="1:31" s="629" customFormat="1" ht="18" customHeight="1">
      <c r="A155" s="664" t="s">
        <v>2846</v>
      </c>
      <c r="B155" s="510">
        <f t="shared" si="9"/>
        <v>117</v>
      </c>
      <c r="C155" s="980">
        <f>+NOMINA!C159</f>
        <v>15583745</v>
      </c>
      <c r="D155" s="981" t="str">
        <f>+NOMINA!D159</f>
        <v>Briceño Araujo Alexander Javier</v>
      </c>
      <c r="E155" s="978" t="s">
        <v>4622</v>
      </c>
      <c r="F155" s="982">
        <v>27081</v>
      </c>
      <c r="G155" s="978" t="s">
        <v>4620</v>
      </c>
      <c r="H155" s="983">
        <f>+NOMINA!H159</f>
        <v>43481</v>
      </c>
      <c r="I155" s="984">
        <f>+NOMINA!I159</f>
        <v>6</v>
      </c>
      <c r="J155" s="985">
        <f>+NOMINA!J159</f>
        <v>0</v>
      </c>
      <c r="K155" s="984">
        <f>+NOMINA!K159</f>
        <v>6</v>
      </c>
      <c r="L155" s="986">
        <f>+NOMINA!CA159</f>
        <v>2120</v>
      </c>
      <c r="M155" s="443" t="e">
        <f>#REF!+#REF!-#REF!</f>
        <v>#REF!</v>
      </c>
      <c r="N155" s="975" t="e">
        <f>ROUND((#REF!+#REF!+#REF!+#REF!+#REF!+#REF!+#REF!+#REF!),2)</f>
        <v>#REF!</v>
      </c>
      <c r="Q155" s="629" t="e">
        <f>SUM(#REF!)</f>
        <v>#REF!</v>
      </c>
      <c r="R155" s="976" t="e">
        <f>#REF!+#REF!-#REF!</f>
        <v>#REF!</v>
      </c>
      <c r="S155" s="977">
        <v>200</v>
      </c>
      <c r="T155" s="976" t="e">
        <f>#REF!+#REF!</f>
        <v>#REF!</v>
      </c>
      <c r="U155" s="977" t="e">
        <f>#REF!</f>
        <v>#REF!</v>
      </c>
      <c r="V155" s="978">
        <v>0</v>
      </c>
      <c r="W155" s="977" t="e">
        <f>#REF!</f>
        <v>#REF!</v>
      </c>
      <c r="X155" s="979" t="e">
        <f>#REF!+#REF!</f>
        <v>#REF!</v>
      </c>
      <c r="Y155" s="979" t="e">
        <f>#REF!+#REF!</f>
        <v>#REF!</v>
      </c>
      <c r="Z155" s="979"/>
      <c r="AA155" s="977" t="e">
        <f>#REF!</f>
        <v>#REF!</v>
      </c>
      <c r="AB155" s="977" t="e">
        <f t="shared" si="7"/>
        <v>#REF!</v>
      </c>
      <c r="AC155" s="977" t="e">
        <f>#REF!+#REF!</f>
        <v>#REF!</v>
      </c>
      <c r="AD155" s="977">
        <f t="shared" si="8"/>
        <v>2120</v>
      </c>
      <c r="AE155" s="634"/>
    </row>
    <row r="156" spans="1:31" s="629" customFormat="1" ht="18" customHeight="1">
      <c r="A156" s="664" t="s">
        <v>2846</v>
      </c>
      <c r="B156" s="510">
        <f t="shared" si="9"/>
        <v>118</v>
      </c>
      <c r="C156" s="980">
        <f>+NOMINA!C160</f>
        <v>15588470</v>
      </c>
      <c r="D156" s="981" t="str">
        <f>+NOMINA!D160</f>
        <v>Briceño Lozada Maraiby Coromoto</v>
      </c>
      <c r="E156" s="978" t="s">
        <v>4622</v>
      </c>
      <c r="F156" s="982">
        <v>27081</v>
      </c>
      <c r="G156" s="978" t="s">
        <v>4620</v>
      </c>
      <c r="H156" s="983">
        <f>+NOMINA!H160</f>
        <v>39098</v>
      </c>
      <c r="I156" s="984">
        <f>+NOMINA!I160</f>
        <v>18</v>
      </c>
      <c r="J156" s="985">
        <f>+NOMINA!J160</f>
        <v>0</v>
      </c>
      <c r="K156" s="984">
        <f>+NOMINA!K160</f>
        <v>18</v>
      </c>
      <c r="L156" s="986">
        <f>+NOMINA!CA160</f>
        <v>2120</v>
      </c>
      <c r="M156" s="443" t="e">
        <f>#REF!+#REF!-#REF!</f>
        <v>#REF!</v>
      </c>
      <c r="N156" s="975" t="e">
        <f>ROUND((#REF!+#REF!+#REF!+#REF!+#REF!+#REF!+#REF!+#REF!),2)</f>
        <v>#REF!</v>
      </c>
      <c r="Q156" s="629" t="e">
        <f>SUM(#REF!)</f>
        <v>#REF!</v>
      </c>
      <c r="R156" s="976" t="e">
        <f>#REF!+#REF!-#REF!</f>
        <v>#REF!</v>
      </c>
      <c r="S156" s="977">
        <v>200</v>
      </c>
      <c r="T156" s="976" t="e">
        <f>#REF!+#REF!</f>
        <v>#REF!</v>
      </c>
      <c r="U156" s="977" t="e">
        <f>#REF!</f>
        <v>#REF!</v>
      </c>
      <c r="V156" s="978">
        <v>0</v>
      </c>
      <c r="W156" s="977" t="e">
        <f>#REF!</f>
        <v>#REF!</v>
      </c>
      <c r="X156" s="979" t="e">
        <f>#REF!+#REF!</f>
        <v>#REF!</v>
      </c>
      <c r="Y156" s="979" t="e">
        <f>#REF!+#REF!</f>
        <v>#REF!</v>
      </c>
      <c r="Z156" s="979"/>
      <c r="AA156" s="977" t="e">
        <f>#REF!</f>
        <v>#REF!</v>
      </c>
      <c r="AB156" s="977" t="e">
        <f t="shared" si="7"/>
        <v>#REF!</v>
      </c>
      <c r="AC156" s="977" t="e">
        <f>#REF!+#REF!</f>
        <v>#REF!</v>
      </c>
      <c r="AD156" s="977">
        <f t="shared" si="8"/>
        <v>2120</v>
      </c>
      <c r="AE156" s="634"/>
    </row>
    <row r="157" spans="1:31" s="629" customFormat="1" ht="18" customHeight="1">
      <c r="A157" s="664" t="s">
        <v>2846</v>
      </c>
      <c r="B157" s="510">
        <f t="shared" si="9"/>
        <v>119</v>
      </c>
      <c r="C157" s="980">
        <f>+NOMINA!C161</f>
        <v>15752048</v>
      </c>
      <c r="D157" s="981" t="str">
        <f>+NOMINA!D161</f>
        <v>Briceño Rangel Sudney Dayan</v>
      </c>
      <c r="E157" s="978" t="s">
        <v>4622</v>
      </c>
      <c r="F157" s="982">
        <v>27081</v>
      </c>
      <c r="G157" s="978" t="s">
        <v>4620</v>
      </c>
      <c r="H157" s="983">
        <f>+NOMINA!H161</f>
        <v>39679</v>
      </c>
      <c r="I157" s="984">
        <f>+NOMINA!I161</f>
        <v>16</v>
      </c>
      <c r="J157" s="985">
        <f>+NOMINA!J161</f>
        <v>0</v>
      </c>
      <c r="K157" s="984">
        <f>+NOMINA!K161</f>
        <v>16</v>
      </c>
      <c r="L157" s="986">
        <f>+NOMINA!CA161</f>
        <v>2120</v>
      </c>
      <c r="M157" s="443" t="e">
        <f>#REF!+#REF!-#REF!</f>
        <v>#REF!</v>
      </c>
      <c r="N157" s="975" t="e">
        <f>ROUND((#REF!+#REF!+#REF!+#REF!+#REF!+#REF!+#REF!+#REF!),2)</f>
        <v>#REF!</v>
      </c>
      <c r="Q157" s="629" t="e">
        <f>SUM(#REF!)</f>
        <v>#REF!</v>
      </c>
      <c r="R157" s="976" t="e">
        <f>#REF!+#REF!-#REF!</f>
        <v>#REF!</v>
      </c>
      <c r="S157" s="977">
        <v>200</v>
      </c>
      <c r="T157" s="976" t="e">
        <f>#REF!+#REF!</f>
        <v>#REF!</v>
      </c>
      <c r="U157" s="977" t="e">
        <f>#REF!</f>
        <v>#REF!</v>
      </c>
      <c r="V157" s="978">
        <v>0</v>
      </c>
      <c r="W157" s="977" t="e">
        <f>#REF!</f>
        <v>#REF!</v>
      </c>
      <c r="X157" s="979" t="e">
        <f>#REF!+#REF!</f>
        <v>#REF!</v>
      </c>
      <c r="Y157" s="979" t="e">
        <f>#REF!+#REF!</f>
        <v>#REF!</v>
      </c>
      <c r="Z157" s="979"/>
      <c r="AA157" s="977" t="e">
        <f>#REF!</f>
        <v>#REF!</v>
      </c>
      <c r="AB157" s="977" t="e">
        <f t="shared" ref="AB157:AB220" si="10">SUM(T157:AA157)</f>
        <v>#REF!</v>
      </c>
      <c r="AC157" s="977" t="e">
        <f>#REF!+#REF!</f>
        <v>#REF!</v>
      </c>
      <c r="AD157" s="977">
        <f t="shared" si="8"/>
        <v>2120</v>
      </c>
      <c r="AE157" s="634"/>
    </row>
    <row r="158" spans="1:31" s="629" customFormat="1" ht="18" customHeight="1">
      <c r="A158" s="664" t="s">
        <v>2846</v>
      </c>
      <c r="B158" s="510">
        <f t="shared" si="9"/>
        <v>120</v>
      </c>
      <c r="C158" s="980">
        <f>+NOMINA!C162</f>
        <v>15752183</v>
      </c>
      <c r="D158" s="981" t="str">
        <f>+NOMINA!D162</f>
        <v>Delduca Adriana Del Valle</v>
      </c>
      <c r="E158" s="978" t="s">
        <v>4622</v>
      </c>
      <c r="F158" s="982">
        <v>27081</v>
      </c>
      <c r="G158" s="978" t="s">
        <v>4620</v>
      </c>
      <c r="H158" s="983">
        <f>+NOMINA!H162</f>
        <v>38930</v>
      </c>
      <c r="I158" s="984">
        <f>+NOMINA!I162</f>
        <v>18</v>
      </c>
      <c r="J158" s="985">
        <f>+NOMINA!J162</f>
        <v>0</v>
      </c>
      <c r="K158" s="984">
        <f>+NOMINA!K162</f>
        <v>18</v>
      </c>
      <c r="L158" s="986">
        <f>+NOMINA!CA162</f>
        <v>0</v>
      </c>
      <c r="M158" s="443" t="e">
        <f>#REF!+#REF!-#REF!</f>
        <v>#REF!</v>
      </c>
      <c r="N158" s="975" t="e">
        <f>ROUND((#REF!+#REF!+#REF!+#REF!+#REF!+#REF!+#REF!+#REF!),2)</f>
        <v>#REF!</v>
      </c>
      <c r="Q158" s="629" t="e">
        <f>SUM(#REF!)</f>
        <v>#REF!</v>
      </c>
      <c r="R158" s="976" t="e">
        <f>#REF!+#REF!-#REF!</f>
        <v>#REF!</v>
      </c>
      <c r="S158" s="977">
        <v>200</v>
      </c>
      <c r="T158" s="976" t="e">
        <f>#REF!+#REF!</f>
        <v>#REF!</v>
      </c>
      <c r="U158" s="977" t="e">
        <f>#REF!</f>
        <v>#REF!</v>
      </c>
      <c r="V158" s="978">
        <v>0</v>
      </c>
      <c r="W158" s="977" t="e">
        <f>#REF!</f>
        <v>#REF!</v>
      </c>
      <c r="X158" s="979" t="e">
        <f>#REF!+#REF!</f>
        <v>#REF!</v>
      </c>
      <c r="Y158" s="979" t="e">
        <f>#REF!+#REF!</f>
        <v>#REF!</v>
      </c>
      <c r="Z158" s="979"/>
      <c r="AA158" s="977" t="e">
        <f>#REF!</f>
        <v>#REF!</v>
      </c>
      <c r="AB158" s="977" t="e">
        <f t="shared" si="10"/>
        <v>#REF!</v>
      </c>
      <c r="AC158" s="977" t="e">
        <f>#REF!+#REF!</f>
        <v>#REF!</v>
      </c>
      <c r="AD158" s="977">
        <f t="shared" si="8"/>
        <v>0</v>
      </c>
      <c r="AE158" s="634"/>
    </row>
    <row r="159" spans="1:31" s="629" customFormat="1" ht="18" customHeight="1">
      <c r="A159" s="664" t="s">
        <v>2846</v>
      </c>
      <c r="B159" s="510">
        <f t="shared" si="9"/>
        <v>121</v>
      </c>
      <c r="C159" s="980">
        <f>+NOMINA!C163</f>
        <v>15752386</v>
      </c>
      <c r="D159" s="981" t="str">
        <f>+NOMINA!D163</f>
        <v>Villegas Gonzalez Mileide Karine</v>
      </c>
      <c r="E159" s="978" t="s">
        <v>4622</v>
      </c>
      <c r="F159" s="982">
        <v>27081</v>
      </c>
      <c r="G159" s="978" t="s">
        <v>4620</v>
      </c>
      <c r="H159" s="983">
        <f>+NOMINA!H163</f>
        <v>38930</v>
      </c>
      <c r="I159" s="984">
        <f>+NOMINA!I163</f>
        <v>18</v>
      </c>
      <c r="J159" s="985">
        <f>+NOMINA!J163</f>
        <v>0</v>
      </c>
      <c r="K159" s="984">
        <f>+NOMINA!K163</f>
        <v>18</v>
      </c>
      <c r="L159" s="986">
        <f>+NOMINA!CA163</f>
        <v>2120</v>
      </c>
      <c r="M159" s="443" t="e">
        <f>#REF!+#REF!-#REF!</f>
        <v>#REF!</v>
      </c>
      <c r="N159" s="975" t="e">
        <f>ROUND((#REF!+#REF!+#REF!+#REF!+#REF!+#REF!+#REF!+#REF!),2)</f>
        <v>#REF!</v>
      </c>
      <c r="Q159" s="629" t="e">
        <f>SUM(#REF!)</f>
        <v>#REF!</v>
      </c>
      <c r="R159" s="976" t="e">
        <f>#REF!+#REF!-#REF!</f>
        <v>#REF!</v>
      </c>
      <c r="S159" s="977">
        <v>200</v>
      </c>
      <c r="T159" s="976" t="e">
        <f>#REF!+#REF!</f>
        <v>#REF!</v>
      </c>
      <c r="U159" s="977" t="e">
        <f>#REF!</f>
        <v>#REF!</v>
      </c>
      <c r="V159" s="978">
        <v>0</v>
      </c>
      <c r="W159" s="977" t="e">
        <f>#REF!</f>
        <v>#REF!</v>
      </c>
      <c r="X159" s="979" t="e">
        <f>#REF!+#REF!</f>
        <v>#REF!</v>
      </c>
      <c r="Y159" s="979" t="e">
        <f>#REF!+#REF!</f>
        <v>#REF!</v>
      </c>
      <c r="Z159" s="979"/>
      <c r="AA159" s="977" t="e">
        <f>#REF!</f>
        <v>#REF!</v>
      </c>
      <c r="AB159" s="977" t="e">
        <f t="shared" si="10"/>
        <v>#REF!</v>
      </c>
      <c r="AC159" s="977" t="e">
        <f>#REF!+#REF!</f>
        <v>#REF!</v>
      </c>
      <c r="AD159" s="977">
        <f t="shared" si="8"/>
        <v>2120</v>
      </c>
      <c r="AE159" s="634"/>
    </row>
    <row r="160" spans="1:31" s="629" customFormat="1" ht="18" customHeight="1">
      <c r="A160" s="664" t="s">
        <v>2846</v>
      </c>
      <c r="B160" s="510">
        <f t="shared" si="9"/>
        <v>122</v>
      </c>
      <c r="C160" s="980">
        <f>+NOMINA!C164</f>
        <v>15752435</v>
      </c>
      <c r="D160" s="981" t="str">
        <f>+NOMINA!D164</f>
        <v>Gonzalez de Sayago Damarys Coromoto</v>
      </c>
      <c r="E160" s="978" t="s">
        <v>4622</v>
      </c>
      <c r="F160" s="982">
        <v>27081</v>
      </c>
      <c r="G160" s="978" t="s">
        <v>4620</v>
      </c>
      <c r="H160" s="983">
        <f>+NOMINA!H164</f>
        <v>38930</v>
      </c>
      <c r="I160" s="984">
        <f>+NOMINA!I164</f>
        <v>18</v>
      </c>
      <c r="J160" s="985">
        <f>+NOMINA!J164</f>
        <v>0</v>
      </c>
      <c r="K160" s="984">
        <f>+NOMINA!K164</f>
        <v>18</v>
      </c>
      <c r="L160" s="986">
        <f>+NOMINA!CA164</f>
        <v>2120</v>
      </c>
      <c r="M160" s="443" t="e">
        <f>#REF!+#REF!-#REF!</f>
        <v>#REF!</v>
      </c>
      <c r="N160" s="975" t="e">
        <f>ROUND((#REF!+#REF!+#REF!+#REF!+#REF!+#REF!+#REF!+#REF!),2)</f>
        <v>#REF!</v>
      </c>
      <c r="Q160" s="629" t="e">
        <f>SUM(#REF!)</f>
        <v>#REF!</v>
      </c>
      <c r="R160" s="976" t="e">
        <f>#REF!+#REF!-#REF!</f>
        <v>#REF!</v>
      </c>
      <c r="S160" s="977">
        <v>200</v>
      </c>
      <c r="T160" s="976" t="e">
        <f>#REF!+#REF!</f>
        <v>#REF!</v>
      </c>
      <c r="U160" s="977" t="e">
        <f>#REF!</f>
        <v>#REF!</v>
      </c>
      <c r="V160" s="978">
        <v>0</v>
      </c>
      <c r="W160" s="977" t="e">
        <f>#REF!</f>
        <v>#REF!</v>
      </c>
      <c r="X160" s="979" t="e">
        <f>#REF!+#REF!</f>
        <v>#REF!</v>
      </c>
      <c r="Y160" s="979" t="e">
        <f>#REF!+#REF!</f>
        <v>#REF!</v>
      </c>
      <c r="Z160" s="979"/>
      <c r="AA160" s="977" t="e">
        <f>#REF!</f>
        <v>#REF!</v>
      </c>
      <c r="AB160" s="977" t="e">
        <f t="shared" si="10"/>
        <v>#REF!</v>
      </c>
      <c r="AC160" s="977" t="e">
        <f>#REF!+#REF!</f>
        <v>#REF!</v>
      </c>
      <c r="AD160" s="977">
        <f t="shared" si="8"/>
        <v>2120</v>
      </c>
      <c r="AE160" s="634"/>
    </row>
    <row r="161" spans="1:31" s="629" customFormat="1" ht="18" customHeight="1">
      <c r="A161" s="664" t="s">
        <v>2846</v>
      </c>
      <c r="B161" s="510">
        <f t="shared" si="9"/>
        <v>123</v>
      </c>
      <c r="C161" s="980">
        <f>+NOMINA!C165</f>
        <v>15780354</v>
      </c>
      <c r="D161" s="981" t="str">
        <f>+NOMINA!D165</f>
        <v>Yndriago Blanco Lismiley Andreina</v>
      </c>
      <c r="E161" s="978" t="s">
        <v>4622</v>
      </c>
      <c r="F161" s="982">
        <v>27081</v>
      </c>
      <c r="G161" s="978" t="s">
        <v>4620</v>
      </c>
      <c r="H161" s="983">
        <f>+NOMINA!H165</f>
        <v>44409</v>
      </c>
      <c r="I161" s="984">
        <f>+NOMINA!I165</f>
        <v>3</v>
      </c>
      <c r="J161" s="985">
        <f>+NOMINA!J165</f>
        <v>0</v>
      </c>
      <c r="K161" s="984">
        <f>+NOMINA!K165</f>
        <v>3</v>
      </c>
      <c r="L161" s="986">
        <f>+NOMINA!CA165</f>
        <v>2120</v>
      </c>
      <c r="M161" s="443" t="e">
        <f>#REF!+#REF!-#REF!</f>
        <v>#REF!</v>
      </c>
      <c r="N161" s="975" t="e">
        <f>ROUND((#REF!+#REF!+#REF!+#REF!+#REF!+#REF!+#REF!+#REF!),2)</f>
        <v>#REF!</v>
      </c>
      <c r="Q161" s="629" t="e">
        <f>SUM(#REF!)</f>
        <v>#REF!</v>
      </c>
      <c r="R161" s="976" t="e">
        <f>#REF!+#REF!-#REF!</f>
        <v>#REF!</v>
      </c>
      <c r="S161" s="977">
        <v>200</v>
      </c>
      <c r="T161" s="976" t="e">
        <f>#REF!+#REF!</f>
        <v>#REF!</v>
      </c>
      <c r="U161" s="977" t="e">
        <f>#REF!</f>
        <v>#REF!</v>
      </c>
      <c r="V161" s="978">
        <v>0</v>
      </c>
      <c r="W161" s="977" t="e">
        <f>#REF!</f>
        <v>#REF!</v>
      </c>
      <c r="X161" s="979" t="e">
        <f>#REF!+#REF!</f>
        <v>#REF!</v>
      </c>
      <c r="Y161" s="979" t="e">
        <f>#REF!+#REF!</f>
        <v>#REF!</v>
      </c>
      <c r="Z161" s="979"/>
      <c r="AA161" s="977" t="e">
        <f>#REF!</f>
        <v>#REF!</v>
      </c>
      <c r="AB161" s="977" t="e">
        <f t="shared" si="10"/>
        <v>#REF!</v>
      </c>
      <c r="AC161" s="977" t="e">
        <f>#REF!+#REF!</f>
        <v>#REF!</v>
      </c>
      <c r="AD161" s="977">
        <f t="shared" si="8"/>
        <v>2120</v>
      </c>
      <c r="AE161" s="634"/>
    </row>
    <row r="162" spans="1:31" s="629" customFormat="1" ht="18" customHeight="1">
      <c r="A162" s="664" t="s">
        <v>2846</v>
      </c>
      <c r="B162" s="510">
        <f t="shared" si="9"/>
        <v>124</v>
      </c>
      <c r="C162" s="980">
        <f>+NOMINA!C166</f>
        <v>15824548</v>
      </c>
      <c r="D162" s="981" t="str">
        <f>+NOMINA!D166</f>
        <v>Moreno Maria Angelica</v>
      </c>
      <c r="E162" s="978" t="s">
        <v>4622</v>
      </c>
      <c r="F162" s="982">
        <v>27081</v>
      </c>
      <c r="G162" s="978" t="s">
        <v>4620</v>
      </c>
      <c r="H162" s="983">
        <f>+NOMINA!H166</f>
        <v>44317</v>
      </c>
      <c r="I162" s="984">
        <f>+NOMINA!I166</f>
        <v>3</v>
      </c>
      <c r="J162" s="985">
        <f>+NOMINA!J166</f>
        <v>0</v>
      </c>
      <c r="K162" s="984">
        <f>+NOMINA!K166</f>
        <v>3</v>
      </c>
      <c r="L162" s="986">
        <f>+NOMINA!CA166</f>
        <v>2120</v>
      </c>
      <c r="M162" s="443" t="e">
        <f>#REF!+#REF!-#REF!</f>
        <v>#REF!</v>
      </c>
      <c r="N162" s="975" t="e">
        <f>ROUND((#REF!+#REF!+#REF!+#REF!+#REF!+#REF!+#REF!+#REF!),2)</f>
        <v>#REF!</v>
      </c>
      <c r="Q162" s="629" t="e">
        <f>SUM(#REF!)</f>
        <v>#REF!</v>
      </c>
      <c r="R162" s="976" t="e">
        <f>#REF!+#REF!-#REF!</f>
        <v>#REF!</v>
      </c>
      <c r="S162" s="977">
        <v>200</v>
      </c>
      <c r="T162" s="976" t="e">
        <f>#REF!+#REF!</f>
        <v>#REF!</v>
      </c>
      <c r="U162" s="977" t="e">
        <f>#REF!</f>
        <v>#REF!</v>
      </c>
      <c r="V162" s="978">
        <v>0</v>
      </c>
      <c r="W162" s="977" t="e">
        <f>#REF!</f>
        <v>#REF!</v>
      </c>
      <c r="X162" s="979" t="e">
        <f>#REF!+#REF!</f>
        <v>#REF!</v>
      </c>
      <c r="Y162" s="979" t="e">
        <f>#REF!+#REF!</f>
        <v>#REF!</v>
      </c>
      <c r="Z162" s="979"/>
      <c r="AA162" s="977" t="e">
        <f>#REF!</f>
        <v>#REF!</v>
      </c>
      <c r="AB162" s="977" t="e">
        <f t="shared" si="10"/>
        <v>#REF!</v>
      </c>
      <c r="AC162" s="977" t="e">
        <f>#REF!+#REF!</f>
        <v>#REF!</v>
      </c>
      <c r="AD162" s="977">
        <f t="shared" si="8"/>
        <v>2120</v>
      </c>
      <c r="AE162" s="634"/>
    </row>
    <row r="163" spans="1:31" s="629" customFormat="1" ht="18" customHeight="1">
      <c r="A163" s="664" t="s">
        <v>2846</v>
      </c>
      <c r="B163" s="510">
        <f t="shared" si="9"/>
        <v>125</v>
      </c>
      <c r="C163" s="980">
        <f>+NOMINA!C167</f>
        <v>15904692</v>
      </c>
      <c r="D163" s="981" t="str">
        <f>+NOMINA!D167</f>
        <v>Sifontes Sosa Mayulis Dayana</v>
      </c>
      <c r="E163" s="978" t="s">
        <v>4622</v>
      </c>
      <c r="F163" s="982">
        <v>27081</v>
      </c>
      <c r="G163" s="978" t="s">
        <v>4620</v>
      </c>
      <c r="H163" s="983">
        <f>+NOMINA!H167</f>
        <v>39756</v>
      </c>
      <c r="I163" s="984">
        <f>+NOMINA!I167</f>
        <v>16</v>
      </c>
      <c r="J163" s="985">
        <f>+NOMINA!J167</f>
        <v>0</v>
      </c>
      <c r="K163" s="984">
        <f>+NOMINA!K167</f>
        <v>16</v>
      </c>
      <c r="L163" s="986">
        <f>+NOMINA!CA167</f>
        <v>2120</v>
      </c>
      <c r="M163" s="443" t="e">
        <f>#REF!+#REF!-#REF!</f>
        <v>#REF!</v>
      </c>
      <c r="N163" s="975" t="e">
        <f>ROUND((#REF!+#REF!+#REF!+#REF!+#REF!+#REF!+#REF!+#REF!),2)</f>
        <v>#REF!</v>
      </c>
      <c r="Q163" s="629" t="e">
        <f>SUM(#REF!)</f>
        <v>#REF!</v>
      </c>
      <c r="R163" s="976" t="e">
        <f>#REF!+#REF!-#REF!</f>
        <v>#REF!</v>
      </c>
      <c r="S163" s="977">
        <v>200</v>
      </c>
      <c r="T163" s="976" t="e">
        <f>#REF!+#REF!</f>
        <v>#REF!</v>
      </c>
      <c r="U163" s="977" t="e">
        <f>#REF!</f>
        <v>#REF!</v>
      </c>
      <c r="V163" s="978">
        <v>0</v>
      </c>
      <c r="W163" s="977" t="e">
        <f>#REF!</f>
        <v>#REF!</v>
      </c>
      <c r="X163" s="979" t="e">
        <f>#REF!+#REF!</f>
        <v>#REF!</v>
      </c>
      <c r="Y163" s="979" t="e">
        <f>#REF!+#REF!</f>
        <v>#REF!</v>
      </c>
      <c r="Z163" s="979"/>
      <c r="AA163" s="977" t="e">
        <f>#REF!</f>
        <v>#REF!</v>
      </c>
      <c r="AB163" s="977" t="e">
        <f t="shared" si="10"/>
        <v>#REF!</v>
      </c>
      <c r="AC163" s="977" t="e">
        <f>#REF!+#REF!</f>
        <v>#REF!</v>
      </c>
      <c r="AD163" s="977">
        <f t="shared" si="8"/>
        <v>2120</v>
      </c>
      <c r="AE163" s="634"/>
    </row>
    <row r="164" spans="1:31" s="629" customFormat="1" ht="18" customHeight="1">
      <c r="A164" s="664" t="s">
        <v>2846</v>
      </c>
      <c r="B164" s="510">
        <f t="shared" si="9"/>
        <v>126</v>
      </c>
      <c r="C164" s="980">
        <f>+NOMINA!C168</f>
        <v>16015833</v>
      </c>
      <c r="D164" s="981" t="str">
        <f>+NOMINA!D168</f>
        <v>Briceño Doris Elena</v>
      </c>
      <c r="E164" s="978" t="s">
        <v>4622</v>
      </c>
      <c r="F164" s="982">
        <v>27081</v>
      </c>
      <c r="G164" s="978" t="s">
        <v>4620</v>
      </c>
      <c r="H164" s="983">
        <f>+NOMINA!H168</f>
        <v>42948</v>
      </c>
      <c r="I164" s="984">
        <f>+NOMINA!I168</f>
        <v>7</v>
      </c>
      <c r="J164" s="985">
        <f>+NOMINA!J168</f>
        <v>0</v>
      </c>
      <c r="K164" s="984">
        <f>+NOMINA!K168</f>
        <v>7</v>
      </c>
      <c r="L164" s="986">
        <f>+NOMINA!CA168</f>
        <v>2120</v>
      </c>
      <c r="M164" s="443" t="e">
        <f>#REF!+#REF!-#REF!</f>
        <v>#REF!</v>
      </c>
      <c r="N164" s="975" t="e">
        <f>ROUND((#REF!+#REF!+#REF!+#REF!+#REF!+#REF!+#REF!+#REF!),2)</f>
        <v>#REF!</v>
      </c>
      <c r="Q164" s="629" t="e">
        <f>SUM(#REF!)</f>
        <v>#REF!</v>
      </c>
      <c r="R164" s="976" t="e">
        <f>#REF!+#REF!-#REF!</f>
        <v>#REF!</v>
      </c>
      <c r="S164" s="977">
        <v>200</v>
      </c>
      <c r="T164" s="976" t="e">
        <f>#REF!+#REF!</f>
        <v>#REF!</v>
      </c>
      <c r="U164" s="977" t="e">
        <f>#REF!</f>
        <v>#REF!</v>
      </c>
      <c r="V164" s="978">
        <v>0</v>
      </c>
      <c r="W164" s="977" t="e">
        <f>#REF!</f>
        <v>#REF!</v>
      </c>
      <c r="X164" s="979" t="e">
        <f>#REF!+#REF!</f>
        <v>#REF!</v>
      </c>
      <c r="Y164" s="979" t="e">
        <f>#REF!+#REF!</f>
        <v>#REF!</v>
      </c>
      <c r="Z164" s="979"/>
      <c r="AA164" s="977" t="e">
        <f>#REF!</f>
        <v>#REF!</v>
      </c>
      <c r="AB164" s="977" t="e">
        <f t="shared" si="10"/>
        <v>#REF!</v>
      </c>
      <c r="AC164" s="977" t="e">
        <f>#REF!+#REF!</f>
        <v>#REF!</v>
      </c>
      <c r="AD164" s="977">
        <f t="shared" si="8"/>
        <v>2120</v>
      </c>
      <c r="AE164" s="634"/>
    </row>
    <row r="165" spans="1:31" s="629" customFormat="1" ht="18" customHeight="1">
      <c r="A165" s="664" t="s">
        <v>2846</v>
      </c>
      <c r="B165" s="510">
        <f t="shared" si="9"/>
        <v>127</v>
      </c>
      <c r="C165" s="980">
        <f>+NOMINA!C169</f>
        <v>16065580</v>
      </c>
      <c r="D165" s="981" t="str">
        <f>+NOMINA!D169</f>
        <v>Paredes de Rendon Zuly Josefina</v>
      </c>
      <c r="E165" s="978" t="s">
        <v>4622</v>
      </c>
      <c r="F165" s="982">
        <v>27081</v>
      </c>
      <c r="G165" s="978" t="s">
        <v>4620</v>
      </c>
      <c r="H165" s="983">
        <f>+NOMINA!H169</f>
        <v>44363</v>
      </c>
      <c r="I165" s="984">
        <f>+NOMINA!I169</f>
        <v>3</v>
      </c>
      <c r="J165" s="985">
        <f>+NOMINA!J169</f>
        <v>0</v>
      </c>
      <c r="K165" s="984">
        <f>+NOMINA!K169</f>
        <v>3</v>
      </c>
      <c r="L165" s="986">
        <f>+NOMINA!CA169</f>
        <v>2120</v>
      </c>
      <c r="M165" s="443" t="e">
        <f>#REF!+#REF!-#REF!</f>
        <v>#REF!</v>
      </c>
      <c r="N165" s="975" t="e">
        <f>ROUND((#REF!+#REF!+#REF!+#REF!+#REF!+#REF!+#REF!+#REF!),2)</f>
        <v>#REF!</v>
      </c>
      <c r="Q165" s="629" t="e">
        <f>SUM(#REF!)</f>
        <v>#REF!</v>
      </c>
      <c r="R165" s="976" t="e">
        <f>#REF!+#REF!-#REF!</f>
        <v>#REF!</v>
      </c>
      <c r="S165" s="977">
        <v>200</v>
      </c>
      <c r="T165" s="976" t="e">
        <f>#REF!+#REF!</f>
        <v>#REF!</v>
      </c>
      <c r="U165" s="977" t="e">
        <f>#REF!</f>
        <v>#REF!</v>
      </c>
      <c r="V165" s="978">
        <v>0</v>
      </c>
      <c r="W165" s="977" t="e">
        <f>#REF!</f>
        <v>#REF!</v>
      </c>
      <c r="X165" s="979" t="e">
        <f>#REF!+#REF!</f>
        <v>#REF!</v>
      </c>
      <c r="Y165" s="979" t="e">
        <f>#REF!+#REF!</f>
        <v>#REF!</v>
      </c>
      <c r="Z165" s="979"/>
      <c r="AA165" s="977" t="e">
        <f>#REF!</f>
        <v>#REF!</v>
      </c>
      <c r="AB165" s="977" t="e">
        <f t="shared" si="10"/>
        <v>#REF!</v>
      </c>
      <c r="AC165" s="977" t="e">
        <f>#REF!+#REF!</f>
        <v>#REF!</v>
      </c>
      <c r="AD165" s="977">
        <f t="shared" ref="AD165:AD228" si="11">L165</f>
        <v>2120</v>
      </c>
      <c r="AE165" s="634"/>
    </row>
    <row r="166" spans="1:31" s="629" customFormat="1" ht="18" customHeight="1">
      <c r="A166" s="664" t="s">
        <v>2846</v>
      </c>
      <c r="B166" s="510">
        <f t="shared" si="9"/>
        <v>128</v>
      </c>
      <c r="C166" s="980">
        <f>+NOMINA!C170</f>
        <v>16065861</v>
      </c>
      <c r="D166" s="981" t="str">
        <f>+NOMINA!D170</f>
        <v>Gonzalez Pineda Eduardo Manuel</v>
      </c>
      <c r="E166" s="978" t="s">
        <v>4622</v>
      </c>
      <c r="F166" s="982">
        <v>27081</v>
      </c>
      <c r="G166" s="978" t="s">
        <v>4620</v>
      </c>
      <c r="H166" s="983">
        <f>+NOMINA!H170</f>
        <v>43906</v>
      </c>
      <c r="I166" s="984">
        <f>+NOMINA!I170</f>
        <v>4</v>
      </c>
      <c r="J166" s="985">
        <f>+NOMINA!J170</f>
        <v>13</v>
      </c>
      <c r="K166" s="984">
        <f>+NOMINA!K170</f>
        <v>17</v>
      </c>
      <c r="L166" s="986">
        <f>+NOMINA!CA170</f>
        <v>2120</v>
      </c>
      <c r="M166" s="443" t="e">
        <f>#REF!+#REF!-#REF!</f>
        <v>#REF!</v>
      </c>
      <c r="N166" s="975" t="e">
        <f>ROUND((#REF!+#REF!+#REF!+#REF!+#REF!+#REF!+#REF!+#REF!),2)</f>
        <v>#REF!</v>
      </c>
      <c r="Q166" s="629" t="e">
        <f>SUM(#REF!)</f>
        <v>#REF!</v>
      </c>
      <c r="R166" s="976" t="e">
        <f>#REF!+#REF!-#REF!</f>
        <v>#REF!</v>
      </c>
      <c r="S166" s="977">
        <v>200</v>
      </c>
      <c r="T166" s="976" t="e">
        <f>#REF!+#REF!</f>
        <v>#REF!</v>
      </c>
      <c r="U166" s="977" t="e">
        <f>#REF!</f>
        <v>#REF!</v>
      </c>
      <c r="V166" s="978">
        <v>0</v>
      </c>
      <c r="W166" s="977" t="e">
        <f>#REF!</f>
        <v>#REF!</v>
      </c>
      <c r="X166" s="979" t="e">
        <f>#REF!+#REF!</f>
        <v>#REF!</v>
      </c>
      <c r="Y166" s="979" t="e">
        <f>#REF!+#REF!</f>
        <v>#REF!</v>
      </c>
      <c r="Z166" s="979"/>
      <c r="AA166" s="977" t="e">
        <f>#REF!</f>
        <v>#REF!</v>
      </c>
      <c r="AB166" s="977" t="e">
        <f t="shared" si="10"/>
        <v>#REF!</v>
      </c>
      <c r="AC166" s="977" t="e">
        <f>#REF!+#REF!</f>
        <v>#REF!</v>
      </c>
      <c r="AD166" s="977">
        <f t="shared" si="11"/>
        <v>2120</v>
      </c>
      <c r="AE166" s="634"/>
    </row>
    <row r="167" spans="1:31" s="629" customFormat="1" ht="18" customHeight="1">
      <c r="A167" s="664" t="s">
        <v>2846</v>
      </c>
      <c r="B167" s="510">
        <f t="shared" si="9"/>
        <v>129</v>
      </c>
      <c r="C167" s="980">
        <f>+NOMINA!C171</f>
        <v>16066524</v>
      </c>
      <c r="D167" s="981" t="str">
        <f>+NOMINA!D171</f>
        <v>Carmona Peñaloza Yaneth Coromoto</v>
      </c>
      <c r="E167" s="978" t="s">
        <v>4622</v>
      </c>
      <c r="F167" s="982">
        <v>27081</v>
      </c>
      <c r="G167" s="978" t="s">
        <v>4620</v>
      </c>
      <c r="H167" s="983">
        <f>+NOMINA!H171</f>
        <v>41456</v>
      </c>
      <c r="I167" s="984">
        <f>+NOMINA!I171</f>
        <v>11</v>
      </c>
      <c r="J167" s="985">
        <f>+NOMINA!J171</f>
        <v>0</v>
      </c>
      <c r="K167" s="984">
        <f>+NOMINA!K171</f>
        <v>11</v>
      </c>
      <c r="L167" s="986">
        <f>+NOMINA!CA171</f>
        <v>2120</v>
      </c>
      <c r="M167" s="443" t="e">
        <f>#REF!+#REF!-#REF!</f>
        <v>#REF!</v>
      </c>
      <c r="N167" s="975" t="e">
        <f>ROUND((#REF!+#REF!+#REF!+#REF!+#REF!+#REF!+#REF!+#REF!),2)</f>
        <v>#REF!</v>
      </c>
      <c r="Q167" s="629" t="e">
        <f>SUM(#REF!)</f>
        <v>#REF!</v>
      </c>
      <c r="R167" s="976" t="e">
        <f>#REF!+#REF!-#REF!</f>
        <v>#REF!</v>
      </c>
      <c r="S167" s="977">
        <v>200</v>
      </c>
      <c r="T167" s="976" t="e">
        <f>#REF!+#REF!</f>
        <v>#REF!</v>
      </c>
      <c r="U167" s="977" t="e">
        <f>#REF!</f>
        <v>#REF!</v>
      </c>
      <c r="V167" s="978">
        <v>0</v>
      </c>
      <c r="W167" s="977" t="e">
        <f>#REF!</f>
        <v>#REF!</v>
      </c>
      <c r="X167" s="979" t="e">
        <f>#REF!+#REF!</f>
        <v>#REF!</v>
      </c>
      <c r="Y167" s="979" t="e">
        <f>#REF!+#REF!</f>
        <v>#REF!</v>
      </c>
      <c r="Z167" s="979"/>
      <c r="AA167" s="977" t="e">
        <f>#REF!</f>
        <v>#REF!</v>
      </c>
      <c r="AB167" s="977" t="e">
        <f t="shared" si="10"/>
        <v>#REF!</v>
      </c>
      <c r="AC167" s="977" t="e">
        <f>#REF!+#REF!</f>
        <v>#REF!</v>
      </c>
      <c r="AD167" s="977">
        <f t="shared" si="11"/>
        <v>2120</v>
      </c>
      <c r="AE167" s="634"/>
    </row>
    <row r="168" spans="1:31" s="629" customFormat="1" ht="18" customHeight="1">
      <c r="A168" s="664" t="s">
        <v>2846</v>
      </c>
      <c r="B168" s="510">
        <f t="shared" si="9"/>
        <v>130</v>
      </c>
      <c r="C168" s="980">
        <f>+NOMINA!C172</f>
        <v>16066554</v>
      </c>
      <c r="D168" s="981" t="str">
        <f>+NOMINA!D172</f>
        <v>Gonzalez Huerta Maria Josefina</v>
      </c>
      <c r="E168" s="978" t="s">
        <v>4622</v>
      </c>
      <c r="F168" s="982">
        <v>27081</v>
      </c>
      <c r="G168" s="978" t="s">
        <v>4620</v>
      </c>
      <c r="H168" s="983">
        <f>+NOMINA!H172</f>
        <v>38797</v>
      </c>
      <c r="I168" s="984">
        <f>+NOMINA!I172</f>
        <v>18</v>
      </c>
      <c r="J168" s="985">
        <f>+NOMINA!J172</f>
        <v>0</v>
      </c>
      <c r="K168" s="984">
        <f>+NOMINA!K172</f>
        <v>18</v>
      </c>
      <c r="L168" s="986">
        <f>+NOMINA!CA172</f>
        <v>2120</v>
      </c>
      <c r="M168" s="443" t="e">
        <f>#REF!+#REF!-#REF!</f>
        <v>#REF!</v>
      </c>
      <c r="N168" s="975" t="e">
        <f>ROUND((#REF!+#REF!+#REF!+#REF!+#REF!+#REF!+#REF!+#REF!),2)</f>
        <v>#REF!</v>
      </c>
      <c r="Q168" s="629" t="e">
        <f>SUM(#REF!)</f>
        <v>#REF!</v>
      </c>
      <c r="R168" s="976" t="e">
        <f>#REF!+#REF!-#REF!</f>
        <v>#REF!</v>
      </c>
      <c r="S168" s="977">
        <v>200</v>
      </c>
      <c r="T168" s="976" t="e">
        <f>#REF!+#REF!</f>
        <v>#REF!</v>
      </c>
      <c r="U168" s="977" t="e">
        <f>#REF!</f>
        <v>#REF!</v>
      </c>
      <c r="V168" s="978">
        <v>0</v>
      </c>
      <c r="W168" s="977" t="e">
        <f>#REF!</f>
        <v>#REF!</v>
      </c>
      <c r="X168" s="979" t="e">
        <f>#REF!+#REF!</f>
        <v>#REF!</v>
      </c>
      <c r="Y168" s="979" t="e">
        <f>#REF!+#REF!</f>
        <v>#REF!</v>
      </c>
      <c r="Z168" s="979"/>
      <c r="AA168" s="977" t="e">
        <f>#REF!</f>
        <v>#REF!</v>
      </c>
      <c r="AB168" s="977" t="e">
        <f t="shared" si="10"/>
        <v>#REF!</v>
      </c>
      <c r="AC168" s="977" t="e">
        <f>#REF!+#REF!</f>
        <v>#REF!</v>
      </c>
      <c r="AD168" s="977">
        <f t="shared" si="11"/>
        <v>2120</v>
      </c>
      <c r="AE168" s="634"/>
    </row>
    <row r="169" spans="1:31" s="629" customFormat="1" ht="18" customHeight="1">
      <c r="A169" s="664" t="s">
        <v>2846</v>
      </c>
      <c r="B169" s="510">
        <f t="shared" ref="B169:B232" si="12">B168+1</f>
        <v>131</v>
      </c>
      <c r="C169" s="980">
        <f>+NOMINA!C173</f>
        <v>16266033</v>
      </c>
      <c r="D169" s="981" t="str">
        <f>+NOMINA!D173</f>
        <v>Montilla de Davila Nileidy del Valle</v>
      </c>
      <c r="E169" s="978" t="s">
        <v>4622</v>
      </c>
      <c r="F169" s="982">
        <v>27081</v>
      </c>
      <c r="G169" s="978" t="s">
        <v>4620</v>
      </c>
      <c r="H169" s="983">
        <f>+NOMINA!H173</f>
        <v>44713</v>
      </c>
      <c r="I169" s="984">
        <f>+NOMINA!I173</f>
        <v>2</v>
      </c>
      <c r="J169" s="985">
        <f>+NOMINA!J173</f>
        <v>0</v>
      </c>
      <c r="K169" s="984">
        <f>+NOMINA!K173</f>
        <v>2</v>
      </c>
      <c r="L169" s="986">
        <f>+NOMINA!CA173</f>
        <v>2120</v>
      </c>
      <c r="M169" s="443" t="e">
        <f>#REF!+#REF!-#REF!</f>
        <v>#REF!</v>
      </c>
      <c r="N169" s="975" t="e">
        <f>ROUND((#REF!+#REF!+#REF!+#REF!+#REF!+#REF!+#REF!+#REF!),2)</f>
        <v>#REF!</v>
      </c>
      <c r="Q169" s="629" t="e">
        <f>SUM(#REF!)</f>
        <v>#REF!</v>
      </c>
      <c r="R169" s="976" t="e">
        <f>#REF!+#REF!-#REF!</f>
        <v>#REF!</v>
      </c>
      <c r="S169" s="977">
        <v>200</v>
      </c>
      <c r="T169" s="976" t="e">
        <f>#REF!+#REF!</f>
        <v>#REF!</v>
      </c>
      <c r="U169" s="977" t="e">
        <f>#REF!</f>
        <v>#REF!</v>
      </c>
      <c r="V169" s="978">
        <v>0</v>
      </c>
      <c r="W169" s="977" t="e">
        <f>#REF!</f>
        <v>#REF!</v>
      </c>
      <c r="X169" s="979" t="e">
        <f>#REF!+#REF!</f>
        <v>#REF!</v>
      </c>
      <c r="Y169" s="979" t="e">
        <f>#REF!+#REF!</f>
        <v>#REF!</v>
      </c>
      <c r="Z169" s="979"/>
      <c r="AA169" s="977" t="e">
        <f>#REF!</f>
        <v>#REF!</v>
      </c>
      <c r="AB169" s="977" t="e">
        <f t="shared" si="10"/>
        <v>#REF!</v>
      </c>
      <c r="AC169" s="977" t="e">
        <f>#REF!+#REF!</f>
        <v>#REF!</v>
      </c>
      <c r="AD169" s="977">
        <f t="shared" si="11"/>
        <v>2120</v>
      </c>
      <c r="AE169" s="634"/>
    </row>
    <row r="170" spans="1:31" s="629" customFormat="1" ht="18" customHeight="1">
      <c r="A170" s="664" t="s">
        <v>2846</v>
      </c>
      <c r="B170" s="510">
        <f t="shared" si="12"/>
        <v>132</v>
      </c>
      <c r="C170" s="980">
        <f>+NOMINA!C174</f>
        <v>16266989</v>
      </c>
      <c r="D170" s="981" t="str">
        <f>+NOMINA!D174</f>
        <v>Rincon Quevedo Angela Adriana</v>
      </c>
      <c r="E170" s="978" t="s">
        <v>4622</v>
      </c>
      <c r="F170" s="982">
        <v>27081</v>
      </c>
      <c r="G170" s="978" t="s">
        <v>4620</v>
      </c>
      <c r="H170" s="983">
        <f>+NOMINA!H174</f>
        <v>43040</v>
      </c>
      <c r="I170" s="984">
        <f>+NOMINA!I174</f>
        <v>7</v>
      </c>
      <c r="J170" s="985">
        <f>+NOMINA!J174</f>
        <v>0</v>
      </c>
      <c r="K170" s="984">
        <f>+NOMINA!K174</f>
        <v>7</v>
      </c>
      <c r="L170" s="986">
        <f>+NOMINA!CA174</f>
        <v>2120</v>
      </c>
      <c r="M170" s="443" t="e">
        <f>#REF!+#REF!-#REF!</f>
        <v>#REF!</v>
      </c>
      <c r="N170" s="975" t="e">
        <f>ROUND((#REF!+#REF!+#REF!+#REF!+#REF!+#REF!+#REF!+#REF!),2)</f>
        <v>#REF!</v>
      </c>
      <c r="Q170" s="629" t="e">
        <f>SUM(#REF!)</f>
        <v>#REF!</v>
      </c>
      <c r="R170" s="976" t="e">
        <f>#REF!+#REF!-#REF!</f>
        <v>#REF!</v>
      </c>
      <c r="S170" s="977">
        <v>200</v>
      </c>
      <c r="T170" s="976" t="e">
        <f>#REF!+#REF!</f>
        <v>#REF!</v>
      </c>
      <c r="U170" s="977" t="e">
        <f>#REF!</f>
        <v>#REF!</v>
      </c>
      <c r="V170" s="978">
        <v>0</v>
      </c>
      <c r="W170" s="977" t="e">
        <f>#REF!</f>
        <v>#REF!</v>
      </c>
      <c r="X170" s="979" t="e">
        <f>#REF!+#REF!</f>
        <v>#REF!</v>
      </c>
      <c r="Y170" s="979" t="e">
        <f>#REF!+#REF!</f>
        <v>#REF!</v>
      </c>
      <c r="Z170" s="979"/>
      <c r="AA170" s="977" t="e">
        <f>#REF!</f>
        <v>#REF!</v>
      </c>
      <c r="AB170" s="977" t="e">
        <f t="shared" si="10"/>
        <v>#REF!</v>
      </c>
      <c r="AC170" s="977" t="e">
        <f>#REF!+#REF!</f>
        <v>#REF!</v>
      </c>
      <c r="AD170" s="977">
        <f t="shared" si="11"/>
        <v>2120</v>
      </c>
      <c r="AE170" s="634"/>
    </row>
    <row r="171" spans="1:31" s="629" customFormat="1" ht="18" customHeight="1">
      <c r="A171" s="664" t="s">
        <v>2846</v>
      </c>
      <c r="B171" s="510">
        <f t="shared" si="12"/>
        <v>133</v>
      </c>
      <c r="C171" s="980">
        <f>+NOMINA!C175</f>
        <v>16267940</v>
      </c>
      <c r="D171" s="981" t="str">
        <f>+NOMINA!D175</f>
        <v>Araujo Moreno Elisaelith</v>
      </c>
      <c r="E171" s="978" t="s">
        <v>4622</v>
      </c>
      <c r="F171" s="982">
        <v>27081</v>
      </c>
      <c r="G171" s="978" t="s">
        <v>4620</v>
      </c>
      <c r="H171" s="983">
        <f>+NOMINA!H175</f>
        <v>44600</v>
      </c>
      <c r="I171" s="984">
        <f>+NOMINA!I175</f>
        <v>2</v>
      </c>
      <c r="J171" s="985">
        <f>+NOMINA!J175</f>
        <v>0</v>
      </c>
      <c r="K171" s="984">
        <f>+NOMINA!K175</f>
        <v>2</v>
      </c>
      <c r="L171" s="986">
        <f>+NOMINA!CA175</f>
        <v>2120</v>
      </c>
      <c r="M171" s="443" t="e">
        <f>#REF!+#REF!-#REF!</f>
        <v>#REF!</v>
      </c>
      <c r="N171" s="975" t="e">
        <f>ROUND((#REF!+#REF!+#REF!+#REF!+#REF!+#REF!+#REF!+#REF!),2)</f>
        <v>#REF!</v>
      </c>
      <c r="Q171" s="629" t="e">
        <f>SUM(#REF!)</f>
        <v>#REF!</v>
      </c>
      <c r="R171" s="976" t="e">
        <f>#REF!+#REF!-#REF!</f>
        <v>#REF!</v>
      </c>
      <c r="S171" s="977">
        <v>200</v>
      </c>
      <c r="T171" s="976" t="e">
        <f>#REF!+#REF!</f>
        <v>#REF!</v>
      </c>
      <c r="U171" s="977" t="e">
        <f>#REF!</f>
        <v>#REF!</v>
      </c>
      <c r="V171" s="978">
        <v>0</v>
      </c>
      <c r="W171" s="977" t="e">
        <f>#REF!</f>
        <v>#REF!</v>
      </c>
      <c r="X171" s="979" t="e">
        <f>#REF!+#REF!</f>
        <v>#REF!</v>
      </c>
      <c r="Y171" s="979" t="e">
        <f>#REF!+#REF!</f>
        <v>#REF!</v>
      </c>
      <c r="Z171" s="979"/>
      <c r="AA171" s="977" t="e">
        <f>#REF!</f>
        <v>#REF!</v>
      </c>
      <c r="AB171" s="977" t="e">
        <f t="shared" si="10"/>
        <v>#REF!</v>
      </c>
      <c r="AC171" s="977" t="e">
        <f>#REF!+#REF!</f>
        <v>#REF!</v>
      </c>
      <c r="AD171" s="977">
        <f t="shared" si="11"/>
        <v>2120</v>
      </c>
      <c r="AE171" s="634"/>
    </row>
    <row r="172" spans="1:31" s="629" customFormat="1" ht="18" customHeight="1">
      <c r="A172" s="664" t="s">
        <v>2846</v>
      </c>
      <c r="B172" s="510">
        <f t="shared" si="12"/>
        <v>134</v>
      </c>
      <c r="C172" s="980">
        <f>+NOMINA!C176</f>
        <v>16376534</v>
      </c>
      <c r="D172" s="981" t="str">
        <f>+NOMINA!D176</f>
        <v>Lugo Moreno Yenny Katiuska</v>
      </c>
      <c r="E172" s="978" t="s">
        <v>4622</v>
      </c>
      <c r="F172" s="982">
        <v>27081</v>
      </c>
      <c r="G172" s="978" t="s">
        <v>4620</v>
      </c>
      <c r="H172" s="983">
        <f>+NOMINA!H176</f>
        <v>43754</v>
      </c>
      <c r="I172" s="984">
        <f>+NOMINA!I176</f>
        <v>5</v>
      </c>
      <c r="J172" s="985">
        <f>+NOMINA!J176</f>
        <v>0</v>
      </c>
      <c r="K172" s="984">
        <f>+NOMINA!K176</f>
        <v>5</v>
      </c>
      <c r="L172" s="986">
        <f>+NOMINA!CA176</f>
        <v>2120</v>
      </c>
      <c r="M172" s="443" t="e">
        <f>#REF!+#REF!-#REF!</f>
        <v>#REF!</v>
      </c>
      <c r="N172" s="975" t="e">
        <f>ROUND((#REF!+#REF!+#REF!+#REF!+#REF!+#REF!+#REF!+#REF!),2)</f>
        <v>#REF!</v>
      </c>
      <c r="Q172" s="629" t="e">
        <f>SUM(#REF!)</f>
        <v>#REF!</v>
      </c>
      <c r="R172" s="976" t="e">
        <f>#REF!+#REF!-#REF!</f>
        <v>#REF!</v>
      </c>
      <c r="S172" s="977">
        <v>200</v>
      </c>
      <c r="T172" s="976" t="e">
        <f>#REF!+#REF!</f>
        <v>#REF!</v>
      </c>
      <c r="U172" s="977" t="e">
        <f>#REF!</f>
        <v>#REF!</v>
      </c>
      <c r="V172" s="978">
        <v>0</v>
      </c>
      <c r="W172" s="977" t="e">
        <f>#REF!</f>
        <v>#REF!</v>
      </c>
      <c r="X172" s="979" t="e">
        <f>#REF!+#REF!</f>
        <v>#REF!</v>
      </c>
      <c r="Y172" s="979" t="e">
        <f>#REF!+#REF!</f>
        <v>#REF!</v>
      </c>
      <c r="Z172" s="979"/>
      <c r="AA172" s="977" t="e">
        <f>#REF!</f>
        <v>#REF!</v>
      </c>
      <c r="AB172" s="977" t="e">
        <f t="shared" si="10"/>
        <v>#REF!</v>
      </c>
      <c r="AC172" s="977" t="e">
        <f>#REF!+#REF!</f>
        <v>#REF!</v>
      </c>
      <c r="AD172" s="977">
        <f t="shared" si="11"/>
        <v>2120</v>
      </c>
      <c r="AE172" s="634"/>
    </row>
    <row r="173" spans="1:31" s="629" customFormat="1" ht="18" customHeight="1">
      <c r="A173" s="664" t="s">
        <v>2846</v>
      </c>
      <c r="B173" s="510">
        <f t="shared" si="12"/>
        <v>135</v>
      </c>
      <c r="C173" s="980">
        <f>+NOMINA!C177</f>
        <v>16376698</v>
      </c>
      <c r="D173" s="981" t="str">
        <f>+NOMINA!D177</f>
        <v>Barreto Maldonado Jose Luis</v>
      </c>
      <c r="E173" s="978" t="s">
        <v>4622</v>
      </c>
      <c r="F173" s="982">
        <v>27081</v>
      </c>
      <c r="G173" s="978" t="s">
        <v>4620</v>
      </c>
      <c r="H173" s="983">
        <f>+NOMINA!H177</f>
        <v>40909</v>
      </c>
      <c r="I173" s="984">
        <f>+NOMINA!I177</f>
        <v>13</v>
      </c>
      <c r="J173" s="985">
        <f>+NOMINA!J177</f>
        <v>0</v>
      </c>
      <c r="K173" s="984">
        <f>+NOMINA!K177</f>
        <v>13</v>
      </c>
      <c r="L173" s="986">
        <f>+NOMINA!CA177</f>
        <v>2120</v>
      </c>
      <c r="M173" s="443" t="e">
        <f>#REF!+#REF!-#REF!</f>
        <v>#REF!</v>
      </c>
      <c r="N173" s="975" t="e">
        <f>ROUND((#REF!+#REF!+#REF!+#REF!+#REF!+#REF!+#REF!+#REF!),2)</f>
        <v>#REF!</v>
      </c>
      <c r="Q173" s="629" t="e">
        <f>SUM(#REF!)</f>
        <v>#REF!</v>
      </c>
      <c r="R173" s="976" t="e">
        <f>#REF!+#REF!-#REF!</f>
        <v>#REF!</v>
      </c>
      <c r="S173" s="977">
        <v>200</v>
      </c>
      <c r="T173" s="976" t="e">
        <f>#REF!+#REF!</f>
        <v>#REF!</v>
      </c>
      <c r="U173" s="977" t="e">
        <f>#REF!</f>
        <v>#REF!</v>
      </c>
      <c r="V173" s="978">
        <v>0</v>
      </c>
      <c r="W173" s="977" t="e">
        <f>#REF!</f>
        <v>#REF!</v>
      </c>
      <c r="X173" s="979" t="e">
        <f>#REF!+#REF!</f>
        <v>#REF!</v>
      </c>
      <c r="Y173" s="979" t="e">
        <f>#REF!+#REF!</f>
        <v>#REF!</v>
      </c>
      <c r="Z173" s="979"/>
      <c r="AA173" s="977" t="e">
        <f>#REF!</f>
        <v>#REF!</v>
      </c>
      <c r="AB173" s="977" t="e">
        <f t="shared" si="10"/>
        <v>#REF!</v>
      </c>
      <c r="AC173" s="977" t="e">
        <f>#REF!+#REF!</f>
        <v>#REF!</v>
      </c>
      <c r="AD173" s="977">
        <f t="shared" si="11"/>
        <v>2120</v>
      </c>
      <c r="AE173" s="634"/>
    </row>
    <row r="174" spans="1:31" s="629" customFormat="1" ht="18" customHeight="1">
      <c r="A174" s="664" t="s">
        <v>2846</v>
      </c>
      <c r="B174" s="510">
        <f t="shared" si="12"/>
        <v>136</v>
      </c>
      <c r="C174" s="980">
        <f>+NOMINA!C178</f>
        <v>16376781</v>
      </c>
      <c r="D174" s="981" t="str">
        <f>+NOMINA!D178</f>
        <v>Viloria de Utrilla Arelis del Carmen</v>
      </c>
      <c r="E174" s="978" t="s">
        <v>4622</v>
      </c>
      <c r="F174" s="982">
        <v>27081</v>
      </c>
      <c r="G174" s="978" t="s">
        <v>4620</v>
      </c>
      <c r="H174" s="983">
        <f>+NOMINA!H178</f>
        <v>45413</v>
      </c>
      <c r="I174" s="984">
        <f>+NOMINA!I178</f>
        <v>0</v>
      </c>
      <c r="J174" s="985">
        <f>+NOMINA!J178</f>
        <v>0</v>
      </c>
      <c r="K174" s="984">
        <f>+NOMINA!K178</f>
        <v>0</v>
      </c>
      <c r="L174" s="986">
        <f>+NOMINA!CA178</f>
        <v>2120</v>
      </c>
      <c r="M174" s="443" t="e">
        <f>#REF!+#REF!-#REF!</f>
        <v>#REF!</v>
      </c>
      <c r="N174" s="975" t="e">
        <f>ROUND((#REF!+#REF!+#REF!+#REF!+#REF!+#REF!+#REF!+#REF!),2)</f>
        <v>#REF!</v>
      </c>
      <c r="Q174" s="629" t="e">
        <f>SUM(#REF!)</f>
        <v>#REF!</v>
      </c>
      <c r="R174" s="976" t="e">
        <f>#REF!+#REF!-#REF!</f>
        <v>#REF!</v>
      </c>
      <c r="S174" s="977">
        <v>200</v>
      </c>
      <c r="T174" s="976" t="e">
        <f>#REF!+#REF!</f>
        <v>#REF!</v>
      </c>
      <c r="U174" s="977" t="e">
        <f>#REF!</f>
        <v>#REF!</v>
      </c>
      <c r="V174" s="978">
        <v>0</v>
      </c>
      <c r="W174" s="977" t="e">
        <f>#REF!</f>
        <v>#REF!</v>
      </c>
      <c r="X174" s="979" t="e">
        <f>#REF!+#REF!</f>
        <v>#REF!</v>
      </c>
      <c r="Y174" s="979" t="e">
        <f>#REF!+#REF!</f>
        <v>#REF!</v>
      </c>
      <c r="Z174" s="979"/>
      <c r="AA174" s="977" t="e">
        <f>#REF!</f>
        <v>#REF!</v>
      </c>
      <c r="AB174" s="977" t="e">
        <f t="shared" si="10"/>
        <v>#REF!</v>
      </c>
      <c r="AC174" s="977" t="e">
        <f>#REF!+#REF!</f>
        <v>#REF!</v>
      </c>
      <c r="AD174" s="977">
        <f t="shared" si="11"/>
        <v>2120</v>
      </c>
      <c r="AE174" s="634"/>
    </row>
    <row r="175" spans="1:31" s="629" customFormat="1" ht="18" customHeight="1">
      <c r="A175" s="664" t="s">
        <v>2846</v>
      </c>
      <c r="B175" s="510">
        <f t="shared" si="12"/>
        <v>137</v>
      </c>
      <c r="C175" s="980">
        <f>+NOMINA!C179</f>
        <v>16377159</v>
      </c>
      <c r="D175" s="981" t="str">
        <f>+NOMINA!D179</f>
        <v>Carrillo Uzcategui Tahiyuani Carolina</v>
      </c>
      <c r="E175" s="978" t="s">
        <v>4622</v>
      </c>
      <c r="F175" s="982">
        <v>27081</v>
      </c>
      <c r="G175" s="978" t="s">
        <v>4620</v>
      </c>
      <c r="H175" s="983">
        <f>+NOMINA!H179</f>
        <v>44743</v>
      </c>
      <c r="I175" s="984">
        <f>+NOMINA!I179</f>
        <v>2</v>
      </c>
      <c r="J175" s="985">
        <f>+NOMINA!J179</f>
        <v>0</v>
      </c>
      <c r="K175" s="984">
        <f>+NOMINA!K179</f>
        <v>2</v>
      </c>
      <c r="L175" s="986">
        <f>+NOMINA!CA179</f>
        <v>2120</v>
      </c>
      <c r="M175" s="443" t="e">
        <f>#REF!+#REF!-#REF!</f>
        <v>#REF!</v>
      </c>
      <c r="N175" s="975" t="e">
        <f>ROUND((#REF!+#REF!+#REF!+#REF!+#REF!+#REF!+#REF!+#REF!),2)</f>
        <v>#REF!</v>
      </c>
      <c r="Q175" s="629" t="e">
        <f>SUM(#REF!)</f>
        <v>#REF!</v>
      </c>
      <c r="R175" s="976" t="e">
        <f>#REF!+#REF!-#REF!</f>
        <v>#REF!</v>
      </c>
      <c r="S175" s="977">
        <v>200</v>
      </c>
      <c r="T175" s="976" t="e">
        <f>#REF!+#REF!</f>
        <v>#REF!</v>
      </c>
      <c r="U175" s="977" t="e">
        <f>#REF!</f>
        <v>#REF!</v>
      </c>
      <c r="V175" s="978">
        <v>0</v>
      </c>
      <c r="W175" s="977" t="e">
        <f>#REF!</f>
        <v>#REF!</v>
      </c>
      <c r="X175" s="979" t="e">
        <f>#REF!+#REF!</f>
        <v>#REF!</v>
      </c>
      <c r="Y175" s="979" t="e">
        <f>#REF!+#REF!</f>
        <v>#REF!</v>
      </c>
      <c r="Z175" s="979"/>
      <c r="AA175" s="977" t="e">
        <f>#REF!</f>
        <v>#REF!</v>
      </c>
      <c r="AB175" s="977" t="e">
        <f t="shared" si="10"/>
        <v>#REF!</v>
      </c>
      <c r="AC175" s="977" t="e">
        <f>#REF!+#REF!</f>
        <v>#REF!</v>
      </c>
      <c r="AD175" s="977">
        <f t="shared" si="11"/>
        <v>2120</v>
      </c>
      <c r="AE175" s="634"/>
    </row>
    <row r="176" spans="1:31" s="629" customFormat="1" ht="18" customHeight="1">
      <c r="A176" s="664" t="s">
        <v>2846</v>
      </c>
      <c r="B176" s="510">
        <f t="shared" si="12"/>
        <v>138</v>
      </c>
      <c r="C176" s="980">
        <f>+NOMINA!C180</f>
        <v>16377588</v>
      </c>
      <c r="D176" s="981" t="str">
        <f>+NOMINA!D180</f>
        <v>Perdomo Linares Alejandra Carolina</v>
      </c>
      <c r="E176" s="978" t="s">
        <v>4622</v>
      </c>
      <c r="F176" s="982">
        <v>27081</v>
      </c>
      <c r="G176" s="978" t="s">
        <v>4620</v>
      </c>
      <c r="H176" s="983">
        <f>+NOMINA!H180</f>
        <v>44059</v>
      </c>
      <c r="I176" s="984">
        <f>+NOMINA!I180</f>
        <v>4</v>
      </c>
      <c r="J176" s="985">
        <f>+NOMINA!J180</f>
        <v>0</v>
      </c>
      <c r="K176" s="984">
        <f>+NOMINA!K180</f>
        <v>4</v>
      </c>
      <c r="L176" s="986">
        <f>+NOMINA!CA180</f>
        <v>2120</v>
      </c>
      <c r="M176" s="443" t="e">
        <f>#REF!+#REF!-#REF!</f>
        <v>#REF!</v>
      </c>
      <c r="N176" s="975" t="e">
        <f>ROUND((#REF!+#REF!+#REF!+#REF!+#REF!+#REF!+#REF!+#REF!),2)</f>
        <v>#REF!</v>
      </c>
      <c r="Q176" s="629" t="e">
        <f>SUM(#REF!)</f>
        <v>#REF!</v>
      </c>
      <c r="R176" s="976" t="e">
        <f>#REF!+#REF!-#REF!</f>
        <v>#REF!</v>
      </c>
      <c r="S176" s="977">
        <v>200</v>
      </c>
      <c r="T176" s="976" t="e">
        <f>#REF!+#REF!</f>
        <v>#REF!</v>
      </c>
      <c r="U176" s="977" t="e">
        <f>#REF!</f>
        <v>#REF!</v>
      </c>
      <c r="V176" s="978">
        <v>0</v>
      </c>
      <c r="W176" s="977" t="e">
        <f>#REF!</f>
        <v>#REF!</v>
      </c>
      <c r="X176" s="979" t="e">
        <f>#REF!+#REF!</f>
        <v>#REF!</v>
      </c>
      <c r="Y176" s="979" t="e">
        <f>#REF!+#REF!</f>
        <v>#REF!</v>
      </c>
      <c r="Z176" s="979"/>
      <c r="AA176" s="977" t="e">
        <f>#REF!</f>
        <v>#REF!</v>
      </c>
      <c r="AB176" s="977" t="e">
        <f t="shared" si="10"/>
        <v>#REF!</v>
      </c>
      <c r="AC176" s="977" t="e">
        <f>#REF!+#REF!</f>
        <v>#REF!</v>
      </c>
      <c r="AD176" s="977">
        <f t="shared" si="11"/>
        <v>2120</v>
      </c>
      <c r="AE176" s="634"/>
    </row>
    <row r="177" spans="1:31" s="629" customFormat="1" ht="18" customHeight="1">
      <c r="A177" s="664" t="s">
        <v>2846</v>
      </c>
      <c r="B177" s="510">
        <f t="shared" si="12"/>
        <v>139</v>
      </c>
      <c r="C177" s="980">
        <f>+NOMINA!C181</f>
        <v>16377628</v>
      </c>
      <c r="D177" s="981" t="str">
        <f>+NOMINA!D181</f>
        <v>Peña Nava Maria Gabriela</v>
      </c>
      <c r="E177" s="978" t="s">
        <v>4622</v>
      </c>
      <c r="F177" s="982">
        <v>27081</v>
      </c>
      <c r="G177" s="978" t="s">
        <v>4620</v>
      </c>
      <c r="H177" s="983">
        <f>+NOMINA!H181</f>
        <v>44743</v>
      </c>
      <c r="I177" s="984">
        <f>+NOMINA!I181</f>
        <v>2</v>
      </c>
      <c r="J177" s="985">
        <f>+NOMINA!J181</f>
        <v>9</v>
      </c>
      <c r="K177" s="984">
        <f>+NOMINA!K181</f>
        <v>11</v>
      </c>
      <c r="L177" s="986">
        <f>+NOMINA!CA181</f>
        <v>2120</v>
      </c>
      <c r="M177" s="443" t="e">
        <f>#REF!+#REF!-#REF!</f>
        <v>#REF!</v>
      </c>
      <c r="N177" s="975" t="e">
        <f>ROUND((#REF!+#REF!+#REF!+#REF!+#REF!+#REF!+#REF!+#REF!),2)</f>
        <v>#REF!</v>
      </c>
      <c r="Q177" s="629" t="e">
        <f>SUM(#REF!)</f>
        <v>#REF!</v>
      </c>
      <c r="R177" s="976" t="e">
        <f>#REF!+#REF!-#REF!</f>
        <v>#REF!</v>
      </c>
      <c r="S177" s="977">
        <v>200</v>
      </c>
      <c r="T177" s="976" t="e">
        <f>#REF!+#REF!</f>
        <v>#REF!</v>
      </c>
      <c r="U177" s="977" t="e">
        <f>#REF!</f>
        <v>#REF!</v>
      </c>
      <c r="V177" s="978">
        <v>0</v>
      </c>
      <c r="W177" s="977" t="e">
        <f>#REF!</f>
        <v>#REF!</v>
      </c>
      <c r="X177" s="979" t="e">
        <f>#REF!+#REF!</f>
        <v>#REF!</v>
      </c>
      <c r="Y177" s="979" t="e">
        <f>#REF!+#REF!</f>
        <v>#REF!</v>
      </c>
      <c r="Z177" s="979"/>
      <c r="AA177" s="977" t="e">
        <f>#REF!</f>
        <v>#REF!</v>
      </c>
      <c r="AB177" s="977" t="e">
        <f t="shared" si="10"/>
        <v>#REF!</v>
      </c>
      <c r="AC177" s="977" t="e">
        <f>#REF!+#REF!</f>
        <v>#REF!</v>
      </c>
      <c r="AD177" s="977">
        <f t="shared" si="11"/>
        <v>2120</v>
      </c>
      <c r="AE177" s="634"/>
    </row>
    <row r="178" spans="1:31" s="629" customFormat="1" ht="18" customHeight="1">
      <c r="A178" s="664" t="s">
        <v>2846</v>
      </c>
      <c r="B178" s="510">
        <f t="shared" si="12"/>
        <v>140</v>
      </c>
      <c r="C178" s="980">
        <f>+NOMINA!C182</f>
        <v>16533566</v>
      </c>
      <c r="D178" s="981" t="str">
        <f>+NOMINA!D182</f>
        <v>Materan Gallardo Vivian Katiana</v>
      </c>
      <c r="E178" s="978" t="s">
        <v>4622</v>
      </c>
      <c r="F178" s="982">
        <v>27081</v>
      </c>
      <c r="G178" s="978" t="s">
        <v>4620</v>
      </c>
      <c r="H178" s="983">
        <f>+NOMINA!H182</f>
        <v>44683</v>
      </c>
      <c r="I178" s="984">
        <f>+NOMINA!I182</f>
        <v>2</v>
      </c>
      <c r="J178" s="985">
        <f>+NOMINA!J182</f>
        <v>0</v>
      </c>
      <c r="K178" s="984">
        <f>+NOMINA!K182</f>
        <v>2</v>
      </c>
      <c r="L178" s="986">
        <f>+NOMINA!CA182</f>
        <v>2120</v>
      </c>
      <c r="M178" s="443" t="e">
        <f>#REF!+#REF!-#REF!</f>
        <v>#REF!</v>
      </c>
      <c r="N178" s="975" t="e">
        <f>ROUND((#REF!+#REF!+#REF!+#REF!+#REF!+#REF!+#REF!+#REF!),2)</f>
        <v>#REF!</v>
      </c>
      <c r="Q178" s="629" t="e">
        <f>SUM(#REF!)</f>
        <v>#REF!</v>
      </c>
      <c r="R178" s="976" t="e">
        <f>#REF!+#REF!-#REF!</f>
        <v>#REF!</v>
      </c>
      <c r="S178" s="977">
        <v>200</v>
      </c>
      <c r="T178" s="976" t="e">
        <f>#REF!+#REF!</f>
        <v>#REF!</v>
      </c>
      <c r="U178" s="977" t="e">
        <f>#REF!</f>
        <v>#REF!</v>
      </c>
      <c r="V178" s="978">
        <v>0</v>
      </c>
      <c r="W178" s="977" t="e">
        <f>#REF!</f>
        <v>#REF!</v>
      </c>
      <c r="X178" s="979" t="e">
        <f>#REF!+#REF!</f>
        <v>#REF!</v>
      </c>
      <c r="Y178" s="979" t="e">
        <f>#REF!+#REF!</f>
        <v>#REF!</v>
      </c>
      <c r="Z178" s="979"/>
      <c r="AA178" s="977" t="e">
        <f>#REF!</f>
        <v>#REF!</v>
      </c>
      <c r="AB178" s="977" t="e">
        <f t="shared" si="10"/>
        <v>#REF!</v>
      </c>
      <c r="AC178" s="977" t="e">
        <f>#REF!+#REF!</f>
        <v>#REF!</v>
      </c>
      <c r="AD178" s="977">
        <f t="shared" si="11"/>
        <v>2120</v>
      </c>
      <c r="AE178" s="634"/>
    </row>
    <row r="179" spans="1:31" s="629" customFormat="1" ht="18" customHeight="1">
      <c r="A179" s="664" t="s">
        <v>2846</v>
      </c>
      <c r="B179" s="510">
        <f t="shared" si="12"/>
        <v>141</v>
      </c>
      <c r="C179" s="980">
        <f>+NOMINA!C183</f>
        <v>16533615</v>
      </c>
      <c r="D179" s="981" t="str">
        <f>+NOMINA!D183</f>
        <v>Valero Sulbaran Urquia Del Mar</v>
      </c>
      <c r="E179" s="978" t="s">
        <v>4622</v>
      </c>
      <c r="F179" s="982">
        <v>27081</v>
      </c>
      <c r="G179" s="978" t="s">
        <v>4620</v>
      </c>
      <c r="H179" s="983">
        <f>+NOMINA!H183</f>
        <v>45474</v>
      </c>
      <c r="I179" s="984">
        <f>+NOMINA!I183</f>
        <v>0</v>
      </c>
      <c r="J179" s="985">
        <f>+NOMINA!J183</f>
        <v>0</v>
      </c>
      <c r="K179" s="984">
        <f>+NOMINA!K183</f>
        <v>0</v>
      </c>
      <c r="L179" s="986">
        <f>+NOMINA!CA183</f>
        <v>2120</v>
      </c>
      <c r="M179" s="443" t="e">
        <f>#REF!+#REF!-#REF!</f>
        <v>#REF!</v>
      </c>
      <c r="N179" s="975" t="e">
        <f>ROUND((#REF!+#REF!+#REF!+#REF!+#REF!+#REF!+#REF!+#REF!),2)</f>
        <v>#REF!</v>
      </c>
      <c r="Q179" s="629" t="e">
        <f>SUM(#REF!)</f>
        <v>#REF!</v>
      </c>
      <c r="R179" s="976" t="e">
        <f>#REF!+#REF!-#REF!</f>
        <v>#REF!</v>
      </c>
      <c r="S179" s="977">
        <v>200</v>
      </c>
      <c r="T179" s="976" t="e">
        <f>#REF!+#REF!</f>
        <v>#REF!</v>
      </c>
      <c r="U179" s="977" t="e">
        <f>#REF!</f>
        <v>#REF!</v>
      </c>
      <c r="V179" s="978">
        <v>0</v>
      </c>
      <c r="W179" s="977" t="e">
        <f>#REF!</f>
        <v>#REF!</v>
      </c>
      <c r="X179" s="979" t="e">
        <f>#REF!+#REF!</f>
        <v>#REF!</v>
      </c>
      <c r="Y179" s="979" t="e">
        <f>#REF!+#REF!</f>
        <v>#REF!</v>
      </c>
      <c r="Z179" s="979"/>
      <c r="AA179" s="977" t="e">
        <f>#REF!</f>
        <v>#REF!</v>
      </c>
      <c r="AB179" s="977" t="e">
        <f t="shared" si="10"/>
        <v>#REF!</v>
      </c>
      <c r="AC179" s="977" t="e">
        <f>#REF!+#REF!</f>
        <v>#REF!</v>
      </c>
      <c r="AD179" s="977">
        <f t="shared" si="11"/>
        <v>2120</v>
      </c>
      <c r="AE179" s="634"/>
    </row>
    <row r="180" spans="1:31" s="629" customFormat="1" ht="18" customHeight="1">
      <c r="A180" s="664" t="s">
        <v>2846</v>
      </c>
      <c r="B180" s="510">
        <f t="shared" si="12"/>
        <v>142</v>
      </c>
      <c r="C180" s="980">
        <f>+NOMINA!C184</f>
        <v>16533986</v>
      </c>
      <c r="D180" s="981" t="str">
        <f>+NOMINA!D184</f>
        <v>Serrada Bustos Gladys Magaly</v>
      </c>
      <c r="E180" s="978" t="s">
        <v>4622</v>
      </c>
      <c r="F180" s="982">
        <v>27081</v>
      </c>
      <c r="G180" s="978" t="s">
        <v>4620</v>
      </c>
      <c r="H180" s="983">
        <f>+NOMINA!H184</f>
        <v>42948</v>
      </c>
      <c r="I180" s="984">
        <f>+NOMINA!I184</f>
        <v>7</v>
      </c>
      <c r="J180" s="985">
        <f>+NOMINA!J184</f>
        <v>0</v>
      </c>
      <c r="K180" s="984">
        <f>+NOMINA!K184</f>
        <v>7</v>
      </c>
      <c r="L180" s="986">
        <f>+NOMINA!CA184</f>
        <v>2120</v>
      </c>
      <c r="M180" s="443" t="e">
        <f>#REF!+#REF!-#REF!</f>
        <v>#REF!</v>
      </c>
      <c r="N180" s="975" t="e">
        <f>ROUND((#REF!+#REF!+#REF!+#REF!+#REF!+#REF!+#REF!+#REF!),2)</f>
        <v>#REF!</v>
      </c>
      <c r="Q180" s="629" t="e">
        <f>SUM(#REF!)</f>
        <v>#REF!</v>
      </c>
      <c r="R180" s="976" t="e">
        <f>#REF!+#REF!-#REF!</f>
        <v>#REF!</v>
      </c>
      <c r="S180" s="977">
        <v>200</v>
      </c>
      <c r="T180" s="976" t="e">
        <f>#REF!+#REF!</f>
        <v>#REF!</v>
      </c>
      <c r="U180" s="977" t="e">
        <f>#REF!</f>
        <v>#REF!</v>
      </c>
      <c r="V180" s="978">
        <v>0</v>
      </c>
      <c r="W180" s="977" t="e">
        <f>#REF!</f>
        <v>#REF!</v>
      </c>
      <c r="X180" s="979" t="e">
        <f>#REF!+#REF!</f>
        <v>#REF!</v>
      </c>
      <c r="Y180" s="979" t="e">
        <f>#REF!+#REF!</f>
        <v>#REF!</v>
      </c>
      <c r="Z180" s="979"/>
      <c r="AA180" s="977" t="e">
        <f>#REF!</f>
        <v>#REF!</v>
      </c>
      <c r="AB180" s="977" t="e">
        <f t="shared" si="10"/>
        <v>#REF!</v>
      </c>
      <c r="AC180" s="977" t="e">
        <f>#REF!+#REF!</f>
        <v>#REF!</v>
      </c>
      <c r="AD180" s="977">
        <f t="shared" si="11"/>
        <v>2120</v>
      </c>
      <c r="AE180" s="634"/>
    </row>
    <row r="181" spans="1:31" s="629" customFormat="1" ht="18" customHeight="1">
      <c r="A181" s="664" t="s">
        <v>2846</v>
      </c>
      <c r="B181" s="510">
        <f t="shared" si="12"/>
        <v>143</v>
      </c>
      <c r="C181" s="980">
        <f>+NOMINA!C185</f>
        <v>16739081</v>
      </c>
      <c r="D181" s="981" t="str">
        <f>+NOMINA!D185</f>
        <v>Albarran Araujo Yely Coromoto</v>
      </c>
      <c r="E181" s="978" t="s">
        <v>4622</v>
      </c>
      <c r="F181" s="982">
        <v>27081</v>
      </c>
      <c r="G181" s="978" t="s">
        <v>4620</v>
      </c>
      <c r="H181" s="983">
        <f>+NOMINA!H185</f>
        <v>42948</v>
      </c>
      <c r="I181" s="984">
        <f>+NOMINA!I185</f>
        <v>7</v>
      </c>
      <c r="J181" s="985">
        <f>+NOMINA!J185</f>
        <v>0</v>
      </c>
      <c r="K181" s="984">
        <f>+NOMINA!K185</f>
        <v>7</v>
      </c>
      <c r="L181" s="986">
        <f>+NOMINA!CA185</f>
        <v>0</v>
      </c>
      <c r="M181" s="443" t="e">
        <f>#REF!+#REF!-#REF!</f>
        <v>#REF!</v>
      </c>
      <c r="N181" s="975" t="e">
        <f>ROUND((#REF!+#REF!+#REF!+#REF!+#REF!+#REF!+#REF!+#REF!),2)</f>
        <v>#REF!</v>
      </c>
      <c r="Q181" s="629" t="e">
        <f>SUM(#REF!)</f>
        <v>#REF!</v>
      </c>
      <c r="R181" s="976" t="e">
        <f>#REF!+#REF!-#REF!</f>
        <v>#REF!</v>
      </c>
      <c r="S181" s="977">
        <v>200</v>
      </c>
      <c r="T181" s="976" t="e">
        <f>#REF!+#REF!</f>
        <v>#REF!</v>
      </c>
      <c r="U181" s="977" t="e">
        <f>#REF!</f>
        <v>#REF!</v>
      </c>
      <c r="V181" s="978">
        <v>0</v>
      </c>
      <c r="W181" s="977" t="e">
        <f>#REF!</f>
        <v>#REF!</v>
      </c>
      <c r="X181" s="979" t="e">
        <f>#REF!+#REF!</f>
        <v>#REF!</v>
      </c>
      <c r="Y181" s="979" t="e">
        <f>#REF!+#REF!</f>
        <v>#REF!</v>
      </c>
      <c r="Z181" s="979"/>
      <c r="AA181" s="977" t="e">
        <f>#REF!</f>
        <v>#REF!</v>
      </c>
      <c r="AB181" s="977" t="e">
        <f t="shared" si="10"/>
        <v>#REF!</v>
      </c>
      <c r="AC181" s="977" t="e">
        <f>#REF!+#REF!</f>
        <v>#REF!</v>
      </c>
      <c r="AD181" s="977">
        <f t="shared" si="11"/>
        <v>0</v>
      </c>
      <c r="AE181" s="634"/>
    </row>
    <row r="182" spans="1:31" s="629" customFormat="1" ht="18" customHeight="1">
      <c r="A182" s="664" t="s">
        <v>2846</v>
      </c>
      <c r="B182" s="510">
        <f t="shared" si="12"/>
        <v>144</v>
      </c>
      <c r="C182" s="980">
        <f>+NOMINA!C186</f>
        <v>16740261</v>
      </c>
      <c r="D182" s="981" t="str">
        <f>+NOMINA!D186</f>
        <v>Rivas Briceño Nathaly Del Carmen</v>
      </c>
      <c r="E182" s="978" t="s">
        <v>4622</v>
      </c>
      <c r="F182" s="982">
        <v>27081</v>
      </c>
      <c r="G182" s="978" t="s">
        <v>4620</v>
      </c>
      <c r="H182" s="983">
        <f>+NOMINA!H186</f>
        <v>45505</v>
      </c>
      <c r="I182" s="984">
        <f>+NOMINA!I186</f>
        <v>0</v>
      </c>
      <c r="J182" s="985">
        <f>+NOMINA!J186</f>
        <v>0</v>
      </c>
      <c r="K182" s="984">
        <f>+NOMINA!K186</f>
        <v>0</v>
      </c>
      <c r="L182" s="986">
        <f>+NOMINA!CA186</f>
        <v>2120</v>
      </c>
      <c r="M182" s="443" t="e">
        <f>#REF!+#REF!-#REF!</f>
        <v>#REF!</v>
      </c>
      <c r="N182" s="975" t="e">
        <f>ROUND((#REF!+#REF!+#REF!+#REF!+#REF!+#REF!+#REF!+#REF!),2)</f>
        <v>#REF!</v>
      </c>
      <c r="Q182" s="629" t="e">
        <f>SUM(#REF!)</f>
        <v>#REF!</v>
      </c>
      <c r="R182" s="976" t="e">
        <f>#REF!+#REF!-#REF!</f>
        <v>#REF!</v>
      </c>
      <c r="S182" s="977">
        <v>200</v>
      </c>
      <c r="T182" s="976" t="e">
        <f>#REF!+#REF!</f>
        <v>#REF!</v>
      </c>
      <c r="U182" s="977" t="e">
        <f>#REF!</f>
        <v>#REF!</v>
      </c>
      <c r="V182" s="978">
        <v>0</v>
      </c>
      <c r="W182" s="977" t="e">
        <f>#REF!</f>
        <v>#REF!</v>
      </c>
      <c r="X182" s="979" t="e">
        <f>#REF!+#REF!</f>
        <v>#REF!</v>
      </c>
      <c r="Y182" s="979" t="e">
        <f>#REF!+#REF!</f>
        <v>#REF!</v>
      </c>
      <c r="Z182" s="979"/>
      <c r="AA182" s="977" t="e">
        <f>#REF!</f>
        <v>#REF!</v>
      </c>
      <c r="AB182" s="977" t="e">
        <f t="shared" si="10"/>
        <v>#REF!</v>
      </c>
      <c r="AC182" s="977" t="e">
        <f>#REF!+#REF!</f>
        <v>#REF!</v>
      </c>
      <c r="AD182" s="977">
        <f t="shared" si="11"/>
        <v>2120</v>
      </c>
      <c r="AE182" s="634"/>
    </row>
    <row r="183" spans="1:31" s="629" customFormat="1" ht="18" customHeight="1">
      <c r="A183" s="664" t="s">
        <v>2846</v>
      </c>
      <c r="B183" s="510">
        <f t="shared" si="12"/>
        <v>145</v>
      </c>
      <c r="C183" s="980">
        <f>+NOMINA!C187</f>
        <v>16881384</v>
      </c>
      <c r="D183" s="981" t="str">
        <f>+NOMINA!D187</f>
        <v>Perez Ramirez Yonathan Jesus</v>
      </c>
      <c r="E183" s="978" t="s">
        <v>4622</v>
      </c>
      <c r="F183" s="982">
        <v>27081</v>
      </c>
      <c r="G183" s="978" t="s">
        <v>4620</v>
      </c>
      <c r="H183" s="983">
        <f>+NOMINA!H187</f>
        <v>43906</v>
      </c>
      <c r="I183" s="984">
        <f>+NOMINA!I187</f>
        <v>4</v>
      </c>
      <c r="J183" s="985">
        <f>+NOMINA!J187</f>
        <v>9</v>
      </c>
      <c r="K183" s="984">
        <f>+NOMINA!K187</f>
        <v>13</v>
      </c>
      <c r="L183" s="986">
        <f>+NOMINA!CA187</f>
        <v>2120</v>
      </c>
      <c r="M183" s="443" t="e">
        <f>#REF!+#REF!-#REF!</f>
        <v>#REF!</v>
      </c>
      <c r="N183" s="975" t="e">
        <f>ROUND((#REF!+#REF!+#REF!+#REF!+#REF!+#REF!+#REF!+#REF!),2)</f>
        <v>#REF!</v>
      </c>
      <c r="Q183" s="629" t="e">
        <f>SUM(#REF!)</f>
        <v>#REF!</v>
      </c>
      <c r="R183" s="976" t="e">
        <f>#REF!+#REF!-#REF!</f>
        <v>#REF!</v>
      </c>
      <c r="S183" s="977">
        <v>200</v>
      </c>
      <c r="T183" s="976" t="e">
        <f>#REF!+#REF!</f>
        <v>#REF!</v>
      </c>
      <c r="U183" s="977" t="e">
        <f>#REF!</f>
        <v>#REF!</v>
      </c>
      <c r="V183" s="978">
        <v>0</v>
      </c>
      <c r="W183" s="977" t="e">
        <f>#REF!</f>
        <v>#REF!</v>
      </c>
      <c r="X183" s="979" t="e">
        <f>#REF!+#REF!</f>
        <v>#REF!</v>
      </c>
      <c r="Y183" s="979" t="e">
        <f>#REF!+#REF!</f>
        <v>#REF!</v>
      </c>
      <c r="Z183" s="979"/>
      <c r="AA183" s="977" t="e">
        <f>#REF!</f>
        <v>#REF!</v>
      </c>
      <c r="AB183" s="977" t="e">
        <f t="shared" si="10"/>
        <v>#REF!</v>
      </c>
      <c r="AC183" s="977" t="e">
        <f>#REF!+#REF!</f>
        <v>#REF!</v>
      </c>
      <c r="AD183" s="977">
        <f t="shared" si="11"/>
        <v>2120</v>
      </c>
      <c r="AE183" s="634"/>
    </row>
    <row r="184" spans="1:31" s="629" customFormat="1" ht="18" customHeight="1">
      <c r="A184" s="664" t="s">
        <v>2846</v>
      </c>
      <c r="B184" s="510">
        <f t="shared" si="12"/>
        <v>146</v>
      </c>
      <c r="C184" s="980">
        <f>+NOMINA!C188</f>
        <v>16882467</v>
      </c>
      <c r="D184" s="981" t="str">
        <f>+NOMINA!D188</f>
        <v>Mejia Araujo Sandra Coromoto</v>
      </c>
      <c r="E184" s="978" t="s">
        <v>4622</v>
      </c>
      <c r="F184" s="982">
        <v>27081</v>
      </c>
      <c r="G184" s="978" t="s">
        <v>4620</v>
      </c>
      <c r="H184" s="983">
        <f>+NOMINA!H188</f>
        <v>42948</v>
      </c>
      <c r="I184" s="984">
        <f>+NOMINA!I188</f>
        <v>7</v>
      </c>
      <c r="J184" s="985">
        <f>+NOMINA!J188</f>
        <v>7</v>
      </c>
      <c r="K184" s="984">
        <f>+NOMINA!K188</f>
        <v>14</v>
      </c>
      <c r="L184" s="986">
        <f>+NOMINA!CA188</f>
        <v>2120</v>
      </c>
      <c r="M184" s="443" t="e">
        <f>#REF!+#REF!-#REF!</f>
        <v>#REF!</v>
      </c>
      <c r="N184" s="975" t="e">
        <f>ROUND((#REF!+#REF!+#REF!+#REF!+#REF!+#REF!+#REF!+#REF!),2)</f>
        <v>#REF!</v>
      </c>
      <c r="Q184" s="629" t="e">
        <f>SUM(#REF!)</f>
        <v>#REF!</v>
      </c>
      <c r="R184" s="976" t="e">
        <f>#REF!+#REF!-#REF!</f>
        <v>#REF!</v>
      </c>
      <c r="S184" s="977">
        <v>200</v>
      </c>
      <c r="T184" s="976" t="e">
        <f>#REF!+#REF!</f>
        <v>#REF!</v>
      </c>
      <c r="U184" s="977" t="e">
        <f>#REF!</f>
        <v>#REF!</v>
      </c>
      <c r="V184" s="978">
        <v>0</v>
      </c>
      <c r="W184" s="977" t="e">
        <f>#REF!</f>
        <v>#REF!</v>
      </c>
      <c r="X184" s="979" t="e">
        <f>#REF!+#REF!</f>
        <v>#REF!</v>
      </c>
      <c r="Y184" s="979" t="e">
        <f>#REF!+#REF!</f>
        <v>#REF!</v>
      </c>
      <c r="Z184" s="979"/>
      <c r="AA184" s="977" t="e">
        <f>#REF!</f>
        <v>#REF!</v>
      </c>
      <c r="AB184" s="977" t="e">
        <f t="shared" si="10"/>
        <v>#REF!</v>
      </c>
      <c r="AC184" s="977" t="e">
        <f>#REF!+#REF!</f>
        <v>#REF!</v>
      </c>
      <c r="AD184" s="977">
        <f t="shared" si="11"/>
        <v>2120</v>
      </c>
      <c r="AE184" s="634"/>
    </row>
    <row r="185" spans="1:31" s="629" customFormat="1" ht="18" customHeight="1">
      <c r="A185" s="664" t="s">
        <v>2846</v>
      </c>
      <c r="B185" s="510">
        <f t="shared" si="12"/>
        <v>147</v>
      </c>
      <c r="C185" s="980">
        <f>+NOMINA!C189</f>
        <v>16883267</v>
      </c>
      <c r="D185" s="981" t="str">
        <f>+NOMINA!D189</f>
        <v>Matheus Rondon Aida</v>
      </c>
      <c r="E185" s="978" t="s">
        <v>4622</v>
      </c>
      <c r="F185" s="982">
        <v>27081</v>
      </c>
      <c r="G185" s="978" t="s">
        <v>4620</v>
      </c>
      <c r="H185" s="983">
        <f>+NOMINA!H189</f>
        <v>38930</v>
      </c>
      <c r="I185" s="984">
        <f>+NOMINA!I189</f>
        <v>18</v>
      </c>
      <c r="J185" s="985">
        <f>+NOMINA!J189</f>
        <v>0</v>
      </c>
      <c r="K185" s="984">
        <f>+NOMINA!K189</f>
        <v>18</v>
      </c>
      <c r="L185" s="986">
        <f>+NOMINA!CA189</f>
        <v>0</v>
      </c>
      <c r="M185" s="443" t="e">
        <f>#REF!+#REF!-#REF!</f>
        <v>#REF!</v>
      </c>
      <c r="N185" s="975" t="e">
        <f>ROUND((#REF!+#REF!+#REF!+#REF!+#REF!+#REF!+#REF!+#REF!),2)</f>
        <v>#REF!</v>
      </c>
      <c r="Q185" s="629" t="e">
        <f>SUM(#REF!)</f>
        <v>#REF!</v>
      </c>
      <c r="R185" s="976" t="e">
        <f>#REF!+#REF!-#REF!</f>
        <v>#REF!</v>
      </c>
      <c r="S185" s="977">
        <v>200</v>
      </c>
      <c r="T185" s="976" t="e">
        <f>#REF!+#REF!</f>
        <v>#REF!</v>
      </c>
      <c r="U185" s="977" t="e">
        <f>#REF!</f>
        <v>#REF!</v>
      </c>
      <c r="V185" s="978">
        <v>0</v>
      </c>
      <c r="W185" s="977" t="e">
        <f>#REF!</f>
        <v>#REF!</v>
      </c>
      <c r="X185" s="979" t="e">
        <f>#REF!+#REF!</f>
        <v>#REF!</v>
      </c>
      <c r="Y185" s="979" t="e">
        <f>#REF!+#REF!</f>
        <v>#REF!</v>
      </c>
      <c r="Z185" s="979"/>
      <c r="AA185" s="977" t="e">
        <f>#REF!</f>
        <v>#REF!</v>
      </c>
      <c r="AB185" s="977" t="e">
        <f t="shared" si="10"/>
        <v>#REF!</v>
      </c>
      <c r="AC185" s="977" t="e">
        <f>#REF!+#REF!</f>
        <v>#REF!</v>
      </c>
      <c r="AD185" s="977">
        <f t="shared" si="11"/>
        <v>0</v>
      </c>
      <c r="AE185" s="634"/>
    </row>
    <row r="186" spans="1:31" s="629" customFormat="1" ht="18" customHeight="1">
      <c r="A186" s="664" t="s">
        <v>2846</v>
      </c>
      <c r="B186" s="510">
        <f t="shared" si="12"/>
        <v>148</v>
      </c>
      <c r="C186" s="980">
        <f>+NOMINA!C190</f>
        <v>17037244</v>
      </c>
      <c r="D186" s="981" t="str">
        <f>+NOMINA!D190</f>
        <v>Bastidas Yelitza Del Carmen</v>
      </c>
      <c r="E186" s="978" t="s">
        <v>4622</v>
      </c>
      <c r="F186" s="982">
        <v>27081</v>
      </c>
      <c r="G186" s="978" t="s">
        <v>4620</v>
      </c>
      <c r="H186" s="983">
        <f>+NOMINA!H190</f>
        <v>40087</v>
      </c>
      <c r="I186" s="984">
        <f>+NOMINA!I190</f>
        <v>15</v>
      </c>
      <c r="J186" s="985">
        <f>+NOMINA!J190</f>
        <v>0</v>
      </c>
      <c r="K186" s="984">
        <f>+NOMINA!K190</f>
        <v>15</v>
      </c>
      <c r="L186" s="986">
        <f>+NOMINA!CA190</f>
        <v>2120</v>
      </c>
      <c r="M186" s="443" t="e">
        <f>#REF!+#REF!-#REF!</f>
        <v>#REF!</v>
      </c>
      <c r="N186" s="975" t="e">
        <f>ROUND((#REF!+#REF!+#REF!+#REF!+#REF!+#REF!+#REF!+#REF!),2)</f>
        <v>#REF!</v>
      </c>
      <c r="Q186" s="629" t="e">
        <f>SUM(#REF!)</f>
        <v>#REF!</v>
      </c>
      <c r="R186" s="976" t="e">
        <f>#REF!+#REF!-#REF!</f>
        <v>#REF!</v>
      </c>
      <c r="S186" s="977">
        <v>200</v>
      </c>
      <c r="T186" s="976" t="e">
        <f>#REF!+#REF!</f>
        <v>#REF!</v>
      </c>
      <c r="U186" s="977" t="e">
        <f>#REF!</f>
        <v>#REF!</v>
      </c>
      <c r="V186" s="978">
        <v>0</v>
      </c>
      <c r="W186" s="977" t="e">
        <f>#REF!</f>
        <v>#REF!</v>
      </c>
      <c r="X186" s="979" t="e">
        <f>#REF!+#REF!</f>
        <v>#REF!</v>
      </c>
      <c r="Y186" s="979" t="e">
        <f>#REF!+#REF!</f>
        <v>#REF!</v>
      </c>
      <c r="Z186" s="979"/>
      <c r="AA186" s="977" t="e">
        <f>#REF!</f>
        <v>#REF!</v>
      </c>
      <c r="AB186" s="977" t="e">
        <f t="shared" si="10"/>
        <v>#REF!</v>
      </c>
      <c r="AC186" s="977" t="e">
        <f>#REF!+#REF!</f>
        <v>#REF!</v>
      </c>
      <c r="AD186" s="977">
        <f t="shared" si="11"/>
        <v>2120</v>
      </c>
      <c r="AE186" s="634"/>
    </row>
    <row r="187" spans="1:31" s="629" customFormat="1" ht="18" customHeight="1">
      <c r="A187" s="664" t="s">
        <v>2846</v>
      </c>
      <c r="B187" s="510">
        <f t="shared" si="12"/>
        <v>149</v>
      </c>
      <c r="C187" s="980">
        <f>+NOMINA!C191</f>
        <v>17094419</v>
      </c>
      <c r="D187" s="981" t="str">
        <f>+NOMINA!D191</f>
        <v>Aponte Rivera Lenismar del Valle</v>
      </c>
      <c r="E187" s="978" t="s">
        <v>4622</v>
      </c>
      <c r="F187" s="982">
        <v>27081</v>
      </c>
      <c r="G187" s="978" t="s">
        <v>4620</v>
      </c>
      <c r="H187" s="983">
        <f>+NOMINA!H191</f>
        <v>44409</v>
      </c>
      <c r="I187" s="984">
        <f>+NOMINA!I191</f>
        <v>3</v>
      </c>
      <c r="J187" s="985">
        <f>+NOMINA!J191</f>
        <v>0</v>
      </c>
      <c r="K187" s="984">
        <f>+NOMINA!K191</f>
        <v>3</v>
      </c>
      <c r="L187" s="986">
        <f>+NOMINA!CA191</f>
        <v>2120</v>
      </c>
      <c r="M187" s="443" t="e">
        <f>#REF!+#REF!-#REF!</f>
        <v>#REF!</v>
      </c>
      <c r="N187" s="975" t="e">
        <f>ROUND((#REF!+#REF!+#REF!+#REF!+#REF!+#REF!+#REF!+#REF!),2)</f>
        <v>#REF!</v>
      </c>
      <c r="Q187" s="629" t="e">
        <f>SUM(#REF!)</f>
        <v>#REF!</v>
      </c>
      <c r="R187" s="976" t="e">
        <f>#REF!+#REF!-#REF!</f>
        <v>#REF!</v>
      </c>
      <c r="S187" s="977">
        <v>200</v>
      </c>
      <c r="T187" s="976" t="e">
        <f>#REF!+#REF!</f>
        <v>#REF!</v>
      </c>
      <c r="U187" s="977" t="e">
        <f>#REF!</f>
        <v>#REF!</v>
      </c>
      <c r="V187" s="978">
        <v>0</v>
      </c>
      <c r="W187" s="977" t="e">
        <f>#REF!</f>
        <v>#REF!</v>
      </c>
      <c r="X187" s="979" t="e">
        <f>#REF!+#REF!</f>
        <v>#REF!</v>
      </c>
      <c r="Y187" s="979" t="e">
        <f>#REF!+#REF!</f>
        <v>#REF!</v>
      </c>
      <c r="Z187" s="979"/>
      <c r="AA187" s="977" t="e">
        <f>#REF!</f>
        <v>#REF!</v>
      </c>
      <c r="AB187" s="977" t="e">
        <f t="shared" si="10"/>
        <v>#REF!</v>
      </c>
      <c r="AC187" s="977" t="e">
        <f>#REF!+#REF!</f>
        <v>#REF!</v>
      </c>
      <c r="AD187" s="977">
        <f t="shared" si="11"/>
        <v>2120</v>
      </c>
      <c r="AE187" s="634"/>
    </row>
    <row r="188" spans="1:31" s="629" customFormat="1" ht="18" customHeight="1">
      <c r="A188" s="664" t="s">
        <v>2846</v>
      </c>
      <c r="B188" s="510">
        <f t="shared" si="12"/>
        <v>150</v>
      </c>
      <c r="C188" s="980">
        <f>+NOMINA!C192</f>
        <v>17094426</v>
      </c>
      <c r="D188" s="981" t="str">
        <f>+NOMINA!D192</f>
        <v>Manzanilla Araujo Richard Jose</v>
      </c>
      <c r="E188" s="978" t="s">
        <v>4622</v>
      </c>
      <c r="F188" s="982">
        <v>27081</v>
      </c>
      <c r="G188" s="978" t="s">
        <v>4620</v>
      </c>
      <c r="H188" s="983">
        <f>+NOMINA!H192</f>
        <v>43344</v>
      </c>
      <c r="I188" s="984">
        <f>+NOMINA!I192</f>
        <v>6</v>
      </c>
      <c r="J188" s="985">
        <f>+NOMINA!J192</f>
        <v>0</v>
      </c>
      <c r="K188" s="984">
        <f>+NOMINA!K192</f>
        <v>6</v>
      </c>
      <c r="L188" s="986">
        <f>+NOMINA!CA192</f>
        <v>2120</v>
      </c>
      <c r="M188" s="443" t="e">
        <f>#REF!+#REF!-#REF!</f>
        <v>#REF!</v>
      </c>
      <c r="N188" s="975" t="e">
        <f>ROUND((#REF!+#REF!+#REF!+#REF!+#REF!+#REF!+#REF!+#REF!),2)</f>
        <v>#REF!</v>
      </c>
      <c r="Q188" s="629" t="e">
        <f>SUM(#REF!)</f>
        <v>#REF!</v>
      </c>
      <c r="R188" s="976" t="e">
        <f>#REF!+#REF!-#REF!</f>
        <v>#REF!</v>
      </c>
      <c r="S188" s="977">
        <v>200</v>
      </c>
      <c r="T188" s="976" t="e">
        <f>#REF!+#REF!</f>
        <v>#REF!</v>
      </c>
      <c r="U188" s="977" t="e">
        <f>#REF!</f>
        <v>#REF!</v>
      </c>
      <c r="V188" s="978">
        <v>0</v>
      </c>
      <c r="W188" s="977" t="e">
        <f>#REF!</f>
        <v>#REF!</v>
      </c>
      <c r="X188" s="979" t="e">
        <f>#REF!+#REF!</f>
        <v>#REF!</v>
      </c>
      <c r="Y188" s="979" t="e">
        <f>#REF!+#REF!</f>
        <v>#REF!</v>
      </c>
      <c r="Z188" s="979"/>
      <c r="AA188" s="977" t="e">
        <f>#REF!</f>
        <v>#REF!</v>
      </c>
      <c r="AB188" s="977" t="e">
        <f t="shared" si="10"/>
        <v>#REF!</v>
      </c>
      <c r="AC188" s="977" t="e">
        <f>#REF!+#REF!</f>
        <v>#REF!</v>
      </c>
      <c r="AD188" s="977">
        <f t="shared" si="11"/>
        <v>2120</v>
      </c>
      <c r="AE188" s="634"/>
    </row>
    <row r="189" spans="1:31" s="629" customFormat="1" ht="18" customHeight="1">
      <c r="A189" s="664" t="s">
        <v>2846</v>
      </c>
      <c r="B189" s="510">
        <f t="shared" si="12"/>
        <v>151</v>
      </c>
      <c r="C189" s="980">
        <f>+NOMINA!C193</f>
        <v>17130893</v>
      </c>
      <c r="D189" s="981" t="str">
        <f>+NOMINA!D193</f>
        <v>Leon Valero Ceila Maria</v>
      </c>
      <c r="E189" s="978" t="s">
        <v>4622</v>
      </c>
      <c r="F189" s="982">
        <v>27081</v>
      </c>
      <c r="G189" s="978" t="s">
        <v>4620</v>
      </c>
      <c r="H189" s="983">
        <f>+NOMINA!H193</f>
        <v>39602</v>
      </c>
      <c r="I189" s="984">
        <f>+NOMINA!I193</f>
        <v>16</v>
      </c>
      <c r="J189" s="985">
        <f>+NOMINA!J193</f>
        <v>0</v>
      </c>
      <c r="K189" s="984">
        <f>+NOMINA!K193</f>
        <v>16</v>
      </c>
      <c r="L189" s="986">
        <f>+NOMINA!CA193</f>
        <v>2120</v>
      </c>
      <c r="M189" s="443" t="e">
        <f>#REF!+#REF!-#REF!</f>
        <v>#REF!</v>
      </c>
      <c r="N189" s="975" t="e">
        <f>ROUND((#REF!+#REF!+#REF!+#REF!+#REF!+#REF!+#REF!+#REF!),2)</f>
        <v>#REF!</v>
      </c>
      <c r="Q189" s="629" t="e">
        <f>SUM(#REF!)</f>
        <v>#REF!</v>
      </c>
      <c r="R189" s="976" t="e">
        <f>#REF!+#REF!-#REF!</f>
        <v>#REF!</v>
      </c>
      <c r="S189" s="977">
        <v>200</v>
      </c>
      <c r="T189" s="976" t="e">
        <f>#REF!+#REF!</f>
        <v>#REF!</v>
      </c>
      <c r="U189" s="977" t="e">
        <f>#REF!</f>
        <v>#REF!</v>
      </c>
      <c r="V189" s="978">
        <v>0</v>
      </c>
      <c r="W189" s="977" t="e">
        <f>#REF!</f>
        <v>#REF!</v>
      </c>
      <c r="X189" s="979" t="e">
        <f>#REF!+#REF!</f>
        <v>#REF!</v>
      </c>
      <c r="Y189" s="979" t="e">
        <f>#REF!+#REF!</f>
        <v>#REF!</v>
      </c>
      <c r="Z189" s="979"/>
      <c r="AA189" s="977" t="e">
        <f>#REF!</f>
        <v>#REF!</v>
      </c>
      <c r="AB189" s="977" t="e">
        <f t="shared" si="10"/>
        <v>#REF!</v>
      </c>
      <c r="AC189" s="977" t="e">
        <f>#REF!+#REF!</f>
        <v>#REF!</v>
      </c>
      <c r="AD189" s="977">
        <f t="shared" si="11"/>
        <v>2120</v>
      </c>
      <c r="AE189" s="634"/>
    </row>
    <row r="190" spans="1:31" s="629" customFormat="1" ht="18" customHeight="1">
      <c r="A190" s="664" t="s">
        <v>2846</v>
      </c>
      <c r="B190" s="510">
        <f t="shared" si="12"/>
        <v>152</v>
      </c>
      <c r="C190" s="980">
        <f>+NOMINA!C194</f>
        <v>17265093</v>
      </c>
      <c r="D190" s="981" t="str">
        <f>+NOMINA!D194</f>
        <v>Vielma Viloria Dublasca del Valle</v>
      </c>
      <c r="E190" s="978" t="s">
        <v>4622</v>
      </c>
      <c r="F190" s="982">
        <v>27081</v>
      </c>
      <c r="G190" s="978" t="s">
        <v>4620</v>
      </c>
      <c r="H190" s="983">
        <f>+NOMINA!H194</f>
        <v>45323</v>
      </c>
      <c r="I190" s="984">
        <f>+NOMINA!I194</f>
        <v>0</v>
      </c>
      <c r="J190" s="985">
        <f>+NOMINA!J194</f>
        <v>1</v>
      </c>
      <c r="K190" s="984">
        <f>+NOMINA!K194</f>
        <v>1</v>
      </c>
      <c r="L190" s="986">
        <f>+NOMINA!CA194</f>
        <v>2120</v>
      </c>
      <c r="M190" s="443" t="e">
        <f>#REF!+#REF!-#REF!</f>
        <v>#REF!</v>
      </c>
      <c r="N190" s="975" t="e">
        <f>ROUND((#REF!+#REF!+#REF!+#REF!+#REF!+#REF!+#REF!+#REF!),2)</f>
        <v>#REF!</v>
      </c>
      <c r="Q190" s="629" t="e">
        <f>SUM(#REF!)</f>
        <v>#REF!</v>
      </c>
      <c r="R190" s="976" t="e">
        <f>#REF!+#REF!-#REF!</f>
        <v>#REF!</v>
      </c>
      <c r="S190" s="977">
        <v>200</v>
      </c>
      <c r="T190" s="976" t="e">
        <f>#REF!+#REF!</f>
        <v>#REF!</v>
      </c>
      <c r="U190" s="977" t="e">
        <f>#REF!</f>
        <v>#REF!</v>
      </c>
      <c r="V190" s="978">
        <v>0</v>
      </c>
      <c r="W190" s="977" t="e">
        <f>#REF!</f>
        <v>#REF!</v>
      </c>
      <c r="X190" s="979" t="e">
        <f>#REF!+#REF!</f>
        <v>#REF!</v>
      </c>
      <c r="Y190" s="979" t="e">
        <f>#REF!+#REF!</f>
        <v>#REF!</v>
      </c>
      <c r="Z190" s="979"/>
      <c r="AA190" s="977" t="e">
        <f>#REF!</f>
        <v>#REF!</v>
      </c>
      <c r="AB190" s="977" t="e">
        <f t="shared" si="10"/>
        <v>#REF!</v>
      </c>
      <c r="AC190" s="977" t="e">
        <f>#REF!+#REF!</f>
        <v>#REF!</v>
      </c>
      <c r="AD190" s="977">
        <f t="shared" si="11"/>
        <v>2120</v>
      </c>
      <c r="AE190" s="634"/>
    </row>
    <row r="191" spans="1:31" s="629" customFormat="1" ht="18" customHeight="1">
      <c r="A191" s="664" t="s">
        <v>2846</v>
      </c>
      <c r="B191" s="510">
        <f t="shared" si="12"/>
        <v>153</v>
      </c>
      <c r="C191" s="980">
        <f>+NOMINA!C195</f>
        <v>17265578</v>
      </c>
      <c r="D191" s="981" t="str">
        <f>+NOMINA!D195</f>
        <v>Briceño Aguilar Rebeca Andreina</v>
      </c>
      <c r="E191" s="978" t="s">
        <v>4622</v>
      </c>
      <c r="F191" s="982">
        <v>27081</v>
      </c>
      <c r="G191" s="978" t="s">
        <v>4620</v>
      </c>
      <c r="H191" s="983">
        <f>+NOMINA!H195</f>
        <v>45047</v>
      </c>
      <c r="I191" s="984">
        <f>+NOMINA!I195</f>
        <v>1</v>
      </c>
      <c r="J191" s="985">
        <f>+NOMINA!J195</f>
        <v>2</v>
      </c>
      <c r="K191" s="984">
        <f>+NOMINA!K195</f>
        <v>3</v>
      </c>
      <c r="L191" s="986">
        <f>+NOMINA!CA195</f>
        <v>2120</v>
      </c>
      <c r="M191" s="443" t="e">
        <f>#REF!+#REF!-#REF!</f>
        <v>#REF!</v>
      </c>
      <c r="N191" s="975" t="e">
        <f>ROUND((#REF!+#REF!+#REF!+#REF!+#REF!+#REF!+#REF!+#REF!),2)</f>
        <v>#REF!</v>
      </c>
      <c r="Q191" s="629" t="e">
        <f>SUM(#REF!)</f>
        <v>#REF!</v>
      </c>
      <c r="R191" s="976" t="e">
        <f>#REF!+#REF!-#REF!</f>
        <v>#REF!</v>
      </c>
      <c r="S191" s="977">
        <v>200</v>
      </c>
      <c r="T191" s="976" t="e">
        <f>#REF!+#REF!</f>
        <v>#REF!</v>
      </c>
      <c r="U191" s="977" t="e">
        <f>#REF!</f>
        <v>#REF!</v>
      </c>
      <c r="V191" s="978">
        <v>0</v>
      </c>
      <c r="W191" s="977" t="e">
        <f>#REF!</f>
        <v>#REF!</v>
      </c>
      <c r="X191" s="979" t="e">
        <f>#REF!+#REF!</f>
        <v>#REF!</v>
      </c>
      <c r="Y191" s="979" t="e">
        <f>#REF!+#REF!</f>
        <v>#REF!</v>
      </c>
      <c r="Z191" s="979"/>
      <c r="AA191" s="977" t="e">
        <f>#REF!</f>
        <v>#REF!</v>
      </c>
      <c r="AB191" s="977" t="e">
        <f t="shared" si="10"/>
        <v>#REF!</v>
      </c>
      <c r="AC191" s="977" t="e">
        <f>#REF!+#REF!</f>
        <v>#REF!</v>
      </c>
      <c r="AD191" s="977">
        <f t="shared" si="11"/>
        <v>2120</v>
      </c>
      <c r="AE191" s="634"/>
    </row>
    <row r="192" spans="1:31" s="629" customFormat="1" ht="18" customHeight="1">
      <c r="A192" s="664" t="s">
        <v>2846</v>
      </c>
      <c r="B192" s="510">
        <f t="shared" si="12"/>
        <v>154</v>
      </c>
      <c r="C192" s="980">
        <f>+NOMINA!C196</f>
        <v>17265648</v>
      </c>
      <c r="D192" s="981" t="str">
        <f>+NOMINA!D196</f>
        <v>Carrizo Mary Alejandra</v>
      </c>
      <c r="E192" s="978" t="s">
        <v>4622</v>
      </c>
      <c r="F192" s="982">
        <v>27081</v>
      </c>
      <c r="G192" s="978" t="s">
        <v>4620</v>
      </c>
      <c r="H192" s="983">
        <f>+NOMINA!H196</f>
        <v>43709</v>
      </c>
      <c r="I192" s="984">
        <f>+NOMINA!I196</f>
        <v>5</v>
      </c>
      <c r="J192" s="985">
        <f>+NOMINA!J196</f>
        <v>0</v>
      </c>
      <c r="K192" s="984">
        <f>+NOMINA!K196</f>
        <v>5</v>
      </c>
      <c r="L192" s="986">
        <f>+NOMINA!CA196</f>
        <v>2120</v>
      </c>
      <c r="M192" s="443" t="e">
        <f>#REF!+#REF!-#REF!</f>
        <v>#REF!</v>
      </c>
      <c r="N192" s="975" t="e">
        <f>ROUND((#REF!+#REF!+#REF!+#REF!+#REF!+#REF!+#REF!+#REF!),2)</f>
        <v>#REF!</v>
      </c>
      <c r="Q192" s="629" t="e">
        <f>SUM(#REF!)</f>
        <v>#REF!</v>
      </c>
      <c r="R192" s="976" t="e">
        <f>#REF!+#REF!-#REF!</f>
        <v>#REF!</v>
      </c>
      <c r="S192" s="977">
        <v>200</v>
      </c>
      <c r="T192" s="976" t="e">
        <f>#REF!+#REF!</f>
        <v>#REF!</v>
      </c>
      <c r="U192" s="977" t="e">
        <f>#REF!</f>
        <v>#REF!</v>
      </c>
      <c r="V192" s="978">
        <v>0</v>
      </c>
      <c r="W192" s="977" t="e">
        <f>#REF!</f>
        <v>#REF!</v>
      </c>
      <c r="X192" s="979" t="e">
        <f>#REF!+#REF!</f>
        <v>#REF!</v>
      </c>
      <c r="Y192" s="979" t="e">
        <f>#REF!+#REF!</f>
        <v>#REF!</v>
      </c>
      <c r="Z192" s="979"/>
      <c r="AA192" s="977" t="e">
        <f>#REF!</f>
        <v>#REF!</v>
      </c>
      <c r="AB192" s="977" t="e">
        <f t="shared" si="10"/>
        <v>#REF!</v>
      </c>
      <c r="AC192" s="977" t="e">
        <f>#REF!+#REF!</f>
        <v>#REF!</v>
      </c>
      <c r="AD192" s="977">
        <f t="shared" si="11"/>
        <v>2120</v>
      </c>
      <c r="AE192" s="634"/>
    </row>
    <row r="193" spans="1:31" s="629" customFormat="1" ht="18" customHeight="1">
      <c r="A193" s="664" t="s">
        <v>2846</v>
      </c>
      <c r="B193" s="510">
        <f t="shared" si="12"/>
        <v>155</v>
      </c>
      <c r="C193" s="980">
        <f>+NOMINA!C197</f>
        <v>17267324</v>
      </c>
      <c r="D193" s="981" t="str">
        <f>+NOMINA!D197</f>
        <v>Urdaneta Soto Katherine Esther</v>
      </c>
      <c r="E193" s="978" t="s">
        <v>4622</v>
      </c>
      <c r="F193" s="982">
        <v>27081</v>
      </c>
      <c r="G193" s="978" t="s">
        <v>4620</v>
      </c>
      <c r="H193" s="983">
        <f>+NOMINA!H197</f>
        <v>43785</v>
      </c>
      <c r="I193" s="984">
        <f>+NOMINA!I197</f>
        <v>5</v>
      </c>
      <c r="J193" s="985">
        <f>+NOMINA!J197</f>
        <v>0</v>
      </c>
      <c r="K193" s="984">
        <f>+NOMINA!K197</f>
        <v>5</v>
      </c>
      <c r="L193" s="986">
        <f>+NOMINA!CA197</f>
        <v>2120</v>
      </c>
      <c r="M193" s="443" t="e">
        <f>#REF!+#REF!-#REF!</f>
        <v>#REF!</v>
      </c>
      <c r="N193" s="975" t="e">
        <f>ROUND((#REF!+#REF!+#REF!+#REF!+#REF!+#REF!+#REF!+#REF!),2)</f>
        <v>#REF!</v>
      </c>
      <c r="Q193" s="629" t="e">
        <f>SUM(#REF!)</f>
        <v>#REF!</v>
      </c>
      <c r="R193" s="976" t="e">
        <f>#REF!+#REF!-#REF!</f>
        <v>#REF!</v>
      </c>
      <c r="S193" s="977">
        <v>200</v>
      </c>
      <c r="T193" s="976" t="e">
        <f>#REF!+#REF!</f>
        <v>#REF!</v>
      </c>
      <c r="U193" s="977" t="e">
        <f>#REF!</f>
        <v>#REF!</v>
      </c>
      <c r="V193" s="978">
        <v>0</v>
      </c>
      <c r="W193" s="977" t="e">
        <f>#REF!</f>
        <v>#REF!</v>
      </c>
      <c r="X193" s="979" t="e">
        <f>#REF!+#REF!</f>
        <v>#REF!</v>
      </c>
      <c r="Y193" s="979" t="e">
        <f>#REF!+#REF!</f>
        <v>#REF!</v>
      </c>
      <c r="Z193" s="979"/>
      <c r="AA193" s="977" t="e">
        <f>#REF!</f>
        <v>#REF!</v>
      </c>
      <c r="AB193" s="977" t="e">
        <f t="shared" si="10"/>
        <v>#REF!</v>
      </c>
      <c r="AC193" s="977" t="e">
        <f>#REF!+#REF!</f>
        <v>#REF!</v>
      </c>
      <c r="AD193" s="977">
        <f t="shared" si="11"/>
        <v>2120</v>
      </c>
      <c r="AE193" s="634"/>
    </row>
    <row r="194" spans="1:31" s="629" customFormat="1" ht="18" customHeight="1">
      <c r="A194" s="664" t="s">
        <v>2846</v>
      </c>
      <c r="B194" s="510">
        <f t="shared" si="12"/>
        <v>156</v>
      </c>
      <c r="C194" s="980">
        <f>+NOMINA!C198</f>
        <v>17391316</v>
      </c>
      <c r="D194" s="981" t="str">
        <f>+NOMINA!D198</f>
        <v>Torres Aranguren Lilibeth del Valle</v>
      </c>
      <c r="E194" s="978" t="s">
        <v>4622</v>
      </c>
      <c r="F194" s="982">
        <v>27081</v>
      </c>
      <c r="G194" s="978" t="s">
        <v>4620</v>
      </c>
      <c r="H194" s="983">
        <f>+NOMINA!H198</f>
        <v>44713</v>
      </c>
      <c r="I194" s="984">
        <f>+NOMINA!I198</f>
        <v>2</v>
      </c>
      <c r="J194" s="985">
        <f>+NOMINA!J198</f>
        <v>0</v>
      </c>
      <c r="K194" s="984">
        <f>+NOMINA!K198</f>
        <v>2</v>
      </c>
      <c r="L194" s="986">
        <f>+NOMINA!CA198</f>
        <v>2120</v>
      </c>
      <c r="M194" s="443" t="e">
        <f>#REF!+#REF!-#REF!</f>
        <v>#REF!</v>
      </c>
      <c r="N194" s="975" t="e">
        <f>ROUND((#REF!+#REF!+#REF!+#REF!+#REF!+#REF!+#REF!+#REF!),2)</f>
        <v>#REF!</v>
      </c>
      <c r="Q194" s="629" t="e">
        <f>SUM(#REF!)</f>
        <v>#REF!</v>
      </c>
      <c r="R194" s="976" t="e">
        <f>#REF!+#REF!-#REF!</f>
        <v>#REF!</v>
      </c>
      <c r="S194" s="977">
        <v>200</v>
      </c>
      <c r="T194" s="976" t="e">
        <f>#REF!+#REF!</f>
        <v>#REF!</v>
      </c>
      <c r="U194" s="977" t="e">
        <f>#REF!</f>
        <v>#REF!</v>
      </c>
      <c r="V194" s="978">
        <v>0</v>
      </c>
      <c r="W194" s="977" t="e">
        <f>#REF!</f>
        <v>#REF!</v>
      </c>
      <c r="X194" s="979" t="e">
        <f>#REF!+#REF!</f>
        <v>#REF!</v>
      </c>
      <c r="Y194" s="979" t="e">
        <f>#REF!+#REF!</f>
        <v>#REF!</v>
      </c>
      <c r="Z194" s="979"/>
      <c r="AA194" s="977" t="e">
        <f>#REF!</f>
        <v>#REF!</v>
      </c>
      <c r="AB194" s="977" t="e">
        <f t="shared" si="10"/>
        <v>#REF!</v>
      </c>
      <c r="AC194" s="977" t="e">
        <f>#REF!+#REF!</f>
        <v>#REF!</v>
      </c>
      <c r="AD194" s="977">
        <f t="shared" si="11"/>
        <v>2120</v>
      </c>
      <c r="AE194" s="634"/>
    </row>
    <row r="195" spans="1:31" s="629" customFormat="1" ht="18" customHeight="1">
      <c r="A195" s="664" t="s">
        <v>2846</v>
      </c>
      <c r="B195" s="510">
        <f t="shared" si="12"/>
        <v>157</v>
      </c>
      <c r="C195" s="980">
        <f>+NOMINA!C199</f>
        <v>17391892</v>
      </c>
      <c r="D195" s="981" t="str">
        <f>+NOMINA!D199</f>
        <v>Godoy Padilla Darcy Yaneth</v>
      </c>
      <c r="E195" s="978" t="s">
        <v>4622</v>
      </c>
      <c r="F195" s="982">
        <v>27081</v>
      </c>
      <c r="G195" s="978" t="s">
        <v>4620</v>
      </c>
      <c r="H195" s="983">
        <f>+NOMINA!H199</f>
        <v>45323</v>
      </c>
      <c r="I195" s="984">
        <f>+NOMINA!I199</f>
        <v>0</v>
      </c>
      <c r="J195" s="985">
        <f>+NOMINA!J199</f>
        <v>2</v>
      </c>
      <c r="K195" s="984">
        <f>+NOMINA!K199</f>
        <v>2</v>
      </c>
      <c r="L195" s="986">
        <f>+NOMINA!CA199</f>
        <v>2120</v>
      </c>
      <c r="M195" s="443" t="e">
        <f>#REF!+#REF!-#REF!</f>
        <v>#REF!</v>
      </c>
      <c r="N195" s="975" t="e">
        <f>ROUND((#REF!+#REF!+#REF!+#REF!+#REF!+#REF!+#REF!+#REF!),2)</f>
        <v>#REF!</v>
      </c>
      <c r="Q195" s="629" t="e">
        <f>SUM(#REF!)</f>
        <v>#REF!</v>
      </c>
      <c r="R195" s="976" t="e">
        <f>#REF!+#REF!-#REF!</f>
        <v>#REF!</v>
      </c>
      <c r="S195" s="977">
        <v>200</v>
      </c>
      <c r="T195" s="976" t="e">
        <f>#REF!+#REF!</f>
        <v>#REF!</v>
      </c>
      <c r="U195" s="977" t="e">
        <f>#REF!</f>
        <v>#REF!</v>
      </c>
      <c r="V195" s="978">
        <v>0</v>
      </c>
      <c r="W195" s="977" t="e">
        <f>#REF!</f>
        <v>#REF!</v>
      </c>
      <c r="X195" s="979" t="e">
        <f>#REF!+#REF!</f>
        <v>#REF!</v>
      </c>
      <c r="Y195" s="979" t="e">
        <f>#REF!+#REF!</f>
        <v>#REF!</v>
      </c>
      <c r="Z195" s="979"/>
      <c r="AA195" s="977" t="e">
        <f>#REF!</f>
        <v>#REF!</v>
      </c>
      <c r="AB195" s="977" t="e">
        <f t="shared" si="10"/>
        <v>#REF!</v>
      </c>
      <c r="AC195" s="977" t="e">
        <f>#REF!+#REF!</f>
        <v>#REF!</v>
      </c>
      <c r="AD195" s="977">
        <f t="shared" si="11"/>
        <v>2120</v>
      </c>
      <c r="AE195" s="634"/>
    </row>
    <row r="196" spans="1:31" s="629" customFormat="1" ht="18" customHeight="1">
      <c r="A196" s="664" t="s">
        <v>2846</v>
      </c>
      <c r="B196" s="510">
        <f t="shared" si="12"/>
        <v>158</v>
      </c>
      <c r="C196" s="980">
        <f>+NOMINA!C200</f>
        <v>17392309</v>
      </c>
      <c r="D196" s="981" t="str">
        <f>+NOMINA!D200</f>
        <v>Torres Briceño Yarelis Del Carmen</v>
      </c>
      <c r="E196" s="978" t="s">
        <v>4622</v>
      </c>
      <c r="F196" s="982">
        <v>27081</v>
      </c>
      <c r="G196" s="978" t="s">
        <v>4620</v>
      </c>
      <c r="H196" s="983">
        <f>+NOMINA!H200</f>
        <v>43116</v>
      </c>
      <c r="I196" s="984">
        <f>+NOMINA!I200</f>
        <v>7</v>
      </c>
      <c r="J196" s="985">
        <f>+NOMINA!J200</f>
        <v>0</v>
      </c>
      <c r="K196" s="984">
        <f>+NOMINA!K200</f>
        <v>7</v>
      </c>
      <c r="L196" s="986">
        <f>+NOMINA!CA200</f>
        <v>2120</v>
      </c>
      <c r="M196" s="443" t="e">
        <f>#REF!+#REF!-#REF!</f>
        <v>#REF!</v>
      </c>
      <c r="N196" s="975" t="e">
        <f>ROUND((#REF!+#REF!+#REF!+#REF!+#REF!+#REF!+#REF!+#REF!),2)</f>
        <v>#REF!</v>
      </c>
      <c r="Q196" s="629" t="e">
        <f>SUM(#REF!)</f>
        <v>#REF!</v>
      </c>
      <c r="R196" s="976" t="e">
        <f>#REF!+#REF!-#REF!</f>
        <v>#REF!</v>
      </c>
      <c r="S196" s="977">
        <v>200</v>
      </c>
      <c r="T196" s="976" t="e">
        <f>#REF!+#REF!</f>
        <v>#REF!</v>
      </c>
      <c r="U196" s="977" t="e">
        <f>#REF!</f>
        <v>#REF!</v>
      </c>
      <c r="V196" s="978">
        <v>0</v>
      </c>
      <c r="W196" s="977" t="e">
        <f>#REF!</f>
        <v>#REF!</v>
      </c>
      <c r="X196" s="979" t="e">
        <f>#REF!+#REF!</f>
        <v>#REF!</v>
      </c>
      <c r="Y196" s="979" t="e">
        <f>#REF!+#REF!</f>
        <v>#REF!</v>
      </c>
      <c r="Z196" s="979"/>
      <c r="AA196" s="977" t="e">
        <f>#REF!</f>
        <v>#REF!</v>
      </c>
      <c r="AB196" s="977" t="e">
        <f t="shared" si="10"/>
        <v>#REF!</v>
      </c>
      <c r="AC196" s="977" t="e">
        <f>#REF!+#REF!</f>
        <v>#REF!</v>
      </c>
      <c r="AD196" s="977">
        <f t="shared" si="11"/>
        <v>2120</v>
      </c>
      <c r="AE196" s="634"/>
    </row>
    <row r="197" spans="1:31" s="629" customFormat="1" ht="18" customHeight="1">
      <c r="A197" s="664" t="s">
        <v>2846</v>
      </c>
      <c r="B197" s="510">
        <f t="shared" si="12"/>
        <v>159</v>
      </c>
      <c r="C197" s="980">
        <f>+NOMINA!C201</f>
        <v>17393693</v>
      </c>
      <c r="D197" s="981" t="str">
        <f>+NOMINA!D201</f>
        <v>Nuñez Maria Gusmara</v>
      </c>
      <c r="E197" s="978" t="s">
        <v>4622</v>
      </c>
      <c r="F197" s="982">
        <v>27081</v>
      </c>
      <c r="G197" s="978" t="s">
        <v>4620</v>
      </c>
      <c r="H197" s="983">
        <f>+NOMINA!H201</f>
        <v>44516</v>
      </c>
      <c r="I197" s="984">
        <f>+NOMINA!I201</f>
        <v>3</v>
      </c>
      <c r="J197" s="985">
        <f>+NOMINA!J201</f>
        <v>0</v>
      </c>
      <c r="K197" s="984">
        <f>+NOMINA!K201</f>
        <v>3</v>
      </c>
      <c r="L197" s="986">
        <f>+NOMINA!CA201</f>
        <v>2120</v>
      </c>
      <c r="M197" s="443" t="e">
        <f>#REF!+#REF!-#REF!</f>
        <v>#REF!</v>
      </c>
      <c r="N197" s="975" t="e">
        <f>ROUND((#REF!+#REF!+#REF!+#REF!+#REF!+#REF!+#REF!+#REF!),2)</f>
        <v>#REF!</v>
      </c>
      <c r="Q197" s="629" t="e">
        <f>SUM(#REF!)</f>
        <v>#REF!</v>
      </c>
      <c r="R197" s="976" t="e">
        <f>#REF!+#REF!-#REF!</f>
        <v>#REF!</v>
      </c>
      <c r="S197" s="977">
        <v>200</v>
      </c>
      <c r="T197" s="976" t="e">
        <f>#REF!+#REF!</f>
        <v>#REF!</v>
      </c>
      <c r="U197" s="977" t="e">
        <f>#REF!</f>
        <v>#REF!</v>
      </c>
      <c r="V197" s="978">
        <v>0</v>
      </c>
      <c r="W197" s="977" t="e">
        <f>#REF!</f>
        <v>#REF!</v>
      </c>
      <c r="X197" s="979" t="e">
        <f>#REF!+#REF!</f>
        <v>#REF!</v>
      </c>
      <c r="Y197" s="979" t="e">
        <f>#REF!+#REF!</f>
        <v>#REF!</v>
      </c>
      <c r="Z197" s="979"/>
      <c r="AA197" s="977" t="e">
        <f>#REF!</f>
        <v>#REF!</v>
      </c>
      <c r="AB197" s="977" t="e">
        <f t="shared" si="10"/>
        <v>#REF!</v>
      </c>
      <c r="AC197" s="977" t="e">
        <f>#REF!+#REF!</f>
        <v>#REF!</v>
      </c>
      <c r="AD197" s="977">
        <f t="shared" si="11"/>
        <v>2120</v>
      </c>
      <c r="AE197" s="634"/>
    </row>
    <row r="198" spans="1:31" s="629" customFormat="1" ht="18" customHeight="1">
      <c r="A198" s="664" t="s">
        <v>2846</v>
      </c>
      <c r="B198" s="510">
        <f t="shared" si="12"/>
        <v>160</v>
      </c>
      <c r="C198" s="980">
        <f>+NOMINA!C202</f>
        <v>17596844</v>
      </c>
      <c r="D198" s="981" t="str">
        <f>+NOMINA!D202</f>
        <v>Colmenares Jorge Luis</v>
      </c>
      <c r="E198" s="978" t="s">
        <v>4622</v>
      </c>
      <c r="F198" s="982">
        <v>27081</v>
      </c>
      <c r="G198" s="978" t="s">
        <v>4620</v>
      </c>
      <c r="H198" s="983">
        <f>+NOMINA!H202</f>
        <v>45474</v>
      </c>
      <c r="I198" s="984">
        <f>+NOMINA!I202</f>
        <v>0</v>
      </c>
      <c r="J198" s="985">
        <f>+NOMINA!J202</f>
        <v>0</v>
      </c>
      <c r="K198" s="984">
        <f>+NOMINA!K202</f>
        <v>0</v>
      </c>
      <c r="L198" s="986">
        <f>+NOMINA!CA202</f>
        <v>2120</v>
      </c>
      <c r="M198" s="443" t="e">
        <f>#REF!+#REF!-#REF!</f>
        <v>#REF!</v>
      </c>
      <c r="N198" s="975" t="e">
        <f>ROUND((#REF!+#REF!+#REF!+#REF!+#REF!+#REF!+#REF!+#REF!),2)</f>
        <v>#REF!</v>
      </c>
      <c r="Q198" s="629" t="e">
        <f>SUM(#REF!)</f>
        <v>#REF!</v>
      </c>
      <c r="R198" s="976" t="e">
        <f>#REF!+#REF!-#REF!</f>
        <v>#REF!</v>
      </c>
      <c r="S198" s="977">
        <v>200</v>
      </c>
      <c r="T198" s="976" t="e">
        <f>#REF!+#REF!</f>
        <v>#REF!</v>
      </c>
      <c r="U198" s="977" t="e">
        <f>#REF!</f>
        <v>#REF!</v>
      </c>
      <c r="V198" s="978">
        <v>0</v>
      </c>
      <c r="W198" s="977" t="e">
        <f>#REF!</f>
        <v>#REF!</v>
      </c>
      <c r="X198" s="979" t="e">
        <f>#REF!+#REF!</f>
        <v>#REF!</v>
      </c>
      <c r="Y198" s="979" t="e">
        <f>#REF!+#REF!</f>
        <v>#REF!</v>
      </c>
      <c r="Z198" s="979"/>
      <c r="AA198" s="977" t="e">
        <f>#REF!</f>
        <v>#REF!</v>
      </c>
      <c r="AB198" s="977" t="e">
        <f t="shared" si="10"/>
        <v>#REF!</v>
      </c>
      <c r="AC198" s="977" t="e">
        <f>#REF!+#REF!</f>
        <v>#REF!</v>
      </c>
      <c r="AD198" s="977">
        <f t="shared" si="11"/>
        <v>2120</v>
      </c>
      <c r="AE198" s="634"/>
    </row>
    <row r="199" spans="1:31" s="629" customFormat="1" ht="18" customHeight="1">
      <c r="A199" s="664" t="s">
        <v>2846</v>
      </c>
      <c r="B199" s="510">
        <f t="shared" si="12"/>
        <v>161</v>
      </c>
      <c r="C199" s="980">
        <f>+NOMINA!C203</f>
        <v>17597257</v>
      </c>
      <c r="D199" s="981" t="str">
        <f>+NOMINA!D203</f>
        <v>Linares Barreto Jorge Luis</v>
      </c>
      <c r="E199" s="978" t="s">
        <v>4622</v>
      </c>
      <c r="F199" s="982">
        <v>27081</v>
      </c>
      <c r="G199" s="978" t="s">
        <v>4620</v>
      </c>
      <c r="H199" s="983">
        <f>+NOMINA!H203</f>
        <v>45536</v>
      </c>
      <c r="I199" s="984">
        <f>+NOMINA!I203</f>
        <v>0</v>
      </c>
      <c r="J199" s="985">
        <f>+NOMINA!J203</f>
        <v>0</v>
      </c>
      <c r="K199" s="984">
        <f>+NOMINA!K203</f>
        <v>0</v>
      </c>
      <c r="L199" s="986">
        <f>+NOMINA!CA203</f>
        <v>2120</v>
      </c>
      <c r="M199" s="443" t="e">
        <f>#REF!+#REF!-#REF!</f>
        <v>#REF!</v>
      </c>
      <c r="N199" s="975" t="e">
        <f>ROUND((#REF!+#REF!+#REF!+#REF!+#REF!+#REF!+#REF!+#REF!),2)</f>
        <v>#REF!</v>
      </c>
      <c r="Q199" s="629" t="e">
        <f>SUM(#REF!)</f>
        <v>#REF!</v>
      </c>
      <c r="R199" s="976" t="e">
        <f>#REF!+#REF!-#REF!</f>
        <v>#REF!</v>
      </c>
      <c r="S199" s="977">
        <v>200</v>
      </c>
      <c r="T199" s="976" t="e">
        <f>#REF!+#REF!</f>
        <v>#REF!</v>
      </c>
      <c r="U199" s="977" t="e">
        <f>#REF!</f>
        <v>#REF!</v>
      </c>
      <c r="V199" s="978">
        <v>0</v>
      </c>
      <c r="W199" s="977" t="e">
        <f>#REF!</f>
        <v>#REF!</v>
      </c>
      <c r="X199" s="979" t="e">
        <f>#REF!+#REF!</f>
        <v>#REF!</v>
      </c>
      <c r="Y199" s="979" t="e">
        <f>#REF!+#REF!</f>
        <v>#REF!</v>
      </c>
      <c r="Z199" s="979"/>
      <c r="AA199" s="977" t="e">
        <f>#REF!</f>
        <v>#REF!</v>
      </c>
      <c r="AB199" s="977" t="e">
        <f t="shared" si="10"/>
        <v>#REF!</v>
      </c>
      <c r="AC199" s="977" t="e">
        <f>#REF!+#REF!</f>
        <v>#REF!</v>
      </c>
      <c r="AD199" s="977">
        <f t="shared" si="11"/>
        <v>2120</v>
      </c>
      <c r="AE199" s="634"/>
    </row>
    <row r="200" spans="1:31" s="629" customFormat="1" ht="18" customHeight="1">
      <c r="A200" s="664" t="s">
        <v>2846</v>
      </c>
      <c r="B200" s="510">
        <f t="shared" si="12"/>
        <v>162</v>
      </c>
      <c r="C200" s="980">
        <f>+NOMINA!C204</f>
        <v>17597285</v>
      </c>
      <c r="D200" s="981" t="str">
        <f>+NOMINA!D204</f>
        <v>Duarte Portillo Dani Vicente</v>
      </c>
      <c r="E200" s="978" t="s">
        <v>4622</v>
      </c>
      <c r="F200" s="982">
        <v>27081</v>
      </c>
      <c r="G200" s="978" t="s">
        <v>4620</v>
      </c>
      <c r="H200" s="983">
        <f>+NOMINA!H204</f>
        <v>42782</v>
      </c>
      <c r="I200" s="984">
        <f>+NOMINA!I204</f>
        <v>7</v>
      </c>
      <c r="J200" s="985">
        <f>+NOMINA!J204</f>
        <v>0</v>
      </c>
      <c r="K200" s="984">
        <f>+NOMINA!K204</f>
        <v>7</v>
      </c>
      <c r="L200" s="986">
        <f>+NOMINA!CA204</f>
        <v>2120</v>
      </c>
      <c r="M200" s="443" t="e">
        <f>#REF!+#REF!-#REF!</f>
        <v>#REF!</v>
      </c>
      <c r="N200" s="975" t="e">
        <f>ROUND((#REF!+#REF!+#REF!+#REF!+#REF!+#REF!+#REF!+#REF!),2)</f>
        <v>#REF!</v>
      </c>
      <c r="Q200" s="629" t="e">
        <f>SUM(#REF!)</f>
        <v>#REF!</v>
      </c>
      <c r="R200" s="976" t="e">
        <f>#REF!+#REF!-#REF!</f>
        <v>#REF!</v>
      </c>
      <c r="S200" s="977">
        <v>200</v>
      </c>
      <c r="T200" s="976" t="e">
        <f>#REF!+#REF!</f>
        <v>#REF!</v>
      </c>
      <c r="U200" s="977" t="e">
        <f>#REF!</f>
        <v>#REF!</v>
      </c>
      <c r="V200" s="978">
        <v>0</v>
      </c>
      <c r="W200" s="977" t="e">
        <f>#REF!</f>
        <v>#REF!</v>
      </c>
      <c r="X200" s="979" t="e">
        <f>#REF!+#REF!</f>
        <v>#REF!</v>
      </c>
      <c r="Y200" s="979" t="e">
        <f>#REF!+#REF!</f>
        <v>#REF!</v>
      </c>
      <c r="Z200" s="979"/>
      <c r="AA200" s="977" t="e">
        <f>#REF!</f>
        <v>#REF!</v>
      </c>
      <c r="AB200" s="977" t="e">
        <f t="shared" si="10"/>
        <v>#REF!</v>
      </c>
      <c r="AC200" s="977" t="e">
        <f>#REF!+#REF!</f>
        <v>#REF!</v>
      </c>
      <c r="AD200" s="977">
        <f t="shared" si="11"/>
        <v>2120</v>
      </c>
      <c r="AE200" s="634"/>
    </row>
    <row r="201" spans="1:31" s="629" customFormat="1" ht="18" customHeight="1">
      <c r="A201" s="664" t="s">
        <v>2846</v>
      </c>
      <c r="B201" s="510">
        <f t="shared" si="12"/>
        <v>163</v>
      </c>
      <c r="C201" s="980">
        <f>+NOMINA!C205</f>
        <v>17604568</v>
      </c>
      <c r="D201" s="981" t="str">
        <f>+NOMINA!D205</f>
        <v>Rivera Gil Christian Rafael</v>
      </c>
      <c r="E201" s="978" t="s">
        <v>4622</v>
      </c>
      <c r="F201" s="982">
        <v>27081</v>
      </c>
      <c r="G201" s="978" t="s">
        <v>4620</v>
      </c>
      <c r="H201" s="983">
        <f>+NOMINA!H205</f>
        <v>43831</v>
      </c>
      <c r="I201" s="984">
        <f>+NOMINA!I205</f>
        <v>5</v>
      </c>
      <c r="J201" s="985">
        <f>+NOMINA!J205</f>
        <v>0</v>
      </c>
      <c r="K201" s="984">
        <f>+NOMINA!K205</f>
        <v>5</v>
      </c>
      <c r="L201" s="986">
        <f>+NOMINA!CA205</f>
        <v>2120</v>
      </c>
      <c r="M201" s="443" t="e">
        <f>#REF!+#REF!-#REF!</f>
        <v>#REF!</v>
      </c>
      <c r="N201" s="975" t="e">
        <f>ROUND((#REF!+#REF!+#REF!+#REF!+#REF!+#REF!+#REF!+#REF!),2)</f>
        <v>#REF!</v>
      </c>
      <c r="Q201" s="629" t="e">
        <f>SUM(#REF!)</f>
        <v>#REF!</v>
      </c>
      <c r="R201" s="976" t="e">
        <f>#REF!+#REF!-#REF!</f>
        <v>#REF!</v>
      </c>
      <c r="S201" s="977">
        <v>200</v>
      </c>
      <c r="T201" s="976" t="e">
        <f>#REF!+#REF!</f>
        <v>#REF!</v>
      </c>
      <c r="U201" s="977" t="e">
        <f>#REF!</f>
        <v>#REF!</v>
      </c>
      <c r="V201" s="978">
        <v>0</v>
      </c>
      <c r="W201" s="977" t="e">
        <f>#REF!</f>
        <v>#REF!</v>
      </c>
      <c r="X201" s="979" t="e">
        <f>#REF!+#REF!</f>
        <v>#REF!</v>
      </c>
      <c r="Y201" s="979" t="e">
        <f>#REF!+#REF!</f>
        <v>#REF!</v>
      </c>
      <c r="Z201" s="979"/>
      <c r="AA201" s="977" t="e">
        <f>#REF!</f>
        <v>#REF!</v>
      </c>
      <c r="AB201" s="977" t="e">
        <f t="shared" si="10"/>
        <v>#REF!</v>
      </c>
      <c r="AC201" s="977" t="e">
        <f>#REF!+#REF!</f>
        <v>#REF!</v>
      </c>
      <c r="AD201" s="977">
        <f t="shared" si="11"/>
        <v>2120</v>
      </c>
      <c r="AE201" s="634"/>
    </row>
    <row r="202" spans="1:31" s="629" customFormat="1" ht="18" customHeight="1">
      <c r="A202" s="664" t="s">
        <v>2846</v>
      </c>
      <c r="B202" s="510">
        <f t="shared" si="12"/>
        <v>164</v>
      </c>
      <c r="C202" s="980">
        <f>+NOMINA!C206</f>
        <v>17605222</v>
      </c>
      <c r="D202" s="981" t="str">
        <f>+NOMINA!D206</f>
        <v>Aguial Dayana Carolina</v>
      </c>
      <c r="E202" s="978" t="s">
        <v>4622</v>
      </c>
      <c r="F202" s="982">
        <v>27081</v>
      </c>
      <c r="G202" s="978" t="s">
        <v>4620</v>
      </c>
      <c r="H202" s="983">
        <f>+NOMINA!H206</f>
        <v>42737</v>
      </c>
      <c r="I202" s="984">
        <f>+NOMINA!I206</f>
        <v>8</v>
      </c>
      <c r="J202" s="985">
        <f>+NOMINA!J206</f>
        <v>0</v>
      </c>
      <c r="K202" s="984">
        <f>+NOMINA!K206</f>
        <v>8</v>
      </c>
      <c r="L202" s="986">
        <f>+NOMINA!CA206</f>
        <v>2120</v>
      </c>
      <c r="M202" s="443" t="e">
        <f>#REF!+#REF!-#REF!</f>
        <v>#REF!</v>
      </c>
      <c r="N202" s="975" t="e">
        <f>ROUND((#REF!+#REF!+#REF!+#REF!+#REF!+#REF!+#REF!+#REF!),2)</f>
        <v>#REF!</v>
      </c>
      <c r="Q202" s="629" t="e">
        <f>SUM(#REF!)</f>
        <v>#REF!</v>
      </c>
      <c r="R202" s="976" t="e">
        <f>#REF!+#REF!-#REF!</f>
        <v>#REF!</v>
      </c>
      <c r="S202" s="977">
        <v>200</v>
      </c>
      <c r="T202" s="976" t="e">
        <f>#REF!+#REF!</f>
        <v>#REF!</v>
      </c>
      <c r="U202" s="977" t="e">
        <f>#REF!</f>
        <v>#REF!</v>
      </c>
      <c r="V202" s="978">
        <v>0</v>
      </c>
      <c r="W202" s="977" t="e">
        <f>#REF!</f>
        <v>#REF!</v>
      </c>
      <c r="X202" s="979" t="e">
        <f>#REF!+#REF!</f>
        <v>#REF!</v>
      </c>
      <c r="Y202" s="979" t="e">
        <f>#REF!+#REF!</f>
        <v>#REF!</v>
      </c>
      <c r="Z202" s="979"/>
      <c r="AA202" s="977" t="e">
        <f>#REF!</f>
        <v>#REF!</v>
      </c>
      <c r="AB202" s="977" t="e">
        <f t="shared" si="10"/>
        <v>#REF!</v>
      </c>
      <c r="AC202" s="977" t="e">
        <f>#REF!+#REF!</f>
        <v>#REF!</v>
      </c>
      <c r="AD202" s="977">
        <f t="shared" si="11"/>
        <v>2120</v>
      </c>
      <c r="AE202" s="634"/>
    </row>
    <row r="203" spans="1:31" s="629" customFormat="1" ht="18" customHeight="1">
      <c r="A203" s="664" t="s">
        <v>2846</v>
      </c>
      <c r="B203" s="510">
        <f t="shared" si="12"/>
        <v>165</v>
      </c>
      <c r="C203" s="980">
        <f>+NOMINA!C207</f>
        <v>17605492</v>
      </c>
      <c r="D203" s="981" t="str">
        <f>+NOMINA!D207</f>
        <v>Briceño Briceño Naibely Carolina</v>
      </c>
      <c r="E203" s="978" t="s">
        <v>4622</v>
      </c>
      <c r="F203" s="982">
        <v>27081</v>
      </c>
      <c r="G203" s="978" t="s">
        <v>4620</v>
      </c>
      <c r="H203" s="983">
        <f>+NOMINA!H207</f>
        <v>43967</v>
      </c>
      <c r="I203" s="984">
        <f>+NOMINA!I207</f>
        <v>4</v>
      </c>
      <c r="J203" s="985">
        <f>+NOMINA!J207</f>
        <v>0</v>
      </c>
      <c r="K203" s="984">
        <f>+NOMINA!K207</f>
        <v>4</v>
      </c>
      <c r="L203" s="986">
        <f>+NOMINA!CA207</f>
        <v>2120</v>
      </c>
      <c r="M203" s="443" t="e">
        <f>#REF!+#REF!-#REF!</f>
        <v>#REF!</v>
      </c>
      <c r="N203" s="975" t="e">
        <f>ROUND((#REF!+#REF!+#REF!+#REF!+#REF!+#REF!+#REF!+#REF!),2)</f>
        <v>#REF!</v>
      </c>
      <c r="Q203" s="629" t="e">
        <f>SUM(#REF!)</f>
        <v>#REF!</v>
      </c>
      <c r="R203" s="976" t="e">
        <f>#REF!+#REF!-#REF!</f>
        <v>#REF!</v>
      </c>
      <c r="S203" s="977">
        <v>200</v>
      </c>
      <c r="T203" s="976" t="e">
        <f>#REF!+#REF!</f>
        <v>#REF!</v>
      </c>
      <c r="U203" s="977" t="e">
        <f>#REF!</f>
        <v>#REF!</v>
      </c>
      <c r="V203" s="978">
        <v>0</v>
      </c>
      <c r="W203" s="977" t="e">
        <f>#REF!</f>
        <v>#REF!</v>
      </c>
      <c r="X203" s="979" t="e">
        <f>#REF!+#REF!</f>
        <v>#REF!</v>
      </c>
      <c r="Y203" s="979" t="e">
        <f>#REF!+#REF!</f>
        <v>#REF!</v>
      </c>
      <c r="Z203" s="979"/>
      <c r="AA203" s="977" t="e">
        <f>#REF!</f>
        <v>#REF!</v>
      </c>
      <c r="AB203" s="977" t="e">
        <f t="shared" si="10"/>
        <v>#REF!</v>
      </c>
      <c r="AC203" s="977" t="e">
        <f>#REF!+#REF!</f>
        <v>#REF!</v>
      </c>
      <c r="AD203" s="977">
        <f t="shared" si="11"/>
        <v>2120</v>
      </c>
      <c r="AE203" s="634"/>
    </row>
    <row r="204" spans="1:31" s="629" customFormat="1" ht="18" customHeight="1">
      <c r="A204" s="664" t="s">
        <v>2846</v>
      </c>
      <c r="B204" s="510">
        <f t="shared" si="12"/>
        <v>166</v>
      </c>
      <c r="C204" s="980">
        <f>+NOMINA!C208</f>
        <v>17606237</v>
      </c>
      <c r="D204" s="981" t="str">
        <f>+NOMINA!D208</f>
        <v>Castellano Rivera Maria Antonina</v>
      </c>
      <c r="E204" s="978" t="s">
        <v>4622</v>
      </c>
      <c r="F204" s="982">
        <v>27081</v>
      </c>
      <c r="G204" s="978" t="s">
        <v>4620</v>
      </c>
      <c r="H204" s="983">
        <f>+NOMINA!H208</f>
        <v>40909</v>
      </c>
      <c r="I204" s="984">
        <f>+NOMINA!I208</f>
        <v>13</v>
      </c>
      <c r="J204" s="985">
        <f>+NOMINA!J208</f>
        <v>0</v>
      </c>
      <c r="K204" s="984">
        <f>+NOMINA!K208</f>
        <v>13</v>
      </c>
      <c r="L204" s="986">
        <f>+NOMINA!CA208</f>
        <v>2120</v>
      </c>
      <c r="M204" s="443" t="e">
        <f>#REF!+#REF!-#REF!</f>
        <v>#REF!</v>
      </c>
      <c r="N204" s="975" t="e">
        <f>ROUND((#REF!+#REF!+#REF!+#REF!+#REF!+#REF!+#REF!+#REF!),2)</f>
        <v>#REF!</v>
      </c>
      <c r="Q204" s="629" t="e">
        <f>SUM(#REF!)</f>
        <v>#REF!</v>
      </c>
      <c r="R204" s="976" t="e">
        <f>#REF!+#REF!-#REF!</f>
        <v>#REF!</v>
      </c>
      <c r="S204" s="977">
        <v>200</v>
      </c>
      <c r="T204" s="976" t="e">
        <f>#REF!+#REF!</f>
        <v>#REF!</v>
      </c>
      <c r="U204" s="977" t="e">
        <f>#REF!</f>
        <v>#REF!</v>
      </c>
      <c r="V204" s="978">
        <v>0</v>
      </c>
      <c r="W204" s="977" t="e">
        <f>#REF!</f>
        <v>#REF!</v>
      </c>
      <c r="X204" s="979" t="e">
        <f>#REF!+#REF!</f>
        <v>#REF!</v>
      </c>
      <c r="Y204" s="979" t="e">
        <f>#REF!+#REF!</f>
        <v>#REF!</v>
      </c>
      <c r="Z204" s="979"/>
      <c r="AA204" s="977" t="e">
        <f>#REF!</f>
        <v>#REF!</v>
      </c>
      <c r="AB204" s="977" t="e">
        <f t="shared" si="10"/>
        <v>#REF!</v>
      </c>
      <c r="AC204" s="977" t="e">
        <f>#REF!+#REF!</f>
        <v>#REF!</v>
      </c>
      <c r="AD204" s="977">
        <f t="shared" si="11"/>
        <v>2120</v>
      </c>
      <c r="AE204" s="634"/>
    </row>
    <row r="205" spans="1:31" s="629" customFormat="1" ht="18" customHeight="1">
      <c r="A205" s="664" t="s">
        <v>2846</v>
      </c>
      <c r="B205" s="510">
        <f t="shared" si="12"/>
        <v>167</v>
      </c>
      <c r="C205" s="980">
        <f>+NOMINA!C209</f>
        <v>17830972</v>
      </c>
      <c r="D205" s="981" t="str">
        <f>+NOMINA!D209</f>
        <v>Bastidas Franco Dianellys Sarain</v>
      </c>
      <c r="E205" s="978" t="s">
        <v>4622</v>
      </c>
      <c r="F205" s="982">
        <v>27081</v>
      </c>
      <c r="G205" s="978" t="s">
        <v>4620</v>
      </c>
      <c r="H205" s="983">
        <f>+NOMINA!H209</f>
        <v>44713</v>
      </c>
      <c r="I205" s="984">
        <f>+NOMINA!I209</f>
        <v>2</v>
      </c>
      <c r="J205" s="985">
        <f>+NOMINA!J209</f>
        <v>0</v>
      </c>
      <c r="K205" s="984">
        <f>+NOMINA!K209</f>
        <v>2</v>
      </c>
      <c r="L205" s="986">
        <f>+NOMINA!CA209</f>
        <v>2120</v>
      </c>
      <c r="M205" s="443" t="e">
        <f>#REF!+#REF!-#REF!</f>
        <v>#REF!</v>
      </c>
      <c r="N205" s="975" t="e">
        <f>ROUND((#REF!+#REF!+#REF!+#REF!+#REF!+#REF!+#REF!+#REF!),2)</f>
        <v>#REF!</v>
      </c>
      <c r="Q205" s="629" t="e">
        <f>SUM(#REF!)</f>
        <v>#REF!</v>
      </c>
      <c r="R205" s="976" t="e">
        <f>#REF!+#REF!-#REF!</f>
        <v>#REF!</v>
      </c>
      <c r="S205" s="977">
        <v>200</v>
      </c>
      <c r="T205" s="976" t="e">
        <f>#REF!+#REF!</f>
        <v>#REF!</v>
      </c>
      <c r="U205" s="977" t="e">
        <f>#REF!</f>
        <v>#REF!</v>
      </c>
      <c r="V205" s="978">
        <v>0</v>
      </c>
      <c r="W205" s="977" t="e">
        <f>#REF!</f>
        <v>#REF!</v>
      </c>
      <c r="X205" s="979" t="e">
        <f>#REF!+#REF!</f>
        <v>#REF!</v>
      </c>
      <c r="Y205" s="979" t="e">
        <f>#REF!+#REF!</f>
        <v>#REF!</v>
      </c>
      <c r="Z205" s="979"/>
      <c r="AA205" s="977" t="e">
        <f>#REF!</f>
        <v>#REF!</v>
      </c>
      <c r="AB205" s="977" t="e">
        <f t="shared" si="10"/>
        <v>#REF!</v>
      </c>
      <c r="AC205" s="977" t="e">
        <f>#REF!+#REF!</f>
        <v>#REF!</v>
      </c>
      <c r="AD205" s="977">
        <f t="shared" si="11"/>
        <v>2120</v>
      </c>
      <c r="AE205" s="634"/>
    </row>
    <row r="206" spans="1:31" s="629" customFormat="1" ht="18" customHeight="1">
      <c r="A206" s="664" t="s">
        <v>2846</v>
      </c>
      <c r="B206" s="510">
        <f t="shared" si="12"/>
        <v>168</v>
      </c>
      <c r="C206" s="980">
        <f>+NOMINA!C210</f>
        <v>17831012</v>
      </c>
      <c r="D206" s="981" t="str">
        <f>+NOMINA!D210</f>
        <v>Valera Briceño Jesus Enrique</v>
      </c>
      <c r="E206" s="978" t="s">
        <v>4622</v>
      </c>
      <c r="F206" s="982">
        <v>27081</v>
      </c>
      <c r="G206" s="978" t="s">
        <v>4620</v>
      </c>
      <c r="H206" s="983">
        <f>+NOMINA!H210</f>
        <v>45474</v>
      </c>
      <c r="I206" s="984">
        <f>+NOMINA!I210</f>
        <v>0</v>
      </c>
      <c r="J206" s="985">
        <f>+NOMINA!J210</f>
        <v>5</v>
      </c>
      <c r="K206" s="984">
        <f>+NOMINA!K210</f>
        <v>5</v>
      </c>
      <c r="L206" s="986">
        <f>+NOMINA!CA210</f>
        <v>2120</v>
      </c>
      <c r="M206" s="443" t="e">
        <f>#REF!+#REF!-#REF!</f>
        <v>#REF!</v>
      </c>
      <c r="N206" s="975" t="e">
        <f>ROUND((#REF!+#REF!+#REF!+#REF!+#REF!+#REF!+#REF!+#REF!),2)</f>
        <v>#REF!</v>
      </c>
      <c r="Q206" s="629" t="e">
        <f>SUM(#REF!)</f>
        <v>#REF!</v>
      </c>
      <c r="R206" s="976" t="e">
        <f>#REF!+#REF!-#REF!</f>
        <v>#REF!</v>
      </c>
      <c r="S206" s="977">
        <v>200</v>
      </c>
      <c r="T206" s="976" t="e">
        <f>#REF!+#REF!</f>
        <v>#REF!</v>
      </c>
      <c r="U206" s="977" t="e">
        <f>#REF!</f>
        <v>#REF!</v>
      </c>
      <c r="V206" s="978">
        <v>0</v>
      </c>
      <c r="W206" s="977" t="e">
        <f>#REF!</f>
        <v>#REF!</v>
      </c>
      <c r="X206" s="979" t="e">
        <f>#REF!+#REF!</f>
        <v>#REF!</v>
      </c>
      <c r="Y206" s="979" t="e">
        <f>#REF!+#REF!</f>
        <v>#REF!</v>
      </c>
      <c r="Z206" s="979"/>
      <c r="AA206" s="977" t="e">
        <f>#REF!</f>
        <v>#REF!</v>
      </c>
      <c r="AB206" s="977" t="e">
        <f t="shared" si="10"/>
        <v>#REF!</v>
      </c>
      <c r="AC206" s="977" t="e">
        <f>#REF!+#REF!</f>
        <v>#REF!</v>
      </c>
      <c r="AD206" s="977">
        <f t="shared" si="11"/>
        <v>2120</v>
      </c>
      <c r="AE206" s="634"/>
    </row>
    <row r="207" spans="1:31" s="629" customFormat="1" ht="18" customHeight="1">
      <c r="A207" s="664" t="s">
        <v>2846</v>
      </c>
      <c r="B207" s="510">
        <f t="shared" si="12"/>
        <v>169</v>
      </c>
      <c r="C207" s="980">
        <f>+NOMINA!C211</f>
        <v>17831231</v>
      </c>
      <c r="D207" s="981" t="str">
        <f>+NOMINA!D211</f>
        <v>Blanco Torres Beixy Coromoto</v>
      </c>
      <c r="E207" s="978" t="s">
        <v>4622</v>
      </c>
      <c r="F207" s="982">
        <v>27081</v>
      </c>
      <c r="G207" s="978" t="s">
        <v>4620</v>
      </c>
      <c r="H207" s="983">
        <f>+NOMINA!H211</f>
        <v>44200</v>
      </c>
      <c r="I207" s="984">
        <f>+NOMINA!I211</f>
        <v>4</v>
      </c>
      <c r="J207" s="985">
        <f>+NOMINA!J211</f>
        <v>7</v>
      </c>
      <c r="K207" s="984">
        <f>+NOMINA!K211</f>
        <v>11</v>
      </c>
      <c r="L207" s="986">
        <f>+NOMINA!CA211</f>
        <v>2120</v>
      </c>
      <c r="M207" s="443" t="e">
        <f>#REF!+#REF!-#REF!</f>
        <v>#REF!</v>
      </c>
      <c r="N207" s="975" t="e">
        <f>ROUND((#REF!+#REF!+#REF!+#REF!+#REF!+#REF!+#REF!+#REF!),2)</f>
        <v>#REF!</v>
      </c>
      <c r="Q207" s="629" t="e">
        <f>SUM(#REF!)</f>
        <v>#REF!</v>
      </c>
      <c r="R207" s="976" t="e">
        <f>#REF!+#REF!-#REF!</f>
        <v>#REF!</v>
      </c>
      <c r="S207" s="977">
        <v>200</v>
      </c>
      <c r="T207" s="976" t="e">
        <f>#REF!+#REF!</f>
        <v>#REF!</v>
      </c>
      <c r="U207" s="977" t="e">
        <f>#REF!</f>
        <v>#REF!</v>
      </c>
      <c r="V207" s="978">
        <v>0</v>
      </c>
      <c r="W207" s="977" t="e">
        <f>#REF!</f>
        <v>#REF!</v>
      </c>
      <c r="X207" s="979" t="e">
        <f>#REF!+#REF!</f>
        <v>#REF!</v>
      </c>
      <c r="Y207" s="979" t="e">
        <f>#REF!+#REF!</f>
        <v>#REF!</v>
      </c>
      <c r="Z207" s="979"/>
      <c r="AA207" s="977" t="e">
        <f>#REF!</f>
        <v>#REF!</v>
      </c>
      <c r="AB207" s="977" t="e">
        <f t="shared" si="10"/>
        <v>#REF!</v>
      </c>
      <c r="AC207" s="977" t="e">
        <f>#REF!+#REF!</f>
        <v>#REF!</v>
      </c>
      <c r="AD207" s="977">
        <f t="shared" si="11"/>
        <v>2120</v>
      </c>
      <c r="AE207" s="634"/>
    </row>
    <row r="208" spans="1:31" s="629" customFormat="1" ht="18" customHeight="1">
      <c r="A208" s="664" t="s">
        <v>2846</v>
      </c>
      <c r="B208" s="510">
        <f t="shared" si="12"/>
        <v>170</v>
      </c>
      <c r="C208" s="980">
        <f>+NOMINA!C212</f>
        <v>17831384</v>
      </c>
      <c r="D208" s="981" t="str">
        <f>+NOMINA!D212</f>
        <v>Nieve Briceño Glorys Carolina</v>
      </c>
      <c r="E208" s="978" t="s">
        <v>4622</v>
      </c>
      <c r="F208" s="982">
        <v>27081</v>
      </c>
      <c r="G208" s="978" t="s">
        <v>4620</v>
      </c>
      <c r="H208" s="983">
        <f>+NOMINA!H212</f>
        <v>42339</v>
      </c>
      <c r="I208" s="984">
        <f>+NOMINA!I212</f>
        <v>9</v>
      </c>
      <c r="J208" s="985">
        <f>+NOMINA!J212</f>
        <v>0</v>
      </c>
      <c r="K208" s="984">
        <f>+NOMINA!K212</f>
        <v>9</v>
      </c>
      <c r="L208" s="986">
        <f>+NOMINA!CA212</f>
        <v>2120</v>
      </c>
      <c r="M208" s="443" t="e">
        <f>#REF!+#REF!-#REF!</f>
        <v>#REF!</v>
      </c>
      <c r="N208" s="975" t="e">
        <f>ROUND((#REF!+#REF!+#REF!+#REF!+#REF!+#REF!+#REF!+#REF!),2)</f>
        <v>#REF!</v>
      </c>
      <c r="Q208" s="629" t="e">
        <f>SUM(#REF!)</f>
        <v>#REF!</v>
      </c>
      <c r="R208" s="976" t="e">
        <f>#REF!+#REF!-#REF!</f>
        <v>#REF!</v>
      </c>
      <c r="S208" s="977">
        <v>200</v>
      </c>
      <c r="T208" s="976" t="e">
        <f>#REF!+#REF!</f>
        <v>#REF!</v>
      </c>
      <c r="U208" s="977" t="e">
        <f>#REF!</f>
        <v>#REF!</v>
      </c>
      <c r="V208" s="978">
        <v>0</v>
      </c>
      <c r="W208" s="977" t="e">
        <f>#REF!</f>
        <v>#REF!</v>
      </c>
      <c r="X208" s="979" t="e">
        <f>#REF!+#REF!</f>
        <v>#REF!</v>
      </c>
      <c r="Y208" s="979" t="e">
        <f>#REF!+#REF!</f>
        <v>#REF!</v>
      </c>
      <c r="Z208" s="979"/>
      <c r="AA208" s="977" t="e">
        <f>#REF!</f>
        <v>#REF!</v>
      </c>
      <c r="AB208" s="977" t="e">
        <f t="shared" si="10"/>
        <v>#REF!</v>
      </c>
      <c r="AC208" s="977" t="e">
        <f>#REF!+#REF!</f>
        <v>#REF!</v>
      </c>
      <c r="AD208" s="977">
        <f t="shared" si="11"/>
        <v>2120</v>
      </c>
      <c r="AE208" s="634"/>
    </row>
    <row r="209" spans="1:31" s="629" customFormat="1" ht="18" customHeight="1">
      <c r="A209" s="664" t="s">
        <v>2846</v>
      </c>
      <c r="B209" s="510">
        <f t="shared" si="12"/>
        <v>171</v>
      </c>
      <c r="C209" s="980">
        <f>+NOMINA!C213</f>
        <v>17832396</v>
      </c>
      <c r="D209" s="981" t="str">
        <f>+NOMINA!D213</f>
        <v>Pulido Sanchez Joalina Vanessa</v>
      </c>
      <c r="E209" s="978" t="s">
        <v>4622</v>
      </c>
      <c r="F209" s="982">
        <v>27081</v>
      </c>
      <c r="G209" s="978" t="s">
        <v>4620</v>
      </c>
      <c r="H209" s="983">
        <f>+NOMINA!H213</f>
        <v>43191</v>
      </c>
      <c r="I209" s="984">
        <f>+NOMINA!I213</f>
        <v>6</v>
      </c>
      <c r="J209" s="985">
        <f>+NOMINA!J213</f>
        <v>0</v>
      </c>
      <c r="K209" s="984">
        <f>+NOMINA!K213</f>
        <v>6</v>
      </c>
      <c r="L209" s="986">
        <f>+NOMINA!CA213</f>
        <v>2120</v>
      </c>
      <c r="M209" s="443" t="e">
        <f>#REF!+#REF!-#REF!</f>
        <v>#REF!</v>
      </c>
      <c r="N209" s="975" t="e">
        <f>ROUND((#REF!+#REF!+#REF!+#REF!+#REF!+#REF!+#REF!+#REF!),2)</f>
        <v>#REF!</v>
      </c>
      <c r="Q209" s="629" t="e">
        <f>SUM(#REF!)</f>
        <v>#REF!</v>
      </c>
      <c r="R209" s="976" t="e">
        <f>#REF!+#REF!-#REF!</f>
        <v>#REF!</v>
      </c>
      <c r="S209" s="977">
        <v>200</v>
      </c>
      <c r="T209" s="976" t="e">
        <f>#REF!+#REF!</f>
        <v>#REF!</v>
      </c>
      <c r="U209" s="977" t="e">
        <f>#REF!</f>
        <v>#REF!</v>
      </c>
      <c r="V209" s="978">
        <v>0</v>
      </c>
      <c r="W209" s="977" t="e">
        <f>#REF!</f>
        <v>#REF!</v>
      </c>
      <c r="X209" s="979" t="e">
        <f>#REF!+#REF!</f>
        <v>#REF!</v>
      </c>
      <c r="Y209" s="979" t="e">
        <f>#REF!+#REF!</f>
        <v>#REF!</v>
      </c>
      <c r="Z209" s="979"/>
      <c r="AA209" s="977" t="e">
        <f>#REF!</f>
        <v>#REF!</v>
      </c>
      <c r="AB209" s="977" t="e">
        <f t="shared" si="10"/>
        <v>#REF!</v>
      </c>
      <c r="AC209" s="977" t="e">
        <f>#REF!+#REF!</f>
        <v>#REF!</v>
      </c>
      <c r="AD209" s="977">
        <f t="shared" si="11"/>
        <v>2120</v>
      </c>
      <c r="AE209" s="634"/>
    </row>
    <row r="210" spans="1:31" s="629" customFormat="1" ht="18" customHeight="1">
      <c r="A210" s="664" t="s">
        <v>2846</v>
      </c>
      <c r="B210" s="510">
        <f t="shared" si="12"/>
        <v>172</v>
      </c>
      <c r="C210" s="980">
        <f>+NOMINA!C214</f>
        <v>17865154</v>
      </c>
      <c r="D210" s="981" t="str">
        <f>+NOMINA!D214</f>
        <v>Serrano Ingrid Maria</v>
      </c>
      <c r="E210" s="978" t="s">
        <v>4622</v>
      </c>
      <c r="F210" s="982">
        <v>27081</v>
      </c>
      <c r="G210" s="978" t="s">
        <v>4620</v>
      </c>
      <c r="H210" s="983">
        <f>+NOMINA!H214</f>
        <v>43846</v>
      </c>
      <c r="I210" s="984">
        <f>+NOMINA!I214</f>
        <v>5</v>
      </c>
      <c r="J210" s="985">
        <f>+NOMINA!J214</f>
        <v>0</v>
      </c>
      <c r="K210" s="984">
        <f>+NOMINA!K214</f>
        <v>5</v>
      </c>
      <c r="L210" s="986">
        <f>+NOMINA!CA214</f>
        <v>2120</v>
      </c>
      <c r="M210" s="443" t="e">
        <f>#REF!+#REF!-#REF!</f>
        <v>#REF!</v>
      </c>
      <c r="N210" s="975" t="e">
        <f>ROUND((#REF!+#REF!+#REF!+#REF!+#REF!+#REF!+#REF!+#REF!),2)</f>
        <v>#REF!</v>
      </c>
      <c r="Q210" s="629" t="e">
        <f>SUM(#REF!)</f>
        <v>#REF!</v>
      </c>
      <c r="R210" s="976" t="e">
        <f>#REF!+#REF!-#REF!</f>
        <v>#REF!</v>
      </c>
      <c r="S210" s="977">
        <v>200</v>
      </c>
      <c r="T210" s="976" t="e">
        <f>#REF!+#REF!</f>
        <v>#REF!</v>
      </c>
      <c r="U210" s="977" t="e">
        <f>#REF!</f>
        <v>#REF!</v>
      </c>
      <c r="V210" s="978">
        <v>0</v>
      </c>
      <c r="W210" s="977" t="e">
        <f>#REF!</f>
        <v>#REF!</v>
      </c>
      <c r="X210" s="979" t="e">
        <f>#REF!+#REF!</f>
        <v>#REF!</v>
      </c>
      <c r="Y210" s="979" t="e">
        <f>#REF!+#REF!</f>
        <v>#REF!</v>
      </c>
      <c r="Z210" s="979"/>
      <c r="AA210" s="977" t="e">
        <f>#REF!</f>
        <v>#REF!</v>
      </c>
      <c r="AB210" s="977" t="e">
        <f t="shared" si="10"/>
        <v>#REF!</v>
      </c>
      <c r="AC210" s="977" t="e">
        <f>#REF!+#REF!</f>
        <v>#REF!</v>
      </c>
      <c r="AD210" s="977">
        <f t="shared" si="11"/>
        <v>2120</v>
      </c>
      <c r="AE210" s="634"/>
    </row>
    <row r="211" spans="1:31" s="629" customFormat="1" ht="18" customHeight="1">
      <c r="A211" s="664" t="s">
        <v>2846</v>
      </c>
      <c r="B211" s="510">
        <f t="shared" si="12"/>
        <v>173</v>
      </c>
      <c r="C211" s="980">
        <f>+NOMINA!C215</f>
        <v>18036203</v>
      </c>
      <c r="D211" s="981" t="str">
        <f>+NOMINA!D215</f>
        <v>Yepes Caceres Mervis Javier</v>
      </c>
      <c r="E211" s="978" t="s">
        <v>4622</v>
      </c>
      <c r="F211" s="982">
        <v>27081</v>
      </c>
      <c r="G211" s="978" t="s">
        <v>4620</v>
      </c>
      <c r="H211" s="983">
        <f>+NOMINA!H215</f>
        <v>45505</v>
      </c>
      <c r="I211" s="984">
        <f>+NOMINA!I215</f>
        <v>0</v>
      </c>
      <c r="J211" s="985">
        <f>+NOMINA!J215</f>
        <v>0</v>
      </c>
      <c r="K211" s="984">
        <f>+NOMINA!K215</f>
        <v>0</v>
      </c>
      <c r="L211" s="986">
        <f>+NOMINA!CA215</f>
        <v>2120</v>
      </c>
      <c r="M211" s="443" t="e">
        <f>#REF!+#REF!-#REF!</f>
        <v>#REF!</v>
      </c>
      <c r="N211" s="975" t="e">
        <f>ROUND((#REF!+#REF!+#REF!+#REF!+#REF!+#REF!+#REF!+#REF!),2)</f>
        <v>#REF!</v>
      </c>
      <c r="Q211" s="629" t="e">
        <f>SUM(#REF!)</f>
        <v>#REF!</v>
      </c>
      <c r="R211" s="976" t="e">
        <f>#REF!+#REF!-#REF!</f>
        <v>#REF!</v>
      </c>
      <c r="S211" s="977">
        <v>200</v>
      </c>
      <c r="T211" s="976" t="e">
        <f>#REF!+#REF!</f>
        <v>#REF!</v>
      </c>
      <c r="U211" s="977" t="e">
        <f>#REF!</f>
        <v>#REF!</v>
      </c>
      <c r="V211" s="978">
        <v>0</v>
      </c>
      <c r="W211" s="977" t="e">
        <f>#REF!</f>
        <v>#REF!</v>
      </c>
      <c r="X211" s="979" t="e">
        <f>#REF!+#REF!</f>
        <v>#REF!</v>
      </c>
      <c r="Y211" s="979" t="e">
        <f>#REF!+#REF!</f>
        <v>#REF!</v>
      </c>
      <c r="Z211" s="979"/>
      <c r="AA211" s="977" t="e">
        <f>#REF!</f>
        <v>#REF!</v>
      </c>
      <c r="AB211" s="977" t="e">
        <f t="shared" si="10"/>
        <v>#REF!</v>
      </c>
      <c r="AC211" s="977" t="e">
        <f>#REF!+#REF!</f>
        <v>#REF!</v>
      </c>
      <c r="AD211" s="977">
        <f t="shared" si="11"/>
        <v>2120</v>
      </c>
      <c r="AE211" s="634"/>
    </row>
    <row r="212" spans="1:31" s="629" customFormat="1" ht="18" customHeight="1">
      <c r="A212" s="664" t="s">
        <v>2846</v>
      </c>
      <c r="B212" s="510">
        <f t="shared" si="12"/>
        <v>174</v>
      </c>
      <c r="C212" s="980">
        <f>+NOMINA!C216</f>
        <v>18036156</v>
      </c>
      <c r="D212" s="981" t="str">
        <f>+NOMINA!D216</f>
        <v>Ruiz Vasquez Endri Ramon</v>
      </c>
      <c r="E212" s="978" t="s">
        <v>4622</v>
      </c>
      <c r="F212" s="982">
        <v>27081</v>
      </c>
      <c r="G212" s="978" t="s">
        <v>4620</v>
      </c>
      <c r="H212" s="983">
        <f>+NOMINA!H216</f>
        <v>45597</v>
      </c>
      <c r="I212" s="984">
        <f>+NOMINA!I216</f>
        <v>0</v>
      </c>
      <c r="J212" s="985">
        <f>+NOMINA!J216</f>
        <v>0</v>
      </c>
      <c r="K212" s="984">
        <f>+NOMINA!K216</f>
        <v>0</v>
      </c>
      <c r="L212" s="986">
        <f>+NOMINA!CA216</f>
        <v>2120</v>
      </c>
      <c r="M212" s="443" t="e">
        <f>#REF!+#REF!-#REF!</f>
        <v>#REF!</v>
      </c>
      <c r="N212" s="975" t="e">
        <f>ROUND((#REF!+#REF!+#REF!+#REF!+#REF!+#REF!+#REF!+#REF!),2)</f>
        <v>#REF!</v>
      </c>
      <c r="Q212" s="629" t="e">
        <f>SUM(#REF!)</f>
        <v>#REF!</v>
      </c>
      <c r="R212" s="976" t="e">
        <f>#REF!+#REF!-#REF!</f>
        <v>#REF!</v>
      </c>
      <c r="S212" s="977">
        <v>200</v>
      </c>
      <c r="T212" s="976" t="e">
        <f>#REF!+#REF!</f>
        <v>#REF!</v>
      </c>
      <c r="U212" s="977" t="e">
        <f>#REF!</f>
        <v>#REF!</v>
      </c>
      <c r="V212" s="978">
        <v>0</v>
      </c>
      <c r="W212" s="977" t="e">
        <f>#REF!</f>
        <v>#REF!</v>
      </c>
      <c r="X212" s="979" t="e">
        <f>#REF!+#REF!</f>
        <v>#REF!</v>
      </c>
      <c r="Y212" s="979" t="e">
        <f>#REF!+#REF!</f>
        <v>#REF!</v>
      </c>
      <c r="Z212" s="979"/>
      <c r="AA212" s="977" t="e">
        <f>#REF!</f>
        <v>#REF!</v>
      </c>
      <c r="AB212" s="977" t="e">
        <f t="shared" si="10"/>
        <v>#REF!</v>
      </c>
      <c r="AC212" s="977" t="e">
        <f>#REF!+#REF!</f>
        <v>#REF!</v>
      </c>
      <c r="AD212" s="977">
        <f t="shared" si="11"/>
        <v>2120</v>
      </c>
      <c r="AE212" s="634"/>
    </row>
    <row r="213" spans="1:31" s="629" customFormat="1" ht="18" customHeight="1">
      <c r="A213" s="664" t="s">
        <v>2846</v>
      </c>
      <c r="B213" s="510">
        <f t="shared" si="12"/>
        <v>175</v>
      </c>
      <c r="C213" s="980">
        <f>+NOMINA!C217</f>
        <v>18095603</v>
      </c>
      <c r="D213" s="981" t="str">
        <f>+NOMINA!D217</f>
        <v>Lozada Bencomo Daniela Carolina</v>
      </c>
      <c r="E213" s="978" t="s">
        <v>4622</v>
      </c>
      <c r="F213" s="982">
        <v>27081</v>
      </c>
      <c r="G213" s="978" t="s">
        <v>4620</v>
      </c>
      <c r="H213" s="983">
        <f>+NOMINA!H217</f>
        <v>42963</v>
      </c>
      <c r="I213" s="984">
        <f>+NOMINA!I217</f>
        <v>7</v>
      </c>
      <c r="J213" s="985">
        <f>+NOMINA!J217</f>
        <v>0</v>
      </c>
      <c r="K213" s="984">
        <f>+NOMINA!K217</f>
        <v>7</v>
      </c>
      <c r="L213" s="986">
        <f>+NOMINA!CA217</f>
        <v>2120</v>
      </c>
      <c r="M213" s="443" t="e">
        <f>#REF!+#REF!-#REF!</f>
        <v>#REF!</v>
      </c>
      <c r="N213" s="975" t="e">
        <f>ROUND((#REF!+#REF!+#REF!+#REF!+#REF!+#REF!+#REF!+#REF!),2)</f>
        <v>#REF!</v>
      </c>
      <c r="Q213" s="629" t="e">
        <f>SUM(#REF!)</f>
        <v>#REF!</v>
      </c>
      <c r="R213" s="976" t="e">
        <f>#REF!+#REF!-#REF!</f>
        <v>#REF!</v>
      </c>
      <c r="S213" s="977">
        <v>200</v>
      </c>
      <c r="T213" s="976" t="e">
        <f>#REF!+#REF!</f>
        <v>#REF!</v>
      </c>
      <c r="U213" s="977" t="e">
        <f>#REF!</f>
        <v>#REF!</v>
      </c>
      <c r="V213" s="978">
        <v>0</v>
      </c>
      <c r="W213" s="977" t="e">
        <f>#REF!</f>
        <v>#REF!</v>
      </c>
      <c r="X213" s="979" t="e">
        <f>#REF!+#REF!</f>
        <v>#REF!</v>
      </c>
      <c r="Y213" s="979" t="e">
        <f>#REF!+#REF!</f>
        <v>#REF!</v>
      </c>
      <c r="Z213" s="979"/>
      <c r="AA213" s="977" t="e">
        <f>#REF!</f>
        <v>#REF!</v>
      </c>
      <c r="AB213" s="977" t="e">
        <f t="shared" si="10"/>
        <v>#REF!</v>
      </c>
      <c r="AC213" s="977" t="e">
        <f>#REF!+#REF!</f>
        <v>#REF!</v>
      </c>
      <c r="AD213" s="977">
        <f t="shared" si="11"/>
        <v>2120</v>
      </c>
      <c r="AE213" s="634"/>
    </row>
    <row r="214" spans="1:31" s="629" customFormat="1" ht="18" customHeight="1">
      <c r="A214" s="664" t="s">
        <v>2846</v>
      </c>
      <c r="B214" s="510">
        <f t="shared" si="12"/>
        <v>176</v>
      </c>
      <c r="C214" s="980">
        <f>+NOMINA!C218</f>
        <v>18096996</v>
      </c>
      <c r="D214" s="981" t="str">
        <f>+NOMINA!D218</f>
        <v>Diaz Maldonado Anny Jackeline</v>
      </c>
      <c r="E214" s="978" t="s">
        <v>4622</v>
      </c>
      <c r="F214" s="982">
        <v>27081</v>
      </c>
      <c r="G214" s="978" t="s">
        <v>4620</v>
      </c>
      <c r="H214" s="983">
        <f>+NOMINA!H218</f>
        <v>44743</v>
      </c>
      <c r="I214" s="984">
        <f>+NOMINA!I218</f>
        <v>2</v>
      </c>
      <c r="J214" s="985">
        <f>+NOMINA!J218</f>
        <v>0</v>
      </c>
      <c r="K214" s="984">
        <f>+NOMINA!K218</f>
        <v>2</v>
      </c>
      <c r="L214" s="986">
        <f>+NOMINA!CA218</f>
        <v>2120</v>
      </c>
      <c r="M214" s="443" t="e">
        <f>#REF!+#REF!-#REF!</f>
        <v>#REF!</v>
      </c>
      <c r="N214" s="975" t="e">
        <f>ROUND((#REF!+#REF!+#REF!+#REF!+#REF!+#REF!+#REF!+#REF!),2)</f>
        <v>#REF!</v>
      </c>
      <c r="Q214" s="629" t="e">
        <f>SUM(#REF!)</f>
        <v>#REF!</v>
      </c>
      <c r="R214" s="976" t="e">
        <f>#REF!+#REF!-#REF!</f>
        <v>#REF!</v>
      </c>
      <c r="S214" s="977">
        <v>200</v>
      </c>
      <c r="T214" s="976" t="e">
        <f>#REF!+#REF!</f>
        <v>#REF!</v>
      </c>
      <c r="U214" s="977" t="e">
        <f>#REF!</f>
        <v>#REF!</v>
      </c>
      <c r="V214" s="978">
        <v>0</v>
      </c>
      <c r="W214" s="977" t="e">
        <f>#REF!</f>
        <v>#REF!</v>
      </c>
      <c r="X214" s="979" t="e">
        <f>#REF!+#REF!</f>
        <v>#REF!</v>
      </c>
      <c r="Y214" s="979" t="e">
        <f>#REF!+#REF!</f>
        <v>#REF!</v>
      </c>
      <c r="Z214" s="979"/>
      <c r="AA214" s="977" t="e">
        <f>#REF!</f>
        <v>#REF!</v>
      </c>
      <c r="AB214" s="977" t="e">
        <f t="shared" si="10"/>
        <v>#REF!</v>
      </c>
      <c r="AC214" s="977" t="e">
        <f>#REF!+#REF!</f>
        <v>#REF!</v>
      </c>
      <c r="AD214" s="977">
        <f t="shared" si="11"/>
        <v>2120</v>
      </c>
      <c r="AE214" s="634"/>
    </row>
    <row r="215" spans="1:31" s="629" customFormat="1" ht="18" customHeight="1">
      <c r="A215" s="664" t="s">
        <v>2846</v>
      </c>
      <c r="B215" s="510">
        <f t="shared" si="12"/>
        <v>177</v>
      </c>
      <c r="C215" s="980">
        <f>+NOMINA!C219</f>
        <v>18097528</v>
      </c>
      <c r="D215" s="981" t="str">
        <f>+NOMINA!D219</f>
        <v>Godoy Suarez Nelson Jose</v>
      </c>
      <c r="E215" s="978" t="s">
        <v>4622</v>
      </c>
      <c r="F215" s="982">
        <v>27081</v>
      </c>
      <c r="G215" s="978" t="s">
        <v>4620</v>
      </c>
      <c r="H215" s="983">
        <f>+NOMINA!H219</f>
        <v>45536</v>
      </c>
      <c r="I215" s="984">
        <f>+NOMINA!I219</f>
        <v>0</v>
      </c>
      <c r="J215" s="985">
        <f>+NOMINA!J219</f>
        <v>0</v>
      </c>
      <c r="K215" s="984">
        <f>+NOMINA!K219</f>
        <v>0</v>
      </c>
      <c r="L215" s="986">
        <f>+NOMINA!CA219</f>
        <v>2120</v>
      </c>
      <c r="M215" s="443" t="e">
        <f>#REF!+#REF!-#REF!</f>
        <v>#REF!</v>
      </c>
      <c r="N215" s="975" t="e">
        <f>ROUND((#REF!+#REF!+#REF!+#REF!+#REF!+#REF!+#REF!+#REF!),2)</f>
        <v>#REF!</v>
      </c>
      <c r="Q215" s="629" t="e">
        <f>SUM(#REF!)</f>
        <v>#REF!</v>
      </c>
      <c r="R215" s="976" t="e">
        <f>#REF!+#REF!-#REF!</f>
        <v>#REF!</v>
      </c>
      <c r="S215" s="977">
        <v>200</v>
      </c>
      <c r="T215" s="976" t="e">
        <f>#REF!+#REF!</f>
        <v>#REF!</v>
      </c>
      <c r="U215" s="977" t="e">
        <f>#REF!</f>
        <v>#REF!</v>
      </c>
      <c r="V215" s="978">
        <v>0</v>
      </c>
      <c r="W215" s="977" t="e">
        <f>#REF!</f>
        <v>#REF!</v>
      </c>
      <c r="X215" s="979" t="e">
        <f>#REF!+#REF!</f>
        <v>#REF!</v>
      </c>
      <c r="Y215" s="979" t="e">
        <f>#REF!+#REF!</f>
        <v>#REF!</v>
      </c>
      <c r="Z215" s="979"/>
      <c r="AA215" s="977" t="e">
        <f>#REF!</f>
        <v>#REF!</v>
      </c>
      <c r="AB215" s="977" t="e">
        <f t="shared" si="10"/>
        <v>#REF!</v>
      </c>
      <c r="AC215" s="977" t="e">
        <f>#REF!+#REF!</f>
        <v>#REF!</v>
      </c>
      <c r="AD215" s="977">
        <f t="shared" si="11"/>
        <v>2120</v>
      </c>
      <c r="AE215" s="634"/>
    </row>
    <row r="216" spans="1:31" s="629" customFormat="1" ht="18" customHeight="1">
      <c r="A216" s="664" t="s">
        <v>2846</v>
      </c>
      <c r="B216" s="510">
        <f t="shared" si="12"/>
        <v>178</v>
      </c>
      <c r="C216" s="980">
        <f>+NOMINA!C220</f>
        <v>18097873</v>
      </c>
      <c r="D216" s="981" t="str">
        <f>+NOMINA!D220</f>
        <v>Villarreal Prada Yoriangela Nataly</v>
      </c>
      <c r="E216" s="978" t="s">
        <v>4622</v>
      </c>
      <c r="F216" s="982">
        <v>27081</v>
      </c>
      <c r="G216" s="978" t="s">
        <v>4620</v>
      </c>
      <c r="H216" s="983">
        <f>+NOMINA!H220</f>
        <v>44531</v>
      </c>
      <c r="I216" s="984">
        <f>+NOMINA!I220</f>
        <v>3</v>
      </c>
      <c r="J216" s="985">
        <f>+NOMINA!J220</f>
        <v>0</v>
      </c>
      <c r="K216" s="984">
        <f>+NOMINA!K220</f>
        <v>3</v>
      </c>
      <c r="L216" s="986">
        <f>+NOMINA!CA220</f>
        <v>2120</v>
      </c>
      <c r="M216" s="443" t="e">
        <f>#REF!+#REF!-#REF!</f>
        <v>#REF!</v>
      </c>
      <c r="N216" s="975" t="e">
        <f>ROUND((#REF!+#REF!+#REF!+#REF!+#REF!+#REF!+#REF!+#REF!),2)</f>
        <v>#REF!</v>
      </c>
      <c r="Q216" s="629" t="e">
        <f>SUM(#REF!)</f>
        <v>#REF!</v>
      </c>
      <c r="R216" s="976" t="e">
        <f>#REF!+#REF!-#REF!</f>
        <v>#REF!</v>
      </c>
      <c r="S216" s="977">
        <v>200</v>
      </c>
      <c r="T216" s="976" t="e">
        <f>#REF!+#REF!</f>
        <v>#REF!</v>
      </c>
      <c r="U216" s="977" t="e">
        <f>#REF!</f>
        <v>#REF!</v>
      </c>
      <c r="V216" s="978">
        <v>0</v>
      </c>
      <c r="W216" s="977" t="e">
        <f>#REF!</f>
        <v>#REF!</v>
      </c>
      <c r="X216" s="979" t="e">
        <f>#REF!+#REF!</f>
        <v>#REF!</v>
      </c>
      <c r="Y216" s="979" t="e">
        <f>#REF!+#REF!</f>
        <v>#REF!</v>
      </c>
      <c r="Z216" s="979"/>
      <c r="AA216" s="977" t="e">
        <f>#REF!</f>
        <v>#REF!</v>
      </c>
      <c r="AB216" s="977" t="e">
        <f t="shared" si="10"/>
        <v>#REF!</v>
      </c>
      <c r="AC216" s="977" t="e">
        <f>#REF!+#REF!</f>
        <v>#REF!</v>
      </c>
      <c r="AD216" s="977">
        <f t="shared" si="11"/>
        <v>2120</v>
      </c>
      <c r="AE216" s="634"/>
    </row>
    <row r="217" spans="1:31" s="629" customFormat="1" ht="18" customHeight="1">
      <c r="A217" s="664" t="s">
        <v>2846</v>
      </c>
      <c r="B217" s="510">
        <f t="shared" si="12"/>
        <v>179</v>
      </c>
      <c r="C217" s="980">
        <f>+NOMINA!C221</f>
        <v>18348317</v>
      </c>
      <c r="D217" s="981" t="str">
        <f>+NOMINA!D221</f>
        <v>Abreu Araujo Gilmer Francisco</v>
      </c>
      <c r="E217" s="978" t="s">
        <v>4622</v>
      </c>
      <c r="F217" s="982">
        <v>27081</v>
      </c>
      <c r="G217" s="978" t="s">
        <v>4620</v>
      </c>
      <c r="H217" s="983">
        <f>+NOMINA!H221</f>
        <v>43160</v>
      </c>
      <c r="I217" s="984">
        <f>+NOMINA!I221</f>
        <v>6</v>
      </c>
      <c r="J217" s="985">
        <f>+NOMINA!J221</f>
        <v>0</v>
      </c>
      <c r="K217" s="984">
        <f>+NOMINA!K221</f>
        <v>6</v>
      </c>
      <c r="L217" s="986">
        <f>+NOMINA!CA221</f>
        <v>2120</v>
      </c>
      <c r="M217" s="443" t="e">
        <f>#REF!+#REF!-#REF!</f>
        <v>#REF!</v>
      </c>
      <c r="N217" s="975" t="e">
        <f>ROUND((#REF!+#REF!+#REF!+#REF!+#REF!+#REF!+#REF!+#REF!),2)</f>
        <v>#REF!</v>
      </c>
      <c r="Q217" s="629" t="e">
        <f>SUM(#REF!)</f>
        <v>#REF!</v>
      </c>
      <c r="R217" s="976" t="e">
        <f>#REF!+#REF!-#REF!</f>
        <v>#REF!</v>
      </c>
      <c r="S217" s="977">
        <v>200</v>
      </c>
      <c r="T217" s="976" t="e">
        <f>#REF!+#REF!</f>
        <v>#REF!</v>
      </c>
      <c r="U217" s="977" t="e">
        <f>#REF!</f>
        <v>#REF!</v>
      </c>
      <c r="V217" s="978">
        <v>0</v>
      </c>
      <c r="W217" s="977" t="e">
        <f>#REF!</f>
        <v>#REF!</v>
      </c>
      <c r="X217" s="979" t="e">
        <f>#REF!+#REF!</f>
        <v>#REF!</v>
      </c>
      <c r="Y217" s="979" t="e">
        <f>#REF!+#REF!</f>
        <v>#REF!</v>
      </c>
      <c r="Z217" s="979"/>
      <c r="AA217" s="977" t="e">
        <f>#REF!</f>
        <v>#REF!</v>
      </c>
      <c r="AB217" s="977" t="e">
        <f t="shared" si="10"/>
        <v>#REF!</v>
      </c>
      <c r="AC217" s="977" t="e">
        <f>#REF!+#REF!</f>
        <v>#REF!</v>
      </c>
      <c r="AD217" s="977">
        <f t="shared" si="11"/>
        <v>2120</v>
      </c>
      <c r="AE217" s="634"/>
    </row>
    <row r="218" spans="1:31" s="629" customFormat="1" ht="18" customHeight="1">
      <c r="A218" s="664" t="s">
        <v>2846</v>
      </c>
      <c r="B218" s="510">
        <f t="shared" si="12"/>
        <v>180</v>
      </c>
      <c r="C218" s="980">
        <f>+NOMINA!C222</f>
        <v>18348721</v>
      </c>
      <c r="D218" s="981" t="str">
        <f>+NOMINA!D222</f>
        <v>Villarreal Lusana Carolina</v>
      </c>
      <c r="E218" s="978" t="s">
        <v>4622</v>
      </c>
      <c r="F218" s="982">
        <v>27081</v>
      </c>
      <c r="G218" s="978" t="s">
        <v>4620</v>
      </c>
      <c r="H218" s="983">
        <f>+NOMINA!H222</f>
        <v>42948</v>
      </c>
      <c r="I218" s="984">
        <f>+NOMINA!I222</f>
        <v>7</v>
      </c>
      <c r="J218" s="985">
        <f>+NOMINA!J222</f>
        <v>0</v>
      </c>
      <c r="K218" s="984">
        <f>+NOMINA!K222</f>
        <v>7</v>
      </c>
      <c r="L218" s="986">
        <f>+NOMINA!CA222</f>
        <v>2120</v>
      </c>
      <c r="M218" s="443" t="e">
        <f>#REF!+#REF!-#REF!</f>
        <v>#REF!</v>
      </c>
      <c r="N218" s="975" t="e">
        <f>ROUND((#REF!+#REF!+#REF!+#REF!+#REF!+#REF!+#REF!+#REF!),2)</f>
        <v>#REF!</v>
      </c>
      <c r="Q218" s="629" t="e">
        <f>SUM(#REF!)</f>
        <v>#REF!</v>
      </c>
      <c r="R218" s="976" t="e">
        <f>#REF!+#REF!-#REF!</f>
        <v>#REF!</v>
      </c>
      <c r="S218" s="977">
        <v>200</v>
      </c>
      <c r="T218" s="976" t="e">
        <f>#REF!+#REF!</f>
        <v>#REF!</v>
      </c>
      <c r="U218" s="977" t="e">
        <f>#REF!</f>
        <v>#REF!</v>
      </c>
      <c r="V218" s="978">
        <v>0</v>
      </c>
      <c r="W218" s="977" t="e">
        <f>#REF!</f>
        <v>#REF!</v>
      </c>
      <c r="X218" s="979" t="e">
        <f>#REF!+#REF!</f>
        <v>#REF!</v>
      </c>
      <c r="Y218" s="979" t="e">
        <f>#REF!+#REF!</f>
        <v>#REF!</v>
      </c>
      <c r="Z218" s="979"/>
      <c r="AA218" s="977" t="e">
        <f>#REF!</f>
        <v>#REF!</v>
      </c>
      <c r="AB218" s="977" t="e">
        <f t="shared" si="10"/>
        <v>#REF!</v>
      </c>
      <c r="AC218" s="977" t="e">
        <f>#REF!+#REF!</f>
        <v>#REF!</v>
      </c>
      <c r="AD218" s="977">
        <f t="shared" si="11"/>
        <v>2120</v>
      </c>
      <c r="AE218" s="634"/>
    </row>
    <row r="219" spans="1:31" s="629" customFormat="1" ht="18" customHeight="1">
      <c r="A219" s="664" t="s">
        <v>2846</v>
      </c>
      <c r="B219" s="510">
        <f t="shared" si="12"/>
        <v>181</v>
      </c>
      <c r="C219" s="980">
        <f>+NOMINA!C223</f>
        <v>18349021</v>
      </c>
      <c r="D219" s="981" t="str">
        <f>+NOMINA!D223</f>
        <v>Godoy Linares Amenaida del Valle</v>
      </c>
      <c r="E219" s="978" t="s">
        <v>4622</v>
      </c>
      <c r="F219" s="982">
        <v>27081</v>
      </c>
      <c r="G219" s="978" t="s">
        <v>4620</v>
      </c>
      <c r="H219" s="983">
        <f>+NOMINA!H223</f>
        <v>44683</v>
      </c>
      <c r="I219" s="984">
        <f>+NOMINA!I223</f>
        <v>2</v>
      </c>
      <c r="J219" s="985">
        <f>+NOMINA!J223</f>
        <v>0</v>
      </c>
      <c r="K219" s="984">
        <f>+NOMINA!K223</f>
        <v>2</v>
      </c>
      <c r="L219" s="986">
        <f>+NOMINA!CA223</f>
        <v>2120</v>
      </c>
      <c r="M219" s="443" t="e">
        <f>#REF!+#REF!-#REF!</f>
        <v>#REF!</v>
      </c>
      <c r="N219" s="975" t="e">
        <f>ROUND((#REF!+#REF!+#REF!+#REF!+#REF!+#REF!+#REF!+#REF!),2)</f>
        <v>#REF!</v>
      </c>
      <c r="Q219" s="629" t="e">
        <f>SUM(#REF!)</f>
        <v>#REF!</v>
      </c>
      <c r="R219" s="976" t="e">
        <f>#REF!+#REF!-#REF!</f>
        <v>#REF!</v>
      </c>
      <c r="S219" s="977">
        <v>200</v>
      </c>
      <c r="T219" s="976" t="e">
        <f>#REF!+#REF!</f>
        <v>#REF!</v>
      </c>
      <c r="U219" s="977" t="e">
        <f>#REF!</f>
        <v>#REF!</v>
      </c>
      <c r="V219" s="978">
        <v>0</v>
      </c>
      <c r="W219" s="977" t="e">
        <f>#REF!</f>
        <v>#REF!</v>
      </c>
      <c r="X219" s="979" t="e">
        <f>#REF!+#REF!</f>
        <v>#REF!</v>
      </c>
      <c r="Y219" s="979" t="e">
        <f>#REF!+#REF!</f>
        <v>#REF!</v>
      </c>
      <c r="Z219" s="979"/>
      <c r="AA219" s="977" t="e">
        <f>#REF!</f>
        <v>#REF!</v>
      </c>
      <c r="AB219" s="977" t="e">
        <f t="shared" si="10"/>
        <v>#REF!</v>
      </c>
      <c r="AC219" s="977" t="e">
        <f>#REF!+#REF!</f>
        <v>#REF!</v>
      </c>
      <c r="AD219" s="977">
        <f t="shared" si="11"/>
        <v>2120</v>
      </c>
      <c r="AE219" s="634"/>
    </row>
    <row r="220" spans="1:31" s="629" customFormat="1" ht="18" customHeight="1">
      <c r="A220" s="664" t="s">
        <v>2846</v>
      </c>
      <c r="B220" s="510">
        <f t="shared" si="12"/>
        <v>182</v>
      </c>
      <c r="C220" s="980">
        <f>+NOMINA!C224</f>
        <v>18349553</v>
      </c>
      <c r="D220" s="981" t="str">
        <f>+NOMINA!D224</f>
        <v>Quiroga Valdes Nayla Carolina</v>
      </c>
      <c r="E220" s="978" t="s">
        <v>4622</v>
      </c>
      <c r="F220" s="982">
        <v>27081</v>
      </c>
      <c r="G220" s="978" t="s">
        <v>4620</v>
      </c>
      <c r="H220" s="983">
        <f>+NOMINA!H224</f>
        <v>45566</v>
      </c>
      <c r="I220" s="984">
        <f>+NOMINA!I224</f>
        <v>0</v>
      </c>
      <c r="J220" s="985">
        <f>+NOMINA!J224</f>
        <v>0</v>
      </c>
      <c r="K220" s="984">
        <f>+NOMINA!K224</f>
        <v>0</v>
      </c>
      <c r="L220" s="986">
        <f>+NOMINA!CA224</f>
        <v>2120</v>
      </c>
      <c r="M220" s="443" t="e">
        <f>#REF!+#REF!-#REF!</f>
        <v>#REF!</v>
      </c>
      <c r="N220" s="975" t="e">
        <f>ROUND((#REF!+#REF!+#REF!+#REF!+#REF!+#REF!+#REF!+#REF!),2)</f>
        <v>#REF!</v>
      </c>
      <c r="Q220" s="629" t="e">
        <f>SUM(#REF!)</f>
        <v>#REF!</v>
      </c>
      <c r="R220" s="976" t="e">
        <f>#REF!+#REF!-#REF!</f>
        <v>#REF!</v>
      </c>
      <c r="S220" s="977">
        <v>200</v>
      </c>
      <c r="T220" s="976" t="e">
        <f>#REF!+#REF!</f>
        <v>#REF!</v>
      </c>
      <c r="U220" s="977" t="e">
        <f>#REF!</f>
        <v>#REF!</v>
      </c>
      <c r="V220" s="978">
        <v>0</v>
      </c>
      <c r="W220" s="977" t="e">
        <f>#REF!</f>
        <v>#REF!</v>
      </c>
      <c r="X220" s="979" t="e">
        <f>#REF!+#REF!</f>
        <v>#REF!</v>
      </c>
      <c r="Y220" s="979" t="e">
        <f>#REF!+#REF!</f>
        <v>#REF!</v>
      </c>
      <c r="Z220" s="979"/>
      <c r="AA220" s="977" t="e">
        <f>#REF!</f>
        <v>#REF!</v>
      </c>
      <c r="AB220" s="977" t="e">
        <f t="shared" si="10"/>
        <v>#REF!</v>
      </c>
      <c r="AC220" s="977" t="e">
        <f>#REF!+#REF!</f>
        <v>#REF!</v>
      </c>
      <c r="AD220" s="977">
        <f t="shared" si="11"/>
        <v>2120</v>
      </c>
      <c r="AE220" s="634"/>
    </row>
    <row r="221" spans="1:31" s="629" customFormat="1" ht="18" customHeight="1">
      <c r="A221" s="664" t="s">
        <v>2846</v>
      </c>
      <c r="B221" s="510">
        <f t="shared" si="12"/>
        <v>183</v>
      </c>
      <c r="C221" s="980">
        <f>+NOMINA!C225</f>
        <v>18349653</v>
      </c>
      <c r="D221" s="981" t="str">
        <f>+NOMINA!D225</f>
        <v>Baptista Finol Violexy del Valle</v>
      </c>
      <c r="E221" s="978" t="s">
        <v>4622</v>
      </c>
      <c r="F221" s="982">
        <v>27081</v>
      </c>
      <c r="G221" s="978" t="s">
        <v>4620</v>
      </c>
      <c r="H221" s="983">
        <f>+NOMINA!H225</f>
        <v>45627</v>
      </c>
      <c r="I221" s="984">
        <f>+NOMINA!I225</f>
        <v>0</v>
      </c>
      <c r="J221" s="985">
        <f>+NOMINA!J225</f>
        <v>0</v>
      </c>
      <c r="K221" s="984">
        <f>+NOMINA!K225</f>
        <v>0</v>
      </c>
      <c r="L221" s="986">
        <f>+NOMINA!CA225</f>
        <v>2120</v>
      </c>
      <c r="M221" s="443" t="e">
        <f>#REF!+#REF!-#REF!</f>
        <v>#REF!</v>
      </c>
      <c r="N221" s="975" t="e">
        <f>ROUND((#REF!+#REF!+#REF!+#REF!+#REF!+#REF!+#REF!+#REF!),2)</f>
        <v>#REF!</v>
      </c>
      <c r="Q221" s="629" t="e">
        <f>SUM(#REF!)</f>
        <v>#REF!</v>
      </c>
      <c r="R221" s="976" t="e">
        <f>#REF!+#REF!-#REF!</f>
        <v>#REF!</v>
      </c>
      <c r="S221" s="977">
        <v>200</v>
      </c>
      <c r="T221" s="976" t="e">
        <f>#REF!+#REF!</f>
        <v>#REF!</v>
      </c>
      <c r="U221" s="977" t="e">
        <f>#REF!</f>
        <v>#REF!</v>
      </c>
      <c r="V221" s="978">
        <v>0</v>
      </c>
      <c r="W221" s="977" t="e">
        <f>#REF!</f>
        <v>#REF!</v>
      </c>
      <c r="X221" s="979" t="e">
        <f>#REF!+#REF!</f>
        <v>#REF!</v>
      </c>
      <c r="Y221" s="979" t="e">
        <f>#REF!+#REF!</f>
        <v>#REF!</v>
      </c>
      <c r="Z221" s="979"/>
      <c r="AA221" s="977" t="e">
        <f>#REF!</f>
        <v>#REF!</v>
      </c>
      <c r="AB221" s="977" t="e">
        <f t="shared" ref="AB221:AB305" si="13">SUM(T221:AA221)</f>
        <v>#REF!</v>
      </c>
      <c r="AC221" s="977" t="e">
        <f>#REF!+#REF!</f>
        <v>#REF!</v>
      </c>
      <c r="AD221" s="977">
        <f t="shared" si="11"/>
        <v>2120</v>
      </c>
      <c r="AE221" s="634"/>
    </row>
    <row r="222" spans="1:31" s="629" customFormat="1" ht="18" customHeight="1">
      <c r="A222" s="664" t="s">
        <v>2846</v>
      </c>
      <c r="B222" s="510">
        <f t="shared" si="12"/>
        <v>184</v>
      </c>
      <c r="C222" s="980">
        <f>+NOMINA!C226</f>
        <v>18350884</v>
      </c>
      <c r="D222" s="981" t="str">
        <f>+NOMINA!D226</f>
        <v>Araujo Mendoza Mirelis Carolina</v>
      </c>
      <c r="E222" s="978" t="s">
        <v>4622</v>
      </c>
      <c r="F222" s="982">
        <v>27081</v>
      </c>
      <c r="G222" s="978" t="s">
        <v>4620</v>
      </c>
      <c r="H222" s="983">
        <f>+NOMINA!H226</f>
        <v>45474</v>
      </c>
      <c r="I222" s="984">
        <f>+NOMINA!I226</f>
        <v>0</v>
      </c>
      <c r="J222" s="985">
        <f>+NOMINA!J226</f>
        <v>0</v>
      </c>
      <c r="K222" s="984">
        <f>+NOMINA!K226</f>
        <v>0</v>
      </c>
      <c r="L222" s="986">
        <f>+NOMINA!CA226</f>
        <v>2120</v>
      </c>
      <c r="M222" s="443" t="e">
        <f>#REF!+#REF!-#REF!</f>
        <v>#REF!</v>
      </c>
      <c r="N222" s="975" t="e">
        <f>ROUND((#REF!+#REF!+#REF!+#REF!+#REF!+#REF!+#REF!+#REF!),2)</f>
        <v>#REF!</v>
      </c>
      <c r="Q222" s="629" t="e">
        <f>SUM(#REF!)</f>
        <v>#REF!</v>
      </c>
      <c r="R222" s="976" t="e">
        <f>#REF!+#REF!-#REF!</f>
        <v>#REF!</v>
      </c>
      <c r="S222" s="977">
        <v>200</v>
      </c>
      <c r="T222" s="976" t="e">
        <f>#REF!+#REF!</f>
        <v>#REF!</v>
      </c>
      <c r="U222" s="977" t="e">
        <f>#REF!</f>
        <v>#REF!</v>
      </c>
      <c r="V222" s="978">
        <v>0</v>
      </c>
      <c r="W222" s="977" t="e">
        <f>#REF!</f>
        <v>#REF!</v>
      </c>
      <c r="X222" s="979" t="e">
        <f>#REF!+#REF!</f>
        <v>#REF!</v>
      </c>
      <c r="Y222" s="979" t="e">
        <f>#REF!+#REF!</f>
        <v>#REF!</v>
      </c>
      <c r="Z222" s="979"/>
      <c r="AA222" s="977" t="e">
        <f>#REF!</f>
        <v>#REF!</v>
      </c>
      <c r="AB222" s="977" t="e">
        <f t="shared" si="13"/>
        <v>#REF!</v>
      </c>
      <c r="AC222" s="977" t="e">
        <f>#REF!+#REF!</f>
        <v>#REF!</v>
      </c>
      <c r="AD222" s="977">
        <f t="shared" si="11"/>
        <v>2120</v>
      </c>
      <c r="AE222" s="634"/>
    </row>
    <row r="223" spans="1:31" s="629" customFormat="1" ht="18" customHeight="1">
      <c r="A223" s="664" t="s">
        <v>2846</v>
      </c>
      <c r="B223" s="510">
        <f t="shared" si="12"/>
        <v>185</v>
      </c>
      <c r="C223" s="980">
        <f>+NOMINA!C227</f>
        <v>18378985</v>
      </c>
      <c r="D223" s="981" t="str">
        <f>+NOMINA!D227</f>
        <v>Quintero Paradas Ilse Maria</v>
      </c>
      <c r="E223" s="978" t="s">
        <v>4622</v>
      </c>
      <c r="F223" s="982">
        <v>27081</v>
      </c>
      <c r="G223" s="978" t="s">
        <v>4620</v>
      </c>
      <c r="H223" s="983">
        <f>+NOMINA!H227</f>
        <v>43147</v>
      </c>
      <c r="I223" s="984">
        <f>+NOMINA!I227</f>
        <v>6</v>
      </c>
      <c r="J223" s="985">
        <f>+NOMINA!J227</f>
        <v>0</v>
      </c>
      <c r="K223" s="984">
        <f>+NOMINA!K227</f>
        <v>6</v>
      </c>
      <c r="L223" s="986">
        <f>+NOMINA!CA227</f>
        <v>2120</v>
      </c>
      <c r="M223" s="443" t="e">
        <f>#REF!+#REF!-#REF!</f>
        <v>#REF!</v>
      </c>
      <c r="N223" s="975" t="e">
        <f>ROUND((#REF!+#REF!+#REF!+#REF!+#REF!+#REF!+#REF!+#REF!),2)</f>
        <v>#REF!</v>
      </c>
      <c r="Q223" s="629" t="e">
        <f>SUM(#REF!)</f>
        <v>#REF!</v>
      </c>
      <c r="R223" s="976" t="e">
        <f>#REF!+#REF!-#REF!</f>
        <v>#REF!</v>
      </c>
      <c r="S223" s="977">
        <v>200</v>
      </c>
      <c r="T223" s="976" t="e">
        <f>#REF!+#REF!</f>
        <v>#REF!</v>
      </c>
      <c r="U223" s="977" t="e">
        <f>#REF!</f>
        <v>#REF!</v>
      </c>
      <c r="V223" s="978">
        <v>0</v>
      </c>
      <c r="W223" s="977" t="e">
        <f>#REF!</f>
        <v>#REF!</v>
      </c>
      <c r="X223" s="979" t="e">
        <f>#REF!+#REF!</f>
        <v>#REF!</v>
      </c>
      <c r="Y223" s="979" t="e">
        <f>#REF!+#REF!</f>
        <v>#REF!</v>
      </c>
      <c r="Z223" s="979"/>
      <c r="AA223" s="977" t="e">
        <f>#REF!</f>
        <v>#REF!</v>
      </c>
      <c r="AB223" s="977" t="e">
        <f t="shared" si="13"/>
        <v>#REF!</v>
      </c>
      <c r="AC223" s="977" t="e">
        <f>#REF!+#REF!</f>
        <v>#REF!</v>
      </c>
      <c r="AD223" s="977">
        <f t="shared" si="11"/>
        <v>2120</v>
      </c>
      <c r="AE223" s="634"/>
    </row>
    <row r="224" spans="1:31" s="629" customFormat="1" ht="18" customHeight="1">
      <c r="A224" s="664" t="s">
        <v>2846</v>
      </c>
      <c r="B224" s="510">
        <f t="shared" si="12"/>
        <v>186</v>
      </c>
      <c r="C224" s="980">
        <f>+NOMINA!C228</f>
        <v>18456345</v>
      </c>
      <c r="D224" s="981" t="str">
        <f>+NOMINA!D228</f>
        <v>Peñaloza Olmos Eduardo Jose</v>
      </c>
      <c r="E224" s="978" t="s">
        <v>4622</v>
      </c>
      <c r="F224" s="982">
        <v>27081</v>
      </c>
      <c r="G224" s="978" t="s">
        <v>4620</v>
      </c>
      <c r="H224" s="983">
        <f>+NOMINA!H228</f>
        <v>44774</v>
      </c>
      <c r="I224" s="984">
        <f>+NOMINA!I228</f>
        <v>2</v>
      </c>
      <c r="J224" s="985">
        <f>+NOMINA!J228</f>
        <v>0</v>
      </c>
      <c r="K224" s="984">
        <f>+NOMINA!K228</f>
        <v>2</v>
      </c>
      <c r="L224" s="986">
        <f>+NOMINA!CA228</f>
        <v>2120</v>
      </c>
      <c r="M224" s="443" t="e">
        <f>#REF!+#REF!-#REF!</f>
        <v>#REF!</v>
      </c>
      <c r="N224" s="975" t="e">
        <f>ROUND((#REF!+#REF!+#REF!+#REF!+#REF!+#REF!+#REF!+#REF!),2)</f>
        <v>#REF!</v>
      </c>
      <c r="Q224" s="629" t="e">
        <f>SUM(#REF!)</f>
        <v>#REF!</v>
      </c>
      <c r="R224" s="976" t="e">
        <f>#REF!+#REF!-#REF!</f>
        <v>#REF!</v>
      </c>
      <c r="S224" s="977">
        <v>200</v>
      </c>
      <c r="T224" s="976" t="e">
        <f>#REF!+#REF!</f>
        <v>#REF!</v>
      </c>
      <c r="U224" s="977" t="e">
        <f>#REF!</f>
        <v>#REF!</v>
      </c>
      <c r="V224" s="978">
        <v>0</v>
      </c>
      <c r="W224" s="977" t="e">
        <f>#REF!</f>
        <v>#REF!</v>
      </c>
      <c r="X224" s="979" t="e">
        <f>#REF!+#REF!</f>
        <v>#REF!</v>
      </c>
      <c r="Y224" s="979" t="e">
        <f>#REF!+#REF!</f>
        <v>#REF!</v>
      </c>
      <c r="Z224" s="979"/>
      <c r="AA224" s="977" t="e">
        <f>#REF!</f>
        <v>#REF!</v>
      </c>
      <c r="AB224" s="977" t="e">
        <f t="shared" si="13"/>
        <v>#REF!</v>
      </c>
      <c r="AC224" s="977" t="e">
        <f>#REF!+#REF!</f>
        <v>#REF!</v>
      </c>
      <c r="AD224" s="977">
        <f t="shared" si="11"/>
        <v>2120</v>
      </c>
      <c r="AE224" s="634"/>
    </row>
    <row r="225" spans="1:31" s="629" customFormat="1" ht="18" customHeight="1">
      <c r="A225" s="664" t="s">
        <v>2846</v>
      </c>
      <c r="B225" s="510">
        <f t="shared" si="12"/>
        <v>187</v>
      </c>
      <c r="C225" s="980">
        <f>+NOMINA!C229</f>
        <v>18457406</v>
      </c>
      <c r="D225" s="981" t="str">
        <f>+NOMINA!D229</f>
        <v>Rivero Zambrano Herluis Jose</v>
      </c>
      <c r="E225" s="978" t="s">
        <v>4622</v>
      </c>
      <c r="F225" s="982">
        <v>27081</v>
      </c>
      <c r="G225" s="978" t="s">
        <v>4620</v>
      </c>
      <c r="H225" s="983">
        <f>+NOMINA!H229</f>
        <v>41548</v>
      </c>
      <c r="I225" s="984">
        <f>+NOMINA!I229</f>
        <v>11</v>
      </c>
      <c r="J225" s="985">
        <f>+NOMINA!J229</f>
        <v>0</v>
      </c>
      <c r="K225" s="984">
        <f>+NOMINA!K229</f>
        <v>11</v>
      </c>
      <c r="L225" s="986">
        <f>+NOMINA!CA229</f>
        <v>0</v>
      </c>
      <c r="M225" s="443" t="e">
        <f>#REF!+#REF!-#REF!</f>
        <v>#REF!</v>
      </c>
      <c r="N225" s="975" t="e">
        <f>ROUND((#REF!+#REF!+#REF!+#REF!+#REF!+#REF!+#REF!+#REF!),2)</f>
        <v>#REF!</v>
      </c>
      <c r="Q225" s="629" t="e">
        <f>SUM(#REF!)</f>
        <v>#REF!</v>
      </c>
      <c r="R225" s="976" t="e">
        <f>#REF!+#REF!-#REF!</f>
        <v>#REF!</v>
      </c>
      <c r="S225" s="977">
        <v>200</v>
      </c>
      <c r="T225" s="976" t="e">
        <f>#REF!+#REF!</f>
        <v>#REF!</v>
      </c>
      <c r="U225" s="977" t="e">
        <f>#REF!</f>
        <v>#REF!</v>
      </c>
      <c r="V225" s="978">
        <v>0</v>
      </c>
      <c r="W225" s="977" t="e">
        <f>#REF!</f>
        <v>#REF!</v>
      </c>
      <c r="X225" s="979" t="e">
        <f>#REF!+#REF!</f>
        <v>#REF!</v>
      </c>
      <c r="Y225" s="979" t="e">
        <f>#REF!+#REF!</f>
        <v>#REF!</v>
      </c>
      <c r="Z225" s="979"/>
      <c r="AA225" s="977" t="e">
        <f>#REF!</f>
        <v>#REF!</v>
      </c>
      <c r="AB225" s="977" t="e">
        <f t="shared" si="13"/>
        <v>#REF!</v>
      </c>
      <c r="AC225" s="977" t="e">
        <f>#REF!+#REF!</f>
        <v>#REF!</v>
      </c>
      <c r="AD225" s="977">
        <f t="shared" si="11"/>
        <v>0</v>
      </c>
      <c r="AE225" s="634"/>
    </row>
    <row r="226" spans="1:31" s="629" customFormat="1" ht="18" customHeight="1">
      <c r="A226" s="664" t="s">
        <v>2846</v>
      </c>
      <c r="B226" s="510">
        <f t="shared" si="12"/>
        <v>188</v>
      </c>
      <c r="C226" s="980">
        <f>+NOMINA!C230</f>
        <v>18458012</v>
      </c>
      <c r="D226" s="981" t="str">
        <f>+NOMINA!D230</f>
        <v>Briceño Uzcategui Maria Esperanza</v>
      </c>
      <c r="E226" s="978" t="s">
        <v>4622</v>
      </c>
      <c r="F226" s="982">
        <v>27081</v>
      </c>
      <c r="G226" s="978" t="s">
        <v>4620</v>
      </c>
      <c r="H226" s="983">
        <f>+NOMINA!H230</f>
        <v>44636</v>
      </c>
      <c r="I226" s="984">
        <f>+NOMINA!I230</f>
        <v>2</v>
      </c>
      <c r="J226" s="985">
        <f>+NOMINA!J230</f>
        <v>0</v>
      </c>
      <c r="K226" s="984">
        <f>+NOMINA!K230</f>
        <v>2</v>
      </c>
      <c r="L226" s="986">
        <f>+NOMINA!CA230</f>
        <v>2120</v>
      </c>
      <c r="M226" s="443" t="e">
        <f>#REF!+#REF!-#REF!</f>
        <v>#REF!</v>
      </c>
      <c r="N226" s="975" t="e">
        <f>ROUND((#REF!+#REF!+#REF!+#REF!+#REF!+#REF!+#REF!+#REF!),2)</f>
        <v>#REF!</v>
      </c>
      <c r="Q226" s="629" t="e">
        <f>SUM(#REF!)</f>
        <v>#REF!</v>
      </c>
      <c r="R226" s="976" t="e">
        <f>#REF!+#REF!-#REF!</f>
        <v>#REF!</v>
      </c>
      <c r="S226" s="977">
        <v>200</v>
      </c>
      <c r="T226" s="976" t="e">
        <f>#REF!+#REF!</f>
        <v>#REF!</v>
      </c>
      <c r="U226" s="977" t="e">
        <f>#REF!</f>
        <v>#REF!</v>
      </c>
      <c r="V226" s="978">
        <v>0</v>
      </c>
      <c r="W226" s="977" t="e">
        <f>#REF!</f>
        <v>#REF!</v>
      </c>
      <c r="X226" s="979" t="e">
        <f>#REF!+#REF!</f>
        <v>#REF!</v>
      </c>
      <c r="Y226" s="979" t="e">
        <f>#REF!+#REF!</f>
        <v>#REF!</v>
      </c>
      <c r="Z226" s="979"/>
      <c r="AA226" s="977" t="e">
        <f>#REF!</f>
        <v>#REF!</v>
      </c>
      <c r="AB226" s="977" t="e">
        <f t="shared" si="13"/>
        <v>#REF!</v>
      </c>
      <c r="AC226" s="977" t="e">
        <f>#REF!+#REF!</f>
        <v>#REF!</v>
      </c>
      <c r="AD226" s="977">
        <f t="shared" si="11"/>
        <v>2120</v>
      </c>
      <c r="AE226" s="634"/>
    </row>
    <row r="227" spans="1:31" s="629" customFormat="1" ht="18" customHeight="1">
      <c r="A227" s="664" t="s">
        <v>2846</v>
      </c>
      <c r="B227" s="510">
        <f t="shared" si="12"/>
        <v>189</v>
      </c>
      <c r="C227" s="980">
        <f>+NOMINA!C231</f>
        <v>18670458</v>
      </c>
      <c r="D227" s="981" t="str">
        <f>+NOMINA!D231</f>
        <v>Gervasi de Valera Solanye Dairilyn</v>
      </c>
      <c r="E227" s="978" t="s">
        <v>4622</v>
      </c>
      <c r="F227" s="982">
        <v>27081</v>
      </c>
      <c r="G227" s="978" t="s">
        <v>4620</v>
      </c>
      <c r="H227" s="983">
        <f>+NOMINA!H231</f>
        <v>42741</v>
      </c>
      <c r="I227" s="984">
        <f>+NOMINA!I231</f>
        <v>8</v>
      </c>
      <c r="J227" s="985">
        <f>+NOMINA!J231</f>
        <v>0</v>
      </c>
      <c r="K227" s="984">
        <f>+NOMINA!K231</f>
        <v>8</v>
      </c>
      <c r="L227" s="986">
        <f>+NOMINA!CA231</f>
        <v>2120</v>
      </c>
      <c r="M227" s="443" t="e">
        <f>#REF!+#REF!-#REF!</f>
        <v>#REF!</v>
      </c>
      <c r="N227" s="975" t="e">
        <f>ROUND((#REF!+#REF!+#REF!+#REF!+#REF!+#REF!+#REF!+#REF!),2)</f>
        <v>#REF!</v>
      </c>
      <c r="Q227" s="629" t="e">
        <f>SUM(#REF!)</f>
        <v>#REF!</v>
      </c>
      <c r="R227" s="976" t="e">
        <f>#REF!+#REF!-#REF!</f>
        <v>#REF!</v>
      </c>
      <c r="S227" s="977">
        <v>200</v>
      </c>
      <c r="T227" s="976" t="e">
        <f>#REF!+#REF!</f>
        <v>#REF!</v>
      </c>
      <c r="U227" s="977" t="e">
        <f>#REF!</f>
        <v>#REF!</v>
      </c>
      <c r="V227" s="978">
        <v>0</v>
      </c>
      <c r="W227" s="977" t="e">
        <f>#REF!</f>
        <v>#REF!</v>
      </c>
      <c r="X227" s="979" t="e">
        <f>#REF!+#REF!</f>
        <v>#REF!</v>
      </c>
      <c r="Y227" s="979" t="e">
        <f>#REF!+#REF!</f>
        <v>#REF!</v>
      </c>
      <c r="Z227" s="979"/>
      <c r="AA227" s="977" t="e">
        <f>#REF!</f>
        <v>#REF!</v>
      </c>
      <c r="AB227" s="977" t="e">
        <f t="shared" si="13"/>
        <v>#REF!</v>
      </c>
      <c r="AC227" s="977" t="e">
        <f>#REF!+#REF!</f>
        <v>#REF!</v>
      </c>
      <c r="AD227" s="977">
        <f t="shared" si="11"/>
        <v>2120</v>
      </c>
      <c r="AE227" s="634"/>
    </row>
    <row r="228" spans="1:31" s="629" customFormat="1" ht="18" customHeight="1">
      <c r="A228" s="664" t="s">
        <v>2846</v>
      </c>
      <c r="B228" s="510">
        <f t="shared" si="12"/>
        <v>190</v>
      </c>
      <c r="C228" s="980">
        <f>+NOMINA!C232</f>
        <v>18733682</v>
      </c>
      <c r="D228" s="981" t="str">
        <f>+NOMINA!D232</f>
        <v>Ocanto Ramirez Maria Alejandra</v>
      </c>
      <c r="E228" s="978" t="s">
        <v>4622</v>
      </c>
      <c r="F228" s="982">
        <v>27081</v>
      </c>
      <c r="G228" s="978" t="s">
        <v>4620</v>
      </c>
      <c r="H228" s="983">
        <f>+NOMINA!H232</f>
        <v>45474</v>
      </c>
      <c r="I228" s="984">
        <f>+NOMINA!I232</f>
        <v>0</v>
      </c>
      <c r="J228" s="985">
        <f>+NOMINA!J232</f>
        <v>0</v>
      </c>
      <c r="K228" s="984">
        <f>+NOMINA!K232</f>
        <v>0</v>
      </c>
      <c r="L228" s="986">
        <f>+NOMINA!CA232</f>
        <v>2120</v>
      </c>
      <c r="M228" s="443" t="e">
        <f>#REF!+#REF!-#REF!</f>
        <v>#REF!</v>
      </c>
      <c r="N228" s="975" t="e">
        <f>ROUND((#REF!+#REF!+#REF!+#REF!+#REF!+#REF!+#REF!+#REF!),2)</f>
        <v>#REF!</v>
      </c>
      <c r="Q228" s="629" t="e">
        <f>SUM(#REF!)</f>
        <v>#REF!</v>
      </c>
      <c r="R228" s="976" t="e">
        <f>#REF!+#REF!-#REF!</f>
        <v>#REF!</v>
      </c>
      <c r="S228" s="977">
        <v>200</v>
      </c>
      <c r="T228" s="976" t="e">
        <f>#REF!+#REF!</f>
        <v>#REF!</v>
      </c>
      <c r="U228" s="977" t="e">
        <f>#REF!</f>
        <v>#REF!</v>
      </c>
      <c r="V228" s="978">
        <v>0</v>
      </c>
      <c r="W228" s="977" t="e">
        <f>#REF!</f>
        <v>#REF!</v>
      </c>
      <c r="X228" s="979" t="e">
        <f>#REF!+#REF!</f>
        <v>#REF!</v>
      </c>
      <c r="Y228" s="979" t="e">
        <f>#REF!+#REF!</f>
        <v>#REF!</v>
      </c>
      <c r="Z228" s="979"/>
      <c r="AA228" s="977" t="e">
        <f>#REF!</f>
        <v>#REF!</v>
      </c>
      <c r="AB228" s="977" t="e">
        <f t="shared" si="13"/>
        <v>#REF!</v>
      </c>
      <c r="AC228" s="977" t="e">
        <f>#REF!+#REF!</f>
        <v>#REF!</v>
      </c>
      <c r="AD228" s="977">
        <f t="shared" si="11"/>
        <v>2120</v>
      </c>
      <c r="AE228" s="634"/>
    </row>
    <row r="229" spans="1:31" s="629" customFormat="1" ht="18" customHeight="1">
      <c r="A229" s="664" t="s">
        <v>2846</v>
      </c>
      <c r="B229" s="510">
        <f t="shared" si="12"/>
        <v>191</v>
      </c>
      <c r="C229" s="980">
        <f>+NOMINA!C233</f>
        <v>18801597</v>
      </c>
      <c r="D229" s="981" t="str">
        <f>+NOMINA!D233</f>
        <v>Rodriguez Salas Mary Carmen</v>
      </c>
      <c r="E229" s="978" t="s">
        <v>4622</v>
      </c>
      <c r="F229" s="982">
        <v>27081</v>
      </c>
      <c r="G229" s="978" t="s">
        <v>4620</v>
      </c>
      <c r="H229" s="983">
        <f>+NOMINA!H233</f>
        <v>43359</v>
      </c>
      <c r="I229" s="984">
        <f>+NOMINA!I233</f>
        <v>6</v>
      </c>
      <c r="J229" s="985">
        <f>+NOMINA!J233</f>
        <v>0</v>
      </c>
      <c r="K229" s="984">
        <f>+NOMINA!K233</f>
        <v>6</v>
      </c>
      <c r="L229" s="986">
        <f>+NOMINA!CA233</f>
        <v>2120</v>
      </c>
      <c r="M229" s="443" t="e">
        <f>#REF!+#REF!-#REF!</f>
        <v>#REF!</v>
      </c>
      <c r="N229" s="975" t="e">
        <f>ROUND((#REF!+#REF!+#REF!+#REF!+#REF!+#REF!+#REF!+#REF!),2)</f>
        <v>#REF!</v>
      </c>
      <c r="Q229" s="629" t="e">
        <f>SUM(#REF!)</f>
        <v>#REF!</v>
      </c>
      <c r="R229" s="976" t="e">
        <f>#REF!+#REF!-#REF!</f>
        <v>#REF!</v>
      </c>
      <c r="S229" s="977">
        <v>200</v>
      </c>
      <c r="T229" s="976" t="e">
        <f>#REF!+#REF!</f>
        <v>#REF!</v>
      </c>
      <c r="U229" s="977" t="e">
        <f>#REF!</f>
        <v>#REF!</v>
      </c>
      <c r="V229" s="978">
        <v>0</v>
      </c>
      <c r="W229" s="977" t="e">
        <f>#REF!</f>
        <v>#REF!</v>
      </c>
      <c r="X229" s="979" t="e">
        <f>#REF!+#REF!</f>
        <v>#REF!</v>
      </c>
      <c r="Y229" s="979" t="e">
        <f>#REF!+#REF!</f>
        <v>#REF!</v>
      </c>
      <c r="Z229" s="979"/>
      <c r="AA229" s="977" t="e">
        <f>#REF!</f>
        <v>#REF!</v>
      </c>
      <c r="AB229" s="977" t="e">
        <f t="shared" si="13"/>
        <v>#REF!</v>
      </c>
      <c r="AC229" s="977" t="e">
        <f>#REF!+#REF!</f>
        <v>#REF!</v>
      </c>
      <c r="AD229" s="977">
        <f t="shared" ref="AD229:AD305" si="14">L229</f>
        <v>2120</v>
      </c>
      <c r="AE229" s="634"/>
    </row>
    <row r="230" spans="1:31" s="629" customFormat="1" ht="18" customHeight="1">
      <c r="A230" s="664" t="s">
        <v>2846</v>
      </c>
      <c r="B230" s="510">
        <f t="shared" si="12"/>
        <v>192</v>
      </c>
      <c r="C230" s="980">
        <f>+NOMINA!C234</f>
        <v>18802405</v>
      </c>
      <c r="D230" s="981" t="str">
        <f>+NOMINA!D234</f>
        <v>Ramirez Rodriguez Rudys Arelys</v>
      </c>
      <c r="E230" s="978" t="s">
        <v>4622</v>
      </c>
      <c r="F230" s="982">
        <v>27081</v>
      </c>
      <c r="G230" s="978" t="s">
        <v>4620</v>
      </c>
      <c r="H230" s="983">
        <f>+NOMINA!H234</f>
        <v>44332</v>
      </c>
      <c r="I230" s="984">
        <f>+NOMINA!I234</f>
        <v>3</v>
      </c>
      <c r="J230" s="985">
        <f>+NOMINA!J234</f>
        <v>0</v>
      </c>
      <c r="K230" s="984">
        <f>+NOMINA!K234</f>
        <v>3</v>
      </c>
      <c r="L230" s="986">
        <f>+NOMINA!CA234</f>
        <v>2120</v>
      </c>
      <c r="M230" s="443" t="e">
        <f>#REF!+#REF!-#REF!</f>
        <v>#REF!</v>
      </c>
      <c r="N230" s="975" t="e">
        <f>ROUND((#REF!+#REF!+#REF!+#REF!+#REF!+#REF!+#REF!+#REF!),2)</f>
        <v>#REF!</v>
      </c>
      <c r="Q230" s="629" t="e">
        <f>SUM(#REF!)</f>
        <v>#REF!</v>
      </c>
      <c r="R230" s="976" t="e">
        <f>#REF!+#REF!-#REF!</f>
        <v>#REF!</v>
      </c>
      <c r="S230" s="977">
        <v>200</v>
      </c>
      <c r="T230" s="976" t="e">
        <f>#REF!+#REF!</f>
        <v>#REF!</v>
      </c>
      <c r="U230" s="977" t="e">
        <f>#REF!</f>
        <v>#REF!</v>
      </c>
      <c r="V230" s="978">
        <v>0</v>
      </c>
      <c r="W230" s="977" t="e">
        <f>#REF!</f>
        <v>#REF!</v>
      </c>
      <c r="X230" s="979" t="e">
        <f>#REF!+#REF!</f>
        <v>#REF!</v>
      </c>
      <c r="Y230" s="979" t="e">
        <f>#REF!+#REF!</f>
        <v>#REF!</v>
      </c>
      <c r="Z230" s="979"/>
      <c r="AA230" s="977" t="e">
        <f>#REF!</f>
        <v>#REF!</v>
      </c>
      <c r="AB230" s="977" t="e">
        <f t="shared" si="13"/>
        <v>#REF!</v>
      </c>
      <c r="AC230" s="977" t="e">
        <f>#REF!+#REF!</f>
        <v>#REF!</v>
      </c>
      <c r="AD230" s="977">
        <f t="shared" si="14"/>
        <v>2120</v>
      </c>
      <c r="AE230" s="634"/>
    </row>
    <row r="231" spans="1:31" s="629" customFormat="1" ht="18" customHeight="1">
      <c r="A231" s="664" t="s">
        <v>2846</v>
      </c>
      <c r="B231" s="510">
        <f t="shared" si="12"/>
        <v>193</v>
      </c>
      <c r="C231" s="980">
        <f>+NOMINA!C235</f>
        <v>18984406</v>
      </c>
      <c r="D231" s="981" t="str">
        <f>+NOMINA!D235</f>
        <v>Torres Santiago Eduardo David</v>
      </c>
      <c r="E231" s="978" t="s">
        <v>4622</v>
      </c>
      <c r="F231" s="982">
        <v>27081</v>
      </c>
      <c r="G231" s="978" t="s">
        <v>4620</v>
      </c>
      <c r="H231" s="983">
        <f>+NOMINA!H235</f>
        <v>45200</v>
      </c>
      <c r="I231" s="984">
        <f>+NOMINA!I235</f>
        <v>1</v>
      </c>
      <c r="J231" s="985">
        <f>+NOMINA!J235</f>
        <v>0</v>
      </c>
      <c r="K231" s="984">
        <f>+NOMINA!K235</f>
        <v>1</v>
      </c>
      <c r="L231" s="986">
        <f>+NOMINA!CA235</f>
        <v>2120</v>
      </c>
      <c r="M231" s="443" t="e">
        <f>#REF!+#REF!-#REF!</f>
        <v>#REF!</v>
      </c>
      <c r="N231" s="975" t="e">
        <f>ROUND((#REF!+#REF!+#REF!+#REF!+#REF!+#REF!+#REF!+#REF!),2)</f>
        <v>#REF!</v>
      </c>
      <c r="Q231" s="629" t="e">
        <f>SUM(#REF!)</f>
        <v>#REF!</v>
      </c>
      <c r="R231" s="976" t="e">
        <f>#REF!+#REF!-#REF!</f>
        <v>#REF!</v>
      </c>
      <c r="S231" s="977">
        <v>200</v>
      </c>
      <c r="T231" s="976" t="e">
        <f>#REF!+#REF!</f>
        <v>#REF!</v>
      </c>
      <c r="U231" s="977" t="e">
        <f>#REF!</f>
        <v>#REF!</v>
      </c>
      <c r="V231" s="978">
        <v>0</v>
      </c>
      <c r="W231" s="977" t="e">
        <f>#REF!</f>
        <v>#REF!</v>
      </c>
      <c r="X231" s="979" t="e">
        <f>#REF!+#REF!</f>
        <v>#REF!</v>
      </c>
      <c r="Y231" s="979" t="e">
        <f>#REF!+#REF!</f>
        <v>#REF!</v>
      </c>
      <c r="Z231" s="979"/>
      <c r="AA231" s="977" t="e">
        <f>#REF!</f>
        <v>#REF!</v>
      </c>
      <c r="AB231" s="977" t="e">
        <f t="shared" si="13"/>
        <v>#REF!</v>
      </c>
      <c r="AC231" s="977" t="e">
        <f>#REF!+#REF!</f>
        <v>#REF!</v>
      </c>
      <c r="AD231" s="977">
        <f t="shared" si="14"/>
        <v>2120</v>
      </c>
      <c r="AE231" s="634"/>
    </row>
    <row r="232" spans="1:31" s="629" customFormat="1" ht="18" customHeight="1">
      <c r="A232" s="664" t="s">
        <v>2846</v>
      </c>
      <c r="B232" s="510">
        <f t="shared" si="12"/>
        <v>194</v>
      </c>
      <c r="C232" s="980">
        <f>+NOMINA!C236</f>
        <v>19101647</v>
      </c>
      <c r="D232" s="981" t="str">
        <f>+NOMINA!D236</f>
        <v>Uzcategui Urbina Madeley Tatiana</v>
      </c>
      <c r="E232" s="978" t="s">
        <v>4622</v>
      </c>
      <c r="F232" s="982">
        <v>27081</v>
      </c>
      <c r="G232" s="978" t="s">
        <v>4620</v>
      </c>
      <c r="H232" s="983">
        <f>+NOMINA!H236</f>
        <v>43845</v>
      </c>
      <c r="I232" s="984">
        <f>+NOMINA!I236</f>
        <v>5</v>
      </c>
      <c r="J232" s="985">
        <f>+NOMINA!J236</f>
        <v>0</v>
      </c>
      <c r="K232" s="984">
        <f>+NOMINA!K236</f>
        <v>5</v>
      </c>
      <c r="L232" s="986">
        <f>+NOMINA!CA236</f>
        <v>2120</v>
      </c>
      <c r="M232" s="443" t="e">
        <f>#REF!+#REF!-#REF!</f>
        <v>#REF!</v>
      </c>
      <c r="N232" s="975" t="e">
        <f>ROUND((#REF!+#REF!+#REF!+#REF!+#REF!+#REF!+#REF!+#REF!),2)</f>
        <v>#REF!</v>
      </c>
      <c r="Q232" s="629" t="e">
        <f>SUM(#REF!)</f>
        <v>#REF!</v>
      </c>
      <c r="R232" s="976" t="e">
        <f>#REF!+#REF!-#REF!</f>
        <v>#REF!</v>
      </c>
      <c r="S232" s="977">
        <v>200</v>
      </c>
      <c r="T232" s="976" t="e">
        <f>#REF!+#REF!</f>
        <v>#REF!</v>
      </c>
      <c r="U232" s="977" t="e">
        <f>#REF!</f>
        <v>#REF!</v>
      </c>
      <c r="V232" s="978">
        <v>0</v>
      </c>
      <c r="W232" s="977" t="e">
        <f>#REF!</f>
        <v>#REF!</v>
      </c>
      <c r="X232" s="979" t="e">
        <f>#REF!+#REF!</f>
        <v>#REF!</v>
      </c>
      <c r="Y232" s="979" t="e">
        <f>#REF!+#REF!</f>
        <v>#REF!</v>
      </c>
      <c r="Z232" s="979"/>
      <c r="AA232" s="977" t="e">
        <f>#REF!</f>
        <v>#REF!</v>
      </c>
      <c r="AB232" s="977" t="e">
        <f t="shared" si="13"/>
        <v>#REF!</v>
      </c>
      <c r="AC232" s="977" t="e">
        <f>#REF!+#REF!</f>
        <v>#REF!</v>
      </c>
      <c r="AD232" s="977">
        <f t="shared" si="14"/>
        <v>2120</v>
      </c>
      <c r="AE232" s="634"/>
    </row>
    <row r="233" spans="1:31" s="629" customFormat="1" ht="18" customHeight="1">
      <c r="A233" s="664" t="s">
        <v>2846</v>
      </c>
      <c r="B233" s="510">
        <f t="shared" ref="B233:B296" si="15">B232+1</f>
        <v>195</v>
      </c>
      <c r="C233" s="980">
        <f>+NOMINA!C237</f>
        <v>19101773</v>
      </c>
      <c r="D233" s="981" t="str">
        <f>+NOMINA!D237</f>
        <v>Gil Molina Maite Karina</v>
      </c>
      <c r="E233" s="978" t="s">
        <v>4622</v>
      </c>
      <c r="F233" s="982">
        <v>27081</v>
      </c>
      <c r="G233" s="978" t="s">
        <v>4620</v>
      </c>
      <c r="H233" s="983">
        <f>+NOMINA!H237</f>
        <v>45200</v>
      </c>
      <c r="I233" s="984">
        <f>+NOMINA!I237</f>
        <v>1</v>
      </c>
      <c r="J233" s="985">
        <f>+NOMINA!J237</f>
        <v>0</v>
      </c>
      <c r="K233" s="984">
        <f>+NOMINA!K237</f>
        <v>1</v>
      </c>
      <c r="L233" s="986">
        <f>+NOMINA!CA237</f>
        <v>2120</v>
      </c>
      <c r="M233" s="443" t="e">
        <f>#REF!+#REF!-#REF!</f>
        <v>#REF!</v>
      </c>
      <c r="N233" s="975" t="e">
        <f>ROUND((#REF!+#REF!+#REF!+#REF!+#REF!+#REF!+#REF!+#REF!),2)</f>
        <v>#REF!</v>
      </c>
      <c r="Q233" s="629" t="e">
        <f>SUM(#REF!)</f>
        <v>#REF!</v>
      </c>
      <c r="R233" s="976" t="e">
        <f>#REF!+#REF!-#REF!</f>
        <v>#REF!</v>
      </c>
      <c r="S233" s="977">
        <v>200</v>
      </c>
      <c r="T233" s="976" t="e">
        <f>#REF!+#REF!</f>
        <v>#REF!</v>
      </c>
      <c r="U233" s="977" t="e">
        <f>#REF!</f>
        <v>#REF!</v>
      </c>
      <c r="V233" s="978">
        <v>0</v>
      </c>
      <c r="W233" s="977" t="e">
        <f>#REF!</f>
        <v>#REF!</v>
      </c>
      <c r="X233" s="979" t="e">
        <f>#REF!+#REF!</f>
        <v>#REF!</v>
      </c>
      <c r="Y233" s="979" t="e">
        <f>#REF!+#REF!</f>
        <v>#REF!</v>
      </c>
      <c r="Z233" s="979"/>
      <c r="AA233" s="977" t="e">
        <f>#REF!</f>
        <v>#REF!</v>
      </c>
      <c r="AB233" s="977" t="e">
        <f t="shared" si="13"/>
        <v>#REF!</v>
      </c>
      <c r="AC233" s="977" t="e">
        <f>#REF!+#REF!</f>
        <v>#REF!</v>
      </c>
      <c r="AD233" s="977">
        <f t="shared" si="14"/>
        <v>2120</v>
      </c>
      <c r="AE233" s="634"/>
    </row>
    <row r="234" spans="1:31" s="629" customFormat="1" ht="18" customHeight="1">
      <c r="A234" s="664" t="s">
        <v>2846</v>
      </c>
      <c r="B234" s="510">
        <f t="shared" si="15"/>
        <v>196</v>
      </c>
      <c r="C234" s="980">
        <f>+NOMINA!C238</f>
        <v>19103118</v>
      </c>
      <c r="D234" s="981" t="str">
        <f>+NOMINA!D238</f>
        <v>Plaza Quintero Orelis Maria</v>
      </c>
      <c r="E234" s="978" t="s">
        <v>4622</v>
      </c>
      <c r="F234" s="982">
        <v>27081</v>
      </c>
      <c r="G234" s="978" t="s">
        <v>4620</v>
      </c>
      <c r="H234" s="983">
        <f>+NOMINA!H238</f>
        <v>43724</v>
      </c>
      <c r="I234" s="984">
        <f>+NOMINA!I238</f>
        <v>5</v>
      </c>
      <c r="J234" s="985">
        <f>+NOMINA!J238</f>
        <v>0</v>
      </c>
      <c r="K234" s="984">
        <f>+NOMINA!K238</f>
        <v>5</v>
      </c>
      <c r="L234" s="986">
        <f>+NOMINA!CA238</f>
        <v>2120</v>
      </c>
      <c r="M234" s="443" t="e">
        <f>#REF!+#REF!-#REF!</f>
        <v>#REF!</v>
      </c>
      <c r="N234" s="975" t="e">
        <f>ROUND((#REF!+#REF!+#REF!+#REF!+#REF!+#REF!+#REF!+#REF!),2)</f>
        <v>#REF!</v>
      </c>
      <c r="Q234" s="629" t="e">
        <f>SUM(#REF!)</f>
        <v>#REF!</v>
      </c>
      <c r="R234" s="976" t="e">
        <f>#REF!+#REF!-#REF!</f>
        <v>#REF!</v>
      </c>
      <c r="S234" s="977">
        <v>200</v>
      </c>
      <c r="T234" s="976" t="e">
        <f>#REF!+#REF!</f>
        <v>#REF!</v>
      </c>
      <c r="U234" s="977" t="e">
        <f>#REF!</f>
        <v>#REF!</v>
      </c>
      <c r="V234" s="978">
        <v>0</v>
      </c>
      <c r="W234" s="977" t="e">
        <f>#REF!</f>
        <v>#REF!</v>
      </c>
      <c r="X234" s="979" t="e">
        <f>#REF!+#REF!</f>
        <v>#REF!</v>
      </c>
      <c r="Y234" s="979" t="e">
        <f>#REF!+#REF!</f>
        <v>#REF!</v>
      </c>
      <c r="Z234" s="979"/>
      <c r="AA234" s="977" t="e">
        <f>#REF!</f>
        <v>#REF!</v>
      </c>
      <c r="AB234" s="977" t="e">
        <f t="shared" si="13"/>
        <v>#REF!</v>
      </c>
      <c r="AC234" s="977" t="e">
        <f>#REF!+#REF!</f>
        <v>#REF!</v>
      </c>
      <c r="AD234" s="977">
        <f t="shared" si="14"/>
        <v>2120</v>
      </c>
      <c r="AE234" s="634"/>
    </row>
    <row r="235" spans="1:31" s="629" customFormat="1" ht="18" customHeight="1">
      <c r="A235" s="664" t="s">
        <v>2846</v>
      </c>
      <c r="B235" s="510">
        <f t="shared" si="15"/>
        <v>197</v>
      </c>
      <c r="C235" s="980">
        <f>+NOMINA!C239</f>
        <v>19103604</v>
      </c>
      <c r="D235" s="981" t="str">
        <f>+NOMINA!D239</f>
        <v>Hernandez Graterol Gleidys Coromoto</v>
      </c>
      <c r="E235" s="978" t="s">
        <v>4622</v>
      </c>
      <c r="F235" s="982">
        <v>27081</v>
      </c>
      <c r="G235" s="978" t="s">
        <v>4620</v>
      </c>
      <c r="H235" s="983">
        <f>+NOMINA!H239</f>
        <v>44600</v>
      </c>
      <c r="I235" s="984">
        <f>+NOMINA!I239</f>
        <v>2</v>
      </c>
      <c r="J235" s="985">
        <f>+NOMINA!J239</f>
        <v>0</v>
      </c>
      <c r="K235" s="984">
        <f>+NOMINA!K239</f>
        <v>2</v>
      </c>
      <c r="L235" s="986">
        <f>+NOMINA!CA239</f>
        <v>2120</v>
      </c>
      <c r="M235" s="443" t="e">
        <f>#REF!+#REF!-#REF!</f>
        <v>#REF!</v>
      </c>
      <c r="N235" s="975" t="e">
        <f>ROUND((#REF!+#REF!+#REF!+#REF!+#REF!+#REF!+#REF!+#REF!),2)</f>
        <v>#REF!</v>
      </c>
      <c r="Q235" s="629" t="e">
        <f>SUM(#REF!)</f>
        <v>#REF!</v>
      </c>
      <c r="R235" s="976" t="e">
        <f>#REF!+#REF!-#REF!</f>
        <v>#REF!</v>
      </c>
      <c r="S235" s="977">
        <v>200</v>
      </c>
      <c r="T235" s="976" t="e">
        <f>#REF!+#REF!</f>
        <v>#REF!</v>
      </c>
      <c r="U235" s="977" t="e">
        <f>#REF!</f>
        <v>#REF!</v>
      </c>
      <c r="V235" s="978">
        <v>0</v>
      </c>
      <c r="W235" s="977" t="e">
        <f>#REF!</f>
        <v>#REF!</v>
      </c>
      <c r="X235" s="979" t="e">
        <f>#REF!+#REF!</f>
        <v>#REF!</v>
      </c>
      <c r="Y235" s="979" t="e">
        <f>#REF!+#REF!</f>
        <v>#REF!</v>
      </c>
      <c r="Z235" s="979"/>
      <c r="AA235" s="977" t="e">
        <f>#REF!</f>
        <v>#REF!</v>
      </c>
      <c r="AB235" s="977" t="e">
        <f t="shared" si="13"/>
        <v>#REF!</v>
      </c>
      <c r="AC235" s="977" t="e">
        <f>#REF!+#REF!</f>
        <v>#REF!</v>
      </c>
      <c r="AD235" s="977">
        <f t="shared" si="14"/>
        <v>2120</v>
      </c>
      <c r="AE235" s="634"/>
    </row>
    <row r="236" spans="1:31" s="629" customFormat="1" ht="18" customHeight="1">
      <c r="A236" s="664" t="s">
        <v>2846</v>
      </c>
      <c r="B236" s="510">
        <f t="shared" si="15"/>
        <v>198</v>
      </c>
      <c r="C236" s="980">
        <f>+NOMINA!C240</f>
        <v>19103823</v>
      </c>
      <c r="D236" s="981" t="str">
        <f>+NOMINA!D240</f>
        <v>Valero Sanchez Zulay del Valle</v>
      </c>
      <c r="E236" s="978" t="s">
        <v>4622</v>
      </c>
      <c r="F236" s="982">
        <v>27081</v>
      </c>
      <c r="G236" s="978" t="s">
        <v>4620</v>
      </c>
      <c r="H236" s="983">
        <f>+NOMINA!H240</f>
        <v>42795</v>
      </c>
      <c r="I236" s="984">
        <f>+NOMINA!I240</f>
        <v>7</v>
      </c>
      <c r="J236" s="985">
        <f>+NOMINA!J240</f>
        <v>0</v>
      </c>
      <c r="K236" s="984">
        <f>+NOMINA!K240</f>
        <v>7</v>
      </c>
      <c r="L236" s="986">
        <f>+NOMINA!CA240</f>
        <v>2120</v>
      </c>
      <c r="M236" s="443" t="e">
        <f>#REF!+#REF!-#REF!</f>
        <v>#REF!</v>
      </c>
      <c r="N236" s="975" t="e">
        <f>ROUND((#REF!+#REF!+#REF!+#REF!+#REF!+#REF!+#REF!+#REF!),2)</f>
        <v>#REF!</v>
      </c>
      <c r="Q236" s="629" t="e">
        <f>SUM(#REF!)</f>
        <v>#REF!</v>
      </c>
      <c r="R236" s="976" t="e">
        <f>#REF!+#REF!-#REF!</f>
        <v>#REF!</v>
      </c>
      <c r="S236" s="977">
        <v>200</v>
      </c>
      <c r="T236" s="976" t="e">
        <f>#REF!+#REF!</f>
        <v>#REF!</v>
      </c>
      <c r="U236" s="977" t="e">
        <f>#REF!</f>
        <v>#REF!</v>
      </c>
      <c r="V236" s="978">
        <v>0</v>
      </c>
      <c r="W236" s="977" t="e">
        <f>#REF!</f>
        <v>#REF!</v>
      </c>
      <c r="X236" s="979" t="e">
        <f>#REF!+#REF!</f>
        <v>#REF!</v>
      </c>
      <c r="Y236" s="979" t="e">
        <f>#REF!+#REF!</f>
        <v>#REF!</v>
      </c>
      <c r="Z236" s="979"/>
      <c r="AA236" s="977" t="e">
        <f>#REF!</f>
        <v>#REF!</v>
      </c>
      <c r="AB236" s="977" t="e">
        <f t="shared" si="13"/>
        <v>#REF!</v>
      </c>
      <c r="AC236" s="977" t="e">
        <f>#REF!+#REF!</f>
        <v>#REF!</v>
      </c>
      <c r="AD236" s="977">
        <f t="shared" si="14"/>
        <v>2120</v>
      </c>
      <c r="AE236" s="634"/>
    </row>
    <row r="237" spans="1:31" s="629" customFormat="1" ht="18" customHeight="1">
      <c r="A237" s="664" t="s">
        <v>2846</v>
      </c>
      <c r="B237" s="510">
        <f t="shared" si="15"/>
        <v>199</v>
      </c>
      <c r="C237" s="980">
        <f>+NOMINA!C241</f>
        <v>19286780</v>
      </c>
      <c r="D237" s="981" t="str">
        <f>+NOMINA!D241</f>
        <v>Mejia Rosales Katiusca Josefina</v>
      </c>
      <c r="E237" s="978" t="s">
        <v>4622</v>
      </c>
      <c r="F237" s="982">
        <v>27081</v>
      </c>
      <c r="G237" s="978" t="s">
        <v>4620</v>
      </c>
      <c r="H237" s="983">
        <f>+NOMINA!H241</f>
        <v>42492</v>
      </c>
      <c r="I237" s="984">
        <f>+NOMINA!I241</f>
        <v>8</v>
      </c>
      <c r="J237" s="985">
        <f>+NOMINA!J241</f>
        <v>0</v>
      </c>
      <c r="K237" s="984">
        <f>+NOMINA!K241</f>
        <v>8</v>
      </c>
      <c r="L237" s="986">
        <f>+NOMINA!CA241</f>
        <v>2120</v>
      </c>
      <c r="M237" s="443" t="e">
        <f>#REF!+#REF!-#REF!</f>
        <v>#REF!</v>
      </c>
      <c r="N237" s="975" t="e">
        <f>ROUND((#REF!+#REF!+#REF!+#REF!+#REF!+#REF!+#REF!+#REF!),2)</f>
        <v>#REF!</v>
      </c>
      <c r="Q237" s="629" t="e">
        <f>SUM(#REF!)</f>
        <v>#REF!</v>
      </c>
      <c r="R237" s="976" t="e">
        <f>#REF!+#REF!-#REF!</f>
        <v>#REF!</v>
      </c>
      <c r="S237" s="977">
        <v>200</v>
      </c>
      <c r="T237" s="976" t="e">
        <f>#REF!+#REF!</f>
        <v>#REF!</v>
      </c>
      <c r="U237" s="977" t="e">
        <f>#REF!</f>
        <v>#REF!</v>
      </c>
      <c r="V237" s="978">
        <v>0</v>
      </c>
      <c r="W237" s="977" t="e">
        <f>#REF!</f>
        <v>#REF!</v>
      </c>
      <c r="X237" s="979" t="e">
        <f>#REF!+#REF!</f>
        <v>#REF!</v>
      </c>
      <c r="Y237" s="979" t="e">
        <f>#REF!+#REF!</f>
        <v>#REF!</v>
      </c>
      <c r="Z237" s="979"/>
      <c r="AA237" s="977" t="e">
        <f>#REF!</f>
        <v>#REF!</v>
      </c>
      <c r="AB237" s="977" t="e">
        <f t="shared" si="13"/>
        <v>#REF!</v>
      </c>
      <c r="AC237" s="977" t="e">
        <f>#REF!+#REF!</f>
        <v>#REF!</v>
      </c>
      <c r="AD237" s="977">
        <f t="shared" si="14"/>
        <v>2120</v>
      </c>
      <c r="AE237" s="634"/>
    </row>
    <row r="238" spans="1:31" s="629" customFormat="1" ht="18" customHeight="1">
      <c r="A238" s="664" t="s">
        <v>2846</v>
      </c>
      <c r="B238" s="510">
        <f t="shared" si="15"/>
        <v>200</v>
      </c>
      <c r="C238" s="980">
        <f>+NOMINA!C242</f>
        <v>19287100</v>
      </c>
      <c r="D238" s="981" t="str">
        <f>+NOMINA!D242</f>
        <v>Leal Mejia Fraineli Yoset</v>
      </c>
      <c r="E238" s="978" t="s">
        <v>4622</v>
      </c>
      <c r="F238" s="982">
        <v>27081</v>
      </c>
      <c r="G238" s="978" t="s">
        <v>4620</v>
      </c>
      <c r="H238" s="983">
        <f>+NOMINA!H242</f>
        <v>44713</v>
      </c>
      <c r="I238" s="984">
        <f>+NOMINA!I242</f>
        <v>2</v>
      </c>
      <c r="J238" s="985">
        <f>+NOMINA!J242</f>
        <v>0</v>
      </c>
      <c r="K238" s="984">
        <f>+NOMINA!K242</f>
        <v>2</v>
      </c>
      <c r="L238" s="986">
        <f>+NOMINA!CA242</f>
        <v>2120</v>
      </c>
      <c r="M238" s="443" t="e">
        <f>#REF!+#REF!-#REF!</f>
        <v>#REF!</v>
      </c>
      <c r="N238" s="975" t="e">
        <f>ROUND((#REF!+#REF!+#REF!+#REF!+#REF!+#REF!+#REF!+#REF!),2)</f>
        <v>#REF!</v>
      </c>
      <c r="Q238" s="629" t="e">
        <f>SUM(#REF!)</f>
        <v>#REF!</v>
      </c>
      <c r="R238" s="976" t="e">
        <f>#REF!+#REF!-#REF!</f>
        <v>#REF!</v>
      </c>
      <c r="S238" s="977">
        <v>200</v>
      </c>
      <c r="T238" s="976" t="e">
        <f>#REF!+#REF!</f>
        <v>#REF!</v>
      </c>
      <c r="U238" s="977" t="e">
        <f>#REF!</f>
        <v>#REF!</v>
      </c>
      <c r="V238" s="978">
        <v>0</v>
      </c>
      <c r="W238" s="977" t="e">
        <f>#REF!</f>
        <v>#REF!</v>
      </c>
      <c r="X238" s="979" t="e">
        <f>#REF!+#REF!</f>
        <v>#REF!</v>
      </c>
      <c r="Y238" s="979" t="e">
        <f>#REF!+#REF!</f>
        <v>#REF!</v>
      </c>
      <c r="Z238" s="979"/>
      <c r="AA238" s="977" t="e">
        <f>#REF!</f>
        <v>#REF!</v>
      </c>
      <c r="AB238" s="977" t="e">
        <f t="shared" si="13"/>
        <v>#REF!</v>
      </c>
      <c r="AC238" s="977" t="e">
        <f>#REF!+#REF!</f>
        <v>#REF!</v>
      </c>
      <c r="AD238" s="977">
        <f t="shared" si="14"/>
        <v>2120</v>
      </c>
      <c r="AE238" s="634"/>
    </row>
    <row r="239" spans="1:31" s="629" customFormat="1" ht="18" customHeight="1">
      <c r="A239" s="664" t="s">
        <v>2846</v>
      </c>
      <c r="B239" s="510">
        <f t="shared" si="15"/>
        <v>201</v>
      </c>
      <c r="C239" s="980">
        <f>+NOMINA!C243</f>
        <v>19372791</v>
      </c>
      <c r="D239" s="981" t="str">
        <f>+NOMINA!D243</f>
        <v>Reveron Araujo Andreina Oscarelis</v>
      </c>
      <c r="E239" s="978" t="s">
        <v>4622</v>
      </c>
      <c r="F239" s="982">
        <v>27081</v>
      </c>
      <c r="G239" s="978" t="s">
        <v>4620</v>
      </c>
      <c r="H239" s="983">
        <f>+NOMINA!H243</f>
        <v>45627</v>
      </c>
      <c r="I239" s="984">
        <f>+NOMINA!I243</f>
        <v>0</v>
      </c>
      <c r="J239" s="985">
        <f>+NOMINA!J243</f>
        <v>0</v>
      </c>
      <c r="K239" s="984">
        <f>+NOMINA!K243</f>
        <v>0</v>
      </c>
      <c r="L239" s="986">
        <f>+NOMINA!CA243</f>
        <v>2120</v>
      </c>
      <c r="M239" s="443" t="e">
        <f>#REF!+#REF!-#REF!</f>
        <v>#REF!</v>
      </c>
      <c r="N239" s="975" t="e">
        <f>ROUND((#REF!+#REF!+#REF!+#REF!+#REF!+#REF!+#REF!+#REF!),2)</f>
        <v>#REF!</v>
      </c>
      <c r="Q239" s="629" t="e">
        <f>SUM(#REF!)</f>
        <v>#REF!</v>
      </c>
      <c r="R239" s="976" t="e">
        <f>#REF!+#REF!-#REF!</f>
        <v>#REF!</v>
      </c>
      <c r="S239" s="977">
        <v>200</v>
      </c>
      <c r="T239" s="976" t="e">
        <f>#REF!+#REF!</f>
        <v>#REF!</v>
      </c>
      <c r="U239" s="977" t="e">
        <f>#REF!</f>
        <v>#REF!</v>
      </c>
      <c r="V239" s="978">
        <v>0</v>
      </c>
      <c r="W239" s="977" t="e">
        <f>#REF!</f>
        <v>#REF!</v>
      </c>
      <c r="X239" s="979" t="e">
        <f>#REF!+#REF!</f>
        <v>#REF!</v>
      </c>
      <c r="Y239" s="979" t="e">
        <f>#REF!+#REF!</f>
        <v>#REF!</v>
      </c>
      <c r="Z239" s="979"/>
      <c r="AA239" s="977" t="e">
        <f>#REF!</f>
        <v>#REF!</v>
      </c>
      <c r="AB239" s="977" t="e">
        <f t="shared" si="13"/>
        <v>#REF!</v>
      </c>
      <c r="AC239" s="977" t="e">
        <f>#REF!+#REF!</f>
        <v>#REF!</v>
      </c>
      <c r="AD239" s="977">
        <f t="shared" si="14"/>
        <v>2120</v>
      </c>
      <c r="AE239" s="634"/>
    </row>
    <row r="240" spans="1:31" s="629" customFormat="1" ht="18" customHeight="1">
      <c r="A240" s="664"/>
      <c r="B240" s="510">
        <f t="shared" si="15"/>
        <v>202</v>
      </c>
      <c r="C240" s="980">
        <f>+NOMINA!C244</f>
        <v>19610534</v>
      </c>
      <c r="D240" s="981" t="str">
        <f>+NOMINA!D244</f>
        <v>Santos Saavedra Greosmar Johan</v>
      </c>
      <c r="E240" s="978" t="s">
        <v>4622</v>
      </c>
      <c r="F240" s="982">
        <v>27081</v>
      </c>
      <c r="G240" s="978" t="s">
        <v>4620</v>
      </c>
      <c r="H240" s="983">
        <f>+NOMINA!H244</f>
        <v>44713</v>
      </c>
      <c r="I240" s="984">
        <f>+NOMINA!I244</f>
        <v>2</v>
      </c>
      <c r="J240" s="985">
        <f>+NOMINA!J244</f>
        <v>0</v>
      </c>
      <c r="K240" s="984">
        <f>+NOMINA!K244</f>
        <v>2</v>
      </c>
      <c r="L240" s="986">
        <f>+NOMINA!CA244</f>
        <v>2120</v>
      </c>
      <c r="M240" s="443"/>
      <c r="N240" s="975"/>
      <c r="R240" s="976"/>
      <c r="S240" s="977"/>
      <c r="T240" s="976"/>
      <c r="U240" s="977"/>
      <c r="V240" s="978"/>
      <c r="W240" s="977"/>
      <c r="X240" s="979"/>
      <c r="Y240" s="979"/>
      <c r="Z240" s="979"/>
      <c r="AA240" s="977"/>
      <c r="AB240" s="977"/>
      <c r="AC240" s="977"/>
      <c r="AD240" s="977"/>
      <c r="AE240" s="634"/>
    </row>
    <row r="241" spans="1:31" s="629" customFormat="1" ht="18" customHeight="1">
      <c r="A241" s="664"/>
      <c r="B241" s="510">
        <f t="shared" si="15"/>
        <v>203</v>
      </c>
      <c r="C241" s="980">
        <f>+NOMINA!C245</f>
        <v>19610565</v>
      </c>
      <c r="D241" s="981" t="str">
        <f>+NOMINA!D245</f>
        <v>Uzcategui Uzcategui Saray Cristina</v>
      </c>
      <c r="E241" s="978" t="s">
        <v>4622</v>
      </c>
      <c r="F241" s="982">
        <v>27081</v>
      </c>
      <c r="G241" s="978" t="s">
        <v>4620</v>
      </c>
      <c r="H241" s="983">
        <f>+NOMINA!H245</f>
        <v>44713</v>
      </c>
      <c r="I241" s="984">
        <f>+NOMINA!I245</f>
        <v>2</v>
      </c>
      <c r="J241" s="985">
        <f>+NOMINA!J245</f>
        <v>0</v>
      </c>
      <c r="K241" s="984">
        <f>+NOMINA!K245</f>
        <v>2</v>
      </c>
      <c r="L241" s="986">
        <f>+NOMINA!CA245</f>
        <v>2120</v>
      </c>
      <c r="M241" s="443"/>
      <c r="N241" s="975"/>
      <c r="R241" s="976"/>
      <c r="S241" s="977"/>
      <c r="T241" s="976"/>
      <c r="U241" s="977"/>
      <c r="V241" s="978"/>
      <c r="W241" s="977"/>
      <c r="X241" s="979"/>
      <c r="Y241" s="979"/>
      <c r="Z241" s="979"/>
      <c r="AA241" s="977"/>
      <c r="AB241" s="977"/>
      <c r="AC241" s="977"/>
      <c r="AD241" s="977"/>
      <c r="AE241" s="634"/>
    </row>
    <row r="242" spans="1:31" s="629" customFormat="1" ht="18" customHeight="1">
      <c r="A242" s="664"/>
      <c r="B242" s="510">
        <f t="shared" si="15"/>
        <v>204</v>
      </c>
      <c r="C242" s="980">
        <f>+NOMINA!C246</f>
        <v>19643405</v>
      </c>
      <c r="D242" s="981" t="str">
        <f>+NOMINA!D246</f>
        <v>Valero Mejia Aleidy Rosana</v>
      </c>
      <c r="E242" s="978" t="s">
        <v>4622</v>
      </c>
      <c r="F242" s="982">
        <v>27081</v>
      </c>
      <c r="G242" s="978" t="s">
        <v>4620</v>
      </c>
      <c r="H242" s="983">
        <f>+NOMINA!H246</f>
        <v>43221</v>
      </c>
      <c r="I242" s="984">
        <f>+NOMINA!I246</f>
        <v>6</v>
      </c>
      <c r="J242" s="985">
        <f>+NOMINA!J246</f>
        <v>0</v>
      </c>
      <c r="K242" s="984">
        <f>+NOMINA!K246</f>
        <v>6</v>
      </c>
      <c r="L242" s="986">
        <f>+NOMINA!CA246</f>
        <v>2120</v>
      </c>
      <c r="M242" s="443"/>
      <c r="N242" s="975"/>
      <c r="R242" s="976"/>
      <c r="S242" s="977"/>
      <c r="T242" s="976"/>
      <c r="U242" s="977"/>
      <c r="V242" s="978"/>
      <c r="W242" s="977"/>
      <c r="X242" s="979"/>
      <c r="Y242" s="979"/>
      <c r="Z242" s="979"/>
      <c r="AA242" s="977"/>
      <c r="AB242" s="977"/>
      <c r="AC242" s="977"/>
      <c r="AD242" s="977"/>
      <c r="AE242" s="634"/>
    </row>
    <row r="243" spans="1:31" s="629" customFormat="1" ht="18" customHeight="1">
      <c r="A243" s="664"/>
      <c r="B243" s="510">
        <f t="shared" si="15"/>
        <v>205</v>
      </c>
      <c r="C243" s="980">
        <f>+NOMINA!C247</f>
        <v>19643806</v>
      </c>
      <c r="D243" s="981" t="str">
        <f>+NOMINA!D247</f>
        <v>Vazquez Hernandez Doris Mercedes</v>
      </c>
      <c r="E243" s="978" t="s">
        <v>4622</v>
      </c>
      <c r="F243" s="982">
        <v>27081</v>
      </c>
      <c r="G243" s="978" t="s">
        <v>4620</v>
      </c>
      <c r="H243" s="983">
        <f>+NOMINA!H247</f>
        <v>45505</v>
      </c>
      <c r="I243" s="984">
        <f>+NOMINA!I247</f>
        <v>0</v>
      </c>
      <c r="J243" s="985">
        <f>+NOMINA!J247</f>
        <v>0</v>
      </c>
      <c r="K243" s="984">
        <f>+NOMINA!K247</f>
        <v>0</v>
      </c>
      <c r="L243" s="986">
        <f>+NOMINA!CA247</f>
        <v>2120</v>
      </c>
      <c r="M243" s="443"/>
      <c r="N243" s="975"/>
      <c r="R243" s="976"/>
      <c r="S243" s="977"/>
      <c r="T243" s="976"/>
      <c r="U243" s="977"/>
      <c r="V243" s="978"/>
      <c r="W243" s="977"/>
      <c r="X243" s="979"/>
      <c r="Y243" s="979"/>
      <c r="Z243" s="979"/>
      <c r="AA243" s="977"/>
      <c r="AB243" s="977"/>
      <c r="AC243" s="977"/>
      <c r="AD243" s="977"/>
      <c r="AE243" s="634"/>
    </row>
    <row r="244" spans="1:31" s="629" customFormat="1" ht="18" customHeight="1">
      <c r="A244" s="664"/>
      <c r="B244" s="510">
        <f t="shared" si="15"/>
        <v>206</v>
      </c>
      <c r="C244" s="980">
        <f>+NOMINA!C248</f>
        <v>19644743</v>
      </c>
      <c r="D244" s="981" t="str">
        <f>+NOMINA!D248</f>
        <v>Villa Daniela Carolina</v>
      </c>
      <c r="E244" s="978" t="s">
        <v>4622</v>
      </c>
      <c r="F244" s="982">
        <v>27081</v>
      </c>
      <c r="G244" s="978" t="s">
        <v>4620</v>
      </c>
      <c r="H244" s="983">
        <f>+NOMINA!H248</f>
        <v>43967</v>
      </c>
      <c r="I244" s="984">
        <f>+NOMINA!I248</f>
        <v>4</v>
      </c>
      <c r="J244" s="985">
        <f>+NOMINA!J248</f>
        <v>0</v>
      </c>
      <c r="K244" s="984">
        <f>+NOMINA!K248</f>
        <v>4</v>
      </c>
      <c r="L244" s="986">
        <f>+NOMINA!CA248</f>
        <v>2120</v>
      </c>
      <c r="M244" s="443"/>
      <c r="N244" s="975"/>
      <c r="R244" s="976"/>
      <c r="S244" s="977"/>
      <c r="T244" s="976"/>
      <c r="U244" s="977"/>
      <c r="V244" s="978"/>
      <c r="W244" s="977"/>
      <c r="X244" s="979"/>
      <c r="Y244" s="979"/>
      <c r="Z244" s="979"/>
      <c r="AA244" s="977"/>
      <c r="AB244" s="977"/>
      <c r="AC244" s="977"/>
      <c r="AD244" s="977"/>
      <c r="AE244" s="634"/>
    </row>
    <row r="245" spans="1:31" s="629" customFormat="1" ht="18" customHeight="1">
      <c r="A245" s="664"/>
      <c r="B245" s="510">
        <f t="shared" si="15"/>
        <v>207</v>
      </c>
      <c r="C245" s="980">
        <f>+NOMINA!C249</f>
        <v>19644756</v>
      </c>
      <c r="D245" s="981" t="str">
        <f>+NOMINA!D249</f>
        <v>Mejia Aldana Norbelys Carolina</v>
      </c>
      <c r="E245" s="978" t="s">
        <v>4622</v>
      </c>
      <c r="F245" s="982">
        <v>27081</v>
      </c>
      <c r="G245" s="978" t="s">
        <v>4620</v>
      </c>
      <c r="H245" s="983">
        <f>+NOMINA!H249</f>
        <v>44470</v>
      </c>
      <c r="I245" s="984">
        <f>+NOMINA!I249</f>
        <v>3</v>
      </c>
      <c r="J245" s="985">
        <f>+NOMINA!J249</f>
        <v>0</v>
      </c>
      <c r="K245" s="984">
        <f>+NOMINA!K249</f>
        <v>3</v>
      </c>
      <c r="L245" s="986">
        <f>+NOMINA!CA249</f>
        <v>2120</v>
      </c>
      <c r="M245" s="443"/>
      <c r="N245" s="975"/>
      <c r="R245" s="976"/>
      <c r="S245" s="977"/>
      <c r="T245" s="976"/>
      <c r="U245" s="977"/>
      <c r="V245" s="978"/>
      <c r="W245" s="977"/>
      <c r="X245" s="979"/>
      <c r="Y245" s="979"/>
      <c r="Z245" s="979"/>
      <c r="AA245" s="977"/>
      <c r="AB245" s="977"/>
      <c r="AC245" s="977"/>
      <c r="AD245" s="977"/>
      <c r="AE245" s="634"/>
    </row>
    <row r="246" spans="1:31" s="629" customFormat="1" ht="18" customHeight="1">
      <c r="A246" s="664"/>
      <c r="B246" s="510">
        <f t="shared" si="15"/>
        <v>208</v>
      </c>
      <c r="C246" s="980">
        <f>+NOMINA!C250</f>
        <v>19794217</v>
      </c>
      <c r="D246" s="981" t="str">
        <f>+NOMINA!D250</f>
        <v>Suarez Leal Betzabeth Daimar</v>
      </c>
      <c r="E246" s="978" t="s">
        <v>4622</v>
      </c>
      <c r="F246" s="982">
        <v>27081</v>
      </c>
      <c r="G246" s="978" t="s">
        <v>4620</v>
      </c>
      <c r="H246" s="983">
        <f>+NOMINA!H250</f>
        <v>44683</v>
      </c>
      <c r="I246" s="984">
        <f>+NOMINA!I250</f>
        <v>2</v>
      </c>
      <c r="J246" s="985">
        <f>+NOMINA!J250</f>
        <v>0</v>
      </c>
      <c r="K246" s="984">
        <f>+NOMINA!K250</f>
        <v>2</v>
      </c>
      <c r="L246" s="986">
        <f>+NOMINA!CA250</f>
        <v>2120</v>
      </c>
      <c r="M246" s="443"/>
      <c r="N246" s="975"/>
      <c r="R246" s="976"/>
      <c r="S246" s="977"/>
      <c r="T246" s="976"/>
      <c r="U246" s="977"/>
      <c r="V246" s="978"/>
      <c r="W246" s="977"/>
      <c r="X246" s="979"/>
      <c r="Y246" s="979"/>
      <c r="Z246" s="979"/>
      <c r="AA246" s="977"/>
      <c r="AB246" s="977"/>
      <c r="AC246" s="977"/>
      <c r="AD246" s="977"/>
      <c r="AE246" s="634"/>
    </row>
    <row r="247" spans="1:31" s="629" customFormat="1" ht="18" customHeight="1">
      <c r="A247" s="664"/>
      <c r="B247" s="510">
        <f t="shared" si="15"/>
        <v>209</v>
      </c>
      <c r="C247" s="980">
        <f>+NOMINA!C251</f>
        <v>20038162</v>
      </c>
      <c r="D247" s="981" t="str">
        <f>+NOMINA!D251</f>
        <v>Jerez Rangel Gleidy Andreina</v>
      </c>
      <c r="E247" s="978" t="s">
        <v>4622</v>
      </c>
      <c r="F247" s="982">
        <v>27081</v>
      </c>
      <c r="G247" s="978" t="s">
        <v>4620</v>
      </c>
      <c r="H247" s="983">
        <f>+NOMINA!H251</f>
        <v>45597</v>
      </c>
      <c r="I247" s="984">
        <f>+NOMINA!I251</f>
        <v>0</v>
      </c>
      <c r="J247" s="985">
        <f>+NOMINA!J251</f>
        <v>0</v>
      </c>
      <c r="K247" s="984">
        <f>+NOMINA!K251</f>
        <v>0</v>
      </c>
      <c r="L247" s="986">
        <f>+NOMINA!CA251</f>
        <v>2120</v>
      </c>
      <c r="M247" s="443"/>
      <c r="N247" s="975"/>
      <c r="R247" s="976"/>
      <c r="S247" s="977"/>
      <c r="T247" s="976"/>
      <c r="U247" s="977"/>
      <c r="V247" s="978"/>
      <c r="W247" s="977"/>
      <c r="X247" s="979"/>
      <c r="Y247" s="979"/>
      <c r="Z247" s="979"/>
      <c r="AA247" s="977"/>
      <c r="AB247" s="977"/>
      <c r="AC247" s="977"/>
      <c r="AD247" s="977"/>
      <c r="AE247" s="634"/>
    </row>
    <row r="248" spans="1:31" s="629" customFormat="1" ht="18" customHeight="1">
      <c r="A248" s="664"/>
      <c r="B248" s="510">
        <f t="shared" si="15"/>
        <v>210</v>
      </c>
      <c r="C248" s="980">
        <f>+NOMINA!C252</f>
        <v>20655363</v>
      </c>
      <c r="D248" s="981" t="str">
        <f>+NOMINA!D252</f>
        <v>Sarache Ramirez Maryelis Stefani</v>
      </c>
      <c r="E248" s="978" t="s">
        <v>4622</v>
      </c>
      <c r="F248" s="982">
        <v>27081</v>
      </c>
      <c r="G248" s="978" t="s">
        <v>4620</v>
      </c>
      <c r="H248" s="983">
        <f>+NOMINA!H252</f>
        <v>45323</v>
      </c>
      <c r="I248" s="984">
        <f>+NOMINA!I252</f>
        <v>0</v>
      </c>
      <c r="J248" s="985">
        <f>+NOMINA!J252</f>
        <v>0</v>
      </c>
      <c r="K248" s="984">
        <f>+NOMINA!K252</f>
        <v>0</v>
      </c>
      <c r="L248" s="986">
        <f>+NOMINA!CA252</f>
        <v>2120</v>
      </c>
      <c r="M248" s="443"/>
      <c r="N248" s="975"/>
      <c r="R248" s="976"/>
      <c r="S248" s="977"/>
      <c r="T248" s="976"/>
      <c r="U248" s="977"/>
      <c r="V248" s="978"/>
      <c r="W248" s="977"/>
      <c r="X248" s="979"/>
      <c r="Y248" s="979"/>
      <c r="Z248" s="979"/>
      <c r="AA248" s="977"/>
      <c r="AB248" s="977"/>
      <c r="AC248" s="977"/>
      <c r="AD248" s="977"/>
      <c r="AE248" s="634"/>
    </row>
    <row r="249" spans="1:31" s="629" customFormat="1" ht="18" customHeight="1">
      <c r="A249" s="664"/>
      <c r="B249" s="510">
        <f t="shared" si="15"/>
        <v>211</v>
      </c>
      <c r="C249" s="980">
        <f>+NOMINA!C253</f>
        <v>20401711</v>
      </c>
      <c r="D249" s="981" t="str">
        <f>+NOMINA!D253</f>
        <v>Mendez Giro Maryely Roxana</v>
      </c>
      <c r="E249" s="978" t="s">
        <v>4622</v>
      </c>
      <c r="F249" s="982">
        <v>27081</v>
      </c>
      <c r="G249" s="978" t="s">
        <v>4620</v>
      </c>
      <c r="H249" s="983">
        <f>+NOMINA!H253</f>
        <v>44363</v>
      </c>
      <c r="I249" s="984">
        <f>+NOMINA!I253</f>
        <v>3</v>
      </c>
      <c r="J249" s="985">
        <f>+NOMINA!J253</f>
        <v>2</v>
      </c>
      <c r="K249" s="984">
        <f>+NOMINA!K253</f>
        <v>5</v>
      </c>
      <c r="L249" s="986">
        <f>+NOMINA!CA253</f>
        <v>2120</v>
      </c>
      <c r="M249" s="443"/>
      <c r="N249" s="975"/>
      <c r="R249" s="976"/>
      <c r="S249" s="977"/>
      <c r="T249" s="976"/>
      <c r="U249" s="977"/>
      <c r="V249" s="978"/>
      <c r="W249" s="977"/>
      <c r="X249" s="979"/>
      <c r="Y249" s="979"/>
      <c r="Z249" s="979"/>
      <c r="AA249" s="977"/>
      <c r="AB249" s="977"/>
      <c r="AC249" s="977"/>
      <c r="AD249" s="977"/>
      <c r="AE249" s="634"/>
    </row>
    <row r="250" spans="1:31" s="629" customFormat="1" ht="18" customHeight="1">
      <c r="A250" s="664"/>
      <c r="B250" s="510">
        <f t="shared" si="15"/>
        <v>212</v>
      </c>
      <c r="C250" s="980">
        <f>+NOMINA!C254</f>
        <v>20428039</v>
      </c>
      <c r="D250" s="981" t="str">
        <f>+NOMINA!D254</f>
        <v>Manzanilla Juan Roberto Antonio</v>
      </c>
      <c r="E250" s="978" t="s">
        <v>4622</v>
      </c>
      <c r="F250" s="982">
        <v>27081</v>
      </c>
      <c r="G250" s="978" t="s">
        <v>4620</v>
      </c>
      <c r="H250" s="983">
        <f>+NOMINA!H254</f>
        <v>45566</v>
      </c>
      <c r="I250" s="984">
        <f>+NOMINA!I254</f>
        <v>0</v>
      </c>
      <c r="J250" s="985">
        <f>+NOMINA!J254</f>
        <v>0</v>
      </c>
      <c r="K250" s="984">
        <f>+NOMINA!K254</f>
        <v>0</v>
      </c>
      <c r="L250" s="986">
        <f>+NOMINA!CA254</f>
        <v>2120</v>
      </c>
      <c r="M250" s="443"/>
      <c r="N250" s="975"/>
      <c r="R250" s="976"/>
      <c r="S250" s="977"/>
      <c r="T250" s="976"/>
      <c r="U250" s="977"/>
      <c r="V250" s="978"/>
      <c r="W250" s="977"/>
      <c r="X250" s="979"/>
      <c r="Y250" s="979"/>
      <c r="Z250" s="979"/>
      <c r="AA250" s="977"/>
      <c r="AB250" s="977"/>
      <c r="AC250" s="977"/>
      <c r="AD250" s="977"/>
      <c r="AE250" s="634"/>
    </row>
    <row r="251" spans="1:31" s="629" customFormat="1" ht="18" customHeight="1">
      <c r="A251" s="664"/>
      <c r="B251" s="510">
        <f t="shared" si="15"/>
        <v>213</v>
      </c>
      <c r="C251" s="980">
        <f>+NOMINA!C255</f>
        <v>20430884</v>
      </c>
      <c r="D251" s="981" t="str">
        <f>+NOMINA!D255</f>
        <v>Ruiz Olmos Diana Carolina</v>
      </c>
      <c r="E251" s="978" t="s">
        <v>4622</v>
      </c>
      <c r="F251" s="982">
        <v>27081</v>
      </c>
      <c r="G251" s="978" t="s">
        <v>4620</v>
      </c>
      <c r="H251" s="983">
        <f>+NOMINA!H255</f>
        <v>45292</v>
      </c>
      <c r="I251" s="984">
        <f>+NOMINA!I255</f>
        <v>1</v>
      </c>
      <c r="J251" s="985">
        <f>+NOMINA!J255</f>
        <v>0</v>
      </c>
      <c r="K251" s="984">
        <f>+NOMINA!K255</f>
        <v>1</v>
      </c>
      <c r="L251" s="986">
        <f>+NOMINA!CA255</f>
        <v>2120</v>
      </c>
      <c r="M251" s="443"/>
      <c r="N251" s="975"/>
      <c r="R251" s="976"/>
      <c r="S251" s="977"/>
      <c r="T251" s="976"/>
      <c r="U251" s="977"/>
      <c r="V251" s="978"/>
      <c r="W251" s="977"/>
      <c r="X251" s="979"/>
      <c r="Y251" s="979"/>
      <c r="Z251" s="979"/>
      <c r="AA251" s="977"/>
      <c r="AB251" s="977"/>
      <c r="AC251" s="977"/>
      <c r="AD251" s="977"/>
      <c r="AE251" s="634"/>
    </row>
    <row r="252" spans="1:31" s="629" customFormat="1" ht="18" customHeight="1">
      <c r="A252" s="664"/>
      <c r="B252" s="510">
        <f t="shared" si="15"/>
        <v>214</v>
      </c>
      <c r="C252" s="980">
        <f>+NOMINA!C256</f>
        <v>20603227</v>
      </c>
      <c r="D252" s="981" t="str">
        <f>+NOMINA!D256</f>
        <v>Morillo Garces Yeniree Lourdes</v>
      </c>
      <c r="E252" s="978" t="s">
        <v>4622</v>
      </c>
      <c r="F252" s="982">
        <v>27081</v>
      </c>
      <c r="G252" s="978" t="s">
        <v>4620</v>
      </c>
      <c r="H252" s="983">
        <f>+NOMINA!H256</f>
        <v>44470</v>
      </c>
      <c r="I252" s="984">
        <f>+NOMINA!I256</f>
        <v>3</v>
      </c>
      <c r="J252" s="985">
        <f>+NOMINA!J256</f>
        <v>0</v>
      </c>
      <c r="K252" s="984">
        <f>+NOMINA!K256</f>
        <v>3</v>
      </c>
      <c r="L252" s="986">
        <f>+NOMINA!CA256</f>
        <v>2120</v>
      </c>
      <c r="M252" s="443"/>
      <c r="N252" s="975"/>
      <c r="R252" s="976"/>
      <c r="S252" s="977"/>
      <c r="T252" s="976"/>
      <c r="U252" s="977"/>
      <c r="V252" s="978"/>
      <c r="W252" s="977"/>
      <c r="X252" s="979"/>
      <c r="Y252" s="979"/>
      <c r="Z252" s="979"/>
      <c r="AA252" s="977"/>
      <c r="AB252" s="977"/>
      <c r="AC252" s="977"/>
      <c r="AD252" s="977"/>
      <c r="AE252" s="634"/>
    </row>
    <row r="253" spans="1:31" s="629" customFormat="1" ht="18" customHeight="1">
      <c r="A253" s="664"/>
      <c r="B253" s="510">
        <f t="shared" si="15"/>
        <v>215</v>
      </c>
      <c r="C253" s="980">
        <f>+NOMINA!C257</f>
        <v>20707490</v>
      </c>
      <c r="D253" s="981" t="str">
        <f>+NOMINA!D257</f>
        <v>Saavedra Valera Keila Andreina</v>
      </c>
      <c r="E253" s="978" t="s">
        <v>4622</v>
      </c>
      <c r="F253" s="982">
        <v>27081</v>
      </c>
      <c r="G253" s="978" t="s">
        <v>4620</v>
      </c>
      <c r="H253" s="983">
        <f>+NOMINA!H257</f>
        <v>42751</v>
      </c>
      <c r="I253" s="984">
        <f>+NOMINA!I257</f>
        <v>8</v>
      </c>
      <c r="J253" s="985">
        <f>+NOMINA!J257</f>
        <v>0</v>
      </c>
      <c r="K253" s="984">
        <f>+NOMINA!K257</f>
        <v>8</v>
      </c>
      <c r="L253" s="986">
        <f>+NOMINA!CA257</f>
        <v>2120</v>
      </c>
      <c r="M253" s="443"/>
      <c r="N253" s="975"/>
      <c r="R253" s="976"/>
      <c r="S253" s="977"/>
      <c r="T253" s="976"/>
      <c r="U253" s="977"/>
      <c r="V253" s="978"/>
      <c r="W253" s="977"/>
      <c r="X253" s="979"/>
      <c r="Y253" s="979"/>
      <c r="Z253" s="979"/>
      <c r="AA253" s="977"/>
      <c r="AB253" s="977"/>
      <c r="AC253" s="977"/>
      <c r="AD253" s="977"/>
      <c r="AE253" s="634"/>
    </row>
    <row r="254" spans="1:31" s="629" customFormat="1" ht="18" customHeight="1">
      <c r="A254" s="664"/>
      <c r="B254" s="510">
        <f t="shared" si="15"/>
        <v>216</v>
      </c>
      <c r="C254" s="980">
        <f>+NOMINA!C258</f>
        <v>20789286</v>
      </c>
      <c r="D254" s="981" t="str">
        <f>+NOMINA!D258</f>
        <v xml:space="preserve">Viloria Jessica del Carmen </v>
      </c>
      <c r="E254" s="978" t="s">
        <v>4622</v>
      </c>
      <c r="F254" s="982">
        <v>27081</v>
      </c>
      <c r="G254" s="978" t="s">
        <v>4620</v>
      </c>
      <c r="H254" s="983">
        <f>+NOMINA!H258</f>
        <v>44713</v>
      </c>
      <c r="I254" s="984">
        <f>+NOMINA!I258</f>
        <v>2</v>
      </c>
      <c r="J254" s="985">
        <f>+NOMINA!J258</f>
        <v>0</v>
      </c>
      <c r="K254" s="984">
        <f>+NOMINA!K258</f>
        <v>2</v>
      </c>
      <c r="L254" s="986">
        <f>+NOMINA!CA258</f>
        <v>2120</v>
      </c>
      <c r="M254" s="443"/>
      <c r="N254" s="975"/>
      <c r="R254" s="976"/>
      <c r="S254" s="977"/>
      <c r="T254" s="976"/>
      <c r="U254" s="977"/>
      <c r="V254" s="978"/>
      <c r="W254" s="977"/>
      <c r="X254" s="979"/>
      <c r="Y254" s="979"/>
      <c r="Z254" s="979"/>
      <c r="AA254" s="977"/>
      <c r="AB254" s="977"/>
      <c r="AC254" s="977"/>
      <c r="AD254" s="977"/>
      <c r="AE254" s="634"/>
    </row>
    <row r="255" spans="1:31" s="629" customFormat="1" ht="18" customHeight="1">
      <c r="A255" s="664"/>
      <c r="B255" s="510">
        <f t="shared" si="15"/>
        <v>217</v>
      </c>
      <c r="C255" s="980">
        <f>+NOMINA!C259</f>
        <v>20790947</v>
      </c>
      <c r="D255" s="981" t="str">
        <f>+NOMINA!D259</f>
        <v>Urbina Cuellar Tannessy Lenery</v>
      </c>
      <c r="E255" s="978" t="s">
        <v>4622</v>
      </c>
      <c r="F255" s="982">
        <v>27081</v>
      </c>
      <c r="G255" s="978" t="s">
        <v>4620</v>
      </c>
      <c r="H255" s="983">
        <f>+NOMINA!H259</f>
        <v>43967</v>
      </c>
      <c r="I255" s="984">
        <f>+NOMINA!I259</f>
        <v>4</v>
      </c>
      <c r="J255" s="985">
        <f>+NOMINA!J259</f>
        <v>0</v>
      </c>
      <c r="K255" s="984">
        <f>+NOMINA!K259</f>
        <v>4</v>
      </c>
      <c r="L255" s="986">
        <f>+NOMINA!CA259</f>
        <v>0</v>
      </c>
      <c r="M255" s="443"/>
      <c r="N255" s="975"/>
      <c r="R255" s="976"/>
      <c r="S255" s="977"/>
      <c r="T255" s="976"/>
      <c r="U255" s="977"/>
      <c r="V255" s="978"/>
      <c r="W255" s="977"/>
      <c r="X255" s="979"/>
      <c r="Y255" s="979"/>
      <c r="Z255" s="979"/>
      <c r="AA255" s="977"/>
      <c r="AB255" s="977"/>
      <c r="AC255" s="977"/>
      <c r="AD255" s="977"/>
      <c r="AE255" s="634"/>
    </row>
    <row r="256" spans="1:31" s="629" customFormat="1" ht="18" customHeight="1">
      <c r="A256" s="664"/>
      <c r="B256" s="510">
        <f t="shared" si="15"/>
        <v>218</v>
      </c>
      <c r="C256" s="980">
        <f>+NOMINA!C260</f>
        <v>21061126</v>
      </c>
      <c r="D256" s="981" t="str">
        <f>+NOMINA!D260</f>
        <v>Olivar Nava Robinson de Jesus</v>
      </c>
      <c r="E256" s="978" t="s">
        <v>4622</v>
      </c>
      <c r="F256" s="982">
        <v>27081</v>
      </c>
      <c r="G256" s="978" t="s">
        <v>4620</v>
      </c>
      <c r="H256" s="983">
        <f>+NOMINA!H260</f>
        <v>45047</v>
      </c>
      <c r="I256" s="984">
        <f>+NOMINA!I260</f>
        <v>1</v>
      </c>
      <c r="J256" s="985">
        <f>+NOMINA!J260</f>
        <v>0</v>
      </c>
      <c r="K256" s="984">
        <f>+NOMINA!K260</f>
        <v>1</v>
      </c>
      <c r="L256" s="986">
        <f>+NOMINA!CA260</f>
        <v>2120</v>
      </c>
      <c r="M256" s="443"/>
      <c r="N256" s="975"/>
      <c r="R256" s="976"/>
      <c r="S256" s="977"/>
      <c r="T256" s="976"/>
      <c r="U256" s="977"/>
      <c r="V256" s="978"/>
      <c r="W256" s="977"/>
      <c r="X256" s="979"/>
      <c r="Y256" s="979"/>
      <c r="Z256" s="979"/>
      <c r="AA256" s="977"/>
      <c r="AB256" s="977"/>
      <c r="AC256" s="977"/>
      <c r="AD256" s="977"/>
      <c r="AE256" s="634"/>
    </row>
    <row r="257" spans="1:31" s="629" customFormat="1" ht="18" customHeight="1">
      <c r="A257" s="664"/>
      <c r="B257" s="510">
        <f t="shared" si="15"/>
        <v>219</v>
      </c>
      <c r="C257" s="980">
        <f>+NOMINA!C261</f>
        <v>21061789</v>
      </c>
      <c r="D257" s="981" t="str">
        <f>+NOMINA!D261</f>
        <v xml:space="preserve">Suarez Briceño Daiver Jose </v>
      </c>
      <c r="E257" s="978" t="s">
        <v>4622</v>
      </c>
      <c r="F257" s="982">
        <v>27081</v>
      </c>
      <c r="G257" s="978" t="s">
        <v>4620</v>
      </c>
      <c r="H257" s="983">
        <f>+NOMINA!H261</f>
        <v>44713</v>
      </c>
      <c r="I257" s="984">
        <f>+NOMINA!I261</f>
        <v>2</v>
      </c>
      <c r="J257" s="985">
        <f>+NOMINA!J261</f>
        <v>0</v>
      </c>
      <c r="K257" s="984">
        <f>+NOMINA!K261</f>
        <v>2</v>
      </c>
      <c r="L257" s="986">
        <f>+NOMINA!CA261</f>
        <v>2120</v>
      </c>
      <c r="M257" s="443"/>
      <c r="N257" s="975"/>
      <c r="R257" s="976"/>
      <c r="S257" s="977"/>
      <c r="T257" s="976"/>
      <c r="U257" s="977"/>
      <c r="V257" s="978"/>
      <c r="W257" s="977"/>
      <c r="X257" s="979"/>
      <c r="Y257" s="979"/>
      <c r="Z257" s="979"/>
      <c r="AA257" s="977"/>
      <c r="AB257" s="977"/>
      <c r="AC257" s="977"/>
      <c r="AD257" s="977"/>
      <c r="AE257" s="634"/>
    </row>
    <row r="258" spans="1:31" s="629" customFormat="1" ht="18" customHeight="1">
      <c r="A258" s="664"/>
      <c r="B258" s="510">
        <f t="shared" si="15"/>
        <v>220</v>
      </c>
      <c r="C258" s="980">
        <f>+NOMINA!C262</f>
        <v>21365212</v>
      </c>
      <c r="D258" s="981" t="str">
        <f>+NOMINA!D262</f>
        <v>Manzanilla Gonzalez Landkler Josue</v>
      </c>
      <c r="E258" s="978" t="s">
        <v>4622</v>
      </c>
      <c r="F258" s="982">
        <v>27081</v>
      </c>
      <c r="G258" s="978" t="s">
        <v>4620</v>
      </c>
      <c r="H258" s="983">
        <f>+NOMINA!H262</f>
        <v>44317</v>
      </c>
      <c r="I258" s="984">
        <f>+NOMINA!I262</f>
        <v>3</v>
      </c>
      <c r="J258" s="985">
        <f>+NOMINA!J262</f>
        <v>0</v>
      </c>
      <c r="K258" s="984">
        <f>+NOMINA!K262</f>
        <v>3</v>
      </c>
      <c r="L258" s="986">
        <f>+NOMINA!CA262</f>
        <v>2120</v>
      </c>
      <c r="M258" s="443"/>
      <c r="N258" s="975"/>
      <c r="R258" s="976"/>
      <c r="S258" s="977"/>
      <c r="T258" s="976"/>
      <c r="U258" s="977"/>
      <c r="V258" s="978"/>
      <c r="W258" s="977"/>
      <c r="X258" s="979"/>
      <c r="Y258" s="979"/>
      <c r="Z258" s="979"/>
      <c r="AA258" s="977"/>
      <c r="AB258" s="977"/>
      <c r="AC258" s="977"/>
      <c r="AD258" s="977"/>
      <c r="AE258" s="634"/>
    </row>
    <row r="259" spans="1:31" s="629" customFormat="1" ht="18" customHeight="1">
      <c r="A259" s="664"/>
      <c r="B259" s="510">
        <f t="shared" si="15"/>
        <v>221</v>
      </c>
      <c r="C259" s="980">
        <f>+NOMINA!C263</f>
        <v>21592108</v>
      </c>
      <c r="D259" s="981" t="str">
        <f>+NOMINA!D263</f>
        <v>Coy Andara Darlin Gabriela</v>
      </c>
      <c r="E259" s="978" t="s">
        <v>4622</v>
      </c>
      <c r="F259" s="982">
        <v>27081</v>
      </c>
      <c r="G259" s="978" t="s">
        <v>4620</v>
      </c>
      <c r="H259" s="983">
        <f>+NOMINA!H263</f>
        <v>43024</v>
      </c>
      <c r="I259" s="984">
        <f>+NOMINA!I263</f>
        <v>7</v>
      </c>
      <c r="J259" s="985">
        <f>+NOMINA!J263</f>
        <v>0</v>
      </c>
      <c r="K259" s="984">
        <f>+NOMINA!K263</f>
        <v>7</v>
      </c>
      <c r="L259" s="986">
        <f>+NOMINA!CA263</f>
        <v>0</v>
      </c>
      <c r="M259" s="443"/>
      <c r="N259" s="975"/>
      <c r="R259" s="976"/>
      <c r="S259" s="977"/>
      <c r="T259" s="976"/>
      <c r="U259" s="977"/>
      <c r="V259" s="978"/>
      <c r="W259" s="977"/>
      <c r="X259" s="979"/>
      <c r="Y259" s="979"/>
      <c r="Z259" s="979"/>
      <c r="AA259" s="977"/>
      <c r="AB259" s="977"/>
      <c r="AC259" s="977"/>
      <c r="AD259" s="977"/>
      <c r="AE259" s="634"/>
    </row>
    <row r="260" spans="1:31" s="629" customFormat="1" ht="18" customHeight="1">
      <c r="A260" s="664"/>
      <c r="B260" s="510">
        <f t="shared" si="15"/>
        <v>222</v>
      </c>
      <c r="C260" s="980">
        <f>+NOMINA!C264</f>
        <v>22622493</v>
      </c>
      <c r="D260" s="981" t="str">
        <f>+NOMINA!D264</f>
        <v xml:space="preserve">Barrios Olivar Geraldine Katiusca </v>
      </c>
      <c r="E260" s="978" t="s">
        <v>4622</v>
      </c>
      <c r="F260" s="982">
        <v>27081</v>
      </c>
      <c r="G260" s="978" t="s">
        <v>4620</v>
      </c>
      <c r="H260" s="983">
        <f>+NOMINA!H264</f>
        <v>44363</v>
      </c>
      <c r="I260" s="984">
        <f>+NOMINA!I264</f>
        <v>3</v>
      </c>
      <c r="J260" s="985">
        <f>+NOMINA!J264</f>
        <v>0</v>
      </c>
      <c r="K260" s="984">
        <f>+NOMINA!K264</f>
        <v>3</v>
      </c>
      <c r="L260" s="986">
        <f>+NOMINA!CA264</f>
        <v>2120</v>
      </c>
      <c r="M260" s="443"/>
      <c r="N260" s="975"/>
      <c r="R260" s="976"/>
      <c r="S260" s="977"/>
      <c r="T260" s="976"/>
      <c r="U260" s="977"/>
      <c r="V260" s="978"/>
      <c r="W260" s="977"/>
      <c r="X260" s="979"/>
      <c r="Y260" s="979"/>
      <c r="Z260" s="979"/>
      <c r="AA260" s="977"/>
      <c r="AB260" s="977"/>
      <c r="AC260" s="977"/>
      <c r="AD260" s="977"/>
      <c r="AE260" s="634"/>
    </row>
    <row r="261" spans="1:31" s="629" customFormat="1" ht="18" customHeight="1">
      <c r="A261" s="664"/>
      <c r="B261" s="510">
        <f t="shared" si="15"/>
        <v>223</v>
      </c>
      <c r="C261" s="980">
        <f>+NOMINA!C265</f>
        <v>23782360</v>
      </c>
      <c r="D261" s="981" t="str">
        <f>+NOMINA!D265</f>
        <v>Rivera Sandoval Ilva Azucena</v>
      </c>
      <c r="E261" s="978" t="s">
        <v>4622</v>
      </c>
      <c r="F261" s="982">
        <v>27081</v>
      </c>
      <c r="G261" s="978" t="s">
        <v>4620</v>
      </c>
      <c r="H261" s="983">
        <f>+NOMINA!H265</f>
        <v>39203</v>
      </c>
      <c r="I261" s="984">
        <f>+NOMINA!I265</f>
        <v>17</v>
      </c>
      <c r="J261" s="985">
        <f>+NOMINA!J265</f>
        <v>0</v>
      </c>
      <c r="K261" s="984">
        <f>+NOMINA!K265</f>
        <v>17</v>
      </c>
      <c r="L261" s="986">
        <f>+NOMINA!CA265</f>
        <v>0</v>
      </c>
      <c r="M261" s="443"/>
      <c r="N261" s="975"/>
      <c r="R261" s="976"/>
      <c r="S261" s="977"/>
      <c r="T261" s="976"/>
      <c r="U261" s="977"/>
      <c r="V261" s="978"/>
      <c r="W261" s="977"/>
      <c r="X261" s="979"/>
      <c r="Y261" s="979"/>
      <c r="Z261" s="979"/>
      <c r="AA261" s="977"/>
      <c r="AB261" s="977"/>
      <c r="AC261" s="977"/>
      <c r="AD261" s="977"/>
      <c r="AE261" s="634"/>
    </row>
    <row r="262" spans="1:31" s="629" customFormat="1" ht="18" customHeight="1">
      <c r="A262" s="664"/>
      <c r="B262" s="510">
        <f t="shared" si="15"/>
        <v>224</v>
      </c>
      <c r="C262" s="980">
        <f>+NOMINA!C266</f>
        <v>23960738</v>
      </c>
      <c r="D262" s="981" t="str">
        <f>+NOMINA!D266</f>
        <v>Molina Briceño Maria de los Angeles</v>
      </c>
      <c r="E262" s="978" t="s">
        <v>4622</v>
      </c>
      <c r="F262" s="982">
        <v>27081</v>
      </c>
      <c r="G262" s="978" t="s">
        <v>4620</v>
      </c>
      <c r="H262" s="983">
        <f>+NOMINA!H266</f>
        <v>43497</v>
      </c>
      <c r="I262" s="984">
        <f>+NOMINA!I266</f>
        <v>5</v>
      </c>
      <c r="J262" s="985">
        <f>+NOMINA!J266</f>
        <v>0</v>
      </c>
      <c r="K262" s="984">
        <f>+NOMINA!K266</f>
        <v>5</v>
      </c>
      <c r="L262" s="986">
        <f>+NOMINA!CA266</f>
        <v>2120</v>
      </c>
      <c r="M262" s="443"/>
      <c r="N262" s="975"/>
      <c r="R262" s="976"/>
      <c r="S262" s="977"/>
      <c r="T262" s="976"/>
      <c r="U262" s="977"/>
      <c r="V262" s="978"/>
      <c r="W262" s="977"/>
      <c r="X262" s="979"/>
      <c r="Y262" s="979"/>
      <c r="Z262" s="979"/>
      <c r="AA262" s="977"/>
      <c r="AB262" s="977"/>
      <c r="AC262" s="977"/>
      <c r="AD262" s="977"/>
      <c r="AE262" s="634"/>
    </row>
    <row r="263" spans="1:31" s="629" customFormat="1" ht="18" customHeight="1">
      <c r="A263" s="664"/>
      <c r="B263" s="510">
        <f t="shared" si="15"/>
        <v>225</v>
      </c>
      <c r="C263" s="980">
        <f>+NOMINA!C267</f>
        <v>24135378</v>
      </c>
      <c r="D263" s="981" t="str">
        <f>+NOMINA!D267</f>
        <v>Rivas Hurtado Orleidys Betania</v>
      </c>
      <c r="E263" s="978" t="s">
        <v>4622</v>
      </c>
      <c r="F263" s="982">
        <v>27081</v>
      </c>
      <c r="G263" s="978" t="s">
        <v>4620</v>
      </c>
      <c r="H263" s="983">
        <f>+NOMINA!H267</f>
        <v>43862</v>
      </c>
      <c r="I263" s="984">
        <f>+NOMINA!I267</f>
        <v>4</v>
      </c>
      <c r="J263" s="985">
        <f>+NOMINA!J267</f>
        <v>0</v>
      </c>
      <c r="K263" s="984">
        <f>+NOMINA!K267</f>
        <v>4</v>
      </c>
      <c r="L263" s="986">
        <f>+NOMINA!CA267</f>
        <v>2120</v>
      </c>
      <c r="M263" s="443"/>
      <c r="N263" s="975"/>
      <c r="R263" s="976"/>
      <c r="S263" s="977"/>
      <c r="T263" s="976"/>
      <c r="U263" s="977"/>
      <c r="V263" s="978"/>
      <c r="W263" s="977"/>
      <c r="X263" s="979"/>
      <c r="Y263" s="979"/>
      <c r="Z263" s="979"/>
      <c r="AA263" s="977"/>
      <c r="AB263" s="977"/>
      <c r="AC263" s="977"/>
      <c r="AD263" s="977"/>
      <c r="AE263" s="634"/>
    </row>
    <row r="264" spans="1:31" s="629" customFormat="1" ht="18" customHeight="1">
      <c r="A264" s="664"/>
      <c r="B264" s="510">
        <f t="shared" si="15"/>
        <v>226</v>
      </c>
      <c r="C264" s="980">
        <f>+NOMINA!C268</f>
        <v>24136795</v>
      </c>
      <c r="D264" s="981" t="str">
        <f>+NOMINA!D268</f>
        <v xml:space="preserve">Viloria Maldonado Gerardo Jesus </v>
      </c>
      <c r="E264" s="978" t="s">
        <v>4622</v>
      </c>
      <c r="F264" s="982">
        <v>27081</v>
      </c>
      <c r="G264" s="978" t="s">
        <v>4620</v>
      </c>
      <c r="H264" s="983">
        <f>+NOMINA!H268</f>
        <v>44600</v>
      </c>
      <c r="I264" s="984">
        <f>+NOMINA!I268</f>
        <v>2</v>
      </c>
      <c r="J264" s="985">
        <f>+NOMINA!J268</f>
        <v>0</v>
      </c>
      <c r="K264" s="984">
        <f>+NOMINA!K268</f>
        <v>2</v>
      </c>
      <c r="L264" s="986">
        <f>+NOMINA!CA268</f>
        <v>2120</v>
      </c>
      <c r="M264" s="443"/>
      <c r="N264" s="975"/>
      <c r="R264" s="976"/>
      <c r="S264" s="977"/>
      <c r="T264" s="976"/>
      <c r="U264" s="977"/>
      <c r="V264" s="978"/>
      <c r="W264" s="977"/>
      <c r="X264" s="979"/>
      <c r="Y264" s="979"/>
      <c r="Z264" s="979"/>
      <c r="AA264" s="977"/>
      <c r="AB264" s="977"/>
      <c r="AC264" s="977"/>
      <c r="AD264" s="977"/>
      <c r="AE264" s="634"/>
    </row>
    <row r="265" spans="1:31" s="629" customFormat="1" ht="18" customHeight="1">
      <c r="A265" s="664"/>
      <c r="B265" s="510">
        <f t="shared" si="15"/>
        <v>227</v>
      </c>
      <c r="C265" s="980">
        <f>+NOMINA!C269</f>
        <v>24385729</v>
      </c>
      <c r="D265" s="981" t="str">
        <f>+NOMINA!D269</f>
        <v>Cordova Rivero Liseth Carolina</v>
      </c>
      <c r="E265" s="978" t="s">
        <v>4622</v>
      </c>
      <c r="F265" s="982">
        <v>27081</v>
      </c>
      <c r="G265" s="978" t="s">
        <v>4620</v>
      </c>
      <c r="H265" s="983">
        <f>+NOMINA!H269</f>
        <v>45597</v>
      </c>
      <c r="I265" s="984">
        <f>+NOMINA!I269</f>
        <v>0</v>
      </c>
      <c r="J265" s="985">
        <f>+NOMINA!J269</f>
        <v>1</v>
      </c>
      <c r="K265" s="984">
        <f>+NOMINA!K269</f>
        <v>1</v>
      </c>
      <c r="L265" s="986">
        <f>+NOMINA!CA269</f>
        <v>2120</v>
      </c>
      <c r="M265" s="443"/>
      <c r="N265" s="975"/>
      <c r="R265" s="976"/>
      <c r="S265" s="977"/>
      <c r="T265" s="976"/>
      <c r="U265" s="977"/>
      <c r="V265" s="978"/>
      <c r="W265" s="977"/>
      <c r="X265" s="979"/>
      <c r="Y265" s="979"/>
      <c r="Z265" s="979"/>
      <c r="AA265" s="977"/>
      <c r="AB265" s="977"/>
      <c r="AC265" s="977"/>
      <c r="AD265" s="977"/>
      <c r="AE265" s="634"/>
    </row>
    <row r="266" spans="1:31" s="629" customFormat="1" ht="18" customHeight="1">
      <c r="A266" s="664"/>
      <c r="B266" s="510">
        <f t="shared" si="15"/>
        <v>228</v>
      </c>
      <c r="C266" s="980">
        <f>+NOMINA!C270</f>
        <v>23254845</v>
      </c>
      <c r="D266" s="981" t="str">
        <f>+NOMINA!D270</f>
        <v>Castellanos Paredes Luis Gregorio</v>
      </c>
      <c r="E266" s="978" t="s">
        <v>4622</v>
      </c>
      <c r="F266" s="982">
        <v>27081</v>
      </c>
      <c r="G266" s="978" t="s">
        <v>4620</v>
      </c>
      <c r="H266" s="983">
        <f>+NOMINA!H270</f>
        <v>44332</v>
      </c>
      <c r="I266" s="984">
        <f>+NOMINA!I270</f>
        <v>3</v>
      </c>
      <c r="J266" s="985">
        <f>+NOMINA!J270</f>
        <v>0</v>
      </c>
      <c r="K266" s="984">
        <f>+NOMINA!K270</f>
        <v>3</v>
      </c>
      <c r="L266" s="986">
        <f>+NOMINA!CA270</f>
        <v>2120</v>
      </c>
      <c r="M266" s="443"/>
      <c r="N266" s="975"/>
      <c r="R266" s="976"/>
      <c r="S266" s="977"/>
      <c r="T266" s="976"/>
      <c r="U266" s="977"/>
      <c r="V266" s="978"/>
      <c r="W266" s="977"/>
      <c r="X266" s="979"/>
      <c r="Y266" s="979"/>
      <c r="Z266" s="979"/>
      <c r="AA266" s="977"/>
      <c r="AB266" s="977"/>
      <c r="AC266" s="977"/>
      <c r="AD266" s="977"/>
      <c r="AE266" s="634"/>
    </row>
    <row r="267" spans="1:31" s="629" customFormat="1" ht="18" customHeight="1">
      <c r="A267" s="664"/>
      <c r="B267" s="510">
        <f t="shared" si="15"/>
        <v>229</v>
      </c>
      <c r="C267" s="980">
        <f>+NOMINA!C271</f>
        <v>23594366</v>
      </c>
      <c r="D267" s="981" t="str">
        <f>+NOMINA!D271</f>
        <v>Quintero Montilla Merly Paula</v>
      </c>
      <c r="E267" s="978" t="s">
        <v>4622</v>
      </c>
      <c r="F267" s="982">
        <v>27081</v>
      </c>
      <c r="G267" s="978" t="s">
        <v>4620</v>
      </c>
      <c r="H267" s="983">
        <f>+NOMINA!H271</f>
        <v>45413</v>
      </c>
      <c r="I267" s="984">
        <f>+NOMINA!I271</f>
        <v>0</v>
      </c>
      <c r="J267" s="985">
        <f>+NOMINA!J271</f>
        <v>0</v>
      </c>
      <c r="K267" s="984">
        <f>+NOMINA!K271</f>
        <v>0</v>
      </c>
      <c r="L267" s="986">
        <f>+NOMINA!CA271</f>
        <v>2120</v>
      </c>
      <c r="M267" s="443"/>
      <c r="N267" s="975"/>
      <c r="R267" s="976"/>
      <c r="S267" s="977"/>
      <c r="T267" s="976"/>
      <c r="U267" s="977"/>
      <c r="V267" s="978"/>
      <c r="W267" s="977"/>
      <c r="X267" s="979"/>
      <c r="Y267" s="979"/>
      <c r="Z267" s="979"/>
      <c r="AA267" s="977"/>
      <c r="AB267" s="977"/>
      <c r="AC267" s="977"/>
      <c r="AD267" s="977"/>
      <c r="AE267" s="634"/>
    </row>
    <row r="268" spans="1:31" s="629" customFormat="1" ht="18" customHeight="1">
      <c r="A268" s="664"/>
      <c r="B268" s="510">
        <f t="shared" si="15"/>
        <v>230</v>
      </c>
      <c r="C268" s="980">
        <f>+NOMINA!C272</f>
        <v>23775734</v>
      </c>
      <c r="D268" s="981" t="str">
        <f>+NOMINA!D272</f>
        <v>Gonzalez Torres Klerwin Alfonso</v>
      </c>
      <c r="E268" s="978" t="s">
        <v>4622</v>
      </c>
      <c r="F268" s="982">
        <v>27081</v>
      </c>
      <c r="G268" s="978" t="s">
        <v>4620</v>
      </c>
      <c r="H268" s="983">
        <f>+NOMINA!H272</f>
        <v>45627</v>
      </c>
      <c r="I268" s="984">
        <f>+NOMINA!I272</f>
        <v>0</v>
      </c>
      <c r="J268" s="985">
        <f>+NOMINA!J272</f>
        <v>5</v>
      </c>
      <c r="K268" s="984">
        <f>+NOMINA!K272</f>
        <v>5</v>
      </c>
      <c r="L268" s="986">
        <f>+NOMINA!CA272</f>
        <v>2120</v>
      </c>
      <c r="M268" s="443"/>
      <c r="N268" s="975"/>
      <c r="R268" s="976"/>
      <c r="S268" s="977"/>
      <c r="T268" s="976"/>
      <c r="U268" s="977"/>
      <c r="V268" s="978"/>
      <c r="W268" s="977"/>
      <c r="X268" s="979"/>
      <c r="Y268" s="979"/>
      <c r="Z268" s="979"/>
      <c r="AA268" s="977"/>
      <c r="AB268" s="977"/>
      <c r="AC268" s="977"/>
      <c r="AD268" s="977"/>
      <c r="AE268" s="634"/>
    </row>
    <row r="269" spans="1:31" s="629" customFormat="1" ht="18" customHeight="1">
      <c r="A269" s="664"/>
      <c r="B269" s="510">
        <f t="shared" si="15"/>
        <v>231</v>
      </c>
      <c r="C269" s="980">
        <f>+NOMINA!C273</f>
        <v>24565372</v>
      </c>
      <c r="D269" s="981" t="str">
        <f>+NOMINA!D273</f>
        <v>Moreno Silva Alfredy Jose</v>
      </c>
      <c r="E269" s="978" t="s">
        <v>4622</v>
      </c>
      <c r="F269" s="982">
        <v>27081</v>
      </c>
      <c r="G269" s="978" t="s">
        <v>4620</v>
      </c>
      <c r="H269" s="983">
        <f>+NOMINA!H273</f>
        <v>40360</v>
      </c>
      <c r="I269" s="984">
        <f>+NOMINA!I273</f>
        <v>14</v>
      </c>
      <c r="J269" s="985">
        <f>+NOMINA!J273</f>
        <v>0</v>
      </c>
      <c r="K269" s="984">
        <f>+NOMINA!K273</f>
        <v>14</v>
      </c>
      <c r="L269" s="986">
        <f>+NOMINA!CA273</f>
        <v>0</v>
      </c>
      <c r="M269" s="443"/>
      <c r="N269" s="975"/>
      <c r="R269" s="976"/>
      <c r="S269" s="977"/>
      <c r="T269" s="976"/>
      <c r="U269" s="977"/>
      <c r="V269" s="978"/>
      <c r="W269" s="977"/>
      <c r="X269" s="979"/>
      <c r="Y269" s="979"/>
      <c r="Z269" s="979"/>
      <c r="AA269" s="977"/>
      <c r="AB269" s="977"/>
      <c r="AC269" s="977"/>
      <c r="AD269" s="977"/>
      <c r="AE269" s="634"/>
    </row>
    <row r="270" spans="1:31" s="629" customFormat="1" ht="18" customHeight="1">
      <c r="A270" s="664"/>
      <c r="B270" s="510">
        <f t="shared" si="15"/>
        <v>232</v>
      </c>
      <c r="C270" s="980">
        <f>+NOMINA!C274</f>
        <v>25006139</v>
      </c>
      <c r="D270" s="981" t="str">
        <f>+NOMINA!D274</f>
        <v>Ramirez Palomares Carmen Beatriz</v>
      </c>
      <c r="E270" s="978" t="s">
        <v>4622</v>
      </c>
      <c r="F270" s="982">
        <v>27081</v>
      </c>
      <c r="G270" s="978" t="s">
        <v>4620</v>
      </c>
      <c r="H270" s="983">
        <f>+NOMINA!H274</f>
        <v>43512</v>
      </c>
      <c r="I270" s="984">
        <f>+NOMINA!I274</f>
        <v>5</v>
      </c>
      <c r="J270" s="985">
        <f>+NOMINA!J274</f>
        <v>0</v>
      </c>
      <c r="K270" s="984">
        <f>+NOMINA!K274</f>
        <v>5</v>
      </c>
      <c r="L270" s="986">
        <f>+NOMINA!CA274</f>
        <v>2120</v>
      </c>
      <c r="M270" s="443"/>
      <c r="N270" s="975"/>
      <c r="R270" s="976"/>
      <c r="S270" s="977"/>
      <c r="T270" s="976"/>
      <c r="U270" s="977"/>
      <c r="V270" s="978"/>
      <c r="W270" s="977"/>
      <c r="X270" s="979"/>
      <c r="Y270" s="979"/>
      <c r="Z270" s="979"/>
      <c r="AA270" s="977"/>
      <c r="AB270" s="977"/>
      <c r="AC270" s="977"/>
      <c r="AD270" s="977"/>
      <c r="AE270" s="634"/>
    </row>
    <row r="271" spans="1:31" s="629" customFormat="1" ht="18" customHeight="1">
      <c r="A271" s="664"/>
      <c r="B271" s="510">
        <f t="shared" si="15"/>
        <v>233</v>
      </c>
      <c r="C271" s="980">
        <f>+NOMINA!C275</f>
        <v>25006878</v>
      </c>
      <c r="D271" s="981" t="str">
        <f>+NOMINA!D275</f>
        <v>Fernandez Garcia Rafael Ramon</v>
      </c>
      <c r="E271" s="978" t="s">
        <v>4622</v>
      </c>
      <c r="F271" s="982">
        <v>27081</v>
      </c>
      <c r="G271" s="978" t="s">
        <v>4620</v>
      </c>
      <c r="H271" s="983">
        <f>+NOMINA!H275</f>
        <v>44986</v>
      </c>
      <c r="I271" s="984">
        <f>+NOMINA!I275</f>
        <v>1</v>
      </c>
      <c r="J271" s="985">
        <f>+NOMINA!J275</f>
        <v>7</v>
      </c>
      <c r="K271" s="984">
        <f>+NOMINA!K275</f>
        <v>8</v>
      </c>
      <c r="L271" s="986">
        <f>+NOMINA!CA275</f>
        <v>2120</v>
      </c>
      <c r="M271" s="443"/>
      <c r="N271" s="975"/>
      <c r="R271" s="976"/>
      <c r="S271" s="977"/>
      <c r="T271" s="976"/>
      <c r="U271" s="977"/>
      <c r="V271" s="978"/>
      <c r="W271" s="977"/>
      <c r="X271" s="979"/>
      <c r="Y271" s="979"/>
      <c r="Z271" s="979"/>
      <c r="AA271" s="977"/>
      <c r="AB271" s="977"/>
      <c r="AC271" s="977"/>
      <c r="AD271" s="977"/>
      <c r="AE271" s="634"/>
    </row>
    <row r="272" spans="1:31" s="629" customFormat="1" ht="18" customHeight="1">
      <c r="A272" s="664"/>
      <c r="B272" s="510">
        <f t="shared" si="15"/>
        <v>234</v>
      </c>
      <c r="C272" s="980">
        <f>+NOMINA!C276</f>
        <v>25096069</v>
      </c>
      <c r="D272" s="981" t="str">
        <f>+NOMINA!D276</f>
        <v>Coello Diaz Yormileidys del Carmen</v>
      </c>
      <c r="E272" s="978" t="s">
        <v>4622</v>
      </c>
      <c r="F272" s="982">
        <v>27081</v>
      </c>
      <c r="G272" s="978" t="s">
        <v>4620</v>
      </c>
      <c r="H272" s="983">
        <f>+NOMINA!H276</f>
        <v>44599</v>
      </c>
      <c r="I272" s="984">
        <f>+NOMINA!I276</f>
        <v>2</v>
      </c>
      <c r="J272" s="985">
        <f>+NOMINA!J276</f>
        <v>0</v>
      </c>
      <c r="K272" s="984">
        <f>+NOMINA!K276</f>
        <v>2</v>
      </c>
      <c r="L272" s="986">
        <f>+NOMINA!CA276</f>
        <v>2120</v>
      </c>
      <c r="M272" s="443"/>
      <c r="N272" s="975"/>
      <c r="R272" s="976"/>
      <c r="S272" s="977"/>
      <c r="T272" s="976"/>
      <c r="U272" s="977"/>
      <c r="V272" s="978"/>
      <c r="W272" s="977"/>
      <c r="X272" s="979"/>
      <c r="Y272" s="979"/>
      <c r="Z272" s="979"/>
      <c r="AA272" s="977"/>
      <c r="AB272" s="977"/>
      <c r="AC272" s="977"/>
      <c r="AD272" s="977"/>
      <c r="AE272" s="634"/>
    </row>
    <row r="273" spans="1:31" s="629" customFormat="1" ht="18" customHeight="1">
      <c r="A273" s="664"/>
      <c r="B273" s="510">
        <f t="shared" si="15"/>
        <v>235</v>
      </c>
      <c r="C273" s="980">
        <f>+NOMINA!C277</f>
        <v>25173139</v>
      </c>
      <c r="D273" s="981" t="str">
        <f>+NOMINA!D277</f>
        <v>Viloria Albornoz Arelis Andreina</v>
      </c>
      <c r="E273" s="978" t="s">
        <v>4622</v>
      </c>
      <c r="F273" s="982">
        <v>27081</v>
      </c>
      <c r="G273" s="978" t="s">
        <v>4620</v>
      </c>
      <c r="H273" s="983">
        <f>+NOMINA!H277</f>
        <v>45536</v>
      </c>
      <c r="I273" s="984">
        <f>+NOMINA!I277</f>
        <v>0</v>
      </c>
      <c r="J273" s="985">
        <f>+NOMINA!J277</f>
        <v>0</v>
      </c>
      <c r="K273" s="984">
        <f>+NOMINA!K277</f>
        <v>0</v>
      </c>
      <c r="L273" s="986">
        <f>+NOMINA!CA277</f>
        <v>2120</v>
      </c>
      <c r="M273" s="443"/>
      <c r="N273" s="975"/>
      <c r="R273" s="976"/>
      <c r="S273" s="977"/>
      <c r="T273" s="976"/>
      <c r="U273" s="977"/>
      <c r="V273" s="978"/>
      <c r="W273" s="977"/>
      <c r="X273" s="979"/>
      <c r="Y273" s="979"/>
      <c r="Z273" s="979"/>
      <c r="AA273" s="977"/>
      <c r="AB273" s="977"/>
      <c r="AC273" s="977"/>
      <c r="AD273" s="977"/>
      <c r="AE273" s="634"/>
    </row>
    <row r="274" spans="1:31" s="629" customFormat="1" ht="18" customHeight="1">
      <c r="A274" s="1160"/>
      <c r="B274" s="510">
        <f t="shared" si="15"/>
        <v>236</v>
      </c>
      <c r="C274" s="980">
        <f>+NOMINA!C278</f>
        <v>25173983</v>
      </c>
      <c r="D274" s="981" t="str">
        <f>+NOMINA!D278</f>
        <v>Guanda Barazarte Roxely Andreina</v>
      </c>
      <c r="E274" s="978" t="s">
        <v>4622</v>
      </c>
      <c r="F274" s="982">
        <v>27081</v>
      </c>
      <c r="G274" s="978" t="s">
        <v>4620</v>
      </c>
      <c r="H274" s="983">
        <f>+NOMINA!H278</f>
        <v>44363</v>
      </c>
      <c r="I274" s="984">
        <f>+NOMINA!I278</f>
        <v>3</v>
      </c>
      <c r="J274" s="985">
        <f>+NOMINA!J278</f>
        <v>0</v>
      </c>
      <c r="K274" s="984">
        <f>+NOMINA!K278</f>
        <v>3</v>
      </c>
      <c r="L274" s="986">
        <f>+NOMINA!CA278</f>
        <v>2120</v>
      </c>
      <c r="M274" s="1156"/>
      <c r="N274" s="1157"/>
      <c r="R274" s="1115"/>
      <c r="S274" s="1158"/>
      <c r="T274" s="1115"/>
      <c r="U274" s="1158"/>
      <c r="V274" s="1147"/>
      <c r="W274" s="1158"/>
      <c r="X274" s="1159"/>
      <c r="Y274" s="1159"/>
      <c r="Z274" s="1159"/>
      <c r="AA274" s="1158"/>
      <c r="AB274" s="1158"/>
      <c r="AC274" s="1158"/>
      <c r="AD274" s="1158"/>
      <c r="AE274" s="634"/>
    </row>
    <row r="275" spans="1:31" s="629" customFormat="1" ht="18" customHeight="1">
      <c r="A275" s="1160"/>
      <c r="B275" s="510">
        <f t="shared" si="15"/>
        <v>237</v>
      </c>
      <c r="C275" s="980">
        <f>+NOMINA!C279</f>
        <v>25303390</v>
      </c>
      <c r="D275" s="981" t="str">
        <f>+NOMINA!D279</f>
        <v>Graterol Castillo Yoselyn Zunedy</v>
      </c>
      <c r="E275" s="978" t="s">
        <v>4622</v>
      </c>
      <c r="F275" s="982">
        <v>27081</v>
      </c>
      <c r="G275" s="978" t="s">
        <v>4620</v>
      </c>
      <c r="H275" s="983">
        <f>+NOMINA!H279</f>
        <v>43862</v>
      </c>
      <c r="I275" s="984">
        <f>+NOMINA!I279</f>
        <v>4</v>
      </c>
      <c r="J275" s="985">
        <f>+NOMINA!J279</f>
        <v>0</v>
      </c>
      <c r="K275" s="984">
        <f>+NOMINA!K279</f>
        <v>4</v>
      </c>
      <c r="L275" s="986">
        <f>+NOMINA!CA279</f>
        <v>2120</v>
      </c>
      <c r="M275" s="1156"/>
      <c r="N275" s="1157"/>
      <c r="R275" s="1115"/>
      <c r="S275" s="1158"/>
      <c r="T275" s="1115"/>
      <c r="U275" s="1158"/>
      <c r="V275" s="1147"/>
      <c r="W275" s="1158"/>
      <c r="X275" s="1159"/>
      <c r="Y275" s="1159"/>
      <c r="Z275" s="1159"/>
      <c r="AA275" s="1158"/>
      <c r="AB275" s="1158"/>
      <c r="AC275" s="1158"/>
      <c r="AD275" s="1158"/>
      <c r="AE275" s="634"/>
    </row>
    <row r="276" spans="1:31" s="629" customFormat="1" ht="18" customHeight="1">
      <c r="A276" s="1160"/>
      <c r="B276" s="510">
        <f t="shared" si="15"/>
        <v>238</v>
      </c>
      <c r="C276" s="980">
        <f>+NOMINA!C280</f>
        <v>25454143</v>
      </c>
      <c r="D276" s="981" t="str">
        <f>+NOMINA!D280</f>
        <v>Briceño Ana Beatriz</v>
      </c>
      <c r="E276" s="978" t="s">
        <v>4622</v>
      </c>
      <c r="F276" s="982">
        <v>27081</v>
      </c>
      <c r="G276" s="978" t="s">
        <v>4620</v>
      </c>
      <c r="H276" s="983">
        <f>+NOMINA!H280</f>
        <v>45536</v>
      </c>
      <c r="I276" s="984">
        <f>+NOMINA!I280</f>
        <v>0</v>
      </c>
      <c r="J276" s="985">
        <f>+NOMINA!J280</f>
        <v>0</v>
      </c>
      <c r="K276" s="984">
        <f>+NOMINA!K280</f>
        <v>0</v>
      </c>
      <c r="L276" s="986">
        <f>+NOMINA!CA280</f>
        <v>2120</v>
      </c>
      <c r="M276" s="1156"/>
      <c r="N276" s="1157"/>
      <c r="R276" s="1115"/>
      <c r="S276" s="1158"/>
      <c r="T276" s="1115"/>
      <c r="U276" s="1158"/>
      <c r="V276" s="1147"/>
      <c r="W276" s="1158"/>
      <c r="X276" s="1159"/>
      <c r="Y276" s="1159"/>
      <c r="Z276" s="1159"/>
      <c r="AA276" s="1158"/>
      <c r="AB276" s="1158"/>
      <c r="AC276" s="1158"/>
      <c r="AD276" s="1158"/>
      <c r="AE276" s="634"/>
    </row>
    <row r="277" spans="1:31" s="629" customFormat="1" ht="18" customHeight="1">
      <c r="A277" s="1160"/>
      <c r="B277" s="510">
        <f t="shared" si="15"/>
        <v>239</v>
      </c>
      <c r="C277" s="980">
        <f>+NOMINA!C281</f>
        <v>25604733</v>
      </c>
      <c r="D277" s="981" t="str">
        <f>+NOMINA!D281</f>
        <v>Nava Carrillo Oriana Daniela</v>
      </c>
      <c r="E277" s="978" t="s">
        <v>4622</v>
      </c>
      <c r="F277" s="982">
        <v>27081</v>
      </c>
      <c r="G277" s="978" t="s">
        <v>4620</v>
      </c>
      <c r="H277" s="983">
        <f>+NOMINA!H281</f>
        <v>43754</v>
      </c>
      <c r="I277" s="984">
        <f>+NOMINA!I281</f>
        <v>5</v>
      </c>
      <c r="J277" s="985">
        <f>+NOMINA!J281</f>
        <v>0</v>
      </c>
      <c r="K277" s="984">
        <f>+NOMINA!K281</f>
        <v>5</v>
      </c>
      <c r="L277" s="986">
        <f>+NOMINA!CA281</f>
        <v>2120</v>
      </c>
      <c r="M277" s="1156"/>
      <c r="N277" s="1157"/>
      <c r="R277" s="1115"/>
      <c r="S277" s="1158"/>
      <c r="T277" s="1115"/>
      <c r="U277" s="1158"/>
      <c r="V277" s="1147"/>
      <c r="W277" s="1158"/>
      <c r="X277" s="1159"/>
      <c r="Y277" s="1159"/>
      <c r="Z277" s="1159"/>
      <c r="AA277" s="1158"/>
      <c r="AB277" s="1158"/>
      <c r="AC277" s="1158"/>
      <c r="AD277" s="1158"/>
      <c r="AE277" s="634"/>
    </row>
    <row r="278" spans="1:31" s="629" customFormat="1" ht="18" customHeight="1">
      <c r="A278" s="1160"/>
      <c r="B278" s="510">
        <f t="shared" si="15"/>
        <v>240</v>
      </c>
      <c r="C278" s="980">
        <f>+NOMINA!C282</f>
        <v>25619540</v>
      </c>
      <c r="D278" s="981" t="str">
        <f>+NOMINA!D282</f>
        <v xml:space="preserve">Balza Vetencourt Maria Gabriela </v>
      </c>
      <c r="E278" s="978" t="s">
        <v>4622</v>
      </c>
      <c r="F278" s="982">
        <v>27081</v>
      </c>
      <c r="G278" s="978" t="s">
        <v>4620</v>
      </c>
      <c r="H278" s="983">
        <f>+NOMINA!H282</f>
        <v>44743</v>
      </c>
      <c r="I278" s="984">
        <f>+NOMINA!I282</f>
        <v>2</v>
      </c>
      <c r="J278" s="985">
        <f>+NOMINA!J282</f>
        <v>0</v>
      </c>
      <c r="K278" s="984">
        <f>+NOMINA!K282</f>
        <v>2</v>
      </c>
      <c r="L278" s="986">
        <f>+NOMINA!CA282</f>
        <v>2120</v>
      </c>
      <c r="M278" s="1156"/>
      <c r="N278" s="1157"/>
      <c r="R278" s="1115"/>
      <c r="S278" s="1158"/>
      <c r="T278" s="1115"/>
      <c r="U278" s="1158"/>
      <c r="V278" s="1147"/>
      <c r="W278" s="1158"/>
      <c r="X278" s="1159"/>
      <c r="Y278" s="1159"/>
      <c r="Z278" s="1159"/>
      <c r="AA278" s="1158"/>
      <c r="AB278" s="1158"/>
      <c r="AC278" s="1158"/>
      <c r="AD278" s="1158"/>
      <c r="AE278" s="634"/>
    </row>
    <row r="279" spans="1:31" s="629" customFormat="1" ht="18" customHeight="1">
      <c r="A279" s="1160"/>
      <c r="B279" s="510">
        <f t="shared" si="15"/>
        <v>241</v>
      </c>
      <c r="C279" s="980">
        <f>+NOMINA!C283</f>
        <v>26094609</v>
      </c>
      <c r="D279" s="981" t="str">
        <f>+NOMINA!D283</f>
        <v>Andara Moreno Marielena Nathaly</v>
      </c>
      <c r="E279" s="978" t="s">
        <v>4622</v>
      </c>
      <c r="F279" s="982">
        <v>27081</v>
      </c>
      <c r="G279" s="978" t="s">
        <v>4620</v>
      </c>
      <c r="H279" s="983">
        <f>+NOMINA!H283</f>
        <v>44713</v>
      </c>
      <c r="I279" s="984">
        <f>+NOMINA!I283</f>
        <v>2</v>
      </c>
      <c r="J279" s="985">
        <f>+NOMINA!J283</f>
        <v>0</v>
      </c>
      <c r="K279" s="984">
        <f>+NOMINA!K283</f>
        <v>2</v>
      </c>
      <c r="L279" s="986">
        <f>+NOMINA!CA283</f>
        <v>2120</v>
      </c>
      <c r="M279" s="1156"/>
      <c r="N279" s="1157"/>
      <c r="R279" s="1115"/>
      <c r="S279" s="1158"/>
      <c r="T279" s="1115"/>
      <c r="U279" s="1158"/>
      <c r="V279" s="1147"/>
      <c r="W279" s="1158"/>
      <c r="X279" s="1159"/>
      <c r="Y279" s="1159"/>
      <c r="Z279" s="1159"/>
      <c r="AA279" s="1158"/>
      <c r="AB279" s="1158"/>
      <c r="AC279" s="1158"/>
      <c r="AD279" s="1158"/>
      <c r="AE279" s="634"/>
    </row>
    <row r="280" spans="1:31" s="629" customFormat="1" ht="18" customHeight="1">
      <c r="A280" s="1160"/>
      <c r="B280" s="510">
        <f t="shared" si="15"/>
        <v>242</v>
      </c>
      <c r="C280" s="980">
        <f>+NOMINA!C284</f>
        <v>26094690</v>
      </c>
      <c r="D280" s="981" t="str">
        <f>+NOMINA!D284</f>
        <v>Fernandez Romero Numa Manuel</v>
      </c>
      <c r="E280" s="978" t="s">
        <v>4622</v>
      </c>
      <c r="F280" s="982">
        <v>27081</v>
      </c>
      <c r="G280" s="978" t="s">
        <v>4620</v>
      </c>
      <c r="H280" s="983">
        <f>+NOMINA!H284</f>
        <v>45017</v>
      </c>
      <c r="I280" s="984">
        <f>+NOMINA!I284</f>
        <v>1</v>
      </c>
      <c r="J280" s="985">
        <f>+NOMINA!J284</f>
        <v>0</v>
      </c>
      <c r="K280" s="984">
        <f>+NOMINA!K284</f>
        <v>1</v>
      </c>
      <c r="L280" s="986">
        <f>+NOMINA!CA284</f>
        <v>2120</v>
      </c>
      <c r="M280" s="1156"/>
      <c r="N280" s="1157"/>
      <c r="R280" s="1115"/>
      <c r="S280" s="1158"/>
      <c r="T280" s="1115"/>
      <c r="U280" s="1158"/>
      <c r="V280" s="1147"/>
      <c r="W280" s="1158"/>
      <c r="X280" s="1159"/>
      <c r="Y280" s="1159"/>
      <c r="Z280" s="1159"/>
      <c r="AA280" s="1158"/>
      <c r="AB280" s="1158"/>
      <c r="AC280" s="1158"/>
      <c r="AD280" s="1158"/>
      <c r="AE280" s="634"/>
    </row>
    <row r="281" spans="1:31" s="629" customFormat="1" ht="18" customHeight="1">
      <c r="A281" s="1160"/>
      <c r="B281" s="510">
        <f t="shared" si="15"/>
        <v>243</v>
      </c>
      <c r="C281" s="980">
        <f>+NOMINA!C285</f>
        <v>26114271</v>
      </c>
      <c r="D281" s="981" t="str">
        <f>+NOMINA!D285</f>
        <v>Moncayo Perez Ruddy Bellaliz</v>
      </c>
      <c r="E281" s="978" t="s">
        <v>4622</v>
      </c>
      <c r="F281" s="982">
        <v>27081</v>
      </c>
      <c r="G281" s="978" t="s">
        <v>4620</v>
      </c>
      <c r="H281" s="983">
        <f>+NOMINA!H285</f>
        <v>44636</v>
      </c>
      <c r="I281" s="984">
        <f>+NOMINA!I285</f>
        <v>2</v>
      </c>
      <c r="J281" s="985">
        <f>+NOMINA!J285</f>
        <v>0</v>
      </c>
      <c r="K281" s="984">
        <f>+NOMINA!K285</f>
        <v>2</v>
      </c>
      <c r="L281" s="986">
        <f>+NOMINA!CA285</f>
        <v>2120</v>
      </c>
      <c r="M281" s="1156"/>
      <c r="N281" s="1157"/>
      <c r="R281" s="1115"/>
      <c r="S281" s="1158"/>
      <c r="T281" s="1115"/>
      <c r="U281" s="1158"/>
      <c r="V281" s="1147"/>
      <c r="W281" s="1158"/>
      <c r="X281" s="1159"/>
      <c r="Y281" s="1159"/>
      <c r="Z281" s="1159"/>
      <c r="AA281" s="1158"/>
      <c r="AB281" s="1158"/>
      <c r="AC281" s="1158"/>
      <c r="AD281" s="1158"/>
      <c r="AE281" s="634"/>
    </row>
    <row r="282" spans="1:31" s="629" customFormat="1" ht="18" customHeight="1">
      <c r="A282" s="1160"/>
      <c r="B282" s="510">
        <f t="shared" si="15"/>
        <v>244</v>
      </c>
      <c r="C282" s="980">
        <f>+NOMINA!C286</f>
        <v>26191823</v>
      </c>
      <c r="D282" s="981" t="str">
        <f>+NOMINA!D286</f>
        <v>Briceño Espinoza Brayhan Jose</v>
      </c>
      <c r="E282" s="978" t="s">
        <v>4622</v>
      </c>
      <c r="F282" s="982">
        <v>27081</v>
      </c>
      <c r="G282" s="978" t="s">
        <v>4620</v>
      </c>
      <c r="H282" s="983">
        <f>+NOMINA!H286</f>
        <v>44470</v>
      </c>
      <c r="I282" s="984">
        <f>+NOMINA!I286</f>
        <v>3</v>
      </c>
      <c r="J282" s="985">
        <f>+NOMINA!J286</f>
        <v>0</v>
      </c>
      <c r="K282" s="984">
        <f>+NOMINA!K286</f>
        <v>3</v>
      </c>
      <c r="L282" s="986">
        <f>+NOMINA!CA286</f>
        <v>2120</v>
      </c>
      <c r="M282" s="1156"/>
      <c r="N282" s="1157"/>
      <c r="R282" s="1115"/>
      <c r="S282" s="1158"/>
      <c r="T282" s="1115"/>
      <c r="U282" s="1158"/>
      <c r="V282" s="1147"/>
      <c r="W282" s="1158"/>
      <c r="X282" s="1159"/>
      <c r="Y282" s="1159"/>
      <c r="Z282" s="1159"/>
      <c r="AA282" s="1158"/>
      <c r="AB282" s="1158"/>
      <c r="AC282" s="1158"/>
      <c r="AD282" s="1158"/>
      <c r="AE282" s="634"/>
    </row>
    <row r="283" spans="1:31" s="629" customFormat="1" ht="18" customHeight="1">
      <c r="A283" s="1160"/>
      <c r="B283" s="510">
        <f t="shared" si="15"/>
        <v>245</v>
      </c>
      <c r="C283" s="980">
        <f>+NOMINA!C287</f>
        <v>26235963</v>
      </c>
      <c r="D283" s="981" t="str">
        <f>+NOMINA!D287</f>
        <v>Segovia Segovia Freylu Margarita</v>
      </c>
      <c r="E283" s="978" t="s">
        <v>4622</v>
      </c>
      <c r="F283" s="982">
        <v>27081</v>
      </c>
      <c r="G283" s="978" t="s">
        <v>4620</v>
      </c>
      <c r="H283" s="983">
        <f>+NOMINA!H287</f>
        <v>45383</v>
      </c>
      <c r="I283" s="984">
        <f>+NOMINA!I287</f>
        <v>0</v>
      </c>
      <c r="J283" s="985">
        <f>+NOMINA!J287</f>
        <v>0</v>
      </c>
      <c r="K283" s="984">
        <f>+NOMINA!K287</f>
        <v>0</v>
      </c>
      <c r="L283" s="986">
        <f>+NOMINA!CA287</f>
        <v>2120</v>
      </c>
      <c r="M283" s="1156"/>
      <c r="N283" s="1157"/>
      <c r="R283" s="1115"/>
      <c r="S283" s="1158"/>
      <c r="T283" s="1115"/>
      <c r="U283" s="1158"/>
      <c r="V283" s="1147"/>
      <c r="W283" s="1158"/>
      <c r="X283" s="1159"/>
      <c r="Y283" s="1159"/>
      <c r="Z283" s="1159"/>
      <c r="AA283" s="1158"/>
      <c r="AB283" s="1158"/>
      <c r="AC283" s="1158"/>
      <c r="AD283" s="1158"/>
      <c r="AE283" s="634"/>
    </row>
    <row r="284" spans="1:31" s="629" customFormat="1" ht="18" customHeight="1">
      <c r="A284" s="1160"/>
      <c r="B284" s="510">
        <f t="shared" si="15"/>
        <v>246</v>
      </c>
      <c r="C284" s="980">
        <f>+NOMINA!C288</f>
        <v>26413871</v>
      </c>
      <c r="D284" s="981" t="str">
        <f>+NOMINA!D288</f>
        <v>Molina Rojas Genesis Angely</v>
      </c>
      <c r="E284" s="978" t="s">
        <v>4622</v>
      </c>
      <c r="F284" s="982">
        <v>27081</v>
      </c>
      <c r="G284" s="978" t="s">
        <v>4620</v>
      </c>
      <c r="H284" s="983">
        <f>+NOMINA!H288</f>
        <v>44228</v>
      </c>
      <c r="I284" s="984">
        <f>+NOMINA!I288</f>
        <v>3</v>
      </c>
      <c r="J284" s="985">
        <f>+NOMINA!J288</f>
        <v>0</v>
      </c>
      <c r="K284" s="984">
        <f>+NOMINA!K288</f>
        <v>3</v>
      </c>
      <c r="L284" s="986">
        <f>+NOMINA!CA288</f>
        <v>2120</v>
      </c>
      <c r="M284" s="1156"/>
      <c r="N284" s="1157"/>
      <c r="R284" s="1115"/>
      <c r="S284" s="1158"/>
      <c r="T284" s="1115"/>
      <c r="U284" s="1158"/>
      <c r="V284" s="1147"/>
      <c r="W284" s="1158"/>
      <c r="X284" s="1159"/>
      <c r="Y284" s="1159"/>
      <c r="Z284" s="1159"/>
      <c r="AA284" s="1158"/>
      <c r="AB284" s="1158"/>
      <c r="AC284" s="1158"/>
      <c r="AD284" s="1158"/>
      <c r="AE284" s="634"/>
    </row>
    <row r="285" spans="1:31" s="629" customFormat="1" ht="18" customHeight="1">
      <c r="A285" s="1160"/>
      <c r="B285" s="510">
        <f t="shared" si="15"/>
        <v>247</v>
      </c>
      <c r="C285" s="980">
        <f>+NOMINA!C289</f>
        <v>26591879</v>
      </c>
      <c r="D285" s="981" t="str">
        <f>+NOMINA!D289</f>
        <v>Delgado Cabezas Rosa Magdalena</v>
      </c>
      <c r="E285" s="978" t="s">
        <v>4622</v>
      </c>
      <c r="F285" s="982">
        <v>27081</v>
      </c>
      <c r="G285" s="978" t="s">
        <v>4620</v>
      </c>
      <c r="H285" s="983">
        <f>+NOMINA!H289</f>
        <v>43587</v>
      </c>
      <c r="I285" s="984">
        <f>+NOMINA!I289</f>
        <v>5</v>
      </c>
      <c r="J285" s="985">
        <f>+NOMINA!J289</f>
        <v>0</v>
      </c>
      <c r="K285" s="984">
        <f>+NOMINA!K289</f>
        <v>5</v>
      </c>
      <c r="L285" s="986">
        <f>+NOMINA!CA289</f>
        <v>2120</v>
      </c>
      <c r="M285" s="1156"/>
      <c r="N285" s="1157"/>
      <c r="R285" s="1115"/>
      <c r="S285" s="1158"/>
      <c r="T285" s="1115"/>
      <c r="U285" s="1158"/>
      <c r="V285" s="1147"/>
      <c r="W285" s="1158"/>
      <c r="X285" s="1159"/>
      <c r="Y285" s="1159"/>
      <c r="Z285" s="1159"/>
      <c r="AA285" s="1158"/>
      <c r="AB285" s="1158"/>
      <c r="AC285" s="1158"/>
      <c r="AD285" s="1158"/>
      <c r="AE285" s="634"/>
    </row>
    <row r="286" spans="1:31" s="629" customFormat="1" ht="18" customHeight="1">
      <c r="A286" s="1160"/>
      <c r="B286" s="510">
        <f t="shared" si="15"/>
        <v>248</v>
      </c>
      <c r="C286" s="980">
        <f>+NOMINA!C290</f>
        <v>26690908</v>
      </c>
      <c r="D286" s="981" t="str">
        <f>+NOMINA!D290</f>
        <v>Segovia Lisbeira del Carmen</v>
      </c>
      <c r="E286" s="978" t="s">
        <v>4622</v>
      </c>
      <c r="F286" s="982">
        <v>27081</v>
      </c>
      <c r="G286" s="978" t="s">
        <v>4620</v>
      </c>
      <c r="H286" s="983">
        <f>+NOMINA!H290</f>
        <v>44228</v>
      </c>
      <c r="I286" s="984">
        <f>+NOMINA!I290</f>
        <v>3</v>
      </c>
      <c r="J286" s="985">
        <f>+NOMINA!J290</f>
        <v>0</v>
      </c>
      <c r="K286" s="984">
        <f>+NOMINA!K290</f>
        <v>3</v>
      </c>
      <c r="L286" s="986">
        <f>+NOMINA!CA290</f>
        <v>2120</v>
      </c>
      <c r="M286" s="1156"/>
      <c r="N286" s="1157"/>
      <c r="R286" s="1115"/>
      <c r="S286" s="1158"/>
      <c r="T286" s="1115"/>
      <c r="U286" s="1158"/>
      <c r="V286" s="1147"/>
      <c r="W286" s="1158"/>
      <c r="X286" s="1159"/>
      <c r="Y286" s="1159"/>
      <c r="Z286" s="1159"/>
      <c r="AA286" s="1158"/>
      <c r="AB286" s="1158"/>
      <c r="AC286" s="1158"/>
      <c r="AD286" s="1158"/>
      <c r="AE286" s="634"/>
    </row>
    <row r="287" spans="1:31" s="629" customFormat="1" ht="18" customHeight="1">
      <c r="A287" s="1160"/>
      <c r="B287" s="510">
        <f t="shared" si="15"/>
        <v>249</v>
      </c>
      <c r="C287" s="980">
        <f>+NOMINA!C291</f>
        <v>26962104</v>
      </c>
      <c r="D287" s="981" t="str">
        <f>+NOMINA!D291</f>
        <v>Rubio Briceño Diana Carolina</v>
      </c>
      <c r="E287" s="978" t="s">
        <v>4622</v>
      </c>
      <c r="F287" s="982">
        <v>27081</v>
      </c>
      <c r="G287" s="978" t="s">
        <v>4620</v>
      </c>
      <c r="H287" s="983">
        <f>+NOMINA!H291</f>
        <v>44393</v>
      </c>
      <c r="I287" s="984">
        <f>+NOMINA!I291</f>
        <v>3</v>
      </c>
      <c r="J287" s="985">
        <f>+NOMINA!J291</f>
        <v>0</v>
      </c>
      <c r="K287" s="984">
        <f>+NOMINA!K291</f>
        <v>3</v>
      </c>
      <c r="L287" s="986">
        <f>+NOMINA!CA291</f>
        <v>2120</v>
      </c>
      <c r="M287" s="1156"/>
      <c r="N287" s="1157"/>
      <c r="R287" s="1115"/>
      <c r="S287" s="1158"/>
      <c r="T287" s="1115"/>
      <c r="U287" s="1158"/>
      <c r="V287" s="1147"/>
      <c r="W287" s="1158"/>
      <c r="X287" s="1159"/>
      <c r="Y287" s="1159"/>
      <c r="Z287" s="1159"/>
      <c r="AA287" s="1158"/>
      <c r="AB287" s="1158"/>
      <c r="AC287" s="1158"/>
      <c r="AD287" s="1158"/>
      <c r="AE287" s="634"/>
    </row>
    <row r="288" spans="1:31" s="629" customFormat="1" ht="18" customHeight="1">
      <c r="A288" s="1160"/>
      <c r="B288" s="510">
        <f t="shared" si="15"/>
        <v>250</v>
      </c>
      <c r="C288" s="980">
        <f>+NOMINA!C292</f>
        <v>27251392</v>
      </c>
      <c r="D288" s="981" t="str">
        <f>+NOMINA!D292</f>
        <v>Rangel Maria Antonia</v>
      </c>
      <c r="E288" s="978" t="s">
        <v>4622</v>
      </c>
      <c r="F288" s="982">
        <v>27081</v>
      </c>
      <c r="G288" s="978" t="s">
        <v>4620</v>
      </c>
      <c r="H288" s="983">
        <f>+NOMINA!H292</f>
        <v>45627</v>
      </c>
      <c r="I288" s="984">
        <f>+NOMINA!I292</f>
        <v>0</v>
      </c>
      <c r="J288" s="985">
        <f>+NOMINA!J292</f>
        <v>0</v>
      </c>
      <c r="K288" s="984">
        <f>+NOMINA!K292</f>
        <v>0</v>
      </c>
      <c r="L288" s="986">
        <f>+NOMINA!CA292</f>
        <v>2120</v>
      </c>
      <c r="M288" s="1156"/>
      <c r="N288" s="1157"/>
      <c r="R288" s="1115"/>
      <c r="S288" s="1158"/>
      <c r="T288" s="1115"/>
      <c r="U288" s="1158"/>
      <c r="V288" s="1147"/>
      <c r="W288" s="1158"/>
      <c r="X288" s="1159"/>
      <c r="Y288" s="1159"/>
      <c r="Z288" s="1159"/>
      <c r="AA288" s="1158"/>
      <c r="AB288" s="1158"/>
      <c r="AC288" s="1158"/>
      <c r="AD288" s="1158"/>
      <c r="AE288" s="634"/>
    </row>
    <row r="289" spans="1:31" s="629" customFormat="1" ht="18" customHeight="1">
      <c r="A289" s="1160"/>
      <c r="B289" s="510">
        <f t="shared" si="15"/>
        <v>251</v>
      </c>
      <c r="C289" s="980">
        <f>+NOMINA!C293</f>
        <v>27251885</v>
      </c>
      <c r="D289" s="981" t="str">
        <f>+NOMINA!D293</f>
        <v>Barrozo Godoy Kellem Daniela</v>
      </c>
      <c r="E289" s="978" t="s">
        <v>4622</v>
      </c>
      <c r="F289" s="982">
        <v>27081</v>
      </c>
      <c r="G289" s="978" t="s">
        <v>4620</v>
      </c>
      <c r="H289" s="983">
        <f>+NOMINA!H293</f>
        <v>45474</v>
      </c>
      <c r="I289" s="984">
        <f>+NOMINA!I293</f>
        <v>0</v>
      </c>
      <c r="J289" s="985">
        <f>+NOMINA!J293</f>
        <v>0</v>
      </c>
      <c r="K289" s="984">
        <f>+NOMINA!K293</f>
        <v>0</v>
      </c>
      <c r="L289" s="986">
        <f>+NOMINA!CA293</f>
        <v>2120</v>
      </c>
      <c r="M289" s="1156"/>
      <c r="N289" s="1157"/>
      <c r="R289" s="1115"/>
      <c r="S289" s="1158"/>
      <c r="T289" s="1115"/>
      <c r="U289" s="1158"/>
      <c r="V289" s="1147"/>
      <c r="W289" s="1158"/>
      <c r="X289" s="1159"/>
      <c r="Y289" s="1159"/>
      <c r="Z289" s="1159"/>
      <c r="AA289" s="1158"/>
      <c r="AB289" s="1158"/>
      <c r="AC289" s="1158"/>
      <c r="AD289" s="1158"/>
      <c r="AE289" s="634"/>
    </row>
    <row r="290" spans="1:31" s="629" customFormat="1" ht="18" customHeight="1">
      <c r="A290" s="1160"/>
      <c r="B290" s="510">
        <f t="shared" si="15"/>
        <v>252</v>
      </c>
      <c r="C290" s="980">
        <f>+NOMINA!C294</f>
        <v>27251899</v>
      </c>
      <c r="D290" s="981" t="str">
        <f>+NOMINA!D294</f>
        <v>Perez Gonzalez Maria Ines</v>
      </c>
      <c r="E290" s="978" t="s">
        <v>4622</v>
      </c>
      <c r="F290" s="982">
        <v>27081</v>
      </c>
      <c r="G290" s="978" t="s">
        <v>4620</v>
      </c>
      <c r="H290" s="983">
        <f>+NOMINA!H294</f>
        <v>45474</v>
      </c>
      <c r="I290" s="984">
        <f>+NOMINA!I294</f>
        <v>0</v>
      </c>
      <c r="J290" s="985">
        <f>+NOMINA!J294</f>
        <v>0</v>
      </c>
      <c r="K290" s="984">
        <f>+NOMINA!K294</f>
        <v>0</v>
      </c>
      <c r="L290" s="986">
        <f>+NOMINA!CA294</f>
        <v>2120</v>
      </c>
      <c r="M290" s="1156"/>
      <c r="N290" s="1157"/>
      <c r="R290" s="1115"/>
      <c r="S290" s="1158"/>
      <c r="T290" s="1115"/>
      <c r="U290" s="1158"/>
      <c r="V290" s="1147"/>
      <c r="W290" s="1158"/>
      <c r="X290" s="1159"/>
      <c r="Y290" s="1159"/>
      <c r="Z290" s="1159"/>
      <c r="AA290" s="1158"/>
      <c r="AB290" s="1158"/>
      <c r="AC290" s="1158"/>
      <c r="AD290" s="1158"/>
      <c r="AE290" s="634"/>
    </row>
    <row r="291" spans="1:31" s="629" customFormat="1" ht="18" customHeight="1">
      <c r="A291" s="1160"/>
      <c r="B291" s="510">
        <f t="shared" si="15"/>
        <v>253</v>
      </c>
      <c r="C291" s="980">
        <f>+NOMINA!C295</f>
        <v>27363633</v>
      </c>
      <c r="D291" s="981" t="str">
        <f>+NOMINA!D295</f>
        <v>Padilla Blanco Melany Marian</v>
      </c>
      <c r="E291" s="978" t="s">
        <v>4622</v>
      </c>
      <c r="F291" s="982">
        <v>27081</v>
      </c>
      <c r="G291" s="978" t="s">
        <v>4620</v>
      </c>
      <c r="H291" s="983">
        <f>+NOMINA!H295</f>
        <v>45627</v>
      </c>
      <c r="I291" s="984">
        <f>+NOMINA!I295</f>
        <v>0</v>
      </c>
      <c r="J291" s="985">
        <f>+NOMINA!J295</f>
        <v>0</v>
      </c>
      <c r="K291" s="984">
        <f>+NOMINA!K295</f>
        <v>0</v>
      </c>
      <c r="L291" s="986">
        <f>+NOMINA!CA295</f>
        <v>2120</v>
      </c>
      <c r="M291" s="1156"/>
      <c r="N291" s="1157"/>
      <c r="R291" s="1115"/>
      <c r="S291" s="1158"/>
      <c r="T291" s="1115"/>
      <c r="U291" s="1158"/>
      <c r="V291" s="1147"/>
      <c r="W291" s="1158"/>
      <c r="X291" s="1159"/>
      <c r="Y291" s="1159"/>
      <c r="Z291" s="1159"/>
      <c r="AA291" s="1158"/>
      <c r="AB291" s="1158"/>
      <c r="AC291" s="1158"/>
      <c r="AD291" s="1158"/>
      <c r="AE291" s="634"/>
    </row>
    <row r="292" spans="1:31" s="629" customFormat="1" ht="18" customHeight="1">
      <c r="A292" s="1160"/>
      <c r="B292" s="510">
        <f t="shared" si="15"/>
        <v>254</v>
      </c>
      <c r="C292" s="980">
        <f>+NOMINA!C296</f>
        <v>27415737</v>
      </c>
      <c r="D292" s="981" t="str">
        <f>+NOMINA!D296</f>
        <v>Rivas Torres Rosa Alba</v>
      </c>
      <c r="E292" s="978" t="s">
        <v>4622</v>
      </c>
      <c r="F292" s="982">
        <v>27081</v>
      </c>
      <c r="G292" s="978" t="s">
        <v>4620</v>
      </c>
      <c r="H292" s="983">
        <f>+NOMINA!H296</f>
        <v>44363</v>
      </c>
      <c r="I292" s="984">
        <f>+NOMINA!I296</f>
        <v>3</v>
      </c>
      <c r="J292" s="985">
        <f>+NOMINA!J296</f>
        <v>0</v>
      </c>
      <c r="K292" s="984">
        <f>+NOMINA!K296</f>
        <v>3</v>
      </c>
      <c r="L292" s="986">
        <f>+NOMINA!CA296</f>
        <v>2120</v>
      </c>
      <c r="M292" s="1156"/>
      <c r="N292" s="1157"/>
      <c r="R292" s="1115"/>
      <c r="S292" s="1158"/>
      <c r="T292" s="1115"/>
      <c r="U292" s="1158"/>
      <c r="V292" s="1147"/>
      <c r="W292" s="1158"/>
      <c r="X292" s="1159"/>
      <c r="Y292" s="1159"/>
      <c r="Z292" s="1159"/>
      <c r="AA292" s="1158"/>
      <c r="AB292" s="1158"/>
      <c r="AC292" s="1158"/>
      <c r="AD292" s="1158"/>
      <c r="AE292" s="634"/>
    </row>
    <row r="293" spans="1:31" s="629" customFormat="1" ht="18" customHeight="1">
      <c r="A293" s="1160"/>
      <c r="B293" s="510">
        <f t="shared" si="15"/>
        <v>255</v>
      </c>
      <c r="C293" s="980">
        <f>+NOMINA!C297</f>
        <v>27415888</v>
      </c>
      <c r="D293" s="981" t="str">
        <f>+NOMINA!D297</f>
        <v>Perdomo Juarez Jose De Jesus</v>
      </c>
      <c r="E293" s="978" t="s">
        <v>4622</v>
      </c>
      <c r="F293" s="982">
        <v>27081</v>
      </c>
      <c r="G293" s="978" t="s">
        <v>4620</v>
      </c>
      <c r="H293" s="983">
        <f>+NOMINA!H297</f>
        <v>44713</v>
      </c>
      <c r="I293" s="984">
        <f>+NOMINA!I297</f>
        <v>2</v>
      </c>
      <c r="J293" s="985">
        <f>+NOMINA!J297</f>
        <v>3</v>
      </c>
      <c r="K293" s="984">
        <f>+NOMINA!K297</f>
        <v>5</v>
      </c>
      <c r="L293" s="986">
        <f>+NOMINA!CA297</f>
        <v>2120</v>
      </c>
      <c r="M293" s="1156"/>
      <c r="N293" s="1157"/>
      <c r="R293" s="1115"/>
      <c r="S293" s="1158"/>
      <c r="T293" s="1115"/>
      <c r="U293" s="1158"/>
      <c r="V293" s="1147"/>
      <c r="W293" s="1158"/>
      <c r="X293" s="1159"/>
      <c r="Y293" s="1159"/>
      <c r="Z293" s="1159"/>
      <c r="AA293" s="1158"/>
      <c r="AB293" s="1158"/>
      <c r="AC293" s="1158"/>
      <c r="AD293" s="1158"/>
      <c r="AE293" s="634"/>
    </row>
    <row r="294" spans="1:31" s="629" customFormat="1" ht="18" customHeight="1">
      <c r="A294" s="1160"/>
      <c r="B294" s="510">
        <f t="shared" si="15"/>
        <v>256</v>
      </c>
      <c r="C294" s="980">
        <f>+NOMINA!C298</f>
        <v>27628603</v>
      </c>
      <c r="D294" s="981" t="str">
        <f>+NOMINA!D298</f>
        <v>Mendoza Mendoza Kelasky Kixuy</v>
      </c>
      <c r="E294" s="978" t="s">
        <v>4622</v>
      </c>
      <c r="F294" s="982">
        <v>27081</v>
      </c>
      <c r="G294" s="978" t="s">
        <v>4620</v>
      </c>
      <c r="H294" s="983">
        <f>+NOMINA!H298</f>
        <v>45139</v>
      </c>
      <c r="I294" s="984">
        <f>+NOMINA!I298</f>
        <v>1</v>
      </c>
      <c r="J294" s="985">
        <f>+NOMINA!J298</f>
        <v>0</v>
      </c>
      <c r="K294" s="984">
        <f>+NOMINA!K298</f>
        <v>1</v>
      </c>
      <c r="L294" s="986">
        <f>+NOMINA!CA298</f>
        <v>2120</v>
      </c>
      <c r="M294" s="1156"/>
      <c r="N294" s="1157"/>
      <c r="R294" s="1115"/>
      <c r="S294" s="1158"/>
      <c r="T294" s="1115"/>
      <c r="U294" s="1158"/>
      <c r="V294" s="1147"/>
      <c r="W294" s="1158"/>
      <c r="X294" s="1159"/>
      <c r="Y294" s="1159"/>
      <c r="Z294" s="1159"/>
      <c r="AA294" s="1158"/>
      <c r="AB294" s="1158"/>
      <c r="AC294" s="1158"/>
      <c r="AD294" s="1158"/>
      <c r="AE294" s="634"/>
    </row>
    <row r="295" spans="1:31" s="629" customFormat="1" ht="18" customHeight="1">
      <c r="A295" s="1160"/>
      <c r="B295" s="510">
        <f t="shared" si="15"/>
        <v>257</v>
      </c>
      <c r="C295" s="980">
        <f>+NOMINA!C299</f>
        <v>27677242</v>
      </c>
      <c r="D295" s="981" t="str">
        <f>+NOMINA!D299</f>
        <v>Ramirez Torres Darwin Jose</v>
      </c>
      <c r="E295" s="978" t="s">
        <v>4622</v>
      </c>
      <c r="F295" s="982">
        <v>27081</v>
      </c>
      <c r="G295" s="978" t="s">
        <v>4620</v>
      </c>
      <c r="H295" s="983">
        <f>+NOMINA!H299</f>
        <v>45139</v>
      </c>
      <c r="I295" s="984">
        <f>+NOMINA!I299</f>
        <v>1</v>
      </c>
      <c r="J295" s="985">
        <f>+NOMINA!J299</f>
        <v>0</v>
      </c>
      <c r="K295" s="984">
        <f>+NOMINA!K299</f>
        <v>1</v>
      </c>
      <c r="L295" s="986">
        <f>+NOMINA!CA299</f>
        <v>2120</v>
      </c>
      <c r="M295" s="1156"/>
      <c r="N295" s="1157"/>
      <c r="R295" s="1115"/>
      <c r="S295" s="1158"/>
      <c r="T295" s="1115"/>
      <c r="U295" s="1158"/>
      <c r="V295" s="1147"/>
      <c r="W295" s="1158"/>
      <c r="X295" s="1159"/>
      <c r="Y295" s="1159"/>
      <c r="Z295" s="1159"/>
      <c r="AA295" s="1158"/>
      <c r="AB295" s="1158"/>
      <c r="AC295" s="1158"/>
      <c r="AD295" s="1158"/>
      <c r="AE295" s="634"/>
    </row>
    <row r="296" spans="1:31" s="629" customFormat="1" ht="18" customHeight="1">
      <c r="A296" s="1160"/>
      <c r="B296" s="510">
        <f t="shared" si="15"/>
        <v>258</v>
      </c>
      <c r="C296" s="980">
        <f>+NOMINA!C300</f>
        <v>27889180</v>
      </c>
      <c r="D296" s="981" t="str">
        <f>+NOMINA!D300</f>
        <v>Moreno Andreina del Valle</v>
      </c>
      <c r="E296" s="978" t="s">
        <v>4622</v>
      </c>
      <c r="F296" s="982">
        <v>27081</v>
      </c>
      <c r="G296" s="978" t="s">
        <v>4620</v>
      </c>
      <c r="H296" s="983">
        <f>+NOMINA!H300</f>
        <v>44393</v>
      </c>
      <c r="I296" s="984">
        <f>+NOMINA!I300</f>
        <v>3</v>
      </c>
      <c r="J296" s="985">
        <f>+NOMINA!J300</f>
        <v>0</v>
      </c>
      <c r="K296" s="984">
        <f>+NOMINA!K300</f>
        <v>3</v>
      </c>
      <c r="L296" s="986">
        <f>+NOMINA!CA300</f>
        <v>2120</v>
      </c>
      <c r="M296" s="1156"/>
      <c r="N296" s="1157"/>
      <c r="R296" s="1115"/>
      <c r="S296" s="1158"/>
      <c r="T296" s="1115"/>
      <c r="U296" s="1158"/>
      <c r="V296" s="1147"/>
      <c r="W296" s="1158"/>
      <c r="X296" s="1159"/>
      <c r="Y296" s="1159"/>
      <c r="Z296" s="1159"/>
      <c r="AA296" s="1158"/>
      <c r="AB296" s="1158"/>
      <c r="AC296" s="1158"/>
      <c r="AD296" s="1158"/>
      <c r="AE296" s="634"/>
    </row>
    <row r="297" spans="1:31" s="629" customFormat="1" ht="18" customHeight="1">
      <c r="A297" s="1160"/>
      <c r="B297" s="510">
        <f t="shared" ref="B297:B305" si="16">B296+1</f>
        <v>259</v>
      </c>
      <c r="C297" s="980">
        <f>+NOMINA!C301</f>
        <v>28079765</v>
      </c>
      <c r="D297" s="981" t="str">
        <f>+NOMINA!D301</f>
        <v>Mendoza Cardozo Josue Vicensio</v>
      </c>
      <c r="E297" s="978" t="s">
        <v>4622</v>
      </c>
      <c r="F297" s="982">
        <v>27081</v>
      </c>
      <c r="G297" s="978" t="s">
        <v>4620</v>
      </c>
      <c r="H297" s="983">
        <f>+NOMINA!H301</f>
        <v>44348</v>
      </c>
      <c r="I297" s="984">
        <f>+NOMINA!I301</f>
        <v>3</v>
      </c>
      <c r="J297" s="985">
        <f>+NOMINA!J301</f>
        <v>0</v>
      </c>
      <c r="K297" s="984">
        <f>+NOMINA!K301</f>
        <v>3</v>
      </c>
      <c r="L297" s="986">
        <f>+NOMINA!CA301</f>
        <v>2120</v>
      </c>
      <c r="M297" s="1156"/>
      <c r="N297" s="1157"/>
      <c r="R297" s="1115"/>
      <c r="S297" s="1158"/>
      <c r="T297" s="1115"/>
      <c r="U297" s="1158"/>
      <c r="V297" s="1147"/>
      <c r="W297" s="1158"/>
      <c r="X297" s="1159"/>
      <c r="Y297" s="1159"/>
      <c r="Z297" s="1159"/>
      <c r="AA297" s="1158"/>
      <c r="AB297" s="1158"/>
      <c r="AC297" s="1158"/>
      <c r="AD297" s="1158"/>
      <c r="AE297" s="634"/>
    </row>
    <row r="298" spans="1:31" s="629" customFormat="1" ht="18" customHeight="1">
      <c r="A298" s="1160"/>
      <c r="B298" s="510">
        <f t="shared" si="16"/>
        <v>260</v>
      </c>
      <c r="C298" s="980">
        <f>+NOMINA!C302</f>
        <v>28096003</v>
      </c>
      <c r="D298" s="981" t="str">
        <f>+NOMINA!D302</f>
        <v>Quintero Peña Maria Alejandra</v>
      </c>
      <c r="E298" s="978" t="s">
        <v>4622</v>
      </c>
      <c r="F298" s="982">
        <v>27081</v>
      </c>
      <c r="G298" s="978" t="s">
        <v>4620</v>
      </c>
      <c r="H298" s="983">
        <f>+NOMINA!H302</f>
        <v>44228</v>
      </c>
      <c r="I298" s="984">
        <f>+NOMINA!I302</f>
        <v>3</v>
      </c>
      <c r="J298" s="985">
        <f>+NOMINA!J302</f>
        <v>0</v>
      </c>
      <c r="K298" s="984">
        <f>+NOMINA!K302</f>
        <v>3</v>
      </c>
      <c r="L298" s="986">
        <f>+NOMINA!CA302</f>
        <v>2120</v>
      </c>
      <c r="M298" s="1156"/>
      <c r="N298" s="1157"/>
      <c r="R298" s="1115"/>
      <c r="S298" s="1158"/>
      <c r="T298" s="1115"/>
      <c r="U298" s="1158"/>
      <c r="V298" s="1147"/>
      <c r="W298" s="1158"/>
      <c r="X298" s="1159"/>
      <c r="Y298" s="1159"/>
      <c r="Z298" s="1159"/>
      <c r="AA298" s="1158"/>
      <c r="AB298" s="1158"/>
      <c r="AC298" s="1158"/>
      <c r="AD298" s="1158"/>
      <c r="AE298" s="634"/>
    </row>
    <row r="299" spans="1:31" s="629" customFormat="1" ht="18" customHeight="1">
      <c r="A299" s="1160"/>
      <c r="B299" s="510">
        <f t="shared" si="16"/>
        <v>261</v>
      </c>
      <c r="C299" s="980">
        <f>+NOMINA!C303</f>
        <v>28096576</v>
      </c>
      <c r="D299" s="981" t="str">
        <f>+NOMINA!D303</f>
        <v>Gutierrez Betania Belsally</v>
      </c>
      <c r="E299" s="978" t="s">
        <v>4622</v>
      </c>
      <c r="F299" s="982">
        <v>27081</v>
      </c>
      <c r="G299" s="978" t="s">
        <v>4620</v>
      </c>
      <c r="H299" s="983">
        <f>+NOMINA!H303</f>
        <v>45017</v>
      </c>
      <c r="I299" s="984">
        <f>+NOMINA!I303</f>
        <v>1</v>
      </c>
      <c r="J299" s="985">
        <f>+NOMINA!J303</f>
        <v>0</v>
      </c>
      <c r="K299" s="984">
        <f>+NOMINA!K303</f>
        <v>1</v>
      </c>
      <c r="L299" s="986">
        <f>+NOMINA!CA303</f>
        <v>2120</v>
      </c>
      <c r="M299" s="1156"/>
      <c r="N299" s="1157"/>
      <c r="R299" s="1115"/>
      <c r="S299" s="1158"/>
      <c r="T299" s="1115"/>
      <c r="U299" s="1158"/>
      <c r="V299" s="1147"/>
      <c r="W299" s="1158"/>
      <c r="X299" s="1159"/>
      <c r="Y299" s="1159"/>
      <c r="Z299" s="1159"/>
      <c r="AA299" s="1158"/>
      <c r="AB299" s="1158"/>
      <c r="AC299" s="1158"/>
      <c r="AD299" s="1158"/>
      <c r="AE299" s="634"/>
    </row>
    <row r="300" spans="1:31" s="629" customFormat="1" ht="18" customHeight="1">
      <c r="A300" s="1160"/>
      <c r="B300" s="510">
        <f t="shared" si="16"/>
        <v>262</v>
      </c>
      <c r="C300" s="980">
        <f>+NOMINA!C304</f>
        <v>28445465</v>
      </c>
      <c r="D300" s="981" t="str">
        <f>+NOMINA!D304</f>
        <v>Castillo Carrizo Katherine Cecilia</v>
      </c>
      <c r="E300" s="978" t="s">
        <v>4622</v>
      </c>
      <c r="F300" s="982">
        <v>27081</v>
      </c>
      <c r="G300" s="978" t="s">
        <v>4620</v>
      </c>
      <c r="H300" s="983">
        <f>+NOMINA!H304</f>
        <v>43770</v>
      </c>
      <c r="I300" s="984">
        <f>+NOMINA!I304</f>
        <v>5</v>
      </c>
      <c r="J300" s="985">
        <f>+NOMINA!J304</f>
        <v>0</v>
      </c>
      <c r="K300" s="984">
        <f>+NOMINA!K304</f>
        <v>5</v>
      </c>
      <c r="L300" s="986">
        <f>+NOMINA!CA304</f>
        <v>2120</v>
      </c>
      <c r="M300" s="1156"/>
      <c r="N300" s="1157"/>
      <c r="R300" s="1115"/>
      <c r="S300" s="1158"/>
      <c r="T300" s="1115"/>
      <c r="U300" s="1158"/>
      <c r="V300" s="1147"/>
      <c r="W300" s="1158"/>
      <c r="X300" s="1159"/>
      <c r="Y300" s="1159"/>
      <c r="Z300" s="1159"/>
      <c r="AA300" s="1158"/>
      <c r="AB300" s="1158"/>
      <c r="AC300" s="1158"/>
      <c r="AD300" s="1158"/>
      <c r="AE300" s="634"/>
    </row>
    <row r="301" spans="1:31" s="629" customFormat="1" ht="18" customHeight="1">
      <c r="A301" s="1160"/>
      <c r="B301" s="510">
        <f t="shared" si="16"/>
        <v>263</v>
      </c>
      <c r="C301" s="980">
        <f>+NOMINA!C305</f>
        <v>29585477</v>
      </c>
      <c r="D301" s="981" t="str">
        <f>+NOMINA!D305</f>
        <v>Gil Ruiz Marianyeli Sarait</v>
      </c>
      <c r="E301" s="978" t="s">
        <v>4622</v>
      </c>
      <c r="F301" s="982">
        <v>27081</v>
      </c>
      <c r="G301" s="978" t="s">
        <v>4620</v>
      </c>
      <c r="H301" s="983">
        <f>+NOMINA!H305</f>
        <v>43512</v>
      </c>
      <c r="I301" s="984">
        <f>+NOMINA!I305</f>
        <v>5</v>
      </c>
      <c r="J301" s="985">
        <f>+NOMINA!J305</f>
        <v>0</v>
      </c>
      <c r="K301" s="984">
        <f>+NOMINA!K305</f>
        <v>5</v>
      </c>
      <c r="L301" s="986">
        <f>+NOMINA!CA305</f>
        <v>2120</v>
      </c>
      <c r="M301" s="1156"/>
      <c r="N301" s="1157"/>
      <c r="R301" s="1115"/>
      <c r="S301" s="1158"/>
      <c r="T301" s="1115"/>
      <c r="U301" s="1158"/>
      <c r="V301" s="1147"/>
      <c r="W301" s="1158"/>
      <c r="X301" s="1159"/>
      <c r="Y301" s="1159"/>
      <c r="Z301" s="1159"/>
      <c r="AA301" s="1158"/>
      <c r="AB301" s="1158"/>
      <c r="AC301" s="1158"/>
      <c r="AD301" s="1158"/>
      <c r="AE301" s="634"/>
    </row>
    <row r="302" spans="1:31" s="629" customFormat="1" ht="18" customHeight="1">
      <c r="A302" s="1160"/>
      <c r="B302" s="510">
        <f t="shared" si="16"/>
        <v>264</v>
      </c>
      <c r="C302" s="980">
        <f>+NOMINA!C306</f>
        <v>29916508</v>
      </c>
      <c r="D302" s="981" t="str">
        <f>+NOMINA!D306</f>
        <v>Zambrano Briceño Elio Jesus</v>
      </c>
      <c r="E302" s="978" t="s">
        <v>4622</v>
      </c>
      <c r="F302" s="982">
        <v>27081</v>
      </c>
      <c r="G302" s="978" t="s">
        <v>4620</v>
      </c>
      <c r="H302" s="983">
        <f>+NOMINA!H306</f>
        <v>44378</v>
      </c>
      <c r="I302" s="984">
        <f>+NOMINA!I306</f>
        <v>3</v>
      </c>
      <c r="J302" s="985">
        <f>+NOMINA!J306</f>
        <v>0</v>
      </c>
      <c r="K302" s="984">
        <f>+NOMINA!K306</f>
        <v>3</v>
      </c>
      <c r="L302" s="986">
        <f>+NOMINA!CA306</f>
        <v>2120</v>
      </c>
      <c r="M302" s="1156"/>
      <c r="N302" s="1157"/>
      <c r="R302" s="1115"/>
      <c r="S302" s="1158"/>
      <c r="T302" s="1115"/>
      <c r="U302" s="1158"/>
      <c r="V302" s="1147"/>
      <c r="W302" s="1158"/>
      <c r="X302" s="1159"/>
      <c r="Y302" s="1159"/>
      <c r="Z302" s="1159"/>
      <c r="AA302" s="1158"/>
      <c r="AB302" s="1158"/>
      <c r="AC302" s="1158"/>
      <c r="AD302" s="1158"/>
      <c r="AE302" s="634"/>
    </row>
    <row r="303" spans="1:31" s="629" customFormat="1" ht="18" customHeight="1">
      <c r="A303" s="1160"/>
      <c r="B303" s="510">
        <f t="shared" si="16"/>
        <v>265</v>
      </c>
      <c r="C303" s="980">
        <f>+NOMINA!C307</f>
        <v>30190238</v>
      </c>
      <c r="D303" s="981" t="str">
        <f>+NOMINA!D307</f>
        <v>Mendoza Osuna Zaida Liseth</v>
      </c>
      <c r="E303" s="978" t="s">
        <v>4622</v>
      </c>
      <c r="F303" s="982">
        <v>27081</v>
      </c>
      <c r="G303" s="978" t="s">
        <v>4620</v>
      </c>
      <c r="H303" s="983">
        <f>+NOMINA!H307</f>
        <v>45200</v>
      </c>
      <c r="I303" s="984">
        <f>+NOMINA!I307</f>
        <v>1</v>
      </c>
      <c r="J303" s="985">
        <f>+NOMINA!J307</f>
        <v>0</v>
      </c>
      <c r="K303" s="984">
        <f>+NOMINA!K307</f>
        <v>1</v>
      </c>
      <c r="L303" s="986">
        <f>+NOMINA!CA307</f>
        <v>2120</v>
      </c>
      <c r="M303" s="1156"/>
      <c r="N303" s="1157"/>
      <c r="R303" s="1115"/>
      <c r="S303" s="1158"/>
      <c r="T303" s="1115"/>
      <c r="U303" s="1158"/>
      <c r="V303" s="1147"/>
      <c r="W303" s="1158"/>
      <c r="X303" s="1159"/>
      <c r="Y303" s="1159"/>
      <c r="Z303" s="1159"/>
      <c r="AA303" s="1158"/>
      <c r="AB303" s="1158"/>
      <c r="AC303" s="1158"/>
      <c r="AD303" s="1158"/>
      <c r="AE303" s="634"/>
    </row>
    <row r="304" spans="1:31" s="629" customFormat="1" ht="18" customHeight="1">
      <c r="A304" s="1160"/>
      <c r="B304" s="510">
        <f t="shared" si="16"/>
        <v>266</v>
      </c>
      <c r="C304" s="980">
        <f>+NOMINA!C308</f>
        <v>30438508</v>
      </c>
      <c r="D304" s="981" t="str">
        <f>+NOMINA!D308</f>
        <v xml:space="preserve">Teran Araujo Marihangeli Nicoll </v>
      </c>
      <c r="E304" s="978" t="s">
        <v>4622</v>
      </c>
      <c r="F304" s="982">
        <v>27081</v>
      </c>
      <c r="G304" s="978" t="s">
        <v>4620</v>
      </c>
      <c r="H304" s="983">
        <f>+NOMINA!H308</f>
        <v>45200</v>
      </c>
      <c r="I304" s="984">
        <f>+NOMINA!I308</f>
        <v>1</v>
      </c>
      <c r="J304" s="985">
        <f>+NOMINA!J308</f>
        <v>4</v>
      </c>
      <c r="K304" s="984">
        <f>+NOMINA!K308</f>
        <v>5</v>
      </c>
      <c r="L304" s="986">
        <f>+NOMINA!CA308</f>
        <v>2120</v>
      </c>
      <c r="M304" s="1156"/>
      <c r="N304" s="1157"/>
      <c r="R304" s="1115"/>
      <c r="S304" s="1158"/>
      <c r="T304" s="1115"/>
      <c r="U304" s="1158"/>
      <c r="V304" s="1147"/>
      <c r="W304" s="1158"/>
      <c r="X304" s="1159"/>
      <c r="Y304" s="1159"/>
      <c r="Z304" s="1159"/>
      <c r="AA304" s="1158"/>
      <c r="AB304" s="1158"/>
      <c r="AC304" s="1158"/>
      <c r="AD304" s="1158"/>
      <c r="AE304" s="634"/>
    </row>
    <row r="305" spans="1:35" s="629" customFormat="1" ht="18" customHeight="1" thickBot="1">
      <c r="A305" s="664" t="s">
        <v>2846</v>
      </c>
      <c r="B305" s="510">
        <f t="shared" si="16"/>
        <v>267</v>
      </c>
      <c r="C305" s="980">
        <f>+NOMINA!C309</f>
        <v>30600641</v>
      </c>
      <c r="D305" s="981" t="str">
        <f>+NOMINA!D309</f>
        <v>Gonzalez Justo Jariana Roxanny</v>
      </c>
      <c r="E305" s="978" t="s">
        <v>4622</v>
      </c>
      <c r="F305" s="982">
        <v>27081</v>
      </c>
      <c r="G305" s="978" t="s">
        <v>4620</v>
      </c>
      <c r="H305" s="983">
        <f>+NOMINA!H309</f>
        <v>44455</v>
      </c>
      <c r="I305" s="984">
        <f>+NOMINA!I309</f>
        <v>3</v>
      </c>
      <c r="J305" s="985">
        <f>+NOMINA!J309</f>
        <v>0</v>
      </c>
      <c r="K305" s="984">
        <f>+NOMINA!K309</f>
        <v>3</v>
      </c>
      <c r="L305" s="986">
        <f>+NOMINA!CA309</f>
        <v>0</v>
      </c>
      <c r="M305" s="443" t="e">
        <f>#REF!+#REF!-#REF!</f>
        <v>#REF!</v>
      </c>
      <c r="N305" s="975" t="e">
        <f>ROUND((#REF!+#REF!+#REF!+#REF!+#REF!+#REF!+#REF!+#REF!),2)</f>
        <v>#REF!</v>
      </c>
      <c r="Q305" s="629" t="e">
        <f>SUM(#REF!)</f>
        <v>#REF!</v>
      </c>
      <c r="R305" s="976" t="e">
        <f>#REF!+#REF!-#REF!</f>
        <v>#REF!</v>
      </c>
      <c r="S305" s="977">
        <v>200</v>
      </c>
      <c r="T305" s="976" t="e">
        <f>#REF!+#REF!</f>
        <v>#REF!</v>
      </c>
      <c r="U305" s="977" t="e">
        <f>#REF!</f>
        <v>#REF!</v>
      </c>
      <c r="V305" s="978">
        <v>0</v>
      </c>
      <c r="W305" s="977" t="e">
        <f>#REF!</f>
        <v>#REF!</v>
      </c>
      <c r="X305" s="979" t="e">
        <f>#REF!+#REF!</f>
        <v>#REF!</v>
      </c>
      <c r="Y305" s="979" t="e">
        <f>#REF!+#REF!</f>
        <v>#REF!</v>
      </c>
      <c r="Z305" s="979"/>
      <c r="AA305" s="977" t="e">
        <f>#REF!</f>
        <v>#REF!</v>
      </c>
      <c r="AB305" s="977" t="e">
        <f t="shared" si="13"/>
        <v>#REF!</v>
      </c>
      <c r="AC305" s="977" t="e">
        <f>#REF!+#REF!</f>
        <v>#REF!</v>
      </c>
      <c r="AD305" s="977">
        <f t="shared" si="14"/>
        <v>0</v>
      </c>
      <c r="AE305" s="634"/>
    </row>
    <row r="306" spans="1:35" s="629" customFormat="1" ht="19.5" customHeight="1" thickBot="1">
      <c r="A306" s="693"/>
      <c r="B306" s="1222"/>
      <c r="C306" s="1223"/>
      <c r="D306" s="1224"/>
      <c r="E306" s="973" t="s">
        <v>4622</v>
      </c>
      <c r="F306" s="1221">
        <v>27081</v>
      </c>
      <c r="G306" s="973" t="s">
        <v>4620</v>
      </c>
      <c r="H306" s="1227"/>
      <c r="I306" s="1228"/>
      <c r="J306" s="1228"/>
      <c r="K306" s="1139" t="s">
        <v>4562</v>
      </c>
      <c r="L306" s="679">
        <f>SUM(L39:L305)</f>
        <v>513040</v>
      </c>
      <c r="M306" s="634"/>
      <c r="N306" s="634"/>
      <c r="O306" s="634"/>
      <c r="P306" s="634"/>
      <c r="Q306" s="634"/>
      <c r="R306" s="634"/>
      <c r="S306" s="634"/>
      <c r="T306" s="634"/>
      <c r="U306" s="634"/>
      <c r="V306" s="634"/>
      <c r="W306" s="634"/>
      <c r="X306" s="634"/>
      <c r="Y306" s="634"/>
      <c r="Z306" s="634"/>
      <c r="AA306" s="634"/>
      <c r="AB306" s="634"/>
      <c r="AC306" s="634"/>
      <c r="AD306" s="634"/>
      <c r="AE306" s="634"/>
      <c r="AF306" s="634"/>
      <c r="AG306" s="682"/>
      <c r="AH306" s="697"/>
      <c r="AI306" s="697"/>
    </row>
    <row r="307" spans="1:35" s="707" customFormat="1" ht="18.75" thickBot="1">
      <c r="A307" s="698" t="s">
        <v>4563</v>
      </c>
      <c r="B307" s="665" t="str">
        <f>+"OBREROS FIJOS_NOMINA_"&amp;NOMINA!F9&amp;"_"&amp;NOMINA!H9&amp;"-CESTA TICKET"</f>
        <v>OBREROS FIJOS_NOMINA_ENERO_2025-CESTA TICKET</v>
      </c>
      <c r="C307" s="980"/>
      <c r="D307" s="981"/>
      <c r="E307" s="978" t="s">
        <v>4622</v>
      </c>
      <c r="F307" s="982">
        <v>27081</v>
      </c>
      <c r="G307" s="978" t="s">
        <v>4620</v>
      </c>
      <c r="H307" s="983"/>
      <c r="I307" s="984"/>
      <c r="J307" s="985"/>
      <c r="K307" s="984"/>
      <c r="L307" s="986"/>
      <c r="M307" s="706"/>
      <c r="N307" s="706"/>
      <c r="O307" s="706"/>
      <c r="P307" s="706"/>
      <c r="Q307" s="706"/>
      <c r="R307" s="976"/>
      <c r="S307" s="706"/>
      <c r="T307" s="706"/>
      <c r="U307" s="706"/>
      <c r="V307" s="706"/>
      <c r="W307" s="706"/>
      <c r="X307" s="706"/>
      <c r="Y307" s="706">
        <f>X306+Y306</f>
        <v>0</v>
      </c>
      <c r="Z307" s="706"/>
      <c r="AA307" s="706"/>
      <c r="AB307" s="706"/>
      <c r="AC307" s="706"/>
      <c r="AD307" s="706"/>
      <c r="AE307" s="706"/>
      <c r="AG307" s="706"/>
      <c r="AH307" s="706"/>
      <c r="AI307" s="706"/>
    </row>
    <row r="308" spans="1:35" s="629" customFormat="1" ht="18" customHeight="1">
      <c r="A308" s="664" t="s">
        <v>2846</v>
      </c>
      <c r="B308" s="510">
        <v>1</v>
      </c>
      <c r="C308" s="980">
        <f>+NOMINA!C312</f>
        <v>5505183</v>
      </c>
      <c r="D308" s="981" t="str">
        <f>+NOMINA!D312</f>
        <v>Paredes Marquez Eduardo Jesus</v>
      </c>
      <c r="E308" s="978" t="s">
        <v>4622</v>
      </c>
      <c r="F308" s="982">
        <v>27081</v>
      </c>
      <c r="G308" s="978" t="s">
        <v>4620</v>
      </c>
      <c r="H308" s="983">
        <f>+NOMINA!H312</f>
        <v>44562</v>
      </c>
      <c r="I308" s="984">
        <f>+NOMINA!I312</f>
        <v>3</v>
      </c>
      <c r="J308" s="985">
        <f>+NOMINA!J312</f>
        <v>9</v>
      </c>
      <c r="K308" s="984">
        <f>+NOMINA!K312</f>
        <v>12</v>
      </c>
      <c r="L308" s="986">
        <f>+NOMINA!CA312</f>
        <v>2120</v>
      </c>
      <c r="M308" s="443" t="e">
        <f>#REF!+#REF!-#REF!</f>
        <v>#REF!</v>
      </c>
      <c r="N308" s="975" t="e">
        <f>ROUND((#REF!+#REF!+#REF!+#REF!+#REF!+#REF!+#REF!+#REF!),2)</f>
        <v>#REF!</v>
      </c>
      <c r="Q308" s="629" t="e">
        <f>SUM(#REF!)</f>
        <v>#REF!</v>
      </c>
      <c r="R308" s="976" t="e">
        <f>#REF!+#REF!-#REF!</f>
        <v>#REF!</v>
      </c>
      <c r="S308" s="977">
        <v>200</v>
      </c>
      <c r="T308" s="976" t="e">
        <f>#REF!+#REF!</f>
        <v>#REF!</v>
      </c>
      <c r="U308" s="977" t="e">
        <f>#REF!</f>
        <v>#REF!</v>
      </c>
      <c r="V308" s="978">
        <v>0</v>
      </c>
      <c r="W308" s="977" t="e">
        <f>#REF!</f>
        <v>#REF!</v>
      </c>
      <c r="X308" s="979" t="e">
        <f>#REF!+#REF!</f>
        <v>#REF!</v>
      </c>
      <c r="Y308" s="979" t="e">
        <f>#REF!+#REF!</f>
        <v>#REF!</v>
      </c>
      <c r="Z308" s="979"/>
      <c r="AA308" s="977" t="e">
        <f>#REF!</f>
        <v>#REF!</v>
      </c>
      <c r="AB308" s="977" t="e">
        <f t="shared" ref="AB308:AB368" si="17">SUM(T308:AA308)</f>
        <v>#REF!</v>
      </c>
      <c r="AC308" s="977" t="e">
        <f>#REF!+#REF!</f>
        <v>#REF!</v>
      </c>
      <c r="AD308" s="977">
        <f t="shared" ref="AD308:AD372" si="18">L308</f>
        <v>2120</v>
      </c>
      <c r="AE308" s="634"/>
    </row>
    <row r="309" spans="1:35" s="629" customFormat="1" ht="18" customHeight="1">
      <c r="A309" s="664" t="s">
        <v>2846</v>
      </c>
      <c r="B309" s="510">
        <f t="shared" ref="B309:B373" si="19">+B308+1</f>
        <v>2</v>
      </c>
      <c r="C309" s="980">
        <f>+NOMINA!C313</f>
        <v>5757455</v>
      </c>
      <c r="D309" s="981" t="str">
        <f>+NOMINA!D313</f>
        <v>Ramirez Garcia Maria Perpetua</v>
      </c>
      <c r="E309" s="978" t="s">
        <v>4622</v>
      </c>
      <c r="F309" s="982">
        <v>27081</v>
      </c>
      <c r="G309" s="978" t="s">
        <v>4620</v>
      </c>
      <c r="H309" s="983">
        <f>+NOMINA!H313</f>
        <v>39409</v>
      </c>
      <c r="I309" s="984">
        <f>+NOMINA!I313</f>
        <v>17</v>
      </c>
      <c r="J309" s="985">
        <f>+NOMINA!J313</f>
        <v>0</v>
      </c>
      <c r="K309" s="984">
        <f>+NOMINA!K313</f>
        <v>17</v>
      </c>
      <c r="L309" s="986">
        <f>+NOMINA!CA313</f>
        <v>2120</v>
      </c>
      <c r="M309" s="443" t="e">
        <f>#REF!+#REF!-#REF!</f>
        <v>#REF!</v>
      </c>
      <c r="N309" s="975" t="e">
        <f>ROUND((#REF!+#REF!+#REF!+#REF!+#REF!+#REF!+#REF!+#REF!),2)</f>
        <v>#REF!</v>
      </c>
      <c r="Q309" s="629" t="e">
        <f>SUM(#REF!)</f>
        <v>#REF!</v>
      </c>
      <c r="R309" s="976" t="e">
        <f>#REF!+#REF!-#REF!</f>
        <v>#REF!</v>
      </c>
      <c r="S309" s="977">
        <v>200</v>
      </c>
      <c r="T309" s="976" t="e">
        <f>#REF!+#REF!</f>
        <v>#REF!</v>
      </c>
      <c r="U309" s="977" t="e">
        <f>#REF!</f>
        <v>#REF!</v>
      </c>
      <c r="V309" s="978">
        <v>0</v>
      </c>
      <c r="W309" s="977" t="e">
        <f>#REF!</f>
        <v>#REF!</v>
      </c>
      <c r="X309" s="979" t="e">
        <f>#REF!+#REF!</f>
        <v>#REF!</v>
      </c>
      <c r="Y309" s="979" t="e">
        <f>#REF!+#REF!</f>
        <v>#REF!</v>
      </c>
      <c r="Z309" s="979"/>
      <c r="AA309" s="977" t="e">
        <f>#REF!</f>
        <v>#REF!</v>
      </c>
      <c r="AB309" s="977" t="e">
        <f t="shared" si="17"/>
        <v>#REF!</v>
      </c>
      <c r="AC309" s="977" t="e">
        <f>#REF!+#REF!</f>
        <v>#REF!</v>
      </c>
      <c r="AD309" s="977">
        <f t="shared" si="18"/>
        <v>2120</v>
      </c>
      <c r="AE309" s="634"/>
    </row>
    <row r="310" spans="1:35" s="629" customFormat="1" ht="18" customHeight="1">
      <c r="A310" s="664" t="s">
        <v>2846</v>
      </c>
      <c r="B310" s="510">
        <f t="shared" si="19"/>
        <v>3</v>
      </c>
      <c r="C310" s="980">
        <f>+NOMINA!C314</f>
        <v>5762185</v>
      </c>
      <c r="D310" s="981" t="str">
        <f>+NOMINA!D314</f>
        <v>Salas Quintero Jose Gregorio</v>
      </c>
      <c r="E310" s="978" t="s">
        <v>4622</v>
      </c>
      <c r="F310" s="982">
        <v>27081</v>
      </c>
      <c r="G310" s="978" t="s">
        <v>4620</v>
      </c>
      <c r="H310" s="983">
        <f>+NOMINA!H314</f>
        <v>37622</v>
      </c>
      <c r="I310" s="984">
        <f>+NOMINA!I314</f>
        <v>22</v>
      </c>
      <c r="J310" s="985">
        <f>+NOMINA!J314</f>
        <v>0</v>
      </c>
      <c r="K310" s="984">
        <f>+NOMINA!K314</f>
        <v>22</v>
      </c>
      <c r="L310" s="986">
        <f>+NOMINA!CA314</f>
        <v>2120</v>
      </c>
      <c r="M310" s="443" t="e">
        <f>#REF!+#REF!-#REF!</f>
        <v>#REF!</v>
      </c>
      <c r="N310" s="975" t="e">
        <f>ROUND((#REF!+#REF!+#REF!+#REF!+#REF!+#REF!+#REF!+#REF!),2)</f>
        <v>#REF!</v>
      </c>
      <c r="Q310" s="629" t="e">
        <f>SUM(#REF!)</f>
        <v>#REF!</v>
      </c>
      <c r="R310" s="976" t="e">
        <f>#REF!+#REF!-#REF!</f>
        <v>#REF!</v>
      </c>
      <c r="S310" s="977">
        <v>200</v>
      </c>
      <c r="T310" s="976" t="e">
        <f>#REF!+#REF!</f>
        <v>#REF!</v>
      </c>
      <c r="U310" s="977" t="e">
        <f>#REF!</f>
        <v>#REF!</v>
      </c>
      <c r="V310" s="978">
        <v>0</v>
      </c>
      <c r="W310" s="977" t="e">
        <f>#REF!</f>
        <v>#REF!</v>
      </c>
      <c r="X310" s="979" t="e">
        <f>#REF!+#REF!</f>
        <v>#REF!</v>
      </c>
      <c r="Y310" s="979" t="e">
        <f>#REF!+#REF!</f>
        <v>#REF!</v>
      </c>
      <c r="Z310" s="979"/>
      <c r="AA310" s="977" t="e">
        <f>#REF!</f>
        <v>#REF!</v>
      </c>
      <c r="AB310" s="977" t="e">
        <f t="shared" si="17"/>
        <v>#REF!</v>
      </c>
      <c r="AC310" s="977" t="e">
        <f>#REF!+#REF!</f>
        <v>#REF!</v>
      </c>
      <c r="AD310" s="977">
        <f t="shared" si="18"/>
        <v>2120</v>
      </c>
      <c r="AE310" s="634"/>
    </row>
    <row r="311" spans="1:35" s="629" customFormat="1" ht="18" customHeight="1">
      <c r="A311" s="664" t="s">
        <v>2846</v>
      </c>
      <c r="B311" s="510">
        <f t="shared" si="19"/>
        <v>4</v>
      </c>
      <c r="C311" s="980">
        <f>+NOMINA!C315</f>
        <v>6332524</v>
      </c>
      <c r="D311" s="981" t="str">
        <f>+NOMINA!D315</f>
        <v>Flores Diana Yamilet</v>
      </c>
      <c r="E311" s="978" t="s">
        <v>4622</v>
      </c>
      <c r="F311" s="982">
        <v>27081</v>
      </c>
      <c r="G311" s="978" t="s">
        <v>4620</v>
      </c>
      <c r="H311" s="983">
        <f>+NOMINA!H315</f>
        <v>42948</v>
      </c>
      <c r="I311" s="984">
        <f>+NOMINA!I315</f>
        <v>7</v>
      </c>
      <c r="J311" s="985">
        <f>+NOMINA!J315</f>
        <v>0</v>
      </c>
      <c r="K311" s="984">
        <f>+NOMINA!K315</f>
        <v>7</v>
      </c>
      <c r="L311" s="986">
        <f>+NOMINA!CA315</f>
        <v>2120</v>
      </c>
      <c r="M311" s="443" t="e">
        <f>#REF!+#REF!-#REF!</f>
        <v>#REF!</v>
      </c>
      <c r="N311" s="975" t="e">
        <f>ROUND((#REF!+#REF!+#REF!+#REF!+#REF!+#REF!+#REF!+#REF!),2)</f>
        <v>#REF!</v>
      </c>
      <c r="Q311" s="629" t="e">
        <f>SUM(#REF!)</f>
        <v>#REF!</v>
      </c>
      <c r="R311" s="976" t="e">
        <f>#REF!+#REF!-#REF!</f>
        <v>#REF!</v>
      </c>
      <c r="S311" s="977">
        <v>200</v>
      </c>
      <c r="T311" s="976" t="e">
        <f>#REF!+#REF!</f>
        <v>#REF!</v>
      </c>
      <c r="U311" s="977" t="e">
        <f>#REF!</f>
        <v>#REF!</v>
      </c>
      <c r="V311" s="978">
        <v>0</v>
      </c>
      <c r="W311" s="977" t="e">
        <f>#REF!</f>
        <v>#REF!</v>
      </c>
      <c r="X311" s="979" t="e">
        <f>#REF!+#REF!</f>
        <v>#REF!</v>
      </c>
      <c r="Y311" s="979" t="e">
        <f>#REF!+#REF!</f>
        <v>#REF!</v>
      </c>
      <c r="Z311" s="979"/>
      <c r="AA311" s="977" t="e">
        <f>#REF!</f>
        <v>#REF!</v>
      </c>
      <c r="AB311" s="977" t="e">
        <f t="shared" si="17"/>
        <v>#REF!</v>
      </c>
      <c r="AC311" s="977" t="e">
        <f>#REF!+#REF!</f>
        <v>#REF!</v>
      </c>
      <c r="AD311" s="977">
        <f t="shared" si="18"/>
        <v>2120</v>
      </c>
      <c r="AE311" s="634"/>
    </row>
    <row r="312" spans="1:35" s="629" customFormat="1" ht="18" customHeight="1">
      <c r="A312" s="664" t="s">
        <v>2846</v>
      </c>
      <c r="B312" s="510">
        <f t="shared" si="19"/>
        <v>5</v>
      </c>
      <c r="C312" s="980">
        <f>+NOMINA!C316</f>
        <v>6902701</v>
      </c>
      <c r="D312" s="981" t="str">
        <f>+NOMINA!D316</f>
        <v>Santiago Torres Jose Ramon</v>
      </c>
      <c r="E312" s="978" t="s">
        <v>4622</v>
      </c>
      <c r="F312" s="982">
        <v>27081</v>
      </c>
      <c r="G312" s="978" t="s">
        <v>4620</v>
      </c>
      <c r="H312" s="983">
        <f>+NOMINA!H316</f>
        <v>44228</v>
      </c>
      <c r="I312" s="984">
        <f>+NOMINA!I316</f>
        <v>3</v>
      </c>
      <c r="J312" s="985">
        <f>+NOMINA!J316</f>
        <v>0</v>
      </c>
      <c r="K312" s="984">
        <f>+NOMINA!K316</f>
        <v>3</v>
      </c>
      <c r="L312" s="986">
        <f>+NOMINA!CA316</f>
        <v>2120</v>
      </c>
      <c r="M312" s="443" t="e">
        <f>#REF!+#REF!-#REF!</f>
        <v>#REF!</v>
      </c>
      <c r="N312" s="975" t="e">
        <f>ROUND((#REF!+#REF!+#REF!+#REF!+#REF!+#REF!+#REF!+#REF!),2)</f>
        <v>#REF!</v>
      </c>
      <c r="Q312" s="629" t="e">
        <f>SUM(#REF!)</f>
        <v>#REF!</v>
      </c>
      <c r="R312" s="976" t="e">
        <f>#REF!+#REF!-#REF!</f>
        <v>#REF!</v>
      </c>
      <c r="S312" s="977">
        <v>200</v>
      </c>
      <c r="T312" s="976" t="e">
        <f>#REF!+#REF!</f>
        <v>#REF!</v>
      </c>
      <c r="U312" s="977" t="e">
        <f>#REF!</f>
        <v>#REF!</v>
      </c>
      <c r="V312" s="978">
        <v>0</v>
      </c>
      <c r="W312" s="977" t="e">
        <f>#REF!</f>
        <v>#REF!</v>
      </c>
      <c r="X312" s="979" t="e">
        <f>#REF!+#REF!</f>
        <v>#REF!</v>
      </c>
      <c r="Y312" s="979" t="e">
        <f>#REF!+#REF!</f>
        <v>#REF!</v>
      </c>
      <c r="Z312" s="979"/>
      <c r="AA312" s="977" t="e">
        <f>#REF!</f>
        <v>#REF!</v>
      </c>
      <c r="AB312" s="977" t="e">
        <f t="shared" si="17"/>
        <v>#REF!</v>
      </c>
      <c r="AC312" s="977" t="e">
        <f>#REF!+#REF!</f>
        <v>#REF!</v>
      </c>
      <c r="AD312" s="977">
        <f t="shared" si="18"/>
        <v>2120</v>
      </c>
      <c r="AE312" s="634"/>
    </row>
    <row r="313" spans="1:35" s="629" customFormat="1" ht="18" customHeight="1">
      <c r="A313" s="664" t="s">
        <v>2846</v>
      </c>
      <c r="B313" s="510">
        <f t="shared" si="19"/>
        <v>6</v>
      </c>
      <c r="C313" s="980">
        <f>+NOMINA!C317</f>
        <v>7252065</v>
      </c>
      <c r="D313" s="981" t="str">
        <f>+NOMINA!D317</f>
        <v>Rivas Rivas Jose Gerardo</v>
      </c>
      <c r="E313" s="978" t="s">
        <v>4622</v>
      </c>
      <c r="F313" s="982">
        <v>27081</v>
      </c>
      <c r="G313" s="978" t="s">
        <v>4620</v>
      </c>
      <c r="H313" s="983">
        <f>+NOMINA!H317</f>
        <v>43891</v>
      </c>
      <c r="I313" s="984">
        <f>+NOMINA!I317</f>
        <v>4</v>
      </c>
      <c r="J313" s="985">
        <f>+NOMINA!J317</f>
        <v>0</v>
      </c>
      <c r="K313" s="984">
        <f>+NOMINA!K317</f>
        <v>4</v>
      </c>
      <c r="L313" s="986">
        <f>+NOMINA!CA317</f>
        <v>2120</v>
      </c>
      <c r="M313" s="443" t="e">
        <f>#REF!+#REF!-#REF!</f>
        <v>#REF!</v>
      </c>
      <c r="N313" s="975" t="e">
        <f>ROUND((#REF!+#REF!+#REF!+#REF!+#REF!+#REF!+#REF!+#REF!),2)</f>
        <v>#REF!</v>
      </c>
      <c r="Q313" s="629" t="e">
        <f>SUM(#REF!)</f>
        <v>#REF!</v>
      </c>
      <c r="R313" s="976" t="e">
        <f>#REF!+#REF!-#REF!</f>
        <v>#REF!</v>
      </c>
      <c r="S313" s="977">
        <v>200</v>
      </c>
      <c r="T313" s="976" t="e">
        <f>#REF!+#REF!</f>
        <v>#REF!</v>
      </c>
      <c r="U313" s="977" t="e">
        <f>#REF!</f>
        <v>#REF!</v>
      </c>
      <c r="V313" s="978">
        <v>0</v>
      </c>
      <c r="W313" s="977" t="e">
        <f>#REF!</f>
        <v>#REF!</v>
      </c>
      <c r="X313" s="979" t="e">
        <f>#REF!+#REF!</f>
        <v>#REF!</v>
      </c>
      <c r="Y313" s="979" t="e">
        <f>#REF!+#REF!</f>
        <v>#REF!</v>
      </c>
      <c r="Z313" s="979"/>
      <c r="AA313" s="977" t="e">
        <f>#REF!</f>
        <v>#REF!</v>
      </c>
      <c r="AB313" s="977" t="e">
        <f t="shared" si="17"/>
        <v>#REF!</v>
      </c>
      <c r="AC313" s="977" t="e">
        <f>#REF!+#REF!</f>
        <v>#REF!</v>
      </c>
      <c r="AD313" s="977">
        <f t="shared" si="18"/>
        <v>2120</v>
      </c>
      <c r="AE313" s="634"/>
    </row>
    <row r="314" spans="1:35" s="629" customFormat="1" ht="18" customHeight="1">
      <c r="A314" s="664" t="s">
        <v>2846</v>
      </c>
      <c r="B314" s="510">
        <f t="shared" si="19"/>
        <v>7</v>
      </c>
      <c r="C314" s="980">
        <f>+NOMINA!C318</f>
        <v>9008311</v>
      </c>
      <c r="D314" s="981" t="str">
        <f>+NOMINA!D318</f>
        <v>Toro Margi Enrique</v>
      </c>
      <c r="E314" s="978" t="s">
        <v>4622</v>
      </c>
      <c r="F314" s="982">
        <v>27081</v>
      </c>
      <c r="G314" s="978" t="s">
        <v>4620</v>
      </c>
      <c r="H314" s="983">
        <f>+NOMINA!H318</f>
        <v>39265</v>
      </c>
      <c r="I314" s="984">
        <f>+NOMINA!I318</f>
        <v>17</v>
      </c>
      <c r="J314" s="985">
        <f>+NOMINA!J318</f>
        <v>0</v>
      </c>
      <c r="K314" s="984">
        <f>+NOMINA!K318</f>
        <v>17</v>
      </c>
      <c r="L314" s="986">
        <f>+NOMINA!CA318</f>
        <v>2120</v>
      </c>
      <c r="M314" s="443" t="e">
        <f>#REF!+#REF!-#REF!</f>
        <v>#REF!</v>
      </c>
      <c r="N314" s="975" t="e">
        <f>ROUND((#REF!+#REF!+#REF!+#REF!+#REF!+#REF!+#REF!+#REF!),2)</f>
        <v>#REF!</v>
      </c>
      <c r="Q314" s="629" t="e">
        <f>SUM(#REF!)</f>
        <v>#REF!</v>
      </c>
      <c r="R314" s="976" t="e">
        <f>#REF!+#REF!-#REF!</f>
        <v>#REF!</v>
      </c>
      <c r="S314" s="977">
        <v>200</v>
      </c>
      <c r="T314" s="976" t="e">
        <f>#REF!+#REF!</f>
        <v>#REF!</v>
      </c>
      <c r="U314" s="977" t="e">
        <f>#REF!</f>
        <v>#REF!</v>
      </c>
      <c r="V314" s="978">
        <v>0</v>
      </c>
      <c r="W314" s="977" t="e">
        <f>#REF!</f>
        <v>#REF!</v>
      </c>
      <c r="X314" s="979" t="e">
        <f>#REF!+#REF!</f>
        <v>#REF!</v>
      </c>
      <c r="Y314" s="979" t="e">
        <f>#REF!+#REF!</f>
        <v>#REF!</v>
      </c>
      <c r="Z314" s="979"/>
      <c r="AA314" s="977" t="e">
        <f>#REF!</f>
        <v>#REF!</v>
      </c>
      <c r="AB314" s="977" t="e">
        <f t="shared" si="17"/>
        <v>#REF!</v>
      </c>
      <c r="AC314" s="977" t="e">
        <f>#REF!+#REF!</f>
        <v>#REF!</v>
      </c>
      <c r="AD314" s="977">
        <f t="shared" si="18"/>
        <v>2120</v>
      </c>
      <c r="AE314" s="634"/>
    </row>
    <row r="315" spans="1:35" s="629" customFormat="1" ht="18" customHeight="1">
      <c r="A315" s="664" t="s">
        <v>2846</v>
      </c>
      <c r="B315" s="510">
        <f t="shared" si="19"/>
        <v>8</v>
      </c>
      <c r="C315" s="980">
        <f>+NOMINA!C319</f>
        <v>9011963</v>
      </c>
      <c r="D315" s="981" t="str">
        <f>+NOMINA!D319</f>
        <v>Alarcon Argenio</v>
      </c>
      <c r="E315" s="978" t="s">
        <v>4622</v>
      </c>
      <c r="F315" s="982">
        <v>27081</v>
      </c>
      <c r="G315" s="978" t="s">
        <v>4620</v>
      </c>
      <c r="H315" s="983">
        <f>+NOMINA!H319</f>
        <v>39820</v>
      </c>
      <c r="I315" s="984">
        <f>+NOMINA!I319</f>
        <v>16</v>
      </c>
      <c r="J315" s="985">
        <f>+NOMINA!J319</f>
        <v>0</v>
      </c>
      <c r="K315" s="984">
        <f>+NOMINA!K319</f>
        <v>16</v>
      </c>
      <c r="L315" s="986">
        <f>+NOMINA!CA319</f>
        <v>2120</v>
      </c>
      <c r="M315" s="443" t="e">
        <f>#REF!+#REF!-#REF!</f>
        <v>#REF!</v>
      </c>
      <c r="N315" s="975" t="e">
        <f>ROUND((#REF!+#REF!+#REF!+#REF!+#REF!+#REF!+#REF!+#REF!),2)</f>
        <v>#REF!</v>
      </c>
      <c r="Q315" s="629" t="e">
        <f>SUM(#REF!)</f>
        <v>#REF!</v>
      </c>
      <c r="R315" s="976" t="e">
        <f>#REF!+#REF!-#REF!</f>
        <v>#REF!</v>
      </c>
      <c r="S315" s="977">
        <v>200</v>
      </c>
      <c r="T315" s="976" t="e">
        <f>#REF!+#REF!</f>
        <v>#REF!</v>
      </c>
      <c r="U315" s="977" t="e">
        <f>#REF!</f>
        <v>#REF!</v>
      </c>
      <c r="V315" s="978">
        <v>0</v>
      </c>
      <c r="W315" s="977" t="e">
        <f>#REF!</f>
        <v>#REF!</v>
      </c>
      <c r="X315" s="979" t="e">
        <f>#REF!+#REF!</f>
        <v>#REF!</v>
      </c>
      <c r="Y315" s="979" t="e">
        <f>#REF!+#REF!</f>
        <v>#REF!</v>
      </c>
      <c r="Z315" s="979"/>
      <c r="AA315" s="977" t="e">
        <f>#REF!</f>
        <v>#REF!</v>
      </c>
      <c r="AB315" s="977" t="e">
        <f t="shared" si="17"/>
        <v>#REF!</v>
      </c>
      <c r="AC315" s="977" t="e">
        <f>#REF!+#REF!</f>
        <v>#REF!</v>
      </c>
      <c r="AD315" s="977">
        <f t="shared" si="18"/>
        <v>2120</v>
      </c>
      <c r="AE315" s="634"/>
    </row>
    <row r="316" spans="1:35" s="629" customFormat="1" ht="18" customHeight="1">
      <c r="A316" s="664" t="s">
        <v>2846</v>
      </c>
      <c r="B316" s="510">
        <f t="shared" si="19"/>
        <v>9</v>
      </c>
      <c r="C316" s="980">
        <f>+NOMINA!C320</f>
        <v>9100500</v>
      </c>
      <c r="D316" s="981" t="str">
        <f>+NOMINA!D320</f>
        <v>Hernandez de Villegas Zoraida Elodia</v>
      </c>
      <c r="E316" s="978" t="s">
        <v>4622</v>
      </c>
      <c r="F316" s="982">
        <v>27081</v>
      </c>
      <c r="G316" s="978" t="s">
        <v>4620</v>
      </c>
      <c r="H316" s="983">
        <f>+NOMINA!H320</f>
        <v>39496</v>
      </c>
      <c r="I316" s="984">
        <f>+NOMINA!I320</f>
        <v>16</v>
      </c>
      <c r="J316" s="985">
        <f>+NOMINA!J320</f>
        <v>0</v>
      </c>
      <c r="K316" s="984">
        <f>+NOMINA!K320</f>
        <v>16</v>
      </c>
      <c r="L316" s="986">
        <f>+NOMINA!CA320</f>
        <v>2120</v>
      </c>
      <c r="M316" s="443" t="e">
        <f>#REF!+#REF!-#REF!</f>
        <v>#REF!</v>
      </c>
      <c r="N316" s="975" t="e">
        <f>ROUND((#REF!+#REF!+#REF!+#REF!+#REF!+#REF!+#REF!+#REF!),2)</f>
        <v>#REF!</v>
      </c>
      <c r="Q316" s="629" t="e">
        <f>SUM(#REF!)</f>
        <v>#REF!</v>
      </c>
      <c r="R316" s="976" t="e">
        <f>#REF!+#REF!-#REF!</f>
        <v>#REF!</v>
      </c>
      <c r="S316" s="977">
        <v>200</v>
      </c>
      <c r="T316" s="976" t="e">
        <f>#REF!+#REF!</f>
        <v>#REF!</v>
      </c>
      <c r="U316" s="977" t="e">
        <f>#REF!</f>
        <v>#REF!</v>
      </c>
      <c r="V316" s="978">
        <v>0</v>
      </c>
      <c r="W316" s="977" t="e">
        <f>#REF!</f>
        <v>#REF!</v>
      </c>
      <c r="X316" s="979" t="e">
        <f>#REF!+#REF!</f>
        <v>#REF!</v>
      </c>
      <c r="Y316" s="979" t="e">
        <f>#REF!+#REF!</f>
        <v>#REF!</v>
      </c>
      <c r="Z316" s="979"/>
      <c r="AA316" s="977" t="e">
        <f>#REF!</f>
        <v>#REF!</v>
      </c>
      <c r="AB316" s="977" t="e">
        <f t="shared" si="17"/>
        <v>#REF!</v>
      </c>
      <c r="AC316" s="977" t="e">
        <f>#REF!+#REF!</f>
        <v>#REF!</v>
      </c>
      <c r="AD316" s="977">
        <f t="shared" si="18"/>
        <v>2120</v>
      </c>
      <c r="AE316" s="634"/>
    </row>
    <row r="317" spans="1:35" s="629" customFormat="1" ht="18" customHeight="1">
      <c r="A317" s="664" t="s">
        <v>2846</v>
      </c>
      <c r="B317" s="510">
        <f t="shared" si="19"/>
        <v>10</v>
      </c>
      <c r="C317" s="980">
        <f>+NOMINA!C321</f>
        <v>9110498</v>
      </c>
      <c r="D317" s="981" t="str">
        <f>+NOMINA!D321</f>
        <v>Ruiz Alberto Jose</v>
      </c>
      <c r="E317" s="978" t="s">
        <v>4622</v>
      </c>
      <c r="F317" s="982">
        <v>27081</v>
      </c>
      <c r="G317" s="978" t="s">
        <v>4620</v>
      </c>
      <c r="H317" s="983">
        <f>+NOMINA!H321</f>
        <v>37508</v>
      </c>
      <c r="I317" s="984">
        <f>+NOMINA!I321</f>
        <v>22</v>
      </c>
      <c r="J317" s="985">
        <f>+NOMINA!J321</f>
        <v>0</v>
      </c>
      <c r="K317" s="984">
        <f>+NOMINA!K321</f>
        <v>22</v>
      </c>
      <c r="L317" s="986">
        <f>+NOMINA!CA321</f>
        <v>2120</v>
      </c>
      <c r="M317" s="443" t="e">
        <f>#REF!+#REF!-#REF!</f>
        <v>#REF!</v>
      </c>
      <c r="N317" s="975" t="e">
        <f>ROUND((#REF!+#REF!+#REF!+#REF!+#REF!+#REF!+#REF!+#REF!),2)</f>
        <v>#REF!</v>
      </c>
      <c r="Q317" s="629" t="e">
        <f>SUM(#REF!)</f>
        <v>#REF!</v>
      </c>
      <c r="R317" s="976" t="e">
        <f>#REF!+#REF!-#REF!</f>
        <v>#REF!</v>
      </c>
      <c r="S317" s="977">
        <v>200</v>
      </c>
      <c r="T317" s="976" t="e">
        <f>#REF!+#REF!</f>
        <v>#REF!</v>
      </c>
      <c r="U317" s="977" t="e">
        <f>#REF!</f>
        <v>#REF!</v>
      </c>
      <c r="V317" s="978">
        <v>0</v>
      </c>
      <c r="W317" s="977" t="e">
        <f>#REF!</f>
        <v>#REF!</v>
      </c>
      <c r="X317" s="979" t="e">
        <f>#REF!+#REF!</f>
        <v>#REF!</v>
      </c>
      <c r="Y317" s="979" t="e">
        <f>#REF!+#REF!</f>
        <v>#REF!</v>
      </c>
      <c r="Z317" s="979"/>
      <c r="AA317" s="977" t="e">
        <f>#REF!</f>
        <v>#REF!</v>
      </c>
      <c r="AB317" s="977" t="e">
        <f t="shared" si="17"/>
        <v>#REF!</v>
      </c>
      <c r="AC317" s="977" t="e">
        <f>#REF!+#REF!</f>
        <v>#REF!</v>
      </c>
      <c r="AD317" s="977">
        <f t="shared" si="18"/>
        <v>2120</v>
      </c>
      <c r="AE317" s="634"/>
    </row>
    <row r="318" spans="1:35" s="629" customFormat="1" ht="18" customHeight="1">
      <c r="A318" s="664" t="s">
        <v>2846</v>
      </c>
      <c r="B318" s="510">
        <f t="shared" si="19"/>
        <v>11</v>
      </c>
      <c r="C318" s="980">
        <f>+NOMINA!C322</f>
        <v>9163994</v>
      </c>
      <c r="D318" s="981" t="str">
        <f>+NOMINA!D322</f>
        <v>Rodriguez Fernandez Carlos Eduardo</v>
      </c>
      <c r="E318" s="978" t="s">
        <v>4622</v>
      </c>
      <c r="F318" s="982">
        <v>27081</v>
      </c>
      <c r="G318" s="978" t="s">
        <v>4620</v>
      </c>
      <c r="H318" s="983">
        <f>+NOMINA!H322</f>
        <v>43770</v>
      </c>
      <c r="I318" s="984">
        <f>+NOMINA!I322</f>
        <v>5</v>
      </c>
      <c r="J318" s="985">
        <f>+NOMINA!J322</f>
        <v>0</v>
      </c>
      <c r="K318" s="984">
        <f>+NOMINA!K322</f>
        <v>5</v>
      </c>
      <c r="L318" s="986">
        <f>+NOMINA!CA322</f>
        <v>2120</v>
      </c>
      <c r="M318" s="443" t="e">
        <f>#REF!+#REF!-#REF!</f>
        <v>#REF!</v>
      </c>
      <c r="N318" s="975" t="e">
        <f>ROUND((#REF!+#REF!+#REF!+#REF!+#REF!+#REF!+#REF!+#REF!),2)</f>
        <v>#REF!</v>
      </c>
      <c r="Q318" s="629" t="e">
        <f>SUM(#REF!)</f>
        <v>#REF!</v>
      </c>
      <c r="R318" s="976" t="e">
        <f>#REF!+#REF!-#REF!</f>
        <v>#REF!</v>
      </c>
      <c r="S318" s="977">
        <v>200</v>
      </c>
      <c r="T318" s="976" t="e">
        <f>#REF!+#REF!</f>
        <v>#REF!</v>
      </c>
      <c r="U318" s="977" t="e">
        <f>#REF!</f>
        <v>#REF!</v>
      </c>
      <c r="V318" s="978">
        <v>0</v>
      </c>
      <c r="W318" s="977" t="e">
        <f>#REF!</f>
        <v>#REF!</v>
      </c>
      <c r="X318" s="979" t="e">
        <f>#REF!+#REF!</f>
        <v>#REF!</v>
      </c>
      <c r="Y318" s="979" t="e">
        <f>#REF!+#REF!</f>
        <v>#REF!</v>
      </c>
      <c r="Z318" s="979"/>
      <c r="AA318" s="977" t="e">
        <f>#REF!</f>
        <v>#REF!</v>
      </c>
      <c r="AB318" s="977" t="e">
        <f t="shared" si="17"/>
        <v>#REF!</v>
      </c>
      <c r="AC318" s="977" t="e">
        <f>#REF!+#REF!</f>
        <v>#REF!</v>
      </c>
      <c r="AD318" s="977">
        <f t="shared" si="18"/>
        <v>2120</v>
      </c>
      <c r="AE318" s="634"/>
    </row>
    <row r="319" spans="1:35" s="629" customFormat="1" ht="18" customHeight="1">
      <c r="A319" s="664" t="s">
        <v>2846</v>
      </c>
      <c r="B319" s="510">
        <f t="shared" si="19"/>
        <v>12</v>
      </c>
      <c r="C319" s="980">
        <f>+NOMINA!C323</f>
        <v>9167342</v>
      </c>
      <c r="D319" s="981" t="str">
        <f>+NOMINA!D323</f>
        <v>Gutierrez Briceño Jose Justimiano</v>
      </c>
      <c r="E319" s="978" t="s">
        <v>4622</v>
      </c>
      <c r="F319" s="982">
        <v>27081</v>
      </c>
      <c r="G319" s="978" t="s">
        <v>4620</v>
      </c>
      <c r="H319" s="983">
        <f>+NOMINA!H323</f>
        <v>43845</v>
      </c>
      <c r="I319" s="984">
        <f>+NOMINA!I323</f>
        <v>5</v>
      </c>
      <c r="J319" s="985">
        <f>+NOMINA!J323</f>
        <v>0</v>
      </c>
      <c r="K319" s="984">
        <f>+NOMINA!K323</f>
        <v>5</v>
      </c>
      <c r="L319" s="986">
        <f>+NOMINA!CA323</f>
        <v>2120</v>
      </c>
      <c r="M319" s="443" t="e">
        <f>#REF!+#REF!-#REF!</f>
        <v>#REF!</v>
      </c>
      <c r="N319" s="975" t="e">
        <f>ROUND((#REF!+#REF!+#REF!+#REF!+#REF!+#REF!+#REF!+#REF!),2)</f>
        <v>#REF!</v>
      </c>
      <c r="Q319" s="629" t="e">
        <f>SUM(#REF!)</f>
        <v>#REF!</v>
      </c>
      <c r="R319" s="976" t="e">
        <f>#REF!+#REF!-#REF!</f>
        <v>#REF!</v>
      </c>
      <c r="S319" s="977">
        <v>200</v>
      </c>
      <c r="T319" s="976" t="e">
        <f>#REF!+#REF!</f>
        <v>#REF!</v>
      </c>
      <c r="U319" s="977" t="e">
        <f>#REF!</f>
        <v>#REF!</v>
      </c>
      <c r="V319" s="978">
        <v>0</v>
      </c>
      <c r="W319" s="977" t="e">
        <f>#REF!</f>
        <v>#REF!</v>
      </c>
      <c r="X319" s="979" t="e">
        <f>#REF!+#REF!</f>
        <v>#REF!</v>
      </c>
      <c r="Y319" s="979" t="e">
        <f>#REF!+#REF!</f>
        <v>#REF!</v>
      </c>
      <c r="Z319" s="979"/>
      <c r="AA319" s="977" t="e">
        <f>#REF!</f>
        <v>#REF!</v>
      </c>
      <c r="AB319" s="977" t="e">
        <f t="shared" si="17"/>
        <v>#REF!</v>
      </c>
      <c r="AC319" s="977" t="e">
        <f>#REF!+#REF!</f>
        <v>#REF!</v>
      </c>
      <c r="AD319" s="977">
        <f t="shared" si="18"/>
        <v>2120</v>
      </c>
      <c r="AE319" s="634"/>
    </row>
    <row r="320" spans="1:35" s="629" customFormat="1" ht="18" customHeight="1">
      <c r="A320" s="664" t="s">
        <v>2846</v>
      </c>
      <c r="B320" s="510">
        <f t="shared" si="19"/>
        <v>13</v>
      </c>
      <c r="C320" s="980">
        <f>+NOMINA!C324</f>
        <v>9310477</v>
      </c>
      <c r="D320" s="981" t="str">
        <f>+NOMINA!D324</f>
        <v>Campos Muchacho Rafael Angel</v>
      </c>
      <c r="E320" s="978" t="s">
        <v>4622</v>
      </c>
      <c r="F320" s="982">
        <v>27081</v>
      </c>
      <c r="G320" s="978" t="s">
        <v>4620</v>
      </c>
      <c r="H320" s="983">
        <f>+NOMINA!H324</f>
        <v>44075</v>
      </c>
      <c r="I320" s="984">
        <f>+NOMINA!I324</f>
        <v>4</v>
      </c>
      <c r="J320" s="985">
        <f>+NOMINA!J324</f>
        <v>0</v>
      </c>
      <c r="K320" s="984">
        <f>+NOMINA!K324</f>
        <v>4</v>
      </c>
      <c r="L320" s="986">
        <f>+NOMINA!CA324</f>
        <v>2120</v>
      </c>
      <c r="M320" s="443" t="e">
        <f>#REF!+#REF!-#REF!</f>
        <v>#REF!</v>
      </c>
      <c r="N320" s="975" t="e">
        <f>ROUND((#REF!+#REF!+#REF!+#REF!+#REF!+#REF!+#REF!+#REF!),2)</f>
        <v>#REF!</v>
      </c>
      <c r="Q320" s="629" t="e">
        <f>SUM(#REF!)</f>
        <v>#REF!</v>
      </c>
      <c r="R320" s="976" t="e">
        <f>#REF!+#REF!-#REF!</f>
        <v>#REF!</v>
      </c>
      <c r="S320" s="977">
        <v>200</v>
      </c>
      <c r="T320" s="976" t="e">
        <f>#REF!+#REF!</f>
        <v>#REF!</v>
      </c>
      <c r="U320" s="977" t="e">
        <f>#REF!</f>
        <v>#REF!</v>
      </c>
      <c r="V320" s="978">
        <v>0</v>
      </c>
      <c r="W320" s="977" t="e">
        <f>#REF!</f>
        <v>#REF!</v>
      </c>
      <c r="X320" s="979" t="e">
        <f>#REF!+#REF!</f>
        <v>#REF!</v>
      </c>
      <c r="Y320" s="979" t="e">
        <f>#REF!+#REF!</f>
        <v>#REF!</v>
      </c>
      <c r="Z320" s="979"/>
      <c r="AA320" s="977" t="e">
        <f>#REF!</f>
        <v>#REF!</v>
      </c>
      <c r="AB320" s="977" t="e">
        <f t="shared" si="17"/>
        <v>#REF!</v>
      </c>
      <c r="AC320" s="977" t="e">
        <f>#REF!+#REF!</f>
        <v>#REF!</v>
      </c>
      <c r="AD320" s="977">
        <f t="shared" si="18"/>
        <v>2120</v>
      </c>
      <c r="AE320" s="634"/>
    </row>
    <row r="321" spans="1:31" s="629" customFormat="1" ht="18" customHeight="1">
      <c r="A321" s="664" t="s">
        <v>2846</v>
      </c>
      <c r="B321" s="510">
        <f t="shared" si="19"/>
        <v>14</v>
      </c>
      <c r="C321" s="980">
        <f>+NOMINA!C325</f>
        <v>9323739</v>
      </c>
      <c r="D321" s="981" t="str">
        <f>+NOMINA!D325</f>
        <v>Vargas Benitez Jose Nerio</v>
      </c>
      <c r="E321" s="978" t="s">
        <v>4622</v>
      </c>
      <c r="F321" s="982">
        <v>27081</v>
      </c>
      <c r="G321" s="978" t="s">
        <v>4620</v>
      </c>
      <c r="H321" s="983">
        <f>+NOMINA!H325</f>
        <v>39300</v>
      </c>
      <c r="I321" s="984">
        <f>+NOMINA!I325</f>
        <v>17</v>
      </c>
      <c r="J321" s="985">
        <f>+NOMINA!J325</f>
        <v>0</v>
      </c>
      <c r="K321" s="984">
        <f>+NOMINA!K325</f>
        <v>17</v>
      </c>
      <c r="L321" s="986">
        <f>+NOMINA!CA325</f>
        <v>2120</v>
      </c>
      <c r="M321" s="443" t="e">
        <f>#REF!+#REF!-#REF!</f>
        <v>#REF!</v>
      </c>
      <c r="N321" s="975" t="e">
        <f>ROUND((#REF!+#REF!+#REF!+#REF!+#REF!+#REF!+#REF!+#REF!),2)</f>
        <v>#REF!</v>
      </c>
      <c r="Q321" s="629" t="e">
        <f>SUM(#REF!)</f>
        <v>#REF!</v>
      </c>
      <c r="R321" s="976" t="e">
        <f>#REF!+#REF!-#REF!</f>
        <v>#REF!</v>
      </c>
      <c r="S321" s="977">
        <v>200</v>
      </c>
      <c r="T321" s="976" t="e">
        <f>#REF!+#REF!</f>
        <v>#REF!</v>
      </c>
      <c r="U321" s="977" t="e">
        <f>#REF!</f>
        <v>#REF!</v>
      </c>
      <c r="V321" s="978">
        <v>0</v>
      </c>
      <c r="W321" s="977" t="e">
        <f>#REF!</f>
        <v>#REF!</v>
      </c>
      <c r="X321" s="979" t="e">
        <f>#REF!+#REF!</f>
        <v>#REF!</v>
      </c>
      <c r="Y321" s="979" t="e">
        <f>#REF!+#REF!</f>
        <v>#REF!</v>
      </c>
      <c r="Z321" s="979"/>
      <c r="AA321" s="977" t="e">
        <f>#REF!</f>
        <v>#REF!</v>
      </c>
      <c r="AB321" s="977" t="e">
        <f t="shared" si="17"/>
        <v>#REF!</v>
      </c>
      <c r="AC321" s="977" t="e">
        <f>#REF!+#REF!</f>
        <v>#REF!</v>
      </c>
      <c r="AD321" s="977">
        <f t="shared" si="18"/>
        <v>2120</v>
      </c>
      <c r="AE321" s="634"/>
    </row>
    <row r="322" spans="1:31" s="629" customFormat="1" ht="18" customHeight="1">
      <c r="A322" s="664" t="s">
        <v>2846</v>
      </c>
      <c r="B322" s="510">
        <f t="shared" si="19"/>
        <v>15</v>
      </c>
      <c r="C322" s="980">
        <f>+NOMINA!C326</f>
        <v>9325664</v>
      </c>
      <c r="D322" s="981" t="str">
        <f>+NOMINA!D326</f>
        <v>Lobo Mendoza Luz Marina</v>
      </c>
      <c r="E322" s="978" t="s">
        <v>4622</v>
      </c>
      <c r="F322" s="982">
        <v>27081</v>
      </c>
      <c r="G322" s="978" t="s">
        <v>4620</v>
      </c>
      <c r="H322" s="983">
        <f>+NOMINA!H326</f>
        <v>42948</v>
      </c>
      <c r="I322" s="984">
        <f>+NOMINA!I326</f>
        <v>7</v>
      </c>
      <c r="J322" s="985">
        <f>+NOMINA!J326</f>
        <v>0</v>
      </c>
      <c r="K322" s="984">
        <f>+NOMINA!K326</f>
        <v>7</v>
      </c>
      <c r="L322" s="986">
        <f>+NOMINA!CA326</f>
        <v>2120</v>
      </c>
      <c r="M322" s="443" t="e">
        <f>#REF!+#REF!-#REF!</f>
        <v>#REF!</v>
      </c>
      <c r="N322" s="975" t="e">
        <f>ROUND((#REF!+#REF!+#REF!+#REF!+#REF!+#REF!+#REF!+#REF!),2)</f>
        <v>#REF!</v>
      </c>
      <c r="Q322" s="629" t="e">
        <f>SUM(#REF!)</f>
        <v>#REF!</v>
      </c>
      <c r="R322" s="976" t="e">
        <f>#REF!+#REF!-#REF!</f>
        <v>#REF!</v>
      </c>
      <c r="S322" s="977">
        <v>200</v>
      </c>
      <c r="T322" s="976" t="e">
        <f>#REF!+#REF!</f>
        <v>#REF!</v>
      </c>
      <c r="U322" s="977" t="e">
        <f>#REF!</f>
        <v>#REF!</v>
      </c>
      <c r="V322" s="978">
        <v>0</v>
      </c>
      <c r="W322" s="977" t="e">
        <f>#REF!</f>
        <v>#REF!</v>
      </c>
      <c r="X322" s="979" t="e">
        <f>#REF!+#REF!</f>
        <v>#REF!</v>
      </c>
      <c r="Y322" s="979" t="e">
        <f>#REF!+#REF!</f>
        <v>#REF!</v>
      </c>
      <c r="Z322" s="979"/>
      <c r="AA322" s="977" t="e">
        <f>#REF!</f>
        <v>#REF!</v>
      </c>
      <c r="AB322" s="977" t="e">
        <f t="shared" si="17"/>
        <v>#REF!</v>
      </c>
      <c r="AC322" s="977" t="e">
        <f>#REF!+#REF!</f>
        <v>#REF!</v>
      </c>
      <c r="AD322" s="977">
        <f t="shared" si="18"/>
        <v>2120</v>
      </c>
      <c r="AE322" s="634"/>
    </row>
    <row r="323" spans="1:31" s="629" customFormat="1" ht="18" customHeight="1">
      <c r="A323" s="664" t="s">
        <v>2846</v>
      </c>
      <c r="B323" s="510">
        <f t="shared" si="19"/>
        <v>16</v>
      </c>
      <c r="C323" s="980">
        <f>+NOMINA!C327</f>
        <v>9328045</v>
      </c>
      <c r="D323" s="981" t="str">
        <f>+NOMINA!D327</f>
        <v>Paredes Quintero Jose Benigno</v>
      </c>
      <c r="E323" s="978" t="s">
        <v>4622</v>
      </c>
      <c r="F323" s="982">
        <v>27081</v>
      </c>
      <c r="G323" s="978" t="s">
        <v>4620</v>
      </c>
      <c r="H323" s="983">
        <f>+NOMINA!H327</f>
        <v>44212</v>
      </c>
      <c r="I323" s="984">
        <f>+NOMINA!I327</f>
        <v>4</v>
      </c>
      <c r="J323" s="985">
        <f>+NOMINA!J327</f>
        <v>0</v>
      </c>
      <c r="K323" s="984">
        <f>+NOMINA!K327</f>
        <v>4</v>
      </c>
      <c r="L323" s="986">
        <f>+NOMINA!CA327</f>
        <v>2120</v>
      </c>
      <c r="M323" s="443" t="e">
        <f>#REF!+#REF!-#REF!</f>
        <v>#REF!</v>
      </c>
      <c r="N323" s="975" t="e">
        <f>ROUND((#REF!+#REF!+#REF!+#REF!+#REF!+#REF!+#REF!+#REF!),2)</f>
        <v>#REF!</v>
      </c>
      <c r="Q323" s="629" t="e">
        <f>SUM(#REF!)</f>
        <v>#REF!</v>
      </c>
      <c r="R323" s="976" t="e">
        <f>#REF!+#REF!-#REF!</f>
        <v>#REF!</v>
      </c>
      <c r="S323" s="977">
        <v>200</v>
      </c>
      <c r="T323" s="976" t="e">
        <f>#REF!+#REF!</f>
        <v>#REF!</v>
      </c>
      <c r="U323" s="977" t="e">
        <f>#REF!</f>
        <v>#REF!</v>
      </c>
      <c r="V323" s="978">
        <v>0</v>
      </c>
      <c r="W323" s="977" t="e">
        <f>#REF!</f>
        <v>#REF!</v>
      </c>
      <c r="X323" s="979" t="e">
        <f>#REF!+#REF!</f>
        <v>#REF!</v>
      </c>
      <c r="Y323" s="979" t="e">
        <f>#REF!+#REF!</f>
        <v>#REF!</v>
      </c>
      <c r="Z323" s="979"/>
      <c r="AA323" s="977" t="e">
        <f>#REF!</f>
        <v>#REF!</v>
      </c>
      <c r="AB323" s="977" t="e">
        <f t="shared" si="17"/>
        <v>#REF!</v>
      </c>
      <c r="AC323" s="977" t="e">
        <f>#REF!+#REF!</f>
        <v>#REF!</v>
      </c>
      <c r="AD323" s="977">
        <f t="shared" si="18"/>
        <v>2120</v>
      </c>
      <c r="AE323" s="634"/>
    </row>
    <row r="324" spans="1:31" s="629" customFormat="1" ht="18" customHeight="1">
      <c r="A324" s="664" t="s">
        <v>2846</v>
      </c>
      <c r="B324" s="510">
        <f t="shared" si="19"/>
        <v>17</v>
      </c>
      <c r="C324" s="980">
        <f>+NOMINA!C328</f>
        <v>10178456</v>
      </c>
      <c r="D324" s="981" t="str">
        <f>+NOMINA!D328</f>
        <v>Figueroa Roa Yudith Griselda</v>
      </c>
      <c r="E324" s="978" t="s">
        <v>4622</v>
      </c>
      <c r="F324" s="982">
        <v>27081</v>
      </c>
      <c r="G324" s="978" t="s">
        <v>4620</v>
      </c>
      <c r="H324" s="983">
        <f>+NOMINA!H328</f>
        <v>44287</v>
      </c>
      <c r="I324" s="984">
        <f>+NOMINA!I328</f>
        <v>3</v>
      </c>
      <c r="J324" s="985">
        <f>+NOMINA!J328</f>
        <v>0</v>
      </c>
      <c r="K324" s="984">
        <f>+NOMINA!K328</f>
        <v>3</v>
      </c>
      <c r="L324" s="986">
        <f>+NOMINA!CA328</f>
        <v>2120</v>
      </c>
      <c r="M324" s="443" t="e">
        <f>#REF!+#REF!-#REF!</f>
        <v>#REF!</v>
      </c>
      <c r="N324" s="975" t="e">
        <f>ROUND((#REF!+#REF!+#REF!+#REF!+#REF!+#REF!+#REF!+#REF!),2)</f>
        <v>#REF!</v>
      </c>
      <c r="Q324" s="629" t="e">
        <f>SUM(#REF!)</f>
        <v>#REF!</v>
      </c>
      <c r="R324" s="976" t="e">
        <f>#REF!+#REF!-#REF!</f>
        <v>#REF!</v>
      </c>
      <c r="S324" s="977">
        <v>200</v>
      </c>
      <c r="T324" s="976" t="e">
        <f>#REF!+#REF!</f>
        <v>#REF!</v>
      </c>
      <c r="U324" s="977" t="e">
        <f>#REF!</f>
        <v>#REF!</v>
      </c>
      <c r="V324" s="978">
        <v>0</v>
      </c>
      <c r="W324" s="977" t="e">
        <f>#REF!</f>
        <v>#REF!</v>
      </c>
      <c r="X324" s="979" t="e">
        <f>#REF!+#REF!</f>
        <v>#REF!</v>
      </c>
      <c r="Y324" s="979" t="e">
        <f>#REF!+#REF!</f>
        <v>#REF!</v>
      </c>
      <c r="Z324" s="979"/>
      <c r="AA324" s="977" t="e">
        <f>#REF!</f>
        <v>#REF!</v>
      </c>
      <c r="AB324" s="977" t="e">
        <f t="shared" si="17"/>
        <v>#REF!</v>
      </c>
      <c r="AC324" s="977" t="e">
        <f>#REF!+#REF!</f>
        <v>#REF!</v>
      </c>
      <c r="AD324" s="977">
        <f t="shared" si="18"/>
        <v>2120</v>
      </c>
      <c r="AE324" s="634"/>
    </row>
    <row r="325" spans="1:31" s="629" customFormat="1" ht="18" customHeight="1">
      <c r="A325" s="664" t="s">
        <v>2846</v>
      </c>
      <c r="B325" s="510">
        <f t="shared" si="19"/>
        <v>18</v>
      </c>
      <c r="C325" s="980">
        <f>+NOMINA!C329</f>
        <v>10317435</v>
      </c>
      <c r="D325" s="981" t="str">
        <f>+NOMINA!D329</f>
        <v>Milla Ana Julia</v>
      </c>
      <c r="E325" s="978" t="s">
        <v>4622</v>
      </c>
      <c r="F325" s="982">
        <v>27081</v>
      </c>
      <c r="G325" s="978" t="s">
        <v>4620</v>
      </c>
      <c r="H325" s="983">
        <f>+NOMINA!H329</f>
        <v>39559</v>
      </c>
      <c r="I325" s="984">
        <f>+NOMINA!I329</f>
        <v>16</v>
      </c>
      <c r="J325" s="985">
        <f>+NOMINA!J329</f>
        <v>0</v>
      </c>
      <c r="K325" s="984">
        <f>+NOMINA!K329</f>
        <v>16</v>
      </c>
      <c r="L325" s="986">
        <f>+NOMINA!CA329</f>
        <v>2120</v>
      </c>
      <c r="M325" s="443" t="e">
        <f>#REF!+#REF!-#REF!</f>
        <v>#REF!</v>
      </c>
      <c r="N325" s="975" t="e">
        <f>ROUND((#REF!+#REF!+#REF!+#REF!+#REF!+#REF!+#REF!+#REF!),2)</f>
        <v>#REF!</v>
      </c>
      <c r="Q325" s="629" t="e">
        <f>SUM(#REF!)</f>
        <v>#REF!</v>
      </c>
      <c r="R325" s="976" t="e">
        <f>#REF!+#REF!-#REF!</f>
        <v>#REF!</v>
      </c>
      <c r="S325" s="977">
        <v>200</v>
      </c>
      <c r="T325" s="976" t="e">
        <f>#REF!+#REF!</f>
        <v>#REF!</v>
      </c>
      <c r="U325" s="977" t="e">
        <f>#REF!</f>
        <v>#REF!</v>
      </c>
      <c r="V325" s="978">
        <v>0</v>
      </c>
      <c r="W325" s="977" t="e">
        <f>#REF!</f>
        <v>#REF!</v>
      </c>
      <c r="X325" s="979" t="e">
        <f>#REF!+#REF!</f>
        <v>#REF!</v>
      </c>
      <c r="Y325" s="979" t="e">
        <f>#REF!+#REF!</f>
        <v>#REF!</v>
      </c>
      <c r="Z325" s="979"/>
      <c r="AA325" s="977" t="e">
        <f>#REF!</f>
        <v>#REF!</v>
      </c>
      <c r="AB325" s="977" t="e">
        <f t="shared" si="17"/>
        <v>#REF!</v>
      </c>
      <c r="AC325" s="977" t="e">
        <f>#REF!+#REF!</f>
        <v>#REF!</v>
      </c>
      <c r="AD325" s="977">
        <f t="shared" si="18"/>
        <v>2120</v>
      </c>
      <c r="AE325" s="634"/>
    </row>
    <row r="326" spans="1:31" s="629" customFormat="1" ht="18" customHeight="1">
      <c r="A326" s="664" t="s">
        <v>2846</v>
      </c>
      <c r="B326" s="510">
        <f t="shared" si="19"/>
        <v>19</v>
      </c>
      <c r="C326" s="980">
        <f>+NOMINA!C330</f>
        <v>10396367</v>
      </c>
      <c r="D326" s="981" t="str">
        <f>+NOMINA!D330</f>
        <v>Hidalgo Linares Gloria Margarita</v>
      </c>
      <c r="E326" s="978" t="s">
        <v>4622</v>
      </c>
      <c r="F326" s="982">
        <v>27081</v>
      </c>
      <c r="G326" s="978" t="s">
        <v>4620</v>
      </c>
      <c r="H326" s="983">
        <f>+NOMINA!H330</f>
        <v>39722</v>
      </c>
      <c r="I326" s="984">
        <f>+NOMINA!I330</f>
        <v>16</v>
      </c>
      <c r="J326" s="985">
        <f>+NOMINA!J330</f>
        <v>0</v>
      </c>
      <c r="K326" s="984">
        <f>+NOMINA!K330</f>
        <v>16</v>
      </c>
      <c r="L326" s="986">
        <f>+NOMINA!CA330</f>
        <v>2120</v>
      </c>
      <c r="M326" s="443" t="e">
        <f>#REF!+#REF!-#REF!</f>
        <v>#REF!</v>
      </c>
      <c r="N326" s="975" t="e">
        <f>ROUND((#REF!+#REF!+#REF!+#REF!+#REF!+#REF!+#REF!+#REF!),2)</f>
        <v>#REF!</v>
      </c>
      <c r="Q326" s="629" t="e">
        <f>SUM(#REF!)</f>
        <v>#REF!</v>
      </c>
      <c r="R326" s="976" t="e">
        <f>#REF!+#REF!-#REF!</f>
        <v>#REF!</v>
      </c>
      <c r="S326" s="977">
        <v>200</v>
      </c>
      <c r="T326" s="976" t="e">
        <f>#REF!+#REF!</f>
        <v>#REF!</v>
      </c>
      <c r="U326" s="977" t="e">
        <f>#REF!</f>
        <v>#REF!</v>
      </c>
      <c r="V326" s="978">
        <v>0</v>
      </c>
      <c r="W326" s="977" t="e">
        <f>#REF!</f>
        <v>#REF!</v>
      </c>
      <c r="X326" s="979" t="e">
        <f>#REF!+#REF!</f>
        <v>#REF!</v>
      </c>
      <c r="Y326" s="979" t="e">
        <f>#REF!+#REF!</f>
        <v>#REF!</v>
      </c>
      <c r="Z326" s="979"/>
      <c r="AA326" s="977" t="e">
        <f>#REF!</f>
        <v>#REF!</v>
      </c>
      <c r="AB326" s="977" t="e">
        <f t="shared" si="17"/>
        <v>#REF!</v>
      </c>
      <c r="AC326" s="977" t="e">
        <f>#REF!+#REF!</f>
        <v>#REF!</v>
      </c>
      <c r="AD326" s="977">
        <f t="shared" si="18"/>
        <v>2120</v>
      </c>
      <c r="AE326" s="634"/>
    </row>
    <row r="327" spans="1:31" s="629" customFormat="1" ht="18" customHeight="1">
      <c r="A327" s="664" t="s">
        <v>2846</v>
      </c>
      <c r="B327" s="510">
        <f t="shared" si="19"/>
        <v>20</v>
      </c>
      <c r="C327" s="980">
        <f>+NOMINA!C331</f>
        <v>10399474</v>
      </c>
      <c r="D327" s="981" t="str">
        <f>+NOMINA!D331</f>
        <v>Ramirez Araujo Teresa Maria</v>
      </c>
      <c r="E327" s="978" t="s">
        <v>4622</v>
      </c>
      <c r="F327" s="982">
        <v>27081</v>
      </c>
      <c r="G327" s="978" t="s">
        <v>4620</v>
      </c>
      <c r="H327" s="983">
        <f>+NOMINA!H331</f>
        <v>45597</v>
      </c>
      <c r="I327" s="984">
        <f>+NOMINA!I331</f>
        <v>0</v>
      </c>
      <c r="J327" s="985">
        <f>+NOMINA!J331</f>
        <v>0</v>
      </c>
      <c r="K327" s="984">
        <f>+NOMINA!K331</f>
        <v>0</v>
      </c>
      <c r="L327" s="986">
        <f>+NOMINA!CA331</f>
        <v>2120</v>
      </c>
      <c r="M327" s="443" t="e">
        <f>#REF!+#REF!-#REF!</f>
        <v>#REF!</v>
      </c>
      <c r="N327" s="975" t="e">
        <f>ROUND((#REF!+#REF!+#REF!+#REF!+#REF!+#REF!+#REF!+#REF!),2)</f>
        <v>#REF!</v>
      </c>
      <c r="Q327" s="629" t="e">
        <f>SUM(#REF!)</f>
        <v>#REF!</v>
      </c>
      <c r="R327" s="976" t="e">
        <f>#REF!+#REF!-#REF!</f>
        <v>#REF!</v>
      </c>
      <c r="S327" s="977">
        <v>200</v>
      </c>
      <c r="T327" s="976" t="e">
        <f>#REF!+#REF!</f>
        <v>#REF!</v>
      </c>
      <c r="U327" s="977" t="e">
        <f>#REF!</f>
        <v>#REF!</v>
      </c>
      <c r="V327" s="978">
        <v>0</v>
      </c>
      <c r="W327" s="977" t="e">
        <f>#REF!</f>
        <v>#REF!</v>
      </c>
      <c r="X327" s="979" t="e">
        <f>#REF!+#REF!</f>
        <v>#REF!</v>
      </c>
      <c r="Y327" s="979" t="e">
        <f>#REF!+#REF!</f>
        <v>#REF!</v>
      </c>
      <c r="Z327" s="979"/>
      <c r="AA327" s="977" t="e">
        <f>#REF!</f>
        <v>#REF!</v>
      </c>
      <c r="AB327" s="977" t="e">
        <f t="shared" si="17"/>
        <v>#REF!</v>
      </c>
      <c r="AC327" s="977" t="e">
        <f>#REF!+#REF!</f>
        <v>#REF!</v>
      </c>
      <c r="AD327" s="977">
        <f t="shared" si="18"/>
        <v>2120</v>
      </c>
      <c r="AE327" s="634"/>
    </row>
    <row r="328" spans="1:31" s="629" customFormat="1" ht="18" customHeight="1">
      <c r="A328" s="664" t="s">
        <v>2846</v>
      </c>
      <c r="B328" s="510">
        <f t="shared" si="19"/>
        <v>21</v>
      </c>
      <c r="C328" s="980">
        <f>+NOMINA!C332</f>
        <v>10401329</v>
      </c>
      <c r="D328" s="981" t="str">
        <f>+NOMINA!D332</f>
        <v>Gonzalez Torres Orangel Ramon</v>
      </c>
      <c r="E328" s="978" t="s">
        <v>4622</v>
      </c>
      <c r="F328" s="982">
        <v>27081</v>
      </c>
      <c r="G328" s="978" t="s">
        <v>4620</v>
      </c>
      <c r="H328" s="983">
        <f>+NOMINA!H332</f>
        <v>39539</v>
      </c>
      <c r="I328" s="984">
        <f>+NOMINA!I332</f>
        <v>16</v>
      </c>
      <c r="J328" s="985">
        <f>+NOMINA!J332</f>
        <v>0</v>
      </c>
      <c r="K328" s="984">
        <f>+NOMINA!K332</f>
        <v>16</v>
      </c>
      <c r="L328" s="986">
        <f>+NOMINA!CA332</f>
        <v>2120</v>
      </c>
      <c r="M328" s="443" t="e">
        <f>#REF!+#REF!-#REF!</f>
        <v>#REF!</v>
      </c>
      <c r="N328" s="975" t="e">
        <f>ROUND((#REF!+#REF!+#REF!+#REF!+#REF!+#REF!+#REF!+#REF!),2)</f>
        <v>#REF!</v>
      </c>
      <c r="Q328" s="629" t="e">
        <f>SUM(#REF!)</f>
        <v>#REF!</v>
      </c>
      <c r="R328" s="976" t="e">
        <f>#REF!+#REF!-#REF!</f>
        <v>#REF!</v>
      </c>
      <c r="S328" s="977">
        <v>200</v>
      </c>
      <c r="T328" s="976" t="e">
        <f>#REF!+#REF!</f>
        <v>#REF!</v>
      </c>
      <c r="U328" s="977" t="e">
        <f>#REF!</f>
        <v>#REF!</v>
      </c>
      <c r="V328" s="978">
        <v>0</v>
      </c>
      <c r="W328" s="977" t="e">
        <f>#REF!</f>
        <v>#REF!</v>
      </c>
      <c r="X328" s="979" t="e">
        <f>#REF!+#REF!</f>
        <v>#REF!</v>
      </c>
      <c r="Y328" s="979" t="e">
        <f>#REF!+#REF!</f>
        <v>#REF!</v>
      </c>
      <c r="Z328" s="979"/>
      <c r="AA328" s="977" t="e">
        <f>#REF!</f>
        <v>#REF!</v>
      </c>
      <c r="AB328" s="977" t="e">
        <f t="shared" si="17"/>
        <v>#REF!</v>
      </c>
      <c r="AC328" s="977" t="e">
        <f>#REF!+#REF!</f>
        <v>#REF!</v>
      </c>
      <c r="AD328" s="977">
        <f t="shared" si="18"/>
        <v>2120</v>
      </c>
      <c r="AE328" s="634"/>
    </row>
    <row r="329" spans="1:31" s="629" customFormat="1" ht="18" customHeight="1">
      <c r="A329" s="664" t="s">
        <v>2846</v>
      </c>
      <c r="B329" s="510">
        <f t="shared" si="19"/>
        <v>22</v>
      </c>
      <c r="C329" s="980">
        <f>+NOMINA!C333</f>
        <v>10907687</v>
      </c>
      <c r="D329" s="981" t="str">
        <f>+NOMINA!D333</f>
        <v>Viloria Garcia Karina Liseth</v>
      </c>
      <c r="E329" s="978" t="s">
        <v>4622</v>
      </c>
      <c r="F329" s="982">
        <v>27081</v>
      </c>
      <c r="G329" s="978" t="s">
        <v>4620</v>
      </c>
      <c r="H329" s="983">
        <f>+NOMINA!H333</f>
        <v>38749</v>
      </c>
      <c r="I329" s="984">
        <f>+NOMINA!I333</f>
        <v>18</v>
      </c>
      <c r="J329" s="985">
        <f>+NOMINA!J333</f>
        <v>0</v>
      </c>
      <c r="K329" s="984">
        <f>+NOMINA!K333</f>
        <v>18</v>
      </c>
      <c r="L329" s="986">
        <f>+NOMINA!CA333</f>
        <v>2120</v>
      </c>
      <c r="M329" s="443" t="e">
        <f>#REF!+#REF!-#REF!</f>
        <v>#REF!</v>
      </c>
      <c r="N329" s="975" t="e">
        <f>ROUND((#REF!+#REF!+#REF!+#REF!+#REF!+#REF!+#REF!+#REF!),2)</f>
        <v>#REF!</v>
      </c>
      <c r="Q329" s="629" t="e">
        <f>SUM(#REF!)</f>
        <v>#REF!</v>
      </c>
      <c r="R329" s="976" t="e">
        <f>#REF!+#REF!-#REF!</f>
        <v>#REF!</v>
      </c>
      <c r="S329" s="977">
        <v>200</v>
      </c>
      <c r="T329" s="976" t="e">
        <f>#REF!+#REF!</f>
        <v>#REF!</v>
      </c>
      <c r="U329" s="977" t="e">
        <f>#REF!</f>
        <v>#REF!</v>
      </c>
      <c r="V329" s="978">
        <v>0</v>
      </c>
      <c r="W329" s="977" t="e">
        <f>#REF!</f>
        <v>#REF!</v>
      </c>
      <c r="X329" s="979" t="e">
        <f>#REF!+#REF!</f>
        <v>#REF!</v>
      </c>
      <c r="Y329" s="979" t="e">
        <f>#REF!+#REF!</f>
        <v>#REF!</v>
      </c>
      <c r="Z329" s="979"/>
      <c r="AA329" s="977" t="e">
        <f>#REF!</f>
        <v>#REF!</v>
      </c>
      <c r="AB329" s="977" t="e">
        <f t="shared" si="17"/>
        <v>#REF!</v>
      </c>
      <c r="AC329" s="977" t="e">
        <f>#REF!+#REF!</f>
        <v>#REF!</v>
      </c>
      <c r="AD329" s="977">
        <f t="shared" si="18"/>
        <v>2120</v>
      </c>
      <c r="AE329" s="634"/>
    </row>
    <row r="330" spans="1:31" s="629" customFormat="1" ht="18" customHeight="1">
      <c r="A330" s="664" t="s">
        <v>2846</v>
      </c>
      <c r="B330" s="510">
        <f t="shared" si="19"/>
        <v>23</v>
      </c>
      <c r="C330" s="980">
        <f>+NOMINA!C334</f>
        <v>10908543</v>
      </c>
      <c r="D330" s="981" t="str">
        <f>+NOMINA!D334</f>
        <v>Quintero Eric Ludwig</v>
      </c>
      <c r="E330" s="978" t="s">
        <v>4622</v>
      </c>
      <c r="F330" s="982">
        <v>27081</v>
      </c>
      <c r="G330" s="978" t="s">
        <v>4620</v>
      </c>
      <c r="H330" s="983">
        <f>+NOMINA!H334</f>
        <v>42751</v>
      </c>
      <c r="I330" s="984">
        <f>+NOMINA!I334</f>
        <v>8</v>
      </c>
      <c r="J330" s="985">
        <f>+NOMINA!J334</f>
        <v>0</v>
      </c>
      <c r="K330" s="984">
        <f>+NOMINA!K334</f>
        <v>8</v>
      </c>
      <c r="L330" s="986">
        <f>+NOMINA!CA334</f>
        <v>2120</v>
      </c>
      <c r="M330" s="443" t="e">
        <f>#REF!+#REF!-#REF!</f>
        <v>#REF!</v>
      </c>
      <c r="N330" s="975" t="e">
        <f>ROUND((#REF!+#REF!+#REF!+#REF!+#REF!+#REF!+#REF!+#REF!),2)</f>
        <v>#REF!</v>
      </c>
      <c r="Q330" s="629" t="e">
        <f>SUM(#REF!)</f>
        <v>#REF!</v>
      </c>
      <c r="R330" s="976" t="e">
        <f>#REF!+#REF!-#REF!</f>
        <v>#REF!</v>
      </c>
      <c r="S330" s="977">
        <v>200</v>
      </c>
      <c r="T330" s="976" t="e">
        <f>#REF!+#REF!</f>
        <v>#REF!</v>
      </c>
      <c r="U330" s="977" t="e">
        <f>#REF!</f>
        <v>#REF!</v>
      </c>
      <c r="V330" s="978">
        <v>0</v>
      </c>
      <c r="W330" s="977" t="e">
        <f>#REF!</f>
        <v>#REF!</v>
      </c>
      <c r="X330" s="979" t="e">
        <f>#REF!+#REF!</f>
        <v>#REF!</v>
      </c>
      <c r="Y330" s="979" t="e">
        <f>#REF!+#REF!</f>
        <v>#REF!</v>
      </c>
      <c r="Z330" s="979"/>
      <c r="AA330" s="977" t="e">
        <f>#REF!</f>
        <v>#REF!</v>
      </c>
      <c r="AB330" s="977" t="e">
        <f t="shared" si="17"/>
        <v>#REF!</v>
      </c>
      <c r="AC330" s="977" t="e">
        <f>#REF!+#REF!</f>
        <v>#REF!</v>
      </c>
      <c r="AD330" s="977">
        <f t="shared" si="18"/>
        <v>2120</v>
      </c>
      <c r="AE330" s="634"/>
    </row>
    <row r="331" spans="1:31" s="629" customFormat="1" ht="18" customHeight="1">
      <c r="A331" s="664" t="s">
        <v>2846</v>
      </c>
      <c r="B331" s="510">
        <f t="shared" si="19"/>
        <v>24</v>
      </c>
      <c r="C331" s="980">
        <f>+NOMINA!C335</f>
        <v>10909678</v>
      </c>
      <c r="D331" s="981" t="str">
        <f>+NOMINA!D335</f>
        <v>Delgado Jose Argenis</v>
      </c>
      <c r="E331" s="978" t="s">
        <v>4622</v>
      </c>
      <c r="F331" s="982">
        <v>27081</v>
      </c>
      <c r="G331" s="978" t="s">
        <v>4620</v>
      </c>
      <c r="H331" s="983">
        <f>+NOMINA!H335</f>
        <v>43952</v>
      </c>
      <c r="I331" s="984">
        <f>+NOMINA!I335</f>
        <v>4</v>
      </c>
      <c r="J331" s="985">
        <f>+NOMINA!J335</f>
        <v>0</v>
      </c>
      <c r="K331" s="984">
        <f>+NOMINA!K335</f>
        <v>4</v>
      </c>
      <c r="L331" s="986">
        <f>+NOMINA!CA335</f>
        <v>2120</v>
      </c>
      <c r="M331" s="443" t="e">
        <f>#REF!+#REF!-#REF!</f>
        <v>#REF!</v>
      </c>
      <c r="N331" s="975" t="e">
        <f>ROUND((#REF!+#REF!+#REF!+#REF!+#REF!+#REF!+#REF!+#REF!),2)</f>
        <v>#REF!</v>
      </c>
      <c r="Q331" s="629" t="e">
        <f>SUM(#REF!)</f>
        <v>#REF!</v>
      </c>
      <c r="R331" s="976" t="e">
        <f>#REF!+#REF!-#REF!</f>
        <v>#REF!</v>
      </c>
      <c r="S331" s="977">
        <v>200</v>
      </c>
      <c r="T331" s="976" t="e">
        <f>#REF!+#REF!</f>
        <v>#REF!</v>
      </c>
      <c r="U331" s="977" t="e">
        <f>#REF!</f>
        <v>#REF!</v>
      </c>
      <c r="V331" s="978">
        <v>0</v>
      </c>
      <c r="W331" s="977" t="e">
        <f>#REF!</f>
        <v>#REF!</v>
      </c>
      <c r="X331" s="979" t="e">
        <f>#REF!+#REF!</f>
        <v>#REF!</v>
      </c>
      <c r="Y331" s="979" t="e">
        <f>#REF!+#REF!</f>
        <v>#REF!</v>
      </c>
      <c r="Z331" s="979"/>
      <c r="AA331" s="977" t="e">
        <f>#REF!</f>
        <v>#REF!</v>
      </c>
      <c r="AB331" s="977" t="e">
        <f t="shared" si="17"/>
        <v>#REF!</v>
      </c>
      <c r="AC331" s="977" t="e">
        <f>#REF!+#REF!</f>
        <v>#REF!</v>
      </c>
      <c r="AD331" s="977">
        <f t="shared" si="18"/>
        <v>2120</v>
      </c>
      <c r="AE331" s="634"/>
    </row>
    <row r="332" spans="1:31" s="629" customFormat="1" ht="18" customHeight="1">
      <c r="A332" s="664" t="s">
        <v>2846</v>
      </c>
      <c r="B332" s="510">
        <f t="shared" si="19"/>
        <v>25</v>
      </c>
      <c r="C332" s="980">
        <f>+NOMINA!C336</f>
        <v>10909819</v>
      </c>
      <c r="D332" s="981" t="str">
        <f>+NOMINA!D336</f>
        <v>Carrizo Jose Waldo</v>
      </c>
      <c r="E332" s="978" t="s">
        <v>4622</v>
      </c>
      <c r="F332" s="982">
        <v>27081</v>
      </c>
      <c r="G332" s="978" t="s">
        <v>4620</v>
      </c>
      <c r="H332" s="983">
        <f>+NOMINA!H336</f>
        <v>43359</v>
      </c>
      <c r="I332" s="984">
        <f>+NOMINA!I336</f>
        <v>6</v>
      </c>
      <c r="J332" s="985">
        <f>+NOMINA!J336</f>
        <v>0</v>
      </c>
      <c r="K332" s="984">
        <f>+NOMINA!K336</f>
        <v>6</v>
      </c>
      <c r="L332" s="986">
        <f>+NOMINA!CA336</f>
        <v>2120</v>
      </c>
      <c r="M332" s="443" t="e">
        <f>#REF!+#REF!-#REF!</f>
        <v>#REF!</v>
      </c>
      <c r="N332" s="975" t="e">
        <f>ROUND((#REF!+#REF!+#REF!+#REF!+#REF!+#REF!+#REF!+#REF!),2)</f>
        <v>#REF!</v>
      </c>
      <c r="Q332" s="629" t="e">
        <f>SUM(#REF!)</f>
        <v>#REF!</v>
      </c>
      <c r="R332" s="976" t="e">
        <f>#REF!+#REF!-#REF!</f>
        <v>#REF!</v>
      </c>
      <c r="S332" s="977">
        <v>200</v>
      </c>
      <c r="T332" s="976" t="e">
        <f>#REF!+#REF!</f>
        <v>#REF!</v>
      </c>
      <c r="U332" s="977" t="e">
        <f>#REF!</f>
        <v>#REF!</v>
      </c>
      <c r="V332" s="978">
        <v>0</v>
      </c>
      <c r="W332" s="977" t="e">
        <f>#REF!</f>
        <v>#REF!</v>
      </c>
      <c r="X332" s="979" t="e">
        <f>#REF!+#REF!</f>
        <v>#REF!</v>
      </c>
      <c r="Y332" s="979" t="e">
        <f>#REF!+#REF!</f>
        <v>#REF!</v>
      </c>
      <c r="Z332" s="979"/>
      <c r="AA332" s="977" t="e">
        <f>#REF!</f>
        <v>#REF!</v>
      </c>
      <c r="AB332" s="977" t="e">
        <f t="shared" si="17"/>
        <v>#REF!</v>
      </c>
      <c r="AC332" s="977" t="e">
        <f>#REF!+#REF!</f>
        <v>#REF!</v>
      </c>
      <c r="AD332" s="977">
        <f t="shared" si="18"/>
        <v>2120</v>
      </c>
      <c r="AE332" s="634"/>
    </row>
    <row r="333" spans="1:31" s="629" customFormat="1" ht="18" customHeight="1">
      <c r="A333" s="664" t="s">
        <v>2846</v>
      </c>
      <c r="B333" s="510">
        <f t="shared" si="19"/>
        <v>26</v>
      </c>
      <c r="C333" s="980">
        <f>+NOMINA!C337</f>
        <v>10912635</v>
      </c>
      <c r="D333" s="981" t="str">
        <f>+NOMINA!D337</f>
        <v>Gutierrez Briceño Jose Orangel</v>
      </c>
      <c r="E333" s="978" t="s">
        <v>4622</v>
      </c>
      <c r="F333" s="982">
        <v>27081</v>
      </c>
      <c r="G333" s="978" t="s">
        <v>4620</v>
      </c>
      <c r="H333" s="983">
        <f>+NOMINA!H337</f>
        <v>44348</v>
      </c>
      <c r="I333" s="984">
        <f>+NOMINA!I337</f>
        <v>3</v>
      </c>
      <c r="J333" s="985">
        <f>+NOMINA!J337</f>
        <v>0</v>
      </c>
      <c r="K333" s="984">
        <f>+NOMINA!K337</f>
        <v>3</v>
      </c>
      <c r="L333" s="986">
        <f>+NOMINA!CA337</f>
        <v>2120</v>
      </c>
      <c r="M333" s="443" t="e">
        <f>#REF!+#REF!-#REF!</f>
        <v>#REF!</v>
      </c>
      <c r="N333" s="975" t="e">
        <f>ROUND((#REF!+#REF!+#REF!+#REF!+#REF!+#REF!+#REF!+#REF!),2)</f>
        <v>#REF!</v>
      </c>
      <c r="Q333" s="629" t="e">
        <f>SUM(#REF!)</f>
        <v>#REF!</v>
      </c>
      <c r="R333" s="976" t="e">
        <f>#REF!+#REF!-#REF!</f>
        <v>#REF!</v>
      </c>
      <c r="S333" s="977">
        <v>200</v>
      </c>
      <c r="T333" s="976" t="e">
        <f>#REF!+#REF!</f>
        <v>#REF!</v>
      </c>
      <c r="U333" s="977" t="e">
        <f>#REF!</f>
        <v>#REF!</v>
      </c>
      <c r="V333" s="978">
        <v>0</v>
      </c>
      <c r="W333" s="977" t="e">
        <f>#REF!</f>
        <v>#REF!</v>
      </c>
      <c r="X333" s="979" t="e">
        <f>#REF!+#REF!</f>
        <v>#REF!</v>
      </c>
      <c r="Y333" s="979" t="e">
        <f>#REF!+#REF!</f>
        <v>#REF!</v>
      </c>
      <c r="Z333" s="979"/>
      <c r="AA333" s="977" t="e">
        <f>#REF!</f>
        <v>#REF!</v>
      </c>
      <c r="AB333" s="977" t="e">
        <f t="shared" si="17"/>
        <v>#REF!</v>
      </c>
      <c r="AC333" s="977" t="e">
        <f>#REF!+#REF!</f>
        <v>#REF!</v>
      </c>
      <c r="AD333" s="977">
        <f t="shared" si="18"/>
        <v>2120</v>
      </c>
      <c r="AE333" s="634"/>
    </row>
    <row r="334" spans="1:31" s="629" customFormat="1" ht="18" customHeight="1">
      <c r="A334" s="664" t="s">
        <v>2846</v>
      </c>
      <c r="B334" s="510">
        <f t="shared" si="19"/>
        <v>27</v>
      </c>
      <c r="C334" s="980">
        <f>+NOMINA!C338</f>
        <v>10915274</v>
      </c>
      <c r="D334" s="981" t="str">
        <f>+NOMINA!D338</f>
        <v>Montilla Vergara Belkys Josefina</v>
      </c>
      <c r="E334" s="978" t="s">
        <v>4622</v>
      </c>
      <c r="F334" s="982">
        <v>27081</v>
      </c>
      <c r="G334" s="978" t="s">
        <v>4620</v>
      </c>
      <c r="H334" s="983">
        <f>+NOMINA!H338</f>
        <v>44635</v>
      </c>
      <c r="I334" s="984">
        <f>+NOMINA!I338</f>
        <v>2</v>
      </c>
      <c r="J334" s="985">
        <f>+NOMINA!J338</f>
        <v>0</v>
      </c>
      <c r="K334" s="984">
        <f>+NOMINA!K338</f>
        <v>2</v>
      </c>
      <c r="L334" s="986">
        <f>+NOMINA!CA338</f>
        <v>2120</v>
      </c>
      <c r="M334" s="443" t="e">
        <f>#REF!+#REF!-#REF!</f>
        <v>#REF!</v>
      </c>
      <c r="N334" s="975" t="e">
        <f>ROUND((#REF!+#REF!+#REF!+#REF!+#REF!+#REF!+#REF!+#REF!),2)</f>
        <v>#REF!</v>
      </c>
      <c r="Q334" s="629" t="e">
        <f>SUM(#REF!)</f>
        <v>#REF!</v>
      </c>
      <c r="R334" s="976" t="e">
        <f>#REF!+#REF!-#REF!</f>
        <v>#REF!</v>
      </c>
      <c r="S334" s="977">
        <v>200</v>
      </c>
      <c r="T334" s="976" t="e">
        <f>#REF!+#REF!</f>
        <v>#REF!</v>
      </c>
      <c r="U334" s="977" t="e">
        <f>#REF!</f>
        <v>#REF!</v>
      </c>
      <c r="V334" s="978">
        <v>0</v>
      </c>
      <c r="W334" s="977" t="e">
        <f>#REF!</f>
        <v>#REF!</v>
      </c>
      <c r="X334" s="979" t="e">
        <f>#REF!+#REF!</f>
        <v>#REF!</v>
      </c>
      <c r="Y334" s="979" t="e">
        <f>#REF!+#REF!</f>
        <v>#REF!</v>
      </c>
      <c r="Z334" s="979"/>
      <c r="AA334" s="977" t="e">
        <f>#REF!</f>
        <v>#REF!</v>
      </c>
      <c r="AB334" s="977" t="e">
        <f t="shared" si="17"/>
        <v>#REF!</v>
      </c>
      <c r="AC334" s="977" t="e">
        <f>#REF!+#REF!</f>
        <v>#REF!</v>
      </c>
      <c r="AD334" s="977">
        <f t="shared" si="18"/>
        <v>2120</v>
      </c>
      <c r="AE334" s="634"/>
    </row>
    <row r="335" spans="1:31" s="629" customFormat="1" ht="18" customHeight="1">
      <c r="A335" s="1160"/>
      <c r="B335" s="510">
        <f t="shared" si="19"/>
        <v>28</v>
      </c>
      <c r="C335" s="980">
        <f>+NOMINA!C339</f>
        <v>11129355</v>
      </c>
      <c r="D335" s="981" t="str">
        <f>+NOMINA!D339</f>
        <v xml:space="preserve">Luque Azuaje Rigoberto </v>
      </c>
      <c r="E335" s="978" t="s">
        <v>4622</v>
      </c>
      <c r="F335" s="982">
        <v>27081</v>
      </c>
      <c r="G335" s="978" t="s">
        <v>4620</v>
      </c>
      <c r="H335" s="983">
        <f>+NOMINA!H339</f>
        <v>39539</v>
      </c>
      <c r="I335" s="984">
        <f>+NOMINA!I339</f>
        <v>16</v>
      </c>
      <c r="J335" s="985">
        <f>+NOMINA!J339</f>
        <v>0</v>
      </c>
      <c r="K335" s="984">
        <f>+NOMINA!K339</f>
        <v>16</v>
      </c>
      <c r="L335" s="986">
        <f>+NOMINA!CA339</f>
        <v>2120</v>
      </c>
      <c r="M335" s="1156"/>
      <c r="N335" s="1157"/>
      <c r="R335" s="1115"/>
      <c r="S335" s="1158"/>
      <c r="T335" s="1115"/>
      <c r="U335" s="1158"/>
      <c r="V335" s="1147"/>
      <c r="W335" s="1158"/>
      <c r="X335" s="1159"/>
      <c r="Y335" s="1159"/>
      <c r="Z335" s="1159"/>
      <c r="AA335" s="1158"/>
      <c r="AB335" s="1158"/>
      <c r="AC335" s="1158"/>
      <c r="AD335" s="1158"/>
      <c r="AE335" s="634"/>
    </row>
    <row r="336" spans="1:31" s="629" customFormat="1" ht="18" customHeight="1">
      <c r="A336" s="664" t="s">
        <v>2846</v>
      </c>
      <c r="B336" s="510">
        <f t="shared" si="19"/>
        <v>29</v>
      </c>
      <c r="C336" s="980">
        <f>+NOMINA!C340</f>
        <v>11315202</v>
      </c>
      <c r="D336" s="981" t="str">
        <f>+NOMINA!D340</f>
        <v>Barreto Maria Ramona</v>
      </c>
      <c r="E336" s="978" t="s">
        <v>4622</v>
      </c>
      <c r="F336" s="982">
        <v>27081</v>
      </c>
      <c r="G336" s="978" t="s">
        <v>4620</v>
      </c>
      <c r="H336" s="983">
        <f>+NOMINA!H340</f>
        <v>39539</v>
      </c>
      <c r="I336" s="984">
        <f>+NOMINA!I340</f>
        <v>16</v>
      </c>
      <c r="J336" s="985">
        <f>+NOMINA!J340</f>
        <v>0</v>
      </c>
      <c r="K336" s="984">
        <f>+NOMINA!K340</f>
        <v>16</v>
      </c>
      <c r="L336" s="986">
        <f>+NOMINA!CA340</f>
        <v>2120</v>
      </c>
      <c r="M336" s="443" t="e">
        <f>#REF!+#REF!-#REF!</f>
        <v>#REF!</v>
      </c>
      <c r="N336" s="975" t="e">
        <f>ROUND((#REF!+#REF!+#REF!+#REF!+#REF!+#REF!+#REF!+#REF!),2)</f>
        <v>#REF!</v>
      </c>
      <c r="Q336" s="629" t="e">
        <f>SUM(#REF!)</f>
        <v>#REF!</v>
      </c>
      <c r="R336" s="976" t="e">
        <f>#REF!+#REF!-#REF!</f>
        <v>#REF!</v>
      </c>
      <c r="S336" s="977">
        <v>200</v>
      </c>
      <c r="T336" s="976" t="e">
        <f>#REF!+#REF!</f>
        <v>#REF!</v>
      </c>
      <c r="U336" s="977" t="e">
        <f>#REF!</f>
        <v>#REF!</v>
      </c>
      <c r="V336" s="978">
        <v>0</v>
      </c>
      <c r="W336" s="977" t="e">
        <f>#REF!</f>
        <v>#REF!</v>
      </c>
      <c r="X336" s="979" t="e">
        <f>#REF!+#REF!</f>
        <v>#REF!</v>
      </c>
      <c r="Y336" s="979" t="e">
        <f>#REF!+#REF!</f>
        <v>#REF!</v>
      </c>
      <c r="Z336" s="979"/>
      <c r="AA336" s="977" t="e">
        <f>#REF!</f>
        <v>#REF!</v>
      </c>
      <c r="AB336" s="977" t="e">
        <f t="shared" si="17"/>
        <v>#REF!</v>
      </c>
      <c r="AC336" s="977" t="e">
        <f>#REF!+#REF!</f>
        <v>#REF!</v>
      </c>
      <c r="AD336" s="977">
        <f t="shared" si="18"/>
        <v>2120</v>
      </c>
      <c r="AE336" s="634"/>
    </row>
    <row r="337" spans="1:31" s="629" customFormat="1" ht="18" customHeight="1">
      <c r="A337" s="664" t="s">
        <v>2846</v>
      </c>
      <c r="B337" s="510">
        <f t="shared" si="19"/>
        <v>30</v>
      </c>
      <c r="C337" s="980">
        <f>+NOMINA!C341</f>
        <v>11321681</v>
      </c>
      <c r="D337" s="981" t="str">
        <f>+NOMINA!D341</f>
        <v>Bentancourt Rivas Luis Enrique</v>
      </c>
      <c r="E337" s="978" t="s">
        <v>4622</v>
      </c>
      <c r="F337" s="982">
        <v>27081</v>
      </c>
      <c r="G337" s="978" t="s">
        <v>4620</v>
      </c>
      <c r="H337" s="983">
        <f>+NOMINA!H341</f>
        <v>44805</v>
      </c>
      <c r="I337" s="984">
        <f>+NOMINA!I341</f>
        <v>2</v>
      </c>
      <c r="J337" s="985">
        <f>+NOMINA!J341</f>
        <v>0</v>
      </c>
      <c r="K337" s="984">
        <f>+NOMINA!K341</f>
        <v>2</v>
      </c>
      <c r="L337" s="986">
        <f>+NOMINA!CA341</f>
        <v>2120</v>
      </c>
      <c r="M337" s="443" t="e">
        <f>#REF!+#REF!-#REF!</f>
        <v>#REF!</v>
      </c>
      <c r="N337" s="975" t="e">
        <f>ROUND((#REF!+#REF!+#REF!+#REF!+#REF!+#REF!+#REF!+#REF!),2)</f>
        <v>#REF!</v>
      </c>
      <c r="Q337" s="629" t="e">
        <f>SUM(#REF!)</f>
        <v>#REF!</v>
      </c>
      <c r="R337" s="976" t="e">
        <f>#REF!+#REF!-#REF!</f>
        <v>#REF!</v>
      </c>
      <c r="S337" s="977">
        <v>200</v>
      </c>
      <c r="T337" s="976" t="e">
        <f>#REF!+#REF!</f>
        <v>#REF!</v>
      </c>
      <c r="U337" s="977" t="e">
        <f>#REF!</f>
        <v>#REF!</v>
      </c>
      <c r="V337" s="978">
        <v>0</v>
      </c>
      <c r="W337" s="977" t="e">
        <f>#REF!</f>
        <v>#REF!</v>
      </c>
      <c r="X337" s="979" t="e">
        <f>#REF!+#REF!</f>
        <v>#REF!</v>
      </c>
      <c r="Y337" s="979" t="e">
        <f>#REF!+#REF!</f>
        <v>#REF!</v>
      </c>
      <c r="Z337" s="979"/>
      <c r="AA337" s="977" t="e">
        <f>#REF!</f>
        <v>#REF!</v>
      </c>
      <c r="AB337" s="977" t="e">
        <f t="shared" si="17"/>
        <v>#REF!</v>
      </c>
      <c r="AC337" s="977" t="e">
        <f>#REF!+#REF!</f>
        <v>#REF!</v>
      </c>
      <c r="AD337" s="977">
        <f t="shared" si="18"/>
        <v>2120</v>
      </c>
      <c r="AE337" s="634"/>
    </row>
    <row r="338" spans="1:31" s="629" customFormat="1" ht="18" customHeight="1">
      <c r="A338" s="664" t="s">
        <v>2846</v>
      </c>
      <c r="B338" s="510">
        <f t="shared" si="19"/>
        <v>31</v>
      </c>
      <c r="C338" s="980">
        <f>+NOMINA!C342</f>
        <v>11321782</v>
      </c>
      <c r="D338" s="981" t="str">
        <f>+NOMINA!D342</f>
        <v>Flores Camacho Maria Zoraida</v>
      </c>
      <c r="E338" s="978" t="s">
        <v>4622</v>
      </c>
      <c r="F338" s="982">
        <v>27081</v>
      </c>
      <c r="G338" s="978" t="s">
        <v>4620</v>
      </c>
      <c r="H338" s="983">
        <f>+NOMINA!H342</f>
        <v>43815</v>
      </c>
      <c r="I338" s="984">
        <f>+NOMINA!I342</f>
        <v>5</v>
      </c>
      <c r="J338" s="985">
        <f>+NOMINA!J342</f>
        <v>0</v>
      </c>
      <c r="K338" s="984">
        <f>+NOMINA!K342</f>
        <v>5</v>
      </c>
      <c r="L338" s="986">
        <f>+NOMINA!CA342</f>
        <v>2120</v>
      </c>
      <c r="M338" s="443" t="e">
        <f>#REF!+#REF!-#REF!</f>
        <v>#REF!</v>
      </c>
      <c r="N338" s="975" t="e">
        <f>ROUND((#REF!+#REF!+#REF!+#REF!+#REF!+#REF!+#REF!+#REF!),2)</f>
        <v>#REF!</v>
      </c>
      <c r="Q338" s="629" t="e">
        <f>SUM(#REF!)</f>
        <v>#REF!</v>
      </c>
      <c r="R338" s="976" t="e">
        <f>#REF!+#REF!-#REF!</f>
        <v>#REF!</v>
      </c>
      <c r="S338" s="977">
        <v>200</v>
      </c>
      <c r="T338" s="976" t="e">
        <f>#REF!+#REF!</f>
        <v>#REF!</v>
      </c>
      <c r="U338" s="977" t="e">
        <f>#REF!</f>
        <v>#REF!</v>
      </c>
      <c r="V338" s="978">
        <v>0</v>
      </c>
      <c r="W338" s="977" t="e">
        <f>#REF!</f>
        <v>#REF!</v>
      </c>
      <c r="X338" s="979" t="e">
        <f>#REF!+#REF!</f>
        <v>#REF!</v>
      </c>
      <c r="Y338" s="979" t="e">
        <f>#REF!+#REF!</f>
        <v>#REF!</v>
      </c>
      <c r="Z338" s="979"/>
      <c r="AA338" s="977" t="e">
        <f>#REF!</f>
        <v>#REF!</v>
      </c>
      <c r="AB338" s="977" t="e">
        <f t="shared" si="17"/>
        <v>#REF!</v>
      </c>
      <c r="AC338" s="977" t="e">
        <f>#REF!+#REF!</f>
        <v>#REF!</v>
      </c>
      <c r="AD338" s="977">
        <f t="shared" si="18"/>
        <v>2120</v>
      </c>
      <c r="AE338" s="634"/>
    </row>
    <row r="339" spans="1:31" s="629" customFormat="1" ht="18" customHeight="1">
      <c r="A339" s="664" t="s">
        <v>2846</v>
      </c>
      <c r="B339" s="510">
        <f t="shared" si="19"/>
        <v>32</v>
      </c>
      <c r="C339" s="980">
        <f>+NOMINA!C343</f>
        <v>11324931</v>
      </c>
      <c r="D339" s="981" t="str">
        <f>+NOMINA!D343</f>
        <v xml:space="preserve">Sulbaran De Araujo Magaly </v>
      </c>
      <c r="E339" s="978" t="s">
        <v>4622</v>
      </c>
      <c r="F339" s="982">
        <v>27081</v>
      </c>
      <c r="G339" s="978" t="s">
        <v>4620</v>
      </c>
      <c r="H339" s="983">
        <f>+NOMINA!H343</f>
        <v>38784</v>
      </c>
      <c r="I339" s="984">
        <f>+NOMINA!I343</f>
        <v>18</v>
      </c>
      <c r="J339" s="985">
        <f>+NOMINA!J343</f>
        <v>0</v>
      </c>
      <c r="K339" s="984">
        <f>+NOMINA!K343</f>
        <v>18</v>
      </c>
      <c r="L339" s="986">
        <f>+NOMINA!CA343</f>
        <v>2120</v>
      </c>
      <c r="M339" s="443" t="e">
        <f>#REF!+#REF!-#REF!</f>
        <v>#REF!</v>
      </c>
      <c r="N339" s="975" t="e">
        <f>ROUND((#REF!+#REF!+#REF!+#REF!+#REF!+#REF!+#REF!+#REF!),2)</f>
        <v>#REF!</v>
      </c>
      <c r="Q339" s="629" t="e">
        <f>SUM(#REF!)</f>
        <v>#REF!</v>
      </c>
      <c r="R339" s="976" t="e">
        <f>#REF!+#REF!-#REF!</f>
        <v>#REF!</v>
      </c>
      <c r="S339" s="977">
        <v>200</v>
      </c>
      <c r="T339" s="976" t="e">
        <f>#REF!+#REF!</f>
        <v>#REF!</v>
      </c>
      <c r="U339" s="977" t="e">
        <f>#REF!</f>
        <v>#REF!</v>
      </c>
      <c r="V339" s="978">
        <v>0</v>
      </c>
      <c r="W339" s="977" t="e">
        <f>#REF!</f>
        <v>#REF!</v>
      </c>
      <c r="X339" s="979" t="e">
        <f>#REF!+#REF!</f>
        <v>#REF!</v>
      </c>
      <c r="Y339" s="979" t="e">
        <f>#REF!+#REF!</f>
        <v>#REF!</v>
      </c>
      <c r="Z339" s="979"/>
      <c r="AA339" s="977" t="e">
        <f>#REF!</f>
        <v>#REF!</v>
      </c>
      <c r="AB339" s="977" t="e">
        <f t="shared" si="17"/>
        <v>#REF!</v>
      </c>
      <c r="AC339" s="977" t="e">
        <f>#REF!+#REF!</f>
        <v>#REF!</v>
      </c>
      <c r="AD339" s="977">
        <f t="shared" si="18"/>
        <v>2120</v>
      </c>
      <c r="AE339" s="634"/>
    </row>
    <row r="340" spans="1:31" s="629" customFormat="1" ht="18" customHeight="1">
      <c r="A340" s="664" t="s">
        <v>2846</v>
      </c>
      <c r="B340" s="510">
        <f t="shared" si="19"/>
        <v>33</v>
      </c>
      <c r="C340" s="980">
        <f>+NOMINA!C344</f>
        <v>11894400</v>
      </c>
      <c r="D340" s="981" t="str">
        <f>+NOMINA!D344</f>
        <v>Aldana Olivar Maria del Carmen</v>
      </c>
      <c r="E340" s="978" t="s">
        <v>4622</v>
      </c>
      <c r="F340" s="982">
        <v>27081</v>
      </c>
      <c r="G340" s="978" t="s">
        <v>4620</v>
      </c>
      <c r="H340" s="983">
        <f>+NOMINA!H344</f>
        <v>44287</v>
      </c>
      <c r="I340" s="984">
        <f>+NOMINA!I344</f>
        <v>3</v>
      </c>
      <c r="J340" s="985">
        <f>+NOMINA!J344</f>
        <v>0</v>
      </c>
      <c r="K340" s="984">
        <f>+NOMINA!K344</f>
        <v>3</v>
      </c>
      <c r="L340" s="986">
        <f>+NOMINA!CA344</f>
        <v>2120</v>
      </c>
      <c r="M340" s="443" t="e">
        <f>#REF!+#REF!-#REF!</f>
        <v>#REF!</v>
      </c>
      <c r="N340" s="975" t="e">
        <f>ROUND((#REF!+#REF!+#REF!+#REF!+#REF!+#REF!+#REF!+#REF!),2)</f>
        <v>#REF!</v>
      </c>
      <c r="Q340" s="629" t="e">
        <f>SUM(#REF!)</f>
        <v>#REF!</v>
      </c>
      <c r="R340" s="976" t="e">
        <f>#REF!+#REF!-#REF!</f>
        <v>#REF!</v>
      </c>
      <c r="S340" s="977">
        <v>200</v>
      </c>
      <c r="T340" s="976" t="e">
        <f>#REF!+#REF!</f>
        <v>#REF!</v>
      </c>
      <c r="U340" s="977" t="e">
        <f>#REF!</f>
        <v>#REF!</v>
      </c>
      <c r="V340" s="978">
        <v>0</v>
      </c>
      <c r="W340" s="977" t="e">
        <f>#REF!</f>
        <v>#REF!</v>
      </c>
      <c r="X340" s="979" t="e">
        <f>#REF!+#REF!</f>
        <v>#REF!</v>
      </c>
      <c r="Y340" s="979" t="e">
        <f>#REF!+#REF!</f>
        <v>#REF!</v>
      </c>
      <c r="Z340" s="979"/>
      <c r="AA340" s="977" t="e">
        <f>#REF!</f>
        <v>#REF!</v>
      </c>
      <c r="AB340" s="977" t="e">
        <f t="shared" si="17"/>
        <v>#REF!</v>
      </c>
      <c r="AC340" s="977" t="e">
        <f>#REF!+#REF!</f>
        <v>#REF!</v>
      </c>
      <c r="AD340" s="977">
        <f t="shared" si="18"/>
        <v>2120</v>
      </c>
      <c r="AE340" s="634"/>
    </row>
    <row r="341" spans="1:31" s="629" customFormat="1" ht="18" customHeight="1">
      <c r="A341" s="664" t="s">
        <v>2846</v>
      </c>
      <c r="B341" s="510">
        <f t="shared" si="19"/>
        <v>34</v>
      </c>
      <c r="C341" s="980">
        <f>+NOMINA!C345</f>
        <v>11897863</v>
      </c>
      <c r="D341" s="981" t="str">
        <f>+NOMINA!D345</f>
        <v>Rodriguez Maria Ibel</v>
      </c>
      <c r="E341" s="978" t="s">
        <v>4622</v>
      </c>
      <c r="F341" s="982">
        <v>27081</v>
      </c>
      <c r="G341" s="978" t="s">
        <v>4620</v>
      </c>
      <c r="H341" s="983">
        <f>+NOMINA!H345</f>
        <v>41548</v>
      </c>
      <c r="I341" s="984">
        <f>+NOMINA!I345</f>
        <v>11</v>
      </c>
      <c r="J341" s="985">
        <f>+NOMINA!J345</f>
        <v>0</v>
      </c>
      <c r="K341" s="984">
        <f>+NOMINA!K345</f>
        <v>11</v>
      </c>
      <c r="L341" s="986">
        <f>+NOMINA!CA345</f>
        <v>2120</v>
      </c>
      <c r="M341" s="443" t="e">
        <f>#REF!+#REF!-#REF!</f>
        <v>#REF!</v>
      </c>
      <c r="N341" s="975" t="e">
        <f>ROUND((#REF!+#REF!+#REF!+#REF!+#REF!+#REF!+#REF!+#REF!),2)</f>
        <v>#REF!</v>
      </c>
      <c r="Q341" s="629" t="e">
        <f>SUM(#REF!)</f>
        <v>#REF!</v>
      </c>
      <c r="R341" s="976" t="e">
        <f>#REF!+#REF!-#REF!</f>
        <v>#REF!</v>
      </c>
      <c r="S341" s="977">
        <v>200</v>
      </c>
      <c r="T341" s="976" t="e">
        <f>#REF!+#REF!</f>
        <v>#REF!</v>
      </c>
      <c r="U341" s="977" t="e">
        <f>#REF!</f>
        <v>#REF!</v>
      </c>
      <c r="V341" s="978">
        <v>0</v>
      </c>
      <c r="W341" s="977" t="e">
        <f>#REF!</f>
        <v>#REF!</v>
      </c>
      <c r="X341" s="979" t="e">
        <f>#REF!+#REF!</f>
        <v>#REF!</v>
      </c>
      <c r="Y341" s="979" t="e">
        <f>#REF!+#REF!</f>
        <v>#REF!</v>
      </c>
      <c r="Z341" s="979"/>
      <c r="AA341" s="977" t="e">
        <f>#REF!</f>
        <v>#REF!</v>
      </c>
      <c r="AB341" s="977" t="e">
        <f t="shared" si="17"/>
        <v>#REF!</v>
      </c>
      <c r="AC341" s="977" t="e">
        <f>#REF!+#REF!</f>
        <v>#REF!</v>
      </c>
      <c r="AD341" s="977">
        <f t="shared" si="18"/>
        <v>2120</v>
      </c>
      <c r="AE341" s="634"/>
    </row>
    <row r="342" spans="1:31" s="629" customFormat="1" ht="18" customHeight="1">
      <c r="A342" s="664" t="s">
        <v>2846</v>
      </c>
      <c r="B342" s="510">
        <f t="shared" si="19"/>
        <v>35</v>
      </c>
      <c r="C342" s="980">
        <f>+NOMINA!C346</f>
        <v>12038359</v>
      </c>
      <c r="D342" s="981" t="str">
        <f>+NOMINA!D346</f>
        <v>Amaya Perez Carmen Elena</v>
      </c>
      <c r="E342" s="978" t="s">
        <v>4622</v>
      </c>
      <c r="F342" s="982">
        <v>27081</v>
      </c>
      <c r="G342" s="978" t="s">
        <v>4620</v>
      </c>
      <c r="H342" s="983">
        <f>+NOMINA!H346</f>
        <v>38103</v>
      </c>
      <c r="I342" s="984">
        <f>+NOMINA!I346</f>
        <v>20</v>
      </c>
      <c r="J342" s="985">
        <f>+NOMINA!J346</f>
        <v>0</v>
      </c>
      <c r="K342" s="984">
        <f>+NOMINA!K346</f>
        <v>20</v>
      </c>
      <c r="L342" s="986">
        <f>+NOMINA!CA346</f>
        <v>2120</v>
      </c>
      <c r="M342" s="443" t="e">
        <f>#REF!+#REF!-#REF!</f>
        <v>#REF!</v>
      </c>
      <c r="N342" s="975" t="e">
        <f>ROUND((#REF!+#REF!+#REF!+#REF!+#REF!+#REF!+#REF!+#REF!),2)</f>
        <v>#REF!</v>
      </c>
      <c r="Q342" s="629" t="e">
        <f>SUM(#REF!)</f>
        <v>#REF!</v>
      </c>
      <c r="R342" s="976" t="e">
        <f>#REF!+#REF!-#REF!</f>
        <v>#REF!</v>
      </c>
      <c r="S342" s="977">
        <v>200</v>
      </c>
      <c r="T342" s="976" t="e">
        <f>#REF!+#REF!</f>
        <v>#REF!</v>
      </c>
      <c r="U342" s="977" t="e">
        <f>#REF!</f>
        <v>#REF!</v>
      </c>
      <c r="V342" s="978">
        <v>0</v>
      </c>
      <c r="W342" s="977" t="e">
        <f>#REF!</f>
        <v>#REF!</v>
      </c>
      <c r="X342" s="979" t="e">
        <f>#REF!+#REF!</f>
        <v>#REF!</v>
      </c>
      <c r="Y342" s="979" t="e">
        <f>#REF!+#REF!</f>
        <v>#REF!</v>
      </c>
      <c r="Z342" s="979"/>
      <c r="AA342" s="977" t="e">
        <f>#REF!</f>
        <v>#REF!</v>
      </c>
      <c r="AB342" s="977" t="e">
        <f t="shared" si="17"/>
        <v>#REF!</v>
      </c>
      <c r="AC342" s="977" t="e">
        <f>#REF!+#REF!</f>
        <v>#REF!</v>
      </c>
      <c r="AD342" s="977">
        <f t="shared" si="18"/>
        <v>2120</v>
      </c>
      <c r="AE342" s="634"/>
    </row>
    <row r="343" spans="1:31" s="629" customFormat="1" ht="18" customHeight="1">
      <c r="A343" s="664" t="s">
        <v>2846</v>
      </c>
      <c r="B343" s="510">
        <f t="shared" si="19"/>
        <v>36</v>
      </c>
      <c r="C343" s="980">
        <f>+NOMINA!C347</f>
        <v>12042930</v>
      </c>
      <c r="D343" s="981" t="str">
        <f>+NOMINA!D347</f>
        <v>Barroeta Cardozo Leonid Andrei</v>
      </c>
      <c r="E343" s="978" t="s">
        <v>4622</v>
      </c>
      <c r="F343" s="982">
        <v>27081</v>
      </c>
      <c r="G343" s="978" t="s">
        <v>4620</v>
      </c>
      <c r="H343" s="983">
        <f>+NOMINA!H347</f>
        <v>44986</v>
      </c>
      <c r="I343" s="984">
        <f>+NOMINA!I347</f>
        <v>1</v>
      </c>
      <c r="J343" s="985">
        <f>+NOMINA!J347</f>
        <v>0</v>
      </c>
      <c r="K343" s="984">
        <f>+NOMINA!K347</f>
        <v>1</v>
      </c>
      <c r="L343" s="986">
        <f>+NOMINA!CA347</f>
        <v>2120</v>
      </c>
      <c r="M343" s="443" t="e">
        <f>#REF!+#REF!-#REF!</f>
        <v>#REF!</v>
      </c>
      <c r="N343" s="975" t="e">
        <f>ROUND((#REF!+#REF!+#REF!+#REF!+#REF!+#REF!+#REF!+#REF!),2)</f>
        <v>#REF!</v>
      </c>
      <c r="Q343" s="629" t="e">
        <f>SUM(#REF!)</f>
        <v>#REF!</v>
      </c>
      <c r="R343" s="976" t="e">
        <f>#REF!+#REF!-#REF!</f>
        <v>#REF!</v>
      </c>
      <c r="S343" s="977">
        <v>200</v>
      </c>
      <c r="T343" s="976" t="e">
        <f>#REF!+#REF!</f>
        <v>#REF!</v>
      </c>
      <c r="U343" s="977" t="e">
        <f>#REF!</f>
        <v>#REF!</v>
      </c>
      <c r="V343" s="978">
        <v>0</v>
      </c>
      <c r="W343" s="977" t="e">
        <f>#REF!</f>
        <v>#REF!</v>
      </c>
      <c r="X343" s="979" t="e">
        <f>#REF!+#REF!</f>
        <v>#REF!</v>
      </c>
      <c r="Y343" s="979" t="e">
        <f>#REF!+#REF!</f>
        <v>#REF!</v>
      </c>
      <c r="Z343" s="979"/>
      <c r="AA343" s="977" t="e">
        <f>#REF!</f>
        <v>#REF!</v>
      </c>
      <c r="AB343" s="977" t="e">
        <f t="shared" si="17"/>
        <v>#REF!</v>
      </c>
      <c r="AC343" s="977" t="e">
        <f>#REF!+#REF!</f>
        <v>#REF!</v>
      </c>
      <c r="AD343" s="977">
        <f t="shared" si="18"/>
        <v>2120</v>
      </c>
      <c r="AE343" s="634"/>
    </row>
    <row r="344" spans="1:31" s="629" customFormat="1" ht="18" customHeight="1">
      <c r="A344" s="664" t="s">
        <v>2846</v>
      </c>
      <c r="B344" s="510">
        <f t="shared" si="19"/>
        <v>37</v>
      </c>
      <c r="C344" s="980">
        <f>+NOMINA!C348</f>
        <v>12043135</v>
      </c>
      <c r="D344" s="981" t="str">
        <f>+NOMINA!D348</f>
        <v>Avila Salvio Rodolfo</v>
      </c>
      <c r="E344" s="978" t="s">
        <v>4622</v>
      </c>
      <c r="F344" s="982">
        <v>27081</v>
      </c>
      <c r="G344" s="978" t="s">
        <v>4620</v>
      </c>
      <c r="H344" s="983">
        <f>+NOMINA!H348</f>
        <v>43724</v>
      </c>
      <c r="I344" s="984">
        <f>+NOMINA!I348</f>
        <v>5</v>
      </c>
      <c r="J344" s="985">
        <f>+NOMINA!J348</f>
        <v>0</v>
      </c>
      <c r="K344" s="984">
        <f>+NOMINA!K348</f>
        <v>5</v>
      </c>
      <c r="L344" s="986">
        <f>+NOMINA!CA348</f>
        <v>2120</v>
      </c>
      <c r="M344" s="443" t="e">
        <f>#REF!+#REF!-#REF!</f>
        <v>#REF!</v>
      </c>
      <c r="N344" s="975" t="e">
        <f>ROUND((#REF!+#REF!+#REF!+#REF!+#REF!+#REF!+#REF!+#REF!),2)</f>
        <v>#REF!</v>
      </c>
      <c r="Q344" s="629" t="e">
        <f>SUM(#REF!)</f>
        <v>#REF!</v>
      </c>
      <c r="R344" s="976" t="e">
        <f>#REF!+#REF!-#REF!</f>
        <v>#REF!</v>
      </c>
      <c r="S344" s="977">
        <v>200</v>
      </c>
      <c r="T344" s="976" t="e">
        <f>#REF!+#REF!</f>
        <v>#REF!</v>
      </c>
      <c r="U344" s="977" t="e">
        <f>#REF!</f>
        <v>#REF!</v>
      </c>
      <c r="V344" s="978">
        <v>0</v>
      </c>
      <c r="W344" s="977" t="e">
        <f>#REF!</f>
        <v>#REF!</v>
      </c>
      <c r="X344" s="979" t="e">
        <f>#REF!+#REF!</f>
        <v>#REF!</v>
      </c>
      <c r="Y344" s="979" t="e">
        <f>#REF!+#REF!</f>
        <v>#REF!</v>
      </c>
      <c r="Z344" s="979"/>
      <c r="AA344" s="977" t="e">
        <f>#REF!</f>
        <v>#REF!</v>
      </c>
      <c r="AB344" s="977" t="e">
        <f t="shared" si="17"/>
        <v>#REF!</v>
      </c>
      <c r="AC344" s="977" t="e">
        <f>#REF!+#REF!</f>
        <v>#REF!</v>
      </c>
      <c r="AD344" s="977">
        <f t="shared" si="18"/>
        <v>2120</v>
      </c>
      <c r="AE344" s="634"/>
    </row>
    <row r="345" spans="1:31" s="629" customFormat="1" ht="18" customHeight="1">
      <c r="A345" s="664" t="s">
        <v>2846</v>
      </c>
      <c r="B345" s="510">
        <f t="shared" si="19"/>
        <v>38</v>
      </c>
      <c r="C345" s="980">
        <f>+NOMINA!C349</f>
        <v>12044124</v>
      </c>
      <c r="D345" s="981" t="str">
        <f>+NOMINA!D349</f>
        <v>Rivas Carlos Luis</v>
      </c>
      <c r="E345" s="978" t="s">
        <v>4622</v>
      </c>
      <c r="F345" s="982">
        <v>27081</v>
      </c>
      <c r="G345" s="978" t="s">
        <v>4620</v>
      </c>
      <c r="H345" s="983">
        <f>+NOMINA!H349</f>
        <v>39539</v>
      </c>
      <c r="I345" s="984">
        <f>+NOMINA!I349</f>
        <v>16</v>
      </c>
      <c r="J345" s="985">
        <f>+NOMINA!J349</f>
        <v>0</v>
      </c>
      <c r="K345" s="984">
        <f>+NOMINA!K349</f>
        <v>16</v>
      </c>
      <c r="L345" s="986">
        <f>+NOMINA!CA349</f>
        <v>2120</v>
      </c>
      <c r="M345" s="443" t="e">
        <f>#REF!+#REF!-#REF!</f>
        <v>#REF!</v>
      </c>
      <c r="N345" s="975" t="e">
        <f>ROUND((#REF!+#REF!+#REF!+#REF!+#REF!+#REF!+#REF!+#REF!),2)</f>
        <v>#REF!</v>
      </c>
      <c r="Q345" s="629" t="e">
        <f>SUM(#REF!)</f>
        <v>#REF!</v>
      </c>
      <c r="R345" s="976" t="e">
        <f>#REF!+#REF!-#REF!</f>
        <v>#REF!</v>
      </c>
      <c r="S345" s="977">
        <v>200</v>
      </c>
      <c r="T345" s="976" t="e">
        <f>#REF!+#REF!</f>
        <v>#REF!</v>
      </c>
      <c r="U345" s="977" t="e">
        <f>#REF!</f>
        <v>#REF!</v>
      </c>
      <c r="V345" s="978">
        <v>0</v>
      </c>
      <c r="W345" s="977" t="e">
        <f>#REF!</f>
        <v>#REF!</v>
      </c>
      <c r="X345" s="979" t="e">
        <f>#REF!+#REF!</f>
        <v>#REF!</v>
      </c>
      <c r="Y345" s="979" t="e">
        <f>#REF!+#REF!</f>
        <v>#REF!</v>
      </c>
      <c r="Z345" s="979"/>
      <c r="AA345" s="977" t="e">
        <f>#REF!</f>
        <v>#REF!</v>
      </c>
      <c r="AB345" s="977" t="e">
        <f t="shared" si="17"/>
        <v>#REF!</v>
      </c>
      <c r="AC345" s="977" t="e">
        <f>#REF!+#REF!</f>
        <v>#REF!</v>
      </c>
      <c r="AD345" s="977">
        <f t="shared" si="18"/>
        <v>2120</v>
      </c>
      <c r="AE345" s="634"/>
    </row>
    <row r="346" spans="1:31" s="629" customFormat="1" ht="18" customHeight="1">
      <c r="A346" s="664" t="s">
        <v>2846</v>
      </c>
      <c r="B346" s="510">
        <f t="shared" si="19"/>
        <v>39</v>
      </c>
      <c r="C346" s="980">
        <f>+NOMINA!C350</f>
        <v>12044754</v>
      </c>
      <c r="D346" s="981" t="str">
        <f>+NOMINA!D350</f>
        <v>Briceño Graterol Oscar Antonio</v>
      </c>
      <c r="E346" s="978" t="s">
        <v>4622</v>
      </c>
      <c r="F346" s="982">
        <v>27081</v>
      </c>
      <c r="G346" s="978" t="s">
        <v>4620</v>
      </c>
      <c r="H346" s="983">
        <f>+NOMINA!H350</f>
        <v>43481</v>
      </c>
      <c r="I346" s="984">
        <f>+NOMINA!I350</f>
        <v>6</v>
      </c>
      <c r="J346" s="985">
        <f>+NOMINA!J350</f>
        <v>0</v>
      </c>
      <c r="K346" s="984">
        <f>+NOMINA!K350</f>
        <v>6</v>
      </c>
      <c r="L346" s="986">
        <f>+NOMINA!CA350</f>
        <v>2120</v>
      </c>
      <c r="M346" s="443" t="e">
        <f>#REF!+#REF!-#REF!</f>
        <v>#REF!</v>
      </c>
      <c r="N346" s="975" t="e">
        <f>ROUND((#REF!+#REF!+#REF!+#REF!+#REF!+#REF!+#REF!+#REF!),2)</f>
        <v>#REF!</v>
      </c>
      <c r="Q346" s="629" t="e">
        <f>SUM(#REF!)</f>
        <v>#REF!</v>
      </c>
      <c r="R346" s="976" t="e">
        <f>#REF!+#REF!-#REF!</f>
        <v>#REF!</v>
      </c>
      <c r="S346" s="977">
        <v>200</v>
      </c>
      <c r="T346" s="976" t="e">
        <f>#REF!+#REF!</f>
        <v>#REF!</v>
      </c>
      <c r="U346" s="977" t="e">
        <f>#REF!</f>
        <v>#REF!</v>
      </c>
      <c r="V346" s="978">
        <v>0</v>
      </c>
      <c r="W346" s="977" t="e">
        <f>#REF!</f>
        <v>#REF!</v>
      </c>
      <c r="X346" s="979" t="e">
        <f>#REF!+#REF!</f>
        <v>#REF!</v>
      </c>
      <c r="Y346" s="979" t="e">
        <f>#REF!+#REF!</f>
        <v>#REF!</v>
      </c>
      <c r="Z346" s="979"/>
      <c r="AA346" s="977" t="e">
        <f>#REF!</f>
        <v>#REF!</v>
      </c>
      <c r="AB346" s="977" t="e">
        <f t="shared" si="17"/>
        <v>#REF!</v>
      </c>
      <c r="AC346" s="977" t="e">
        <f>#REF!+#REF!</f>
        <v>#REF!</v>
      </c>
      <c r="AD346" s="977">
        <f t="shared" si="18"/>
        <v>2120</v>
      </c>
      <c r="AE346" s="634"/>
    </row>
    <row r="347" spans="1:31" s="629" customFormat="1" ht="18" customHeight="1">
      <c r="A347" s="664" t="s">
        <v>2846</v>
      </c>
      <c r="B347" s="510">
        <f t="shared" si="19"/>
        <v>40</v>
      </c>
      <c r="C347" s="980">
        <f>+NOMINA!C351</f>
        <v>12046834</v>
      </c>
      <c r="D347" s="981" t="str">
        <f>+NOMINA!D351</f>
        <v>Perez Montilla William Jose</v>
      </c>
      <c r="E347" s="978" t="s">
        <v>4622</v>
      </c>
      <c r="F347" s="982">
        <v>27081</v>
      </c>
      <c r="G347" s="978" t="s">
        <v>4620</v>
      </c>
      <c r="H347" s="983">
        <f>+NOMINA!H351</f>
        <v>43313</v>
      </c>
      <c r="I347" s="984">
        <f>+NOMINA!I351</f>
        <v>6</v>
      </c>
      <c r="J347" s="985">
        <f>+NOMINA!J351</f>
        <v>14</v>
      </c>
      <c r="K347" s="984">
        <f>+NOMINA!K351</f>
        <v>20</v>
      </c>
      <c r="L347" s="986">
        <f>+NOMINA!CA351</f>
        <v>2120</v>
      </c>
      <c r="M347" s="443" t="e">
        <f>#REF!+#REF!-#REF!</f>
        <v>#REF!</v>
      </c>
      <c r="N347" s="975" t="e">
        <f>ROUND((#REF!+#REF!+#REF!+#REF!+#REF!+#REF!+#REF!+#REF!),2)</f>
        <v>#REF!</v>
      </c>
      <c r="Q347" s="629" t="e">
        <f>SUM(#REF!)</f>
        <v>#REF!</v>
      </c>
      <c r="R347" s="976" t="e">
        <f>#REF!+#REF!-#REF!</f>
        <v>#REF!</v>
      </c>
      <c r="S347" s="977">
        <v>200</v>
      </c>
      <c r="T347" s="976" t="e">
        <f>#REF!+#REF!</f>
        <v>#REF!</v>
      </c>
      <c r="U347" s="977" t="e">
        <f>#REF!</f>
        <v>#REF!</v>
      </c>
      <c r="V347" s="978">
        <v>0</v>
      </c>
      <c r="W347" s="977" t="e">
        <f>#REF!</f>
        <v>#REF!</v>
      </c>
      <c r="X347" s="979" t="e">
        <f>#REF!+#REF!</f>
        <v>#REF!</v>
      </c>
      <c r="Y347" s="979" t="e">
        <f>#REF!+#REF!</f>
        <v>#REF!</v>
      </c>
      <c r="Z347" s="979"/>
      <c r="AA347" s="977" t="e">
        <f>#REF!</f>
        <v>#REF!</v>
      </c>
      <c r="AB347" s="977" t="e">
        <f t="shared" si="17"/>
        <v>#REF!</v>
      </c>
      <c r="AC347" s="977" t="e">
        <f>#REF!+#REF!</f>
        <v>#REF!</v>
      </c>
      <c r="AD347" s="977">
        <f t="shared" si="18"/>
        <v>2120</v>
      </c>
      <c r="AE347" s="634"/>
    </row>
    <row r="348" spans="1:31" s="629" customFormat="1" ht="18" customHeight="1">
      <c r="A348" s="664" t="s">
        <v>2846</v>
      </c>
      <c r="B348" s="510">
        <f t="shared" si="19"/>
        <v>41</v>
      </c>
      <c r="C348" s="980">
        <f>+NOMINA!C352</f>
        <v>12047016</v>
      </c>
      <c r="D348" s="981" t="str">
        <f>+NOMINA!D352</f>
        <v>Lozada de Estenoz Maria Edicta</v>
      </c>
      <c r="E348" s="978" t="s">
        <v>4622</v>
      </c>
      <c r="F348" s="982">
        <v>27081</v>
      </c>
      <c r="G348" s="978" t="s">
        <v>4620</v>
      </c>
      <c r="H348" s="983">
        <f>+NOMINA!H352</f>
        <v>42948</v>
      </c>
      <c r="I348" s="984">
        <f>+NOMINA!I352</f>
        <v>7</v>
      </c>
      <c r="J348" s="985">
        <f>+NOMINA!J352</f>
        <v>0</v>
      </c>
      <c r="K348" s="984">
        <f>+NOMINA!K352</f>
        <v>7</v>
      </c>
      <c r="L348" s="986">
        <f>+NOMINA!CA352</f>
        <v>2120</v>
      </c>
      <c r="M348" s="443" t="e">
        <f>#REF!+#REF!-#REF!</f>
        <v>#REF!</v>
      </c>
      <c r="N348" s="975" t="e">
        <f>ROUND((#REF!+#REF!+#REF!+#REF!+#REF!+#REF!+#REF!+#REF!),2)</f>
        <v>#REF!</v>
      </c>
      <c r="Q348" s="629" t="e">
        <f>SUM(#REF!)</f>
        <v>#REF!</v>
      </c>
      <c r="R348" s="976" t="e">
        <f>#REF!+#REF!-#REF!</f>
        <v>#REF!</v>
      </c>
      <c r="S348" s="977">
        <v>200</v>
      </c>
      <c r="T348" s="976" t="e">
        <f>#REF!+#REF!</f>
        <v>#REF!</v>
      </c>
      <c r="U348" s="977" t="e">
        <f>#REF!</f>
        <v>#REF!</v>
      </c>
      <c r="V348" s="978">
        <v>0</v>
      </c>
      <c r="W348" s="977" t="e">
        <f>#REF!</f>
        <v>#REF!</v>
      </c>
      <c r="X348" s="979" t="e">
        <f>#REF!+#REF!</f>
        <v>#REF!</v>
      </c>
      <c r="Y348" s="979" t="e">
        <f>#REF!+#REF!</f>
        <v>#REF!</v>
      </c>
      <c r="Z348" s="979"/>
      <c r="AA348" s="977" t="e">
        <f>#REF!</f>
        <v>#REF!</v>
      </c>
      <c r="AB348" s="977" t="e">
        <f t="shared" si="17"/>
        <v>#REF!</v>
      </c>
      <c r="AC348" s="977" t="e">
        <f>#REF!+#REF!</f>
        <v>#REF!</v>
      </c>
      <c r="AD348" s="977">
        <f t="shared" si="18"/>
        <v>2120</v>
      </c>
      <c r="AE348" s="634"/>
    </row>
    <row r="349" spans="1:31" s="629" customFormat="1" ht="18" customHeight="1">
      <c r="A349" s="664" t="s">
        <v>2846</v>
      </c>
      <c r="B349" s="510">
        <f t="shared" si="19"/>
        <v>42</v>
      </c>
      <c r="C349" s="980">
        <f>+NOMINA!C353</f>
        <v>12797543</v>
      </c>
      <c r="D349" s="981" t="str">
        <f>+NOMINA!D353</f>
        <v>Carrizo Blanco Doris Coromoto</v>
      </c>
      <c r="E349" s="978" t="s">
        <v>4622</v>
      </c>
      <c r="F349" s="982">
        <v>27081</v>
      </c>
      <c r="G349" s="978" t="s">
        <v>4620</v>
      </c>
      <c r="H349" s="983">
        <f>+NOMINA!H353</f>
        <v>42948</v>
      </c>
      <c r="I349" s="984">
        <f>+NOMINA!I353</f>
        <v>7</v>
      </c>
      <c r="J349" s="985">
        <f>+NOMINA!J353</f>
        <v>0</v>
      </c>
      <c r="K349" s="984">
        <f>+NOMINA!K353</f>
        <v>7</v>
      </c>
      <c r="L349" s="986">
        <f>+NOMINA!CA353</f>
        <v>2120</v>
      </c>
      <c r="M349" s="443" t="e">
        <f>#REF!+#REF!-#REF!</f>
        <v>#REF!</v>
      </c>
      <c r="N349" s="975" t="e">
        <f>ROUND((#REF!+#REF!+#REF!+#REF!+#REF!+#REF!+#REF!+#REF!),2)</f>
        <v>#REF!</v>
      </c>
      <c r="Q349" s="629" t="e">
        <f>SUM(#REF!)</f>
        <v>#REF!</v>
      </c>
      <c r="R349" s="976" t="e">
        <f>#REF!+#REF!-#REF!</f>
        <v>#REF!</v>
      </c>
      <c r="S349" s="977">
        <v>200</v>
      </c>
      <c r="T349" s="976" t="e">
        <f>#REF!+#REF!</f>
        <v>#REF!</v>
      </c>
      <c r="U349" s="977" t="e">
        <f>#REF!</f>
        <v>#REF!</v>
      </c>
      <c r="V349" s="978">
        <v>0</v>
      </c>
      <c r="W349" s="977" t="e">
        <f>#REF!</f>
        <v>#REF!</v>
      </c>
      <c r="X349" s="979" t="e">
        <f>#REF!+#REF!</f>
        <v>#REF!</v>
      </c>
      <c r="Y349" s="979" t="e">
        <f>#REF!+#REF!</f>
        <v>#REF!</v>
      </c>
      <c r="Z349" s="979"/>
      <c r="AA349" s="977" t="e">
        <f>#REF!</f>
        <v>#REF!</v>
      </c>
      <c r="AB349" s="977" t="e">
        <f t="shared" si="17"/>
        <v>#REF!</v>
      </c>
      <c r="AC349" s="977" t="e">
        <f>#REF!+#REF!</f>
        <v>#REF!</v>
      </c>
      <c r="AD349" s="977">
        <f t="shared" si="18"/>
        <v>2120</v>
      </c>
      <c r="AE349" s="634"/>
    </row>
    <row r="350" spans="1:31" s="629" customFormat="1" ht="18" customHeight="1">
      <c r="A350" s="664" t="s">
        <v>2846</v>
      </c>
      <c r="B350" s="510">
        <f t="shared" si="19"/>
        <v>43</v>
      </c>
      <c r="C350" s="980">
        <f>+NOMINA!C354</f>
        <v>12797598</v>
      </c>
      <c r="D350" s="981" t="str">
        <f>+NOMINA!D354</f>
        <v>Gutierrez Briceño Jose Gabriel</v>
      </c>
      <c r="E350" s="978" t="s">
        <v>4622</v>
      </c>
      <c r="F350" s="982">
        <v>27081</v>
      </c>
      <c r="G350" s="978" t="s">
        <v>4620</v>
      </c>
      <c r="H350" s="983">
        <f>+NOMINA!H354</f>
        <v>44635</v>
      </c>
      <c r="I350" s="984">
        <f>+NOMINA!I354</f>
        <v>2</v>
      </c>
      <c r="J350" s="985">
        <f>+NOMINA!J354</f>
        <v>0</v>
      </c>
      <c r="K350" s="984">
        <f>+NOMINA!K354</f>
        <v>2</v>
      </c>
      <c r="L350" s="986">
        <f>+NOMINA!CA354</f>
        <v>2120</v>
      </c>
      <c r="M350" s="443" t="e">
        <f>#REF!+#REF!-#REF!</f>
        <v>#REF!</v>
      </c>
      <c r="N350" s="975" t="e">
        <f>ROUND((#REF!+#REF!+#REF!+#REF!+#REF!+#REF!+#REF!+#REF!),2)</f>
        <v>#REF!</v>
      </c>
      <c r="Q350" s="629" t="e">
        <f>SUM(#REF!)</f>
        <v>#REF!</v>
      </c>
      <c r="R350" s="976" t="e">
        <f>#REF!+#REF!-#REF!</f>
        <v>#REF!</v>
      </c>
      <c r="S350" s="977">
        <v>200</v>
      </c>
      <c r="T350" s="976" t="e">
        <f>#REF!+#REF!</f>
        <v>#REF!</v>
      </c>
      <c r="U350" s="977" t="e">
        <f>#REF!</f>
        <v>#REF!</v>
      </c>
      <c r="V350" s="978">
        <v>0</v>
      </c>
      <c r="W350" s="977" t="e">
        <f>#REF!</f>
        <v>#REF!</v>
      </c>
      <c r="X350" s="979" t="e">
        <f>#REF!+#REF!</f>
        <v>#REF!</v>
      </c>
      <c r="Y350" s="979" t="e">
        <f>#REF!+#REF!</f>
        <v>#REF!</v>
      </c>
      <c r="Z350" s="979"/>
      <c r="AA350" s="977" t="e">
        <f>#REF!</f>
        <v>#REF!</v>
      </c>
      <c r="AB350" s="977" t="e">
        <f t="shared" si="17"/>
        <v>#REF!</v>
      </c>
      <c r="AC350" s="977" t="e">
        <f>#REF!+#REF!</f>
        <v>#REF!</v>
      </c>
      <c r="AD350" s="977">
        <f t="shared" si="18"/>
        <v>2120</v>
      </c>
      <c r="AE350" s="634"/>
    </row>
    <row r="351" spans="1:31" s="629" customFormat="1" ht="18" customHeight="1">
      <c r="A351" s="664" t="s">
        <v>2846</v>
      </c>
      <c r="B351" s="510">
        <f t="shared" si="19"/>
        <v>44</v>
      </c>
      <c r="C351" s="980">
        <f>+NOMINA!C355</f>
        <v>13049800</v>
      </c>
      <c r="D351" s="981" t="str">
        <f>+NOMINA!D355</f>
        <v>Artigas Sanchez Mereldes Corina</v>
      </c>
      <c r="E351" s="978" t="s">
        <v>4622</v>
      </c>
      <c r="F351" s="982">
        <v>27081</v>
      </c>
      <c r="G351" s="978" t="s">
        <v>4620</v>
      </c>
      <c r="H351" s="983">
        <f>+NOMINA!H355</f>
        <v>42171</v>
      </c>
      <c r="I351" s="984">
        <f>+NOMINA!I355</f>
        <v>9</v>
      </c>
      <c r="J351" s="985">
        <f>+NOMINA!J355</f>
        <v>0</v>
      </c>
      <c r="K351" s="984">
        <f>+NOMINA!K355</f>
        <v>9</v>
      </c>
      <c r="L351" s="986">
        <f>+NOMINA!CA355</f>
        <v>2120</v>
      </c>
      <c r="M351" s="443" t="e">
        <f>#REF!+#REF!-#REF!</f>
        <v>#REF!</v>
      </c>
      <c r="N351" s="975" t="e">
        <f>ROUND((#REF!+#REF!+#REF!+#REF!+#REF!+#REF!+#REF!+#REF!),2)</f>
        <v>#REF!</v>
      </c>
      <c r="Q351" s="629" t="e">
        <f>SUM(#REF!)</f>
        <v>#REF!</v>
      </c>
      <c r="R351" s="976" t="e">
        <f>#REF!+#REF!-#REF!</f>
        <v>#REF!</v>
      </c>
      <c r="S351" s="977">
        <v>200</v>
      </c>
      <c r="T351" s="976" t="e">
        <f>#REF!+#REF!</f>
        <v>#REF!</v>
      </c>
      <c r="U351" s="977" t="e">
        <f>#REF!</f>
        <v>#REF!</v>
      </c>
      <c r="V351" s="978">
        <v>0</v>
      </c>
      <c r="W351" s="977" t="e">
        <f>#REF!</f>
        <v>#REF!</v>
      </c>
      <c r="X351" s="979" t="e">
        <f>#REF!+#REF!</f>
        <v>#REF!</v>
      </c>
      <c r="Y351" s="979" t="e">
        <f>#REF!+#REF!</f>
        <v>#REF!</v>
      </c>
      <c r="Z351" s="979"/>
      <c r="AA351" s="977" t="e">
        <f>#REF!</f>
        <v>#REF!</v>
      </c>
      <c r="AB351" s="977" t="e">
        <f t="shared" si="17"/>
        <v>#REF!</v>
      </c>
      <c r="AC351" s="977" t="e">
        <f>#REF!+#REF!</f>
        <v>#REF!</v>
      </c>
      <c r="AD351" s="977">
        <f t="shared" si="18"/>
        <v>2120</v>
      </c>
      <c r="AE351" s="634"/>
    </row>
    <row r="352" spans="1:31" s="629" customFormat="1" ht="18" customHeight="1">
      <c r="A352" s="664" t="s">
        <v>2846</v>
      </c>
      <c r="B352" s="510">
        <f t="shared" si="19"/>
        <v>45</v>
      </c>
      <c r="C352" s="980">
        <f>+NOMINA!C356</f>
        <v>13260758</v>
      </c>
      <c r="D352" s="981" t="str">
        <f>+NOMINA!D356</f>
        <v>Zerpa Silva Frank Michael</v>
      </c>
      <c r="E352" s="978" t="s">
        <v>4622</v>
      </c>
      <c r="F352" s="982">
        <v>27081</v>
      </c>
      <c r="G352" s="978" t="s">
        <v>4620</v>
      </c>
      <c r="H352" s="983">
        <f>+NOMINA!H356</f>
        <v>39118</v>
      </c>
      <c r="I352" s="984">
        <f>+NOMINA!I356</f>
        <v>17</v>
      </c>
      <c r="J352" s="985">
        <f>+NOMINA!J356</f>
        <v>0</v>
      </c>
      <c r="K352" s="984">
        <f>+NOMINA!K356</f>
        <v>17</v>
      </c>
      <c r="L352" s="986">
        <f>+NOMINA!CA356</f>
        <v>2120</v>
      </c>
      <c r="M352" s="443" t="e">
        <f>#REF!+#REF!-#REF!</f>
        <v>#REF!</v>
      </c>
      <c r="N352" s="975" t="e">
        <f>ROUND((#REF!+#REF!+#REF!+#REF!+#REF!+#REF!+#REF!+#REF!),2)</f>
        <v>#REF!</v>
      </c>
      <c r="Q352" s="629" t="e">
        <f>SUM(#REF!)</f>
        <v>#REF!</v>
      </c>
      <c r="R352" s="976" t="e">
        <f>#REF!+#REF!-#REF!</f>
        <v>#REF!</v>
      </c>
      <c r="S352" s="977">
        <v>200</v>
      </c>
      <c r="T352" s="976" t="e">
        <f>#REF!+#REF!</f>
        <v>#REF!</v>
      </c>
      <c r="U352" s="977" t="e">
        <f>#REF!</f>
        <v>#REF!</v>
      </c>
      <c r="V352" s="978">
        <v>0</v>
      </c>
      <c r="W352" s="977" t="e">
        <f>#REF!</f>
        <v>#REF!</v>
      </c>
      <c r="X352" s="979" t="e">
        <f>#REF!+#REF!</f>
        <v>#REF!</v>
      </c>
      <c r="Y352" s="979" t="e">
        <f>#REF!+#REF!</f>
        <v>#REF!</v>
      </c>
      <c r="Z352" s="979"/>
      <c r="AA352" s="977" t="e">
        <f>#REF!</f>
        <v>#REF!</v>
      </c>
      <c r="AB352" s="977" t="e">
        <f t="shared" si="17"/>
        <v>#REF!</v>
      </c>
      <c r="AC352" s="977" t="e">
        <f>#REF!+#REF!</f>
        <v>#REF!</v>
      </c>
      <c r="AD352" s="977">
        <f t="shared" si="18"/>
        <v>2120</v>
      </c>
      <c r="AE352" s="634"/>
    </row>
    <row r="353" spans="1:31" s="629" customFormat="1" ht="18" customHeight="1">
      <c r="A353" s="664" t="s">
        <v>2846</v>
      </c>
      <c r="B353" s="510">
        <f t="shared" si="19"/>
        <v>46</v>
      </c>
      <c r="C353" s="980">
        <f>+NOMINA!C357</f>
        <v>13376729</v>
      </c>
      <c r="D353" s="981" t="str">
        <f>+NOMINA!D357</f>
        <v>Briceño Aldana Yhon Mario</v>
      </c>
      <c r="E353" s="978" t="s">
        <v>4622</v>
      </c>
      <c r="F353" s="982">
        <v>27081</v>
      </c>
      <c r="G353" s="978" t="s">
        <v>4620</v>
      </c>
      <c r="H353" s="983">
        <f>+NOMINA!H357</f>
        <v>42948</v>
      </c>
      <c r="I353" s="984">
        <f>+NOMINA!I357</f>
        <v>7</v>
      </c>
      <c r="J353" s="985">
        <f>+NOMINA!J357</f>
        <v>0</v>
      </c>
      <c r="K353" s="984">
        <f>+NOMINA!K357</f>
        <v>7</v>
      </c>
      <c r="L353" s="986">
        <f>+NOMINA!CA357</f>
        <v>2120</v>
      </c>
      <c r="M353" s="443" t="e">
        <f>#REF!+#REF!-#REF!</f>
        <v>#REF!</v>
      </c>
      <c r="N353" s="975" t="e">
        <f>ROUND((#REF!+#REF!+#REF!+#REF!+#REF!+#REF!+#REF!+#REF!),2)</f>
        <v>#REF!</v>
      </c>
      <c r="Q353" s="629" t="e">
        <f>SUM(#REF!)</f>
        <v>#REF!</v>
      </c>
      <c r="R353" s="976" t="e">
        <f>#REF!+#REF!-#REF!</f>
        <v>#REF!</v>
      </c>
      <c r="S353" s="977">
        <v>200</v>
      </c>
      <c r="T353" s="976" t="e">
        <f>#REF!+#REF!</f>
        <v>#REF!</v>
      </c>
      <c r="U353" s="977" t="e">
        <f>#REF!</f>
        <v>#REF!</v>
      </c>
      <c r="V353" s="978">
        <v>0</v>
      </c>
      <c r="W353" s="977" t="e">
        <f>#REF!</f>
        <v>#REF!</v>
      </c>
      <c r="X353" s="979" t="e">
        <f>#REF!+#REF!</f>
        <v>#REF!</v>
      </c>
      <c r="Y353" s="979" t="e">
        <f>#REF!+#REF!</f>
        <v>#REF!</v>
      </c>
      <c r="Z353" s="979"/>
      <c r="AA353" s="977" t="e">
        <f>#REF!</f>
        <v>#REF!</v>
      </c>
      <c r="AB353" s="977" t="e">
        <f t="shared" si="17"/>
        <v>#REF!</v>
      </c>
      <c r="AC353" s="977" t="e">
        <f>#REF!+#REF!</f>
        <v>#REF!</v>
      </c>
      <c r="AD353" s="977">
        <f t="shared" si="18"/>
        <v>2120</v>
      </c>
      <c r="AE353" s="634"/>
    </row>
    <row r="354" spans="1:31" s="629" customFormat="1" ht="18" customHeight="1">
      <c r="A354" s="664" t="s">
        <v>2846</v>
      </c>
      <c r="B354" s="510">
        <f t="shared" si="19"/>
        <v>47</v>
      </c>
      <c r="C354" s="980">
        <f>+NOMINA!C358</f>
        <v>13404824</v>
      </c>
      <c r="D354" s="981" t="str">
        <f>+NOMINA!D358</f>
        <v>Malpica Rivas Julio Enrique</v>
      </c>
      <c r="E354" s="978" t="s">
        <v>4622</v>
      </c>
      <c r="F354" s="982">
        <v>27081</v>
      </c>
      <c r="G354" s="978" t="s">
        <v>4620</v>
      </c>
      <c r="H354" s="983">
        <f>+NOMINA!H358</f>
        <v>45474</v>
      </c>
      <c r="I354" s="984">
        <f>+NOMINA!I358</f>
        <v>0</v>
      </c>
      <c r="J354" s="985">
        <f>+NOMINA!J358</f>
        <v>0</v>
      </c>
      <c r="K354" s="984">
        <f>+NOMINA!K358</f>
        <v>0</v>
      </c>
      <c r="L354" s="986">
        <f>+NOMINA!CA358</f>
        <v>2120</v>
      </c>
      <c r="M354" s="443" t="e">
        <f>#REF!+#REF!-#REF!</f>
        <v>#REF!</v>
      </c>
      <c r="N354" s="975" t="e">
        <f>ROUND((#REF!+#REF!+#REF!+#REF!+#REF!+#REF!+#REF!+#REF!),2)</f>
        <v>#REF!</v>
      </c>
      <c r="Q354" s="629" t="e">
        <f>SUM(#REF!)</f>
        <v>#REF!</v>
      </c>
      <c r="R354" s="976" t="e">
        <f>#REF!+#REF!-#REF!</f>
        <v>#REF!</v>
      </c>
      <c r="S354" s="977">
        <v>200</v>
      </c>
      <c r="T354" s="976" t="e">
        <f>#REF!+#REF!</f>
        <v>#REF!</v>
      </c>
      <c r="U354" s="977" t="e">
        <f>#REF!</f>
        <v>#REF!</v>
      </c>
      <c r="V354" s="978">
        <v>0</v>
      </c>
      <c r="W354" s="977" t="e">
        <f>#REF!</f>
        <v>#REF!</v>
      </c>
      <c r="X354" s="979" t="e">
        <f>#REF!+#REF!</f>
        <v>#REF!</v>
      </c>
      <c r="Y354" s="979" t="e">
        <f>#REF!+#REF!</f>
        <v>#REF!</v>
      </c>
      <c r="Z354" s="979"/>
      <c r="AA354" s="977" t="e">
        <f>#REF!</f>
        <v>#REF!</v>
      </c>
      <c r="AB354" s="977" t="e">
        <f t="shared" si="17"/>
        <v>#REF!</v>
      </c>
      <c r="AC354" s="977" t="e">
        <f>#REF!+#REF!</f>
        <v>#REF!</v>
      </c>
      <c r="AD354" s="977">
        <f t="shared" si="18"/>
        <v>2120</v>
      </c>
      <c r="AE354" s="634"/>
    </row>
    <row r="355" spans="1:31" s="629" customFormat="1" ht="18" customHeight="1">
      <c r="A355" s="664" t="s">
        <v>2846</v>
      </c>
      <c r="B355" s="510">
        <f t="shared" si="19"/>
        <v>48</v>
      </c>
      <c r="C355" s="980">
        <f>+NOMINA!C359</f>
        <v>13522771</v>
      </c>
      <c r="D355" s="981" t="str">
        <f>+NOMINA!D359</f>
        <v>Briceño Leal Ana Edelmira</v>
      </c>
      <c r="E355" s="978" t="s">
        <v>4622</v>
      </c>
      <c r="F355" s="982">
        <v>27081</v>
      </c>
      <c r="G355" s="978" t="s">
        <v>4620</v>
      </c>
      <c r="H355" s="983">
        <f>+NOMINA!H359</f>
        <v>44228</v>
      </c>
      <c r="I355" s="984">
        <f>+NOMINA!I359</f>
        <v>3</v>
      </c>
      <c r="J355" s="985">
        <f>+NOMINA!J359</f>
        <v>0</v>
      </c>
      <c r="K355" s="984">
        <f>+NOMINA!K359</f>
        <v>3</v>
      </c>
      <c r="L355" s="986">
        <f>+NOMINA!CA359</f>
        <v>2120</v>
      </c>
      <c r="M355" s="443" t="e">
        <f>#REF!+#REF!-#REF!</f>
        <v>#REF!</v>
      </c>
      <c r="N355" s="975" t="e">
        <f>ROUND((#REF!+#REF!+#REF!+#REF!+#REF!+#REF!+#REF!+#REF!),2)</f>
        <v>#REF!</v>
      </c>
      <c r="Q355" s="629" t="e">
        <f>SUM(#REF!)</f>
        <v>#REF!</v>
      </c>
      <c r="R355" s="976" t="e">
        <f>#REF!+#REF!-#REF!</f>
        <v>#REF!</v>
      </c>
      <c r="S355" s="977">
        <v>200</v>
      </c>
      <c r="T355" s="976" t="e">
        <f>#REF!+#REF!</f>
        <v>#REF!</v>
      </c>
      <c r="U355" s="977" t="e">
        <f>#REF!</f>
        <v>#REF!</v>
      </c>
      <c r="V355" s="978">
        <v>0</v>
      </c>
      <c r="W355" s="977" t="e">
        <f>#REF!</f>
        <v>#REF!</v>
      </c>
      <c r="X355" s="979" t="e">
        <f>#REF!+#REF!</f>
        <v>#REF!</v>
      </c>
      <c r="Y355" s="979" t="e">
        <f>#REF!+#REF!</f>
        <v>#REF!</v>
      </c>
      <c r="Z355" s="979"/>
      <c r="AA355" s="977" t="e">
        <f>#REF!</f>
        <v>#REF!</v>
      </c>
      <c r="AB355" s="977" t="e">
        <f t="shared" si="17"/>
        <v>#REF!</v>
      </c>
      <c r="AC355" s="977" t="e">
        <f>#REF!+#REF!</f>
        <v>#REF!</v>
      </c>
      <c r="AD355" s="977">
        <f t="shared" si="18"/>
        <v>2120</v>
      </c>
      <c r="AE355" s="634"/>
    </row>
    <row r="356" spans="1:31" s="629" customFormat="1" ht="18" customHeight="1">
      <c r="A356" s="664" t="s">
        <v>2846</v>
      </c>
      <c r="B356" s="510">
        <f t="shared" si="19"/>
        <v>49</v>
      </c>
      <c r="C356" s="980">
        <f>+NOMINA!C360</f>
        <v>13745328</v>
      </c>
      <c r="D356" s="981" t="str">
        <f>+NOMINA!D360</f>
        <v>Arroyo Williams Jose</v>
      </c>
      <c r="E356" s="978" t="s">
        <v>4622</v>
      </c>
      <c r="F356" s="982">
        <v>27081</v>
      </c>
      <c r="G356" s="978" t="s">
        <v>4620</v>
      </c>
      <c r="H356" s="983">
        <f>+NOMINA!H360</f>
        <v>44805</v>
      </c>
      <c r="I356" s="984">
        <f>+NOMINA!I360</f>
        <v>2</v>
      </c>
      <c r="J356" s="985">
        <f>+NOMINA!J360</f>
        <v>0</v>
      </c>
      <c r="K356" s="984">
        <f>+NOMINA!K360</f>
        <v>2</v>
      </c>
      <c r="L356" s="986">
        <f>+NOMINA!CA360</f>
        <v>2120</v>
      </c>
      <c r="M356" s="443" t="e">
        <f>#REF!+#REF!-#REF!</f>
        <v>#REF!</v>
      </c>
      <c r="N356" s="975" t="e">
        <f>ROUND((#REF!+#REF!+#REF!+#REF!+#REF!+#REF!+#REF!+#REF!),2)</f>
        <v>#REF!</v>
      </c>
      <c r="Q356" s="629" t="e">
        <f>SUM(#REF!)</f>
        <v>#REF!</v>
      </c>
      <c r="R356" s="976" t="e">
        <f>#REF!+#REF!-#REF!</f>
        <v>#REF!</v>
      </c>
      <c r="S356" s="977">
        <v>200</v>
      </c>
      <c r="T356" s="976" t="e">
        <f>#REF!+#REF!</f>
        <v>#REF!</v>
      </c>
      <c r="U356" s="977" t="e">
        <f>#REF!</f>
        <v>#REF!</v>
      </c>
      <c r="V356" s="978">
        <v>0</v>
      </c>
      <c r="W356" s="977" t="e">
        <f>#REF!</f>
        <v>#REF!</v>
      </c>
      <c r="X356" s="979" t="e">
        <f>#REF!+#REF!</f>
        <v>#REF!</v>
      </c>
      <c r="Y356" s="979" t="e">
        <f>#REF!+#REF!</f>
        <v>#REF!</v>
      </c>
      <c r="Z356" s="979"/>
      <c r="AA356" s="977" t="e">
        <f>#REF!</f>
        <v>#REF!</v>
      </c>
      <c r="AB356" s="977" t="e">
        <f t="shared" si="17"/>
        <v>#REF!</v>
      </c>
      <c r="AC356" s="977" t="e">
        <f>#REF!+#REF!</f>
        <v>#REF!</v>
      </c>
      <c r="AD356" s="977">
        <f t="shared" si="18"/>
        <v>2120</v>
      </c>
      <c r="AE356" s="634"/>
    </row>
    <row r="357" spans="1:31" s="629" customFormat="1" ht="18" customHeight="1">
      <c r="A357" s="664" t="s">
        <v>2846</v>
      </c>
      <c r="B357" s="510">
        <f t="shared" si="19"/>
        <v>50</v>
      </c>
      <c r="C357" s="980">
        <f>+NOMINA!C361</f>
        <v>13996661</v>
      </c>
      <c r="D357" s="981" t="str">
        <f>+NOMINA!D361</f>
        <v>Perez Montilla Yosmer Alexander</v>
      </c>
      <c r="E357" s="978" t="s">
        <v>4622</v>
      </c>
      <c r="F357" s="982">
        <v>27081</v>
      </c>
      <c r="G357" s="978" t="s">
        <v>4620</v>
      </c>
      <c r="H357" s="983">
        <f>+NOMINA!H361</f>
        <v>44743</v>
      </c>
      <c r="I357" s="984">
        <f>+NOMINA!I361</f>
        <v>2</v>
      </c>
      <c r="J357" s="985">
        <f>+NOMINA!J361</f>
        <v>0</v>
      </c>
      <c r="K357" s="984">
        <f>+NOMINA!K361</f>
        <v>2</v>
      </c>
      <c r="L357" s="986">
        <f>+NOMINA!CA361</f>
        <v>2120</v>
      </c>
      <c r="M357" s="443" t="e">
        <f>#REF!+#REF!-#REF!</f>
        <v>#REF!</v>
      </c>
      <c r="N357" s="975" t="e">
        <f>ROUND((#REF!+#REF!+#REF!+#REF!+#REF!+#REF!+#REF!+#REF!),2)</f>
        <v>#REF!</v>
      </c>
      <c r="Q357" s="629" t="e">
        <f>SUM(#REF!)</f>
        <v>#REF!</v>
      </c>
      <c r="R357" s="976" t="e">
        <f>#REF!+#REF!-#REF!</f>
        <v>#REF!</v>
      </c>
      <c r="S357" s="977">
        <v>200</v>
      </c>
      <c r="T357" s="976" t="e">
        <f>#REF!+#REF!</f>
        <v>#REF!</v>
      </c>
      <c r="U357" s="977" t="e">
        <f>#REF!</f>
        <v>#REF!</v>
      </c>
      <c r="V357" s="978">
        <v>0</v>
      </c>
      <c r="W357" s="977" t="e">
        <f>#REF!</f>
        <v>#REF!</v>
      </c>
      <c r="X357" s="979" t="e">
        <f>#REF!+#REF!</f>
        <v>#REF!</v>
      </c>
      <c r="Y357" s="979" t="e">
        <f>#REF!+#REF!</f>
        <v>#REF!</v>
      </c>
      <c r="Z357" s="979"/>
      <c r="AA357" s="977" t="e">
        <f>#REF!</f>
        <v>#REF!</v>
      </c>
      <c r="AB357" s="977" t="e">
        <f t="shared" si="17"/>
        <v>#REF!</v>
      </c>
      <c r="AC357" s="977" t="e">
        <f>#REF!+#REF!</f>
        <v>#REF!</v>
      </c>
      <c r="AD357" s="977">
        <f t="shared" si="18"/>
        <v>2120</v>
      </c>
      <c r="AE357" s="634"/>
    </row>
    <row r="358" spans="1:31" s="629" customFormat="1" ht="18" customHeight="1">
      <c r="A358" s="664" t="s">
        <v>2846</v>
      </c>
      <c r="B358" s="510">
        <f t="shared" si="19"/>
        <v>51</v>
      </c>
      <c r="C358" s="980">
        <f>+NOMINA!C362</f>
        <v>13996885</v>
      </c>
      <c r="D358" s="981" t="str">
        <f>+NOMINA!D362</f>
        <v>Pulido Rojo Wilmer Jose</v>
      </c>
      <c r="E358" s="978" t="s">
        <v>4622</v>
      </c>
      <c r="F358" s="982">
        <v>27081</v>
      </c>
      <c r="G358" s="978" t="s">
        <v>4620</v>
      </c>
      <c r="H358" s="983">
        <f>+NOMINA!H362</f>
        <v>44363</v>
      </c>
      <c r="I358" s="984">
        <f>+NOMINA!I362</f>
        <v>3</v>
      </c>
      <c r="J358" s="985">
        <f>+NOMINA!J362</f>
        <v>0</v>
      </c>
      <c r="K358" s="984">
        <f>+NOMINA!K362</f>
        <v>3</v>
      </c>
      <c r="L358" s="986">
        <f>+NOMINA!CA362</f>
        <v>2120</v>
      </c>
      <c r="M358" s="443" t="e">
        <f>#REF!+#REF!-#REF!</f>
        <v>#REF!</v>
      </c>
      <c r="N358" s="975" t="e">
        <f>ROUND((#REF!+#REF!+#REF!+#REF!+#REF!+#REF!+#REF!+#REF!),2)</f>
        <v>#REF!</v>
      </c>
      <c r="Q358" s="629" t="e">
        <f>SUM(#REF!)</f>
        <v>#REF!</v>
      </c>
      <c r="R358" s="976" t="e">
        <f>#REF!+#REF!-#REF!</f>
        <v>#REF!</v>
      </c>
      <c r="S358" s="977">
        <v>200</v>
      </c>
      <c r="T358" s="976" t="e">
        <f>#REF!+#REF!</f>
        <v>#REF!</v>
      </c>
      <c r="U358" s="977" t="e">
        <f>#REF!</f>
        <v>#REF!</v>
      </c>
      <c r="V358" s="978">
        <v>0</v>
      </c>
      <c r="W358" s="977" t="e">
        <f>#REF!</f>
        <v>#REF!</v>
      </c>
      <c r="X358" s="979" t="e">
        <f>#REF!+#REF!</f>
        <v>#REF!</v>
      </c>
      <c r="Y358" s="979" t="e">
        <f>#REF!+#REF!</f>
        <v>#REF!</v>
      </c>
      <c r="Z358" s="979"/>
      <c r="AA358" s="977" t="e">
        <f>#REF!</f>
        <v>#REF!</v>
      </c>
      <c r="AB358" s="977" t="e">
        <f t="shared" si="17"/>
        <v>#REF!</v>
      </c>
      <c r="AC358" s="977" t="e">
        <f>#REF!+#REF!</f>
        <v>#REF!</v>
      </c>
      <c r="AD358" s="977">
        <f t="shared" si="18"/>
        <v>2120</v>
      </c>
      <c r="AE358" s="634"/>
    </row>
    <row r="359" spans="1:31" s="629" customFormat="1" ht="18" customHeight="1">
      <c r="A359" s="664" t="s">
        <v>2846</v>
      </c>
      <c r="B359" s="510">
        <f t="shared" si="19"/>
        <v>52</v>
      </c>
      <c r="C359" s="980">
        <f>+NOMINA!C363</f>
        <v>14149971</v>
      </c>
      <c r="D359" s="981" t="str">
        <f>+NOMINA!D363</f>
        <v>Rivera Virginia del Carmen</v>
      </c>
      <c r="E359" s="978" t="s">
        <v>4622</v>
      </c>
      <c r="F359" s="982">
        <v>27081</v>
      </c>
      <c r="G359" s="978" t="s">
        <v>4620</v>
      </c>
      <c r="H359" s="983">
        <f>+NOMINA!H363</f>
        <v>41091</v>
      </c>
      <c r="I359" s="984">
        <f>+NOMINA!I363</f>
        <v>12</v>
      </c>
      <c r="J359" s="985">
        <f>+NOMINA!J363</f>
        <v>0</v>
      </c>
      <c r="K359" s="984">
        <f>+NOMINA!K363</f>
        <v>12</v>
      </c>
      <c r="L359" s="986">
        <f>+NOMINA!CA363</f>
        <v>2120</v>
      </c>
      <c r="M359" s="443" t="e">
        <f>#REF!+#REF!-#REF!</f>
        <v>#REF!</v>
      </c>
      <c r="N359" s="975" t="e">
        <f>ROUND((#REF!+#REF!+#REF!+#REF!+#REF!+#REF!+#REF!+#REF!),2)</f>
        <v>#REF!</v>
      </c>
      <c r="Q359" s="629" t="e">
        <f>SUM(#REF!)</f>
        <v>#REF!</v>
      </c>
      <c r="R359" s="976" t="e">
        <f>#REF!+#REF!-#REF!</f>
        <v>#REF!</v>
      </c>
      <c r="S359" s="977">
        <v>200</v>
      </c>
      <c r="T359" s="976" t="e">
        <f>#REF!+#REF!</f>
        <v>#REF!</v>
      </c>
      <c r="U359" s="977" t="e">
        <f>#REF!</f>
        <v>#REF!</v>
      </c>
      <c r="V359" s="978">
        <v>0</v>
      </c>
      <c r="W359" s="977" t="e">
        <f>#REF!</f>
        <v>#REF!</v>
      </c>
      <c r="X359" s="979" t="e">
        <f>#REF!+#REF!</f>
        <v>#REF!</v>
      </c>
      <c r="Y359" s="979" t="e">
        <f>#REF!+#REF!</f>
        <v>#REF!</v>
      </c>
      <c r="Z359" s="979"/>
      <c r="AA359" s="977" t="e">
        <f>#REF!</f>
        <v>#REF!</v>
      </c>
      <c r="AB359" s="977" t="e">
        <f t="shared" si="17"/>
        <v>#REF!</v>
      </c>
      <c r="AC359" s="977" t="e">
        <f>#REF!+#REF!</f>
        <v>#REF!</v>
      </c>
      <c r="AD359" s="977">
        <f t="shared" si="18"/>
        <v>2120</v>
      </c>
      <c r="AE359" s="634"/>
    </row>
    <row r="360" spans="1:31" s="629" customFormat="1" ht="18" customHeight="1">
      <c r="A360" s="664" t="s">
        <v>2846</v>
      </c>
      <c r="B360" s="510">
        <f t="shared" si="19"/>
        <v>53</v>
      </c>
      <c r="C360" s="980">
        <f>+NOMINA!C364</f>
        <v>14150495</v>
      </c>
      <c r="D360" s="981" t="str">
        <f>+NOMINA!D364</f>
        <v>Umbria de Segovia Alexandra del Carmen</v>
      </c>
      <c r="E360" s="978" t="s">
        <v>4622</v>
      </c>
      <c r="F360" s="982">
        <v>27081</v>
      </c>
      <c r="G360" s="978" t="s">
        <v>4620</v>
      </c>
      <c r="H360" s="983">
        <f>+NOMINA!H364</f>
        <v>44228</v>
      </c>
      <c r="I360" s="984">
        <f>+NOMINA!I364</f>
        <v>3</v>
      </c>
      <c r="J360" s="985">
        <f>+NOMINA!J364</f>
        <v>0</v>
      </c>
      <c r="K360" s="984">
        <f>+NOMINA!K364</f>
        <v>3</v>
      </c>
      <c r="L360" s="986">
        <f>+NOMINA!CA364</f>
        <v>2120</v>
      </c>
      <c r="M360" s="443" t="e">
        <f>#REF!+#REF!-#REF!</f>
        <v>#REF!</v>
      </c>
      <c r="N360" s="975" t="e">
        <f>ROUND((#REF!+#REF!+#REF!+#REF!+#REF!+#REF!+#REF!+#REF!),2)</f>
        <v>#REF!</v>
      </c>
      <c r="Q360" s="629" t="e">
        <f>SUM(#REF!)</f>
        <v>#REF!</v>
      </c>
      <c r="R360" s="976" t="e">
        <f>#REF!+#REF!-#REF!</f>
        <v>#REF!</v>
      </c>
      <c r="S360" s="977">
        <v>200</v>
      </c>
      <c r="T360" s="976" t="e">
        <f>#REF!+#REF!</f>
        <v>#REF!</v>
      </c>
      <c r="U360" s="977" t="e">
        <f>#REF!</f>
        <v>#REF!</v>
      </c>
      <c r="V360" s="978">
        <v>0</v>
      </c>
      <c r="W360" s="977" t="e">
        <f>#REF!</f>
        <v>#REF!</v>
      </c>
      <c r="X360" s="979" t="e">
        <f>#REF!+#REF!</f>
        <v>#REF!</v>
      </c>
      <c r="Y360" s="979" t="e">
        <f>#REF!+#REF!</f>
        <v>#REF!</v>
      </c>
      <c r="Z360" s="979"/>
      <c r="AA360" s="977" t="e">
        <f>#REF!</f>
        <v>#REF!</v>
      </c>
      <c r="AB360" s="977" t="e">
        <f t="shared" si="17"/>
        <v>#REF!</v>
      </c>
      <c r="AC360" s="977" t="e">
        <f>#REF!+#REF!</f>
        <v>#REF!</v>
      </c>
      <c r="AD360" s="977">
        <f t="shared" si="18"/>
        <v>2120</v>
      </c>
      <c r="AE360" s="634"/>
    </row>
    <row r="361" spans="1:31" s="629" customFormat="1" ht="18" customHeight="1">
      <c r="A361" s="664" t="s">
        <v>2846</v>
      </c>
      <c r="B361" s="510">
        <f t="shared" si="19"/>
        <v>54</v>
      </c>
      <c r="C361" s="980">
        <f>+NOMINA!C365</f>
        <v>14599616</v>
      </c>
      <c r="D361" s="981" t="str">
        <f>+NOMINA!D365</f>
        <v>Andara Briceño Jean Carlos</v>
      </c>
      <c r="E361" s="978" t="s">
        <v>4622</v>
      </c>
      <c r="F361" s="982">
        <v>27081</v>
      </c>
      <c r="G361" s="978" t="s">
        <v>4620</v>
      </c>
      <c r="H361" s="983">
        <f>+NOMINA!H365</f>
        <v>43525</v>
      </c>
      <c r="I361" s="984">
        <f>+NOMINA!I365</f>
        <v>5</v>
      </c>
      <c r="J361" s="985">
        <f>+NOMINA!J365</f>
        <v>0</v>
      </c>
      <c r="K361" s="984">
        <f>+NOMINA!K365</f>
        <v>5</v>
      </c>
      <c r="L361" s="986">
        <f>+NOMINA!CA365</f>
        <v>2120</v>
      </c>
      <c r="M361" s="443" t="e">
        <f>#REF!+#REF!-#REF!</f>
        <v>#REF!</v>
      </c>
      <c r="N361" s="975" t="e">
        <f>ROUND((#REF!+#REF!+#REF!+#REF!+#REF!+#REF!+#REF!+#REF!),2)</f>
        <v>#REF!</v>
      </c>
      <c r="Q361" s="629" t="e">
        <f>SUM(#REF!)</f>
        <v>#REF!</v>
      </c>
      <c r="R361" s="976" t="e">
        <f>#REF!+#REF!-#REF!</f>
        <v>#REF!</v>
      </c>
      <c r="S361" s="977">
        <v>200</v>
      </c>
      <c r="T361" s="976" t="e">
        <f>#REF!+#REF!</f>
        <v>#REF!</v>
      </c>
      <c r="U361" s="977" t="e">
        <f>#REF!</f>
        <v>#REF!</v>
      </c>
      <c r="V361" s="978">
        <v>0</v>
      </c>
      <c r="W361" s="977" t="e">
        <f>#REF!</f>
        <v>#REF!</v>
      </c>
      <c r="X361" s="979" t="e">
        <f>#REF!+#REF!</f>
        <v>#REF!</v>
      </c>
      <c r="Y361" s="979" t="e">
        <f>#REF!+#REF!</f>
        <v>#REF!</v>
      </c>
      <c r="Z361" s="979"/>
      <c r="AA361" s="977" t="e">
        <f>#REF!</f>
        <v>#REF!</v>
      </c>
      <c r="AB361" s="977" t="e">
        <f t="shared" si="17"/>
        <v>#REF!</v>
      </c>
      <c r="AC361" s="977" t="e">
        <f>#REF!+#REF!</f>
        <v>#REF!</v>
      </c>
      <c r="AD361" s="977">
        <f t="shared" si="18"/>
        <v>2120</v>
      </c>
      <c r="AE361" s="634"/>
    </row>
    <row r="362" spans="1:31" s="629" customFormat="1" ht="18" customHeight="1">
      <c r="A362" s="664" t="s">
        <v>2846</v>
      </c>
      <c r="B362" s="510">
        <f t="shared" si="19"/>
        <v>55</v>
      </c>
      <c r="C362" s="980">
        <f>+NOMINA!C366</f>
        <v>14718369</v>
      </c>
      <c r="D362" s="981" t="str">
        <f>+NOMINA!D366</f>
        <v>Pacheco Yudith Del Valle</v>
      </c>
      <c r="E362" s="978" t="s">
        <v>4622</v>
      </c>
      <c r="F362" s="982">
        <v>27081</v>
      </c>
      <c r="G362" s="978" t="s">
        <v>4620</v>
      </c>
      <c r="H362" s="983">
        <f>+NOMINA!H366</f>
        <v>43147</v>
      </c>
      <c r="I362" s="984">
        <f>+NOMINA!I366</f>
        <v>6</v>
      </c>
      <c r="J362" s="985">
        <f>+NOMINA!J366</f>
        <v>0</v>
      </c>
      <c r="K362" s="984">
        <f>+NOMINA!K366</f>
        <v>6</v>
      </c>
      <c r="L362" s="986">
        <f>+NOMINA!CA366</f>
        <v>2120</v>
      </c>
      <c r="M362" s="443" t="e">
        <f>#REF!+#REF!-#REF!</f>
        <v>#REF!</v>
      </c>
      <c r="N362" s="975" t="e">
        <f>ROUND((#REF!+#REF!+#REF!+#REF!+#REF!+#REF!+#REF!+#REF!),2)</f>
        <v>#REF!</v>
      </c>
      <c r="Q362" s="629" t="e">
        <f>SUM(#REF!)</f>
        <v>#REF!</v>
      </c>
      <c r="R362" s="976" t="e">
        <f>#REF!+#REF!-#REF!</f>
        <v>#REF!</v>
      </c>
      <c r="S362" s="977">
        <v>200</v>
      </c>
      <c r="T362" s="976" t="e">
        <f>#REF!+#REF!</f>
        <v>#REF!</v>
      </c>
      <c r="U362" s="977" t="e">
        <f>#REF!</f>
        <v>#REF!</v>
      </c>
      <c r="V362" s="978">
        <v>0</v>
      </c>
      <c r="W362" s="977" t="e">
        <f>#REF!</f>
        <v>#REF!</v>
      </c>
      <c r="X362" s="979" t="e">
        <f>#REF!+#REF!</f>
        <v>#REF!</v>
      </c>
      <c r="Y362" s="979" t="e">
        <f>#REF!+#REF!</f>
        <v>#REF!</v>
      </c>
      <c r="Z362" s="979"/>
      <c r="AA362" s="977" t="e">
        <f>#REF!</f>
        <v>#REF!</v>
      </c>
      <c r="AB362" s="977" t="e">
        <f t="shared" si="17"/>
        <v>#REF!</v>
      </c>
      <c r="AC362" s="977" t="e">
        <f>#REF!+#REF!</f>
        <v>#REF!</v>
      </c>
      <c r="AD362" s="977">
        <f t="shared" si="18"/>
        <v>2120</v>
      </c>
      <c r="AE362" s="634"/>
    </row>
    <row r="363" spans="1:31" s="629" customFormat="1" ht="18" customHeight="1">
      <c r="A363" s="664" t="s">
        <v>2846</v>
      </c>
      <c r="B363" s="510">
        <f t="shared" si="19"/>
        <v>56</v>
      </c>
      <c r="C363" s="980">
        <f>+NOMINA!C367</f>
        <v>14718468</v>
      </c>
      <c r="D363" s="981" t="str">
        <f>+NOMINA!D367</f>
        <v>Frias Aldana Yhonny Ramon</v>
      </c>
      <c r="E363" s="978" t="s">
        <v>4622</v>
      </c>
      <c r="F363" s="982">
        <v>27081</v>
      </c>
      <c r="G363" s="978" t="s">
        <v>4620</v>
      </c>
      <c r="H363" s="983">
        <f>+NOMINA!H367</f>
        <v>42948</v>
      </c>
      <c r="I363" s="984">
        <f>+NOMINA!I367</f>
        <v>7</v>
      </c>
      <c r="J363" s="985">
        <f>+NOMINA!J367</f>
        <v>0</v>
      </c>
      <c r="K363" s="984">
        <f>+NOMINA!K367</f>
        <v>7</v>
      </c>
      <c r="L363" s="986">
        <f>+NOMINA!CA367</f>
        <v>2120</v>
      </c>
      <c r="M363" s="443" t="e">
        <f>#REF!+#REF!-#REF!</f>
        <v>#REF!</v>
      </c>
      <c r="N363" s="975" t="e">
        <f>ROUND((#REF!+#REF!+#REF!+#REF!+#REF!+#REF!+#REF!+#REF!),2)</f>
        <v>#REF!</v>
      </c>
      <c r="Q363" s="629" t="e">
        <f>SUM(#REF!)</f>
        <v>#REF!</v>
      </c>
      <c r="R363" s="976" t="e">
        <f>#REF!+#REF!-#REF!</f>
        <v>#REF!</v>
      </c>
      <c r="S363" s="977">
        <v>200</v>
      </c>
      <c r="T363" s="976" t="e">
        <f>#REF!+#REF!</f>
        <v>#REF!</v>
      </c>
      <c r="U363" s="977" t="e">
        <f>#REF!</f>
        <v>#REF!</v>
      </c>
      <c r="V363" s="978">
        <v>0</v>
      </c>
      <c r="W363" s="977" t="e">
        <f>#REF!</f>
        <v>#REF!</v>
      </c>
      <c r="X363" s="979" t="e">
        <f>#REF!+#REF!</f>
        <v>#REF!</v>
      </c>
      <c r="Y363" s="979" t="e">
        <f>#REF!+#REF!</f>
        <v>#REF!</v>
      </c>
      <c r="Z363" s="979"/>
      <c r="AA363" s="977" t="e">
        <f>#REF!</f>
        <v>#REF!</v>
      </c>
      <c r="AB363" s="977" t="e">
        <f t="shared" si="17"/>
        <v>#REF!</v>
      </c>
      <c r="AC363" s="977" t="e">
        <f>#REF!+#REF!</f>
        <v>#REF!</v>
      </c>
      <c r="AD363" s="977">
        <f t="shared" si="18"/>
        <v>2120</v>
      </c>
      <c r="AE363" s="634"/>
    </row>
    <row r="364" spans="1:31" s="629" customFormat="1" ht="18" customHeight="1">
      <c r="A364" s="664" t="s">
        <v>2846</v>
      </c>
      <c r="B364" s="510">
        <f t="shared" si="19"/>
        <v>57</v>
      </c>
      <c r="C364" s="980">
        <f>+NOMINA!C368</f>
        <v>14719205</v>
      </c>
      <c r="D364" s="981" t="str">
        <f>+NOMINA!D368</f>
        <v>Chinchilla Perez Jean Carlos</v>
      </c>
      <c r="E364" s="978" t="s">
        <v>4622</v>
      </c>
      <c r="F364" s="982">
        <v>27081</v>
      </c>
      <c r="G364" s="978" t="s">
        <v>4620</v>
      </c>
      <c r="H364" s="983">
        <f>+NOMINA!H368</f>
        <v>39861</v>
      </c>
      <c r="I364" s="984">
        <f>+NOMINA!I368</f>
        <v>15</v>
      </c>
      <c r="J364" s="985">
        <f>+NOMINA!J368</f>
        <v>0</v>
      </c>
      <c r="K364" s="984">
        <f>+NOMINA!K368</f>
        <v>15</v>
      </c>
      <c r="L364" s="986">
        <f>+NOMINA!CA368</f>
        <v>0</v>
      </c>
      <c r="M364" s="443" t="e">
        <f>#REF!+#REF!-#REF!</f>
        <v>#REF!</v>
      </c>
      <c r="N364" s="975" t="e">
        <f>ROUND((#REF!+#REF!+#REF!+#REF!+#REF!+#REF!+#REF!+#REF!),2)</f>
        <v>#REF!</v>
      </c>
      <c r="Q364" s="629" t="e">
        <f>SUM(#REF!)</f>
        <v>#REF!</v>
      </c>
      <c r="R364" s="976" t="e">
        <f>#REF!+#REF!-#REF!</f>
        <v>#REF!</v>
      </c>
      <c r="S364" s="977">
        <v>200</v>
      </c>
      <c r="T364" s="976" t="e">
        <f>#REF!+#REF!</f>
        <v>#REF!</v>
      </c>
      <c r="U364" s="977" t="e">
        <f>#REF!</f>
        <v>#REF!</v>
      </c>
      <c r="V364" s="978">
        <v>0</v>
      </c>
      <c r="W364" s="977" t="e">
        <f>#REF!</f>
        <v>#REF!</v>
      </c>
      <c r="X364" s="979" t="e">
        <f>#REF!+#REF!</f>
        <v>#REF!</v>
      </c>
      <c r="Y364" s="979" t="e">
        <f>#REF!+#REF!</f>
        <v>#REF!</v>
      </c>
      <c r="Z364" s="979"/>
      <c r="AA364" s="977" t="e">
        <f>#REF!</f>
        <v>#REF!</v>
      </c>
      <c r="AB364" s="977" t="e">
        <f t="shared" si="17"/>
        <v>#REF!</v>
      </c>
      <c r="AC364" s="977" t="e">
        <f>#REF!+#REF!</f>
        <v>#REF!</v>
      </c>
      <c r="AD364" s="977">
        <f t="shared" si="18"/>
        <v>0</v>
      </c>
      <c r="AE364" s="634"/>
    </row>
    <row r="365" spans="1:31" s="629" customFormat="1" ht="18" customHeight="1">
      <c r="A365" s="664" t="s">
        <v>2846</v>
      </c>
      <c r="B365" s="510">
        <f t="shared" si="19"/>
        <v>58</v>
      </c>
      <c r="C365" s="980">
        <f>+NOMINA!C369</f>
        <v>14719356</v>
      </c>
      <c r="D365" s="981" t="str">
        <f>+NOMINA!D369</f>
        <v>Linares Montilla Gerardo Enrique</v>
      </c>
      <c r="E365" s="978" t="s">
        <v>4622</v>
      </c>
      <c r="F365" s="982">
        <v>27081</v>
      </c>
      <c r="G365" s="978" t="s">
        <v>4620</v>
      </c>
      <c r="H365" s="983">
        <f>+NOMINA!H369</f>
        <v>44348</v>
      </c>
      <c r="I365" s="984">
        <f>+NOMINA!I369</f>
        <v>3</v>
      </c>
      <c r="J365" s="985">
        <f>+NOMINA!J369</f>
        <v>0</v>
      </c>
      <c r="K365" s="984">
        <f>+NOMINA!K369</f>
        <v>3</v>
      </c>
      <c r="L365" s="986">
        <f>+NOMINA!CA369</f>
        <v>2120</v>
      </c>
      <c r="M365" s="443" t="e">
        <f>#REF!+#REF!-#REF!</f>
        <v>#REF!</v>
      </c>
      <c r="N365" s="975" t="e">
        <f>ROUND((#REF!+#REF!+#REF!+#REF!+#REF!+#REF!+#REF!+#REF!),2)</f>
        <v>#REF!</v>
      </c>
      <c r="Q365" s="629" t="e">
        <f>SUM(#REF!)</f>
        <v>#REF!</v>
      </c>
      <c r="R365" s="976" t="e">
        <f>#REF!+#REF!-#REF!</f>
        <v>#REF!</v>
      </c>
      <c r="S365" s="977">
        <v>200</v>
      </c>
      <c r="T365" s="976" t="e">
        <f>#REF!+#REF!</f>
        <v>#REF!</v>
      </c>
      <c r="U365" s="977" t="e">
        <f>#REF!</f>
        <v>#REF!</v>
      </c>
      <c r="V365" s="978">
        <v>0</v>
      </c>
      <c r="W365" s="977" t="e">
        <f>#REF!</f>
        <v>#REF!</v>
      </c>
      <c r="X365" s="979" t="e">
        <f>#REF!+#REF!</f>
        <v>#REF!</v>
      </c>
      <c r="Y365" s="979" t="e">
        <f>#REF!+#REF!</f>
        <v>#REF!</v>
      </c>
      <c r="Z365" s="979"/>
      <c r="AA365" s="977" t="e">
        <f>#REF!</f>
        <v>#REF!</v>
      </c>
      <c r="AB365" s="977" t="e">
        <f t="shared" si="17"/>
        <v>#REF!</v>
      </c>
      <c r="AC365" s="977" t="e">
        <f>#REF!+#REF!</f>
        <v>#REF!</v>
      </c>
      <c r="AD365" s="977">
        <f t="shared" si="18"/>
        <v>2120</v>
      </c>
      <c r="AE365" s="634"/>
    </row>
    <row r="366" spans="1:31" s="629" customFormat="1" ht="18" customHeight="1">
      <c r="A366" s="664" t="s">
        <v>2846</v>
      </c>
      <c r="B366" s="510">
        <f t="shared" si="19"/>
        <v>59</v>
      </c>
      <c r="C366" s="980">
        <f>+NOMINA!C370</f>
        <v>14780893</v>
      </c>
      <c r="D366" s="981" t="str">
        <f>+NOMINA!D370</f>
        <v>Perez Gonzalez Reinaldo Andre</v>
      </c>
      <c r="E366" s="978" t="s">
        <v>4622</v>
      </c>
      <c r="F366" s="982">
        <v>27081</v>
      </c>
      <c r="G366" s="978" t="s">
        <v>4620</v>
      </c>
      <c r="H366" s="983">
        <f>+NOMINA!H370</f>
        <v>41570</v>
      </c>
      <c r="I366" s="984">
        <f>+NOMINA!I370</f>
        <v>11</v>
      </c>
      <c r="J366" s="985">
        <f>+NOMINA!J370</f>
        <v>0</v>
      </c>
      <c r="K366" s="984">
        <f>+NOMINA!K370</f>
        <v>11</v>
      </c>
      <c r="L366" s="986">
        <f>+NOMINA!CA370</f>
        <v>2120</v>
      </c>
      <c r="M366" s="443" t="e">
        <f>#REF!+#REF!-#REF!</f>
        <v>#REF!</v>
      </c>
      <c r="N366" s="975" t="e">
        <f>ROUND((#REF!+#REF!+#REF!+#REF!+#REF!+#REF!+#REF!+#REF!),2)</f>
        <v>#REF!</v>
      </c>
      <c r="Q366" s="629" t="e">
        <f>SUM(#REF!)</f>
        <v>#REF!</v>
      </c>
      <c r="R366" s="976" t="e">
        <f>#REF!+#REF!-#REF!</f>
        <v>#REF!</v>
      </c>
      <c r="S366" s="977">
        <v>200</v>
      </c>
      <c r="T366" s="976" t="e">
        <f>#REF!+#REF!</f>
        <v>#REF!</v>
      </c>
      <c r="U366" s="977" t="e">
        <f>#REF!</f>
        <v>#REF!</v>
      </c>
      <c r="V366" s="978">
        <v>0</v>
      </c>
      <c r="W366" s="977" t="e">
        <f>#REF!</f>
        <v>#REF!</v>
      </c>
      <c r="X366" s="979" t="e">
        <f>#REF!+#REF!</f>
        <v>#REF!</v>
      </c>
      <c r="Y366" s="979" t="e">
        <f>#REF!+#REF!</f>
        <v>#REF!</v>
      </c>
      <c r="Z366" s="979"/>
      <c r="AA366" s="977" t="e">
        <f>#REF!</f>
        <v>#REF!</v>
      </c>
      <c r="AB366" s="977" t="e">
        <f t="shared" si="17"/>
        <v>#REF!</v>
      </c>
      <c r="AC366" s="977" t="e">
        <f>#REF!+#REF!</f>
        <v>#REF!</v>
      </c>
      <c r="AD366" s="977">
        <f t="shared" si="18"/>
        <v>2120</v>
      </c>
      <c r="AE366" s="634"/>
    </row>
    <row r="367" spans="1:31" s="629" customFormat="1" ht="18" customHeight="1">
      <c r="A367" s="664" t="s">
        <v>2846</v>
      </c>
      <c r="B367" s="510">
        <f t="shared" si="19"/>
        <v>60</v>
      </c>
      <c r="C367" s="980">
        <f>+NOMINA!C371</f>
        <v>14928047</v>
      </c>
      <c r="D367" s="981" t="str">
        <f>+NOMINA!D371</f>
        <v>Becerra Teran Maria Alejandra</v>
      </c>
      <c r="E367" s="978" t="s">
        <v>4622</v>
      </c>
      <c r="F367" s="982">
        <v>27081</v>
      </c>
      <c r="G367" s="978" t="s">
        <v>4620</v>
      </c>
      <c r="H367" s="983">
        <f>+NOMINA!H371</f>
        <v>43297</v>
      </c>
      <c r="I367" s="984">
        <f>+NOMINA!I371</f>
        <v>6</v>
      </c>
      <c r="J367" s="985">
        <f>+NOMINA!J371</f>
        <v>0</v>
      </c>
      <c r="K367" s="984">
        <f>+NOMINA!K371</f>
        <v>6</v>
      </c>
      <c r="L367" s="986">
        <f>+NOMINA!CA371</f>
        <v>2120</v>
      </c>
      <c r="M367" s="443" t="e">
        <f>#REF!+#REF!-#REF!</f>
        <v>#REF!</v>
      </c>
      <c r="N367" s="975" t="e">
        <f>ROUND((#REF!+#REF!+#REF!+#REF!+#REF!+#REF!+#REF!+#REF!),2)</f>
        <v>#REF!</v>
      </c>
      <c r="Q367" s="629" t="e">
        <f>SUM(#REF!)</f>
        <v>#REF!</v>
      </c>
      <c r="R367" s="976" t="e">
        <f>#REF!+#REF!-#REF!</f>
        <v>#REF!</v>
      </c>
      <c r="S367" s="977">
        <v>200</v>
      </c>
      <c r="T367" s="976" t="e">
        <f>#REF!+#REF!</f>
        <v>#REF!</v>
      </c>
      <c r="U367" s="977" t="e">
        <f>#REF!</f>
        <v>#REF!</v>
      </c>
      <c r="V367" s="978">
        <v>0</v>
      </c>
      <c r="W367" s="977" t="e">
        <f>#REF!</f>
        <v>#REF!</v>
      </c>
      <c r="X367" s="979" t="e">
        <f>#REF!+#REF!</f>
        <v>#REF!</v>
      </c>
      <c r="Y367" s="979" t="e">
        <f>#REF!+#REF!</f>
        <v>#REF!</v>
      </c>
      <c r="Z367" s="979"/>
      <c r="AA367" s="977" t="e">
        <f>#REF!</f>
        <v>#REF!</v>
      </c>
      <c r="AB367" s="977" t="e">
        <f t="shared" si="17"/>
        <v>#REF!</v>
      </c>
      <c r="AC367" s="977" t="e">
        <f>#REF!+#REF!</f>
        <v>#REF!</v>
      </c>
      <c r="AD367" s="977">
        <f t="shared" si="18"/>
        <v>2120</v>
      </c>
      <c r="AE367" s="634"/>
    </row>
    <row r="368" spans="1:31" s="629" customFormat="1" ht="18" customHeight="1">
      <c r="A368" s="664" t="s">
        <v>2846</v>
      </c>
      <c r="B368" s="510">
        <f t="shared" si="19"/>
        <v>61</v>
      </c>
      <c r="C368" s="980">
        <f>+NOMINA!C372</f>
        <v>15042683</v>
      </c>
      <c r="D368" s="981" t="str">
        <f>+NOMINA!D372</f>
        <v>Rivera Hermes Edixon</v>
      </c>
      <c r="E368" s="978" t="s">
        <v>4622</v>
      </c>
      <c r="F368" s="982">
        <v>27081</v>
      </c>
      <c r="G368" s="978" t="s">
        <v>4620</v>
      </c>
      <c r="H368" s="983">
        <f>+NOMINA!H372</f>
        <v>45292</v>
      </c>
      <c r="I368" s="984">
        <f>+NOMINA!I372</f>
        <v>1</v>
      </c>
      <c r="J368" s="985">
        <f>+NOMINA!J372</f>
        <v>0</v>
      </c>
      <c r="K368" s="984">
        <f>+NOMINA!K372</f>
        <v>1</v>
      </c>
      <c r="L368" s="986">
        <f>+NOMINA!CA372</f>
        <v>2120</v>
      </c>
      <c r="M368" s="443" t="e">
        <f>#REF!+#REF!-#REF!</f>
        <v>#REF!</v>
      </c>
      <c r="N368" s="975" t="e">
        <f>ROUND((#REF!+#REF!+#REF!+#REF!+#REF!+#REF!+#REF!+#REF!),2)</f>
        <v>#REF!</v>
      </c>
      <c r="Q368" s="629" t="e">
        <f>SUM(#REF!)</f>
        <v>#REF!</v>
      </c>
      <c r="R368" s="976" t="e">
        <f>#REF!+#REF!-#REF!</f>
        <v>#REF!</v>
      </c>
      <c r="S368" s="977">
        <v>200</v>
      </c>
      <c r="T368" s="976" t="e">
        <f>#REF!+#REF!</f>
        <v>#REF!</v>
      </c>
      <c r="U368" s="977" t="e">
        <f>#REF!</f>
        <v>#REF!</v>
      </c>
      <c r="V368" s="978">
        <v>0</v>
      </c>
      <c r="W368" s="977" t="e">
        <f>#REF!</f>
        <v>#REF!</v>
      </c>
      <c r="X368" s="979" t="e">
        <f>#REF!+#REF!</f>
        <v>#REF!</v>
      </c>
      <c r="Y368" s="979" t="e">
        <f>#REF!+#REF!</f>
        <v>#REF!</v>
      </c>
      <c r="Z368" s="979"/>
      <c r="AA368" s="977" t="e">
        <f>#REF!</f>
        <v>#REF!</v>
      </c>
      <c r="AB368" s="977" t="e">
        <f t="shared" si="17"/>
        <v>#REF!</v>
      </c>
      <c r="AC368" s="977" t="e">
        <f>#REF!+#REF!</f>
        <v>#REF!</v>
      </c>
      <c r="AD368" s="977">
        <f t="shared" si="18"/>
        <v>2120</v>
      </c>
      <c r="AE368" s="634"/>
    </row>
    <row r="369" spans="1:31" s="629" customFormat="1" ht="18" customHeight="1">
      <c r="A369" s="664" t="s">
        <v>2846</v>
      </c>
      <c r="B369" s="510">
        <f t="shared" si="19"/>
        <v>62</v>
      </c>
      <c r="C369" s="980">
        <f>+NOMINA!C373</f>
        <v>15583194</v>
      </c>
      <c r="D369" s="981" t="str">
        <f>+NOMINA!D373</f>
        <v>Garcia Briceño Wuiston Andres</v>
      </c>
      <c r="E369" s="978" t="s">
        <v>4622</v>
      </c>
      <c r="F369" s="982">
        <v>27081</v>
      </c>
      <c r="G369" s="978" t="s">
        <v>4620</v>
      </c>
      <c r="H369" s="983">
        <f>+NOMINA!H373</f>
        <v>44166</v>
      </c>
      <c r="I369" s="984">
        <f>+NOMINA!I373</f>
        <v>4</v>
      </c>
      <c r="J369" s="985">
        <f>+NOMINA!J373</f>
        <v>8</v>
      </c>
      <c r="K369" s="984">
        <f>+NOMINA!K373</f>
        <v>12</v>
      </c>
      <c r="L369" s="986">
        <f>+NOMINA!CA373</f>
        <v>2120</v>
      </c>
      <c r="M369" s="443" t="e">
        <f>#REF!+#REF!-#REF!</f>
        <v>#REF!</v>
      </c>
      <c r="N369" s="975" t="e">
        <f>ROUND((#REF!+#REF!+#REF!+#REF!+#REF!+#REF!+#REF!+#REF!),2)</f>
        <v>#REF!</v>
      </c>
      <c r="Q369" s="629" t="e">
        <f>SUM(#REF!)</f>
        <v>#REF!</v>
      </c>
      <c r="R369" s="976" t="e">
        <f>#REF!+#REF!-#REF!</f>
        <v>#REF!</v>
      </c>
      <c r="S369" s="977">
        <v>200</v>
      </c>
      <c r="T369" s="976" t="e">
        <f>#REF!+#REF!</f>
        <v>#REF!</v>
      </c>
      <c r="U369" s="977" t="e">
        <f>#REF!</f>
        <v>#REF!</v>
      </c>
      <c r="V369" s="978">
        <v>0</v>
      </c>
      <c r="W369" s="977" t="e">
        <f>#REF!</f>
        <v>#REF!</v>
      </c>
      <c r="X369" s="979" t="e">
        <f>#REF!+#REF!</f>
        <v>#REF!</v>
      </c>
      <c r="Y369" s="979" t="e">
        <f>#REF!+#REF!</f>
        <v>#REF!</v>
      </c>
      <c r="Z369" s="979"/>
      <c r="AA369" s="977" t="e">
        <f>#REF!</f>
        <v>#REF!</v>
      </c>
      <c r="AB369" s="977" t="e">
        <f t="shared" ref="AB369:AB399" si="20">SUM(T369:AA369)</f>
        <v>#REF!</v>
      </c>
      <c r="AC369" s="977" t="e">
        <f>#REF!+#REF!</f>
        <v>#REF!</v>
      </c>
      <c r="AD369" s="977">
        <f t="shared" si="18"/>
        <v>2120</v>
      </c>
      <c r="AE369" s="634"/>
    </row>
    <row r="370" spans="1:31" s="629" customFormat="1" ht="18" customHeight="1">
      <c r="A370" s="664" t="s">
        <v>2846</v>
      </c>
      <c r="B370" s="510">
        <f t="shared" si="19"/>
        <v>63</v>
      </c>
      <c r="C370" s="980">
        <f>+NOMINA!C374</f>
        <v>14928592</v>
      </c>
      <c r="D370" s="981" t="str">
        <f>+NOMINA!D374</f>
        <v>Rosales Ruiz Jesus Alberto</v>
      </c>
      <c r="E370" s="978" t="s">
        <v>4622</v>
      </c>
      <c r="F370" s="982">
        <v>27081</v>
      </c>
      <c r="G370" s="978" t="s">
        <v>4620</v>
      </c>
      <c r="H370" s="983">
        <f>+NOMINA!H374</f>
        <v>45017</v>
      </c>
      <c r="I370" s="984">
        <f>+NOMINA!I374</f>
        <v>1</v>
      </c>
      <c r="J370" s="985">
        <f>+NOMINA!J374</f>
        <v>0</v>
      </c>
      <c r="K370" s="984">
        <f>+NOMINA!K374</f>
        <v>1</v>
      </c>
      <c r="L370" s="986">
        <f>+NOMINA!CA374</f>
        <v>2120</v>
      </c>
      <c r="M370" s="443" t="e">
        <f>#REF!+#REF!-#REF!</f>
        <v>#REF!</v>
      </c>
      <c r="N370" s="975" t="e">
        <f>ROUND((#REF!+#REF!+#REF!+#REF!+#REF!+#REF!+#REF!+#REF!),2)</f>
        <v>#REF!</v>
      </c>
      <c r="Q370" s="629" t="e">
        <f>SUM(#REF!)</f>
        <v>#REF!</v>
      </c>
      <c r="R370" s="976" t="e">
        <f>#REF!+#REF!-#REF!</f>
        <v>#REF!</v>
      </c>
      <c r="S370" s="977">
        <v>200</v>
      </c>
      <c r="T370" s="976" t="e">
        <f>#REF!+#REF!</f>
        <v>#REF!</v>
      </c>
      <c r="U370" s="977" t="e">
        <f>#REF!</f>
        <v>#REF!</v>
      </c>
      <c r="V370" s="978">
        <v>0</v>
      </c>
      <c r="W370" s="977" t="e">
        <f>#REF!</f>
        <v>#REF!</v>
      </c>
      <c r="X370" s="979" t="e">
        <f>#REF!+#REF!</f>
        <v>#REF!</v>
      </c>
      <c r="Y370" s="979" t="e">
        <f>#REF!+#REF!</f>
        <v>#REF!</v>
      </c>
      <c r="Z370" s="979"/>
      <c r="AA370" s="977" t="e">
        <f>#REF!</f>
        <v>#REF!</v>
      </c>
      <c r="AB370" s="977" t="e">
        <f t="shared" si="20"/>
        <v>#REF!</v>
      </c>
      <c r="AC370" s="977" t="e">
        <f>#REF!+#REF!</f>
        <v>#REF!</v>
      </c>
      <c r="AD370" s="977">
        <f t="shared" si="18"/>
        <v>2120</v>
      </c>
      <c r="AE370" s="634"/>
    </row>
    <row r="371" spans="1:31" s="629" customFormat="1" ht="18" customHeight="1">
      <c r="A371" s="664" t="s">
        <v>2846</v>
      </c>
      <c r="B371" s="510">
        <f t="shared" si="19"/>
        <v>64</v>
      </c>
      <c r="C371" s="980">
        <f>+NOMINA!C375</f>
        <v>15952512</v>
      </c>
      <c r="D371" s="981" t="str">
        <f>+NOMINA!D375</f>
        <v>Graterol Gonzalez Maria Ysela</v>
      </c>
      <c r="E371" s="978" t="s">
        <v>4622</v>
      </c>
      <c r="F371" s="982">
        <v>27081</v>
      </c>
      <c r="G371" s="978" t="s">
        <v>4620</v>
      </c>
      <c r="H371" s="983">
        <f>+NOMINA!H375</f>
        <v>40725</v>
      </c>
      <c r="I371" s="984">
        <f>+NOMINA!I375</f>
        <v>13</v>
      </c>
      <c r="J371" s="985">
        <f>+NOMINA!J375</f>
        <v>0</v>
      </c>
      <c r="K371" s="984">
        <f>+NOMINA!K375</f>
        <v>13</v>
      </c>
      <c r="L371" s="986">
        <f>+NOMINA!CA375</f>
        <v>2120</v>
      </c>
      <c r="M371" s="443" t="e">
        <f>#REF!+#REF!-#REF!</f>
        <v>#REF!</v>
      </c>
      <c r="N371" s="975" t="e">
        <f>ROUND((#REF!+#REF!+#REF!+#REF!+#REF!+#REF!+#REF!+#REF!),2)</f>
        <v>#REF!</v>
      </c>
      <c r="Q371" s="629" t="e">
        <f>SUM(#REF!)</f>
        <v>#REF!</v>
      </c>
      <c r="R371" s="976" t="e">
        <f>#REF!+#REF!-#REF!</f>
        <v>#REF!</v>
      </c>
      <c r="S371" s="977">
        <v>200</v>
      </c>
      <c r="T371" s="976" t="e">
        <f>#REF!+#REF!</f>
        <v>#REF!</v>
      </c>
      <c r="U371" s="977" t="e">
        <f>#REF!</f>
        <v>#REF!</v>
      </c>
      <c r="V371" s="978">
        <v>0</v>
      </c>
      <c r="W371" s="977" t="e">
        <f>#REF!</f>
        <v>#REF!</v>
      </c>
      <c r="X371" s="979" t="e">
        <f>#REF!+#REF!</f>
        <v>#REF!</v>
      </c>
      <c r="Y371" s="979" t="e">
        <f>#REF!+#REF!</f>
        <v>#REF!</v>
      </c>
      <c r="Z371" s="979"/>
      <c r="AA371" s="977" t="e">
        <f>#REF!</f>
        <v>#REF!</v>
      </c>
      <c r="AB371" s="977" t="e">
        <f t="shared" si="20"/>
        <v>#REF!</v>
      </c>
      <c r="AC371" s="977" t="e">
        <f>#REF!+#REF!</f>
        <v>#REF!</v>
      </c>
      <c r="AD371" s="977">
        <f t="shared" si="18"/>
        <v>2120</v>
      </c>
      <c r="AE371" s="634"/>
    </row>
    <row r="372" spans="1:31" s="629" customFormat="1" ht="18" customHeight="1">
      <c r="A372" s="664" t="s">
        <v>2846</v>
      </c>
      <c r="B372" s="510">
        <f t="shared" si="19"/>
        <v>65</v>
      </c>
      <c r="C372" s="980">
        <f>+NOMINA!C376</f>
        <v>15953703</v>
      </c>
      <c r="D372" s="981" t="str">
        <f>+NOMINA!D376</f>
        <v>Briceño Salas Jose Leonardo</v>
      </c>
      <c r="E372" s="978" t="s">
        <v>4622</v>
      </c>
      <c r="F372" s="982">
        <v>27081</v>
      </c>
      <c r="G372" s="978" t="s">
        <v>4620</v>
      </c>
      <c r="H372" s="983">
        <f>+NOMINA!H376</f>
        <v>38718</v>
      </c>
      <c r="I372" s="984">
        <f>+NOMINA!I376</f>
        <v>19</v>
      </c>
      <c r="J372" s="985">
        <f>+NOMINA!J376</f>
        <v>0</v>
      </c>
      <c r="K372" s="984">
        <f>+NOMINA!K376</f>
        <v>19</v>
      </c>
      <c r="L372" s="986">
        <f>+NOMINA!CA376</f>
        <v>2120</v>
      </c>
      <c r="M372" s="443" t="e">
        <f>#REF!+#REF!-#REF!</f>
        <v>#REF!</v>
      </c>
      <c r="N372" s="975" t="e">
        <f>ROUND((#REF!+#REF!+#REF!+#REF!+#REF!+#REF!+#REF!+#REF!),2)</f>
        <v>#REF!</v>
      </c>
      <c r="Q372" s="629" t="e">
        <f>SUM(#REF!)</f>
        <v>#REF!</v>
      </c>
      <c r="R372" s="976" t="e">
        <f>#REF!+#REF!-#REF!</f>
        <v>#REF!</v>
      </c>
      <c r="S372" s="977">
        <v>200</v>
      </c>
      <c r="T372" s="976" t="e">
        <f>#REF!+#REF!</f>
        <v>#REF!</v>
      </c>
      <c r="U372" s="977" t="e">
        <f>#REF!</f>
        <v>#REF!</v>
      </c>
      <c r="V372" s="978">
        <v>0</v>
      </c>
      <c r="W372" s="977" t="e">
        <f>#REF!</f>
        <v>#REF!</v>
      </c>
      <c r="X372" s="979" t="e">
        <f>#REF!+#REF!</f>
        <v>#REF!</v>
      </c>
      <c r="Y372" s="979" t="e">
        <f>#REF!+#REF!</f>
        <v>#REF!</v>
      </c>
      <c r="Z372" s="979"/>
      <c r="AA372" s="977" t="e">
        <f>#REF!</f>
        <v>#REF!</v>
      </c>
      <c r="AB372" s="977" t="e">
        <f t="shared" si="20"/>
        <v>#REF!</v>
      </c>
      <c r="AC372" s="977" t="e">
        <f>#REF!+#REF!</f>
        <v>#REF!</v>
      </c>
      <c r="AD372" s="977">
        <f t="shared" si="18"/>
        <v>2120</v>
      </c>
      <c r="AE372" s="634"/>
    </row>
    <row r="373" spans="1:31" s="629" customFormat="1" ht="18" customHeight="1">
      <c r="A373" s="664" t="s">
        <v>2846</v>
      </c>
      <c r="B373" s="510">
        <f t="shared" si="19"/>
        <v>66</v>
      </c>
      <c r="C373" s="980">
        <f>+NOMINA!C377</f>
        <v>16266801</v>
      </c>
      <c r="D373" s="981" t="str">
        <f>+NOMINA!D377</f>
        <v>Briceño Gonzalez Mirla Carolina</v>
      </c>
      <c r="E373" s="978" t="s">
        <v>4622</v>
      </c>
      <c r="F373" s="982">
        <v>27081</v>
      </c>
      <c r="G373" s="978" t="s">
        <v>4620</v>
      </c>
      <c r="H373" s="983">
        <f>+NOMINA!H377</f>
        <v>39496</v>
      </c>
      <c r="I373" s="984">
        <f>+NOMINA!I377</f>
        <v>16</v>
      </c>
      <c r="J373" s="985">
        <f>+NOMINA!J377</f>
        <v>0</v>
      </c>
      <c r="K373" s="984">
        <f>+NOMINA!K377</f>
        <v>16</v>
      </c>
      <c r="L373" s="986">
        <f>+NOMINA!CA377</f>
        <v>2120</v>
      </c>
      <c r="M373" s="443" t="e">
        <f>#REF!+#REF!-#REF!</f>
        <v>#REF!</v>
      </c>
      <c r="N373" s="975" t="e">
        <f>ROUND((#REF!+#REF!+#REF!+#REF!+#REF!+#REF!+#REF!+#REF!),2)</f>
        <v>#REF!</v>
      </c>
      <c r="Q373" s="629" t="e">
        <f>SUM(#REF!)</f>
        <v>#REF!</v>
      </c>
      <c r="R373" s="976" t="e">
        <f>#REF!+#REF!-#REF!</f>
        <v>#REF!</v>
      </c>
      <c r="S373" s="977">
        <v>200</v>
      </c>
      <c r="T373" s="976" t="e">
        <f>#REF!+#REF!</f>
        <v>#REF!</v>
      </c>
      <c r="U373" s="977" t="e">
        <f>#REF!</f>
        <v>#REF!</v>
      </c>
      <c r="V373" s="978">
        <v>0</v>
      </c>
      <c r="W373" s="977" t="e">
        <f>#REF!</f>
        <v>#REF!</v>
      </c>
      <c r="X373" s="979" t="e">
        <f>#REF!+#REF!</f>
        <v>#REF!</v>
      </c>
      <c r="Y373" s="979" t="e">
        <f>#REF!+#REF!</f>
        <v>#REF!</v>
      </c>
      <c r="Z373" s="979"/>
      <c r="AA373" s="977" t="e">
        <f>#REF!</f>
        <v>#REF!</v>
      </c>
      <c r="AB373" s="977" t="e">
        <f t="shared" si="20"/>
        <v>#REF!</v>
      </c>
      <c r="AC373" s="977" t="e">
        <f>#REF!+#REF!</f>
        <v>#REF!</v>
      </c>
      <c r="AD373" s="977">
        <f t="shared" ref="AD373:AD399" si="21">L373</f>
        <v>2120</v>
      </c>
      <c r="AE373" s="634"/>
    </row>
    <row r="374" spans="1:31" s="629" customFormat="1" ht="18" customHeight="1">
      <c r="A374" s="664" t="s">
        <v>2846</v>
      </c>
      <c r="B374" s="510">
        <f t="shared" ref="B374:B399" si="22">+B373+1</f>
        <v>67</v>
      </c>
      <c r="C374" s="980">
        <f>+NOMINA!C378</f>
        <v>16739958</v>
      </c>
      <c r="D374" s="981" t="str">
        <f>+NOMINA!D378</f>
        <v>Ramirez Ramirez Natali Gabriela</v>
      </c>
      <c r="E374" s="978" t="s">
        <v>4622</v>
      </c>
      <c r="F374" s="982">
        <v>27081</v>
      </c>
      <c r="G374" s="978" t="s">
        <v>4620</v>
      </c>
      <c r="H374" s="983">
        <f>+NOMINA!H378</f>
        <v>44866</v>
      </c>
      <c r="I374" s="984">
        <f>+NOMINA!I378</f>
        <v>2</v>
      </c>
      <c r="J374" s="985">
        <f>+NOMINA!J378</f>
        <v>0</v>
      </c>
      <c r="K374" s="984">
        <f>+NOMINA!K378</f>
        <v>2</v>
      </c>
      <c r="L374" s="986">
        <f>+NOMINA!CA378</f>
        <v>2120</v>
      </c>
      <c r="M374" s="443" t="e">
        <f>#REF!+#REF!-#REF!</f>
        <v>#REF!</v>
      </c>
      <c r="N374" s="975" t="e">
        <f>ROUND((#REF!+#REF!+#REF!+#REF!+#REF!+#REF!+#REF!+#REF!),2)</f>
        <v>#REF!</v>
      </c>
      <c r="Q374" s="629" t="e">
        <f>SUM(#REF!)</f>
        <v>#REF!</v>
      </c>
      <c r="R374" s="976" t="e">
        <f>#REF!+#REF!-#REF!</f>
        <v>#REF!</v>
      </c>
      <c r="S374" s="977">
        <v>200</v>
      </c>
      <c r="T374" s="976" t="e">
        <f>#REF!+#REF!</f>
        <v>#REF!</v>
      </c>
      <c r="U374" s="977" t="e">
        <f>#REF!</f>
        <v>#REF!</v>
      </c>
      <c r="V374" s="978">
        <v>0</v>
      </c>
      <c r="W374" s="977" t="e">
        <f>#REF!</f>
        <v>#REF!</v>
      </c>
      <c r="X374" s="979" t="e">
        <f>#REF!+#REF!</f>
        <v>#REF!</v>
      </c>
      <c r="Y374" s="979" t="e">
        <f>#REF!+#REF!</f>
        <v>#REF!</v>
      </c>
      <c r="Z374" s="979"/>
      <c r="AA374" s="977" t="e">
        <f>#REF!</f>
        <v>#REF!</v>
      </c>
      <c r="AB374" s="977" t="e">
        <f t="shared" si="20"/>
        <v>#REF!</v>
      </c>
      <c r="AC374" s="977" t="e">
        <f>#REF!+#REF!</f>
        <v>#REF!</v>
      </c>
      <c r="AD374" s="977">
        <f t="shared" si="21"/>
        <v>2120</v>
      </c>
      <c r="AE374" s="634"/>
    </row>
    <row r="375" spans="1:31" s="629" customFormat="1" ht="18" customHeight="1">
      <c r="A375" s="664" t="s">
        <v>2846</v>
      </c>
      <c r="B375" s="510">
        <f t="shared" si="22"/>
        <v>68</v>
      </c>
      <c r="C375" s="980">
        <f>+NOMINA!C379</f>
        <v>16881526</v>
      </c>
      <c r="D375" s="981" t="str">
        <f>+NOMINA!D379</f>
        <v>Montilla Mendoza Addy Coromoto</v>
      </c>
      <c r="E375" s="978" t="s">
        <v>4622</v>
      </c>
      <c r="F375" s="982">
        <v>27081</v>
      </c>
      <c r="G375" s="978" t="s">
        <v>4620</v>
      </c>
      <c r="H375" s="983">
        <f>+NOMINA!H379</f>
        <v>44470</v>
      </c>
      <c r="I375" s="984">
        <f>+NOMINA!I379</f>
        <v>3</v>
      </c>
      <c r="J375" s="985">
        <f>+NOMINA!J379</f>
        <v>0</v>
      </c>
      <c r="K375" s="984">
        <f>+NOMINA!K379</f>
        <v>3</v>
      </c>
      <c r="L375" s="986">
        <f>+NOMINA!CA379</f>
        <v>2120</v>
      </c>
      <c r="M375" s="443" t="e">
        <f>#REF!+#REF!-#REF!</f>
        <v>#REF!</v>
      </c>
      <c r="N375" s="975" t="e">
        <f>ROUND((#REF!+#REF!+#REF!+#REF!+#REF!+#REF!+#REF!+#REF!),2)</f>
        <v>#REF!</v>
      </c>
      <c r="Q375" s="629" t="e">
        <f>SUM(#REF!)</f>
        <v>#REF!</v>
      </c>
      <c r="R375" s="976" t="e">
        <f>#REF!+#REF!-#REF!</f>
        <v>#REF!</v>
      </c>
      <c r="S375" s="977">
        <v>200</v>
      </c>
      <c r="T375" s="976" t="e">
        <f>#REF!+#REF!</f>
        <v>#REF!</v>
      </c>
      <c r="U375" s="977" t="e">
        <f>#REF!</f>
        <v>#REF!</v>
      </c>
      <c r="V375" s="978">
        <v>0</v>
      </c>
      <c r="W375" s="977" t="e">
        <f>#REF!</f>
        <v>#REF!</v>
      </c>
      <c r="X375" s="979" t="e">
        <f>#REF!+#REF!</f>
        <v>#REF!</v>
      </c>
      <c r="Y375" s="979" t="e">
        <f>#REF!+#REF!</f>
        <v>#REF!</v>
      </c>
      <c r="Z375" s="979"/>
      <c r="AA375" s="977" t="e">
        <f>#REF!</f>
        <v>#REF!</v>
      </c>
      <c r="AB375" s="977" t="e">
        <f t="shared" si="20"/>
        <v>#REF!</v>
      </c>
      <c r="AC375" s="977" t="e">
        <f>#REF!+#REF!</f>
        <v>#REF!</v>
      </c>
      <c r="AD375" s="977">
        <f t="shared" si="21"/>
        <v>2120</v>
      </c>
      <c r="AE375" s="634"/>
    </row>
    <row r="376" spans="1:31" s="629" customFormat="1" ht="18" customHeight="1">
      <c r="A376" s="664" t="s">
        <v>2846</v>
      </c>
      <c r="B376" s="510">
        <f t="shared" si="22"/>
        <v>69</v>
      </c>
      <c r="C376" s="980">
        <f>+NOMINA!C380</f>
        <v>17093567</v>
      </c>
      <c r="D376" s="981" t="str">
        <f>+NOMINA!D380</f>
        <v>Torres Villarreal Yenny del Carmen</v>
      </c>
      <c r="E376" s="978" t="s">
        <v>4622</v>
      </c>
      <c r="F376" s="982">
        <v>27081</v>
      </c>
      <c r="G376" s="978" t="s">
        <v>4620</v>
      </c>
      <c r="H376" s="983">
        <f>+NOMINA!H380</f>
        <v>39449</v>
      </c>
      <c r="I376" s="984">
        <f>+NOMINA!I380</f>
        <v>17</v>
      </c>
      <c r="J376" s="985">
        <f>+NOMINA!J380</f>
        <v>0</v>
      </c>
      <c r="K376" s="984">
        <f>+NOMINA!K380</f>
        <v>17</v>
      </c>
      <c r="L376" s="986">
        <f>+NOMINA!CA380</f>
        <v>2120</v>
      </c>
      <c r="M376" s="443" t="e">
        <f>#REF!+#REF!-#REF!</f>
        <v>#REF!</v>
      </c>
      <c r="N376" s="975" t="e">
        <f>ROUND((#REF!+#REF!+#REF!+#REF!+#REF!+#REF!+#REF!+#REF!),2)</f>
        <v>#REF!</v>
      </c>
      <c r="Q376" s="629" t="e">
        <f>SUM(#REF!)</f>
        <v>#REF!</v>
      </c>
      <c r="R376" s="976" t="e">
        <f>#REF!+#REF!-#REF!</f>
        <v>#REF!</v>
      </c>
      <c r="S376" s="977">
        <v>200</v>
      </c>
      <c r="T376" s="976" t="e">
        <f>#REF!+#REF!</f>
        <v>#REF!</v>
      </c>
      <c r="U376" s="977" t="e">
        <f>#REF!</f>
        <v>#REF!</v>
      </c>
      <c r="V376" s="978">
        <v>0</v>
      </c>
      <c r="W376" s="977" t="e">
        <f>#REF!</f>
        <v>#REF!</v>
      </c>
      <c r="X376" s="979" t="e">
        <f>#REF!+#REF!</f>
        <v>#REF!</v>
      </c>
      <c r="Y376" s="979" t="e">
        <f>#REF!+#REF!</f>
        <v>#REF!</v>
      </c>
      <c r="Z376" s="979"/>
      <c r="AA376" s="977" t="e">
        <f>#REF!</f>
        <v>#REF!</v>
      </c>
      <c r="AB376" s="977" t="e">
        <f t="shared" si="20"/>
        <v>#REF!</v>
      </c>
      <c r="AC376" s="977" t="e">
        <f>#REF!+#REF!</f>
        <v>#REF!</v>
      </c>
      <c r="AD376" s="977">
        <f t="shared" si="21"/>
        <v>2120</v>
      </c>
      <c r="AE376" s="634"/>
    </row>
    <row r="377" spans="1:31" s="629" customFormat="1" ht="18" customHeight="1">
      <c r="A377" s="664" t="s">
        <v>2846</v>
      </c>
      <c r="B377" s="510">
        <f t="shared" si="22"/>
        <v>70</v>
      </c>
      <c r="C377" s="980">
        <f>+NOMINA!C381</f>
        <v>17093846</v>
      </c>
      <c r="D377" s="981" t="str">
        <f>+NOMINA!D381</f>
        <v>Bastidas Rivera Junior Antonio</v>
      </c>
      <c r="E377" s="978" t="s">
        <v>4622</v>
      </c>
      <c r="F377" s="982">
        <v>27081</v>
      </c>
      <c r="G377" s="978" t="s">
        <v>4620</v>
      </c>
      <c r="H377" s="983">
        <f>+NOMINA!H381</f>
        <v>45017</v>
      </c>
      <c r="I377" s="984">
        <f>+NOMINA!I381</f>
        <v>1</v>
      </c>
      <c r="J377" s="985">
        <f>+NOMINA!J381</f>
        <v>0</v>
      </c>
      <c r="K377" s="984">
        <f>+NOMINA!K381</f>
        <v>1</v>
      </c>
      <c r="L377" s="986">
        <f>+NOMINA!CA381</f>
        <v>2120</v>
      </c>
      <c r="M377" s="443" t="e">
        <f>#REF!+#REF!-#REF!</f>
        <v>#REF!</v>
      </c>
      <c r="N377" s="975" t="e">
        <f>ROUND((#REF!+#REF!+#REF!+#REF!+#REF!+#REF!+#REF!+#REF!),2)</f>
        <v>#REF!</v>
      </c>
      <c r="Q377" s="629" t="e">
        <f>SUM(#REF!)</f>
        <v>#REF!</v>
      </c>
      <c r="R377" s="976" t="e">
        <f>#REF!+#REF!-#REF!</f>
        <v>#REF!</v>
      </c>
      <c r="S377" s="977">
        <v>200</v>
      </c>
      <c r="T377" s="976" t="e">
        <f>#REF!+#REF!</f>
        <v>#REF!</v>
      </c>
      <c r="U377" s="977" t="e">
        <f>#REF!</f>
        <v>#REF!</v>
      </c>
      <c r="V377" s="978">
        <v>0</v>
      </c>
      <c r="W377" s="977" t="e">
        <f>#REF!</f>
        <v>#REF!</v>
      </c>
      <c r="X377" s="979" t="e">
        <f>#REF!+#REF!</f>
        <v>#REF!</v>
      </c>
      <c r="Y377" s="979" t="e">
        <f>#REF!+#REF!</f>
        <v>#REF!</v>
      </c>
      <c r="Z377" s="979"/>
      <c r="AA377" s="977" t="e">
        <f>#REF!</f>
        <v>#REF!</v>
      </c>
      <c r="AB377" s="977" t="e">
        <f t="shared" si="20"/>
        <v>#REF!</v>
      </c>
      <c r="AC377" s="977" t="e">
        <f>#REF!+#REF!</f>
        <v>#REF!</v>
      </c>
      <c r="AD377" s="977">
        <f t="shared" si="21"/>
        <v>2120</v>
      </c>
      <c r="AE377" s="634"/>
    </row>
    <row r="378" spans="1:31" s="629" customFormat="1" ht="18" customHeight="1">
      <c r="A378" s="664" t="s">
        <v>2846</v>
      </c>
      <c r="B378" s="510">
        <f t="shared" si="22"/>
        <v>71</v>
      </c>
      <c r="C378" s="980">
        <f>+NOMINA!C382</f>
        <v>17095084</v>
      </c>
      <c r="D378" s="981" t="str">
        <f>+NOMINA!D382</f>
        <v>Gonzalez Simancas Yulimar del Valle</v>
      </c>
      <c r="E378" s="978" t="s">
        <v>4622</v>
      </c>
      <c r="F378" s="982">
        <v>27081</v>
      </c>
      <c r="G378" s="978" t="s">
        <v>4620</v>
      </c>
      <c r="H378" s="983">
        <f>+NOMINA!H382</f>
        <v>44317</v>
      </c>
      <c r="I378" s="984">
        <f>+NOMINA!I382</f>
        <v>3</v>
      </c>
      <c r="J378" s="985">
        <f>+NOMINA!J382</f>
        <v>0</v>
      </c>
      <c r="K378" s="984">
        <f>+NOMINA!K382</f>
        <v>3</v>
      </c>
      <c r="L378" s="986">
        <f>+NOMINA!CA382</f>
        <v>2120</v>
      </c>
      <c r="M378" s="443" t="e">
        <f>#REF!+#REF!-#REF!</f>
        <v>#REF!</v>
      </c>
      <c r="N378" s="975" t="e">
        <f>ROUND((#REF!+#REF!+#REF!+#REF!+#REF!+#REF!+#REF!+#REF!),2)</f>
        <v>#REF!</v>
      </c>
      <c r="Q378" s="629" t="e">
        <f>SUM(#REF!)</f>
        <v>#REF!</v>
      </c>
      <c r="R378" s="976" t="e">
        <f>#REF!+#REF!-#REF!</f>
        <v>#REF!</v>
      </c>
      <c r="S378" s="977">
        <v>200</v>
      </c>
      <c r="T378" s="976" t="e">
        <f>#REF!+#REF!</f>
        <v>#REF!</v>
      </c>
      <c r="U378" s="977" t="e">
        <f>#REF!</f>
        <v>#REF!</v>
      </c>
      <c r="V378" s="978">
        <v>0</v>
      </c>
      <c r="W378" s="977" t="e">
        <f>#REF!</f>
        <v>#REF!</v>
      </c>
      <c r="X378" s="979" t="e">
        <f>#REF!+#REF!</f>
        <v>#REF!</v>
      </c>
      <c r="Y378" s="979" t="e">
        <f>#REF!+#REF!</f>
        <v>#REF!</v>
      </c>
      <c r="Z378" s="979"/>
      <c r="AA378" s="977" t="e">
        <f>#REF!</f>
        <v>#REF!</v>
      </c>
      <c r="AB378" s="977" t="e">
        <f t="shared" si="20"/>
        <v>#REF!</v>
      </c>
      <c r="AC378" s="977" t="e">
        <f>#REF!+#REF!</f>
        <v>#REF!</v>
      </c>
      <c r="AD378" s="977">
        <f t="shared" si="21"/>
        <v>2120</v>
      </c>
      <c r="AE378" s="634"/>
    </row>
    <row r="379" spans="1:31" s="629" customFormat="1" ht="18" customHeight="1">
      <c r="A379" s="664" t="s">
        <v>2846</v>
      </c>
      <c r="B379" s="510">
        <f t="shared" si="22"/>
        <v>72</v>
      </c>
      <c r="C379" s="980">
        <f>+NOMINA!C383</f>
        <v>17267173</v>
      </c>
      <c r="D379" s="981" t="str">
        <f>+NOMINA!D383</f>
        <v>Torres Alvarez Olga Josefina</v>
      </c>
      <c r="E379" s="978" t="s">
        <v>4622</v>
      </c>
      <c r="F379" s="982">
        <v>27081</v>
      </c>
      <c r="G379" s="978" t="s">
        <v>4620</v>
      </c>
      <c r="H379" s="983">
        <f>+NOMINA!H383</f>
        <v>44317</v>
      </c>
      <c r="I379" s="984">
        <f>+NOMINA!I383</f>
        <v>3</v>
      </c>
      <c r="J379" s="985">
        <f>+NOMINA!J383</f>
        <v>0</v>
      </c>
      <c r="K379" s="984">
        <f>+NOMINA!K383</f>
        <v>3</v>
      </c>
      <c r="L379" s="986">
        <f>+NOMINA!CA383</f>
        <v>2120</v>
      </c>
      <c r="M379" s="443" t="e">
        <f>#REF!+#REF!-#REF!</f>
        <v>#REF!</v>
      </c>
      <c r="N379" s="975" t="e">
        <f>ROUND((#REF!+#REF!+#REF!+#REF!+#REF!+#REF!+#REF!+#REF!),2)</f>
        <v>#REF!</v>
      </c>
      <c r="Q379" s="629" t="e">
        <f>SUM(#REF!)</f>
        <v>#REF!</v>
      </c>
      <c r="R379" s="976" t="e">
        <f>#REF!+#REF!-#REF!</f>
        <v>#REF!</v>
      </c>
      <c r="S379" s="977">
        <v>200</v>
      </c>
      <c r="T379" s="976" t="e">
        <f>#REF!+#REF!</f>
        <v>#REF!</v>
      </c>
      <c r="U379" s="977" t="e">
        <f>#REF!</f>
        <v>#REF!</v>
      </c>
      <c r="V379" s="978">
        <v>0</v>
      </c>
      <c r="W379" s="977" t="e">
        <f>#REF!</f>
        <v>#REF!</v>
      </c>
      <c r="X379" s="979" t="e">
        <f>#REF!+#REF!</f>
        <v>#REF!</v>
      </c>
      <c r="Y379" s="979" t="e">
        <f>#REF!+#REF!</f>
        <v>#REF!</v>
      </c>
      <c r="Z379" s="979"/>
      <c r="AA379" s="977" t="e">
        <f>#REF!</f>
        <v>#REF!</v>
      </c>
      <c r="AB379" s="977" t="e">
        <f t="shared" si="20"/>
        <v>#REF!</v>
      </c>
      <c r="AC379" s="977" t="e">
        <f>#REF!+#REF!</f>
        <v>#REF!</v>
      </c>
      <c r="AD379" s="977">
        <f t="shared" si="21"/>
        <v>2120</v>
      </c>
      <c r="AE379" s="634"/>
    </row>
    <row r="380" spans="1:31" s="629" customFormat="1" ht="18" customHeight="1">
      <c r="A380" s="664" t="s">
        <v>2846</v>
      </c>
      <c r="B380" s="510">
        <f t="shared" si="22"/>
        <v>73</v>
      </c>
      <c r="C380" s="980">
        <f>+NOMINA!C384</f>
        <v>17267546</v>
      </c>
      <c r="D380" s="981" t="str">
        <f>+NOMINA!D384</f>
        <v>Bastidas Rivera Franklin Enrique</v>
      </c>
      <c r="E380" s="978" t="s">
        <v>4622</v>
      </c>
      <c r="F380" s="982">
        <v>27081</v>
      </c>
      <c r="G380" s="978" t="s">
        <v>4620</v>
      </c>
      <c r="H380" s="983">
        <f>+NOMINA!H384</f>
        <v>39197</v>
      </c>
      <c r="I380" s="984">
        <f>+NOMINA!I384</f>
        <v>17</v>
      </c>
      <c r="J380" s="985">
        <f>+NOMINA!J384</f>
        <v>0</v>
      </c>
      <c r="K380" s="984">
        <f>+NOMINA!K384</f>
        <v>17</v>
      </c>
      <c r="L380" s="986">
        <f>+NOMINA!CA384</f>
        <v>2120</v>
      </c>
      <c r="M380" s="443" t="e">
        <f>#REF!+#REF!-#REF!</f>
        <v>#REF!</v>
      </c>
      <c r="N380" s="975" t="e">
        <f>ROUND((#REF!+#REF!+#REF!+#REF!+#REF!+#REF!+#REF!+#REF!),2)</f>
        <v>#REF!</v>
      </c>
      <c r="Q380" s="629" t="e">
        <f>SUM(#REF!)</f>
        <v>#REF!</v>
      </c>
      <c r="R380" s="976" t="e">
        <f>#REF!+#REF!-#REF!</f>
        <v>#REF!</v>
      </c>
      <c r="S380" s="977">
        <v>200</v>
      </c>
      <c r="T380" s="976" t="e">
        <f>#REF!+#REF!</f>
        <v>#REF!</v>
      </c>
      <c r="U380" s="977" t="e">
        <f>#REF!</f>
        <v>#REF!</v>
      </c>
      <c r="V380" s="978">
        <v>0</v>
      </c>
      <c r="W380" s="977" t="e">
        <f>#REF!</f>
        <v>#REF!</v>
      </c>
      <c r="X380" s="979" t="e">
        <f>#REF!+#REF!</f>
        <v>#REF!</v>
      </c>
      <c r="Y380" s="979" t="e">
        <f>#REF!+#REF!</f>
        <v>#REF!</v>
      </c>
      <c r="Z380" s="979"/>
      <c r="AA380" s="977" t="e">
        <f>#REF!</f>
        <v>#REF!</v>
      </c>
      <c r="AB380" s="977" t="e">
        <f t="shared" si="20"/>
        <v>#REF!</v>
      </c>
      <c r="AC380" s="977" t="e">
        <f>#REF!+#REF!</f>
        <v>#REF!</v>
      </c>
      <c r="AD380" s="977">
        <f t="shared" si="21"/>
        <v>2120</v>
      </c>
      <c r="AE380" s="634"/>
    </row>
    <row r="381" spans="1:31" s="629" customFormat="1" ht="18" customHeight="1">
      <c r="A381" s="664" t="s">
        <v>2846</v>
      </c>
      <c r="B381" s="510">
        <f t="shared" si="22"/>
        <v>74</v>
      </c>
      <c r="C381" s="980">
        <f>+NOMINA!C385</f>
        <v>18096032</v>
      </c>
      <c r="D381" s="981" t="str">
        <f>+NOMINA!D385</f>
        <v>Graterol Graterol Isidro Antonio</v>
      </c>
      <c r="E381" s="978" t="s">
        <v>4622</v>
      </c>
      <c r="F381" s="982">
        <v>27081</v>
      </c>
      <c r="G381" s="978" t="s">
        <v>4620</v>
      </c>
      <c r="H381" s="983">
        <f>+NOMINA!H385</f>
        <v>45566</v>
      </c>
      <c r="I381" s="984">
        <f>+NOMINA!I385</f>
        <v>0</v>
      </c>
      <c r="J381" s="985">
        <f>+NOMINA!J385</f>
        <v>16</v>
      </c>
      <c r="K381" s="984">
        <f>+NOMINA!K385</f>
        <v>16</v>
      </c>
      <c r="L381" s="986">
        <f>+NOMINA!CA385</f>
        <v>2120</v>
      </c>
      <c r="M381" s="443" t="e">
        <f>#REF!+#REF!-#REF!</f>
        <v>#REF!</v>
      </c>
      <c r="N381" s="975" t="e">
        <f>ROUND((#REF!+#REF!+#REF!+#REF!+#REF!+#REF!+#REF!+#REF!),2)</f>
        <v>#REF!</v>
      </c>
      <c r="Q381" s="629" t="e">
        <f>SUM(#REF!)</f>
        <v>#REF!</v>
      </c>
      <c r="R381" s="976" t="e">
        <f>#REF!+#REF!-#REF!</f>
        <v>#REF!</v>
      </c>
      <c r="S381" s="977">
        <v>200</v>
      </c>
      <c r="T381" s="976" t="e">
        <f>#REF!+#REF!</f>
        <v>#REF!</v>
      </c>
      <c r="U381" s="977" t="e">
        <f>#REF!</f>
        <v>#REF!</v>
      </c>
      <c r="V381" s="978">
        <v>0</v>
      </c>
      <c r="W381" s="977" t="e">
        <f>#REF!</f>
        <v>#REF!</v>
      </c>
      <c r="X381" s="979" t="e">
        <f>#REF!+#REF!</f>
        <v>#REF!</v>
      </c>
      <c r="Y381" s="979" t="e">
        <f>#REF!+#REF!</f>
        <v>#REF!</v>
      </c>
      <c r="Z381" s="979"/>
      <c r="AA381" s="977" t="e">
        <f>#REF!</f>
        <v>#REF!</v>
      </c>
      <c r="AB381" s="977" t="e">
        <f t="shared" si="20"/>
        <v>#REF!</v>
      </c>
      <c r="AC381" s="977" t="e">
        <f>#REF!+#REF!</f>
        <v>#REF!</v>
      </c>
      <c r="AD381" s="977">
        <f t="shared" si="21"/>
        <v>2120</v>
      </c>
      <c r="AE381" s="634"/>
    </row>
    <row r="382" spans="1:31" s="629" customFormat="1" ht="18" customHeight="1">
      <c r="A382" s="664" t="s">
        <v>2846</v>
      </c>
      <c r="B382" s="510">
        <f t="shared" si="22"/>
        <v>75</v>
      </c>
      <c r="C382" s="980">
        <f>+NOMINA!C386</f>
        <v>18096338</v>
      </c>
      <c r="D382" s="981" t="str">
        <f>+NOMINA!D386</f>
        <v>Ramirez Manzanilla Jose Jesus</v>
      </c>
      <c r="E382" s="978" t="s">
        <v>4622</v>
      </c>
      <c r="F382" s="982">
        <v>27081</v>
      </c>
      <c r="G382" s="978" t="s">
        <v>4620</v>
      </c>
      <c r="H382" s="983">
        <f>+NOMINA!H386</f>
        <v>39463</v>
      </c>
      <c r="I382" s="984">
        <f>+NOMINA!I386</f>
        <v>17</v>
      </c>
      <c r="J382" s="985">
        <f>+NOMINA!J386</f>
        <v>3</v>
      </c>
      <c r="K382" s="984">
        <f>+NOMINA!K386</f>
        <v>20</v>
      </c>
      <c r="L382" s="986">
        <f>+NOMINA!CA386</f>
        <v>2120</v>
      </c>
      <c r="M382" s="443" t="e">
        <f>#REF!+#REF!-#REF!</f>
        <v>#REF!</v>
      </c>
      <c r="N382" s="975" t="e">
        <f>ROUND((#REF!+#REF!+#REF!+#REF!+#REF!+#REF!+#REF!+#REF!),2)</f>
        <v>#REF!</v>
      </c>
      <c r="Q382" s="629" t="e">
        <f>SUM(#REF!)</f>
        <v>#REF!</v>
      </c>
      <c r="R382" s="976" t="e">
        <f>#REF!+#REF!-#REF!</f>
        <v>#REF!</v>
      </c>
      <c r="S382" s="977">
        <v>200</v>
      </c>
      <c r="T382" s="976" t="e">
        <f>#REF!+#REF!</f>
        <v>#REF!</v>
      </c>
      <c r="U382" s="977" t="e">
        <f>#REF!</f>
        <v>#REF!</v>
      </c>
      <c r="V382" s="978">
        <v>0</v>
      </c>
      <c r="W382" s="977" t="e">
        <f>#REF!</f>
        <v>#REF!</v>
      </c>
      <c r="X382" s="979" t="e">
        <f>#REF!+#REF!</f>
        <v>#REF!</v>
      </c>
      <c r="Y382" s="979" t="e">
        <f>#REF!+#REF!</f>
        <v>#REF!</v>
      </c>
      <c r="Z382" s="979"/>
      <c r="AA382" s="977" t="e">
        <f>#REF!</f>
        <v>#REF!</v>
      </c>
      <c r="AB382" s="977" t="e">
        <f t="shared" si="20"/>
        <v>#REF!</v>
      </c>
      <c r="AC382" s="977" t="e">
        <f>#REF!+#REF!</f>
        <v>#REF!</v>
      </c>
      <c r="AD382" s="977">
        <f t="shared" si="21"/>
        <v>2120</v>
      </c>
      <c r="AE382" s="634"/>
    </row>
    <row r="383" spans="1:31" s="629" customFormat="1" ht="18" customHeight="1">
      <c r="A383" s="664" t="s">
        <v>2846</v>
      </c>
      <c r="B383" s="510">
        <f t="shared" si="22"/>
        <v>76</v>
      </c>
      <c r="C383" s="980">
        <f>+NOMINA!C387</f>
        <v>18350780</v>
      </c>
      <c r="D383" s="981" t="str">
        <f>+NOMINA!D387</f>
        <v>Frias Aldana Giovanny Jacinto</v>
      </c>
      <c r="E383" s="978" t="s">
        <v>4622</v>
      </c>
      <c r="F383" s="982">
        <v>27081</v>
      </c>
      <c r="G383" s="978" t="s">
        <v>4620</v>
      </c>
      <c r="H383" s="983">
        <f>+NOMINA!H387</f>
        <v>43116</v>
      </c>
      <c r="I383" s="984">
        <f>+NOMINA!I387</f>
        <v>7</v>
      </c>
      <c r="J383" s="985">
        <f>+NOMINA!J387</f>
        <v>0</v>
      </c>
      <c r="K383" s="984">
        <f>+NOMINA!K387</f>
        <v>7</v>
      </c>
      <c r="L383" s="986">
        <f>+NOMINA!CA387</f>
        <v>2120</v>
      </c>
      <c r="M383" s="443" t="e">
        <f>#REF!+#REF!-#REF!</f>
        <v>#REF!</v>
      </c>
      <c r="N383" s="975" t="e">
        <f>ROUND((#REF!+#REF!+#REF!+#REF!+#REF!+#REF!+#REF!+#REF!),2)</f>
        <v>#REF!</v>
      </c>
      <c r="Q383" s="629" t="e">
        <f>SUM(#REF!)</f>
        <v>#REF!</v>
      </c>
      <c r="R383" s="976" t="e">
        <f>#REF!+#REF!-#REF!</f>
        <v>#REF!</v>
      </c>
      <c r="S383" s="977">
        <v>200</v>
      </c>
      <c r="T383" s="976" t="e">
        <f>#REF!+#REF!</f>
        <v>#REF!</v>
      </c>
      <c r="U383" s="977" t="e">
        <f>#REF!</f>
        <v>#REF!</v>
      </c>
      <c r="V383" s="978">
        <v>0</v>
      </c>
      <c r="W383" s="977" t="e">
        <f>#REF!</f>
        <v>#REF!</v>
      </c>
      <c r="X383" s="979" t="e">
        <f>#REF!+#REF!</f>
        <v>#REF!</v>
      </c>
      <c r="Y383" s="979" t="e">
        <f>#REF!+#REF!</f>
        <v>#REF!</v>
      </c>
      <c r="Z383" s="979"/>
      <c r="AA383" s="977" t="e">
        <f>#REF!</f>
        <v>#REF!</v>
      </c>
      <c r="AB383" s="977" t="e">
        <f t="shared" si="20"/>
        <v>#REF!</v>
      </c>
      <c r="AC383" s="977" t="e">
        <f>#REF!+#REF!</f>
        <v>#REF!</v>
      </c>
      <c r="AD383" s="977">
        <f t="shared" si="21"/>
        <v>2120</v>
      </c>
      <c r="AE383" s="634"/>
    </row>
    <row r="384" spans="1:31" s="629" customFormat="1" ht="18" customHeight="1">
      <c r="A384" s="664" t="s">
        <v>2846</v>
      </c>
      <c r="B384" s="510">
        <f t="shared" si="22"/>
        <v>77</v>
      </c>
      <c r="C384" s="980">
        <f>+NOMINA!C388</f>
        <v>18456167</v>
      </c>
      <c r="D384" s="981" t="str">
        <f>+NOMINA!D388</f>
        <v>Olmos Linares Luis Alberto</v>
      </c>
      <c r="E384" s="978" t="s">
        <v>4622</v>
      </c>
      <c r="F384" s="982">
        <v>27081</v>
      </c>
      <c r="G384" s="978" t="s">
        <v>4620</v>
      </c>
      <c r="H384" s="983">
        <f>+NOMINA!H388</f>
        <v>44516</v>
      </c>
      <c r="I384" s="984">
        <f>+NOMINA!I388</f>
        <v>3</v>
      </c>
      <c r="J384" s="985">
        <f>+NOMINA!J388</f>
        <v>0</v>
      </c>
      <c r="K384" s="984">
        <f>+NOMINA!K388</f>
        <v>3</v>
      </c>
      <c r="L384" s="986">
        <f>+NOMINA!CA388</f>
        <v>2120</v>
      </c>
      <c r="M384" s="443" t="e">
        <f>#REF!+#REF!-#REF!</f>
        <v>#REF!</v>
      </c>
      <c r="N384" s="975" t="e">
        <f>ROUND((#REF!+#REF!+#REF!+#REF!+#REF!+#REF!+#REF!+#REF!),2)</f>
        <v>#REF!</v>
      </c>
      <c r="Q384" s="629" t="e">
        <f>SUM(#REF!)</f>
        <v>#REF!</v>
      </c>
      <c r="R384" s="976" t="e">
        <f>#REF!+#REF!-#REF!</f>
        <v>#REF!</v>
      </c>
      <c r="S384" s="977">
        <v>200</v>
      </c>
      <c r="T384" s="976" t="e">
        <f>#REF!+#REF!</f>
        <v>#REF!</v>
      </c>
      <c r="U384" s="977" t="e">
        <f>#REF!</f>
        <v>#REF!</v>
      </c>
      <c r="V384" s="978">
        <v>0</v>
      </c>
      <c r="W384" s="977" t="e">
        <f>#REF!</f>
        <v>#REF!</v>
      </c>
      <c r="X384" s="979" t="e">
        <f>#REF!+#REF!</f>
        <v>#REF!</v>
      </c>
      <c r="Y384" s="979" t="e">
        <f>#REF!+#REF!</f>
        <v>#REF!</v>
      </c>
      <c r="Z384" s="979"/>
      <c r="AA384" s="977" t="e">
        <f>#REF!</f>
        <v>#REF!</v>
      </c>
      <c r="AB384" s="977" t="e">
        <f t="shared" si="20"/>
        <v>#REF!</v>
      </c>
      <c r="AC384" s="977" t="e">
        <f>#REF!+#REF!</f>
        <v>#REF!</v>
      </c>
      <c r="AD384" s="977">
        <f t="shared" si="21"/>
        <v>2120</v>
      </c>
      <c r="AE384" s="634"/>
    </row>
    <row r="385" spans="1:35" s="629" customFormat="1" ht="18" customHeight="1">
      <c r="A385" s="664" t="s">
        <v>2846</v>
      </c>
      <c r="B385" s="510">
        <f t="shared" si="22"/>
        <v>78</v>
      </c>
      <c r="C385" s="980">
        <f>+NOMINA!C389</f>
        <v>18456576</v>
      </c>
      <c r="D385" s="981" t="str">
        <f>+NOMINA!D389</f>
        <v>Quintero Duran Emilio Alfonso</v>
      </c>
      <c r="E385" s="978" t="s">
        <v>4622</v>
      </c>
      <c r="F385" s="982">
        <v>27081</v>
      </c>
      <c r="G385" s="978" t="s">
        <v>4620</v>
      </c>
      <c r="H385" s="983">
        <f>+NOMINA!H389</f>
        <v>44743</v>
      </c>
      <c r="I385" s="984">
        <f>+NOMINA!I389</f>
        <v>2</v>
      </c>
      <c r="J385" s="985">
        <f>+NOMINA!J389</f>
        <v>0</v>
      </c>
      <c r="K385" s="984">
        <f>+NOMINA!K389</f>
        <v>2</v>
      </c>
      <c r="L385" s="986">
        <f>+NOMINA!CA389</f>
        <v>2120</v>
      </c>
      <c r="M385" s="443" t="e">
        <f>#REF!+#REF!-#REF!</f>
        <v>#REF!</v>
      </c>
      <c r="N385" s="975" t="e">
        <f>ROUND((#REF!+#REF!+#REF!+#REF!+#REF!+#REF!+#REF!+#REF!),2)</f>
        <v>#REF!</v>
      </c>
      <c r="Q385" s="629" t="e">
        <f>SUM(#REF!)</f>
        <v>#REF!</v>
      </c>
      <c r="R385" s="976" t="e">
        <f>#REF!+#REF!-#REF!</f>
        <v>#REF!</v>
      </c>
      <c r="S385" s="977">
        <v>200</v>
      </c>
      <c r="T385" s="976" t="e">
        <f>#REF!+#REF!</f>
        <v>#REF!</v>
      </c>
      <c r="U385" s="977" t="e">
        <f>#REF!</f>
        <v>#REF!</v>
      </c>
      <c r="V385" s="978">
        <v>0</v>
      </c>
      <c r="W385" s="977" t="e">
        <f>#REF!</f>
        <v>#REF!</v>
      </c>
      <c r="X385" s="979" t="e">
        <f>#REF!+#REF!</f>
        <v>#REF!</v>
      </c>
      <c r="Y385" s="979" t="e">
        <f>#REF!+#REF!</f>
        <v>#REF!</v>
      </c>
      <c r="Z385" s="979"/>
      <c r="AA385" s="977" t="e">
        <f>#REF!</f>
        <v>#REF!</v>
      </c>
      <c r="AB385" s="977" t="e">
        <f t="shared" si="20"/>
        <v>#REF!</v>
      </c>
      <c r="AC385" s="977" t="e">
        <f>#REF!+#REF!</f>
        <v>#REF!</v>
      </c>
      <c r="AD385" s="977">
        <f t="shared" si="21"/>
        <v>2120</v>
      </c>
      <c r="AE385" s="634"/>
    </row>
    <row r="386" spans="1:35" s="629" customFormat="1" ht="18" customHeight="1">
      <c r="A386" s="664" t="s">
        <v>2846</v>
      </c>
      <c r="B386" s="510">
        <f t="shared" si="22"/>
        <v>79</v>
      </c>
      <c r="C386" s="980">
        <f>+NOMINA!C390</f>
        <v>20039961</v>
      </c>
      <c r="D386" s="981" t="str">
        <f>+NOMINA!D390</f>
        <v>Torres Villarreal Lisbeth Carolina</v>
      </c>
      <c r="E386" s="978" t="s">
        <v>4622</v>
      </c>
      <c r="F386" s="982">
        <v>27081</v>
      </c>
      <c r="G386" s="978" t="s">
        <v>4620</v>
      </c>
      <c r="H386" s="983">
        <f>+NOMINA!H390</f>
        <v>38412</v>
      </c>
      <c r="I386" s="984">
        <f>+NOMINA!I390</f>
        <v>19</v>
      </c>
      <c r="J386" s="985">
        <f>+NOMINA!J390</f>
        <v>0</v>
      </c>
      <c r="K386" s="984">
        <f>+NOMINA!K390</f>
        <v>19</v>
      </c>
      <c r="L386" s="986">
        <f>+NOMINA!CA390</f>
        <v>2120</v>
      </c>
      <c r="M386" s="443" t="e">
        <f>#REF!+#REF!-#REF!</f>
        <v>#REF!</v>
      </c>
      <c r="N386" s="975" t="e">
        <f>ROUND((#REF!+#REF!+#REF!+#REF!+#REF!+#REF!+#REF!+#REF!),2)</f>
        <v>#REF!</v>
      </c>
      <c r="Q386" s="629" t="e">
        <f>SUM(#REF!)</f>
        <v>#REF!</v>
      </c>
      <c r="R386" s="976" t="e">
        <f>#REF!+#REF!-#REF!</f>
        <v>#REF!</v>
      </c>
      <c r="S386" s="977">
        <v>200</v>
      </c>
      <c r="T386" s="976" t="e">
        <f>#REF!+#REF!</f>
        <v>#REF!</v>
      </c>
      <c r="U386" s="977" t="e">
        <f>#REF!</f>
        <v>#REF!</v>
      </c>
      <c r="V386" s="978">
        <v>0</v>
      </c>
      <c r="W386" s="977" t="e">
        <f>#REF!</f>
        <v>#REF!</v>
      </c>
      <c r="X386" s="979" t="e">
        <f>#REF!+#REF!</f>
        <v>#REF!</v>
      </c>
      <c r="Y386" s="979" t="e">
        <f>#REF!+#REF!</f>
        <v>#REF!</v>
      </c>
      <c r="Z386" s="979"/>
      <c r="AA386" s="977" t="e">
        <f>#REF!</f>
        <v>#REF!</v>
      </c>
      <c r="AB386" s="977" t="e">
        <f t="shared" si="20"/>
        <v>#REF!</v>
      </c>
      <c r="AC386" s="977" t="e">
        <f>#REF!+#REF!</f>
        <v>#REF!</v>
      </c>
      <c r="AD386" s="977">
        <f t="shared" si="21"/>
        <v>2120</v>
      </c>
      <c r="AE386" s="634"/>
    </row>
    <row r="387" spans="1:35" s="629" customFormat="1" ht="18" customHeight="1">
      <c r="A387" s="664" t="s">
        <v>2846</v>
      </c>
      <c r="B387" s="510">
        <f t="shared" si="22"/>
        <v>80</v>
      </c>
      <c r="C387" s="980">
        <f>+NOMINA!C391</f>
        <v>20040649</v>
      </c>
      <c r="D387" s="981" t="str">
        <f>+NOMINA!D391</f>
        <v>Isarra Materan Jose de La Paz</v>
      </c>
      <c r="E387" s="978" t="s">
        <v>4622</v>
      </c>
      <c r="F387" s="982">
        <v>27081</v>
      </c>
      <c r="G387" s="978" t="s">
        <v>4620</v>
      </c>
      <c r="H387" s="983">
        <f>+NOMINA!H391</f>
        <v>44743</v>
      </c>
      <c r="I387" s="984">
        <f>+NOMINA!I391</f>
        <v>2</v>
      </c>
      <c r="J387" s="985">
        <f>+NOMINA!J391</f>
        <v>0</v>
      </c>
      <c r="K387" s="984">
        <f>+NOMINA!K391</f>
        <v>2</v>
      </c>
      <c r="L387" s="986">
        <f>+NOMINA!CA391</f>
        <v>2120</v>
      </c>
      <c r="M387" s="443" t="e">
        <f>#REF!+#REF!-#REF!</f>
        <v>#REF!</v>
      </c>
      <c r="N387" s="975" t="e">
        <f>ROUND((#REF!+#REF!+#REF!+#REF!+#REF!+#REF!+#REF!+#REF!),2)</f>
        <v>#REF!</v>
      </c>
      <c r="Q387" s="629" t="e">
        <f>SUM(#REF!)</f>
        <v>#REF!</v>
      </c>
      <c r="R387" s="976" t="e">
        <f>#REF!+#REF!-#REF!</f>
        <v>#REF!</v>
      </c>
      <c r="S387" s="977">
        <v>200</v>
      </c>
      <c r="T387" s="976" t="e">
        <f>#REF!+#REF!</f>
        <v>#REF!</v>
      </c>
      <c r="U387" s="977" t="e">
        <f>#REF!</f>
        <v>#REF!</v>
      </c>
      <c r="V387" s="978">
        <v>0</v>
      </c>
      <c r="W387" s="977" t="e">
        <f>#REF!</f>
        <v>#REF!</v>
      </c>
      <c r="X387" s="979" t="e">
        <f>#REF!+#REF!</f>
        <v>#REF!</v>
      </c>
      <c r="Y387" s="979" t="e">
        <f>#REF!+#REF!</f>
        <v>#REF!</v>
      </c>
      <c r="Z387" s="979"/>
      <c r="AA387" s="977" t="e">
        <f>#REF!</f>
        <v>#REF!</v>
      </c>
      <c r="AB387" s="977" t="e">
        <f t="shared" si="20"/>
        <v>#REF!</v>
      </c>
      <c r="AC387" s="977" t="e">
        <f>#REF!+#REF!</f>
        <v>#REF!</v>
      </c>
      <c r="AD387" s="977">
        <f t="shared" si="21"/>
        <v>2120</v>
      </c>
      <c r="AE387" s="634"/>
    </row>
    <row r="388" spans="1:35" s="629" customFormat="1" ht="18" customHeight="1">
      <c r="A388" s="664" t="s">
        <v>2846</v>
      </c>
      <c r="B388" s="510">
        <f t="shared" si="22"/>
        <v>81</v>
      </c>
      <c r="C388" s="980">
        <f>+NOMINA!C392</f>
        <v>21366579</v>
      </c>
      <c r="D388" s="981" t="str">
        <f>+NOMINA!D392</f>
        <v>Azuaje Espinoza Erick Enrique</v>
      </c>
      <c r="E388" s="978" t="s">
        <v>4622</v>
      </c>
      <c r="F388" s="982">
        <v>27081</v>
      </c>
      <c r="G388" s="978" t="s">
        <v>4620</v>
      </c>
      <c r="H388" s="983">
        <f>+NOMINA!H392</f>
        <v>44774</v>
      </c>
      <c r="I388" s="984">
        <f>+NOMINA!I392</f>
        <v>2</v>
      </c>
      <c r="J388" s="985">
        <f>+NOMINA!J392</f>
        <v>0</v>
      </c>
      <c r="K388" s="984">
        <f>+NOMINA!K392</f>
        <v>2</v>
      </c>
      <c r="L388" s="986">
        <f>+NOMINA!CA392</f>
        <v>2120</v>
      </c>
      <c r="M388" s="443" t="e">
        <f>#REF!+#REF!-#REF!</f>
        <v>#REF!</v>
      </c>
      <c r="N388" s="975" t="e">
        <f>ROUND((#REF!+#REF!+#REF!+#REF!+#REF!+#REF!+#REF!+#REF!),2)</f>
        <v>#REF!</v>
      </c>
      <c r="Q388" s="629" t="e">
        <f>SUM(#REF!)</f>
        <v>#REF!</v>
      </c>
      <c r="R388" s="976" t="e">
        <f>#REF!+#REF!-#REF!</f>
        <v>#REF!</v>
      </c>
      <c r="S388" s="977">
        <v>200</v>
      </c>
      <c r="T388" s="976" t="e">
        <f>#REF!+#REF!</f>
        <v>#REF!</v>
      </c>
      <c r="U388" s="977" t="e">
        <f>#REF!</f>
        <v>#REF!</v>
      </c>
      <c r="V388" s="978">
        <v>0</v>
      </c>
      <c r="W388" s="977" t="e">
        <f>#REF!</f>
        <v>#REF!</v>
      </c>
      <c r="X388" s="979" t="e">
        <f>#REF!+#REF!</f>
        <v>#REF!</v>
      </c>
      <c r="Y388" s="979" t="e">
        <f>#REF!+#REF!</f>
        <v>#REF!</v>
      </c>
      <c r="Z388" s="979"/>
      <c r="AA388" s="977" t="e">
        <f>#REF!</f>
        <v>#REF!</v>
      </c>
      <c r="AB388" s="977" t="e">
        <f t="shared" si="20"/>
        <v>#REF!</v>
      </c>
      <c r="AC388" s="977" t="e">
        <f>#REF!+#REF!</f>
        <v>#REF!</v>
      </c>
      <c r="AD388" s="977">
        <f t="shared" si="21"/>
        <v>2120</v>
      </c>
      <c r="AE388" s="634"/>
    </row>
    <row r="389" spans="1:35" s="629" customFormat="1" ht="18" customHeight="1">
      <c r="A389" s="664" t="s">
        <v>2846</v>
      </c>
      <c r="B389" s="510">
        <f t="shared" si="22"/>
        <v>82</v>
      </c>
      <c r="C389" s="980">
        <f>+NOMINA!C393</f>
        <v>23594381</v>
      </c>
      <c r="D389" s="981" t="str">
        <f>+NOMINA!D393</f>
        <v>Albornoz Montilla Daniel Enrique</v>
      </c>
      <c r="E389" s="978" t="s">
        <v>4622</v>
      </c>
      <c r="F389" s="982">
        <v>27081</v>
      </c>
      <c r="G389" s="978" t="s">
        <v>4620</v>
      </c>
      <c r="H389" s="983">
        <f>+NOMINA!H393</f>
        <v>45597</v>
      </c>
      <c r="I389" s="984">
        <f>+NOMINA!I393</f>
        <v>0</v>
      </c>
      <c r="J389" s="985">
        <f>+NOMINA!J393</f>
        <v>0</v>
      </c>
      <c r="K389" s="984">
        <f>+NOMINA!K393</f>
        <v>0</v>
      </c>
      <c r="L389" s="986">
        <f>+NOMINA!CA393</f>
        <v>2120</v>
      </c>
      <c r="M389" s="443" t="e">
        <f>#REF!+#REF!-#REF!</f>
        <v>#REF!</v>
      </c>
      <c r="N389" s="975" t="e">
        <f>ROUND((#REF!+#REF!+#REF!+#REF!+#REF!+#REF!+#REF!+#REF!),2)</f>
        <v>#REF!</v>
      </c>
      <c r="Q389" s="629" t="e">
        <f>SUM(#REF!)</f>
        <v>#REF!</v>
      </c>
      <c r="R389" s="976" t="e">
        <f>#REF!+#REF!-#REF!</f>
        <v>#REF!</v>
      </c>
      <c r="S389" s="977">
        <v>200</v>
      </c>
      <c r="T389" s="976" t="e">
        <f>#REF!+#REF!</f>
        <v>#REF!</v>
      </c>
      <c r="U389" s="977" t="e">
        <f>#REF!</f>
        <v>#REF!</v>
      </c>
      <c r="V389" s="978">
        <v>0</v>
      </c>
      <c r="W389" s="977" t="e">
        <f>#REF!</f>
        <v>#REF!</v>
      </c>
      <c r="X389" s="979" t="e">
        <f>#REF!+#REF!</f>
        <v>#REF!</v>
      </c>
      <c r="Y389" s="979" t="e">
        <f>#REF!+#REF!</f>
        <v>#REF!</v>
      </c>
      <c r="Z389" s="979"/>
      <c r="AA389" s="977" t="e">
        <f>#REF!</f>
        <v>#REF!</v>
      </c>
      <c r="AB389" s="977" t="e">
        <f t="shared" si="20"/>
        <v>#REF!</v>
      </c>
      <c r="AC389" s="977" t="e">
        <f>#REF!+#REF!</f>
        <v>#REF!</v>
      </c>
      <c r="AD389" s="977">
        <f t="shared" si="21"/>
        <v>2120</v>
      </c>
      <c r="AE389" s="634"/>
    </row>
    <row r="390" spans="1:35" s="629" customFormat="1" ht="18" customHeight="1">
      <c r="A390" s="664"/>
      <c r="B390" s="510">
        <f t="shared" si="22"/>
        <v>83</v>
      </c>
      <c r="C390" s="980">
        <f>+NOMINA!C394</f>
        <v>25173228</v>
      </c>
      <c r="D390" s="981" t="str">
        <f>+NOMINA!D394</f>
        <v>Davila Sanchez Eduar Alexander</v>
      </c>
      <c r="E390" s="978" t="s">
        <v>4622</v>
      </c>
      <c r="F390" s="982">
        <v>27081</v>
      </c>
      <c r="G390" s="978" t="s">
        <v>4620</v>
      </c>
      <c r="H390" s="983">
        <f>+NOMINA!H394</f>
        <v>44531</v>
      </c>
      <c r="I390" s="984">
        <f>+NOMINA!I394</f>
        <v>3</v>
      </c>
      <c r="J390" s="985">
        <f>+NOMINA!J394</f>
        <v>0</v>
      </c>
      <c r="K390" s="984">
        <f>+NOMINA!K394</f>
        <v>3</v>
      </c>
      <c r="L390" s="986">
        <f>+NOMINA!CA394</f>
        <v>2120</v>
      </c>
      <c r="M390" s="443"/>
      <c r="N390" s="975"/>
      <c r="R390" s="976"/>
      <c r="S390" s="977"/>
      <c r="T390" s="976"/>
      <c r="U390" s="977"/>
      <c r="V390" s="978"/>
      <c r="W390" s="977"/>
      <c r="X390" s="979"/>
      <c r="Y390" s="979"/>
      <c r="Z390" s="979"/>
      <c r="AA390" s="977"/>
      <c r="AB390" s="977"/>
      <c r="AC390" s="977"/>
      <c r="AD390" s="977"/>
      <c r="AE390" s="634"/>
    </row>
    <row r="391" spans="1:35" s="629" customFormat="1" ht="18" customHeight="1">
      <c r="A391" s="664"/>
      <c r="B391" s="510">
        <f t="shared" si="22"/>
        <v>84</v>
      </c>
      <c r="C391" s="980">
        <f>+NOMINA!C395</f>
        <v>25631811</v>
      </c>
      <c r="D391" s="981" t="str">
        <f>+NOMINA!D395</f>
        <v>Barrios Briceño Christian Xavier</v>
      </c>
      <c r="E391" s="978" t="s">
        <v>4622</v>
      </c>
      <c r="F391" s="982">
        <v>27081</v>
      </c>
      <c r="G391" s="978" t="s">
        <v>4620</v>
      </c>
      <c r="H391" s="983">
        <f>+NOMINA!H395</f>
        <v>44440</v>
      </c>
      <c r="I391" s="984">
        <f>+NOMINA!I395</f>
        <v>3</v>
      </c>
      <c r="J391" s="985">
        <f>+NOMINA!J395</f>
        <v>0</v>
      </c>
      <c r="K391" s="984">
        <f>+NOMINA!K395</f>
        <v>3</v>
      </c>
      <c r="L391" s="986">
        <f>+NOMINA!CA395</f>
        <v>2120</v>
      </c>
      <c r="M391" s="443"/>
      <c r="N391" s="975"/>
      <c r="R391" s="976"/>
      <c r="S391" s="977"/>
      <c r="T391" s="976"/>
      <c r="U391" s="977"/>
      <c r="V391" s="978"/>
      <c r="W391" s="977"/>
      <c r="X391" s="979"/>
      <c r="Y391" s="979"/>
      <c r="Z391" s="979"/>
      <c r="AA391" s="977"/>
      <c r="AB391" s="977"/>
      <c r="AC391" s="977"/>
      <c r="AD391" s="977"/>
      <c r="AE391" s="634"/>
    </row>
    <row r="392" spans="1:35" s="629" customFormat="1" ht="18" customHeight="1">
      <c r="A392" s="664"/>
      <c r="B392" s="510">
        <f t="shared" si="22"/>
        <v>85</v>
      </c>
      <c r="C392" s="980">
        <f>+NOMINA!C396</f>
        <v>25919888</v>
      </c>
      <c r="D392" s="981" t="str">
        <f>+NOMINA!D396</f>
        <v>Rivero Lamus Ninoska del Valle</v>
      </c>
      <c r="E392" s="978" t="s">
        <v>4622</v>
      </c>
      <c r="F392" s="982">
        <v>27081</v>
      </c>
      <c r="G392" s="978" t="s">
        <v>4620</v>
      </c>
      <c r="H392" s="983">
        <f>+NOMINA!H396</f>
        <v>44805</v>
      </c>
      <c r="I392" s="984">
        <f>+NOMINA!I396</f>
        <v>2</v>
      </c>
      <c r="J392" s="985">
        <f>+NOMINA!J396</f>
        <v>0</v>
      </c>
      <c r="K392" s="984">
        <f>+NOMINA!K396</f>
        <v>2</v>
      </c>
      <c r="L392" s="986">
        <f>+NOMINA!CA396</f>
        <v>2120</v>
      </c>
      <c r="M392" s="443"/>
      <c r="N392" s="975"/>
      <c r="R392" s="976"/>
      <c r="S392" s="977"/>
      <c r="T392" s="976"/>
      <c r="U392" s="977"/>
      <c r="V392" s="978"/>
      <c r="W392" s="977"/>
      <c r="X392" s="979"/>
      <c r="Y392" s="979"/>
      <c r="Z392" s="979"/>
      <c r="AA392" s="977"/>
      <c r="AB392" s="977"/>
      <c r="AC392" s="977"/>
      <c r="AD392" s="977"/>
      <c r="AE392" s="634"/>
    </row>
    <row r="393" spans="1:35" s="629" customFormat="1" ht="18" customHeight="1">
      <c r="A393" s="664"/>
      <c r="B393" s="510">
        <f t="shared" si="22"/>
        <v>86</v>
      </c>
      <c r="C393" s="980">
        <f>+NOMINA!C397</f>
        <v>26235670</v>
      </c>
      <c r="D393" s="981" t="str">
        <f>+NOMINA!D397</f>
        <v>Viloria Garcia Kieny Keyvit</v>
      </c>
      <c r="E393" s="978" t="s">
        <v>4622</v>
      </c>
      <c r="F393" s="982">
        <v>27081</v>
      </c>
      <c r="G393" s="978" t="s">
        <v>4620</v>
      </c>
      <c r="H393" s="983">
        <f>+NOMINA!H397</f>
        <v>45597</v>
      </c>
      <c r="I393" s="984">
        <f>+NOMINA!I397</f>
        <v>0</v>
      </c>
      <c r="J393" s="985">
        <f>+NOMINA!J397</f>
        <v>0</v>
      </c>
      <c r="K393" s="984">
        <f>+NOMINA!K397</f>
        <v>0</v>
      </c>
      <c r="L393" s="986">
        <f>+NOMINA!CA397</f>
        <v>2120</v>
      </c>
      <c r="M393" s="443"/>
      <c r="N393" s="975"/>
      <c r="R393" s="976"/>
      <c r="S393" s="977"/>
      <c r="T393" s="976"/>
      <c r="U393" s="977"/>
      <c r="V393" s="978"/>
      <c r="W393" s="977"/>
      <c r="X393" s="979"/>
      <c r="Y393" s="979"/>
      <c r="Z393" s="979"/>
      <c r="AA393" s="977"/>
      <c r="AB393" s="977"/>
      <c r="AC393" s="977"/>
      <c r="AD393" s="977"/>
      <c r="AE393" s="634"/>
    </row>
    <row r="394" spans="1:35" s="629" customFormat="1" ht="18" customHeight="1">
      <c r="A394" s="664"/>
      <c r="B394" s="510">
        <f t="shared" si="22"/>
        <v>87</v>
      </c>
      <c r="C394" s="980">
        <f>+NOMINA!C398</f>
        <v>26482867</v>
      </c>
      <c r="D394" s="981" t="str">
        <f>+NOMINA!D398</f>
        <v>Valecillos Duran Brando Jose</v>
      </c>
      <c r="E394" s="978" t="s">
        <v>4622</v>
      </c>
      <c r="F394" s="982">
        <v>27081</v>
      </c>
      <c r="G394" s="978" t="s">
        <v>4620</v>
      </c>
      <c r="H394" s="983">
        <f>+NOMINA!H398</f>
        <v>45078</v>
      </c>
      <c r="I394" s="984">
        <f>+NOMINA!I398</f>
        <v>1</v>
      </c>
      <c r="J394" s="985">
        <f>+NOMINA!J398</f>
        <v>0</v>
      </c>
      <c r="K394" s="984">
        <f>+NOMINA!K398</f>
        <v>1</v>
      </c>
      <c r="L394" s="986">
        <f>+NOMINA!CA398</f>
        <v>2120</v>
      </c>
      <c r="M394" s="443"/>
      <c r="N394" s="975"/>
      <c r="R394" s="976"/>
      <c r="S394" s="977"/>
      <c r="T394" s="976"/>
      <c r="U394" s="977"/>
      <c r="V394" s="978"/>
      <c r="W394" s="977"/>
      <c r="X394" s="979"/>
      <c r="Y394" s="979"/>
      <c r="Z394" s="979"/>
      <c r="AA394" s="977"/>
      <c r="AB394" s="977"/>
      <c r="AC394" s="977"/>
      <c r="AD394" s="977"/>
      <c r="AE394" s="634"/>
    </row>
    <row r="395" spans="1:35" s="629" customFormat="1" ht="18" customHeight="1">
      <c r="A395" s="1160"/>
      <c r="B395" s="510">
        <f t="shared" si="22"/>
        <v>88</v>
      </c>
      <c r="C395" s="980">
        <f>+NOMINA!C399</f>
        <v>27415509</v>
      </c>
      <c r="D395" s="981" t="str">
        <f>+NOMINA!D399</f>
        <v>Barreto Rivero Luis Diego</v>
      </c>
      <c r="E395" s="978" t="s">
        <v>4622</v>
      </c>
      <c r="F395" s="982">
        <v>27081</v>
      </c>
      <c r="G395" s="978" t="s">
        <v>4620</v>
      </c>
      <c r="H395" s="983">
        <f>+NOMINA!H399</f>
        <v>43678</v>
      </c>
      <c r="I395" s="984">
        <f>+NOMINA!I399</f>
        <v>5</v>
      </c>
      <c r="J395" s="985">
        <f>+NOMINA!J399</f>
        <v>0</v>
      </c>
      <c r="K395" s="984">
        <f>+NOMINA!K399</f>
        <v>5</v>
      </c>
      <c r="L395" s="986">
        <f>+NOMINA!CA399</f>
        <v>2120</v>
      </c>
      <c r="M395" s="1156"/>
      <c r="N395" s="1157"/>
      <c r="R395" s="1115"/>
      <c r="S395" s="1158"/>
      <c r="T395" s="1115"/>
      <c r="U395" s="1158"/>
      <c r="V395" s="1147"/>
      <c r="W395" s="1158"/>
      <c r="X395" s="1159"/>
      <c r="Y395" s="1159"/>
      <c r="Z395" s="1159"/>
      <c r="AA395" s="1158"/>
      <c r="AB395" s="1158"/>
      <c r="AC395" s="1158"/>
      <c r="AD395" s="1158"/>
      <c r="AE395" s="634"/>
    </row>
    <row r="396" spans="1:35" s="629" customFormat="1" ht="18" customHeight="1">
      <c r="A396" s="1160"/>
      <c r="B396" s="510">
        <f t="shared" si="22"/>
        <v>89</v>
      </c>
      <c r="C396" s="980">
        <f>+NOMINA!C400</f>
        <v>27470077</v>
      </c>
      <c r="D396" s="981" t="str">
        <f>+NOMINA!D400</f>
        <v>Gonzalez Castellanos Yusberly Yohandri</v>
      </c>
      <c r="E396" s="978" t="s">
        <v>4622</v>
      </c>
      <c r="F396" s="982">
        <v>27081</v>
      </c>
      <c r="G396" s="978" t="s">
        <v>4620</v>
      </c>
      <c r="H396" s="983">
        <f>+NOMINA!H400</f>
        <v>44743</v>
      </c>
      <c r="I396" s="984">
        <f>+NOMINA!I400</f>
        <v>2</v>
      </c>
      <c r="J396" s="985">
        <f>+NOMINA!J400</f>
        <v>0</v>
      </c>
      <c r="K396" s="984">
        <f>+NOMINA!K400</f>
        <v>2</v>
      </c>
      <c r="L396" s="986">
        <f>+NOMINA!CA400</f>
        <v>2120</v>
      </c>
      <c r="M396" s="1156"/>
      <c r="N396" s="1157"/>
      <c r="R396" s="1115"/>
      <c r="S396" s="1158"/>
      <c r="T396" s="1115"/>
      <c r="U396" s="1158"/>
      <c r="V396" s="1147"/>
      <c r="W396" s="1158"/>
      <c r="X396" s="1159"/>
      <c r="Y396" s="1159"/>
      <c r="Z396" s="1159"/>
      <c r="AA396" s="1158"/>
      <c r="AB396" s="1158"/>
      <c r="AC396" s="1158"/>
      <c r="AD396" s="1158"/>
      <c r="AE396" s="634"/>
    </row>
    <row r="397" spans="1:35" s="629" customFormat="1" ht="18" customHeight="1">
      <c r="A397" s="1160"/>
      <c r="B397" s="510">
        <f t="shared" si="22"/>
        <v>90</v>
      </c>
      <c r="C397" s="980">
        <f>+NOMINA!C401</f>
        <v>29539270</v>
      </c>
      <c r="D397" s="981" t="str">
        <f>+NOMINA!D401</f>
        <v>Rojas Carrillo Laureano Augusto</v>
      </c>
      <c r="E397" s="978" t="s">
        <v>4622</v>
      </c>
      <c r="F397" s="982">
        <v>27081</v>
      </c>
      <c r="G397" s="978" t="s">
        <v>4620</v>
      </c>
      <c r="H397" s="983">
        <f>+NOMINA!H401</f>
        <v>44287</v>
      </c>
      <c r="I397" s="984">
        <f>+NOMINA!I401</f>
        <v>3</v>
      </c>
      <c r="J397" s="985">
        <f>+NOMINA!J401</f>
        <v>0</v>
      </c>
      <c r="K397" s="984">
        <f>+NOMINA!K401</f>
        <v>3</v>
      </c>
      <c r="L397" s="986">
        <f>+NOMINA!CA401</f>
        <v>2120</v>
      </c>
      <c r="M397" s="1156"/>
      <c r="N397" s="1157"/>
      <c r="R397" s="1115"/>
      <c r="S397" s="1158"/>
      <c r="T397" s="1115"/>
      <c r="U397" s="1158"/>
      <c r="V397" s="1147"/>
      <c r="W397" s="1158"/>
      <c r="X397" s="1159"/>
      <c r="Y397" s="1159"/>
      <c r="Z397" s="1159"/>
      <c r="AA397" s="1158"/>
      <c r="AB397" s="1158"/>
      <c r="AC397" s="1158"/>
      <c r="AD397" s="1158"/>
      <c r="AE397" s="634"/>
    </row>
    <row r="398" spans="1:35" s="629" customFormat="1" ht="18" customHeight="1">
      <c r="A398" s="1160"/>
      <c r="B398" s="510">
        <f t="shared" si="22"/>
        <v>91</v>
      </c>
      <c r="C398" s="980">
        <f>+NOMINA!C402</f>
        <v>29994277</v>
      </c>
      <c r="D398" s="981" t="str">
        <f>+NOMINA!D402</f>
        <v>Quintero Rangel Jose Arsenio</v>
      </c>
      <c r="E398" s="978" t="s">
        <v>4622</v>
      </c>
      <c r="F398" s="982">
        <v>27081</v>
      </c>
      <c r="G398" s="978" t="s">
        <v>4620</v>
      </c>
      <c r="H398" s="983">
        <f>+NOMINA!H402</f>
        <v>44562</v>
      </c>
      <c r="I398" s="984">
        <f>+NOMINA!I402</f>
        <v>3</v>
      </c>
      <c r="J398" s="985">
        <f>+NOMINA!J402</f>
        <v>0</v>
      </c>
      <c r="K398" s="984">
        <f>+NOMINA!K402</f>
        <v>3</v>
      </c>
      <c r="L398" s="986">
        <f>+NOMINA!CA402</f>
        <v>2120</v>
      </c>
      <c r="M398" s="1156"/>
      <c r="N398" s="1157"/>
      <c r="R398" s="1115"/>
      <c r="S398" s="1158"/>
      <c r="T398" s="1115"/>
      <c r="U398" s="1158"/>
      <c r="V398" s="1147"/>
      <c r="W398" s="1158"/>
      <c r="X398" s="1159"/>
      <c r="Y398" s="1159"/>
      <c r="Z398" s="1159"/>
      <c r="AA398" s="1158"/>
      <c r="AB398" s="1158"/>
      <c r="AC398" s="1158"/>
      <c r="AD398" s="1158"/>
      <c r="AE398" s="634"/>
    </row>
    <row r="399" spans="1:35" s="629" customFormat="1" ht="18" customHeight="1" thickBot="1">
      <c r="A399" s="664" t="s">
        <v>2846</v>
      </c>
      <c r="B399" s="510">
        <f t="shared" si="22"/>
        <v>92</v>
      </c>
      <c r="C399" s="980">
        <f>+NOMINA!C403</f>
        <v>32084560</v>
      </c>
      <c r="D399" s="981" t="str">
        <f>+NOMINA!D403</f>
        <v>Hernandez Gomez Carmen Elena</v>
      </c>
      <c r="E399" s="978" t="s">
        <v>4622</v>
      </c>
      <c r="F399" s="982">
        <v>27081</v>
      </c>
      <c r="G399" s="978" t="s">
        <v>4620</v>
      </c>
      <c r="H399" s="983">
        <f>+NOMINA!H403</f>
        <v>44348</v>
      </c>
      <c r="I399" s="984">
        <f>+NOMINA!I403</f>
        <v>3</v>
      </c>
      <c r="J399" s="985">
        <f>+NOMINA!J403</f>
        <v>0</v>
      </c>
      <c r="K399" s="984">
        <f>+NOMINA!K403</f>
        <v>3</v>
      </c>
      <c r="L399" s="986">
        <f>+NOMINA!CA403</f>
        <v>2120</v>
      </c>
      <c r="M399" s="443" t="e">
        <f>#REF!+#REF!-#REF!</f>
        <v>#REF!</v>
      </c>
      <c r="N399" s="975" t="e">
        <f>ROUND((#REF!+#REF!+#REF!+#REF!+#REF!+#REF!+#REF!+#REF!),2)</f>
        <v>#REF!</v>
      </c>
      <c r="Q399" s="629" t="e">
        <f>SUM(#REF!)</f>
        <v>#REF!</v>
      </c>
      <c r="R399" s="976" t="e">
        <f>#REF!+#REF!-#REF!</f>
        <v>#REF!</v>
      </c>
      <c r="S399" s="977">
        <v>200</v>
      </c>
      <c r="T399" s="976" t="e">
        <f>#REF!+#REF!</f>
        <v>#REF!</v>
      </c>
      <c r="U399" s="977" t="e">
        <f>#REF!</f>
        <v>#REF!</v>
      </c>
      <c r="V399" s="978">
        <v>0</v>
      </c>
      <c r="W399" s="977" t="e">
        <f>#REF!</f>
        <v>#REF!</v>
      </c>
      <c r="X399" s="979" t="e">
        <f>#REF!+#REF!</f>
        <v>#REF!</v>
      </c>
      <c r="Y399" s="979" t="e">
        <f>#REF!+#REF!</f>
        <v>#REF!</v>
      </c>
      <c r="Z399" s="979"/>
      <c r="AA399" s="977" t="e">
        <f>#REF!</f>
        <v>#REF!</v>
      </c>
      <c r="AB399" s="977" t="e">
        <f t="shared" si="20"/>
        <v>#REF!</v>
      </c>
      <c r="AC399" s="977" t="e">
        <f>#REF!+#REF!</f>
        <v>#REF!</v>
      </c>
      <c r="AD399" s="977">
        <f t="shared" si="21"/>
        <v>2120</v>
      </c>
      <c r="AE399" s="634"/>
    </row>
    <row r="400" spans="1:35" s="629" customFormat="1" ht="19.5" customHeight="1" thickBot="1">
      <c r="A400" s="708"/>
      <c r="B400" s="676"/>
      <c r="C400" s="678"/>
      <c r="D400" s="677"/>
      <c r="E400" s="677"/>
      <c r="F400" s="677"/>
      <c r="G400" s="677"/>
      <c r="H400" s="678"/>
      <c r="I400" s="677"/>
      <c r="J400" s="677"/>
      <c r="K400" s="616" t="s">
        <v>4493</v>
      </c>
      <c r="L400" s="679">
        <f>SUM(L308:L399)</f>
        <v>192920</v>
      </c>
      <c r="M400" s="680" t="e">
        <f>SUM(M308:M399)</f>
        <v>#REF!</v>
      </c>
      <c r="N400" s="709" t="e">
        <f>SUM(N308:N399)</f>
        <v>#REF!</v>
      </c>
      <c r="O400" s="697"/>
      <c r="P400" s="697"/>
      <c r="Q400" s="697"/>
      <c r="R400" s="977" t="e">
        <f t="shared" ref="R400:AD400" si="23">SUM(R308:R399)</f>
        <v>#REF!</v>
      </c>
      <c r="S400" s="977">
        <f t="shared" si="23"/>
        <v>16400</v>
      </c>
      <c r="T400" s="977" t="e">
        <f t="shared" si="23"/>
        <v>#REF!</v>
      </c>
      <c r="U400" s="977" t="e">
        <f t="shared" si="23"/>
        <v>#REF!</v>
      </c>
      <c r="V400" s="977">
        <f t="shared" si="23"/>
        <v>0</v>
      </c>
      <c r="W400" s="977" t="e">
        <f t="shared" si="23"/>
        <v>#REF!</v>
      </c>
      <c r="X400" s="977" t="e">
        <f t="shared" si="23"/>
        <v>#REF!</v>
      </c>
      <c r="Y400" s="977" t="e">
        <f t="shared" si="23"/>
        <v>#REF!</v>
      </c>
      <c r="Z400" s="977">
        <f t="shared" si="23"/>
        <v>0</v>
      </c>
      <c r="AA400" s="977" t="e">
        <f t="shared" si="23"/>
        <v>#REF!</v>
      </c>
      <c r="AB400" s="977" t="e">
        <f t="shared" si="23"/>
        <v>#REF!</v>
      </c>
      <c r="AC400" s="977" t="e">
        <f t="shared" si="23"/>
        <v>#REF!</v>
      </c>
      <c r="AD400" s="977">
        <f t="shared" si="23"/>
        <v>171720</v>
      </c>
      <c r="AE400" s="634"/>
      <c r="AF400" s="634"/>
      <c r="AG400" s="682"/>
      <c r="AH400" s="697"/>
      <c r="AI400" s="697"/>
    </row>
    <row r="401" spans="1:35" s="629" customFormat="1">
      <c r="A401" s="941"/>
      <c r="B401" s="628"/>
      <c r="D401" s="631"/>
      <c r="F401" s="631"/>
      <c r="G401" s="941"/>
      <c r="H401" s="710"/>
      <c r="L401" s="628"/>
      <c r="R401" s="976"/>
      <c r="AE401" s="634"/>
    </row>
    <row r="402" spans="1:35" s="629" customFormat="1" ht="15.75" customHeight="1" thickBot="1">
      <c r="A402" s="941"/>
      <c r="B402" s="628"/>
      <c r="D402" s="631"/>
      <c r="F402" s="631"/>
      <c r="G402" s="941"/>
      <c r="H402" s="710"/>
      <c r="L402" s="628"/>
      <c r="R402" s="976"/>
      <c r="AE402" s="634"/>
    </row>
    <row r="403" spans="1:35" s="711" customFormat="1" ht="28.5" customHeight="1" thickBot="1">
      <c r="B403" s="712">
        <f>+B399+B305+B36</f>
        <v>383</v>
      </c>
      <c r="C403" s="713"/>
      <c r="D403" s="714"/>
      <c r="E403" s="715"/>
      <c r="F403" s="714"/>
      <c r="G403" s="715"/>
      <c r="H403" s="1140" t="s">
        <v>2875</v>
      </c>
      <c r="I403" s="715"/>
      <c r="J403" s="715"/>
      <c r="K403" s="715"/>
      <c r="L403" s="716">
        <f>L37+L306+L400</f>
        <v>756840</v>
      </c>
      <c r="M403" s="717" t="e">
        <f>#REF!+M37+M306+M400</f>
        <v>#REF!</v>
      </c>
      <c r="N403" s="717" t="e">
        <f>#REF!+N37+N306+N400</f>
        <v>#REF!</v>
      </c>
      <c r="O403" s="718"/>
      <c r="P403" s="718"/>
      <c r="Q403" s="718"/>
      <c r="R403" s="989" t="e">
        <f t="shared" ref="R403:Y403" si="24">R400+R306+R37</f>
        <v>#REF!</v>
      </c>
      <c r="S403" s="990">
        <f t="shared" si="24"/>
        <v>21000</v>
      </c>
      <c r="T403" s="989" t="e">
        <f t="shared" si="24"/>
        <v>#REF!</v>
      </c>
      <c r="U403" s="989" t="e">
        <f t="shared" si="24"/>
        <v>#REF!</v>
      </c>
      <c r="V403" s="989">
        <f t="shared" si="24"/>
        <v>0</v>
      </c>
      <c r="W403" s="989" t="e">
        <f t="shared" si="24"/>
        <v>#REF!</v>
      </c>
      <c r="X403" s="989" t="e">
        <f t="shared" si="24"/>
        <v>#REF!</v>
      </c>
      <c r="Y403" s="989" t="e">
        <f t="shared" si="24"/>
        <v>#REF!</v>
      </c>
      <c r="Z403" s="989"/>
      <c r="AA403" s="989" t="e">
        <f>AA400+AA306+AA37</f>
        <v>#REF!</v>
      </c>
      <c r="AB403" s="989" t="e">
        <f>AB400+AB306+AB37</f>
        <v>#REF!</v>
      </c>
      <c r="AC403" s="989" t="e">
        <f>AC400+AC306+AC37</f>
        <v>#REF!</v>
      </c>
      <c r="AD403" s="989">
        <f>AD400+AD306+AD37</f>
        <v>220480</v>
      </c>
      <c r="AF403" s="634"/>
      <c r="AG403" s="682"/>
      <c r="AH403" s="629"/>
      <c r="AI403" s="718"/>
    </row>
    <row r="404" spans="1:35" s="629" customFormat="1" ht="21.75" customHeight="1">
      <c r="A404" s="941"/>
      <c r="B404" s="628"/>
      <c r="D404" s="631"/>
      <c r="F404" s="631"/>
      <c r="G404" s="941"/>
      <c r="H404" s="632"/>
      <c r="I404" s="941"/>
      <c r="J404" s="941"/>
      <c r="K404" s="941"/>
      <c r="L404" s="633"/>
      <c r="M404" s="634"/>
      <c r="N404" s="634"/>
      <c r="O404" s="634"/>
      <c r="P404" s="634"/>
      <c r="Q404" s="634"/>
      <c r="R404" s="634"/>
      <c r="S404" s="634"/>
      <c r="T404" s="634"/>
      <c r="U404" s="634"/>
      <c r="V404" s="634"/>
      <c r="W404" s="634"/>
      <c r="X404" s="1729" t="e">
        <f>X403+Y403</f>
        <v>#REF!</v>
      </c>
      <c r="Y404" s="1730"/>
      <c r="Z404" s="719"/>
      <c r="AA404" s="634"/>
      <c r="AB404" s="634"/>
      <c r="AC404" s="634"/>
      <c r="AD404" s="634"/>
      <c r="AE404" s="634"/>
      <c r="AI404" s="634"/>
    </row>
    <row r="405" spans="1:35" s="629" customFormat="1">
      <c r="A405" s="941"/>
      <c r="B405" s="720" t="s">
        <v>4664</v>
      </c>
      <c r="C405" s="721"/>
      <c r="D405" s="722"/>
      <c r="F405" s="631"/>
      <c r="G405" s="941"/>
      <c r="H405" s="710"/>
      <c r="L405" s="633"/>
      <c r="M405" s="634"/>
      <c r="N405" s="634"/>
      <c r="O405" s="634"/>
      <c r="P405" s="634"/>
      <c r="Q405" s="634"/>
      <c r="R405" s="634"/>
      <c r="S405" s="634"/>
      <c r="T405" s="634"/>
      <c r="U405" s="634"/>
      <c r="V405" s="634"/>
      <c r="W405" s="634"/>
      <c r="X405" s="634"/>
      <c r="Y405" s="634"/>
      <c r="Z405" s="634"/>
      <c r="AA405" s="634"/>
      <c r="AB405" s="634"/>
      <c r="AC405" s="634"/>
      <c r="AD405" s="634"/>
      <c r="AE405" s="634"/>
      <c r="AG405" s="634"/>
      <c r="AH405" s="634"/>
      <c r="AI405" s="634"/>
    </row>
    <row r="406" spans="1:35" s="629" customFormat="1">
      <c r="A406" s="941"/>
      <c r="B406" s="720" t="s">
        <v>4665</v>
      </c>
      <c r="C406" s="721"/>
      <c r="D406" s="722"/>
      <c r="F406" s="631"/>
      <c r="G406" s="941"/>
      <c r="H406" s="632"/>
      <c r="I406" s="941"/>
      <c r="J406" s="941"/>
      <c r="K406" s="941"/>
      <c r="L406" s="633"/>
      <c r="M406" s="634"/>
      <c r="N406" s="634"/>
      <c r="O406" s="634"/>
      <c r="P406" s="634"/>
      <c r="Q406" s="634"/>
      <c r="R406" s="634"/>
      <c r="S406" s="634"/>
      <c r="T406" s="634"/>
      <c r="U406" s="634"/>
      <c r="V406" s="634"/>
      <c r="W406" s="634"/>
      <c r="X406" s="634"/>
      <c r="Y406" s="634"/>
      <c r="Z406" s="634"/>
      <c r="AA406" s="634"/>
      <c r="AB406" s="634"/>
      <c r="AC406" s="634"/>
      <c r="AD406" s="634"/>
      <c r="AE406" s="634"/>
      <c r="AG406" s="634"/>
      <c r="AH406" s="634"/>
      <c r="AI406" s="634"/>
    </row>
    <row r="407" spans="1:35" s="629" customFormat="1">
      <c r="A407" s="941"/>
      <c r="B407" s="628"/>
      <c r="D407" s="631"/>
      <c r="F407" s="631"/>
      <c r="G407" s="941"/>
      <c r="H407" s="632"/>
      <c r="I407" s="941"/>
      <c r="J407" s="941"/>
      <c r="K407" s="941"/>
      <c r="L407" s="633"/>
      <c r="M407" s="634"/>
      <c r="N407" s="634"/>
      <c r="O407" s="634"/>
      <c r="P407" s="634"/>
      <c r="Q407" s="634"/>
      <c r="R407" s="634"/>
      <c r="S407" s="634"/>
      <c r="T407" s="634"/>
      <c r="U407" s="634"/>
      <c r="V407" s="634"/>
      <c r="W407" s="634"/>
      <c r="X407" s="634"/>
      <c r="Y407" s="634"/>
      <c r="Z407" s="634"/>
      <c r="AA407" s="634"/>
      <c r="AB407" s="634"/>
      <c r="AC407" s="634"/>
      <c r="AD407" s="634"/>
      <c r="AE407" s="634"/>
      <c r="AG407" s="634"/>
      <c r="AH407" s="634"/>
      <c r="AI407" s="634"/>
    </row>
    <row r="408" spans="1:35" s="629" customFormat="1">
      <c r="A408" s="941"/>
      <c r="B408" s="628"/>
      <c r="D408" s="631"/>
      <c r="F408" s="631"/>
      <c r="G408" s="941"/>
      <c r="H408" s="632"/>
      <c r="I408" s="941"/>
      <c r="J408" s="941"/>
      <c r="K408" s="941"/>
      <c r="L408" s="633"/>
      <c r="M408" s="634"/>
      <c r="N408" s="634"/>
      <c r="O408" s="634"/>
      <c r="P408" s="634"/>
      <c r="Q408" s="634"/>
      <c r="R408" s="634"/>
      <c r="S408" s="634"/>
      <c r="T408" s="634"/>
      <c r="U408" s="634"/>
      <c r="V408" s="634"/>
      <c r="W408" s="634"/>
      <c r="X408" s="634"/>
      <c r="Y408" s="634"/>
      <c r="Z408" s="634"/>
      <c r="AA408" s="634"/>
      <c r="AB408" s="634"/>
      <c r="AC408" s="634"/>
      <c r="AD408" s="634"/>
      <c r="AE408" s="634"/>
      <c r="AG408" s="634"/>
      <c r="AH408" s="634"/>
      <c r="AI408" s="634"/>
    </row>
    <row r="409" spans="1:35" s="629" customFormat="1">
      <c r="A409" s="941"/>
      <c r="B409" s="628"/>
      <c r="D409" s="631"/>
      <c r="F409" s="631"/>
      <c r="G409" s="941"/>
      <c r="H409" s="632"/>
      <c r="I409" s="941"/>
      <c r="J409" s="941"/>
      <c r="K409" s="941"/>
      <c r="L409" s="633"/>
      <c r="M409" s="634"/>
      <c r="N409" s="634"/>
      <c r="O409" s="634"/>
      <c r="P409" s="634"/>
      <c r="Q409" s="634"/>
      <c r="R409" s="634"/>
      <c r="S409" s="634"/>
      <c r="T409" s="634"/>
      <c r="U409" s="634"/>
      <c r="V409" s="634"/>
      <c r="W409" s="634"/>
      <c r="X409" s="634"/>
      <c r="Y409" s="634"/>
      <c r="Z409" s="634"/>
      <c r="AA409" s="634"/>
      <c r="AB409" s="634"/>
      <c r="AC409" s="634"/>
      <c r="AD409" s="634"/>
      <c r="AE409" s="634"/>
      <c r="AG409" s="634"/>
      <c r="AH409" s="634"/>
      <c r="AI409" s="634"/>
    </row>
    <row r="410" spans="1:35" s="629" customFormat="1">
      <c r="A410" s="941"/>
      <c r="C410" s="723"/>
      <c r="D410" s="724" t="s">
        <v>5860</v>
      </c>
      <c r="E410" s="725"/>
      <c r="F410" s="725"/>
      <c r="G410" s="725"/>
      <c r="H410" s="726" t="s">
        <v>5861</v>
      </c>
      <c r="I410" s="724"/>
      <c r="K410" s="724" t="s">
        <v>5862</v>
      </c>
      <c r="L410" s="633"/>
      <c r="M410" s="634"/>
      <c r="N410" s="634"/>
      <c r="O410" s="634"/>
      <c r="P410" s="634"/>
      <c r="Q410" s="634"/>
      <c r="R410" s="634"/>
      <c r="S410" s="634"/>
      <c r="T410" s="634"/>
      <c r="U410" s="634"/>
      <c r="V410" s="634"/>
      <c r="W410" s="634"/>
      <c r="X410" s="634"/>
      <c r="Y410" s="634"/>
      <c r="Z410" s="634"/>
      <c r="AA410" s="634"/>
      <c r="AB410" s="634"/>
      <c r="AC410" s="634"/>
      <c r="AD410" s="634"/>
      <c r="AE410" s="634"/>
      <c r="AG410" s="634"/>
      <c r="AH410" s="634"/>
      <c r="AI410" s="634"/>
    </row>
    <row r="411" spans="1:35" s="629" customFormat="1">
      <c r="A411" s="941"/>
      <c r="B411" s="723"/>
      <c r="C411" s="723"/>
      <c r="D411" s="727"/>
      <c r="E411" s="725"/>
      <c r="F411" s="725"/>
      <c r="G411" s="725"/>
      <c r="H411" s="728"/>
      <c r="I411" s="723"/>
      <c r="K411" s="729"/>
      <c r="L411" s="633"/>
      <c r="M411" s="634"/>
      <c r="N411" s="634"/>
      <c r="O411" s="634"/>
      <c r="P411" s="634"/>
      <c r="Q411" s="634"/>
      <c r="R411" s="634"/>
      <c r="S411" s="634"/>
      <c r="T411" s="634"/>
      <c r="U411" s="634"/>
      <c r="V411" s="634"/>
      <c r="W411" s="634"/>
      <c r="X411" s="634"/>
      <c r="Y411" s="634"/>
      <c r="Z411" s="634"/>
      <c r="AA411" s="634"/>
      <c r="AB411" s="634"/>
      <c r="AC411" s="634"/>
      <c r="AD411" s="634"/>
      <c r="AE411" s="634"/>
      <c r="AG411" s="634"/>
      <c r="AH411" s="634"/>
      <c r="AI411" s="634"/>
    </row>
    <row r="412" spans="1:35" s="629" customFormat="1">
      <c r="A412" s="941"/>
      <c r="B412" s="730"/>
      <c r="C412" s="731"/>
      <c r="D412" s="732"/>
      <c r="E412" s="733"/>
      <c r="F412" s="733"/>
      <c r="G412" s="733"/>
      <c r="H412" s="731"/>
      <c r="I412" s="730"/>
      <c r="K412" s="724"/>
      <c r="L412" s="633"/>
      <c r="M412" s="634"/>
      <c r="N412" s="634"/>
      <c r="O412" s="634"/>
      <c r="P412" s="634"/>
      <c r="Q412" s="634"/>
      <c r="R412" s="634"/>
      <c r="S412" s="634"/>
      <c r="T412" s="634"/>
      <c r="U412" s="634"/>
      <c r="V412" s="634"/>
      <c r="W412" s="634"/>
      <c r="X412" s="634"/>
      <c r="Y412" s="634"/>
      <c r="Z412" s="634"/>
      <c r="AA412" s="634"/>
      <c r="AB412" s="634"/>
      <c r="AC412" s="634"/>
      <c r="AD412" s="634"/>
      <c r="AE412" s="634"/>
      <c r="AG412" s="634"/>
      <c r="AH412" s="634"/>
      <c r="AI412" s="634"/>
    </row>
    <row r="413" spans="1:35" s="629" customFormat="1">
      <c r="A413" s="941"/>
      <c r="B413" s="734" t="s">
        <v>6883</v>
      </c>
      <c r="C413" s="735"/>
      <c r="D413" s="733"/>
      <c r="E413" s="733"/>
      <c r="F413" s="733"/>
      <c r="G413" s="733"/>
      <c r="H413" s="736" t="s">
        <v>5863</v>
      </c>
      <c r="I413" s="734"/>
      <c r="K413" s="724" t="s">
        <v>5864</v>
      </c>
      <c r="L413" s="633"/>
      <c r="M413" s="634"/>
      <c r="N413" s="634"/>
      <c r="O413" s="634"/>
      <c r="P413" s="634"/>
      <c r="Q413" s="634"/>
      <c r="R413" s="634"/>
      <c r="S413" s="634"/>
      <c r="T413" s="634"/>
      <c r="U413" s="634"/>
      <c r="V413" s="634"/>
      <c r="W413" s="634"/>
      <c r="X413" s="634"/>
      <c r="Y413" s="634"/>
      <c r="Z413" s="634"/>
      <c r="AA413" s="634"/>
      <c r="AB413" s="634"/>
      <c r="AC413" s="634"/>
      <c r="AD413" s="634"/>
      <c r="AE413" s="634"/>
      <c r="AG413" s="634"/>
      <c r="AH413" s="634"/>
      <c r="AI413" s="634"/>
    </row>
    <row r="414" spans="1:35" s="629" customFormat="1">
      <c r="A414" s="941"/>
      <c r="B414" s="734" t="s">
        <v>6882</v>
      </c>
      <c r="C414" s="735"/>
      <c r="D414" s="733"/>
      <c r="E414" s="733"/>
      <c r="F414" s="733"/>
      <c r="G414" s="733"/>
      <c r="H414" s="736" t="s">
        <v>5865</v>
      </c>
      <c r="I414" s="734"/>
      <c r="K414" s="734" t="s">
        <v>5866</v>
      </c>
      <c r="L414" s="633"/>
      <c r="M414" s="634"/>
      <c r="N414" s="634"/>
      <c r="O414" s="634"/>
      <c r="P414" s="634"/>
      <c r="Q414" s="634"/>
      <c r="R414" s="634"/>
      <c r="S414" s="634"/>
      <c r="T414" s="634"/>
      <c r="U414" s="634"/>
      <c r="V414" s="634"/>
      <c r="W414" s="634"/>
      <c r="X414" s="634"/>
      <c r="Y414" s="634"/>
      <c r="Z414" s="634"/>
      <c r="AA414" s="634"/>
      <c r="AB414" s="634"/>
      <c r="AC414" s="634"/>
      <c r="AD414" s="634"/>
      <c r="AE414" s="634"/>
      <c r="AG414" s="634"/>
      <c r="AH414" s="634"/>
      <c r="AI414" s="634"/>
    </row>
    <row r="415" spans="1:35" s="629" customFormat="1">
      <c r="A415" s="941"/>
      <c r="B415" s="734" t="s">
        <v>6881</v>
      </c>
      <c r="C415" s="735"/>
      <c r="D415" s="733"/>
      <c r="E415" s="733"/>
      <c r="F415" s="733"/>
      <c r="G415" s="733"/>
      <c r="H415" s="736" t="s">
        <v>5867</v>
      </c>
      <c r="I415" s="734"/>
      <c r="K415" s="724" t="s">
        <v>5868</v>
      </c>
      <c r="L415" s="633"/>
      <c r="M415" s="634"/>
      <c r="N415" s="634"/>
      <c r="O415" s="634"/>
      <c r="P415" s="634"/>
      <c r="Q415" s="634"/>
      <c r="R415" s="634"/>
      <c r="S415" s="634"/>
      <c r="T415" s="634"/>
      <c r="U415" s="634"/>
      <c r="V415" s="634"/>
      <c r="W415" s="634"/>
      <c r="X415" s="634"/>
      <c r="Y415" s="634"/>
      <c r="Z415" s="634"/>
      <c r="AA415" s="634"/>
      <c r="AB415" s="634"/>
      <c r="AC415" s="634"/>
      <c r="AD415" s="634"/>
      <c r="AE415" s="634"/>
      <c r="AG415" s="634"/>
      <c r="AH415" s="634"/>
      <c r="AI415" s="634"/>
    </row>
    <row r="416" spans="1:35" s="629" customFormat="1">
      <c r="A416" s="941"/>
      <c r="B416" s="628"/>
      <c r="D416" s="631"/>
      <c r="F416" s="631"/>
      <c r="G416" s="941"/>
      <c r="H416" s="632"/>
      <c r="I416" s="1724"/>
      <c r="J416" s="1724"/>
      <c r="K416" s="941"/>
      <c r="L416" s="633"/>
      <c r="M416" s="634"/>
      <c r="N416" s="634"/>
      <c r="O416" s="634"/>
      <c r="P416" s="634"/>
      <c r="Q416" s="634"/>
      <c r="R416" s="634"/>
      <c r="S416" s="634"/>
      <c r="T416" s="634"/>
      <c r="U416" s="634"/>
      <c r="V416" s="634"/>
      <c r="W416" s="634"/>
      <c r="X416" s="634"/>
      <c r="Y416" s="634"/>
      <c r="Z416" s="634"/>
      <c r="AA416" s="634"/>
      <c r="AB416" s="634"/>
      <c r="AC416" s="634"/>
      <c r="AD416" s="634"/>
      <c r="AE416" s="634"/>
      <c r="AG416" s="634"/>
      <c r="AH416" s="634"/>
      <c r="AI416" s="634"/>
    </row>
    <row r="417" spans="1:35" s="629" customFormat="1">
      <c r="A417" s="941"/>
      <c r="B417" s="628"/>
      <c r="D417" s="631"/>
      <c r="F417" s="631"/>
      <c r="G417" s="941"/>
      <c r="H417" s="632"/>
      <c r="I417" s="1724"/>
      <c r="J417" s="1724"/>
      <c r="K417" s="941"/>
      <c r="L417" s="633"/>
      <c r="M417" s="634"/>
      <c r="N417" s="634"/>
      <c r="O417" s="634"/>
      <c r="P417" s="634"/>
      <c r="Q417" s="634"/>
      <c r="R417" s="634"/>
      <c r="S417" s="634"/>
      <c r="T417" s="634"/>
      <c r="U417" s="634"/>
      <c r="V417" s="634"/>
      <c r="W417" s="634"/>
      <c r="X417" s="634"/>
      <c r="Y417" s="634"/>
      <c r="Z417" s="634"/>
      <c r="AA417" s="634"/>
      <c r="AB417" s="634"/>
      <c r="AC417" s="634"/>
      <c r="AD417" s="634"/>
      <c r="AE417" s="634"/>
      <c r="AG417" s="634"/>
      <c r="AH417" s="634"/>
      <c r="AI417" s="634"/>
    </row>
    <row r="418" spans="1:35" s="629" customFormat="1">
      <c r="A418" s="941"/>
      <c r="B418" s="628"/>
      <c r="D418" s="631"/>
      <c r="F418" s="631"/>
      <c r="G418" s="941"/>
      <c r="H418" s="632"/>
      <c r="I418" s="1724"/>
      <c r="J418" s="1724"/>
      <c r="K418" s="941"/>
      <c r="L418" s="633"/>
      <c r="M418" s="634"/>
      <c r="N418" s="634"/>
      <c r="O418" s="634"/>
      <c r="P418" s="634"/>
      <c r="Q418" s="634"/>
      <c r="R418" s="634"/>
      <c r="S418" s="634"/>
      <c r="T418" s="634"/>
      <c r="U418" s="634"/>
      <c r="V418" s="634"/>
      <c r="W418" s="634"/>
      <c r="X418" s="634"/>
      <c r="Y418" s="634"/>
      <c r="Z418" s="634"/>
      <c r="AA418" s="634"/>
      <c r="AB418" s="634"/>
      <c r="AC418" s="634"/>
      <c r="AD418" s="634"/>
      <c r="AE418" s="634"/>
      <c r="AG418" s="634"/>
      <c r="AH418" s="634"/>
      <c r="AI418" s="634"/>
    </row>
    <row r="419" spans="1:35" s="629" customFormat="1">
      <c r="A419" s="941"/>
      <c r="B419" s="628"/>
      <c r="D419" s="631"/>
      <c r="F419" s="631"/>
      <c r="G419" s="941"/>
      <c r="H419" s="632"/>
      <c r="I419" s="941"/>
      <c r="J419" s="941"/>
      <c r="K419" s="941"/>
      <c r="L419" s="633"/>
      <c r="M419" s="634"/>
      <c r="N419" s="634"/>
      <c r="O419" s="634"/>
      <c r="P419" s="634"/>
      <c r="Q419" s="634"/>
      <c r="R419" s="634"/>
      <c r="S419" s="634"/>
      <c r="T419" s="634"/>
      <c r="U419" s="634"/>
      <c r="V419" s="634"/>
      <c r="W419" s="634"/>
      <c r="X419" s="634"/>
      <c r="Y419" s="634"/>
      <c r="Z419" s="634"/>
      <c r="AA419" s="634"/>
      <c r="AB419" s="634"/>
      <c r="AC419" s="634"/>
      <c r="AD419" s="634"/>
      <c r="AE419" s="634"/>
      <c r="AG419" s="634"/>
      <c r="AH419" s="634"/>
      <c r="AI419" s="634"/>
    </row>
    <row r="420" spans="1:35" s="629" customFormat="1">
      <c r="A420" s="941"/>
      <c r="B420" s="628"/>
      <c r="D420" s="631"/>
      <c r="F420" s="631"/>
      <c r="G420" s="941"/>
      <c r="H420" s="632"/>
      <c r="I420" s="941"/>
      <c r="J420" s="941"/>
      <c r="K420" s="941"/>
      <c r="L420" s="633"/>
      <c r="M420" s="634"/>
      <c r="N420" s="634"/>
      <c r="O420" s="634"/>
      <c r="P420" s="634"/>
      <c r="Q420" s="634"/>
      <c r="R420" s="634"/>
      <c r="S420" s="634"/>
      <c r="T420" s="634"/>
      <c r="U420" s="634"/>
      <c r="V420" s="634"/>
      <c r="W420" s="634"/>
      <c r="X420" s="634"/>
      <c r="Y420" s="634"/>
      <c r="Z420" s="634"/>
      <c r="AA420" s="634"/>
      <c r="AB420" s="634"/>
      <c r="AC420" s="634"/>
      <c r="AD420" s="634"/>
      <c r="AE420" s="634"/>
      <c r="AG420" s="634"/>
      <c r="AH420" s="634"/>
      <c r="AI420" s="634"/>
    </row>
    <row r="421" spans="1:35" s="629" customFormat="1">
      <c r="A421" s="941"/>
      <c r="B421" s="628"/>
      <c r="D421" s="631"/>
      <c r="F421" s="631"/>
      <c r="G421" s="941"/>
      <c r="H421" s="632"/>
      <c r="I421" s="941"/>
      <c r="J421" s="941"/>
      <c r="K421" s="941"/>
      <c r="L421" s="633"/>
      <c r="M421" s="634"/>
      <c r="N421" s="634"/>
      <c r="O421" s="634"/>
      <c r="P421" s="634"/>
      <c r="Q421" s="634"/>
      <c r="R421" s="634"/>
      <c r="S421" s="634"/>
      <c r="T421" s="634"/>
      <c r="U421" s="634"/>
      <c r="V421" s="634"/>
      <c r="W421" s="634"/>
      <c r="X421" s="634"/>
      <c r="Y421" s="634"/>
      <c r="Z421" s="634"/>
      <c r="AA421" s="634"/>
      <c r="AB421" s="634"/>
      <c r="AC421" s="634"/>
      <c r="AD421" s="634"/>
      <c r="AE421" s="634"/>
      <c r="AG421" s="634"/>
      <c r="AH421" s="634"/>
      <c r="AI421" s="634"/>
    </row>
    <row r="422" spans="1:35" s="629" customFormat="1">
      <c r="A422" s="941"/>
      <c r="B422" s="628"/>
      <c r="D422" s="631"/>
      <c r="F422" s="631"/>
      <c r="G422" s="941"/>
      <c r="H422" s="632"/>
      <c r="I422" s="941"/>
      <c r="J422" s="941"/>
      <c r="K422" s="941"/>
      <c r="L422" s="633"/>
      <c r="M422" s="634"/>
      <c r="N422" s="634"/>
      <c r="O422" s="634"/>
      <c r="P422" s="634"/>
      <c r="Q422" s="634"/>
      <c r="R422" s="634"/>
      <c r="S422" s="634"/>
      <c r="T422" s="634"/>
      <c r="U422" s="634"/>
      <c r="V422" s="634"/>
      <c r="W422" s="634"/>
      <c r="X422" s="634"/>
      <c r="Y422" s="634"/>
      <c r="Z422" s="634"/>
      <c r="AA422" s="634"/>
      <c r="AB422" s="634"/>
      <c r="AC422" s="634"/>
      <c r="AD422" s="634"/>
      <c r="AE422" s="634"/>
      <c r="AG422" s="634"/>
      <c r="AH422" s="634"/>
      <c r="AI422" s="634"/>
    </row>
    <row r="423" spans="1:35" s="629" customFormat="1">
      <c r="A423" s="941"/>
      <c r="B423" s="628"/>
      <c r="D423" s="631"/>
      <c r="F423" s="631"/>
      <c r="G423" s="941"/>
      <c r="H423" s="632"/>
      <c r="I423" s="941"/>
      <c r="J423" s="941"/>
      <c r="K423" s="941"/>
      <c r="L423" s="633"/>
      <c r="M423" s="634"/>
      <c r="N423" s="634"/>
      <c r="O423" s="634"/>
      <c r="P423" s="634"/>
      <c r="Q423" s="634"/>
      <c r="R423" s="634"/>
      <c r="S423" s="634"/>
      <c r="T423" s="634"/>
      <c r="U423" s="634"/>
      <c r="V423" s="634"/>
      <c r="W423" s="634"/>
      <c r="X423" s="634"/>
      <c r="Y423" s="634"/>
      <c r="Z423" s="634"/>
      <c r="AA423" s="634"/>
      <c r="AB423" s="634"/>
      <c r="AC423" s="634"/>
      <c r="AD423" s="634"/>
      <c r="AE423" s="634"/>
      <c r="AG423" s="634"/>
      <c r="AH423" s="634"/>
      <c r="AI423" s="634"/>
    </row>
    <row r="424" spans="1:35" s="629" customFormat="1">
      <c r="A424" s="941"/>
      <c r="B424" s="628"/>
      <c r="D424" s="631"/>
      <c r="F424" s="631"/>
      <c r="G424" s="941"/>
      <c r="H424" s="632"/>
      <c r="I424" s="941"/>
      <c r="J424" s="941"/>
      <c r="K424" s="941"/>
      <c r="L424" s="633"/>
      <c r="M424" s="634"/>
      <c r="N424" s="634"/>
      <c r="O424" s="634"/>
      <c r="P424" s="634"/>
      <c r="Q424" s="634"/>
      <c r="R424" s="634"/>
      <c r="S424" s="634"/>
      <c r="T424" s="634"/>
      <c r="U424" s="634"/>
      <c r="V424" s="634"/>
      <c r="W424" s="634"/>
      <c r="X424" s="634"/>
      <c r="Y424" s="634"/>
      <c r="Z424" s="634"/>
      <c r="AA424" s="634"/>
      <c r="AB424" s="634"/>
      <c r="AC424" s="634"/>
      <c r="AD424" s="634"/>
      <c r="AE424" s="634"/>
      <c r="AG424" s="634"/>
      <c r="AH424" s="634"/>
      <c r="AI424" s="634"/>
    </row>
    <row r="425" spans="1:35" s="629" customFormat="1">
      <c r="A425" s="941"/>
      <c r="B425" s="628"/>
      <c r="D425" s="631"/>
      <c r="F425" s="631"/>
      <c r="G425" s="941"/>
      <c r="H425" s="632"/>
      <c r="I425" s="941"/>
      <c r="J425" s="941"/>
      <c r="K425" s="941"/>
      <c r="L425" s="633"/>
      <c r="M425" s="634"/>
      <c r="N425" s="634"/>
      <c r="O425" s="634"/>
      <c r="P425" s="634"/>
      <c r="Q425" s="634"/>
      <c r="R425" s="634"/>
      <c r="S425" s="634"/>
      <c r="T425" s="634"/>
      <c r="U425" s="634"/>
      <c r="V425" s="634"/>
      <c r="W425" s="634"/>
      <c r="X425" s="634"/>
      <c r="Y425" s="634"/>
      <c r="Z425" s="634"/>
      <c r="AA425" s="634"/>
      <c r="AB425" s="634"/>
      <c r="AC425" s="634"/>
      <c r="AD425" s="634"/>
      <c r="AE425" s="634"/>
      <c r="AG425" s="634"/>
      <c r="AH425" s="634"/>
      <c r="AI425" s="634"/>
    </row>
    <row r="426" spans="1:35" s="629" customFormat="1">
      <c r="A426" s="941"/>
      <c r="B426" s="628"/>
      <c r="D426" s="631"/>
      <c r="F426" s="631"/>
      <c r="G426" s="941"/>
      <c r="H426" s="632"/>
      <c r="I426" s="941"/>
      <c r="J426" s="941"/>
      <c r="K426" s="941"/>
      <c r="L426" s="633"/>
      <c r="M426" s="634"/>
      <c r="N426" s="634"/>
      <c r="O426" s="634"/>
      <c r="P426" s="634"/>
      <c r="Q426" s="634"/>
      <c r="R426" s="634"/>
      <c r="S426" s="634"/>
      <c r="T426" s="634"/>
      <c r="U426" s="634"/>
      <c r="V426" s="634"/>
      <c r="W426" s="634"/>
      <c r="X426" s="634"/>
      <c r="Y426" s="634"/>
      <c r="Z426" s="634"/>
      <c r="AA426" s="634"/>
      <c r="AB426" s="634"/>
      <c r="AC426" s="634"/>
      <c r="AD426" s="634"/>
      <c r="AE426" s="634"/>
      <c r="AG426" s="634"/>
      <c r="AH426" s="634"/>
      <c r="AI426" s="634"/>
    </row>
    <row r="427" spans="1:35" s="629" customFormat="1">
      <c r="A427" s="941"/>
      <c r="B427" s="628"/>
      <c r="D427" s="631"/>
      <c r="F427" s="631"/>
      <c r="G427" s="941"/>
      <c r="H427" s="632"/>
      <c r="I427" s="941"/>
      <c r="J427" s="941"/>
      <c r="K427" s="941"/>
      <c r="L427" s="633"/>
      <c r="M427" s="634"/>
      <c r="N427" s="634"/>
      <c r="O427" s="634"/>
      <c r="P427" s="634"/>
      <c r="Q427" s="634"/>
      <c r="R427" s="634"/>
      <c r="S427" s="634"/>
      <c r="T427" s="634"/>
      <c r="U427" s="634"/>
      <c r="V427" s="634"/>
      <c r="W427" s="634"/>
      <c r="X427" s="634"/>
      <c r="Y427" s="634"/>
      <c r="Z427" s="634"/>
      <c r="AA427" s="634"/>
      <c r="AB427" s="634"/>
      <c r="AC427" s="634"/>
      <c r="AD427" s="634"/>
      <c r="AE427" s="634"/>
      <c r="AG427" s="634"/>
      <c r="AH427" s="634"/>
      <c r="AI427" s="634"/>
    </row>
    <row r="428" spans="1:35" s="629" customFormat="1">
      <c r="A428" s="941"/>
      <c r="B428" s="628"/>
      <c r="D428" s="631"/>
      <c r="F428" s="631"/>
      <c r="G428" s="941"/>
      <c r="H428" s="632"/>
      <c r="I428" s="941"/>
      <c r="J428" s="941"/>
      <c r="K428" s="941"/>
      <c r="L428" s="633"/>
      <c r="M428" s="634"/>
      <c r="N428" s="634"/>
      <c r="O428" s="634"/>
      <c r="P428" s="634"/>
      <c r="Q428" s="634"/>
      <c r="R428" s="634"/>
      <c r="S428" s="634"/>
      <c r="T428" s="634"/>
      <c r="U428" s="634"/>
      <c r="V428" s="634"/>
      <c r="W428" s="634"/>
      <c r="X428" s="634"/>
      <c r="Y428" s="634"/>
      <c r="Z428" s="634"/>
      <c r="AA428" s="634"/>
      <c r="AB428" s="634"/>
      <c r="AC428" s="634"/>
      <c r="AD428" s="634"/>
      <c r="AE428" s="634"/>
      <c r="AG428" s="634"/>
      <c r="AH428" s="634"/>
      <c r="AI428" s="634"/>
    </row>
    <row r="429" spans="1:35" s="629" customFormat="1">
      <c r="A429" s="941"/>
      <c r="B429" s="628"/>
      <c r="D429" s="631"/>
      <c r="F429" s="631"/>
      <c r="G429" s="941"/>
      <c r="H429" s="632"/>
      <c r="I429" s="941"/>
      <c r="J429" s="941"/>
      <c r="K429" s="941"/>
      <c r="L429" s="633"/>
      <c r="M429" s="634"/>
      <c r="N429" s="634"/>
      <c r="O429" s="634"/>
      <c r="P429" s="634"/>
      <c r="Q429" s="634"/>
      <c r="R429" s="634"/>
      <c r="S429" s="634"/>
      <c r="T429" s="634"/>
      <c r="U429" s="634"/>
      <c r="V429" s="634"/>
      <c r="W429" s="634"/>
      <c r="X429" s="634"/>
      <c r="Y429" s="634"/>
      <c r="Z429" s="634"/>
      <c r="AA429" s="634"/>
      <c r="AB429" s="634"/>
      <c r="AC429" s="634"/>
      <c r="AD429" s="634"/>
      <c r="AE429" s="634"/>
      <c r="AG429" s="634"/>
      <c r="AH429" s="634"/>
      <c r="AI429" s="634"/>
    </row>
    <row r="430" spans="1:35" s="629" customFormat="1">
      <c r="A430" s="941"/>
      <c r="B430" s="628"/>
      <c r="D430" s="631"/>
      <c r="F430" s="631"/>
      <c r="G430" s="941"/>
      <c r="H430" s="632"/>
      <c r="I430" s="941"/>
      <c r="J430" s="941"/>
      <c r="K430" s="941"/>
      <c r="L430" s="633"/>
      <c r="M430" s="634"/>
      <c r="N430" s="634"/>
      <c r="O430" s="634"/>
      <c r="P430" s="634"/>
      <c r="Q430" s="634"/>
      <c r="R430" s="634"/>
      <c r="S430" s="634"/>
      <c r="T430" s="634"/>
      <c r="U430" s="634"/>
      <c r="V430" s="634"/>
      <c r="W430" s="634"/>
      <c r="X430" s="634"/>
      <c r="Y430" s="634"/>
      <c r="Z430" s="634"/>
      <c r="AA430" s="634"/>
      <c r="AB430" s="634"/>
      <c r="AC430" s="634"/>
      <c r="AD430" s="634"/>
      <c r="AE430" s="634"/>
      <c r="AG430" s="634"/>
      <c r="AH430" s="634"/>
      <c r="AI430" s="634"/>
    </row>
    <row r="431" spans="1:35" s="629" customFormat="1">
      <c r="A431" s="941"/>
      <c r="B431" s="628"/>
      <c r="D431" s="631"/>
      <c r="F431" s="631"/>
      <c r="G431" s="941"/>
      <c r="H431" s="632"/>
      <c r="I431" s="941"/>
      <c r="J431" s="941"/>
      <c r="K431" s="941"/>
      <c r="L431" s="633"/>
      <c r="M431" s="634"/>
      <c r="N431" s="634"/>
      <c r="O431" s="634"/>
      <c r="P431" s="634"/>
      <c r="Q431" s="634"/>
      <c r="R431" s="634"/>
      <c r="S431" s="634"/>
      <c r="T431" s="634"/>
      <c r="U431" s="634"/>
      <c r="V431" s="634"/>
      <c r="W431" s="634"/>
      <c r="X431" s="634"/>
      <c r="Y431" s="634"/>
      <c r="Z431" s="634"/>
      <c r="AA431" s="634"/>
      <c r="AB431" s="634"/>
      <c r="AC431" s="634"/>
      <c r="AD431" s="634"/>
      <c r="AE431" s="634"/>
      <c r="AG431" s="634"/>
      <c r="AH431" s="634"/>
      <c r="AI431" s="634"/>
    </row>
    <row r="432" spans="1:35" s="629" customFormat="1">
      <c r="A432" s="941"/>
      <c r="B432" s="628"/>
      <c r="D432" s="631"/>
      <c r="F432" s="631"/>
      <c r="G432" s="941"/>
      <c r="H432" s="632"/>
      <c r="I432" s="941"/>
      <c r="J432" s="941"/>
      <c r="K432" s="941"/>
      <c r="L432" s="633"/>
      <c r="M432" s="634"/>
      <c r="N432" s="634"/>
      <c r="O432" s="634"/>
      <c r="P432" s="634"/>
      <c r="Q432" s="634"/>
      <c r="R432" s="634"/>
      <c r="S432" s="634"/>
      <c r="T432" s="634"/>
      <c r="U432" s="634"/>
      <c r="V432" s="634"/>
      <c r="W432" s="634"/>
      <c r="X432" s="634"/>
      <c r="Y432" s="634"/>
      <c r="Z432" s="634"/>
      <c r="AA432" s="634"/>
      <c r="AB432" s="634"/>
      <c r="AC432" s="634"/>
      <c r="AD432" s="634"/>
      <c r="AE432" s="634"/>
      <c r="AG432" s="634"/>
      <c r="AH432" s="634"/>
      <c r="AI432" s="634"/>
    </row>
    <row r="433" spans="1:35" s="629" customFormat="1">
      <c r="A433" s="941"/>
      <c r="B433" s="628"/>
      <c r="D433" s="631"/>
      <c r="F433" s="631"/>
      <c r="G433" s="941"/>
      <c r="H433" s="632"/>
      <c r="I433" s="941"/>
      <c r="J433" s="941"/>
      <c r="K433" s="941"/>
      <c r="L433" s="633"/>
      <c r="M433" s="634"/>
      <c r="N433" s="634"/>
      <c r="O433" s="634"/>
      <c r="P433" s="634"/>
      <c r="Q433" s="634"/>
      <c r="R433" s="634"/>
      <c r="S433" s="634"/>
      <c r="T433" s="634"/>
      <c r="U433" s="634"/>
      <c r="V433" s="634"/>
      <c r="W433" s="634"/>
      <c r="X433" s="634"/>
      <c r="Y433" s="634"/>
      <c r="Z433" s="634"/>
      <c r="AA433" s="634"/>
      <c r="AB433" s="634"/>
      <c r="AC433" s="634"/>
      <c r="AD433" s="634"/>
      <c r="AE433" s="634"/>
      <c r="AG433" s="634"/>
      <c r="AH433" s="634"/>
      <c r="AI433" s="634"/>
    </row>
    <row r="434" spans="1:35" s="629" customFormat="1">
      <c r="A434" s="941"/>
      <c r="B434" s="628"/>
      <c r="D434" s="631"/>
      <c r="F434" s="631"/>
      <c r="G434" s="941"/>
      <c r="H434" s="632"/>
      <c r="I434" s="941"/>
      <c r="J434" s="941"/>
      <c r="K434" s="941"/>
      <c r="L434" s="633"/>
      <c r="M434" s="634"/>
      <c r="N434" s="634"/>
      <c r="O434" s="634"/>
      <c r="P434" s="634"/>
      <c r="Q434" s="634"/>
      <c r="R434" s="634"/>
      <c r="S434" s="634"/>
      <c r="T434" s="634"/>
      <c r="U434" s="634"/>
      <c r="V434" s="634"/>
      <c r="W434" s="634"/>
      <c r="X434" s="634"/>
      <c r="Y434" s="634"/>
      <c r="Z434" s="634"/>
      <c r="AA434" s="634"/>
      <c r="AB434" s="634"/>
      <c r="AC434" s="634"/>
      <c r="AD434" s="634"/>
      <c r="AE434" s="634"/>
      <c r="AG434" s="634"/>
      <c r="AH434" s="634"/>
      <c r="AI434" s="634"/>
    </row>
    <row r="435" spans="1:35" s="629" customFormat="1">
      <c r="A435" s="941"/>
      <c r="B435" s="628"/>
      <c r="D435" s="631"/>
      <c r="F435" s="631"/>
      <c r="G435" s="941"/>
      <c r="H435" s="632"/>
      <c r="I435" s="941"/>
      <c r="J435" s="941"/>
      <c r="K435" s="941"/>
      <c r="L435" s="633"/>
      <c r="M435" s="634"/>
      <c r="N435" s="634"/>
      <c r="O435" s="634"/>
      <c r="P435" s="634"/>
      <c r="Q435" s="634"/>
      <c r="R435" s="634"/>
      <c r="S435" s="634"/>
      <c r="T435" s="634"/>
      <c r="U435" s="634"/>
      <c r="V435" s="634"/>
      <c r="W435" s="634"/>
      <c r="X435" s="634"/>
      <c r="Y435" s="634"/>
      <c r="Z435" s="634"/>
      <c r="AA435" s="634"/>
      <c r="AB435" s="634"/>
      <c r="AC435" s="634"/>
      <c r="AD435" s="634"/>
      <c r="AE435" s="634"/>
      <c r="AG435" s="634"/>
      <c r="AH435" s="634"/>
      <c r="AI435" s="634"/>
    </row>
    <row r="436" spans="1:35" s="629" customFormat="1">
      <c r="A436" s="941"/>
      <c r="B436" s="628"/>
      <c r="D436" s="631"/>
      <c r="F436" s="631"/>
      <c r="G436" s="941"/>
      <c r="H436" s="632"/>
      <c r="I436" s="941"/>
      <c r="J436" s="941"/>
      <c r="K436" s="941"/>
      <c r="L436" s="633"/>
      <c r="M436" s="634"/>
      <c r="N436" s="634"/>
      <c r="O436" s="634"/>
      <c r="P436" s="634"/>
      <c r="Q436" s="634"/>
      <c r="R436" s="634"/>
      <c r="S436" s="634"/>
      <c r="T436" s="634"/>
      <c r="U436" s="634"/>
      <c r="V436" s="634"/>
      <c r="W436" s="634"/>
      <c r="X436" s="634"/>
      <c r="Y436" s="634"/>
      <c r="Z436" s="634"/>
      <c r="AA436" s="634"/>
      <c r="AB436" s="634"/>
      <c r="AC436" s="634"/>
      <c r="AD436" s="634"/>
      <c r="AE436" s="634"/>
      <c r="AG436" s="634"/>
      <c r="AH436" s="634"/>
      <c r="AI436" s="634"/>
    </row>
    <row r="437" spans="1:35" s="629" customFormat="1">
      <c r="A437" s="941"/>
      <c r="B437" s="628"/>
      <c r="D437" s="631"/>
      <c r="F437" s="631"/>
      <c r="G437" s="941"/>
      <c r="H437" s="632"/>
      <c r="I437" s="941"/>
      <c r="J437" s="941"/>
      <c r="K437" s="941"/>
      <c r="L437" s="633"/>
      <c r="M437" s="634"/>
      <c r="N437" s="634"/>
      <c r="O437" s="634"/>
      <c r="P437" s="634"/>
      <c r="Q437" s="634"/>
      <c r="R437" s="634"/>
      <c r="S437" s="634"/>
      <c r="T437" s="634"/>
      <c r="U437" s="634"/>
      <c r="V437" s="634"/>
      <c r="W437" s="634"/>
      <c r="X437" s="634"/>
      <c r="Y437" s="634"/>
      <c r="Z437" s="634"/>
      <c r="AA437" s="634"/>
      <c r="AB437" s="634"/>
      <c r="AC437" s="634"/>
      <c r="AD437" s="634"/>
      <c r="AE437" s="634"/>
      <c r="AG437" s="634"/>
      <c r="AH437" s="634"/>
      <c r="AI437" s="634"/>
    </row>
    <row r="438" spans="1:35" s="629" customFormat="1">
      <c r="A438" s="941"/>
      <c r="B438" s="628"/>
      <c r="D438" s="631"/>
      <c r="F438" s="631"/>
      <c r="G438" s="941"/>
      <c r="H438" s="632"/>
      <c r="I438" s="941"/>
      <c r="J438" s="941"/>
      <c r="K438" s="941"/>
      <c r="L438" s="633"/>
      <c r="M438" s="634"/>
      <c r="N438" s="634"/>
      <c r="O438" s="634"/>
      <c r="P438" s="634"/>
      <c r="Q438" s="634"/>
      <c r="R438" s="634"/>
      <c r="S438" s="634"/>
      <c r="T438" s="634"/>
      <c r="U438" s="634"/>
      <c r="V438" s="634"/>
      <c r="W438" s="634"/>
      <c r="X438" s="634"/>
      <c r="Y438" s="634"/>
      <c r="Z438" s="634"/>
      <c r="AA438" s="634"/>
      <c r="AB438" s="634"/>
      <c r="AC438" s="634"/>
      <c r="AD438" s="634"/>
      <c r="AE438" s="634"/>
      <c r="AG438" s="634"/>
      <c r="AH438" s="634"/>
      <c r="AI438" s="634"/>
    </row>
    <row r="439" spans="1:35" s="629" customFormat="1">
      <c r="A439" s="941"/>
      <c r="B439" s="628"/>
      <c r="D439" s="631"/>
      <c r="F439" s="631"/>
      <c r="G439" s="941"/>
      <c r="H439" s="632"/>
      <c r="I439" s="941"/>
      <c r="J439" s="941"/>
      <c r="K439" s="941"/>
      <c r="L439" s="633"/>
      <c r="M439" s="634"/>
      <c r="N439" s="634"/>
      <c r="O439" s="634"/>
      <c r="P439" s="634"/>
      <c r="Q439" s="634"/>
      <c r="R439" s="634"/>
      <c r="S439" s="634"/>
      <c r="T439" s="634"/>
      <c r="U439" s="634"/>
      <c r="V439" s="634"/>
      <c r="W439" s="634"/>
      <c r="X439" s="634"/>
      <c r="Y439" s="634"/>
      <c r="Z439" s="634"/>
      <c r="AA439" s="634"/>
      <c r="AB439" s="634"/>
      <c r="AC439" s="634"/>
      <c r="AD439" s="634"/>
      <c r="AE439" s="634"/>
      <c r="AG439" s="634"/>
      <c r="AH439" s="634"/>
      <c r="AI439" s="634"/>
    </row>
    <row r="440" spans="1:35" s="629" customFormat="1">
      <c r="A440" s="941"/>
      <c r="B440" s="628"/>
      <c r="D440" s="631"/>
      <c r="F440" s="631"/>
      <c r="G440" s="941"/>
      <c r="H440" s="632"/>
      <c r="I440" s="941"/>
      <c r="J440" s="941"/>
      <c r="K440" s="941"/>
      <c r="L440" s="633"/>
      <c r="M440" s="634"/>
      <c r="N440" s="634"/>
      <c r="O440" s="634"/>
      <c r="P440" s="634"/>
      <c r="Q440" s="634"/>
      <c r="R440" s="634"/>
      <c r="S440" s="634"/>
      <c r="T440" s="634"/>
      <c r="U440" s="634"/>
      <c r="V440" s="634"/>
      <c r="W440" s="634"/>
      <c r="X440" s="634"/>
      <c r="Y440" s="634"/>
      <c r="Z440" s="634"/>
      <c r="AA440" s="634"/>
      <c r="AB440" s="634"/>
      <c r="AC440" s="634"/>
      <c r="AD440" s="634"/>
      <c r="AE440" s="634"/>
      <c r="AG440" s="634"/>
      <c r="AH440" s="634"/>
      <c r="AI440" s="634"/>
    </row>
    <row r="441" spans="1:35" s="629" customFormat="1">
      <c r="A441" s="941"/>
      <c r="B441" s="628"/>
      <c r="D441" s="631"/>
      <c r="F441" s="631"/>
      <c r="G441" s="941"/>
      <c r="H441" s="632"/>
      <c r="I441" s="941"/>
      <c r="J441" s="941"/>
      <c r="K441" s="941"/>
      <c r="L441" s="633"/>
      <c r="M441" s="634"/>
      <c r="N441" s="634"/>
      <c r="O441" s="634"/>
      <c r="P441" s="634"/>
      <c r="Q441" s="634"/>
      <c r="R441" s="634"/>
      <c r="S441" s="634"/>
      <c r="T441" s="634"/>
      <c r="U441" s="634"/>
      <c r="V441" s="634"/>
      <c r="W441" s="634"/>
      <c r="X441" s="634"/>
      <c r="Y441" s="634"/>
      <c r="Z441" s="634"/>
      <c r="AA441" s="634"/>
      <c r="AB441" s="634"/>
      <c r="AC441" s="634"/>
      <c r="AD441" s="634"/>
      <c r="AE441" s="634"/>
      <c r="AG441" s="634"/>
      <c r="AH441" s="634"/>
      <c r="AI441" s="634"/>
    </row>
    <row r="442" spans="1:35" s="629" customFormat="1">
      <c r="A442" s="941"/>
      <c r="B442" s="628"/>
      <c r="D442" s="631"/>
      <c r="F442" s="631"/>
      <c r="G442" s="941"/>
      <c r="H442" s="632"/>
      <c r="I442" s="941"/>
      <c r="J442" s="941"/>
      <c r="K442" s="941"/>
      <c r="L442" s="633"/>
      <c r="M442" s="634"/>
      <c r="N442" s="634"/>
      <c r="O442" s="634"/>
      <c r="P442" s="634"/>
      <c r="Q442" s="634"/>
      <c r="R442" s="634"/>
      <c r="S442" s="634"/>
      <c r="T442" s="634"/>
      <c r="U442" s="634"/>
      <c r="V442" s="634"/>
      <c r="W442" s="634"/>
      <c r="X442" s="634"/>
      <c r="Y442" s="634"/>
      <c r="Z442" s="634"/>
      <c r="AA442" s="634"/>
      <c r="AB442" s="634"/>
      <c r="AC442" s="634"/>
      <c r="AD442" s="634"/>
      <c r="AE442" s="634"/>
      <c r="AG442" s="634"/>
      <c r="AH442" s="634"/>
      <c r="AI442" s="634"/>
    </row>
    <row r="443" spans="1:35" s="629" customFormat="1">
      <c r="A443" s="941"/>
      <c r="B443" s="628"/>
      <c r="D443" s="631"/>
      <c r="F443" s="631"/>
      <c r="G443" s="941"/>
      <c r="H443" s="632"/>
      <c r="I443" s="941"/>
      <c r="J443" s="941"/>
      <c r="K443" s="941"/>
      <c r="L443" s="633"/>
      <c r="M443" s="634"/>
      <c r="N443" s="634"/>
      <c r="O443" s="634"/>
      <c r="P443" s="634"/>
      <c r="Q443" s="634"/>
      <c r="R443" s="634"/>
      <c r="S443" s="634"/>
      <c r="T443" s="634"/>
      <c r="U443" s="634"/>
      <c r="V443" s="634"/>
      <c r="W443" s="634"/>
      <c r="X443" s="634"/>
      <c r="Y443" s="634"/>
      <c r="Z443" s="634"/>
      <c r="AA443" s="634"/>
      <c r="AB443" s="634"/>
      <c r="AC443" s="634"/>
      <c r="AD443" s="634"/>
      <c r="AE443" s="634"/>
      <c r="AG443" s="634"/>
      <c r="AH443" s="634"/>
      <c r="AI443" s="634"/>
    </row>
    <row r="448" spans="1:35" ht="12">
      <c r="A448" s="265"/>
      <c r="B448" s="265"/>
      <c r="D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G448" s="265"/>
      <c r="AH448" s="265"/>
      <c r="AI448" s="265"/>
    </row>
    <row r="449" spans="1:35" ht="12">
      <c r="A449" s="265"/>
      <c r="B449" s="265"/>
      <c r="D449" s="265"/>
      <c r="F449" s="265"/>
      <c r="G449" s="265"/>
      <c r="H449" s="265"/>
      <c r="I449" s="265"/>
      <c r="J449" s="265"/>
      <c r="K449" s="265"/>
      <c r="L449" s="265"/>
      <c r="M449" s="265"/>
      <c r="N449" s="265"/>
      <c r="O449" s="265"/>
      <c r="P449" s="265"/>
      <c r="Q449" s="265"/>
      <c r="R449" s="265"/>
      <c r="S449" s="265"/>
      <c r="T449" s="265"/>
      <c r="U449" s="265"/>
      <c r="V449" s="265"/>
      <c r="W449" s="265"/>
      <c r="X449" s="265"/>
      <c r="Y449" s="265"/>
      <c r="Z449" s="265"/>
      <c r="AA449" s="265"/>
      <c r="AB449" s="265"/>
      <c r="AC449" s="265"/>
      <c r="AD449" s="265"/>
      <c r="AE449" s="265"/>
      <c r="AG449" s="265"/>
      <c r="AH449" s="265"/>
      <c r="AI449" s="265"/>
    </row>
    <row r="450" spans="1:35" ht="12">
      <c r="A450" s="265"/>
      <c r="B450" s="265"/>
      <c r="D450" s="265"/>
      <c r="F450" s="265"/>
      <c r="G450" s="265"/>
      <c r="H450" s="265"/>
      <c r="I450" s="265"/>
      <c r="J450" s="265"/>
      <c r="K450" s="265"/>
      <c r="L450" s="265"/>
      <c r="M450" s="265"/>
      <c r="N450" s="265"/>
      <c r="O450" s="265"/>
      <c r="P450" s="265"/>
      <c r="Q450" s="265"/>
      <c r="R450" s="265"/>
      <c r="S450" s="265"/>
      <c r="T450" s="265"/>
      <c r="U450" s="265"/>
      <c r="V450" s="265"/>
      <c r="W450" s="265"/>
      <c r="X450" s="265"/>
      <c r="Y450" s="265"/>
      <c r="Z450" s="265"/>
      <c r="AA450" s="265"/>
      <c r="AB450" s="265"/>
      <c r="AC450" s="265"/>
      <c r="AD450" s="265"/>
      <c r="AE450" s="265"/>
      <c r="AG450" s="265"/>
      <c r="AH450" s="265"/>
      <c r="AI450" s="265"/>
    </row>
    <row r="451" spans="1:35" ht="12">
      <c r="A451" s="265"/>
      <c r="B451" s="265"/>
      <c r="D451" s="265"/>
      <c r="F451" s="265"/>
      <c r="G451" s="265"/>
      <c r="H451" s="265"/>
      <c r="I451" s="265"/>
      <c r="J451" s="265"/>
      <c r="K451" s="265"/>
      <c r="L451" s="265"/>
      <c r="M451" s="265"/>
      <c r="N451" s="265"/>
      <c r="O451" s="265"/>
      <c r="P451" s="265"/>
      <c r="Q451" s="265"/>
      <c r="R451" s="265"/>
      <c r="S451" s="265"/>
      <c r="T451" s="265"/>
      <c r="U451" s="265"/>
      <c r="V451" s="265"/>
      <c r="W451" s="265"/>
      <c r="X451" s="265"/>
      <c r="Y451" s="265"/>
      <c r="Z451" s="265"/>
      <c r="AA451" s="265"/>
      <c r="AB451" s="265"/>
      <c r="AC451" s="265"/>
      <c r="AD451" s="265"/>
      <c r="AE451" s="265"/>
      <c r="AG451" s="265"/>
      <c r="AH451" s="265"/>
      <c r="AI451" s="265"/>
    </row>
    <row r="452" spans="1:35" ht="12">
      <c r="A452" s="265"/>
      <c r="B452" s="265"/>
      <c r="D452" s="265"/>
      <c r="F452" s="265"/>
      <c r="G452" s="265"/>
      <c r="H452" s="265"/>
      <c r="I452" s="265"/>
      <c r="J452" s="265"/>
      <c r="K452" s="265"/>
      <c r="L452" s="265"/>
      <c r="M452" s="265"/>
      <c r="N452" s="265"/>
      <c r="O452" s="265"/>
      <c r="P452" s="265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  <c r="AD452" s="265"/>
      <c r="AE452" s="265"/>
      <c r="AG452" s="265"/>
      <c r="AH452" s="265"/>
      <c r="AI452" s="265"/>
    </row>
    <row r="453" spans="1:35" ht="12">
      <c r="A453" s="265"/>
      <c r="B453" s="265"/>
      <c r="D453" s="265"/>
      <c r="F453" s="265"/>
      <c r="G453" s="265"/>
      <c r="H453" s="265"/>
      <c r="I453" s="265"/>
      <c r="J453" s="265"/>
      <c r="K453" s="265"/>
      <c r="L453" s="265"/>
      <c r="M453" s="265"/>
      <c r="N453" s="265"/>
      <c r="O453" s="265"/>
      <c r="P453" s="265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  <c r="AD453" s="265"/>
      <c r="AE453" s="265"/>
      <c r="AG453" s="265"/>
      <c r="AH453" s="265"/>
      <c r="AI453" s="265"/>
    </row>
    <row r="454" spans="1:35" ht="12">
      <c r="A454" s="265"/>
      <c r="B454" s="265"/>
      <c r="D454" s="265"/>
      <c r="F454" s="265"/>
      <c r="G454" s="265"/>
      <c r="H454" s="265"/>
      <c r="I454" s="265"/>
      <c r="J454" s="265"/>
      <c r="K454" s="265"/>
      <c r="L454" s="265"/>
      <c r="M454" s="265"/>
      <c r="N454" s="265"/>
      <c r="O454" s="265"/>
      <c r="P454" s="265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  <c r="AD454" s="265"/>
      <c r="AE454" s="265"/>
      <c r="AG454" s="265"/>
      <c r="AH454" s="265"/>
      <c r="AI454" s="265"/>
    </row>
    <row r="455" spans="1:35" ht="12">
      <c r="A455" s="265"/>
      <c r="B455" s="265"/>
      <c r="D455" s="265"/>
      <c r="F455" s="265"/>
      <c r="G455" s="265"/>
      <c r="H455" s="265"/>
      <c r="I455" s="265"/>
      <c r="J455" s="265"/>
      <c r="K455" s="265"/>
      <c r="L455" s="265"/>
      <c r="M455" s="265"/>
      <c r="N455" s="265"/>
      <c r="O455" s="265"/>
      <c r="P455" s="265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  <c r="AD455" s="265"/>
      <c r="AE455" s="265"/>
      <c r="AG455" s="265"/>
      <c r="AH455" s="265"/>
      <c r="AI455" s="265"/>
    </row>
    <row r="456" spans="1:35" ht="12">
      <c r="A456" s="265"/>
      <c r="B456" s="265"/>
      <c r="D456" s="265"/>
      <c r="F456" s="265"/>
      <c r="G456" s="265"/>
      <c r="H456" s="265"/>
      <c r="I456" s="265"/>
      <c r="J456" s="265"/>
      <c r="K456" s="265"/>
      <c r="L456" s="265"/>
      <c r="M456" s="265"/>
      <c r="N456" s="265"/>
      <c r="O456" s="265"/>
      <c r="P456" s="265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  <c r="AD456" s="265"/>
      <c r="AE456" s="265"/>
      <c r="AG456" s="265"/>
      <c r="AH456" s="265"/>
      <c r="AI456" s="265"/>
    </row>
    <row r="457" spans="1:35" ht="12">
      <c r="A457" s="265"/>
      <c r="B457" s="265"/>
      <c r="D457" s="265"/>
      <c r="F457" s="265"/>
      <c r="G457" s="265"/>
      <c r="H457" s="265"/>
      <c r="I457" s="265"/>
      <c r="J457" s="265"/>
      <c r="K457" s="265"/>
      <c r="L457" s="265"/>
      <c r="M457" s="265"/>
      <c r="N457" s="265"/>
      <c r="O457" s="265"/>
      <c r="P457" s="265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  <c r="AD457" s="265"/>
      <c r="AE457" s="265"/>
      <c r="AG457" s="265"/>
      <c r="AH457" s="265"/>
      <c r="AI457" s="265"/>
    </row>
    <row r="458" spans="1:35" ht="12">
      <c r="A458" s="265"/>
      <c r="B458" s="265"/>
      <c r="D458" s="265"/>
      <c r="F458" s="265"/>
      <c r="G458" s="265"/>
      <c r="H458" s="265"/>
      <c r="I458" s="265"/>
      <c r="J458" s="265"/>
      <c r="K458" s="265"/>
      <c r="L458" s="265"/>
      <c r="M458" s="265"/>
      <c r="N458" s="265"/>
      <c r="O458" s="265"/>
      <c r="P458" s="265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  <c r="AD458" s="265"/>
      <c r="AE458" s="265"/>
      <c r="AG458" s="265"/>
      <c r="AH458" s="265"/>
      <c r="AI458" s="265"/>
    </row>
    <row r="459" spans="1:35" ht="12">
      <c r="A459" s="265"/>
      <c r="B459" s="265"/>
      <c r="D459" s="265"/>
      <c r="F459" s="265"/>
      <c r="G459" s="265"/>
      <c r="H459" s="265"/>
      <c r="I459" s="265"/>
      <c r="J459" s="265"/>
      <c r="K459" s="265"/>
      <c r="L459" s="265"/>
      <c r="M459" s="265"/>
      <c r="N459" s="265"/>
      <c r="O459" s="265"/>
      <c r="P459" s="265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  <c r="AD459" s="265"/>
      <c r="AE459" s="265"/>
      <c r="AG459" s="265"/>
      <c r="AH459" s="265"/>
      <c r="AI459" s="265"/>
    </row>
    <row r="460" spans="1:35" ht="12">
      <c r="A460" s="265"/>
      <c r="B460" s="265"/>
      <c r="D460" s="265"/>
      <c r="F460" s="265"/>
      <c r="G460" s="265"/>
      <c r="H460" s="265"/>
      <c r="I460" s="265"/>
      <c r="J460" s="265"/>
      <c r="K460" s="265"/>
      <c r="L460" s="265"/>
      <c r="M460" s="265"/>
      <c r="N460" s="265"/>
      <c r="O460" s="265"/>
      <c r="P460" s="265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  <c r="AD460" s="265"/>
      <c r="AE460" s="265"/>
      <c r="AG460" s="265"/>
      <c r="AH460" s="265"/>
      <c r="AI460" s="265"/>
    </row>
    <row r="461" spans="1:35" ht="12">
      <c r="A461" s="265"/>
      <c r="B461" s="265"/>
      <c r="D461" s="265"/>
      <c r="F461" s="265"/>
      <c r="G461" s="265"/>
      <c r="H461" s="265"/>
      <c r="I461" s="265"/>
      <c r="J461" s="265"/>
      <c r="K461" s="265"/>
      <c r="L461" s="265"/>
      <c r="M461" s="265"/>
      <c r="N461" s="265"/>
      <c r="O461" s="265"/>
      <c r="P461" s="265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  <c r="AD461" s="265"/>
      <c r="AE461" s="265"/>
      <c r="AG461" s="265"/>
      <c r="AH461" s="265"/>
      <c r="AI461" s="265"/>
    </row>
    <row r="462" spans="1:35" ht="12">
      <c r="A462" s="265"/>
      <c r="B462" s="265"/>
      <c r="D462" s="265"/>
      <c r="F462" s="265"/>
      <c r="G462" s="265"/>
      <c r="H462" s="265"/>
      <c r="I462" s="265"/>
      <c r="J462" s="265"/>
      <c r="K462" s="265"/>
      <c r="L462" s="265"/>
      <c r="M462" s="265"/>
      <c r="N462" s="265"/>
      <c r="O462" s="265"/>
      <c r="P462" s="265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  <c r="AD462" s="265"/>
      <c r="AE462" s="265"/>
      <c r="AG462" s="265"/>
      <c r="AH462" s="265"/>
      <c r="AI462" s="265"/>
    </row>
    <row r="463" spans="1:35" ht="12">
      <c r="A463" s="265"/>
      <c r="B463" s="265"/>
      <c r="D463" s="265"/>
      <c r="F463" s="265"/>
      <c r="G463" s="265"/>
      <c r="H463" s="265"/>
      <c r="I463" s="265"/>
      <c r="J463" s="265"/>
      <c r="K463" s="265"/>
      <c r="L463" s="265"/>
      <c r="M463" s="265"/>
      <c r="N463" s="265"/>
      <c r="O463" s="265"/>
      <c r="P463" s="265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  <c r="AD463" s="265"/>
      <c r="AE463" s="265"/>
      <c r="AG463" s="265"/>
      <c r="AH463" s="265"/>
      <c r="AI463" s="265"/>
    </row>
    <row r="464" spans="1:35" ht="12">
      <c r="A464" s="265"/>
      <c r="B464" s="265"/>
      <c r="D464" s="265"/>
      <c r="F464" s="265"/>
      <c r="G464" s="265"/>
      <c r="H464" s="265"/>
      <c r="I464" s="265"/>
      <c r="J464" s="265"/>
      <c r="K464" s="265"/>
      <c r="L464" s="265"/>
      <c r="M464" s="265"/>
      <c r="N464" s="265"/>
      <c r="O464" s="265"/>
      <c r="P464" s="265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  <c r="AD464" s="265"/>
      <c r="AE464" s="265"/>
      <c r="AG464" s="265"/>
      <c r="AH464" s="265"/>
      <c r="AI464" s="265"/>
    </row>
    <row r="465" spans="1:35" ht="12">
      <c r="A465" s="265"/>
      <c r="B465" s="265"/>
      <c r="D465" s="265"/>
      <c r="F465" s="265"/>
      <c r="G465" s="265"/>
      <c r="H465" s="265"/>
      <c r="I465" s="265"/>
      <c r="J465" s="265"/>
      <c r="K465" s="265"/>
      <c r="L465" s="265"/>
      <c r="M465" s="265"/>
      <c r="N465" s="265"/>
      <c r="O465" s="265"/>
      <c r="P465" s="265"/>
      <c r="Q465" s="265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  <c r="AC465" s="265"/>
      <c r="AD465" s="265"/>
      <c r="AE465" s="265"/>
      <c r="AG465" s="265"/>
      <c r="AH465" s="265"/>
      <c r="AI465" s="265"/>
    </row>
    <row r="466" spans="1:35" ht="12">
      <c r="A466" s="265"/>
      <c r="B466" s="265"/>
      <c r="D466" s="265"/>
      <c r="F466" s="265"/>
      <c r="G466" s="265"/>
      <c r="H466" s="265"/>
      <c r="I466" s="265"/>
      <c r="J466" s="265"/>
      <c r="K466" s="265"/>
      <c r="L466" s="265"/>
      <c r="M466" s="265"/>
      <c r="N466" s="265"/>
      <c r="O466" s="265"/>
      <c r="P466" s="265"/>
      <c r="Q466" s="265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  <c r="AC466" s="265"/>
      <c r="AD466" s="265"/>
      <c r="AE466" s="265"/>
      <c r="AG466" s="265"/>
      <c r="AH466" s="265"/>
      <c r="AI466" s="265"/>
    </row>
    <row r="467" spans="1:35" ht="12">
      <c r="A467" s="265"/>
      <c r="B467" s="265"/>
      <c r="D467" s="265"/>
      <c r="F467" s="265"/>
      <c r="G467" s="265"/>
      <c r="H467" s="265"/>
      <c r="I467" s="265"/>
      <c r="J467" s="265"/>
      <c r="K467" s="265"/>
      <c r="L467" s="265"/>
      <c r="M467" s="265"/>
      <c r="N467" s="265"/>
      <c r="O467" s="265"/>
      <c r="P467" s="265"/>
      <c r="Q467" s="265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  <c r="AC467" s="265"/>
      <c r="AD467" s="265"/>
      <c r="AE467" s="265"/>
      <c r="AG467" s="265"/>
      <c r="AH467" s="265"/>
      <c r="AI467" s="265"/>
    </row>
    <row r="468" spans="1:35" ht="12">
      <c r="A468" s="265"/>
      <c r="B468" s="265"/>
      <c r="D468" s="265"/>
      <c r="F468" s="265"/>
      <c r="G468" s="265"/>
      <c r="H468" s="265"/>
      <c r="I468" s="265"/>
      <c r="J468" s="265"/>
      <c r="K468" s="265"/>
      <c r="L468" s="265"/>
      <c r="M468" s="265"/>
      <c r="N468" s="265"/>
      <c r="O468" s="265"/>
      <c r="P468" s="265"/>
      <c r="Q468" s="265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  <c r="AC468" s="265"/>
      <c r="AD468" s="265"/>
      <c r="AE468" s="265"/>
      <c r="AG468" s="265"/>
      <c r="AH468" s="265"/>
      <c r="AI468" s="265"/>
    </row>
    <row r="469" spans="1:35" ht="12">
      <c r="A469" s="265"/>
      <c r="B469" s="265"/>
      <c r="D469" s="265"/>
      <c r="F469" s="265"/>
      <c r="G469" s="265"/>
      <c r="H469" s="265"/>
      <c r="I469" s="265"/>
      <c r="J469" s="265"/>
      <c r="K469" s="265"/>
      <c r="L469" s="265"/>
      <c r="M469" s="265"/>
      <c r="N469" s="265"/>
      <c r="O469" s="265"/>
      <c r="P469" s="265"/>
      <c r="Q469" s="265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  <c r="AC469" s="265"/>
      <c r="AD469" s="265"/>
      <c r="AE469" s="265"/>
      <c r="AG469" s="265"/>
      <c r="AH469" s="265"/>
      <c r="AI469" s="265"/>
    </row>
    <row r="470" spans="1:35" ht="12">
      <c r="A470" s="265"/>
      <c r="B470" s="265"/>
      <c r="D470" s="265"/>
      <c r="F470" s="265"/>
      <c r="G470" s="265"/>
      <c r="H470" s="265"/>
      <c r="I470" s="265"/>
      <c r="J470" s="265"/>
      <c r="K470" s="265"/>
      <c r="L470" s="265"/>
      <c r="M470" s="265"/>
      <c r="N470" s="265"/>
      <c r="O470" s="265"/>
      <c r="P470" s="265"/>
      <c r="Q470" s="265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  <c r="AC470" s="265"/>
      <c r="AD470" s="265"/>
      <c r="AE470" s="265"/>
      <c r="AG470" s="265"/>
      <c r="AH470" s="265"/>
      <c r="AI470" s="265"/>
    </row>
    <row r="471" spans="1:35" ht="12">
      <c r="A471" s="265"/>
      <c r="B471" s="265"/>
      <c r="D471" s="265"/>
      <c r="F471" s="265"/>
      <c r="G471" s="265"/>
      <c r="H471" s="265"/>
      <c r="I471" s="265"/>
      <c r="J471" s="265"/>
      <c r="K471" s="265"/>
      <c r="L471" s="265"/>
      <c r="M471" s="265"/>
      <c r="N471" s="265"/>
      <c r="O471" s="265"/>
      <c r="P471" s="265"/>
      <c r="Q471" s="265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G471" s="265"/>
      <c r="AH471" s="265"/>
      <c r="AI471" s="265"/>
    </row>
    <row r="472" spans="1:35" ht="12">
      <c r="A472" s="265"/>
      <c r="B472" s="265"/>
      <c r="D472" s="265"/>
      <c r="F472" s="265"/>
      <c r="G472" s="265"/>
      <c r="H472" s="265"/>
      <c r="I472" s="265"/>
      <c r="J472" s="265"/>
      <c r="K472" s="265"/>
      <c r="L472" s="265"/>
      <c r="M472" s="265"/>
      <c r="N472" s="265"/>
      <c r="O472" s="265"/>
      <c r="P472" s="265"/>
      <c r="Q472" s="265"/>
      <c r="R472" s="265"/>
      <c r="S472" s="265"/>
      <c r="T472" s="265"/>
      <c r="U472" s="265"/>
      <c r="V472" s="265"/>
      <c r="W472" s="265"/>
      <c r="X472" s="265"/>
      <c r="Y472" s="265"/>
      <c r="Z472" s="265"/>
      <c r="AA472" s="265"/>
      <c r="AB472" s="265"/>
      <c r="AC472" s="265"/>
      <c r="AD472" s="265"/>
      <c r="AE472" s="265"/>
      <c r="AG472" s="265"/>
      <c r="AH472" s="265"/>
      <c r="AI472" s="265"/>
    </row>
    <row r="473" spans="1:35" ht="12">
      <c r="A473" s="265"/>
      <c r="B473" s="265"/>
      <c r="D473" s="265"/>
      <c r="F473" s="265"/>
      <c r="G473" s="265"/>
      <c r="H473" s="265"/>
      <c r="I473" s="265"/>
      <c r="J473" s="265"/>
      <c r="K473" s="265"/>
      <c r="L473" s="265"/>
      <c r="M473" s="265"/>
      <c r="N473" s="265"/>
      <c r="O473" s="265"/>
      <c r="P473" s="265"/>
      <c r="Q473" s="265"/>
      <c r="R473" s="265"/>
      <c r="S473" s="265"/>
      <c r="T473" s="265"/>
      <c r="U473" s="265"/>
      <c r="V473" s="265"/>
      <c r="W473" s="265"/>
      <c r="X473" s="265"/>
      <c r="Y473" s="265"/>
      <c r="Z473" s="265"/>
      <c r="AA473" s="265"/>
      <c r="AB473" s="265"/>
      <c r="AC473" s="265"/>
      <c r="AD473" s="265"/>
      <c r="AE473" s="265"/>
      <c r="AG473" s="265"/>
      <c r="AH473" s="265"/>
      <c r="AI473" s="265"/>
    </row>
    <row r="474" spans="1:35" ht="12">
      <c r="A474" s="265"/>
      <c r="B474" s="265"/>
      <c r="D474" s="265"/>
      <c r="F474" s="265"/>
      <c r="G474" s="265"/>
      <c r="H474" s="265"/>
      <c r="I474" s="265"/>
      <c r="J474" s="265"/>
      <c r="K474" s="265"/>
      <c r="L474" s="265"/>
      <c r="M474" s="265"/>
      <c r="N474" s="265"/>
      <c r="O474" s="265"/>
      <c r="P474" s="265"/>
      <c r="Q474" s="265"/>
      <c r="R474" s="265"/>
      <c r="S474" s="265"/>
      <c r="T474" s="265"/>
      <c r="U474" s="265"/>
      <c r="V474" s="265"/>
      <c r="W474" s="265"/>
      <c r="X474" s="265"/>
      <c r="Y474" s="265"/>
      <c r="Z474" s="265"/>
      <c r="AA474" s="265"/>
      <c r="AB474" s="265"/>
      <c r="AC474" s="265"/>
      <c r="AD474" s="265"/>
      <c r="AE474" s="265"/>
      <c r="AG474" s="265"/>
      <c r="AH474" s="265"/>
      <c r="AI474" s="265"/>
    </row>
    <row r="475" spans="1:35" ht="12">
      <c r="A475" s="265"/>
      <c r="B475" s="265"/>
      <c r="D475" s="265"/>
      <c r="F475" s="265"/>
      <c r="G475" s="265"/>
      <c r="H475" s="265"/>
      <c r="I475" s="265"/>
      <c r="J475" s="265"/>
      <c r="K475" s="265"/>
      <c r="L475" s="265"/>
      <c r="M475" s="265"/>
      <c r="N475" s="265"/>
      <c r="O475" s="265"/>
      <c r="P475" s="265"/>
      <c r="Q475" s="265"/>
      <c r="R475" s="265"/>
      <c r="S475" s="265"/>
      <c r="T475" s="265"/>
      <c r="U475" s="265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G475" s="265"/>
      <c r="AH475" s="265"/>
      <c r="AI475" s="265"/>
    </row>
    <row r="476" spans="1:35" ht="12">
      <c r="A476" s="265"/>
      <c r="B476" s="265"/>
      <c r="D476" s="265"/>
      <c r="F476" s="265"/>
      <c r="G476" s="265"/>
      <c r="H476" s="265"/>
      <c r="I476" s="265"/>
      <c r="J476" s="265"/>
      <c r="K476" s="265"/>
      <c r="L476" s="265"/>
      <c r="M476" s="265"/>
      <c r="N476" s="265"/>
      <c r="O476" s="265"/>
      <c r="P476" s="265"/>
      <c r="Q476" s="265"/>
      <c r="R476" s="265"/>
      <c r="S476" s="265"/>
      <c r="T476" s="265"/>
      <c r="U476" s="265"/>
      <c r="V476" s="265"/>
      <c r="W476" s="265"/>
      <c r="X476" s="265"/>
      <c r="Y476" s="265"/>
      <c r="Z476" s="265"/>
      <c r="AA476" s="265"/>
      <c r="AB476" s="265"/>
      <c r="AC476" s="265"/>
      <c r="AD476" s="265"/>
      <c r="AE476" s="265"/>
      <c r="AG476" s="265"/>
      <c r="AH476" s="265"/>
      <c r="AI476" s="265"/>
    </row>
    <row r="477" spans="1:35" ht="12">
      <c r="A477" s="265"/>
      <c r="B477" s="265"/>
      <c r="D477" s="265"/>
      <c r="F477" s="265"/>
      <c r="G477" s="265"/>
      <c r="H477" s="265"/>
      <c r="I477" s="265"/>
      <c r="J477" s="265"/>
      <c r="K477" s="265"/>
      <c r="L477" s="265"/>
      <c r="M477" s="265"/>
      <c r="N477" s="265"/>
      <c r="O477" s="265"/>
      <c r="P477" s="265"/>
      <c r="Q477" s="265"/>
      <c r="R477" s="265"/>
      <c r="S477" s="265"/>
      <c r="T477" s="265"/>
      <c r="U477" s="265"/>
      <c r="V477" s="265"/>
      <c r="W477" s="265"/>
      <c r="X477" s="265"/>
      <c r="Y477" s="265"/>
      <c r="Z477" s="265"/>
      <c r="AA477" s="265"/>
      <c r="AB477" s="265"/>
      <c r="AC477" s="265"/>
      <c r="AD477" s="265"/>
      <c r="AE477" s="265"/>
      <c r="AG477" s="265"/>
      <c r="AH477" s="265"/>
      <c r="AI477" s="265"/>
    </row>
    <row r="478" spans="1:35" ht="12">
      <c r="A478" s="265"/>
      <c r="B478" s="265"/>
      <c r="D478" s="265"/>
      <c r="F478" s="265"/>
      <c r="G478" s="265"/>
      <c r="H478" s="265"/>
      <c r="I478" s="265"/>
      <c r="J478" s="265"/>
      <c r="K478" s="265"/>
      <c r="L478" s="265"/>
      <c r="M478" s="265"/>
      <c r="N478" s="265"/>
      <c r="O478" s="265"/>
      <c r="P478" s="265"/>
      <c r="Q478" s="265"/>
      <c r="R478" s="265"/>
      <c r="S478" s="265"/>
      <c r="T478" s="265"/>
      <c r="U478" s="265"/>
      <c r="V478" s="265"/>
      <c r="W478" s="265"/>
      <c r="X478" s="265"/>
      <c r="Y478" s="265"/>
      <c r="Z478" s="265"/>
      <c r="AA478" s="265"/>
      <c r="AB478" s="265"/>
      <c r="AC478" s="265"/>
      <c r="AD478" s="265"/>
      <c r="AE478" s="265"/>
      <c r="AG478" s="265"/>
      <c r="AH478" s="265"/>
      <c r="AI478" s="265"/>
    </row>
    <row r="479" spans="1:35" ht="12">
      <c r="A479" s="265"/>
      <c r="B479" s="265"/>
      <c r="D479" s="265"/>
      <c r="F479" s="265"/>
      <c r="G479" s="265"/>
      <c r="H479" s="265"/>
      <c r="I479" s="265"/>
      <c r="J479" s="265"/>
      <c r="K479" s="265"/>
      <c r="L479" s="265"/>
      <c r="M479" s="265"/>
      <c r="N479" s="265"/>
      <c r="O479" s="265"/>
      <c r="P479" s="265"/>
      <c r="Q479" s="265"/>
      <c r="R479" s="265"/>
      <c r="S479" s="265"/>
      <c r="T479" s="265"/>
      <c r="U479" s="265"/>
      <c r="V479" s="265"/>
      <c r="W479" s="265"/>
      <c r="X479" s="265"/>
      <c r="Y479" s="265"/>
      <c r="Z479" s="265"/>
      <c r="AA479" s="265"/>
      <c r="AB479" s="265"/>
      <c r="AC479" s="265"/>
      <c r="AD479" s="265"/>
      <c r="AE479" s="265"/>
      <c r="AG479" s="265"/>
      <c r="AH479" s="265"/>
      <c r="AI479" s="265"/>
    </row>
    <row r="480" spans="1:35" ht="12">
      <c r="A480" s="265"/>
      <c r="B480" s="265"/>
      <c r="D480" s="265"/>
      <c r="F480" s="265"/>
      <c r="G480" s="265"/>
      <c r="H480" s="265"/>
      <c r="I480" s="265"/>
      <c r="J480" s="265"/>
      <c r="K480" s="265"/>
      <c r="L480" s="265"/>
      <c r="M480" s="265"/>
      <c r="N480" s="265"/>
      <c r="O480" s="265"/>
      <c r="P480" s="265"/>
      <c r="Q480" s="265"/>
      <c r="R480" s="265"/>
      <c r="S480" s="265"/>
      <c r="T480" s="265"/>
      <c r="U480" s="265"/>
      <c r="V480" s="265"/>
      <c r="W480" s="265"/>
      <c r="X480" s="265"/>
      <c r="Y480" s="265"/>
      <c r="Z480" s="265"/>
      <c r="AA480" s="265"/>
      <c r="AB480" s="265"/>
      <c r="AC480" s="265"/>
      <c r="AD480" s="265"/>
      <c r="AE480" s="265"/>
      <c r="AG480" s="265"/>
      <c r="AH480" s="265"/>
      <c r="AI480" s="265"/>
    </row>
    <row r="481" spans="1:35" ht="12">
      <c r="A481" s="265"/>
      <c r="B481" s="265"/>
      <c r="D481" s="265"/>
      <c r="F481" s="265"/>
      <c r="G481" s="265"/>
      <c r="H481" s="265"/>
      <c r="I481" s="265"/>
      <c r="J481" s="265"/>
      <c r="K481" s="265"/>
      <c r="L481" s="265"/>
      <c r="M481" s="265"/>
      <c r="N481" s="265"/>
      <c r="O481" s="265"/>
      <c r="P481" s="265"/>
      <c r="Q481" s="265"/>
      <c r="R481" s="265"/>
      <c r="S481" s="265"/>
      <c r="T481" s="265"/>
      <c r="U481" s="265"/>
      <c r="V481" s="265"/>
      <c r="W481" s="265"/>
      <c r="X481" s="265"/>
      <c r="Y481" s="265"/>
      <c r="Z481" s="265"/>
      <c r="AA481" s="265"/>
      <c r="AB481" s="265"/>
      <c r="AC481" s="265"/>
      <c r="AD481" s="265"/>
      <c r="AE481" s="265"/>
      <c r="AG481" s="265"/>
      <c r="AH481" s="265"/>
      <c r="AI481" s="265"/>
    </row>
    <row r="482" spans="1:35" ht="12">
      <c r="A482" s="265"/>
      <c r="B482" s="265"/>
      <c r="D482" s="265"/>
      <c r="F482" s="265"/>
      <c r="G482" s="265"/>
      <c r="H482" s="265"/>
      <c r="I482" s="265"/>
      <c r="J482" s="265"/>
      <c r="K482" s="265"/>
      <c r="L482" s="265"/>
      <c r="M482" s="265"/>
      <c r="N482" s="265"/>
      <c r="O482" s="265"/>
      <c r="P482" s="265"/>
      <c r="Q482" s="265"/>
      <c r="R482" s="265"/>
      <c r="S482" s="265"/>
      <c r="T482" s="265"/>
      <c r="U482" s="265"/>
      <c r="V482" s="265"/>
      <c r="W482" s="265"/>
      <c r="X482" s="265"/>
      <c r="Y482" s="265"/>
      <c r="Z482" s="265"/>
      <c r="AA482" s="265"/>
      <c r="AB482" s="265"/>
      <c r="AC482" s="265"/>
      <c r="AD482" s="265"/>
      <c r="AE482" s="265"/>
      <c r="AG482" s="265"/>
      <c r="AH482" s="265"/>
      <c r="AI482" s="265"/>
    </row>
    <row r="483" spans="1:35" ht="12">
      <c r="A483" s="265"/>
      <c r="B483" s="265"/>
      <c r="D483" s="265"/>
      <c r="F483" s="265"/>
      <c r="G483" s="265"/>
      <c r="H483" s="265"/>
      <c r="I483" s="265"/>
      <c r="J483" s="265"/>
      <c r="K483" s="265"/>
      <c r="L483" s="265"/>
      <c r="M483" s="265"/>
      <c r="N483" s="265"/>
      <c r="O483" s="265"/>
      <c r="P483" s="265"/>
      <c r="Q483" s="265"/>
      <c r="R483" s="265"/>
      <c r="S483" s="265"/>
      <c r="T483" s="265"/>
      <c r="U483" s="265"/>
      <c r="V483" s="265"/>
      <c r="W483" s="265"/>
      <c r="X483" s="265"/>
      <c r="Y483" s="265"/>
      <c r="Z483" s="265"/>
      <c r="AA483" s="265"/>
      <c r="AB483" s="265"/>
      <c r="AC483" s="265"/>
      <c r="AD483" s="265"/>
      <c r="AE483" s="265"/>
      <c r="AG483" s="265"/>
      <c r="AH483" s="265"/>
      <c r="AI483" s="265"/>
    </row>
    <row r="484" spans="1:35" ht="12">
      <c r="A484" s="265"/>
      <c r="B484" s="265"/>
      <c r="D484" s="265"/>
      <c r="F484" s="265"/>
      <c r="G484" s="265"/>
      <c r="H484" s="265"/>
      <c r="I484" s="265"/>
      <c r="J484" s="265"/>
      <c r="K484" s="265"/>
      <c r="L484" s="265"/>
      <c r="M484" s="265"/>
      <c r="N484" s="265"/>
      <c r="O484" s="265"/>
      <c r="P484" s="265"/>
      <c r="Q484" s="265"/>
      <c r="R484" s="265"/>
      <c r="S484" s="265"/>
      <c r="T484" s="265"/>
      <c r="U484" s="265"/>
      <c r="V484" s="265"/>
      <c r="W484" s="265"/>
      <c r="X484" s="265"/>
      <c r="Y484" s="265"/>
      <c r="Z484" s="265"/>
      <c r="AA484" s="265"/>
      <c r="AB484" s="265"/>
      <c r="AC484" s="265"/>
      <c r="AD484" s="265"/>
      <c r="AE484" s="265"/>
      <c r="AG484" s="265"/>
      <c r="AH484" s="265"/>
      <c r="AI484" s="265"/>
    </row>
    <row r="485" spans="1:35" ht="12">
      <c r="A485" s="265"/>
      <c r="B485" s="265"/>
      <c r="D485" s="265"/>
      <c r="F485" s="265"/>
      <c r="G485" s="265"/>
      <c r="H485" s="265"/>
      <c r="I485" s="265"/>
      <c r="J485" s="265"/>
      <c r="K485" s="265"/>
      <c r="L485" s="265"/>
      <c r="M485" s="265"/>
      <c r="N485" s="265"/>
      <c r="O485" s="265"/>
      <c r="P485" s="265"/>
      <c r="Q485" s="265"/>
      <c r="R485" s="265"/>
      <c r="S485" s="265"/>
      <c r="T485" s="265"/>
      <c r="U485" s="265"/>
      <c r="V485" s="265"/>
      <c r="W485" s="265"/>
      <c r="X485" s="265"/>
      <c r="Y485" s="265"/>
      <c r="Z485" s="265"/>
      <c r="AA485" s="265"/>
      <c r="AB485" s="265"/>
      <c r="AC485" s="265"/>
      <c r="AD485" s="265"/>
      <c r="AE485" s="265"/>
      <c r="AG485" s="265"/>
      <c r="AH485" s="265"/>
      <c r="AI485" s="265"/>
    </row>
    <row r="486" spans="1:35" ht="12">
      <c r="A486" s="265"/>
      <c r="B486" s="265"/>
      <c r="D486" s="265"/>
      <c r="F486" s="265"/>
      <c r="G486" s="265"/>
      <c r="H486" s="265"/>
      <c r="I486" s="265"/>
      <c r="J486" s="265"/>
      <c r="K486" s="265"/>
      <c r="L486" s="265"/>
      <c r="M486" s="265"/>
      <c r="N486" s="265"/>
      <c r="O486" s="265"/>
      <c r="P486" s="265"/>
      <c r="Q486" s="265"/>
      <c r="R486" s="265"/>
      <c r="S486" s="265"/>
      <c r="T486" s="265"/>
      <c r="U486" s="265"/>
      <c r="V486" s="265"/>
      <c r="W486" s="265"/>
      <c r="X486" s="265"/>
      <c r="Y486" s="265"/>
      <c r="Z486" s="265"/>
      <c r="AA486" s="265"/>
      <c r="AB486" s="265"/>
      <c r="AC486" s="265"/>
      <c r="AD486" s="265"/>
      <c r="AE486" s="265"/>
      <c r="AG486" s="265"/>
      <c r="AH486" s="265"/>
      <c r="AI486" s="265"/>
    </row>
    <row r="487" spans="1:35" ht="12">
      <c r="A487" s="265"/>
      <c r="B487" s="265"/>
      <c r="D487" s="265"/>
      <c r="F487" s="265"/>
      <c r="G487" s="265"/>
      <c r="H487" s="265"/>
      <c r="I487" s="265"/>
      <c r="J487" s="265"/>
      <c r="K487" s="265"/>
      <c r="L487" s="265"/>
      <c r="M487" s="265"/>
      <c r="N487" s="265"/>
      <c r="O487" s="265"/>
      <c r="P487" s="265"/>
      <c r="Q487" s="265"/>
      <c r="R487" s="265"/>
      <c r="S487" s="265"/>
      <c r="T487" s="265"/>
      <c r="U487" s="265"/>
      <c r="V487" s="265"/>
      <c r="W487" s="265"/>
      <c r="X487" s="265"/>
      <c r="Y487" s="265"/>
      <c r="Z487" s="265"/>
      <c r="AA487" s="265"/>
      <c r="AB487" s="265"/>
      <c r="AC487" s="265"/>
      <c r="AD487" s="265"/>
      <c r="AE487" s="265"/>
      <c r="AG487" s="265"/>
      <c r="AH487" s="265"/>
      <c r="AI487" s="265"/>
    </row>
    <row r="488" spans="1:35" ht="12">
      <c r="A488" s="265"/>
      <c r="B488" s="265"/>
      <c r="D488" s="265"/>
      <c r="F488" s="265"/>
      <c r="G488" s="265"/>
      <c r="H488" s="265"/>
      <c r="I488" s="265"/>
      <c r="J488" s="265"/>
      <c r="K488" s="265"/>
      <c r="L488" s="265"/>
      <c r="M488" s="265"/>
      <c r="N488" s="265"/>
      <c r="O488" s="265"/>
      <c r="P488" s="265"/>
      <c r="Q488" s="265"/>
      <c r="R488" s="265"/>
      <c r="S488" s="265"/>
      <c r="T488" s="265"/>
      <c r="U488" s="265"/>
      <c r="V488" s="265"/>
      <c r="W488" s="265"/>
      <c r="X488" s="265"/>
      <c r="Y488" s="265"/>
      <c r="Z488" s="265"/>
      <c r="AA488" s="265"/>
      <c r="AB488" s="265"/>
      <c r="AC488" s="265"/>
      <c r="AD488" s="265"/>
      <c r="AE488" s="265"/>
      <c r="AG488" s="265"/>
      <c r="AH488" s="265"/>
      <c r="AI488" s="265"/>
    </row>
    <row r="489" spans="1:35" ht="12">
      <c r="A489" s="265"/>
      <c r="B489" s="265"/>
      <c r="D489" s="265"/>
      <c r="F489" s="265"/>
      <c r="G489" s="265"/>
      <c r="H489" s="265"/>
      <c r="I489" s="265"/>
      <c r="J489" s="265"/>
      <c r="K489" s="265"/>
      <c r="L489" s="265"/>
      <c r="M489" s="265"/>
      <c r="N489" s="265"/>
      <c r="O489" s="265"/>
      <c r="P489" s="265"/>
      <c r="Q489" s="265"/>
      <c r="R489" s="265"/>
      <c r="S489" s="265"/>
      <c r="T489" s="265"/>
      <c r="U489" s="265"/>
      <c r="V489" s="265"/>
      <c r="W489" s="265"/>
      <c r="X489" s="265"/>
      <c r="Y489" s="265"/>
      <c r="Z489" s="265"/>
      <c r="AA489" s="265"/>
      <c r="AB489" s="265"/>
      <c r="AC489" s="265"/>
      <c r="AD489" s="265"/>
      <c r="AE489" s="265"/>
      <c r="AG489" s="265"/>
      <c r="AH489" s="265"/>
      <c r="AI489" s="265"/>
    </row>
    <row r="490" spans="1:35" ht="12">
      <c r="A490" s="265"/>
      <c r="B490" s="265"/>
      <c r="D490" s="265"/>
      <c r="F490" s="265"/>
      <c r="G490" s="265"/>
      <c r="H490" s="265"/>
      <c r="I490" s="265"/>
      <c r="J490" s="265"/>
      <c r="K490" s="265"/>
      <c r="L490" s="265"/>
      <c r="M490" s="265"/>
      <c r="N490" s="265"/>
      <c r="O490" s="265"/>
      <c r="P490" s="265"/>
      <c r="Q490" s="265"/>
      <c r="R490" s="265"/>
      <c r="S490" s="265"/>
      <c r="T490" s="265"/>
      <c r="U490" s="265"/>
      <c r="V490" s="265"/>
      <c r="W490" s="265"/>
      <c r="X490" s="265"/>
      <c r="Y490" s="265"/>
      <c r="Z490" s="265"/>
      <c r="AA490" s="265"/>
      <c r="AB490" s="265"/>
      <c r="AC490" s="265"/>
      <c r="AD490" s="265"/>
      <c r="AE490" s="265"/>
      <c r="AG490" s="265"/>
      <c r="AH490" s="265"/>
      <c r="AI490" s="265"/>
    </row>
    <row r="491" spans="1:35" ht="12">
      <c r="A491" s="265"/>
      <c r="B491" s="265"/>
      <c r="D491" s="265"/>
      <c r="F491" s="265"/>
      <c r="G491" s="265"/>
      <c r="H491" s="265"/>
      <c r="I491" s="265"/>
      <c r="J491" s="265"/>
      <c r="K491" s="265"/>
      <c r="L491" s="265"/>
      <c r="M491" s="265"/>
      <c r="N491" s="265"/>
      <c r="O491" s="265"/>
      <c r="P491" s="265"/>
      <c r="Q491" s="265"/>
      <c r="R491" s="265"/>
      <c r="S491" s="265"/>
      <c r="T491" s="265"/>
      <c r="U491" s="265"/>
      <c r="V491" s="265"/>
      <c r="W491" s="265"/>
      <c r="X491" s="265"/>
      <c r="Y491" s="265"/>
      <c r="Z491" s="265"/>
      <c r="AA491" s="265"/>
      <c r="AB491" s="265"/>
      <c r="AC491" s="265"/>
      <c r="AD491" s="265"/>
      <c r="AE491" s="265"/>
      <c r="AG491" s="265"/>
      <c r="AH491" s="265"/>
      <c r="AI491" s="265"/>
    </row>
    <row r="492" spans="1:35" ht="12">
      <c r="A492" s="265"/>
      <c r="B492" s="265"/>
      <c r="D492" s="265"/>
      <c r="F492" s="265"/>
      <c r="G492" s="265"/>
      <c r="H492" s="265"/>
      <c r="I492" s="265"/>
      <c r="J492" s="265"/>
      <c r="K492" s="265"/>
      <c r="L492" s="265"/>
      <c r="M492" s="265"/>
      <c r="N492" s="265"/>
      <c r="O492" s="265"/>
      <c r="P492" s="265"/>
      <c r="Q492" s="265"/>
      <c r="R492" s="265"/>
      <c r="S492" s="265"/>
      <c r="T492" s="265"/>
      <c r="U492" s="265"/>
      <c r="V492" s="265"/>
      <c r="W492" s="265"/>
      <c r="X492" s="265"/>
      <c r="Y492" s="265"/>
      <c r="Z492" s="265"/>
      <c r="AA492" s="265"/>
      <c r="AB492" s="265"/>
      <c r="AC492" s="265"/>
      <c r="AD492" s="265"/>
      <c r="AE492" s="265"/>
      <c r="AG492" s="265"/>
      <c r="AH492" s="265"/>
      <c r="AI492" s="265"/>
    </row>
    <row r="493" spans="1:35" ht="12">
      <c r="A493" s="265"/>
      <c r="B493" s="265"/>
      <c r="D493" s="265"/>
      <c r="F493" s="265"/>
      <c r="G493" s="265"/>
      <c r="H493" s="265"/>
      <c r="I493" s="265"/>
      <c r="J493" s="265"/>
      <c r="K493" s="265"/>
      <c r="L493" s="265"/>
      <c r="M493" s="265"/>
      <c r="N493" s="265"/>
      <c r="O493" s="265"/>
      <c r="P493" s="265"/>
      <c r="Q493" s="265"/>
      <c r="R493" s="265"/>
      <c r="S493" s="265"/>
      <c r="T493" s="265"/>
      <c r="U493" s="265"/>
      <c r="V493" s="265"/>
      <c r="W493" s="265"/>
      <c r="X493" s="265"/>
      <c r="Y493" s="265"/>
      <c r="Z493" s="265"/>
      <c r="AA493" s="265"/>
      <c r="AB493" s="265"/>
      <c r="AC493" s="265"/>
      <c r="AD493" s="265"/>
      <c r="AE493" s="265"/>
      <c r="AG493" s="265"/>
      <c r="AH493" s="265"/>
      <c r="AI493" s="265"/>
    </row>
    <row r="494" spans="1:35" ht="12">
      <c r="A494" s="265"/>
      <c r="B494" s="265"/>
      <c r="D494" s="265"/>
      <c r="F494" s="265"/>
      <c r="G494" s="265"/>
      <c r="H494" s="265"/>
      <c r="I494" s="265"/>
      <c r="J494" s="265"/>
      <c r="K494" s="265"/>
      <c r="L494" s="265"/>
      <c r="M494" s="265"/>
      <c r="N494" s="265"/>
      <c r="O494" s="265"/>
      <c r="P494" s="265"/>
      <c r="Q494" s="265"/>
      <c r="R494" s="265"/>
      <c r="S494" s="265"/>
      <c r="T494" s="265"/>
      <c r="U494" s="265"/>
      <c r="V494" s="265"/>
      <c r="W494" s="265"/>
      <c r="X494" s="265"/>
      <c r="Y494" s="265"/>
      <c r="Z494" s="265"/>
      <c r="AA494" s="265"/>
      <c r="AB494" s="265"/>
      <c r="AC494" s="265"/>
      <c r="AD494" s="265"/>
      <c r="AE494" s="265"/>
      <c r="AG494" s="265"/>
      <c r="AH494" s="265"/>
      <c r="AI494" s="265"/>
    </row>
    <row r="495" spans="1:35" ht="12">
      <c r="A495" s="265"/>
      <c r="B495" s="265"/>
      <c r="D495" s="265"/>
      <c r="F495" s="265"/>
      <c r="G495" s="265"/>
      <c r="H495" s="265"/>
      <c r="I495" s="265"/>
      <c r="J495" s="265"/>
      <c r="K495" s="265"/>
      <c r="L495" s="265"/>
      <c r="M495" s="265"/>
      <c r="N495" s="265"/>
      <c r="O495" s="265"/>
      <c r="P495" s="265"/>
      <c r="Q495" s="265"/>
      <c r="R495" s="265"/>
      <c r="S495" s="265"/>
      <c r="T495" s="265"/>
      <c r="U495" s="265"/>
      <c r="V495" s="265"/>
      <c r="W495" s="265"/>
      <c r="X495" s="265"/>
      <c r="Y495" s="265"/>
      <c r="Z495" s="265"/>
      <c r="AA495" s="265"/>
      <c r="AB495" s="265"/>
      <c r="AC495" s="265"/>
      <c r="AD495" s="265"/>
      <c r="AE495" s="265"/>
      <c r="AG495" s="265"/>
      <c r="AH495" s="265"/>
      <c r="AI495" s="265"/>
    </row>
    <row r="496" spans="1:35" ht="12">
      <c r="A496" s="265"/>
      <c r="B496" s="265"/>
      <c r="D496" s="265"/>
      <c r="F496" s="265"/>
      <c r="G496" s="265"/>
      <c r="H496" s="265"/>
      <c r="I496" s="265"/>
      <c r="J496" s="265"/>
      <c r="K496" s="265"/>
      <c r="L496" s="265"/>
      <c r="M496" s="265"/>
      <c r="N496" s="265"/>
      <c r="O496" s="265"/>
      <c r="P496" s="265"/>
      <c r="Q496" s="265"/>
      <c r="R496" s="265"/>
      <c r="S496" s="265"/>
      <c r="T496" s="265"/>
      <c r="U496" s="265"/>
      <c r="V496" s="265"/>
      <c r="W496" s="265"/>
      <c r="X496" s="265"/>
      <c r="Y496" s="265"/>
      <c r="Z496" s="265"/>
      <c r="AA496" s="265"/>
      <c r="AB496" s="265"/>
      <c r="AC496" s="265"/>
      <c r="AD496" s="265"/>
      <c r="AE496" s="265"/>
      <c r="AG496" s="265"/>
      <c r="AH496" s="265"/>
      <c r="AI496" s="265"/>
    </row>
    <row r="497" spans="1:35" ht="12">
      <c r="A497" s="265"/>
      <c r="B497" s="265"/>
      <c r="D497" s="265"/>
      <c r="F497" s="265"/>
      <c r="G497" s="265"/>
      <c r="H497" s="265"/>
      <c r="I497" s="265"/>
      <c r="J497" s="265"/>
      <c r="K497" s="265"/>
      <c r="L497" s="265"/>
      <c r="M497" s="265"/>
      <c r="N497" s="265"/>
      <c r="O497" s="265"/>
      <c r="P497" s="265"/>
      <c r="Q497" s="265"/>
      <c r="R497" s="265"/>
      <c r="S497" s="265"/>
      <c r="T497" s="265"/>
      <c r="U497" s="265"/>
      <c r="V497" s="265"/>
      <c r="W497" s="265"/>
      <c r="X497" s="265"/>
      <c r="Y497" s="265"/>
      <c r="Z497" s="265"/>
      <c r="AA497" s="265"/>
      <c r="AB497" s="265"/>
      <c r="AC497" s="265"/>
      <c r="AD497" s="265"/>
      <c r="AE497" s="265"/>
      <c r="AG497" s="265"/>
      <c r="AH497" s="265"/>
      <c r="AI497" s="265"/>
    </row>
    <row r="498" spans="1:35" ht="12">
      <c r="A498" s="265"/>
      <c r="B498" s="265"/>
      <c r="D498" s="265"/>
      <c r="F498" s="265"/>
      <c r="G498" s="265"/>
      <c r="H498" s="265"/>
      <c r="I498" s="265"/>
      <c r="J498" s="265"/>
      <c r="K498" s="265"/>
      <c r="L498" s="265"/>
      <c r="M498" s="265"/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G498" s="265"/>
      <c r="AH498" s="265"/>
      <c r="AI498" s="265"/>
    </row>
    <row r="499" spans="1:35" ht="12">
      <c r="A499" s="265"/>
      <c r="B499" s="265"/>
      <c r="D499" s="265"/>
      <c r="F499" s="265"/>
      <c r="G499" s="265"/>
      <c r="H499" s="265"/>
      <c r="I499" s="265"/>
      <c r="J499" s="265"/>
      <c r="K499" s="265"/>
      <c r="L499" s="265"/>
      <c r="M499" s="265"/>
      <c r="N499" s="265"/>
      <c r="O499" s="265"/>
      <c r="P499" s="265"/>
      <c r="Q499" s="265"/>
      <c r="R499" s="265"/>
      <c r="S499" s="265"/>
      <c r="T499" s="265"/>
      <c r="U499" s="265"/>
      <c r="V499" s="265"/>
      <c r="W499" s="265"/>
      <c r="X499" s="265"/>
      <c r="Y499" s="265"/>
      <c r="Z499" s="265"/>
      <c r="AA499" s="265"/>
      <c r="AB499" s="265"/>
      <c r="AC499" s="265"/>
      <c r="AD499" s="265"/>
      <c r="AE499" s="265"/>
      <c r="AG499" s="265"/>
      <c r="AH499" s="265"/>
      <c r="AI499" s="265"/>
    </row>
    <row r="500" spans="1:35" ht="12">
      <c r="A500" s="265"/>
      <c r="B500" s="265"/>
      <c r="D500" s="265"/>
      <c r="F500" s="265"/>
      <c r="G500" s="265"/>
      <c r="H500" s="265"/>
      <c r="I500" s="265"/>
      <c r="J500" s="265"/>
      <c r="K500" s="265"/>
      <c r="L500" s="265"/>
      <c r="M500" s="265"/>
      <c r="N500" s="265"/>
      <c r="O500" s="265"/>
      <c r="P500" s="265"/>
      <c r="Q500" s="265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G500" s="265"/>
      <c r="AH500" s="265"/>
      <c r="AI500" s="265"/>
    </row>
    <row r="501" spans="1:35" ht="12">
      <c r="A501" s="265"/>
      <c r="B501" s="265"/>
      <c r="D501" s="265"/>
      <c r="F501" s="265"/>
      <c r="G501" s="265"/>
      <c r="H501" s="265"/>
      <c r="I501" s="265"/>
      <c r="J501" s="265"/>
      <c r="K501" s="265"/>
      <c r="L501" s="265"/>
      <c r="M501" s="265"/>
      <c r="N501" s="265"/>
      <c r="O501" s="265"/>
      <c r="P501" s="265"/>
      <c r="Q501" s="265"/>
      <c r="R501" s="265"/>
      <c r="S501" s="265"/>
      <c r="T501" s="265"/>
      <c r="U501" s="265"/>
      <c r="V501" s="265"/>
      <c r="W501" s="265"/>
      <c r="X501" s="265"/>
      <c r="Y501" s="265"/>
      <c r="Z501" s="265"/>
      <c r="AA501" s="265"/>
      <c r="AB501" s="265"/>
      <c r="AC501" s="265"/>
      <c r="AD501" s="265"/>
      <c r="AE501" s="265"/>
      <c r="AG501" s="265"/>
      <c r="AH501" s="265"/>
      <c r="AI501" s="265"/>
    </row>
    <row r="502" spans="1:35" ht="12">
      <c r="A502" s="265"/>
      <c r="B502" s="265"/>
      <c r="D502" s="265"/>
      <c r="F502" s="265"/>
      <c r="G502" s="265"/>
      <c r="H502" s="265"/>
      <c r="I502" s="265"/>
      <c r="J502" s="265"/>
      <c r="K502" s="265"/>
      <c r="L502" s="265"/>
      <c r="M502" s="265"/>
      <c r="N502" s="265"/>
      <c r="O502" s="265"/>
      <c r="P502" s="265"/>
      <c r="Q502" s="265"/>
      <c r="R502" s="265"/>
      <c r="S502" s="265"/>
      <c r="T502" s="265"/>
      <c r="U502" s="265"/>
      <c r="V502" s="265"/>
      <c r="W502" s="265"/>
      <c r="X502" s="265"/>
      <c r="Y502" s="265"/>
      <c r="Z502" s="265"/>
      <c r="AA502" s="265"/>
      <c r="AB502" s="265"/>
      <c r="AC502" s="265"/>
      <c r="AD502" s="265"/>
      <c r="AE502" s="265"/>
      <c r="AG502" s="265"/>
      <c r="AH502" s="265"/>
      <c r="AI502" s="265"/>
    </row>
    <row r="503" spans="1:35" ht="12">
      <c r="A503" s="265"/>
      <c r="B503" s="265"/>
      <c r="D503" s="265"/>
      <c r="F503" s="265"/>
      <c r="G503" s="265"/>
      <c r="H503" s="265"/>
      <c r="I503" s="265"/>
      <c r="J503" s="265"/>
      <c r="K503" s="265"/>
      <c r="L503" s="265"/>
      <c r="M503" s="265"/>
      <c r="N503" s="265"/>
      <c r="O503" s="265"/>
      <c r="P503" s="265"/>
      <c r="Q503" s="265"/>
      <c r="R503" s="265"/>
      <c r="S503" s="265"/>
      <c r="T503" s="265"/>
      <c r="U503" s="265"/>
      <c r="V503" s="265"/>
      <c r="W503" s="265"/>
      <c r="X503" s="265"/>
      <c r="Y503" s="265"/>
      <c r="Z503" s="265"/>
      <c r="AA503" s="265"/>
      <c r="AB503" s="265"/>
      <c r="AC503" s="265"/>
      <c r="AD503" s="265"/>
      <c r="AE503" s="265"/>
      <c r="AG503" s="265"/>
      <c r="AH503" s="265"/>
      <c r="AI503" s="265"/>
    </row>
    <row r="504" spans="1:35" ht="12">
      <c r="A504" s="265"/>
      <c r="B504" s="265"/>
      <c r="D504" s="265"/>
      <c r="F504" s="265"/>
      <c r="G504" s="265"/>
      <c r="H504" s="265"/>
      <c r="I504" s="265"/>
      <c r="J504" s="265"/>
      <c r="K504" s="265"/>
      <c r="L504" s="265"/>
      <c r="M504" s="265"/>
      <c r="N504" s="265"/>
      <c r="O504" s="265"/>
      <c r="P504" s="265"/>
      <c r="Q504" s="265"/>
      <c r="R504" s="265"/>
      <c r="S504" s="265"/>
      <c r="T504" s="265"/>
      <c r="U504" s="265"/>
      <c r="V504" s="265"/>
      <c r="W504" s="265"/>
      <c r="X504" s="265"/>
      <c r="Y504" s="265"/>
      <c r="Z504" s="265"/>
      <c r="AA504" s="265"/>
      <c r="AB504" s="265"/>
      <c r="AC504" s="265"/>
      <c r="AD504" s="265"/>
      <c r="AE504" s="265"/>
      <c r="AG504" s="265"/>
      <c r="AH504" s="265"/>
      <c r="AI504" s="265"/>
    </row>
    <row r="505" spans="1:35" ht="12">
      <c r="A505" s="265"/>
      <c r="B505" s="265"/>
      <c r="D505" s="265"/>
      <c r="F505" s="265"/>
      <c r="G505" s="265"/>
      <c r="H505" s="265"/>
      <c r="I505" s="265"/>
      <c r="J505" s="265"/>
      <c r="K505" s="265"/>
      <c r="L505" s="265"/>
      <c r="M505" s="265"/>
      <c r="N505" s="265"/>
      <c r="O505" s="265"/>
      <c r="P505" s="265"/>
      <c r="Q505" s="265"/>
      <c r="R505" s="265"/>
      <c r="S505" s="265"/>
      <c r="T505" s="265"/>
      <c r="U505" s="265"/>
      <c r="V505" s="265"/>
      <c r="W505" s="265"/>
      <c r="X505" s="265"/>
      <c r="Y505" s="265"/>
      <c r="Z505" s="265"/>
      <c r="AA505" s="265"/>
      <c r="AB505" s="265"/>
      <c r="AC505" s="265"/>
      <c r="AD505" s="265"/>
      <c r="AE505" s="265"/>
      <c r="AG505" s="265"/>
      <c r="AH505" s="265"/>
      <c r="AI505" s="265"/>
    </row>
    <row r="506" spans="1:35" ht="12">
      <c r="A506" s="265"/>
      <c r="B506" s="265"/>
      <c r="D506" s="265"/>
      <c r="F506" s="265"/>
      <c r="G506" s="265"/>
      <c r="H506" s="265"/>
      <c r="I506" s="265"/>
      <c r="J506" s="265"/>
      <c r="K506" s="265"/>
      <c r="L506" s="265"/>
      <c r="M506" s="265"/>
      <c r="N506" s="265"/>
      <c r="O506" s="265"/>
      <c r="P506" s="265"/>
      <c r="Q506" s="265"/>
      <c r="R506" s="265"/>
      <c r="S506" s="265"/>
      <c r="T506" s="265"/>
      <c r="U506" s="265"/>
      <c r="V506" s="265"/>
      <c r="W506" s="265"/>
      <c r="X506" s="265"/>
      <c r="Y506" s="265"/>
      <c r="Z506" s="265"/>
      <c r="AA506" s="265"/>
      <c r="AB506" s="265"/>
      <c r="AC506" s="265"/>
      <c r="AD506" s="265"/>
      <c r="AE506" s="265"/>
      <c r="AG506" s="265"/>
      <c r="AH506" s="265"/>
      <c r="AI506" s="265"/>
    </row>
    <row r="507" spans="1:35" ht="12">
      <c r="A507" s="265"/>
      <c r="B507" s="265"/>
      <c r="D507" s="265"/>
      <c r="F507" s="265"/>
      <c r="G507" s="265"/>
      <c r="H507" s="265"/>
      <c r="I507" s="265"/>
      <c r="J507" s="265"/>
      <c r="K507" s="265"/>
      <c r="L507" s="265"/>
      <c r="M507" s="265"/>
      <c r="N507" s="265"/>
      <c r="O507" s="265"/>
      <c r="P507" s="265"/>
      <c r="Q507" s="265"/>
      <c r="R507" s="265"/>
      <c r="S507" s="265"/>
      <c r="T507" s="265"/>
      <c r="U507" s="265"/>
      <c r="V507" s="265"/>
      <c r="W507" s="265"/>
      <c r="X507" s="265"/>
      <c r="Y507" s="265"/>
      <c r="Z507" s="265"/>
      <c r="AA507" s="265"/>
      <c r="AB507" s="265"/>
      <c r="AC507" s="265"/>
      <c r="AD507" s="265"/>
      <c r="AE507" s="265"/>
      <c r="AG507" s="265"/>
      <c r="AH507" s="265"/>
      <c r="AI507" s="265"/>
    </row>
    <row r="508" spans="1:35" ht="12">
      <c r="A508" s="265"/>
      <c r="B508" s="265"/>
      <c r="D508" s="265"/>
      <c r="F508" s="265"/>
      <c r="G508" s="265"/>
      <c r="H508" s="265"/>
      <c r="I508" s="265"/>
      <c r="J508" s="265"/>
      <c r="K508" s="265"/>
      <c r="L508" s="265"/>
      <c r="M508" s="265"/>
      <c r="N508" s="265"/>
      <c r="O508" s="265"/>
      <c r="P508" s="265"/>
      <c r="Q508" s="265"/>
      <c r="R508" s="265"/>
      <c r="S508" s="265"/>
      <c r="T508" s="265"/>
      <c r="U508" s="265"/>
      <c r="V508" s="265"/>
      <c r="W508" s="265"/>
      <c r="X508" s="265"/>
      <c r="Y508" s="265"/>
      <c r="Z508" s="265"/>
      <c r="AA508" s="265"/>
      <c r="AB508" s="265"/>
      <c r="AC508" s="265"/>
      <c r="AD508" s="265"/>
      <c r="AE508" s="265"/>
      <c r="AG508" s="265"/>
      <c r="AH508" s="265"/>
      <c r="AI508" s="265"/>
    </row>
    <row r="509" spans="1:35" ht="12">
      <c r="A509" s="265"/>
      <c r="B509" s="265"/>
      <c r="D509" s="265"/>
      <c r="F509" s="265"/>
      <c r="G509" s="265"/>
      <c r="H509" s="265"/>
      <c r="I509" s="265"/>
      <c r="J509" s="265"/>
      <c r="K509" s="265"/>
      <c r="L509" s="265"/>
      <c r="M509" s="265"/>
      <c r="N509" s="265"/>
      <c r="O509" s="265"/>
      <c r="P509" s="265"/>
      <c r="Q509" s="265"/>
      <c r="R509" s="265"/>
      <c r="S509" s="265"/>
      <c r="T509" s="265"/>
      <c r="U509" s="265"/>
      <c r="V509" s="265"/>
      <c r="W509" s="265"/>
      <c r="X509" s="265"/>
      <c r="Y509" s="265"/>
      <c r="Z509" s="265"/>
      <c r="AA509" s="265"/>
      <c r="AB509" s="265"/>
      <c r="AC509" s="265"/>
      <c r="AD509" s="265"/>
      <c r="AE509" s="265"/>
      <c r="AG509" s="265"/>
      <c r="AH509" s="265"/>
      <c r="AI509" s="265"/>
    </row>
    <row r="510" spans="1:35" ht="12">
      <c r="A510" s="265"/>
      <c r="B510" s="265"/>
      <c r="D510" s="265"/>
      <c r="F510" s="265"/>
      <c r="G510" s="265"/>
      <c r="H510" s="265"/>
      <c r="I510" s="265"/>
      <c r="J510" s="265"/>
      <c r="K510" s="265"/>
      <c r="L510" s="265"/>
      <c r="M510" s="265"/>
      <c r="N510" s="265"/>
      <c r="O510" s="265"/>
      <c r="P510" s="265"/>
      <c r="Q510" s="265"/>
      <c r="R510" s="265"/>
      <c r="S510" s="265"/>
      <c r="T510" s="265"/>
      <c r="U510" s="265"/>
      <c r="V510" s="265"/>
      <c r="W510" s="265"/>
      <c r="X510" s="265"/>
      <c r="Y510" s="265"/>
      <c r="Z510" s="265"/>
      <c r="AA510" s="265"/>
      <c r="AB510" s="265"/>
      <c r="AC510" s="265"/>
      <c r="AD510" s="265"/>
      <c r="AE510" s="265"/>
      <c r="AG510" s="265"/>
      <c r="AH510" s="265"/>
      <c r="AI510" s="265"/>
    </row>
    <row r="511" spans="1:35" ht="12">
      <c r="A511" s="265"/>
      <c r="B511" s="265"/>
      <c r="D511" s="265"/>
      <c r="F511" s="265"/>
      <c r="G511" s="265"/>
      <c r="H511" s="265"/>
      <c r="I511" s="265"/>
      <c r="J511" s="265"/>
      <c r="K511" s="265"/>
      <c r="L511" s="265"/>
      <c r="M511" s="265"/>
      <c r="N511" s="265"/>
      <c r="O511" s="265"/>
      <c r="P511" s="265"/>
      <c r="Q511" s="265"/>
      <c r="R511" s="265"/>
      <c r="S511" s="265"/>
      <c r="T511" s="265"/>
      <c r="U511" s="265"/>
      <c r="V511" s="265"/>
      <c r="W511" s="265"/>
      <c r="X511" s="265"/>
      <c r="Y511" s="265"/>
      <c r="Z511" s="265"/>
      <c r="AA511" s="265"/>
      <c r="AB511" s="265"/>
      <c r="AC511" s="265"/>
      <c r="AD511" s="265"/>
      <c r="AE511" s="265"/>
      <c r="AG511" s="265"/>
      <c r="AH511" s="265"/>
      <c r="AI511" s="265"/>
    </row>
    <row r="512" spans="1:35" ht="12">
      <c r="A512" s="265"/>
      <c r="B512" s="265"/>
      <c r="D512" s="265"/>
      <c r="F512" s="265"/>
      <c r="G512" s="265"/>
      <c r="H512" s="265"/>
      <c r="I512" s="265"/>
      <c r="J512" s="265"/>
      <c r="K512" s="265"/>
      <c r="L512" s="265"/>
      <c r="M512" s="265"/>
      <c r="N512" s="265"/>
      <c r="O512" s="265"/>
      <c r="P512" s="265"/>
      <c r="Q512" s="265"/>
      <c r="R512" s="265"/>
      <c r="S512" s="265"/>
      <c r="T512" s="265"/>
      <c r="U512" s="265"/>
      <c r="V512" s="265"/>
      <c r="W512" s="265"/>
      <c r="X512" s="265"/>
      <c r="Y512" s="265"/>
      <c r="Z512" s="265"/>
      <c r="AA512" s="265"/>
      <c r="AB512" s="265"/>
      <c r="AC512" s="265"/>
      <c r="AD512" s="265"/>
      <c r="AE512" s="265"/>
      <c r="AG512" s="265"/>
      <c r="AH512" s="265"/>
      <c r="AI512" s="265"/>
    </row>
    <row r="513" spans="1:35" ht="12">
      <c r="A513" s="265"/>
      <c r="B513" s="265"/>
      <c r="D513" s="265"/>
      <c r="F513" s="265"/>
      <c r="G513" s="265"/>
      <c r="H513" s="265"/>
      <c r="I513" s="265"/>
      <c r="J513" s="265"/>
      <c r="K513" s="265"/>
      <c r="L513" s="265"/>
      <c r="M513" s="265"/>
      <c r="N513" s="265"/>
      <c r="O513" s="265"/>
      <c r="P513" s="265"/>
      <c r="Q513" s="265"/>
      <c r="R513" s="265"/>
      <c r="S513" s="265"/>
      <c r="T513" s="265"/>
      <c r="U513" s="265"/>
      <c r="V513" s="265"/>
      <c r="W513" s="265"/>
      <c r="X513" s="265"/>
      <c r="Y513" s="265"/>
      <c r="Z513" s="265"/>
      <c r="AA513" s="265"/>
      <c r="AB513" s="265"/>
      <c r="AC513" s="265"/>
      <c r="AD513" s="265"/>
      <c r="AE513" s="265"/>
      <c r="AG513" s="265"/>
      <c r="AH513" s="265"/>
      <c r="AI513" s="265"/>
    </row>
    <row r="514" spans="1:35" ht="12">
      <c r="A514" s="265"/>
      <c r="B514" s="265"/>
      <c r="D514" s="265"/>
      <c r="F514" s="265"/>
      <c r="G514" s="265"/>
      <c r="H514" s="265"/>
      <c r="I514" s="265"/>
      <c r="J514" s="265"/>
      <c r="K514" s="265"/>
      <c r="L514" s="265"/>
      <c r="M514" s="265"/>
      <c r="N514" s="265"/>
      <c r="O514" s="265"/>
      <c r="P514" s="265"/>
      <c r="Q514" s="265"/>
      <c r="R514" s="265"/>
      <c r="S514" s="265"/>
      <c r="T514" s="265"/>
      <c r="U514" s="265"/>
      <c r="V514" s="265"/>
      <c r="W514" s="265"/>
      <c r="X514" s="265"/>
      <c r="Y514" s="265"/>
      <c r="Z514" s="265"/>
      <c r="AA514" s="265"/>
      <c r="AB514" s="265"/>
      <c r="AC514" s="265"/>
      <c r="AD514" s="265"/>
      <c r="AE514" s="265"/>
      <c r="AG514" s="265"/>
      <c r="AH514" s="265"/>
      <c r="AI514" s="265"/>
    </row>
    <row r="515" spans="1:35" ht="12">
      <c r="A515" s="265"/>
      <c r="B515" s="265"/>
      <c r="D515" s="265"/>
      <c r="F515" s="265"/>
      <c r="G515" s="265"/>
      <c r="H515" s="265"/>
      <c r="I515" s="265"/>
      <c r="J515" s="265"/>
      <c r="K515" s="265"/>
      <c r="L515" s="265"/>
      <c r="M515" s="265"/>
      <c r="N515" s="265"/>
      <c r="O515" s="265"/>
      <c r="P515" s="265"/>
      <c r="Q515" s="265"/>
      <c r="R515" s="265"/>
      <c r="S515" s="265"/>
      <c r="T515" s="265"/>
      <c r="U515" s="265"/>
      <c r="V515" s="265"/>
      <c r="W515" s="265"/>
      <c r="X515" s="265"/>
      <c r="Y515" s="265"/>
      <c r="Z515" s="265"/>
      <c r="AA515" s="265"/>
      <c r="AB515" s="265"/>
      <c r="AC515" s="265"/>
      <c r="AD515" s="265"/>
      <c r="AE515" s="265"/>
      <c r="AG515" s="265"/>
      <c r="AH515" s="265"/>
      <c r="AI515" s="265"/>
    </row>
    <row r="516" spans="1:35" ht="12">
      <c r="A516" s="265"/>
      <c r="B516" s="265"/>
      <c r="D516" s="265"/>
      <c r="F516" s="265"/>
      <c r="G516" s="265"/>
      <c r="H516" s="265"/>
      <c r="I516" s="265"/>
      <c r="J516" s="265"/>
      <c r="K516" s="265"/>
      <c r="L516" s="265"/>
      <c r="M516" s="265"/>
      <c r="N516" s="265"/>
      <c r="O516" s="265"/>
      <c r="P516" s="265"/>
      <c r="Q516" s="265"/>
      <c r="R516" s="265"/>
      <c r="S516" s="265"/>
      <c r="T516" s="265"/>
      <c r="U516" s="265"/>
      <c r="V516" s="265"/>
      <c r="W516" s="265"/>
      <c r="X516" s="265"/>
      <c r="Y516" s="265"/>
      <c r="Z516" s="265"/>
      <c r="AA516" s="265"/>
      <c r="AB516" s="265"/>
      <c r="AC516" s="265"/>
      <c r="AD516" s="265"/>
      <c r="AE516" s="265"/>
      <c r="AG516" s="265"/>
      <c r="AH516" s="265"/>
      <c r="AI516" s="265"/>
    </row>
    <row r="517" spans="1:35" ht="12">
      <c r="A517" s="265"/>
      <c r="B517" s="265"/>
      <c r="D517" s="265"/>
      <c r="F517" s="265"/>
      <c r="G517" s="265"/>
      <c r="H517" s="265"/>
      <c r="I517" s="265"/>
      <c r="J517" s="265"/>
      <c r="K517" s="265"/>
      <c r="L517" s="265"/>
      <c r="M517" s="265"/>
      <c r="N517" s="265"/>
      <c r="O517" s="265"/>
      <c r="P517" s="265"/>
      <c r="Q517" s="265"/>
      <c r="R517" s="265"/>
      <c r="S517" s="265"/>
      <c r="T517" s="265"/>
      <c r="U517" s="265"/>
      <c r="V517" s="265"/>
      <c r="W517" s="265"/>
      <c r="X517" s="265"/>
      <c r="Y517" s="265"/>
      <c r="Z517" s="265"/>
      <c r="AA517" s="265"/>
      <c r="AB517" s="265"/>
      <c r="AC517" s="265"/>
      <c r="AD517" s="265"/>
      <c r="AE517" s="265"/>
      <c r="AG517" s="265"/>
      <c r="AH517" s="265"/>
      <c r="AI517" s="265"/>
    </row>
    <row r="518" spans="1:35" ht="12">
      <c r="A518" s="265"/>
      <c r="B518" s="265"/>
      <c r="D518" s="265"/>
      <c r="F518" s="265"/>
      <c r="G518" s="265"/>
      <c r="H518" s="265"/>
      <c r="I518" s="265"/>
      <c r="J518" s="265"/>
      <c r="K518" s="265"/>
      <c r="L518" s="265"/>
      <c r="M518" s="265"/>
      <c r="N518" s="265"/>
      <c r="O518" s="265"/>
      <c r="P518" s="265"/>
      <c r="Q518" s="265"/>
      <c r="R518" s="265"/>
      <c r="S518" s="265"/>
      <c r="T518" s="265"/>
      <c r="U518" s="265"/>
      <c r="V518" s="265"/>
      <c r="W518" s="265"/>
      <c r="X518" s="265"/>
      <c r="Y518" s="265"/>
      <c r="Z518" s="265"/>
      <c r="AA518" s="265"/>
      <c r="AB518" s="265"/>
      <c r="AC518" s="265"/>
      <c r="AD518" s="265"/>
      <c r="AE518" s="265"/>
      <c r="AG518" s="265"/>
      <c r="AH518" s="265"/>
      <c r="AI518" s="265"/>
    </row>
    <row r="519" spans="1:35" ht="12">
      <c r="A519" s="265"/>
      <c r="B519" s="265"/>
      <c r="D519" s="265"/>
      <c r="F519" s="265"/>
      <c r="G519" s="265"/>
      <c r="H519" s="265"/>
      <c r="I519" s="265"/>
      <c r="J519" s="265"/>
      <c r="K519" s="265"/>
      <c r="L519" s="265"/>
      <c r="M519" s="265"/>
      <c r="N519" s="265"/>
      <c r="O519" s="265"/>
      <c r="P519" s="265"/>
      <c r="Q519" s="265"/>
      <c r="R519" s="265"/>
      <c r="S519" s="265"/>
      <c r="T519" s="265"/>
      <c r="U519" s="265"/>
      <c r="V519" s="265"/>
      <c r="W519" s="265"/>
      <c r="X519" s="265"/>
      <c r="Y519" s="265"/>
      <c r="Z519" s="265"/>
      <c r="AA519" s="265"/>
      <c r="AB519" s="265"/>
      <c r="AC519" s="265"/>
      <c r="AD519" s="265"/>
      <c r="AE519" s="265"/>
      <c r="AG519" s="265"/>
      <c r="AH519" s="265"/>
      <c r="AI519" s="265"/>
    </row>
    <row r="520" spans="1:35" ht="12">
      <c r="A520" s="265"/>
      <c r="B520" s="265"/>
      <c r="D520" s="265"/>
      <c r="F520" s="265"/>
      <c r="G520" s="265"/>
      <c r="H520" s="265"/>
      <c r="I520" s="265"/>
      <c r="J520" s="265"/>
      <c r="K520" s="265"/>
      <c r="L520" s="265"/>
      <c r="M520" s="265"/>
      <c r="N520" s="265"/>
      <c r="O520" s="265"/>
      <c r="P520" s="265"/>
      <c r="Q520" s="265"/>
      <c r="R520" s="265"/>
      <c r="S520" s="265"/>
      <c r="T520" s="265"/>
      <c r="U520" s="265"/>
      <c r="V520" s="265"/>
      <c r="W520" s="265"/>
      <c r="X520" s="265"/>
      <c r="Y520" s="265"/>
      <c r="Z520" s="265"/>
      <c r="AA520" s="265"/>
      <c r="AB520" s="265"/>
      <c r="AC520" s="265"/>
      <c r="AD520" s="265"/>
      <c r="AE520" s="265"/>
      <c r="AG520" s="265"/>
      <c r="AH520" s="265"/>
      <c r="AI520" s="265"/>
    </row>
    <row r="521" spans="1:35" ht="12">
      <c r="A521" s="265"/>
      <c r="B521" s="265"/>
      <c r="D521" s="265"/>
      <c r="F521" s="265"/>
      <c r="G521" s="265"/>
      <c r="H521" s="265"/>
      <c r="I521" s="265"/>
      <c r="J521" s="265"/>
      <c r="K521" s="265"/>
      <c r="L521" s="265"/>
      <c r="M521" s="265"/>
      <c r="N521" s="265"/>
      <c r="O521" s="265"/>
      <c r="P521" s="265"/>
      <c r="Q521" s="265"/>
      <c r="R521" s="265"/>
      <c r="S521" s="265"/>
      <c r="T521" s="265"/>
      <c r="U521" s="265"/>
      <c r="V521" s="265"/>
      <c r="W521" s="265"/>
      <c r="X521" s="265"/>
      <c r="Y521" s="265"/>
      <c r="Z521" s="265"/>
      <c r="AA521" s="265"/>
      <c r="AB521" s="265"/>
      <c r="AC521" s="265"/>
      <c r="AD521" s="265"/>
      <c r="AE521" s="265"/>
      <c r="AG521" s="265"/>
      <c r="AH521" s="265"/>
      <c r="AI521" s="265"/>
    </row>
    <row r="522" spans="1:35" ht="12">
      <c r="A522" s="265"/>
      <c r="B522" s="265"/>
      <c r="D522" s="265"/>
      <c r="F522" s="265"/>
      <c r="G522" s="265"/>
      <c r="H522" s="265"/>
      <c r="I522" s="265"/>
      <c r="J522" s="265"/>
      <c r="K522" s="265"/>
      <c r="L522" s="265"/>
      <c r="M522" s="265"/>
      <c r="N522" s="265"/>
      <c r="O522" s="265"/>
      <c r="P522" s="265"/>
      <c r="Q522" s="265"/>
      <c r="R522" s="265"/>
      <c r="S522" s="265"/>
      <c r="T522" s="265"/>
      <c r="U522" s="265"/>
      <c r="V522" s="265"/>
      <c r="W522" s="265"/>
      <c r="X522" s="265"/>
      <c r="Y522" s="265"/>
      <c r="Z522" s="265"/>
      <c r="AA522" s="265"/>
      <c r="AB522" s="265"/>
      <c r="AC522" s="265"/>
      <c r="AD522" s="265"/>
      <c r="AE522" s="265"/>
      <c r="AG522" s="265"/>
      <c r="AH522" s="265"/>
      <c r="AI522" s="265"/>
    </row>
    <row r="523" spans="1:35" ht="12">
      <c r="A523" s="265"/>
      <c r="B523" s="265"/>
      <c r="D523" s="265"/>
      <c r="F523" s="265"/>
      <c r="G523" s="265"/>
      <c r="H523" s="265"/>
      <c r="I523" s="265"/>
      <c r="J523" s="265"/>
      <c r="K523" s="265"/>
      <c r="L523" s="265"/>
      <c r="M523" s="265"/>
      <c r="N523" s="265"/>
      <c r="O523" s="265"/>
      <c r="P523" s="265"/>
      <c r="Q523" s="265"/>
      <c r="R523" s="265"/>
      <c r="S523" s="265"/>
      <c r="T523" s="265"/>
      <c r="U523" s="265"/>
      <c r="V523" s="265"/>
      <c r="W523" s="265"/>
      <c r="X523" s="265"/>
      <c r="Y523" s="265"/>
      <c r="Z523" s="265"/>
      <c r="AA523" s="265"/>
      <c r="AB523" s="265"/>
      <c r="AC523" s="265"/>
      <c r="AD523" s="265"/>
      <c r="AE523" s="265"/>
      <c r="AG523" s="265"/>
      <c r="AH523" s="265"/>
      <c r="AI523" s="265"/>
    </row>
    <row r="524" spans="1:35" ht="12">
      <c r="A524" s="265"/>
      <c r="B524" s="265"/>
      <c r="D524" s="265"/>
      <c r="F524" s="265"/>
      <c r="G524" s="265"/>
      <c r="H524" s="265"/>
      <c r="I524" s="265"/>
      <c r="J524" s="265"/>
      <c r="K524" s="265"/>
      <c r="L524" s="265"/>
      <c r="M524" s="265"/>
      <c r="N524" s="265"/>
      <c r="O524" s="265"/>
      <c r="P524" s="265"/>
      <c r="Q524" s="265"/>
      <c r="R524" s="265"/>
      <c r="S524" s="265"/>
      <c r="T524" s="265"/>
      <c r="U524" s="265"/>
      <c r="V524" s="265"/>
      <c r="W524" s="265"/>
      <c r="X524" s="265"/>
      <c r="Y524" s="265"/>
      <c r="Z524" s="265"/>
      <c r="AA524" s="265"/>
      <c r="AB524" s="265"/>
      <c r="AC524" s="265"/>
      <c r="AD524" s="265"/>
      <c r="AE524" s="265"/>
      <c r="AG524" s="265"/>
      <c r="AH524" s="265"/>
      <c r="AI524" s="265"/>
    </row>
    <row r="525" spans="1:35" ht="12">
      <c r="A525" s="265"/>
      <c r="B525" s="265"/>
      <c r="D525" s="265"/>
      <c r="F525" s="265"/>
      <c r="G525" s="265"/>
      <c r="H525" s="265"/>
      <c r="I525" s="265"/>
      <c r="J525" s="265"/>
      <c r="K525" s="265"/>
      <c r="L525" s="265"/>
      <c r="M525" s="265"/>
      <c r="N525" s="265"/>
      <c r="O525" s="265"/>
      <c r="P525" s="265"/>
      <c r="Q525" s="265"/>
      <c r="R525" s="265"/>
      <c r="S525" s="265"/>
      <c r="T525" s="265"/>
      <c r="U525" s="265"/>
      <c r="V525" s="265"/>
      <c r="W525" s="265"/>
      <c r="X525" s="265"/>
      <c r="Y525" s="265"/>
      <c r="Z525" s="265"/>
      <c r="AA525" s="265"/>
      <c r="AB525" s="265"/>
      <c r="AC525" s="265"/>
      <c r="AD525" s="265"/>
      <c r="AE525" s="265"/>
      <c r="AG525" s="265"/>
      <c r="AH525" s="265"/>
      <c r="AI525" s="265"/>
    </row>
    <row r="526" spans="1:35" ht="12">
      <c r="A526" s="265"/>
      <c r="B526" s="265"/>
      <c r="D526" s="265"/>
      <c r="F526" s="265"/>
      <c r="G526" s="265"/>
      <c r="H526" s="265"/>
      <c r="I526" s="265"/>
      <c r="J526" s="265"/>
      <c r="K526" s="265"/>
      <c r="L526" s="265"/>
      <c r="M526" s="265"/>
      <c r="N526" s="265"/>
      <c r="O526" s="265"/>
      <c r="P526" s="265"/>
      <c r="Q526" s="265"/>
      <c r="R526" s="265"/>
      <c r="S526" s="265"/>
      <c r="T526" s="265"/>
      <c r="U526" s="265"/>
      <c r="V526" s="265"/>
      <c r="W526" s="265"/>
      <c r="X526" s="265"/>
      <c r="Y526" s="265"/>
      <c r="Z526" s="265"/>
      <c r="AA526" s="265"/>
      <c r="AB526" s="265"/>
      <c r="AC526" s="265"/>
      <c r="AD526" s="265"/>
      <c r="AE526" s="265"/>
      <c r="AG526" s="265"/>
      <c r="AH526" s="265"/>
      <c r="AI526" s="265"/>
    </row>
    <row r="527" spans="1:35" ht="12">
      <c r="A527" s="265"/>
      <c r="B527" s="265"/>
      <c r="D527" s="265"/>
      <c r="F527" s="265"/>
      <c r="G527" s="265"/>
      <c r="H527" s="265"/>
      <c r="I527" s="265"/>
      <c r="J527" s="265"/>
      <c r="K527" s="265"/>
      <c r="L527" s="265"/>
      <c r="M527" s="265"/>
      <c r="N527" s="265"/>
      <c r="O527" s="265"/>
      <c r="P527" s="265"/>
      <c r="Q527" s="265"/>
      <c r="R527" s="265"/>
      <c r="S527" s="265"/>
      <c r="T527" s="265"/>
      <c r="U527" s="265"/>
      <c r="V527" s="265"/>
      <c r="W527" s="265"/>
      <c r="X527" s="265"/>
      <c r="Y527" s="265"/>
      <c r="Z527" s="265"/>
      <c r="AA527" s="265"/>
      <c r="AB527" s="265"/>
      <c r="AC527" s="265"/>
      <c r="AD527" s="265"/>
      <c r="AE527" s="265"/>
      <c r="AG527" s="265"/>
      <c r="AH527" s="265"/>
      <c r="AI527" s="265"/>
    </row>
    <row r="528" spans="1:35" ht="12">
      <c r="A528" s="265"/>
      <c r="B528" s="265"/>
      <c r="D528" s="265"/>
      <c r="F528" s="265"/>
      <c r="G528" s="265"/>
      <c r="H528" s="265"/>
      <c r="I528" s="265"/>
      <c r="J528" s="265"/>
      <c r="K528" s="265"/>
      <c r="L528" s="265"/>
      <c r="M528" s="265"/>
      <c r="N528" s="265"/>
      <c r="O528" s="265"/>
      <c r="P528" s="265"/>
      <c r="Q528" s="265"/>
      <c r="R528" s="265"/>
      <c r="S528" s="265"/>
      <c r="T528" s="265"/>
      <c r="U528" s="265"/>
      <c r="V528" s="265"/>
      <c r="W528" s="265"/>
      <c r="X528" s="265"/>
      <c r="Y528" s="265"/>
      <c r="Z528" s="265"/>
      <c r="AA528" s="265"/>
      <c r="AB528" s="265"/>
      <c r="AC528" s="265"/>
      <c r="AD528" s="265"/>
      <c r="AE528" s="265"/>
      <c r="AG528" s="265"/>
      <c r="AH528" s="265"/>
      <c r="AI528" s="265"/>
    </row>
    <row r="529" spans="1:35" ht="12">
      <c r="A529" s="265"/>
      <c r="B529" s="265"/>
      <c r="D529" s="265"/>
      <c r="F529" s="265"/>
      <c r="G529" s="265"/>
      <c r="H529" s="265"/>
      <c r="I529" s="265"/>
      <c r="J529" s="265"/>
      <c r="K529" s="265"/>
      <c r="L529" s="265"/>
      <c r="M529" s="265"/>
      <c r="N529" s="265"/>
      <c r="O529" s="265"/>
      <c r="P529" s="265"/>
      <c r="Q529" s="265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G529" s="265"/>
      <c r="AH529" s="265"/>
      <c r="AI529" s="265"/>
    </row>
    <row r="530" spans="1:35" ht="12">
      <c r="A530" s="265"/>
      <c r="B530" s="265"/>
      <c r="D530" s="265"/>
      <c r="F530" s="265"/>
      <c r="G530" s="265"/>
      <c r="H530" s="265"/>
      <c r="I530" s="265"/>
      <c r="J530" s="265"/>
      <c r="K530" s="265"/>
      <c r="L530" s="265"/>
      <c r="M530" s="265"/>
      <c r="N530" s="265"/>
      <c r="O530" s="265"/>
      <c r="P530" s="265"/>
      <c r="Q530" s="265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G530" s="265"/>
      <c r="AH530" s="265"/>
      <c r="AI530" s="265"/>
    </row>
    <row r="531" spans="1:35" ht="12">
      <c r="A531" s="265"/>
      <c r="B531" s="265"/>
      <c r="D531" s="265"/>
      <c r="F531" s="265"/>
      <c r="G531" s="265"/>
      <c r="H531" s="265"/>
      <c r="I531" s="265"/>
      <c r="J531" s="265"/>
      <c r="K531" s="265"/>
      <c r="L531" s="265"/>
      <c r="M531" s="265"/>
      <c r="N531" s="265"/>
      <c r="O531" s="265"/>
      <c r="P531" s="265"/>
      <c r="Q531" s="265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G531" s="265"/>
      <c r="AH531" s="265"/>
      <c r="AI531" s="265"/>
    </row>
  </sheetData>
  <sheetProtection formatCells="0" formatColumns="0" formatRows="0" insertColumns="0" insertRows="0" deleteColumns="0" deleteRows="0" sort="0" autoFilter="0"/>
  <dataConsolidate/>
  <mergeCells count="6">
    <mergeCell ref="I418:J418"/>
    <mergeCell ref="R9:W9"/>
    <mergeCell ref="AB10:AC10"/>
    <mergeCell ref="X404:Y404"/>
    <mergeCell ref="I416:J416"/>
    <mergeCell ref="I417:J417"/>
  </mergeCells>
  <dataValidations count="5">
    <dataValidation type="list" allowBlank="1" showInputMessage="1" showErrorMessage="1" sqref="A308:A400 A12:A37 A39:A306">
      <formula1>"EMPLEADO,OBRERO,BOMBERO"</formula1>
    </dataValidation>
    <dataValidation type="list" allowBlank="1" showInputMessage="1" showErrorMessage="1" sqref="L39:L305 L12:L36 L307:L399">
      <formula1>CESTAT</formula1>
    </dataValidation>
    <dataValidation type="list" allowBlank="1" showInputMessage="1" showErrorMessage="1" sqref="G12:G36 G39:G399">
      <formula1>GEN</formula1>
    </dataValidation>
    <dataValidation type="list" allowBlank="1" showInputMessage="1" showErrorMessage="1" sqref="E12:E36 E39:E399">
      <formula1>NAC</formula1>
    </dataValidation>
    <dataValidation type="list" allowBlank="1" showInputMessage="1" showErrorMessage="1" sqref="F9">
      <formula1>MES</formula1>
    </dataValidation>
  </dataValidations>
  <printOptions horizontalCentered="1"/>
  <pageMargins left="0.39370078740157483" right="0" top="0.59055118110236227" bottom="0.59055118110236227" header="0.31496062992125984" footer="0.31496062992125984"/>
  <pageSetup scale="55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>
    <tabColor rgb="FFFF0000"/>
  </sheetPr>
  <dimension ref="A1:AE464"/>
  <sheetViews>
    <sheetView view="pageBreakPreview" topLeftCell="B11" zoomScale="80" zoomScaleNormal="60" zoomScaleSheetLayoutView="80" workbookViewId="0">
      <pane ySplit="1500" activePane="bottomLeft"/>
      <selection activeCell="Z11" sqref="Z1:AB1048576"/>
      <selection pane="bottomLeft" activeCell="AC442" sqref="AC442"/>
    </sheetView>
  </sheetViews>
  <sheetFormatPr baseColWidth="10" defaultRowHeight="15"/>
  <cols>
    <col min="1" max="1" width="16.5703125" style="603" hidden="1" customWidth="1"/>
    <col min="2" max="2" width="7.5703125" style="263" customWidth="1"/>
    <col min="3" max="3" width="14.85546875" style="265" customWidth="1"/>
    <col min="4" max="4" width="41.85546875" style="737" customWidth="1"/>
    <col min="5" max="5" width="13.42578125" style="265" hidden="1" customWidth="1"/>
    <col min="6" max="6" width="17" style="737" hidden="1" customWidth="1"/>
    <col min="7" max="7" width="8.7109375" style="603" hidden="1" customWidth="1"/>
    <col min="8" max="8" width="13.7109375" style="738" customWidth="1"/>
    <col min="9" max="9" width="9" style="603" hidden="1" customWidth="1"/>
    <col min="10" max="11" width="10.140625" style="603" hidden="1" customWidth="1"/>
    <col min="12" max="12" width="21.42578125" style="603" hidden="1" customWidth="1"/>
    <col min="13" max="13" width="14.140625" style="603" hidden="1" customWidth="1"/>
    <col min="14" max="14" width="39.7109375" style="265" customWidth="1"/>
    <col min="15" max="15" width="39.7109375" style="265" hidden="1" customWidth="1"/>
    <col min="16" max="16" width="13.5703125" style="263" customWidth="1"/>
    <col min="17" max="18" width="13.28515625" style="739" customWidth="1"/>
    <col min="19" max="19" width="14.42578125" style="739" customWidth="1"/>
    <col min="20" max="20" width="16" style="829" customWidth="1"/>
    <col min="21" max="21" width="16.7109375" style="829" customWidth="1"/>
    <col min="22" max="22" width="16.28515625" style="829" customWidth="1"/>
    <col min="23" max="23" width="18.140625" style="829" customWidth="1"/>
    <col min="24" max="24" width="13.42578125" style="263" customWidth="1"/>
    <col min="25" max="25" width="14.140625" style="739" customWidth="1"/>
    <col min="26" max="26" width="14" style="263" customWidth="1"/>
    <col min="27" max="27" width="16" style="263" customWidth="1"/>
    <col min="28" max="28" width="14.7109375" style="739" customWidth="1"/>
    <col min="29" max="29" width="17.140625" style="740" customWidth="1"/>
    <col min="30" max="16384" width="11.42578125" style="265"/>
  </cols>
  <sheetData>
    <row r="1" spans="1:31" s="629" customFormat="1" ht="22.5" customHeight="1">
      <c r="A1" s="941"/>
      <c r="B1" s="628"/>
      <c r="D1" s="630" t="str">
        <f>F9</f>
        <v>MARZO</v>
      </c>
      <c r="F1" s="631"/>
      <c r="G1" s="941"/>
      <c r="H1" s="632"/>
      <c r="I1" s="941"/>
      <c r="J1" s="941"/>
      <c r="K1" s="941"/>
      <c r="L1" s="941"/>
      <c r="M1" s="941"/>
      <c r="P1" s="628"/>
      <c r="Q1" s="633"/>
      <c r="R1" s="633"/>
      <c r="S1" s="633"/>
      <c r="T1" s="741"/>
      <c r="U1" s="741"/>
      <c r="V1" s="741"/>
      <c r="W1" s="741"/>
      <c r="X1" s="628"/>
      <c r="Y1" s="633"/>
      <c r="Z1" s="628"/>
      <c r="AA1" s="628"/>
      <c r="AB1" s="633"/>
      <c r="AC1" s="634"/>
    </row>
    <row r="2" spans="1:31" s="629" customFormat="1" hidden="1">
      <c r="A2" s="941"/>
      <c r="B2" s="628"/>
      <c r="D2" s="631"/>
      <c r="F2" s="631"/>
      <c r="G2" s="941"/>
      <c r="H2" s="632"/>
      <c r="I2" s="941"/>
      <c r="J2" s="941"/>
      <c r="K2" s="941"/>
      <c r="L2" s="941"/>
      <c r="M2" s="941"/>
      <c r="P2" s="628"/>
      <c r="Q2" s="633"/>
      <c r="R2" s="633"/>
      <c r="S2" s="633"/>
      <c r="T2" s="741"/>
      <c r="U2" s="741"/>
      <c r="V2" s="741"/>
      <c r="W2" s="741"/>
      <c r="X2" s="628"/>
      <c r="Y2" s="633"/>
      <c r="Z2" s="628"/>
      <c r="AA2" s="628"/>
      <c r="AB2" s="633"/>
      <c r="AC2" s="634"/>
    </row>
    <row r="3" spans="1:31" s="629" customFormat="1" hidden="1">
      <c r="A3" s="941"/>
      <c r="B3" s="628"/>
      <c r="D3" s="631"/>
      <c r="F3" s="631"/>
      <c r="G3" s="941"/>
      <c r="H3" s="632"/>
      <c r="I3" s="941"/>
      <c r="J3" s="941"/>
      <c r="K3" s="941"/>
      <c r="L3" s="941"/>
      <c r="M3" s="941"/>
      <c r="P3" s="628"/>
      <c r="Q3" s="633"/>
      <c r="R3" s="633"/>
      <c r="S3" s="633"/>
      <c r="T3" s="741"/>
      <c r="U3" s="741"/>
      <c r="V3" s="741"/>
      <c r="W3" s="741"/>
      <c r="X3" s="628"/>
      <c r="Y3" s="633"/>
      <c r="Z3" s="628"/>
      <c r="AA3" s="628"/>
      <c r="AB3" s="633"/>
      <c r="AC3" s="634"/>
    </row>
    <row r="4" spans="1:31" s="629" customFormat="1" hidden="1">
      <c r="A4" s="941"/>
      <c r="B4" s="628"/>
      <c r="D4" s="631"/>
      <c r="F4" s="631"/>
      <c r="G4" s="941"/>
      <c r="H4" s="632"/>
      <c r="I4" s="941"/>
      <c r="J4" s="941"/>
      <c r="K4" s="941"/>
      <c r="L4" s="941"/>
      <c r="M4" s="941"/>
      <c r="P4" s="628"/>
      <c r="Q4" s="633"/>
      <c r="R4" s="633"/>
      <c r="S4" s="633"/>
      <c r="T4" s="741"/>
      <c r="U4" s="741"/>
      <c r="V4" s="741"/>
      <c r="W4" s="741"/>
      <c r="X4" s="628"/>
      <c r="Y4" s="633"/>
      <c r="Z4" s="628"/>
      <c r="AA4" s="628"/>
      <c r="AB4" s="633"/>
      <c r="AC4" s="634"/>
    </row>
    <row r="5" spans="1:31" s="629" customFormat="1">
      <c r="A5" s="941"/>
      <c r="B5" s="628"/>
      <c r="D5" s="631"/>
      <c r="F5" s="631"/>
      <c r="G5" s="941"/>
      <c r="H5" s="632"/>
      <c r="I5" s="941"/>
      <c r="J5" s="941"/>
      <c r="K5" s="941"/>
      <c r="L5" s="941"/>
      <c r="M5" s="941"/>
      <c r="P5" s="628"/>
      <c r="Q5" s="633"/>
      <c r="R5" s="633"/>
      <c r="S5" s="633"/>
      <c r="T5" s="741"/>
      <c r="U5" s="741"/>
      <c r="V5" s="741"/>
      <c r="W5" s="741"/>
      <c r="X5" s="628"/>
      <c r="Y5" s="633"/>
      <c r="Z5" s="628"/>
      <c r="AA5" s="628"/>
      <c r="AB5" s="633"/>
      <c r="AC5" s="634"/>
    </row>
    <row r="6" spans="1:31" s="629" customFormat="1">
      <c r="A6" s="941"/>
      <c r="B6" s="628"/>
      <c r="D6" s="631"/>
      <c r="F6" s="631"/>
      <c r="G6" s="941"/>
      <c r="H6" s="632"/>
      <c r="I6" s="941"/>
      <c r="J6" s="941"/>
      <c r="K6" s="941"/>
      <c r="L6" s="941"/>
      <c r="M6" s="941"/>
      <c r="P6" s="628"/>
      <c r="Q6" s="633"/>
      <c r="R6" s="633"/>
      <c r="S6" s="633"/>
      <c r="T6" s="741"/>
      <c r="U6" s="741"/>
      <c r="V6" s="741"/>
      <c r="W6" s="741"/>
      <c r="X6" s="628"/>
      <c r="Y6" s="633"/>
      <c r="Z6" s="628"/>
      <c r="AA6" s="628"/>
      <c r="AB6" s="633"/>
      <c r="AC6" s="634"/>
    </row>
    <row r="7" spans="1:31" s="629" customFormat="1" ht="37.5" customHeight="1">
      <c r="A7" s="941"/>
      <c r="B7" s="628"/>
      <c r="D7" s="631"/>
      <c r="F7" s="631"/>
      <c r="G7" s="941"/>
      <c r="H7" s="632"/>
      <c r="I7" s="941"/>
      <c r="J7" s="941"/>
      <c r="K7" s="941"/>
      <c r="L7" s="941"/>
      <c r="M7" s="941"/>
      <c r="P7" s="628"/>
      <c r="Q7" s="633"/>
      <c r="R7" s="633"/>
      <c r="S7" s="633"/>
      <c r="T7" s="741"/>
      <c r="U7" s="741"/>
      <c r="V7" s="741"/>
      <c r="W7" s="741"/>
      <c r="X7" s="628"/>
      <c r="Y7" s="633"/>
      <c r="Z7" s="628"/>
      <c r="AA7" s="628"/>
      <c r="AB7" s="628"/>
      <c r="AC7" s="634"/>
    </row>
    <row r="8" spans="1:31" s="629" customFormat="1" ht="21" customHeight="1">
      <c r="A8" s="941"/>
      <c r="B8" s="628"/>
      <c r="D8" s="631"/>
      <c r="F8" s="631"/>
      <c r="G8" s="941"/>
      <c r="H8" s="632"/>
      <c r="I8" s="941"/>
      <c r="J8" s="941"/>
      <c r="K8" s="941"/>
      <c r="L8" s="941"/>
      <c r="M8" s="941"/>
      <c r="P8" s="628"/>
      <c r="Q8" s="633"/>
      <c r="R8" s="633"/>
      <c r="S8" s="633"/>
      <c r="T8" s="741"/>
      <c r="U8" s="741"/>
      <c r="V8" s="741"/>
      <c r="W8" s="741"/>
      <c r="X8" s="628"/>
      <c r="Y8" s="633"/>
      <c r="Z8" s="628"/>
      <c r="AA8" s="628"/>
      <c r="AB8" s="633"/>
      <c r="AC8" s="634"/>
    </row>
    <row r="9" spans="1:31" s="629" customFormat="1" ht="29.25" customHeight="1" thickBot="1">
      <c r="A9" s="941"/>
      <c r="B9" s="628"/>
      <c r="C9" s="991" t="str">
        <f>+"SEGUNDA QUINCENA MES DE "&amp;NOMINA!F9&amp;" "&amp;NOMINA!H9</f>
        <v>SEGUNDA QUINCENA MES DE ENERO 2025</v>
      </c>
      <c r="D9" s="972"/>
      <c r="E9" s="636" t="s">
        <v>4632</v>
      </c>
      <c r="F9" s="973" t="s">
        <v>2867</v>
      </c>
      <c r="G9" s="637" t="s">
        <v>4633</v>
      </c>
      <c r="H9" s="638">
        <v>2023</v>
      </c>
      <c r="I9" s="639"/>
      <c r="J9" s="639"/>
      <c r="K9" s="639"/>
      <c r="L9" s="639"/>
      <c r="M9" s="941"/>
      <c r="P9" s="628"/>
      <c r="Q9" s="633"/>
      <c r="R9" s="633"/>
      <c r="S9" s="633"/>
      <c r="T9" s="741"/>
      <c r="U9" s="741"/>
      <c r="V9" s="741"/>
      <c r="W9" s="741"/>
      <c r="X9" s="628"/>
      <c r="Y9" s="742"/>
      <c r="Z9" s="628"/>
      <c r="AA9" s="628"/>
      <c r="AB9" s="633"/>
      <c r="AC9" s="634"/>
    </row>
    <row r="10" spans="1:31" s="642" customFormat="1" ht="27.75" customHeight="1" thickBot="1">
      <c r="A10" s="641"/>
      <c r="B10" s="641"/>
      <c r="D10" s="643"/>
      <c r="F10" s="643"/>
      <c r="G10" s="641"/>
      <c r="H10" s="644"/>
      <c r="I10" s="641"/>
      <c r="J10" s="641"/>
      <c r="K10" s="641"/>
      <c r="L10" s="1721" t="s">
        <v>4627</v>
      </c>
      <c r="M10" s="1722"/>
      <c r="N10" s="629"/>
      <c r="O10" s="629"/>
      <c r="P10" s="641"/>
      <c r="Q10" s="1731"/>
      <c r="R10" s="1731"/>
      <c r="S10" s="946"/>
      <c r="T10" s="743" t="s">
        <v>4634</v>
      </c>
      <c r="U10" s="744"/>
      <c r="V10" s="744"/>
      <c r="W10" s="745"/>
      <c r="X10" s="746"/>
      <c r="Y10" s="747"/>
      <c r="Z10" s="748"/>
      <c r="AA10" s="1201"/>
      <c r="AB10" s="749"/>
      <c r="AC10" s="750">
        <v>4</v>
      </c>
    </row>
    <row r="11" spans="1:31" s="629" customFormat="1" ht="78.75" customHeight="1" thickBot="1">
      <c r="A11" s="652" t="s">
        <v>2840</v>
      </c>
      <c r="B11" s="653" t="s">
        <v>0</v>
      </c>
      <c r="C11" s="654" t="s">
        <v>2</v>
      </c>
      <c r="D11" s="655" t="s">
        <v>3</v>
      </c>
      <c r="E11" s="654" t="s">
        <v>4619</v>
      </c>
      <c r="F11" s="656" t="s">
        <v>4580</v>
      </c>
      <c r="G11" s="654" t="s">
        <v>4623</v>
      </c>
      <c r="H11" s="654" t="s">
        <v>4</v>
      </c>
      <c r="I11" s="654" t="s">
        <v>4625</v>
      </c>
      <c r="J11" s="654" t="s">
        <v>4624</v>
      </c>
      <c r="K11" s="654" t="s">
        <v>4574</v>
      </c>
      <c r="L11" s="751" t="s">
        <v>4636</v>
      </c>
      <c r="M11" s="751" t="s">
        <v>4573</v>
      </c>
      <c r="N11" s="654" t="s">
        <v>5</v>
      </c>
      <c r="O11" s="654" t="s">
        <v>5102</v>
      </c>
      <c r="P11" s="654" t="s">
        <v>5869</v>
      </c>
      <c r="Q11" s="752" t="s">
        <v>5963</v>
      </c>
      <c r="R11" s="654" t="s">
        <v>5964</v>
      </c>
      <c r="S11" s="945" t="s">
        <v>5872</v>
      </c>
      <c r="T11" s="753" t="s">
        <v>4478</v>
      </c>
      <c r="U11" s="753" t="s">
        <v>4481</v>
      </c>
      <c r="V11" s="753" t="s">
        <v>4479</v>
      </c>
      <c r="W11" s="754" t="s">
        <v>4480</v>
      </c>
      <c r="X11" s="882" t="s">
        <v>9</v>
      </c>
      <c r="Y11" s="883" t="s">
        <v>10</v>
      </c>
      <c r="Z11" s="755" t="s">
        <v>4655</v>
      </c>
      <c r="AA11" s="756" t="s">
        <v>6901</v>
      </c>
      <c r="AB11" s="756" t="s">
        <v>4637</v>
      </c>
      <c r="AC11" s="657" t="s">
        <v>4569</v>
      </c>
    </row>
    <row r="12" spans="1:31" s="629" customFormat="1" ht="30" customHeight="1" thickBot="1">
      <c r="A12" s="757"/>
      <c r="B12" s="758" t="str">
        <f>+"PERSONAL EN COMISION DE SERVICIO_NOMINA_2A QUINCENA_"&amp;NOMINA!F9&amp;"_"&amp;NOMINA!H9</f>
        <v>PERSONAL EN COMISION DE SERVICIO_NOMINA_2A QUINCENA_ENERO_2025</v>
      </c>
      <c r="C12" s="759"/>
      <c r="D12" s="760"/>
      <c r="E12" s="759"/>
      <c r="F12" s="760"/>
      <c r="G12" s="761"/>
      <c r="H12" s="762"/>
      <c r="I12" s="763"/>
      <c r="J12" s="763"/>
      <c r="K12" s="763"/>
      <c r="L12" s="763"/>
      <c r="M12" s="763"/>
      <c r="N12" s="764"/>
      <c r="O12" s="764"/>
      <c r="P12" s="765"/>
      <c r="Q12" s="766"/>
      <c r="R12" s="766"/>
      <c r="S12" s="766"/>
      <c r="T12" s="767"/>
      <c r="U12" s="767"/>
      <c r="V12" s="767"/>
      <c r="W12" s="767"/>
      <c r="X12" s="768"/>
      <c r="Y12" s="769"/>
      <c r="Z12" s="765"/>
      <c r="AA12" s="765"/>
      <c r="AB12" s="766"/>
    </row>
    <row r="13" spans="1:31" s="629" customFormat="1" ht="30" customHeight="1">
      <c r="A13" s="770" t="s">
        <v>2846</v>
      </c>
      <c r="B13" s="510">
        <v>1</v>
      </c>
      <c r="C13" s="992">
        <f>NOMINA!C13</f>
        <v>19591141</v>
      </c>
      <c r="D13" s="993" t="str">
        <f>NOMINA!D13</f>
        <v>Almazan Barragan Maria de los Angeles</v>
      </c>
      <c r="E13" s="994" t="s">
        <v>4622</v>
      </c>
      <c r="F13" s="995">
        <v>32351</v>
      </c>
      <c r="G13" s="994" t="s">
        <v>4620</v>
      </c>
      <c r="H13" s="983">
        <f>NOMINA!H13</f>
        <v>44537</v>
      </c>
      <c r="I13" s="996">
        <f>NOMINA!I13</f>
        <v>3</v>
      </c>
      <c r="J13" s="997">
        <f>NOMINA!J13</f>
        <v>0</v>
      </c>
      <c r="K13" s="996">
        <f>I13+J13</f>
        <v>3</v>
      </c>
      <c r="L13" s="997" t="s">
        <v>4932</v>
      </c>
      <c r="M13" s="997"/>
      <c r="N13" s="998" t="str">
        <f>NOMINA!O13</f>
        <v>DIRECTOR GENERAL</v>
      </c>
      <c r="O13" s="997" t="s">
        <v>5213</v>
      </c>
      <c r="P13" s="999">
        <f>NOMINA!W13</f>
        <v>0</v>
      </c>
      <c r="Q13" s="986">
        <f>NOMINA!AG13</f>
        <v>0</v>
      </c>
      <c r="R13" s="986">
        <f>NOMINA!AI13</f>
        <v>0</v>
      </c>
      <c r="S13" s="986">
        <f>NOMINA!AK13</f>
        <v>0</v>
      </c>
      <c r="T13" s="986">
        <f>ROUND(NOMINA!AO13,2)</f>
        <v>0</v>
      </c>
      <c r="U13" s="986">
        <f>ROUND(NOMINA!AQ13,2)</f>
        <v>0</v>
      </c>
      <c r="V13" s="986">
        <f>ROUND(NOMINA!AR13,2)</f>
        <v>0</v>
      </c>
      <c r="W13" s="986">
        <f>ROUND(NOMINA!AS13,2)</f>
        <v>0</v>
      </c>
      <c r="X13" s="986">
        <f>ROUND(NOMINA!AW13,2)</f>
        <v>0</v>
      </c>
      <c r="Y13" s="986">
        <f>ROUND(NOMINA!AX13,2)</f>
        <v>0</v>
      </c>
      <c r="Z13" s="986">
        <f>ROUND(NOMINA!BB13,2)+ROUND(NOMINA!BF13,2)</f>
        <v>0</v>
      </c>
      <c r="AA13" s="986">
        <v>0</v>
      </c>
      <c r="AB13" s="986">
        <f>ROUND(NOMINA!BG13,2)</f>
        <v>0</v>
      </c>
      <c r="AC13" s="1000">
        <f>+P13+Q13+R13+S13+T13+U13+V13+W13+X13+Y13+Z13+AB13+AA13</f>
        <v>0</v>
      </c>
    </row>
    <row r="14" spans="1:31" s="629" customFormat="1" ht="30" customHeight="1" thickBot="1">
      <c r="A14" s="1181"/>
      <c r="B14" s="510">
        <v>2</v>
      </c>
      <c r="C14" s="1182">
        <f>NOMINA!C14</f>
        <v>15827671</v>
      </c>
      <c r="D14" s="1183" t="str">
        <f>NOMINA!D14</f>
        <v>Montilla Macias Lucy Margarita</v>
      </c>
      <c r="E14" s="1180" t="s">
        <v>4622</v>
      </c>
      <c r="F14" s="1184">
        <v>32351</v>
      </c>
      <c r="G14" s="1180" t="s">
        <v>4620</v>
      </c>
      <c r="H14" s="1161">
        <f>NOMINA!H14</f>
        <v>44545</v>
      </c>
      <c r="I14" s="1185">
        <f>NOMINA!I14</f>
        <v>3</v>
      </c>
      <c r="J14" s="1177">
        <f>NOMINA!J14</f>
        <v>1</v>
      </c>
      <c r="K14" s="1185">
        <f t="shared" ref="K14" si="0">I14+J14</f>
        <v>4</v>
      </c>
      <c r="L14" s="1177" t="s">
        <v>4932</v>
      </c>
      <c r="M14" s="1177"/>
      <c r="N14" s="1040" t="str">
        <f>NOMINA!O14</f>
        <v>JEFE DE DEPARTAMENTO</v>
      </c>
      <c r="O14" s="1177" t="s">
        <v>5213</v>
      </c>
      <c r="P14" s="1150">
        <f>NOMINA!W14</f>
        <v>26.5</v>
      </c>
      <c r="Q14" s="1151">
        <f>NOMINA!AG14</f>
        <v>1.06</v>
      </c>
      <c r="R14" s="1151">
        <f>NOMINA!AI14</f>
        <v>0</v>
      </c>
      <c r="S14" s="1151">
        <f>NOMINA!AK14</f>
        <v>6.89</v>
      </c>
      <c r="T14" s="1151">
        <f>ROUND(NOMINA!AO14,2)</f>
        <v>0</v>
      </c>
      <c r="U14" s="1151">
        <f>ROUND(NOMINA!AQ14,2)</f>
        <v>0</v>
      </c>
      <c r="V14" s="1151">
        <f>ROUND(NOMINA!AR14,2)</f>
        <v>0</v>
      </c>
      <c r="W14" s="1151">
        <f>ROUND(NOMINA!AS14,2)</f>
        <v>0</v>
      </c>
      <c r="X14" s="1151">
        <f>ROUND(NOMINA!AW14,2)</f>
        <v>0</v>
      </c>
      <c r="Y14" s="1151">
        <f>ROUND(NOMINA!AX14,2)</f>
        <v>0</v>
      </c>
      <c r="Z14" s="1151">
        <f>ROUND(NOMINA!BB14,2)+ROUND(NOMINA!BF14,2)</f>
        <v>0</v>
      </c>
      <c r="AA14" s="1151">
        <v>0</v>
      </c>
      <c r="AB14" s="1151">
        <f>ROUND(NOMINA!BG14,2)</f>
        <v>300</v>
      </c>
      <c r="AC14" s="1000">
        <f>+P14+Q14+R14+S14+T14+U14+V14+W14+X14+Y14+Z14+AB14+AA14</f>
        <v>334.45</v>
      </c>
    </row>
    <row r="15" spans="1:31" s="629" customFormat="1" ht="39.950000000000003" customHeight="1" thickBot="1">
      <c r="A15" s="664"/>
      <c r="B15" s="676"/>
      <c r="C15" s="1126" t="s">
        <v>5790</v>
      </c>
      <c r="D15" s="1127"/>
      <c r="E15" s="1128"/>
      <c r="F15" s="1129"/>
      <c r="G15" s="1128"/>
      <c r="H15" s="1130"/>
      <c r="I15" s="1131"/>
      <c r="J15" s="1132"/>
      <c r="K15" s="1106" t="s">
        <v>5873</v>
      </c>
      <c r="L15" s="1133"/>
      <c r="M15" s="1132"/>
      <c r="N15" s="1134"/>
      <c r="O15" s="777"/>
      <c r="P15" s="694">
        <f t="shared" ref="P15:AA15" si="1">SUM(P13:P14)</f>
        <v>26.5</v>
      </c>
      <c r="Q15" s="694">
        <f t="shared" si="1"/>
        <v>1.06</v>
      </c>
      <c r="R15" s="694">
        <f t="shared" si="1"/>
        <v>0</v>
      </c>
      <c r="S15" s="694">
        <f t="shared" si="1"/>
        <v>6.89</v>
      </c>
      <c r="T15" s="694">
        <f t="shared" si="1"/>
        <v>0</v>
      </c>
      <c r="U15" s="694">
        <f t="shared" si="1"/>
        <v>0</v>
      </c>
      <c r="V15" s="694">
        <f t="shared" si="1"/>
        <v>0</v>
      </c>
      <c r="W15" s="694">
        <f t="shared" si="1"/>
        <v>0</v>
      </c>
      <c r="X15" s="694">
        <f t="shared" si="1"/>
        <v>0</v>
      </c>
      <c r="Y15" s="694">
        <f t="shared" si="1"/>
        <v>0</v>
      </c>
      <c r="Z15" s="694">
        <f t="shared" si="1"/>
        <v>0</v>
      </c>
      <c r="AA15" s="694">
        <f t="shared" si="1"/>
        <v>0</v>
      </c>
      <c r="AB15" s="694">
        <f>SUM(AB13:AB14)</f>
        <v>300</v>
      </c>
      <c r="AC15" s="694">
        <f>SUM(AC13:AC14)</f>
        <v>334.45</v>
      </c>
      <c r="AD15" s="634">
        <f>+NOMINA!CC15</f>
        <v>334.45</v>
      </c>
      <c r="AE15" s="634">
        <f>+AC15-AD15</f>
        <v>0</v>
      </c>
    </row>
    <row r="16" spans="1:31" s="629" customFormat="1" ht="20.100000000000001" customHeight="1">
      <c r="A16" s="664"/>
      <c r="B16" s="778"/>
      <c r="C16" s="779"/>
      <c r="D16" s="780"/>
      <c r="E16" s="781"/>
      <c r="F16" s="782"/>
      <c r="G16" s="781"/>
      <c r="H16" s="783"/>
      <c r="I16" s="784"/>
      <c r="J16" s="785"/>
      <c r="K16" s="786"/>
      <c r="L16" s="787"/>
      <c r="M16" s="785"/>
      <c r="N16" s="788"/>
      <c r="O16" s="785"/>
      <c r="P16" s="789"/>
      <c r="Q16" s="789"/>
      <c r="R16" s="789"/>
      <c r="S16" s="789"/>
      <c r="T16" s="789"/>
      <c r="U16" s="789"/>
      <c r="V16" s="789"/>
      <c r="W16" s="789"/>
      <c r="X16" s="789"/>
      <c r="Y16" s="789"/>
      <c r="Z16" s="789"/>
      <c r="AA16" s="789"/>
      <c r="AB16" s="789"/>
      <c r="AC16" s="789"/>
    </row>
    <row r="17" spans="1:29" s="629" customFormat="1" ht="20.100000000000001" customHeight="1">
      <c r="A17" s="664"/>
      <c r="B17" s="790"/>
      <c r="C17" s="791"/>
      <c r="D17" s="792"/>
      <c r="E17" s="708"/>
      <c r="F17" s="793"/>
      <c r="G17" s="708"/>
      <c r="H17" s="794"/>
      <c r="I17" s="795"/>
      <c r="J17" s="796"/>
      <c r="K17" s="611"/>
      <c r="L17" s="797"/>
      <c r="M17" s="796"/>
      <c r="N17" s="798"/>
      <c r="O17" s="796"/>
      <c r="P17" s="799"/>
      <c r="Q17" s="799"/>
      <c r="R17" s="799"/>
      <c r="S17" s="799"/>
      <c r="T17" s="799"/>
      <c r="U17" s="799"/>
      <c r="V17" s="799"/>
      <c r="W17" s="799"/>
      <c r="X17" s="799"/>
      <c r="Y17" s="799"/>
      <c r="Z17" s="799"/>
      <c r="AA17" s="799"/>
      <c r="AB17" s="799"/>
      <c r="AC17" s="799"/>
    </row>
    <row r="18" spans="1:29" s="629" customFormat="1" ht="20.100000000000001" customHeight="1">
      <c r="A18" s="664"/>
      <c r="B18" s="790"/>
      <c r="C18" s="791"/>
      <c r="D18" s="792"/>
      <c r="E18" s="708"/>
      <c r="F18" s="793"/>
      <c r="G18" s="708"/>
      <c r="H18" s="794"/>
      <c r="I18" s="795"/>
      <c r="J18" s="796"/>
      <c r="K18" s="611"/>
      <c r="L18" s="797"/>
      <c r="M18" s="796"/>
      <c r="N18" s="798"/>
      <c r="O18" s="796"/>
      <c r="P18" s="799"/>
      <c r="Q18" s="799"/>
      <c r="R18" s="799"/>
      <c r="S18" s="799"/>
      <c r="T18" s="799"/>
      <c r="U18" s="799"/>
      <c r="V18" s="799"/>
      <c r="W18" s="799"/>
      <c r="X18" s="799"/>
      <c r="Y18" s="799"/>
      <c r="Z18" s="799"/>
      <c r="AA18" s="799"/>
      <c r="AB18" s="799"/>
      <c r="AC18" s="799"/>
    </row>
    <row r="19" spans="1:29" s="629" customFormat="1" ht="20.100000000000001" customHeight="1">
      <c r="A19" s="664"/>
      <c r="B19" s="790"/>
      <c r="C19" s="791"/>
      <c r="D19" s="792"/>
      <c r="E19" s="708"/>
      <c r="F19" s="793"/>
      <c r="G19" s="708"/>
      <c r="H19" s="794"/>
      <c r="I19" s="795"/>
      <c r="J19" s="796"/>
      <c r="K19" s="611"/>
      <c r="L19" s="797"/>
      <c r="M19" s="796"/>
      <c r="N19" s="798"/>
      <c r="O19" s="796"/>
      <c r="P19" s="799"/>
      <c r="Q19" s="799"/>
      <c r="R19" s="799"/>
      <c r="S19" s="799"/>
      <c r="T19" s="799"/>
      <c r="U19" s="799"/>
      <c r="V19" s="799"/>
      <c r="W19" s="799"/>
      <c r="X19" s="799"/>
      <c r="Y19" s="799"/>
      <c r="Z19" s="799"/>
      <c r="AA19" s="799"/>
      <c r="AB19" s="799"/>
      <c r="AC19" s="799"/>
    </row>
    <row r="20" spans="1:29" s="629" customFormat="1" ht="20.100000000000001" customHeight="1">
      <c r="A20" s="664"/>
      <c r="B20" s="790"/>
      <c r="C20" s="791"/>
      <c r="D20" s="792"/>
      <c r="E20" s="708"/>
      <c r="F20" s="793"/>
      <c r="G20" s="708"/>
      <c r="H20" s="794"/>
      <c r="I20" s="795"/>
      <c r="J20" s="796"/>
      <c r="K20" s="611"/>
      <c r="L20" s="797"/>
      <c r="M20" s="796"/>
      <c r="N20" s="798"/>
      <c r="O20" s="796"/>
      <c r="P20" s="799"/>
      <c r="Q20" s="799"/>
      <c r="R20" s="799"/>
      <c r="S20" s="799"/>
      <c r="T20" s="799"/>
      <c r="U20" s="799"/>
      <c r="V20" s="799"/>
      <c r="W20" s="799"/>
      <c r="X20" s="799"/>
      <c r="Y20" s="799"/>
      <c r="Z20" s="799"/>
      <c r="AA20" s="799"/>
      <c r="AB20" s="799"/>
      <c r="AC20" s="799"/>
    </row>
    <row r="21" spans="1:29" s="629" customFormat="1" ht="20.100000000000001" customHeight="1">
      <c r="A21" s="664"/>
      <c r="B21" s="790"/>
      <c r="C21" s="791"/>
      <c r="D21" s="735" t="s">
        <v>5860</v>
      </c>
      <c r="E21" s="708"/>
      <c r="F21" s="793"/>
      <c r="G21" s="708"/>
      <c r="H21" s="794"/>
      <c r="I21" s="795"/>
      <c r="J21" s="796"/>
      <c r="K21" s="611"/>
      <c r="L21" s="797"/>
      <c r="M21" s="796"/>
      <c r="N21" s="798"/>
      <c r="O21" s="796"/>
      <c r="P21" s="726" t="s">
        <v>5861</v>
      </c>
      <c r="Q21" s="799"/>
      <c r="R21" s="799"/>
      <c r="S21" s="799"/>
      <c r="T21" s="799"/>
      <c r="U21" s="799"/>
      <c r="V21" s="799"/>
      <c r="W21" s="799"/>
      <c r="X21" s="724" t="s">
        <v>5862</v>
      </c>
      <c r="Y21" s="799"/>
      <c r="Z21" s="799"/>
      <c r="AA21" s="799"/>
      <c r="AB21" s="799"/>
      <c r="AC21" s="799"/>
    </row>
    <row r="22" spans="1:29" s="629" customFormat="1" ht="20.100000000000001" customHeight="1">
      <c r="A22" s="664"/>
      <c r="B22" s="790"/>
      <c r="C22" s="791"/>
      <c r="D22" s="792"/>
      <c r="E22" s="708"/>
      <c r="F22" s="793"/>
      <c r="G22" s="708"/>
      <c r="H22" s="794"/>
      <c r="I22" s="795"/>
      <c r="J22" s="796"/>
      <c r="K22" s="611"/>
      <c r="L22" s="797"/>
      <c r="M22" s="796"/>
      <c r="N22" s="798"/>
      <c r="O22" s="796"/>
      <c r="P22" s="799"/>
      <c r="Q22" s="799"/>
      <c r="R22" s="799"/>
      <c r="S22" s="799"/>
      <c r="T22" s="799"/>
      <c r="U22" s="799"/>
      <c r="V22" s="799"/>
      <c r="W22" s="799"/>
      <c r="X22" s="799"/>
      <c r="Y22" s="799"/>
      <c r="Z22" s="799"/>
      <c r="AA22" s="799"/>
      <c r="AB22" s="799"/>
      <c r="AC22" s="799"/>
    </row>
    <row r="23" spans="1:29" s="629" customFormat="1" ht="20.100000000000001" customHeight="1">
      <c r="A23" s="664"/>
      <c r="B23" s="790"/>
      <c r="C23" s="791"/>
      <c r="D23" s="792"/>
      <c r="E23" s="708"/>
      <c r="F23" s="793"/>
      <c r="G23" s="708"/>
      <c r="H23" s="794"/>
      <c r="I23" s="795"/>
      <c r="J23" s="796"/>
      <c r="K23" s="611"/>
      <c r="L23" s="797"/>
      <c r="M23" s="796"/>
      <c r="N23" s="798"/>
      <c r="O23" s="796"/>
      <c r="P23" s="799"/>
      <c r="Q23" s="799"/>
      <c r="R23" s="799"/>
      <c r="S23" s="799"/>
      <c r="T23" s="799"/>
      <c r="U23" s="799"/>
      <c r="V23" s="799"/>
      <c r="W23" s="799"/>
      <c r="X23" s="799"/>
      <c r="Y23" s="799"/>
      <c r="Z23" s="799"/>
      <c r="AA23" s="799"/>
      <c r="AB23" s="799"/>
      <c r="AC23" s="799"/>
    </row>
    <row r="24" spans="1:29" s="629" customFormat="1" ht="20.100000000000001" customHeight="1">
      <c r="A24" s="664"/>
      <c r="B24" s="790"/>
      <c r="C24" s="791"/>
      <c r="D24" s="792"/>
      <c r="E24" s="708"/>
      <c r="F24" s="793"/>
      <c r="G24" s="708"/>
      <c r="H24" s="794"/>
      <c r="I24" s="795"/>
      <c r="J24" s="796"/>
      <c r="K24" s="611"/>
      <c r="L24" s="797"/>
      <c r="M24" s="796"/>
      <c r="N24" s="798"/>
      <c r="O24" s="796"/>
      <c r="P24" s="799"/>
      <c r="Q24" s="799"/>
      <c r="R24" s="799"/>
      <c r="S24" s="799"/>
      <c r="T24" s="799"/>
      <c r="U24" s="799"/>
      <c r="V24" s="799"/>
      <c r="W24" s="799"/>
      <c r="X24" s="799"/>
      <c r="Y24" s="799"/>
      <c r="Z24" s="799"/>
      <c r="AA24" s="799"/>
      <c r="AB24" s="799"/>
      <c r="AC24" s="799"/>
    </row>
    <row r="25" spans="1:29" s="629" customFormat="1" ht="20.100000000000001" customHeight="1">
      <c r="A25" s="664"/>
      <c r="B25" s="734" t="s">
        <v>6879</v>
      </c>
      <c r="C25" s="735"/>
      <c r="D25" s="733"/>
      <c r="E25" s="733"/>
      <c r="F25" s="733"/>
      <c r="G25" s="733"/>
      <c r="H25" s="734" t="s">
        <v>6152</v>
      </c>
      <c r="I25" s="734"/>
      <c r="K25" s="611"/>
      <c r="L25" s="797"/>
      <c r="M25" s="796"/>
      <c r="N25" s="798"/>
      <c r="O25" s="796"/>
      <c r="P25" s="736" t="s">
        <v>5863</v>
      </c>
      <c r="Q25" s="799"/>
      <c r="R25" s="799"/>
      <c r="S25" s="799"/>
      <c r="T25" s="799"/>
      <c r="U25" s="799"/>
      <c r="V25" s="799"/>
      <c r="W25" s="799"/>
      <c r="X25" s="724" t="s">
        <v>5874</v>
      </c>
      <c r="Y25" s="799"/>
      <c r="Z25" s="799"/>
      <c r="AA25" s="799"/>
      <c r="AB25" s="799"/>
      <c r="AC25" s="799"/>
    </row>
    <row r="26" spans="1:29" s="629" customFormat="1" ht="20.100000000000001" customHeight="1">
      <c r="A26" s="664"/>
      <c r="B26" s="734" t="s">
        <v>6880</v>
      </c>
      <c r="C26" s="735"/>
      <c r="D26" s="733"/>
      <c r="E26" s="733"/>
      <c r="F26" s="733"/>
      <c r="G26" s="733"/>
      <c r="H26" s="734" t="s">
        <v>6153</v>
      </c>
      <c r="I26" s="734"/>
      <c r="K26" s="611"/>
      <c r="L26" s="797"/>
      <c r="M26" s="796"/>
      <c r="N26" s="798"/>
      <c r="O26" s="796"/>
      <c r="P26" s="736" t="s">
        <v>5865</v>
      </c>
      <c r="Q26" s="799"/>
      <c r="R26" s="799"/>
      <c r="S26" s="799"/>
      <c r="T26" s="799"/>
      <c r="U26" s="799"/>
      <c r="V26" s="799"/>
      <c r="W26" s="799"/>
      <c r="X26" s="734" t="s">
        <v>5866</v>
      </c>
      <c r="Y26" s="799"/>
      <c r="Z26" s="799"/>
      <c r="AA26" s="799"/>
      <c r="AB26" s="799"/>
      <c r="AC26" s="799"/>
    </row>
    <row r="27" spans="1:29" s="629" customFormat="1" ht="20.100000000000001" customHeight="1">
      <c r="A27" s="664"/>
      <c r="B27" s="734" t="s">
        <v>5244</v>
      </c>
      <c r="C27" s="735"/>
      <c r="D27" s="733"/>
      <c r="E27" s="733"/>
      <c r="F27" s="733"/>
      <c r="G27" s="733"/>
      <c r="H27" s="734" t="s">
        <v>5265</v>
      </c>
      <c r="I27" s="734"/>
      <c r="K27" s="611"/>
      <c r="L27" s="797"/>
      <c r="M27" s="796"/>
      <c r="N27" s="798"/>
      <c r="O27" s="796"/>
      <c r="P27" s="736" t="s">
        <v>5867</v>
      </c>
      <c r="Q27" s="799"/>
      <c r="R27" s="799"/>
      <c r="S27" s="799"/>
      <c r="T27" s="799"/>
      <c r="U27" s="799"/>
      <c r="V27" s="799"/>
      <c r="W27" s="799"/>
      <c r="X27" s="724" t="s">
        <v>5868</v>
      </c>
      <c r="Y27" s="799"/>
      <c r="Z27" s="799"/>
      <c r="AA27" s="799"/>
      <c r="AB27" s="799"/>
      <c r="AC27" s="799"/>
    </row>
    <row r="28" spans="1:29" s="629" customFormat="1" ht="20.100000000000001" customHeight="1">
      <c r="A28" s="664"/>
      <c r="B28" s="790"/>
      <c r="C28" s="791"/>
      <c r="D28" s="792"/>
      <c r="E28" s="708"/>
      <c r="F28" s="793"/>
      <c r="G28" s="708"/>
      <c r="H28" s="794"/>
      <c r="I28" s="795"/>
      <c r="J28" s="796"/>
      <c r="K28" s="611"/>
      <c r="L28" s="797"/>
      <c r="M28" s="796"/>
      <c r="N28" s="798"/>
      <c r="O28" s="796"/>
      <c r="P28" s="799"/>
      <c r="Q28" s="799"/>
      <c r="R28" s="799"/>
      <c r="S28" s="799"/>
      <c r="T28" s="799"/>
      <c r="U28" s="799"/>
      <c r="V28" s="799"/>
      <c r="W28" s="799"/>
      <c r="X28" s="799"/>
      <c r="Y28" s="799"/>
      <c r="Z28" s="799"/>
      <c r="AA28" s="799"/>
      <c r="AB28" s="799"/>
      <c r="AC28" s="799"/>
    </row>
    <row r="29" spans="1:29" s="629" customFormat="1" ht="20.100000000000001" customHeight="1">
      <c r="A29" s="664"/>
      <c r="B29" s="790"/>
      <c r="C29" s="791"/>
      <c r="D29" s="792"/>
      <c r="E29" s="708"/>
      <c r="F29" s="793"/>
      <c r="G29" s="708"/>
      <c r="H29" s="794"/>
      <c r="I29" s="795"/>
      <c r="J29" s="796"/>
      <c r="K29" s="611"/>
      <c r="L29" s="797"/>
      <c r="M29" s="796"/>
      <c r="N29" s="798"/>
      <c r="O29" s="796"/>
      <c r="P29" s="799"/>
      <c r="Q29" s="799"/>
      <c r="R29" s="799"/>
      <c r="S29" s="799"/>
      <c r="T29" s="799"/>
      <c r="U29" s="799"/>
      <c r="V29" s="799"/>
      <c r="W29" s="799"/>
      <c r="X29" s="799"/>
      <c r="Y29" s="799"/>
      <c r="Z29" s="799"/>
      <c r="AA29" s="799"/>
      <c r="AB29" s="799"/>
      <c r="AC29" s="799"/>
    </row>
    <row r="30" spans="1:29" s="629" customFormat="1" ht="20.100000000000001" customHeight="1">
      <c r="A30" s="664"/>
      <c r="B30" s="790"/>
      <c r="C30" s="791"/>
      <c r="D30" s="792"/>
      <c r="E30" s="708"/>
      <c r="F30" s="793"/>
      <c r="G30" s="708"/>
      <c r="H30" s="794"/>
      <c r="I30" s="795"/>
      <c r="J30" s="796"/>
      <c r="K30" s="611"/>
      <c r="L30" s="797"/>
      <c r="M30" s="796"/>
      <c r="N30" s="798"/>
      <c r="O30" s="796"/>
      <c r="P30" s="799"/>
      <c r="Q30" s="799"/>
      <c r="R30" s="799"/>
      <c r="S30" s="799"/>
      <c r="T30" s="799"/>
      <c r="U30" s="799"/>
      <c r="V30" s="799"/>
      <c r="W30" s="799"/>
      <c r="X30" s="799"/>
      <c r="Y30" s="799"/>
      <c r="Z30" s="799"/>
      <c r="AA30" s="799"/>
      <c r="AB30" s="799"/>
      <c r="AC30" s="799"/>
    </row>
    <row r="31" spans="1:29" s="629" customFormat="1" ht="20.100000000000001" customHeight="1" thickBot="1">
      <c r="A31" s="664"/>
      <c r="B31" s="790"/>
      <c r="C31" s="791"/>
      <c r="D31" s="792"/>
      <c r="E31" s="708"/>
      <c r="F31" s="793"/>
      <c r="G31" s="708"/>
      <c r="H31" s="794"/>
      <c r="I31" s="795"/>
      <c r="J31" s="796"/>
      <c r="K31" s="611"/>
      <c r="L31" s="797"/>
      <c r="M31" s="796"/>
      <c r="N31" s="798"/>
      <c r="O31" s="796"/>
      <c r="P31" s="799"/>
      <c r="Q31" s="799"/>
      <c r="R31" s="799"/>
      <c r="S31" s="799"/>
      <c r="T31" s="799"/>
      <c r="U31" s="799"/>
      <c r="V31" s="799"/>
      <c r="W31" s="799"/>
      <c r="X31" s="799"/>
      <c r="Y31" s="799"/>
      <c r="Z31" s="799"/>
      <c r="AA31" s="799"/>
      <c r="AB31" s="799"/>
      <c r="AC31" s="799"/>
    </row>
    <row r="32" spans="1:29" s="629" customFormat="1" ht="30" customHeight="1">
      <c r="A32" s="664"/>
      <c r="B32" s="665" t="str">
        <f>+"ALTO NIVEL Y DIRECCION_NOMINA_2A_QUINCENA_"&amp;NOMINA!F9&amp;"_"&amp;NOMINA!H9</f>
        <v>ALTO NIVEL Y DIRECCION_NOMINA_2A_QUINCENA_ENERO_2025</v>
      </c>
      <c r="C32" s="800"/>
      <c r="D32" s="801"/>
      <c r="E32" s="802"/>
      <c r="F32" s="803"/>
      <c r="G32" s="802"/>
      <c r="H32" s="804"/>
      <c r="I32" s="805"/>
      <c r="J32" s="806"/>
      <c r="K32" s="805"/>
      <c r="L32" s="807"/>
      <c r="M32" s="806"/>
      <c r="N32" s="808"/>
      <c r="O32" s="806"/>
      <c r="P32" s="809"/>
      <c r="Q32" s="809"/>
      <c r="R32" s="809"/>
      <c r="S32" s="809"/>
      <c r="T32" s="811"/>
      <c r="U32" s="811"/>
      <c r="V32" s="812"/>
      <c r="W32" s="812"/>
      <c r="X32" s="810"/>
      <c r="Y32" s="809"/>
      <c r="Z32" s="809"/>
      <c r="AA32" s="809"/>
      <c r="AB32" s="810"/>
      <c r="AC32" s="813"/>
    </row>
    <row r="33" spans="1:29" s="629" customFormat="1" ht="20.100000000000001" customHeight="1">
      <c r="A33" s="664" t="s">
        <v>2846</v>
      </c>
      <c r="B33" s="510">
        <v>1</v>
      </c>
      <c r="C33" s="980">
        <f>NOMINA!C17</f>
        <v>11894534</v>
      </c>
      <c r="D33" s="981" t="str">
        <f>NOMINA!D17</f>
        <v>Olmos Rodriguez Eberto de Jesus</v>
      </c>
      <c r="E33" s="978" t="s">
        <v>4622</v>
      </c>
      <c r="F33" s="982">
        <v>32351</v>
      </c>
      <c r="G33" s="978" t="s">
        <v>4620</v>
      </c>
      <c r="H33" s="1001">
        <f>NOMINA!H17</f>
        <v>40909</v>
      </c>
      <c r="I33" s="984">
        <f>NOMINA!I17</f>
        <v>13</v>
      </c>
      <c r="J33" s="985">
        <f>NOMINA!J17</f>
        <v>13</v>
      </c>
      <c r="K33" s="984">
        <f>I33+J33</f>
        <v>26</v>
      </c>
      <c r="L33" s="985" t="s">
        <v>4932</v>
      </c>
      <c r="M33" s="985"/>
      <c r="N33" s="1002" t="str">
        <f>NOMINA!O17</f>
        <v>JEFE DE DEPARTAMENTO</v>
      </c>
      <c r="O33" s="985">
        <v>1.02087691000006E+18</v>
      </c>
      <c r="P33" s="999">
        <f>NOMINA!W17</f>
        <v>181.5</v>
      </c>
      <c r="Q33" s="986">
        <f>NOMINA!AG17</f>
        <v>54.45</v>
      </c>
      <c r="R33" s="986">
        <f>NOMINA!AI17</f>
        <v>65</v>
      </c>
      <c r="S33" s="986">
        <f>NOMINA!AK17</f>
        <v>75.239999999999995</v>
      </c>
      <c r="T33" s="986">
        <f>ROUND(NOMINA!AO17,2)</f>
        <v>0</v>
      </c>
      <c r="U33" s="986">
        <f>ROUND(NOMINA!AQ17,2)</f>
        <v>0</v>
      </c>
      <c r="V33" s="986">
        <f>ROUND(NOMINA!AR17,2)</f>
        <v>0</v>
      </c>
      <c r="W33" s="986">
        <f>ROUND(NOMINA!AS17,2)</f>
        <v>0</v>
      </c>
      <c r="X33" s="986">
        <f>ROUND(NOMINA!AW17,2)</f>
        <v>0</v>
      </c>
      <c r="Y33" s="986">
        <f>ROUND(NOMINA!AX17,2)</f>
        <v>6019.04</v>
      </c>
      <c r="Z33" s="986">
        <f>ROUND(NOMINA!BB17,2)+ROUND(NOMINA!BF17,2)</f>
        <v>0</v>
      </c>
      <c r="AA33" s="986">
        <f>ROUND(NOMINA!BK17,2)*0</f>
        <v>0</v>
      </c>
      <c r="AB33" s="986">
        <f>ROUND(NOMINA!BG17,2)</f>
        <v>300</v>
      </c>
      <c r="AC33" s="1000">
        <f>+P33+Q33+R33+S33+T33+U33+V33+W33+X33+Y33+Z33+AB33+AA33</f>
        <v>6695.23</v>
      </c>
    </row>
    <row r="34" spans="1:29" s="629" customFormat="1" ht="20.100000000000001" customHeight="1">
      <c r="A34" s="664" t="s">
        <v>2846</v>
      </c>
      <c r="B34" s="510">
        <f>+B33+1</f>
        <v>2</v>
      </c>
      <c r="C34" s="980">
        <f>NOMINA!C18</f>
        <v>12458942</v>
      </c>
      <c r="D34" s="981" t="str">
        <f>NOMINA!D18</f>
        <v>Mendoza Mendoza Mirian del Milagro</v>
      </c>
      <c r="E34" s="978" t="s">
        <v>4622</v>
      </c>
      <c r="F34" s="982">
        <v>32351</v>
      </c>
      <c r="G34" s="978" t="s">
        <v>4620</v>
      </c>
      <c r="H34" s="1001">
        <f>NOMINA!H18</f>
        <v>44424</v>
      </c>
      <c r="I34" s="984">
        <f>NOMINA!I18</f>
        <v>3</v>
      </c>
      <c r="J34" s="985">
        <f>NOMINA!J18</f>
        <v>19</v>
      </c>
      <c r="K34" s="984">
        <f t="shared" ref="K34:K56" si="2">I34+J34</f>
        <v>22</v>
      </c>
      <c r="L34" s="985" t="s">
        <v>4932</v>
      </c>
      <c r="M34" s="985"/>
      <c r="N34" s="1002" t="str">
        <f>NOMINA!O18</f>
        <v>JEFE DE DEPARTAMENTO</v>
      </c>
      <c r="O34" s="985">
        <v>1.02087691000006E+18</v>
      </c>
      <c r="P34" s="999">
        <f>NOMINA!W18</f>
        <v>181.5</v>
      </c>
      <c r="Q34" s="986">
        <f>NOMINA!AG18</f>
        <v>53.72</v>
      </c>
      <c r="R34" s="986">
        <f>NOMINA!AI18</f>
        <v>65</v>
      </c>
      <c r="S34" s="986">
        <f>NOMINA!AK18</f>
        <v>90.07</v>
      </c>
      <c r="T34" s="986">
        <f>ROUND(NOMINA!AO18,2)</f>
        <v>0</v>
      </c>
      <c r="U34" s="986">
        <f>ROUND(NOMINA!AQ18,2)</f>
        <v>0</v>
      </c>
      <c r="V34" s="986">
        <f>ROUND(NOMINA!AR18,2)</f>
        <v>0</v>
      </c>
      <c r="W34" s="986">
        <f>ROUND(NOMINA!AS18,2)</f>
        <v>0</v>
      </c>
      <c r="X34" s="986">
        <f>ROUND(NOMINA!AW18,2)</f>
        <v>0</v>
      </c>
      <c r="Y34" s="986">
        <f>ROUND(NOMINA!AX18,2)</f>
        <v>0</v>
      </c>
      <c r="Z34" s="986">
        <f>ROUND(NOMINA!BB18,2)+ROUND(NOMINA!BF18,2)</f>
        <v>0</v>
      </c>
      <c r="AA34" s="986">
        <f>ROUND(NOMINA!BK18,2)*0</f>
        <v>0</v>
      </c>
      <c r="AB34" s="986">
        <f>ROUND(NOMINA!BG18,2)</f>
        <v>300</v>
      </c>
      <c r="AC34" s="1000">
        <f t="shared" ref="AC34:AC56" si="3">+P34+Q34+R34+S34+T34+U34+V34+W34+X34+Y34+Z34+AB34+AA34</f>
        <v>690.29</v>
      </c>
    </row>
    <row r="35" spans="1:29" s="629" customFormat="1" ht="20.100000000000001" customHeight="1">
      <c r="A35" s="664" t="s">
        <v>2846</v>
      </c>
      <c r="B35" s="510">
        <f t="shared" ref="B35:B56" si="4">+B34+1</f>
        <v>3</v>
      </c>
      <c r="C35" s="980">
        <f>NOMINA!C19</f>
        <v>8719807</v>
      </c>
      <c r="D35" s="981" t="str">
        <f>NOMINA!D19</f>
        <v>Perez Saavedra Isabel Teresa</v>
      </c>
      <c r="E35" s="978" t="s">
        <v>4622</v>
      </c>
      <c r="F35" s="982">
        <v>32351</v>
      </c>
      <c r="G35" s="978" t="s">
        <v>4620</v>
      </c>
      <c r="H35" s="1001">
        <f>NOMINA!H19</f>
        <v>39874</v>
      </c>
      <c r="I35" s="984">
        <f>NOMINA!I19</f>
        <v>15</v>
      </c>
      <c r="J35" s="985">
        <f>NOMINA!J19</f>
        <v>4</v>
      </c>
      <c r="K35" s="984">
        <f t="shared" si="2"/>
        <v>19</v>
      </c>
      <c r="L35" s="985" t="s">
        <v>4932</v>
      </c>
      <c r="M35" s="985"/>
      <c r="N35" s="1002" t="str">
        <f>NOMINA!O19</f>
        <v>JEFE DE DEPARTAMENTO</v>
      </c>
      <c r="O35" s="985">
        <v>1.02087691000006E+18</v>
      </c>
      <c r="P35" s="999">
        <f>NOMINA!W19</f>
        <v>181.5</v>
      </c>
      <c r="Q35" s="986">
        <f>NOMINA!AG19</f>
        <v>44.28</v>
      </c>
      <c r="R35" s="986">
        <f>NOMINA!AI19</f>
        <v>65</v>
      </c>
      <c r="S35" s="986">
        <f>NOMINA!AK19</f>
        <v>72.69</v>
      </c>
      <c r="T35" s="986">
        <f>ROUND(NOMINA!AO19,2)</f>
        <v>0</v>
      </c>
      <c r="U35" s="986">
        <f>ROUND(NOMINA!AQ19,2)</f>
        <v>0</v>
      </c>
      <c r="V35" s="986">
        <f>ROUND(NOMINA!AR19,2)</f>
        <v>0</v>
      </c>
      <c r="W35" s="986">
        <f>ROUND(NOMINA!AS19,2)</f>
        <v>0</v>
      </c>
      <c r="X35" s="986">
        <f>ROUND(NOMINA!AW19,2)</f>
        <v>0</v>
      </c>
      <c r="Y35" s="986">
        <f>ROUND(NOMINA!AX19,2)</f>
        <v>0</v>
      </c>
      <c r="Z35" s="986">
        <f>ROUND(NOMINA!BB19,2)+ROUND(NOMINA!BF19,2)</f>
        <v>0</v>
      </c>
      <c r="AA35" s="986">
        <f>ROUND(NOMINA!BK19,2)*0</f>
        <v>0</v>
      </c>
      <c r="AB35" s="986">
        <f>ROUND(NOMINA!BG19,2)</f>
        <v>300</v>
      </c>
      <c r="AC35" s="1000">
        <f t="shared" si="3"/>
        <v>663.47</v>
      </c>
    </row>
    <row r="36" spans="1:29" s="629" customFormat="1" ht="20.100000000000001" customHeight="1">
      <c r="A36" s="664" t="s">
        <v>2846</v>
      </c>
      <c r="B36" s="510">
        <f t="shared" si="4"/>
        <v>4</v>
      </c>
      <c r="C36" s="980">
        <f>NOMINA!C20</f>
        <v>10404528</v>
      </c>
      <c r="D36" s="981" t="str">
        <f>NOMINA!D20</f>
        <v>Perez Castellano Javier Horacio</v>
      </c>
      <c r="E36" s="978" t="s">
        <v>4622</v>
      </c>
      <c r="F36" s="982">
        <v>32351</v>
      </c>
      <c r="G36" s="978" t="s">
        <v>4620</v>
      </c>
      <c r="H36" s="1001">
        <f>NOMINA!H20</f>
        <v>37622</v>
      </c>
      <c r="I36" s="984">
        <f>NOMINA!I20</f>
        <v>22</v>
      </c>
      <c r="J36" s="985">
        <f>NOMINA!J20</f>
        <v>0</v>
      </c>
      <c r="K36" s="984">
        <f t="shared" si="2"/>
        <v>22</v>
      </c>
      <c r="L36" s="985" t="s">
        <v>4932</v>
      </c>
      <c r="M36" s="985"/>
      <c r="N36" s="1002" t="str">
        <f>NOMINA!O20</f>
        <v>JEFE DE DEPARTAMENTO</v>
      </c>
      <c r="O36" s="985">
        <v>1.02087691000006E+18</v>
      </c>
      <c r="P36" s="999">
        <f>NOMINA!W20</f>
        <v>181.5</v>
      </c>
      <c r="Q36" s="986">
        <f>NOMINA!AG20</f>
        <v>53.72</v>
      </c>
      <c r="R36" s="986">
        <f>NOMINA!AI20</f>
        <v>65</v>
      </c>
      <c r="S36" s="986">
        <f>NOMINA!AK20</f>
        <v>76.62</v>
      </c>
      <c r="T36" s="986">
        <f>ROUND(NOMINA!AO20,2)</f>
        <v>12.5</v>
      </c>
      <c r="U36" s="986">
        <f>ROUND(NOMINA!AQ20,2)</f>
        <v>0</v>
      </c>
      <c r="V36" s="986">
        <f>ROUND(NOMINA!AR20,2)</f>
        <v>0</v>
      </c>
      <c r="W36" s="986">
        <f>ROUND(NOMINA!AS20,2)</f>
        <v>0</v>
      </c>
      <c r="X36" s="986">
        <f>ROUND(NOMINA!AW20,2)</f>
        <v>0</v>
      </c>
      <c r="Y36" s="986">
        <f>ROUND(NOMINA!AX20,2)</f>
        <v>6129.52</v>
      </c>
      <c r="Z36" s="986">
        <f>ROUND(NOMINA!BB20,2)+ROUND(NOMINA!BF20,2)</f>
        <v>0</v>
      </c>
      <c r="AA36" s="986">
        <f>ROUND(NOMINA!BK20,2)*0</f>
        <v>0</v>
      </c>
      <c r="AB36" s="986">
        <f>ROUND(NOMINA!BG20,2)</f>
        <v>300</v>
      </c>
      <c r="AC36" s="1000">
        <f t="shared" si="3"/>
        <v>6818.8600000000006</v>
      </c>
    </row>
    <row r="37" spans="1:29" s="629" customFormat="1" ht="20.100000000000001" customHeight="1">
      <c r="A37" s="664" t="s">
        <v>2846</v>
      </c>
      <c r="B37" s="510">
        <f t="shared" si="4"/>
        <v>5</v>
      </c>
      <c r="C37" s="980">
        <f>NOMINA!C21</f>
        <v>9311822</v>
      </c>
      <c r="D37" s="981" t="str">
        <f>NOMINA!D21</f>
        <v>Rojo Sanchez Alexis O.</v>
      </c>
      <c r="E37" s="978" t="s">
        <v>4622</v>
      </c>
      <c r="F37" s="982">
        <v>32351</v>
      </c>
      <c r="G37" s="978" t="s">
        <v>4620</v>
      </c>
      <c r="H37" s="1001">
        <f>NOMINA!H21</f>
        <v>37662</v>
      </c>
      <c r="I37" s="984">
        <f>NOMINA!I21</f>
        <v>21</v>
      </c>
      <c r="J37" s="985">
        <f>NOMINA!J21</f>
        <v>0</v>
      </c>
      <c r="K37" s="984">
        <f t="shared" si="2"/>
        <v>21</v>
      </c>
      <c r="L37" s="985" t="s">
        <v>4932</v>
      </c>
      <c r="M37" s="985"/>
      <c r="N37" s="1002" t="str">
        <f>NOMINA!O21</f>
        <v>JEFE DE DEPARTAMENTO</v>
      </c>
      <c r="O37" s="985">
        <v>1.02087691000006E+18</v>
      </c>
      <c r="P37" s="999">
        <f>NOMINA!W21</f>
        <v>181.5</v>
      </c>
      <c r="Q37" s="986">
        <f>NOMINA!AG21</f>
        <v>50.45</v>
      </c>
      <c r="R37" s="986">
        <f>NOMINA!AI21</f>
        <v>65</v>
      </c>
      <c r="S37" s="986">
        <f>NOMINA!AK21</f>
        <v>0</v>
      </c>
      <c r="T37" s="986">
        <f>ROUND(NOMINA!AO21,2)</f>
        <v>0</v>
      </c>
      <c r="U37" s="986">
        <f>ROUND(NOMINA!AQ21,2)</f>
        <v>0</v>
      </c>
      <c r="V37" s="986">
        <f>ROUND(NOMINA!AR21,2)</f>
        <v>0</v>
      </c>
      <c r="W37" s="986">
        <f>ROUND(NOMINA!AS21,2)</f>
        <v>0</v>
      </c>
      <c r="X37" s="986">
        <f>ROUND(NOMINA!AW21,2)</f>
        <v>0</v>
      </c>
      <c r="Y37" s="986">
        <f>ROUND(NOMINA!AX21,2)</f>
        <v>0</v>
      </c>
      <c r="Z37" s="986">
        <f>ROUND(NOMINA!BB21,2)+ROUND(NOMINA!BF21,2)</f>
        <v>0</v>
      </c>
      <c r="AA37" s="986">
        <f>ROUND(NOMINA!BK21,2)*0</f>
        <v>0</v>
      </c>
      <c r="AB37" s="986">
        <f>ROUND(NOMINA!BG21,2)</f>
        <v>300</v>
      </c>
      <c r="AC37" s="1000">
        <f t="shared" si="3"/>
        <v>596.95000000000005</v>
      </c>
    </row>
    <row r="38" spans="1:29" s="629" customFormat="1" ht="20.100000000000001" customHeight="1">
      <c r="A38" s="664" t="s">
        <v>2846</v>
      </c>
      <c r="B38" s="510">
        <f t="shared" si="4"/>
        <v>6</v>
      </c>
      <c r="C38" s="980">
        <f>NOMINA!C22</f>
        <v>21592108</v>
      </c>
      <c r="D38" s="981" t="str">
        <f>NOMINA!D22</f>
        <v>Coy Andara Darlin Gabriela</v>
      </c>
      <c r="E38" s="978" t="s">
        <v>4622</v>
      </c>
      <c r="F38" s="982">
        <v>32351</v>
      </c>
      <c r="G38" s="978" t="s">
        <v>4620</v>
      </c>
      <c r="H38" s="1001">
        <f>NOMINA!H22</f>
        <v>43024</v>
      </c>
      <c r="I38" s="984">
        <f>NOMINA!I22</f>
        <v>7</v>
      </c>
      <c r="J38" s="985">
        <f>NOMINA!J22</f>
        <v>0</v>
      </c>
      <c r="K38" s="984">
        <f t="shared" si="2"/>
        <v>7</v>
      </c>
      <c r="L38" s="985" t="s">
        <v>4932</v>
      </c>
      <c r="M38" s="985"/>
      <c r="N38" s="1002" t="str">
        <f>NOMINA!O22</f>
        <v>JEFE DE DEPARTAMENTO</v>
      </c>
      <c r="O38" s="985">
        <v>1.02087691000006E+18</v>
      </c>
      <c r="P38" s="999">
        <f>NOMINA!W22</f>
        <v>181.5</v>
      </c>
      <c r="Q38" s="986">
        <f>NOMINA!AG22</f>
        <v>13.43</v>
      </c>
      <c r="R38" s="986">
        <f>NOMINA!AI22</f>
        <v>65</v>
      </c>
      <c r="S38" s="986">
        <f>NOMINA!AK22</f>
        <v>53.23</v>
      </c>
      <c r="T38" s="986">
        <f>ROUND(NOMINA!AO22,2)</f>
        <v>0</v>
      </c>
      <c r="U38" s="986">
        <f>ROUND(NOMINA!AQ22,2)</f>
        <v>0</v>
      </c>
      <c r="V38" s="986">
        <f>ROUND(NOMINA!AR22,2)</f>
        <v>0</v>
      </c>
      <c r="W38" s="986">
        <f>ROUND(NOMINA!AS22,2)</f>
        <v>0</v>
      </c>
      <c r="X38" s="986">
        <f>ROUND(NOMINA!AW22,2)</f>
        <v>0</v>
      </c>
      <c r="Y38" s="986">
        <f>ROUND(NOMINA!AX22,2)</f>
        <v>0</v>
      </c>
      <c r="Z38" s="986">
        <f>ROUND(NOMINA!BB22,2)+ROUND(NOMINA!BF22,2)</f>
        <v>0</v>
      </c>
      <c r="AA38" s="986">
        <f>ROUND(NOMINA!BK22,2)*0</f>
        <v>0</v>
      </c>
      <c r="AB38" s="986">
        <f>ROUND(NOMINA!BG22,2)</f>
        <v>300</v>
      </c>
      <c r="AC38" s="1000">
        <f t="shared" si="3"/>
        <v>613.16000000000008</v>
      </c>
    </row>
    <row r="39" spans="1:29" s="629" customFormat="1" ht="20.100000000000001" customHeight="1">
      <c r="A39" s="664" t="s">
        <v>2846</v>
      </c>
      <c r="B39" s="510">
        <f t="shared" si="4"/>
        <v>7</v>
      </c>
      <c r="C39" s="980">
        <f>NOMINA!C23</f>
        <v>13206767</v>
      </c>
      <c r="D39" s="981" t="str">
        <f>NOMINA!D23</f>
        <v>Bastidas Guerra Soralis del Valle</v>
      </c>
      <c r="E39" s="978" t="s">
        <v>4622</v>
      </c>
      <c r="F39" s="982">
        <v>32351</v>
      </c>
      <c r="G39" s="978" t="s">
        <v>4620</v>
      </c>
      <c r="H39" s="1001">
        <f>NOMINA!H23</f>
        <v>44713</v>
      </c>
      <c r="I39" s="984">
        <f>NOMINA!I23</f>
        <v>2</v>
      </c>
      <c r="J39" s="985">
        <f>NOMINA!J23</f>
        <v>0</v>
      </c>
      <c r="K39" s="984">
        <f t="shared" si="2"/>
        <v>2</v>
      </c>
      <c r="L39" s="985" t="s">
        <v>4932</v>
      </c>
      <c r="M39" s="985"/>
      <c r="N39" s="1002" t="str">
        <f>NOMINA!O23</f>
        <v>COORDINADOR DE PROGRAMA (SAPNNAET)</v>
      </c>
      <c r="O39" s="985">
        <v>1.02087691000006E+18</v>
      </c>
      <c r="P39" s="999">
        <f>NOMINA!W23</f>
        <v>174</v>
      </c>
      <c r="Q39" s="986">
        <f>NOMINA!AG23</f>
        <v>3.48</v>
      </c>
      <c r="R39" s="986">
        <f>NOMINA!AI23</f>
        <v>65</v>
      </c>
      <c r="S39" s="986">
        <f>NOMINA!AK23</f>
        <v>60.62</v>
      </c>
      <c r="T39" s="986">
        <f>ROUND(NOMINA!AO23,2)</f>
        <v>0</v>
      </c>
      <c r="U39" s="986">
        <f>ROUND(NOMINA!AQ23,2)</f>
        <v>0</v>
      </c>
      <c r="V39" s="986">
        <f>ROUND(NOMINA!AR23,2)</f>
        <v>0</v>
      </c>
      <c r="W39" s="986">
        <f>ROUND(NOMINA!AS23,2)</f>
        <v>0</v>
      </c>
      <c r="X39" s="986">
        <f>ROUND(NOMINA!AW23,2)</f>
        <v>0</v>
      </c>
      <c r="Y39" s="986">
        <f>ROUND(NOMINA!AX23,2)</f>
        <v>0</v>
      </c>
      <c r="Z39" s="986">
        <f>ROUND(NOMINA!BB23,2)+ROUND(NOMINA!BF23,2)</f>
        <v>0</v>
      </c>
      <c r="AA39" s="986">
        <f>ROUND(NOMINA!BK23,2)*0</f>
        <v>0</v>
      </c>
      <c r="AB39" s="986">
        <f>ROUND(NOMINA!BG23,2)</f>
        <v>300</v>
      </c>
      <c r="AC39" s="1000">
        <f t="shared" si="3"/>
        <v>603.09999999999991</v>
      </c>
    </row>
    <row r="40" spans="1:29" s="629" customFormat="1" ht="20.100000000000001" customHeight="1">
      <c r="A40" s="664" t="s">
        <v>2846</v>
      </c>
      <c r="B40" s="510">
        <f t="shared" si="4"/>
        <v>8</v>
      </c>
      <c r="C40" s="980">
        <f>NOMINA!C24</f>
        <v>13462933</v>
      </c>
      <c r="D40" s="981" t="str">
        <f>NOMINA!D24</f>
        <v>Frias Aldana Maria Yaritza</v>
      </c>
      <c r="E40" s="978" t="s">
        <v>4622</v>
      </c>
      <c r="F40" s="982">
        <v>32351</v>
      </c>
      <c r="G40" s="978" t="s">
        <v>4620</v>
      </c>
      <c r="H40" s="1001">
        <f>NOMINA!H24</f>
        <v>39454</v>
      </c>
      <c r="I40" s="984">
        <f>NOMINA!I24</f>
        <v>17</v>
      </c>
      <c r="J40" s="985">
        <f>NOMINA!J24</f>
        <v>6</v>
      </c>
      <c r="K40" s="984">
        <f t="shared" si="2"/>
        <v>23</v>
      </c>
      <c r="L40" s="985" t="s">
        <v>4932</v>
      </c>
      <c r="M40" s="985"/>
      <c r="N40" s="1002" t="str">
        <f>NOMINA!O24</f>
        <v>COORDINADOR DE PROGRAMA (SAPNNAET)</v>
      </c>
      <c r="O40" s="985">
        <v>1.02087691000006E+18</v>
      </c>
      <c r="P40" s="999">
        <f>NOMINA!W24</f>
        <v>174</v>
      </c>
      <c r="Q40" s="986">
        <f>NOMINA!AG24</f>
        <v>52.2</v>
      </c>
      <c r="R40" s="986">
        <f>NOMINA!AI24</f>
        <v>65</v>
      </c>
      <c r="S40" s="986">
        <f>NOMINA!AK24</f>
        <v>59.49</v>
      </c>
      <c r="T40" s="986">
        <f>ROUND(NOMINA!AO24,2)</f>
        <v>12.5</v>
      </c>
      <c r="U40" s="986">
        <f>ROUND(NOMINA!AQ24,2)</f>
        <v>0</v>
      </c>
      <c r="V40" s="986">
        <f>ROUND(NOMINA!AR24,2)</f>
        <v>0</v>
      </c>
      <c r="W40" s="986">
        <f>ROUND(NOMINA!AS24,2)</f>
        <v>0</v>
      </c>
      <c r="X40" s="986">
        <f>ROUND(NOMINA!AW24,2)</f>
        <v>0</v>
      </c>
      <c r="Y40" s="986">
        <f>ROUND(NOMINA!AX24,2)</f>
        <v>5711.04</v>
      </c>
      <c r="Z40" s="986">
        <f>ROUND(NOMINA!BB24,2)+ROUND(NOMINA!BF24,2)</f>
        <v>0</v>
      </c>
      <c r="AA40" s="986">
        <f>ROUND(NOMINA!BK24,2)*0</f>
        <v>0</v>
      </c>
      <c r="AB40" s="986">
        <f>ROUND(NOMINA!BG24,2)</f>
        <v>300</v>
      </c>
      <c r="AC40" s="1000">
        <f t="shared" si="3"/>
        <v>6374.23</v>
      </c>
    </row>
    <row r="41" spans="1:29" s="629" customFormat="1" ht="20.100000000000001" customHeight="1">
      <c r="A41" s="664" t="s">
        <v>2846</v>
      </c>
      <c r="B41" s="510">
        <f t="shared" si="4"/>
        <v>9</v>
      </c>
      <c r="C41" s="980">
        <f>NOMINA!C25</f>
        <v>11315315</v>
      </c>
      <c r="D41" s="981" t="str">
        <f>NOMINA!D25</f>
        <v>Guillen Mendoza Edgar Daniel</v>
      </c>
      <c r="E41" s="978" t="s">
        <v>4622</v>
      </c>
      <c r="F41" s="982">
        <v>32351</v>
      </c>
      <c r="G41" s="978" t="s">
        <v>4620</v>
      </c>
      <c r="H41" s="1001">
        <f>NOMINA!H25</f>
        <v>45505</v>
      </c>
      <c r="I41" s="984">
        <f>NOMINA!I25</f>
        <v>0</v>
      </c>
      <c r="J41" s="985">
        <f>NOMINA!J25</f>
        <v>0</v>
      </c>
      <c r="K41" s="984">
        <f t="shared" si="2"/>
        <v>0</v>
      </c>
      <c r="L41" s="985" t="s">
        <v>4932</v>
      </c>
      <c r="M41" s="985"/>
      <c r="N41" s="1002" t="str">
        <f>NOMINA!O25</f>
        <v>COORDINADOR DE PROGRAMA (SAPNNAET)</v>
      </c>
      <c r="O41" s="985">
        <v>1.02087691000006E+18</v>
      </c>
      <c r="P41" s="999">
        <f>NOMINA!W25</f>
        <v>174</v>
      </c>
      <c r="Q41" s="986">
        <f>NOMINA!AG25</f>
        <v>0</v>
      </c>
      <c r="R41" s="986">
        <f>NOMINA!AI25</f>
        <v>65</v>
      </c>
      <c r="S41" s="986">
        <f>NOMINA!AK25</f>
        <v>0</v>
      </c>
      <c r="T41" s="986">
        <f>ROUND(NOMINA!AO25,2)</f>
        <v>0</v>
      </c>
      <c r="U41" s="986">
        <f>ROUND(NOMINA!AQ25,2)</f>
        <v>0</v>
      </c>
      <c r="V41" s="986">
        <f>ROUND(NOMINA!AR25,2)</f>
        <v>0</v>
      </c>
      <c r="W41" s="986">
        <f>ROUND(NOMINA!AS25,2)</f>
        <v>0</v>
      </c>
      <c r="X41" s="986">
        <f>ROUND(NOMINA!AW25,2)</f>
        <v>0</v>
      </c>
      <c r="Y41" s="986">
        <f>ROUND(NOMINA!AX25,2)</f>
        <v>0</v>
      </c>
      <c r="Z41" s="986">
        <f>ROUND(NOMINA!BB25,2)+ROUND(NOMINA!BF25,2)</f>
        <v>0</v>
      </c>
      <c r="AA41" s="986">
        <f>ROUND(NOMINA!BK25,2)*0</f>
        <v>0</v>
      </c>
      <c r="AB41" s="986">
        <f>ROUND(NOMINA!BG25,2)</f>
        <v>300</v>
      </c>
      <c r="AC41" s="1000">
        <f t="shared" si="3"/>
        <v>539</v>
      </c>
    </row>
    <row r="42" spans="1:29" s="629" customFormat="1" ht="20.100000000000001" customHeight="1">
      <c r="A42" s="664" t="s">
        <v>2846</v>
      </c>
      <c r="B42" s="510">
        <f t="shared" si="4"/>
        <v>10</v>
      </c>
      <c r="C42" s="980">
        <f>NOMINA!C26</f>
        <v>12542413</v>
      </c>
      <c r="D42" s="981" t="str">
        <f>NOMINA!D26</f>
        <v>Aponte Matheus Richard Alexander</v>
      </c>
      <c r="E42" s="978" t="s">
        <v>4622</v>
      </c>
      <c r="F42" s="982">
        <v>32351</v>
      </c>
      <c r="G42" s="978" t="s">
        <v>4620</v>
      </c>
      <c r="H42" s="1001">
        <f>NOMINA!H26</f>
        <v>36434</v>
      </c>
      <c r="I42" s="984">
        <f>NOMINA!I26</f>
        <v>25</v>
      </c>
      <c r="J42" s="985">
        <f>NOMINA!J26</f>
        <v>0</v>
      </c>
      <c r="K42" s="984">
        <f t="shared" si="2"/>
        <v>25</v>
      </c>
      <c r="L42" s="985" t="s">
        <v>4932</v>
      </c>
      <c r="M42" s="985"/>
      <c r="N42" s="1002" t="str">
        <f>NOMINA!O26</f>
        <v>COORDINADOR DE PROGRAMA (SAPNNAET)</v>
      </c>
      <c r="O42" s="985">
        <v>1.02087691000006E+18</v>
      </c>
      <c r="P42" s="999">
        <f>NOMINA!W26</f>
        <v>174</v>
      </c>
      <c r="Q42" s="986">
        <f>NOMINA!AG26</f>
        <v>52.2</v>
      </c>
      <c r="R42" s="986">
        <f>NOMINA!AI26</f>
        <v>65</v>
      </c>
      <c r="S42" s="986">
        <f>NOMINA!AK26</f>
        <v>0</v>
      </c>
      <c r="T42" s="986">
        <f>ROUND(NOMINA!AO26,2)</f>
        <v>0</v>
      </c>
      <c r="U42" s="986">
        <f>ROUND(NOMINA!AQ26,2)</f>
        <v>0</v>
      </c>
      <c r="V42" s="986">
        <f>ROUND(NOMINA!AR26,2)</f>
        <v>0</v>
      </c>
      <c r="W42" s="986">
        <f>ROUND(NOMINA!AS26,2)</f>
        <v>0</v>
      </c>
      <c r="X42" s="986">
        <f>ROUND(NOMINA!AW26,2)</f>
        <v>0</v>
      </c>
      <c r="Y42" s="986">
        <f>ROUND(NOMINA!AX26,2)</f>
        <v>0</v>
      </c>
      <c r="Z42" s="986">
        <f>ROUND(NOMINA!BB26,2)+ROUND(NOMINA!BF26,2)</f>
        <v>0</v>
      </c>
      <c r="AA42" s="986">
        <f>ROUND(NOMINA!BK26,2)*0</f>
        <v>0</v>
      </c>
      <c r="AB42" s="986">
        <f>ROUND(NOMINA!BG26,2)</f>
        <v>300</v>
      </c>
      <c r="AC42" s="1000">
        <f t="shared" si="3"/>
        <v>591.20000000000005</v>
      </c>
    </row>
    <row r="43" spans="1:29" s="629" customFormat="1" ht="20.100000000000001" customHeight="1">
      <c r="A43" s="664" t="s">
        <v>2846</v>
      </c>
      <c r="B43" s="510">
        <f t="shared" si="4"/>
        <v>11</v>
      </c>
      <c r="C43" s="980">
        <f>NOMINA!C27</f>
        <v>18457406</v>
      </c>
      <c r="D43" s="981" t="str">
        <f>NOMINA!D27</f>
        <v>Rivero Zambrano Herluis Jose</v>
      </c>
      <c r="E43" s="978" t="s">
        <v>4622</v>
      </c>
      <c r="F43" s="982">
        <v>32351</v>
      </c>
      <c r="G43" s="978" t="s">
        <v>4620</v>
      </c>
      <c r="H43" s="1001">
        <f>NOMINA!H27</f>
        <v>41548</v>
      </c>
      <c r="I43" s="984">
        <f>NOMINA!I27</f>
        <v>11</v>
      </c>
      <c r="J43" s="985">
        <f>NOMINA!J27</f>
        <v>0</v>
      </c>
      <c r="K43" s="984">
        <f t="shared" si="2"/>
        <v>11</v>
      </c>
      <c r="L43" s="985" t="s">
        <v>4932</v>
      </c>
      <c r="M43" s="985"/>
      <c r="N43" s="1002" t="str">
        <f>NOMINA!O27</f>
        <v>COORDINADOR DE PROGRAMA (SAPNNAET)</v>
      </c>
      <c r="O43" s="985">
        <v>1.02087691000006E+18</v>
      </c>
      <c r="P43" s="999">
        <f>NOMINA!W27</f>
        <v>174</v>
      </c>
      <c r="Q43" s="986">
        <f>NOMINA!AG27</f>
        <v>21.57</v>
      </c>
      <c r="R43" s="986">
        <f>NOMINA!AI27</f>
        <v>65</v>
      </c>
      <c r="S43" s="986">
        <f>NOMINA!AK27</f>
        <v>66.7</v>
      </c>
      <c r="T43" s="986">
        <f>ROUND(NOMINA!AO27,2)</f>
        <v>12.5</v>
      </c>
      <c r="U43" s="986">
        <f>ROUND(NOMINA!AQ27,2)</f>
        <v>0</v>
      </c>
      <c r="V43" s="986">
        <f>ROUND(NOMINA!AR27,2)</f>
        <v>0</v>
      </c>
      <c r="W43" s="986">
        <f>ROUND(NOMINA!AS27,2)</f>
        <v>0</v>
      </c>
      <c r="X43" s="986">
        <f>ROUND(NOMINA!AW27,2)</f>
        <v>0</v>
      </c>
      <c r="Y43" s="986">
        <f>ROUND(NOMINA!AX27,2)</f>
        <v>0</v>
      </c>
      <c r="Z43" s="986">
        <f>ROUND(NOMINA!BB27,2)+ROUND(NOMINA!BF27,2)</f>
        <v>0</v>
      </c>
      <c r="AA43" s="986">
        <f>ROUND(NOMINA!BK27,2)*0</f>
        <v>0</v>
      </c>
      <c r="AB43" s="986">
        <f>ROUND(NOMINA!BG27,2)</f>
        <v>300</v>
      </c>
      <c r="AC43" s="1000">
        <f t="shared" si="3"/>
        <v>639.77</v>
      </c>
    </row>
    <row r="44" spans="1:29" s="629" customFormat="1" ht="20.100000000000001" customHeight="1">
      <c r="A44" s="664" t="s">
        <v>2846</v>
      </c>
      <c r="B44" s="510">
        <f t="shared" si="4"/>
        <v>12</v>
      </c>
      <c r="C44" s="980">
        <f>NOMINA!C28</f>
        <v>11895772</v>
      </c>
      <c r="D44" s="981" t="str">
        <f>NOMINA!D28</f>
        <v>Rangel Rivas Ildemaro</v>
      </c>
      <c r="E44" s="978" t="s">
        <v>4622</v>
      </c>
      <c r="F44" s="982">
        <v>32351</v>
      </c>
      <c r="G44" s="978" t="s">
        <v>4620</v>
      </c>
      <c r="H44" s="1001">
        <f>NOMINA!H28</f>
        <v>44743</v>
      </c>
      <c r="I44" s="984">
        <f>NOMINA!I28</f>
        <v>2</v>
      </c>
      <c r="J44" s="985">
        <f>NOMINA!J28</f>
        <v>0</v>
      </c>
      <c r="K44" s="984">
        <f t="shared" si="2"/>
        <v>2</v>
      </c>
      <c r="L44" s="985" t="s">
        <v>4932</v>
      </c>
      <c r="M44" s="985"/>
      <c r="N44" s="1002" t="str">
        <f>NOMINA!O28</f>
        <v>COORDINADOR DE PROGRAMA (SAPNNAET)</v>
      </c>
      <c r="O44" s="985">
        <v>1.02087691000006E+18</v>
      </c>
      <c r="P44" s="999">
        <f>NOMINA!W28</f>
        <v>174</v>
      </c>
      <c r="Q44" s="986">
        <f>NOMINA!AG28</f>
        <v>3.48</v>
      </c>
      <c r="R44" s="986">
        <f>NOMINA!AI28</f>
        <v>65</v>
      </c>
      <c r="S44" s="986">
        <f>NOMINA!AK28</f>
        <v>49.74</v>
      </c>
      <c r="T44" s="986">
        <f>ROUND(NOMINA!AO28,2)</f>
        <v>12.5</v>
      </c>
      <c r="U44" s="986">
        <f>ROUND(NOMINA!AQ28,2)</f>
        <v>0</v>
      </c>
      <c r="V44" s="986">
        <f>ROUND(NOMINA!AR28,2)</f>
        <v>0</v>
      </c>
      <c r="W44" s="986">
        <f>ROUND(NOMINA!AS28,2)</f>
        <v>0</v>
      </c>
      <c r="X44" s="986">
        <f>ROUND(NOMINA!AW28,2)</f>
        <v>0</v>
      </c>
      <c r="Y44" s="986">
        <f>ROUND(NOMINA!AX28,2)</f>
        <v>0</v>
      </c>
      <c r="Z44" s="986">
        <f>ROUND(NOMINA!BB28,2)+ROUND(NOMINA!BF28,2)</f>
        <v>0</v>
      </c>
      <c r="AA44" s="986">
        <f>ROUND(NOMINA!BK28,2)*0</f>
        <v>0</v>
      </c>
      <c r="AB44" s="986">
        <f>ROUND(NOMINA!BG28,2)</f>
        <v>300</v>
      </c>
      <c r="AC44" s="1000">
        <f t="shared" si="3"/>
        <v>604.72</v>
      </c>
    </row>
    <row r="45" spans="1:29" s="629" customFormat="1" ht="20.100000000000001" customHeight="1">
      <c r="A45" s="664" t="s">
        <v>2846</v>
      </c>
      <c r="B45" s="510">
        <f t="shared" si="4"/>
        <v>13</v>
      </c>
      <c r="C45" s="980">
        <f>NOMINA!C29</f>
        <v>9495661</v>
      </c>
      <c r="D45" s="981" t="str">
        <f>NOMINA!D29</f>
        <v>Aguial Carrillo Gregoria Coromoto</v>
      </c>
      <c r="E45" s="978" t="s">
        <v>4622</v>
      </c>
      <c r="F45" s="982">
        <v>32351</v>
      </c>
      <c r="G45" s="978" t="s">
        <v>4620</v>
      </c>
      <c r="H45" s="1001">
        <f>NOMINA!H29</f>
        <v>39692</v>
      </c>
      <c r="I45" s="984">
        <f>NOMINA!I29</f>
        <v>16</v>
      </c>
      <c r="J45" s="985">
        <f>NOMINA!J29</f>
        <v>0</v>
      </c>
      <c r="K45" s="984">
        <f t="shared" si="2"/>
        <v>16</v>
      </c>
      <c r="L45" s="985" t="s">
        <v>4932</v>
      </c>
      <c r="M45" s="985"/>
      <c r="N45" s="1002" t="str">
        <f>NOMINA!O29</f>
        <v>COORDINADOR DE PROGRAMA (SAPNNAET)</v>
      </c>
      <c r="O45" s="985">
        <v>1.02087691000006E+18</v>
      </c>
      <c r="P45" s="999">
        <f>NOMINA!W29</f>
        <v>174</v>
      </c>
      <c r="Q45" s="986">
        <f>NOMINA!AG29</f>
        <v>34.1</v>
      </c>
      <c r="R45" s="986">
        <f>NOMINA!AI29</f>
        <v>65</v>
      </c>
      <c r="S45" s="986">
        <f>NOMINA!AK29</f>
        <v>0</v>
      </c>
      <c r="T45" s="986">
        <f>ROUND(NOMINA!AO29,2)</f>
        <v>0</v>
      </c>
      <c r="U45" s="986">
        <f>ROUND(NOMINA!AQ29,2)</f>
        <v>0</v>
      </c>
      <c r="V45" s="986">
        <f>ROUND(NOMINA!AR29,2)</f>
        <v>0</v>
      </c>
      <c r="W45" s="986">
        <f>ROUND(NOMINA!AS29,2)</f>
        <v>0</v>
      </c>
      <c r="X45" s="986">
        <f>ROUND(NOMINA!AW29,2)</f>
        <v>0</v>
      </c>
      <c r="Y45" s="986">
        <f>ROUND(NOMINA!AX29,2)</f>
        <v>0</v>
      </c>
      <c r="Z45" s="986">
        <f>ROUND(NOMINA!BB29,2)+ROUND(NOMINA!BF29,2)</f>
        <v>0</v>
      </c>
      <c r="AA45" s="986">
        <f>ROUND(NOMINA!BK29,2)*0</f>
        <v>0</v>
      </c>
      <c r="AB45" s="986">
        <f>ROUND(NOMINA!BG29,2)</f>
        <v>300</v>
      </c>
      <c r="AC45" s="1000">
        <f t="shared" si="3"/>
        <v>573.1</v>
      </c>
    </row>
    <row r="46" spans="1:29" s="629" customFormat="1" ht="20.100000000000001" customHeight="1">
      <c r="A46" s="664" t="s">
        <v>2846</v>
      </c>
      <c r="B46" s="510">
        <f t="shared" si="4"/>
        <v>14</v>
      </c>
      <c r="C46" s="980">
        <f>NOMINA!C30</f>
        <v>5348397</v>
      </c>
      <c r="D46" s="981" t="str">
        <f>NOMINA!D30</f>
        <v>Araujo Manzanilla Carlos Antonio</v>
      </c>
      <c r="E46" s="978" t="s">
        <v>4622</v>
      </c>
      <c r="F46" s="982">
        <v>32351</v>
      </c>
      <c r="G46" s="978" t="s">
        <v>4620</v>
      </c>
      <c r="H46" s="1001">
        <f>NOMINA!H30</f>
        <v>43359</v>
      </c>
      <c r="I46" s="984">
        <f>NOMINA!I30</f>
        <v>6</v>
      </c>
      <c r="J46" s="985">
        <f>NOMINA!J30</f>
        <v>0</v>
      </c>
      <c r="K46" s="984">
        <f t="shared" si="2"/>
        <v>6</v>
      </c>
      <c r="L46" s="985" t="s">
        <v>4932</v>
      </c>
      <c r="M46" s="985"/>
      <c r="N46" s="1002" t="str">
        <f>NOMINA!O30</f>
        <v>COORDINADOR DE PROGRAMA (SAPNNAET)</v>
      </c>
      <c r="O46" s="985">
        <v>1.02087691000006E+18</v>
      </c>
      <c r="P46" s="999">
        <f>NOMINA!W30</f>
        <v>174</v>
      </c>
      <c r="Q46" s="986">
        <f>NOMINA!AG30</f>
        <v>10.79</v>
      </c>
      <c r="R46" s="986">
        <f>NOMINA!AI30</f>
        <v>65</v>
      </c>
      <c r="S46" s="986">
        <f>NOMINA!AK30</f>
        <v>89.61</v>
      </c>
      <c r="T46" s="986">
        <f>ROUND(NOMINA!AO30,2)</f>
        <v>0</v>
      </c>
      <c r="U46" s="986">
        <f>ROUND(NOMINA!AQ30,2)</f>
        <v>0</v>
      </c>
      <c r="V46" s="986">
        <f>ROUND(NOMINA!AR30,2)</f>
        <v>0</v>
      </c>
      <c r="W46" s="986">
        <f>ROUND(NOMINA!AS30,2)</f>
        <v>0</v>
      </c>
      <c r="X46" s="986">
        <f>ROUND(NOMINA!AW30,2)</f>
        <v>0</v>
      </c>
      <c r="Y46" s="986">
        <f>ROUND(NOMINA!AX30,2)</f>
        <v>0</v>
      </c>
      <c r="Z46" s="986">
        <f>ROUND(NOMINA!BB30,2)+ROUND(NOMINA!BF30,2)</f>
        <v>0</v>
      </c>
      <c r="AA46" s="986">
        <f>ROUND(NOMINA!BK30,2)*0</f>
        <v>0</v>
      </c>
      <c r="AB46" s="986">
        <f>ROUND(NOMINA!BG30,2)</f>
        <v>300</v>
      </c>
      <c r="AC46" s="1000">
        <f t="shared" si="3"/>
        <v>639.4</v>
      </c>
    </row>
    <row r="47" spans="1:29" s="629" customFormat="1" ht="20.100000000000001" customHeight="1">
      <c r="A47" s="664" t="s">
        <v>2846</v>
      </c>
      <c r="B47" s="510">
        <f t="shared" si="4"/>
        <v>15</v>
      </c>
      <c r="C47" s="980">
        <f>NOMINA!C31</f>
        <v>9314132</v>
      </c>
      <c r="D47" s="981" t="str">
        <f>NOMINA!D31</f>
        <v>Viloria Montilla Gerardo</v>
      </c>
      <c r="E47" s="978" t="s">
        <v>4622</v>
      </c>
      <c r="F47" s="982">
        <v>32351</v>
      </c>
      <c r="G47" s="978" t="s">
        <v>4620</v>
      </c>
      <c r="H47" s="1001">
        <f>NOMINA!H31</f>
        <v>44348</v>
      </c>
      <c r="I47" s="984">
        <f>NOMINA!I31</f>
        <v>3</v>
      </c>
      <c r="J47" s="985">
        <f>NOMINA!J31</f>
        <v>0</v>
      </c>
      <c r="K47" s="984">
        <f t="shared" si="2"/>
        <v>3</v>
      </c>
      <c r="L47" s="985" t="s">
        <v>4932</v>
      </c>
      <c r="M47" s="985"/>
      <c r="N47" s="1002" t="str">
        <f>NOMINA!O31</f>
        <v>COORDINADOR DE PROGRAMA (SAPNNAET)</v>
      </c>
      <c r="O47" s="985">
        <v>1.02087691000006E+18</v>
      </c>
      <c r="P47" s="999">
        <f>NOMINA!W31</f>
        <v>174</v>
      </c>
      <c r="Q47" s="986">
        <f>NOMINA!AG31</f>
        <v>5.22</v>
      </c>
      <c r="R47" s="986">
        <f>NOMINA!AI31</f>
        <v>65</v>
      </c>
      <c r="S47" s="986">
        <f>NOMINA!AK31</f>
        <v>85.47</v>
      </c>
      <c r="T47" s="986">
        <f>ROUND(NOMINA!AO31,2)</f>
        <v>0</v>
      </c>
      <c r="U47" s="986">
        <f>ROUND(NOMINA!AQ31,2)</f>
        <v>0</v>
      </c>
      <c r="V47" s="986">
        <f>ROUND(NOMINA!AR31,2)</f>
        <v>0</v>
      </c>
      <c r="W47" s="986">
        <f>ROUND(NOMINA!AS31,2)</f>
        <v>0</v>
      </c>
      <c r="X47" s="986">
        <f>ROUND(NOMINA!AW31,2)</f>
        <v>0</v>
      </c>
      <c r="Y47" s="986">
        <f>ROUND(NOMINA!AX31,2)</f>
        <v>0</v>
      </c>
      <c r="Z47" s="986">
        <f>ROUND(NOMINA!BB31,2)+ROUND(NOMINA!BF31,2)</f>
        <v>0</v>
      </c>
      <c r="AA47" s="986">
        <f>ROUND(NOMINA!BK31,2)*0</f>
        <v>0</v>
      </c>
      <c r="AB47" s="986">
        <f>ROUND(NOMINA!BG31,2)</f>
        <v>300</v>
      </c>
      <c r="AC47" s="1000">
        <f t="shared" si="3"/>
        <v>629.69000000000005</v>
      </c>
    </row>
    <row r="48" spans="1:29" s="629" customFormat="1" ht="20.100000000000001" customHeight="1">
      <c r="A48" s="664" t="s">
        <v>2846</v>
      </c>
      <c r="B48" s="510">
        <f t="shared" si="4"/>
        <v>16</v>
      </c>
      <c r="C48" s="980">
        <f>NOMINA!C32</f>
        <v>11320533</v>
      </c>
      <c r="D48" s="981" t="str">
        <f>NOMINA!D32</f>
        <v>Suarez Chiquin Yaritza Josefina</v>
      </c>
      <c r="E48" s="978" t="s">
        <v>4622</v>
      </c>
      <c r="F48" s="982">
        <v>32351</v>
      </c>
      <c r="G48" s="978" t="s">
        <v>4620</v>
      </c>
      <c r="H48" s="1001">
        <f>NOMINA!H32</f>
        <v>37629</v>
      </c>
      <c r="I48" s="984">
        <f>NOMINA!I32</f>
        <v>22</v>
      </c>
      <c r="J48" s="985">
        <f>NOMINA!J32</f>
        <v>0</v>
      </c>
      <c r="K48" s="984">
        <f t="shared" si="2"/>
        <v>22</v>
      </c>
      <c r="L48" s="985" t="s">
        <v>4932</v>
      </c>
      <c r="M48" s="985"/>
      <c r="N48" s="1002" t="str">
        <f>NOMINA!O32</f>
        <v>COORDINADOR DE PROGRAMA (SAPNNAET)</v>
      </c>
      <c r="O48" s="985">
        <v>1.02087691000006E+18</v>
      </c>
      <c r="P48" s="999">
        <f>NOMINA!W32</f>
        <v>174</v>
      </c>
      <c r="Q48" s="986">
        <f>NOMINA!AG32</f>
        <v>51.5</v>
      </c>
      <c r="R48" s="986">
        <f>NOMINA!AI32</f>
        <v>65</v>
      </c>
      <c r="S48" s="986">
        <f>NOMINA!AK32</f>
        <v>74.19</v>
      </c>
      <c r="T48" s="986">
        <f>ROUND(NOMINA!AO32,2)</f>
        <v>0</v>
      </c>
      <c r="U48" s="986">
        <f>ROUND(NOMINA!AQ32,2)</f>
        <v>0</v>
      </c>
      <c r="V48" s="986">
        <f>ROUND(NOMINA!AR32,2)</f>
        <v>0</v>
      </c>
      <c r="W48" s="986">
        <f>ROUND(NOMINA!AS32,2)</f>
        <v>0</v>
      </c>
      <c r="X48" s="986">
        <f>ROUND(NOMINA!AW32,2)</f>
        <v>0</v>
      </c>
      <c r="Y48" s="986">
        <f>ROUND(NOMINA!AX32,2)</f>
        <v>5935.12</v>
      </c>
      <c r="Z48" s="986">
        <f>ROUND(NOMINA!BB32,2)+ROUND(NOMINA!BF32,2)</f>
        <v>0</v>
      </c>
      <c r="AA48" s="986">
        <f>ROUND(NOMINA!BK32,2)*0</f>
        <v>0</v>
      </c>
      <c r="AB48" s="986">
        <f>ROUND(NOMINA!BG32,2)</f>
        <v>300</v>
      </c>
      <c r="AC48" s="1000">
        <f t="shared" si="3"/>
        <v>6599.8099999999995</v>
      </c>
    </row>
    <row r="49" spans="1:31" s="629" customFormat="1" ht="20.100000000000001" customHeight="1">
      <c r="A49" s="664" t="s">
        <v>2846</v>
      </c>
      <c r="B49" s="510">
        <f t="shared" si="4"/>
        <v>17</v>
      </c>
      <c r="C49" s="980">
        <f>NOMINA!C33</f>
        <v>10912595</v>
      </c>
      <c r="D49" s="981" t="str">
        <f>NOMINA!D33</f>
        <v>Delfin Bustos Jose Hercilio</v>
      </c>
      <c r="E49" s="978" t="s">
        <v>4622</v>
      </c>
      <c r="F49" s="982">
        <v>32351</v>
      </c>
      <c r="G49" s="978" t="s">
        <v>4620</v>
      </c>
      <c r="H49" s="1001">
        <f>NOMINA!H33</f>
        <v>36039</v>
      </c>
      <c r="I49" s="984">
        <f>NOMINA!I33</f>
        <v>26</v>
      </c>
      <c r="J49" s="985">
        <f>NOMINA!J33</f>
        <v>0</v>
      </c>
      <c r="K49" s="984">
        <f t="shared" si="2"/>
        <v>26</v>
      </c>
      <c r="L49" s="985" t="s">
        <v>4932</v>
      </c>
      <c r="M49" s="985"/>
      <c r="N49" s="1002" t="str">
        <f>NOMINA!O33</f>
        <v>COORDINADOR DE PROGRAMA (SAPNNAET)</v>
      </c>
      <c r="O49" s="985">
        <v>1.02087691000006E+18</v>
      </c>
      <c r="P49" s="999">
        <f>NOMINA!W33</f>
        <v>174</v>
      </c>
      <c r="Q49" s="986">
        <f>NOMINA!AG33</f>
        <v>52.2</v>
      </c>
      <c r="R49" s="986">
        <f>NOMINA!AI33</f>
        <v>65</v>
      </c>
      <c r="S49" s="986">
        <f>NOMINA!AK33</f>
        <v>0</v>
      </c>
      <c r="T49" s="986">
        <f>ROUND(NOMINA!AO33,2)</f>
        <v>0</v>
      </c>
      <c r="U49" s="986">
        <f>ROUND(NOMINA!AQ33,2)</f>
        <v>0</v>
      </c>
      <c r="V49" s="986">
        <f>ROUND(NOMINA!AR33,2)</f>
        <v>0</v>
      </c>
      <c r="W49" s="986">
        <f>ROUND(NOMINA!AS33,2)</f>
        <v>0</v>
      </c>
      <c r="X49" s="986">
        <f>ROUND(NOMINA!AW33,2)</f>
        <v>0</v>
      </c>
      <c r="Y49" s="986">
        <f>ROUND(NOMINA!AX33,2)</f>
        <v>0</v>
      </c>
      <c r="Z49" s="986">
        <f>ROUND(NOMINA!BB33,2)+ROUND(NOMINA!BF33,2)</f>
        <v>0</v>
      </c>
      <c r="AA49" s="986">
        <f>ROUND(NOMINA!BK33,2)*0</f>
        <v>0</v>
      </c>
      <c r="AB49" s="986">
        <f>ROUND(NOMINA!BG33,2)</f>
        <v>300</v>
      </c>
      <c r="AC49" s="1000">
        <f t="shared" si="3"/>
        <v>591.20000000000005</v>
      </c>
    </row>
    <row r="50" spans="1:31" s="629" customFormat="1" ht="20.100000000000001" customHeight="1">
      <c r="A50" s="664" t="s">
        <v>2846</v>
      </c>
      <c r="B50" s="510">
        <f t="shared" si="4"/>
        <v>18</v>
      </c>
      <c r="C50" s="980">
        <f>NOMINA!C34</f>
        <v>4306476</v>
      </c>
      <c r="D50" s="981" t="str">
        <f>NOMINA!D34</f>
        <v xml:space="preserve">Triviño De Bastidas Dioni De La Coromoto </v>
      </c>
      <c r="E50" s="978" t="s">
        <v>4622</v>
      </c>
      <c r="F50" s="982">
        <v>32351</v>
      </c>
      <c r="G50" s="978" t="s">
        <v>4620</v>
      </c>
      <c r="H50" s="1001">
        <f>NOMINA!H34</f>
        <v>44409</v>
      </c>
      <c r="I50" s="984">
        <f>NOMINA!I34</f>
        <v>3</v>
      </c>
      <c r="J50" s="985">
        <f>NOMINA!J34</f>
        <v>25</v>
      </c>
      <c r="K50" s="984">
        <f t="shared" si="2"/>
        <v>28</v>
      </c>
      <c r="L50" s="985" t="s">
        <v>4932</v>
      </c>
      <c r="M50" s="985"/>
      <c r="N50" s="1002" t="str">
        <f>NOMINA!O34</f>
        <v>COORDINADOR DE PROGRAMA (SAPNNAET)</v>
      </c>
      <c r="O50" s="985">
        <v>1.02087691000006E+18</v>
      </c>
      <c r="P50" s="999">
        <f>NOMINA!W34</f>
        <v>174</v>
      </c>
      <c r="Q50" s="986">
        <f>NOMINA!AG34</f>
        <v>52.2</v>
      </c>
      <c r="R50" s="986">
        <f>NOMINA!AI34</f>
        <v>65</v>
      </c>
      <c r="S50" s="986">
        <f>NOMINA!AK34</f>
        <v>101.92</v>
      </c>
      <c r="T50" s="986">
        <f>ROUND(NOMINA!AO34,2)</f>
        <v>0</v>
      </c>
      <c r="U50" s="986">
        <f>ROUND(NOMINA!AQ34,2)</f>
        <v>0</v>
      </c>
      <c r="V50" s="986">
        <f>ROUND(NOMINA!AR34,2)</f>
        <v>0</v>
      </c>
      <c r="W50" s="986">
        <f>ROUND(NOMINA!AS34,2)</f>
        <v>0</v>
      </c>
      <c r="X50" s="986">
        <f>ROUND(NOMINA!AW34,2)</f>
        <v>0</v>
      </c>
      <c r="Y50" s="986">
        <f>ROUND(NOMINA!AX34,2)</f>
        <v>0</v>
      </c>
      <c r="Z50" s="986">
        <f>ROUND(NOMINA!BB34,2)+ROUND(NOMINA!BF34,2)</f>
        <v>0</v>
      </c>
      <c r="AA50" s="986">
        <f>ROUND(NOMINA!BK34,2)*0</f>
        <v>0</v>
      </c>
      <c r="AB50" s="986">
        <f>ROUND(NOMINA!BG34,2)</f>
        <v>300</v>
      </c>
      <c r="AC50" s="1000">
        <f t="shared" si="3"/>
        <v>693.12</v>
      </c>
    </row>
    <row r="51" spans="1:31" s="629" customFormat="1" ht="20.100000000000001" customHeight="1">
      <c r="A51" s="664" t="s">
        <v>2846</v>
      </c>
      <c r="B51" s="510">
        <f t="shared" si="4"/>
        <v>19</v>
      </c>
      <c r="C51" s="980">
        <f>NOMINA!C35</f>
        <v>13568733</v>
      </c>
      <c r="D51" s="981" t="str">
        <f>NOMINA!D35</f>
        <v>Campos de Velazquez Nilda Carolina</v>
      </c>
      <c r="E51" s="978" t="s">
        <v>4622</v>
      </c>
      <c r="F51" s="982">
        <v>32351</v>
      </c>
      <c r="G51" s="978" t="s">
        <v>4620</v>
      </c>
      <c r="H51" s="1001">
        <f>NOMINA!H35</f>
        <v>44805</v>
      </c>
      <c r="I51" s="984">
        <f>NOMINA!I35</f>
        <v>2</v>
      </c>
      <c r="J51" s="985">
        <f>NOMINA!J35</f>
        <v>0</v>
      </c>
      <c r="K51" s="984">
        <f t="shared" si="2"/>
        <v>2</v>
      </c>
      <c r="L51" s="985" t="s">
        <v>4932</v>
      </c>
      <c r="M51" s="985"/>
      <c r="N51" s="1002" t="str">
        <f>NOMINA!O35</f>
        <v>COORDINADOR DE PROGRAMA (SAPNNAET)</v>
      </c>
      <c r="O51" s="985">
        <v>1.02087691000006E+18</v>
      </c>
      <c r="P51" s="999">
        <f>NOMINA!W35</f>
        <v>174</v>
      </c>
      <c r="Q51" s="986">
        <f>NOMINA!AG35</f>
        <v>3.48</v>
      </c>
      <c r="R51" s="986">
        <f>NOMINA!AI35</f>
        <v>65</v>
      </c>
      <c r="S51" s="986">
        <f>NOMINA!AK35</f>
        <v>62.18</v>
      </c>
      <c r="T51" s="986">
        <f>ROUND(NOMINA!AO35,2)</f>
        <v>12.5</v>
      </c>
      <c r="U51" s="986">
        <f>ROUND(NOMINA!AQ35,2)</f>
        <v>0</v>
      </c>
      <c r="V51" s="986">
        <f>ROUND(NOMINA!AR35,2)</f>
        <v>0</v>
      </c>
      <c r="W51" s="986">
        <f>ROUND(NOMINA!AS35,2)</f>
        <v>0</v>
      </c>
      <c r="X51" s="986">
        <f>ROUND(NOMINA!AW35,2)</f>
        <v>0</v>
      </c>
      <c r="Y51" s="986">
        <f>ROUND(NOMINA!AX35,2)</f>
        <v>0</v>
      </c>
      <c r="Z51" s="986">
        <f>ROUND(NOMINA!BB35,2)+ROUND(NOMINA!BF35,2)</f>
        <v>0</v>
      </c>
      <c r="AA51" s="986">
        <f>ROUND(NOMINA!BK35,2)*0</f>
        <v>0</v>
      </c>
      <c r="AB51" s="986">
        <f>ROUND(NOMINA!BG35,2)</f>
        <v>300</v>
      </c>
      <c r="AC51" s="1000">
        <f t="shared" si="3"/>
        <v>617.16</v>
      </c>
    </row>
    <row r="52" spans="1:31" s="629" customFormat="1" ht="20.100000000000001" customHeight="1">
      <c r="A52" s="664" t="s">
        <v>2846</v>
      </c>
      <c r="B52" s="510">
        <f t="shared" si="4"/>
        <v>20</v>
      </c>
      <c r="C52" s="980">
        <f>NOMINA!C36</f>
        <v>20790947</v>
      </c>
      <c r="D52" s="981" t="str">
        <f>NOMINA!D36</f>
        <v>Urbina Cuellar Tannessy Lenery</v>
      </c>
      <c r="E52" s="978" t="s">
        <v>4622</v>
      </c>
      <c r="F52" s="982">
        <v>32351</v>
      </c>
      <c r="G52" s="978" t="s">
        <v>4620</v>
      </c>
      <c r="H52" s="1001">
        <f>NOMINA!H36</f>
        <v>43967</v>
      </c>
      <c r="I52" s="984">
        <f>NOMINA!I36</f>
        <v>4</v>
      </c>
      <c r="J52" s="985">
        <f>NOMINA!J36</f>
        <v>0</v>
      </c>
      <c r="K52" s="984">
        <f t="shared" si="2"/>
        <v>4</v>
      </c>
      <c r="L52" s="985" t="s">
        <v>4932</v>
      </c>
      <c r="M52" s="985"/>
      <c r="N52" s="1002" t="str">
        <f>NOMINA!O36</f>
        <v>COORDINADOR DE PROGRAMA (SAPNNAET)</v>
      </c>
      <c r="O52" s="985">
        <v>1.02087691000006E+18</v>
      </c>
      <c r="P52" s="999">
        <f>NOMINA!W36</f>
        <v>174</v>
      </c>
      <c r="Q52" s="986">
        <f>NOMINA!AG36</f>
        <v>6.96</v>
      </c>
      <c r="R52" s="986">
        <f>NOMINA!AI36</f>
        <v>65</v>
      </c>
      <c r="S52" s="986">
        <f>NOMINA!AK36</f>
        <v>63.05</v>
      </c>
      <c r="T52" s="986">
        <f>ROUND(NOMINA!AO36,2)</f>
        <v>12.5</v>
      </c>
      <c r="U52" s="986">
        <f>ROUND(NOMINA!AQ36,2)</f>
        <v>0</v>
      </c>
      <c r="V52" s="986">
        <f>ROUND(NOMINA!AR36,2)</f>
        <v>0</v>
      </c>
      <c r="W52" s="986">
        <f>ROUND(NOMINA!AS36,2)</f>
        <v>0</v>
      </c>
      <c r="X52" s="986">
        <f>ROUND(NOMINA!AW36,2)</f>
        <v>0</v>
      </c>
      <c r="Y52" s="986">
        <f>ROUND(NOMINA!AX36,2)</f>
        <v>0</v>
      </c>
      <c r="Z52" s="986">
        <f>ROUND(NOMINA!BB36,2)+ROUND(NOMINA!BF36,2)</f>
        <v>0</v>
      </c>
      <c r="AA52" s="986">
        <f>ROUND(NOMINA!BK36,2)*0</f>
        <v>0</v>
      </c>
      <c r="AB52" s="986">
        <f>ROUND(NOMINA!BG36,2)</f>
        <v>300</v>
      </c>
      <c r="AC52" s="1000">
        <f t="shared" si="3"/>
        <v>621.51</v>
      </c>
    </row>
    <row r="53" spans="1:31" s="629" customFormat="1" ht="20.100000000000001" customHeight="1">
      <c r="A53" s="664" t="s">
        <v>2846</v>
      </c>
      <c r="B53" s="510">
        <f t="shared" si="4"/>
        <v>21</v>
      </c>
      <c r="C53" s="980">
        <f>NOMINA!C37</f>
        <v>15752183</v>
      </c>
      <c r="D53" s="981" t="str">
        <f>NOMINA!D37</f>
        <v>Delduca Adriana Del Valle</v>
      </c>
      <c r="E53" s="978" t="s">
        <v>4622</v>
      </c>
      <c r="F53" s="982">
        <v>32351</v>
      </c>
      <c r="G53" s="978" t="s">
        <v>4620</v>
      </c>
      <c r="H53" s="1001">
        <f>NOMINA!H37</f>
        <v>38930</v>
      </c>
      <c r="I53" s="984">
        <f>NOMINA!I37</f>
        <v>18</v>
      </c>
      <c r="J53" s="985">
        <f>NOMINA!J37</f>
        <v>0</v>
      </c>
      <c r="K53" s="984">
        <f t="shared" si="2"/>
        <v>18</v>
      </c>
      <c r="L53" s="985" t="s">
        <v>4932</v>
      </c>
      <c r="M53" s="985"/>
      <c r="N53" s="1002" t="str">
        <f>NOMINA!O37</f>
        <v>COORDINADOR DE PROGRAMA (SAPNNAET)</v>
      </c>
      <c r="O53" s="985">
        <v>1.02087691000006E+18</v>
      </c>
      <c r="P53" s="999">
        <f>NOMINA!W37</f>
        <v>174</v>
      </c>
      <c r="Q53" s="986">
        <f>NOMINA!AG37</f>
        <v>39.67</v>
      </c>
      <c r="R53" s="986">
        <f>NOMINA!AI37</f>
        <v>65</v>
      </c>
      <c r="S53" s="986">
        <f>NOMINA!AK37</f>
        <v>0</v>
      </c>
      <c r="T53" s="986">
        <f>ROUND(NOMINA!AO37,2)</f>
        <v>0</v>
      </c>
      <c r="U53" s="986">
        <f>ROUND(NOMINA!AQ37,2)</f>
        <v>0</v>
      </c>
      <c r="V53" s="986">
        <f>ROUND(NOMINA!AR37,2)</f>
        <v>0</v>
      </c>
      <c r="W53" s="986">
        <f>ROUND(NOMINA!AS37,2)</f>
        <v>0</v>
      </c>
      <c r="X53" s="986">
        <f>ROUND(NOMINA!AW37,2)</f>
        <v>0</v>
      </c>
      <c r="Y53" s="986">
        <f>ROUND(NOMINA!AX37,2)</f>
        <v>0</v>
      </c>
      <c r="Z53" s="986">
        <f>ROUND(NOMINA!BB37,2)+ROUND(NOMINA!BF37,2)</f>
        <v>0</v>
      </c>
      <c r="AA53" s="986">
        <f>ROUND(NOMINA!BK37,2)*0</f>
        <v>0</v>
      </c>
      <c r="AB53" s="986">
        <f>ROUND(NOMINA!BG37,2)</f>
        <v>300</v>
      </c>
      <c r="AC53" s="1000">
        <f t="shared" si="3"/>
        <v>578.67000000000007</v>
      </c>
    </row>
    <row r="54" spans="1:31" s="629" customFormat="1" ht="20.100000000000001" customHeight="1">
      <c r="A54" s="664" t="s">
        <v>2846</v>
      </c>
      <c r="B54" s="510">
        <f t="shared" si="4"/>
        <v>22</v>
      </c>
      <c r="C54" s="980">
        <f>NOMINA!C38</f>
        <v>16739081</v>
      </c>
      <c r="D54" s="981" t="str">
        <f>NOMINA!D38</f>
        <v>Albarran Araujo Yely Coromoto</v>
      </c>
      <c r="E54" s="978" t="s">
        <v>4622</v>
      </c>
      <c r="F54" s="982">
        <v>32351</v>
      </c>
      <c r="G54" s="978" t="s">
        <v>4620</v>
      </c>
      <c r="H54" s="1001">
        <f>NOMINA!H38</f>
        <v>42948</v>
      </c>
      <c r="I54" s="984">
        <f>NOMINA!I38</f>
        <v>7</v>
      </c>
      <c r="J54" s="985">
        <f>NOMINA!J38</f>
        <v>0</v>
      </c>
      <c r="K54" s="984">
        <f t="shared" si="2"/>
        <v>7</v>
      </c>
      <c r="L54" s="985" t="s">
        <v>4932</v>
      </c>
      <c r="M54" s="985"/>
      <c r="N54" s="1002" t="str">
        <f>NOMINA!O38</f>
        <v>COORDINADOR DE PROGRAMA (SAPNNAET)</v>
      </c>
      <c r="O54" s="985">
        <v>1.02087691000006E+18</v>
      </c>
      <c r="P54" s="999">
        <f>NOMINA!W38</f>
        <v>174</v>
      </c>
      <c r="Q54" s="986">
        <f>NOMINA!AG38</f>
        <v>12.87</v>
      </c>
      <c r="R54" s="986">
        <f>NOMINA!AI38</f>
        <v>65</v>
      </c>
      <c r="S54" s="986">
        <f>NOMINA!AK38</f>
        <v>52.87</v>
      </c>
      <c r="T54" s="986">
        <f>ROUND(NOMINA!AO38,2)</f>
        <v>0</v>
      </c>
      <c r="U54" s="986">
        <f>ROUND(NOMINA!AQ38,2)</f>
        <v>0</v>
      </c>
      <c r="V54" s="986">
        <f>ROUND(NOMINA!AR38,2)</f>
        <v>0</v>
      </c>
      <c r="W54" s="986">
        <f>ROUND(NOMINA!AS38,2)</f>
        <v>0</v>
      </c>
      <c r="X54" s="986">
        <f>ROUND(NOMINA!AW38,2)</f>
        <v>0</v>
      </c>
      <c r="Y54" s="986">
        <f>ROUND(NOMINA!AX38,2)</f>
        <v>0</v>
      </c>
      <c r="Z54" s="986">
        <f>ROUND(NOMINA!BB38,2)+ROUND(NOMINA!BF38,2)</f>
        <v>0</v>
      </c>
      <c r="AA54" s="986">
        <f>ROUND(NOMINA!BK38,2)*0</f>
        <v>0</v>
      </c>
      <c r="AB54" s="986">
        <f>ROUND(NOMINA!BG38,2)</f>
        <v>300</v>
      </c>
      <c r="AC54" s="1000">
        <f t="shared" si="3"/>
        <v>604.74</v>
      </c>
    </row>
    <row r="55" spans="1:31" s="629" customFormat="1" ht="20.100000000000001" customHeight="1">
      <c r="A55" s="664"/>
      <c r="B55" s="510">
        <f t="shared" si="4"/>
        <v>23</v>
      </c>
      <c r="C55" s="980">
        <f>NOMINA!C39</f>
        <v>12781930</v>
      </c>
      <c r="D55" s="981" t="str">
        <f>NOMINA!D39</f>
        <v>Berrios Gomez Neida Marina</v>
      </c>
      <c r="E55" s="978" t="s">
        <v>4622</v>
      </c>
      <c r="F55" s="982">
        <v>32351</v>
      </c>
      <c r="G55" s="978" t="s">
        <v>4620</v>
      </c>
      <c r="H55" s="1001">
        <f>NOMINA!H39</f>
        <v>44652</v>
      </c>
      <c r="I55" s="984">
        <f>NOMINA!I39</f>
        <v>2</v>
      </c>
      <c r="J55" s="985">
        <f>NOMINA!J39</f>
        <v>0</v>
      </c>
      <c r="K55" s="984">
        <f t="shared" si="2"/>
        <v>2</v>
      </c>
      <c r="L55" s="985" t="s">
        <v>4932</v>
      </c>
      <c r="M55" s="985"/>
      <c r="N55" s="1002" t="str">
        <f>NOMINA!O39</f>
        <v>COORDINADOR DE PROGRAMA (SAPNNAET)</v>
      </c>
      <c r="O55" s="985">
        <v>1.02087691000006E+18</v>
      </c>
      <c r="P55" s="999">
        <f>NOMINA!W39</f>
        <v>174</v>
      </c>
      <c r="Q55" s="986">
        <f>NOMINA!AG39</f>
        <v>3.48</v>
      </c>
      <c r="R55" s="986">
        <f>NOMINA!AI39</f>
        <v>65</v>
      </c>
      <c r="S55" s="986">
        <f>NOMINA!AK39</f>
        <v>60.62</v>
      </c>
      <c r="T55" s="986">
        <f>ROUND(NOMINA!AO39,2)</f>
        <v>0</v>
      </c>
      <c r="U55" s="986">
        <f>ROUND(NOMINA!AQ39,2)</f>
        <v>0</v>
      </c>
      <c r="V55" s="986">
        <f>ROUND(NOMINA!AR39,2)</f>
        <v>0</v>
      </c>
      <c r="W55" s="986">
        <f>ROUND(NOMINA!AS39,2)</f>
        <v>0</v>
      </c>
      <c r="X55" s="986">
        <f>ROUND(NOMINA!AW39,2)</f>
        <v>0</v>
      </c>
      <c r="Y55" s="986">
        <f>ROUND(NOMINA!AX39,2)</f>
        <v>0</v>
      </c>
      <c r="Z55" s="986">
        <f>ROUND(NOMINA!BB39,2)+ROUND(NOMINA!BF39,2)</f>
        <v>0</v>
      </c>
      <c r="AA55" s="986">
        <f>ROUND(NOMINA!BK39,2)*0</f>
        <v>0</v>
      </c>
      <c r="AB55" s="986">
        <f>ROUND(NOMINA!BG39,2)</f>
        <v>300</v>
      </c>
      <c r="AC55" s="1000">
        <f t="shared" si="3"/>
        <v>603.09999999999991</v>
      </c>
    </row>
    <row r="56" spans="1:31" s="629" customFormat="1" ht="20.100000000000001" customHeight="1" thickBot="1">
      <c r="A56" s="664"/>
      <c r="B56" s="510">
        <f t="shared" si="4"/>
        <v>24</v>
      </c>
      <c r="C56" s="980">
        <f>NOMINA!C40</f>
        <v>13896239</v>
      </c>
      <c r="D56" s="981" t="str">
        <f>NOMINA!D40</f>
        <v>Sulbaran Campos Yusneida Ayarith</v>
      </c>
      <c r="E56" s="978" t="s">
        <v>4622</v>
      </c>
      <c r="F56" s="982">
        <v>32351</v>
      </c>
      <c r="G56" s="978" t="s">
        <v>4620</v>
      </c>
      <c r="H56" s="1001">
        <f>NOMINA!H40</f>
        <v>42416</v>
      </c>
      <c r="I56" s="984">
        <f>NOMINA!I40</f>
        <v>8</v>
      </c>
      <c r="J56" s="985">
        <f>NOMINA!J40</f>
        <v>0</v>
      </c>
      <c r="K56" s="984">
        <f t="shared" si="2"/>
        <v>8</v>
      </c>
      <c r="L56" s="985" t="s">
        <v>4932</v>
      </c>
      <c r="M56" s="985"/>
      <c r="N56" s="1002" t="str">
        <f>NOMINA!O40</f>
        <v>COORDINADOR DE PROGRAMA (SAPNNAET)</v>
      </c>
      <c r="O56" s="985">
        <v>1.02087691000006E+18</v>
      </c>
      <c r="P56" s="999">
        <f>NOMINA!W40</f>
        <v>174</v>
      </c>
      <c r="Q56" s="986">
        <f>NOMINA!AG40</f>
        <v>14.96</v>
      </c>
      <c r="R56" s="986">
        <f>NOMINA!AI40</f>
        <v>65</v>
      </c>
      <c r="S56" s="986">
        <f>NOMINA!AK40</f>
        <v>0</v>
      </c>
      <c r="T56" s="986">
        <f>ROUND(NOMINA!AO40,2)</f>
        <v>12.5</v>
      </c>
      <c r="U56" s="986">
        <f>ROUND(NOMINA!AQ40,2)</f>
        <v>0</v>
      </c>
      <c r="V56" s="986">
        <f>ROUND(NOMINA!AR40,2)</f>
        <v>0</v>
      </c>
      <c r="W56" s="986">
        <f>ROUND(NOMINA!AS40,2)</f>
        <v>0</v>
      </c>
      <c r="X56" s="986">
        <f>ROUND(NOMINA!AW40,2)</f>
        <v>0</v>
      </c>
      <c r="Y56" s="986">
        <f>ROUND(NOMINA!AX40,2)</f>
        <v>0</v>
      </c>
      <c r="Z56" s="986">
        <f>ROUND(NOMINA!BB40,2)+ROUND(NOMINA!BF40,2)</f>
        <v>0</v>
      </c>
      <c r="AA56" s="986">
        <f>ROUND(NOMINA!BK40,2)*0</f>
        <v>0</v>
      </c>
      <c r="AB56" s="986">
        <f>ROUND(NOMINA!BG40,2)</f>
        <v>300</v>
      </c>
      <c r="AC56" s="1000">
        <f t="shared" si="3"/>
        <v>566.46</v>
      </c>
    </row>
    <row r="57" spans="1:31" s="629" customFormat="1" ht="39.950000000000003" customHeight="1" thickBot="1">
      <c r="A57" s="675"/>
      <c r="B57" s="676"/>
      <c r="C57" s="1126" t="s">
        <v>5997</v>
      </c>
      <c r="D57" s="1104"/>
      <c r="E57" s="1104"/>
      <c r="F57" s="1104"/>
      <c r="G57" s="1104"/>
      <c r="H57" s="1105"/>
      <c r="I57" s="1104"/>
      <c r="J57" s="1104"/>
      <c r="K57" s="1106" t="s">
        <v>5839</v>
      </c>
      <c r="L57" s="1104"/>
      <c r="M57" s="1104"/>
      <c r="N57" s="1134"/>
      <c r="O57" s="677"/>
      <c r="P57" s="679">
        <f t="shared" ref="P57:AC57" si="5">SUM(P33:P56)</f>
        <v>4221</v>
      </c>
      <c r="Q57" s="679">
        <f t="shared" si="5"/>
        <v>690.4100000000002</v>
      </c>
      <c r="R57" s="679">
        <f t="shared" si="5"/>
        <v>1560</v>
      </c>
      <c r="S57" s="679">
        <f t="shared" si="5"/>
        <v>1194.3099999999997</v>
      </c>
      <c r="T57" s="679">
        <f t="shared" si="5"/>
        <v>87.5</v>
      </c>
      <c r="U57" s="679">
        <f t="shared" si="5"/>
        <v>0</v>
      </c>
      <c r="V57" s="679">
        <f t="shared" si="5"/>
        <v>0</v>
      </c>
      <c r="W57" s="679">
        <f t="shared" si="5"/>
        <v>0</v>
      </c>
      <c r="X57" s="679">
        <f t="shared" si="5"/>
        <v>0</v>
      </c>
      <c r="Y57" s="679">
        <f t="shared" si="5"/>
        <v>23794.720000000001</v>
      </c>
      <c r="Z57" s="679">
        <f t="shared" si="5"/>
        <v>0</v>
      </c>
      <c r="AA57" s="679">
        <f t="shared" si="5"/>
        <v>0</v>
      </c>
      <c r="AB57" s="679">
        <f t="shared" si="5"/>
        <v>7200</v>
      </c>
      <c r="AC57" s="681">
        <f t="shared" si="5"/>
        <v>38747.94</v>
      </c>
      <c r="AD57" s="634">
        <f>+NOMINA!CC41</f>
        <v>38747.939999999995</v>
      </c>
      <c r="AE57" s="634">
        <f>+AC57-AD57</f>
        <v>0</v>
      </c>
    </row>
    <row r="58" spans="1:31" s="629" customFormat="1" ht="19.5" customHeight="1">
      <c r="A58" s="675"/>
      <c r="B58" s="778"/>
      <c r="C58" s="814"/>
      <c r="D58" s="814"/>
      <c r="E58" s="814"/>
      <c r="F58" s="814"/>
      <c r="G58" s="814"/>
      <c r="H58" s="815"/>
      <c r="I58" s="814"/>
      <c r="J58" s="814"/>
      <c r="K58" s="786"/>
      <c r="L58" s="814"/>
      <c r="M58" s="814"/>
      <c r="N58" s="814"/>
      <c r="O58" s="814"/>
      <c r="P58" s="816"/>
      <c r="Q58" s="816"/>
      <c r="R58" s="816"/>
      <c r="S58" s="816"/>
      <c r="T58" s="816"/>
      <c r="U58" s="816"/>
      <c r="V58" s="816"/>
      <c r="W58" s="816"/>
      <c r="X58" s="816"/>
      <c r="Y58" s="816"/>
      <c r="Z58" s="816"/>
      <c r="AA58" s="816"/>
      <c r="AB58" s="816"/>
      <c r="AC58" s="816"/>
    </row>
    <row r="59" spans="1:31" s="629" customFormat="1" ht="19.5" customHeight="1">
      <c r="A59" s="675"/>
      <c r="B59" s="790"/>
      <c r="C59" s="791"/>
      <c r="D59" s="735" t="s">
        <v>5860</v>
      </c>
      <c r="E59" s="708"/>
      <c r="F59" s="793"/>
      <c r="G59" s="708"/>
      <c r="H59" s="794"/>
      <c r="I59" s="795"/>
      <c r="J59" s="796"/>
      <c r="K59" s="611"/>
      <c r="L59" s="797"/>
      <c r="M59" s="796"/>
      <c r="N59" s="798"/>
      <c r="O59" s="796"/>
      <c r="P59" s="726" t="s">
        <v>5861</v>
      </c>
      <c r="Q59" s="799"/>
      <c r="R59" s="799"/>
      <c r="S59" s="799"/>
      <c r="T59" s="799"/>
      <c r="U59" s="799"/>
      <c r="V59" s="799"/>
      <c r="W59" s="799"/>
      <c r="X59" s="724" t="s">
        <v>5862</v>
      </c>
      <c r="Y59" s="799"/>
      <c r="Z59" s="799"/>
      <c r="AA59" s="799"/>
      <c r="AB59" s="817"/>
      <c r="AC59" s="817"/>
    </row>
    <row r="60" spans="1:31" s="629" customFormat="1" ht="19.5" customHeight="1">
      <c r="A60" s="675"/>
      <c r="B60" s="790"/>
      <c r="C60" s="791"/>
      <c r="D60" s="792"/>
      <c r="E60" s="708"/>
      <c r="F60" s="793"/>
      <c r="G60" s="708"/>
      <c r="H60" s="794"/>
      <c r="I60" s="795"/>
      <c r="J60" s="796"/>
      <c r="K60" s="611"/>
      <c r="L60" s="797"/>
      <c r="M60" s="796"/>
      <c r="N60" s="798"/>
      <c r="O60" s="796"/>
      <c r="P60" s="799"/>
      <c r="Q60" s="799"/>
      <c r="R60" s="799"/>
      <c r="S60" s="799"/>
      <c r="T60" s="799"/>
      <c r="U60" s="799"/>
      <c r="V60" s="799"/>
      <c r="W60" s="799"/>
      <c r="X60" s="799"/>
      <c r="Y60" s="799"/>
      <c r="Z60" s="799"/>
      <c r="AA60" s="799"/>
      <c r="AB60" s="817"/>
      <c r="AC60" s="817"/>
    </row>
    <row r="61" spans="1:31" s="629" customFormat="1" ht="19.5" customHeight="1">
      <c r="A61" s="675"/>
      <c r="B61" s="790"/>
      <c r="C61" s="791"/>
      <c r="D61" s="792"/>
      <c r="E61" s="708"/>
      <c r="F61" s="793"/>
      <c r="G61" s="708"/>
      <c r="H61" s="794"/>
      <c r="I61" s="795"/>
      <c r="J61" s="796"/>
      <c r="K61" s="611"/>
      <c r="L61" s="797"/>
      <c r="M61" s="796"/>
      <c r="N61" s="798"/>
      <c r="O61" s="796"/>
      <c r="P61" s="799"/>
      <c r="Q61" s="799"/>
      <c r="R61" s="799"/>
      <c r="S61" s="799"/>
      <c r="T61" s="799"/>
      <c r="U61" s="799"/>
      <c r="V61" s="799"/>
      <c r="W61" s="799"/>
      <c r="X61" s="799"/>
      <c r="Y61" s="799"/>
      <c r="Z61" s="799"/>
      <c r="AA61" s="799"/>
      <c r="AB61" s="817"/>
      <c r="AC61" s="817"/>
    </row>
    <row r="62" spans="1:31" s="629" customFormat="1" ht="19.5" customHeight="1">
      <c r="A62" s="675"/>
      <c r="B62" s="790"/>
      <c r="C62" s="791"/>
      <c r="D62" s="792"/>
      <c r="E62" s="708"/>
      <c r="F62" s="793"/>
      <c r="G62" s="708"/>
      <c r="H62" s="794"/>
      <c r="I62" s="795"/>
      <c r="J62" s="796"/>
      <c r="K62" s="611"/>
      <c r="L62" s="797"/>
      <c r="M62" s="796"/>
      <c r="N62" s="798"/>
      <c r="O62" s="796"/>
      <c r="P62" s="799"/>
      <c r="Q62" s="799"/>
      <c r="R62" s="799"/>
      <c r="S62" s="799"/>
      <c r="T62" s="799"/>
      <c r="U62" s="799"/>
      <c r="V62" s="799"/>
      <c r="W62" s="799"/>
      <c r="X62" s="799"/>
      <c r="Y62" s="799"/>
      <c r="Z62" s="799"/>
      <c r="AA62" s="799"/>
      <c r="AB62" s="817"/>
      <c r="AC62" s="817"/>
    </row>
    <row r="63" spans="1:31" s="629" customFormat="1" ht="19.5" customHeight="1">
      <c r="A63" s="675"/>
      <c r="B63" s="734" t="s">
        <v>6879</v>
      </c>
      <c r="C63" s="735"/>
      <c r="D63" s="733"/>
      <c r="E63" s="733"/>
      <c r="F63" s="733"/>
      <c r="G63" s="733"/>
      <c r="H63" s="734" t="s">
        <v>6152</v>
      </c>
      <c r="I63" s="734"/>
      <c r="K63" s="611"/>
      <c r="L63" s="797"/>
      <c r="M63" s="796"/>
      <c r="N63" s="798"/>
      <c r="O63" s="796"/>
      <c r="P63" s="736" t="s">
        <v>5863</v>
      </c>
      <c r="Q63" s="799"/>
      <c r="R63" s="799"/>
      <c r="S63" s="799"/>
      <c r="T63" s="799"/>
      <c r="U63" s="799"/>
      <c r="V63" s="799"/>
      <c r="W63" s="799"/>
      <c r="X63" s="724" t="s">
        <v>5874</v>
      </c>
      <c r="Y63" s="799"/>
      <c r="Z63" s="799"/>
      <c r="AA63" s="799"/>
      <c r="AB63" s="817"/>
      <c r="AC63" s="817"/>
    </row>
    <row r="64" spans="1:31" s="629" customFormat="1" ht="19.5" customHeight="1">
      <c r="A64" s="675"/>
      <c r="B64" s="734" t="s">
        <v>6880</v>
      </c>
      <c r="C64" s="735"/>
      <c r="D64" s="733"/>
      <c r="E64" s="733"/>
      <c r="F64" s="733"/>
      <c r="G64" s="733"/>
      <c r="H64" s="734" t="s">
        <v>6153</v>
      </c>
      <c r="I64" s="734"/>
      <c r="K64" s="611"/>
      <c r="L64" s="797"/>
      <c r="M64" s="796"/>
      <c r="N64" s="798"/>
      <c r="O64" s="796"/>
      <c r="P64" s="736" t="s">
        <v>5865</v>
      </c>
      <c r="Q64" s="799"/>
      <c r="R64" s="799"/>
      <c r="S64" s="799"/>
      <c r="T64" s="799"/>
      <c r="U64" s="799"/>
      <c r="V64" s="799"/>
      <c r="W64" s="799"/>
      <c r="X64" s="734" t="s">
        <v>5866</v>
      </c>
      <c r="Y64" s="799"/>
      <c r="Z64" s="799"/>
      <c r="AA64" s="799"/>
      <c r="AB64" s="817"/>
      <c r="AC64" s="817"/>
    </row>
    <row r="65" spans="1:31" s="629" customFormat="1" ht="19.5" customHeight="1" thickBot="1">
      <c r="A65" s="675"/>
      <c r="B65" s="734" t="s">
        <v>5244</v>
      </c>
      <c r="C65" s="735"/>
      <c r="D65" s="733"/>
      <c r="E65" s="733"/>
      <c r="F65" s="733"/>
      <c r="G65" s="733"/>
      <c r="H65" s="734" t="s">
        <v>5265</v>
      </c>
      <c r="I65" s="734"/>
      <c r="K65" s="611"/>
      <c r="L65" s="797"/>
      <c r="M65" s="796"/>
      <c r="N65" s="798"/>
      <c r="O65" s="796"/>
      <c r="P65" s="736" t="s">
        <v>5867</v>
      </c>
      <c r="Q65" s="799"/>
      <c r="R65" s="799"/>
      <c r="S65" s="799"/>
      <c r="T65" s="799"/>
      <c r="U65" s="799"/>
      <c r="V65" s="799"/>
      <c r="W65" s="799"/>
      <c r="X65" s="724" t="s">
        <v>5868</v>
      </c>
      <c r="Y65" s="799"/>
      <c r="Z65" s="799"/>
      <c r="AA65" s="799"/>
      <c r="AB65" s="817"/>
      <c r="AC65" s="817"/>
    </row>
    <row r="66" spans="1:31" s="692" customFormat="1" ht="30" customHeight="1" thickBot="1">
      <c r="A66" s="683" t="s">
        <v>4561</v>
      </c>
      <c r="B66" s="665" t="str">
        <f>+"EMPLEADOS FIJOS_NOMINA_2A_QUINCENA_"&amp;NOMINA!F9&amp;"_"&amp;NOMINA!H9</f>
        <v>EMPLEADOS FIJOS_NOMINA_2A_QUINCENA_ENERO_2025</v>
      </c>
      <c r="C66" s="684"/>
      <c r="D66" s="685"/>
      <c r="E66" s="684"/>
      <c r="F66" s="685"/>
      <c r="G66" s="686"/>
      <c r="H66" s="687"/>
      <c r="I66" s="688"/>
      <c r="J66" s="688"/>
      <c r="K66" s="688"/>
      <c r="L66" s="688"/>
      <c r="M66" s="688"/>
      <c r="N66" s="818"/>
      <c r="O66" s="688"/>
      <c r="P66" s="688"/>
      <c r="Q66" s="689"/>
      <c r="R66" s="689"/>
      <c r="S66" s="689"/>
      <c r="T66" s="819"/>
      <c r="U66" s="819"/>
      <c r="V66" s="819"/>
      <c r="W66" s="819"/>
      <c r="X66" s="688"/>
      <c r="Y66" s="689"/>
      <c r="Z66" s="688"/>
      <c r="AA66" s="688"/>
      <c r="AB66" s="689"/>
      <c r="AC66" s="691"/>
    </row>
    <row r="67" spans="1:31" s="629" customFormat="1" ht="20.100000000000001" customHeight="1" thickBot="1">
      <c r="A67" s="770" t="s">
        <v>2846</v>
      </c>
      <c r="B67" s="510">
        <v>1</v>
      </c>
      <c r="C67" s="980">
        <f>NOMINA!C43</f>
        <v>4324055</v>
      </c>
      <c r="D67" s="981" t="str">
        <f>NOMINA!D43</f>
        <v>Mejia Linares Alexis de Jesus</v>
      </c>
      <c r="E67" s="978" t="s">
        <v>4622</v>
      </c>
      <c r="F67" s="982">
        <v>32351</v>
      </c>
      <c r="G67" s="978" t="s">
        <v>4620</v>
      </c>
      <c r="H67" s="1001">
        <f>NOMINA!H43</f>
        <v>44470</v>
      </c>
      <c r="I67" s="984">
        <f>NOMINA!I43</f>
        <v>3</v>
      </c>
      <c r="J67" s="985">
        <f>NOMINA!J43</f>
        <v>0</v>
      </c>
      <c r="K67" s="984">
        <f>I67+J67</f>
        <v>3</v>
      </c>
      <c r="L67" s="985" t="s">
        <v>4932</v>
      </c>
      <c r="M67" s="985"/>
      <c r="N67" s="1002" t="str">
        <f>NOMINA!O43</f>
        <v>Abogado II</v>
      </c>
      <c r="O67" s="985">
        <v>1.02087691000006E+18</v>
      </c>
      <c r="P67" s="999">
        <f>NOMINA!W43</f>
        <v>138.5</v>
      </c>
      <c r="Q67" s="986">
        <f>NOMINA!AG43</f>
        <v>4.1500000000000004</v>
      </c>
      <c r="R67" s="986">
        <f>NOMINA!AI43</f>
        <v>65</v>
      </c>
      <c r="S67" s="986">
        <f>NOMINA!AK43</f>
        <v>51.91</v>
      </c>
      <c r="T67" s="986">
        <f>ROUND(NOMINA!AO43,2)</f>
        <v>0</v>
      </c>
      <c r="U67" s="986">
        <f>ROUND(NOMINA!AQ43,2)</f>
        <v>0</v>
      </c>
      <c r="V67" s="986">
        <f>ROUND(NOMINA!AR43,2)</f>
        <v>0</v>
      </c>
      <c r="W67" s="986">
        <f>ROUND(NOMINA!AS43,2)</f>
        <v>0</v>
      </c>
      <c r="X67" s="986">
        <f>ROUND(NOMINA!AW43,2)</f>
        <v>0</v>
      </c>
      <c r="Y67" s="986">
        <f>ROUND(NOMINA!AX43,2)</f>
        <v>0</v>
      </c>
      <c r="Z67" s="986">
        <f>ROUND(NOMINA!BB43,2)+ROUND(NOMINA!BF43,2)</f>
        <v>0</v>
      </c>
      <c r="AA67" s="986">
        <f>ROUND(NOMINA!BK43,2)*0</f>
        <v>0</v>
      </c>
      <c r="AB67" s="986">
        <f>ROUND(NOMINA!BG43,2)</f>
        <v>300</v>
      </c>
      <c r="AC67" s="1000">
        <f>+P67+Q67+R67+S67+T67+U67+V67+W67+X67+Y67+Z67+AB67+AA67</f>
        <v>559.55999999999995</v>
      </c>
      <c r="AE67" s="634"/>
    </row>
    <row r="68" spans="1:31" s="629" customFormat="1" ht="20.100000000000001" customHeight="1" thickBot="1">
      <c r="A68" s="770" t="s">
        <v>2846</v>
      </c>
      <c r="B68" s="510">
        <f>+B67+1</f>
        <v>2</v>
      </c>
      <c r="C68" s="980">
        <f>NOMINA!C44</f>
        <v>4657974</v>
      </c>
      <c r="D68" s="981" t="str">
        <f>NOMINA!D44</f>
        <v>Balestrini Nuñez Ulises Ramon</v>
      </c>
      <c r="E68" s="978" t="s">
        <v>4622</v>
      </c>
      <c r="F68" s="982">
        <v>32351</v>
      </c>
      <c r="G68" s="978" t="s">
        <v>4620</v>
      </c>
      <c r="H68" s="1001">
        <f>NOMINA!H44</f>
        <v>39463</v>
      </c>
      <c r="I68" s="984">
        <f>NOMINA!I44</f>
        <v>17</v>
      </c>
      <c r="J68" s="985">
        <f>NOMINA!J44</f>
        <v>0</v>
      </c>
      <c r="K68" s="984">
        <f t="shared" ref="K68:K131" si="6">I68+J68</f>
        <v>17</v>
      </c>
      <c r="L68" s="985" t="s">
        <v>4932</v>
      </c>
      <c r="M68" s="985"/>
      <c r="N68" s="1002" t="str">
        <f>NOMINA!O44</f>
        <v>Promotor Cultural I</v>
      </c>
      <c r="O68" s="985">
        <v>1.02087691000006E+18</v>
      </c>
      <c r="P68" s="999">
        <f>NOMINA!W44</f>
        <v>88</v>
      </c>
      <c r="Q68" s="986">
        <f>NOMINA!AG44</f>
        <v>18.649999999999999</v>
      </c>
      <c r="R68" s="986">
        <f>NOMINA!AI44</f>
        <v>65</v>
      </c>
      <c r="S68" s="986">
        <f>NOMINA!AK44</f>
        <v>0</v>
      </c>
      <c r="T68" s="986">
        <f>ROUND(NOMINA!AO44,2)</f>
        <v>0</v>
      </c>
      <c r="U68" s="986">
        <f>ROUND(NOMINA!AQ44,2)</f>
        <v>0</v>
      </c>
      <c r="V68" s="986">
        <f>ROUND(NOMINA!AR44,2)</f>
        <v>0</v>
      </c>
      <c r="W68" s="986">
        <f>ROUND(NOMINA!AS44,2)</f>
        <v>0</v>
      </c>
      <c r="X68" s="986">
        <f>ROUND(NOMINA!AW44,2)</f>
        <v>0</v>
      </c>
      <c r="Y68" s="986">
        <f>ROUND(NOMINA!AX44,2)</f>
        <v>2746.48</v>
      </c>
      <c r="Z68" s="986">
        <f>ROUND(NOMINA!BB44,2)+ROUND(NOMINA!BF44,2)</f>
        <v>0</v>
      </c>
      <c r="AA68" s="986">
        <f>ROUND(NOMINA!BK44,2)*0</f>
        <v>0</v>
      </c>
      <c r="AB68" s="986">
        <f>ROUND(NOMINA!BG44,2)</f>
        <v>300</v>
      </c>
      <c r="AC68" s="1000">
        <f t="shared" ref="AC68:AC131" si="7">+P68+Q68+R68+S68+T68+U68+V68+W68+X68+Y68+Z68+AB68+AA68</f>
        <v>3218.13</v>
      </c>
      <c r="AE68" s="634"/>
    </row>
    <row r="69" spans="1:31" s="629" customFormat="1" ht="20.100000000000001" customHeight="1" thickBot="1">
      <c r="A69" s="770" t="s">
        <v>2846</v>
      </c>
      <c r="B69" s="510">
        <f t="shared" ref="B69:B132" si="8">+B68+1</f>
        <v>3</v>
      </c>
      <c r="C69" s="980">
        <f>NOMINA!C45</f>
        <v>5762861</v>
      </c>
      <c r="D69" s="981" t="str">
        <f>NOMINA!D45</f>
        <v>Aldana Duran Delia Mercedes</v>
      </c>
      <c r="E69" s="978" t="s">
        <v>4622</v>
      </c>
      <c r="F69" s="982">
        <v>32351</v>
      </c>
      <c r="G69" s="978" t="s">
        <v>4620</v>
      </c>
      <c r="H69" s="1001">
        <f>NOMINA!H45</f>
        <v>37851</v>
      </c>
      <c r="I69" s="984">
        <f>NOMINA!I45</f>
        <v>21</v>
      </c>
      <c r="J69" s="985">
        <f>NOMINA!J45</f>
        <v>4</v>
      </c>
      <c r="K69" s="984">
        <f t="shared" si="6"/>
        <v>25</v>
      </c>
      <c r="L69" s="985" t="s">
        <v>4932</v>
      </c>
      <c r="M69" s="985"/>
      <c r="N69" s="1002" t="str">
        <f>NOMINA!O45</f>
        <v>Jefe de Centro</v>
      </c>
      <c r="O69" s="985">
        <v>1.02087691000006E+18</v>
      </c>
      <c r="P69" s="999">
        <f>NOMINA!W45</f>
        <v>143.5</v>
      </c>
      <c r="Q69" s="986">
        <f>NOMINA!AG45</f>
        <v>43.05</v>
      </c>
      <c r="R69" s="986">
        <f>NOMINA!AI45</f>
        <v>65</v>
      </c>
      <c r="S69" s="986">
        <f>NOMINA!AK45</f>
        <v>62.89</v>
      </c>
      <c r="T69" s="986">
        <f>ROUND(NOMINA!AO45,2)</f>
        <v>0</v>
      </c>
      <c r="U69" s="986">
        <f>ROUND(NOMINA!AQ45,2)</f>
        <v>0</v>
      </c>
      <c r="V69" s="986">
        <f>ROUND(NOMINA!AR45,2)</f>
        <v>0</v>
      </c>
      <c r="W69" s="986">
        <f>ROUND(NOMINA!AS45,2)</f>
        <v>0</v>
      </c>
      <c r="X69" s="986">
        <f>ROUND(NOMINA!AW45,2)</f>
        <v>0</v>
      </c>
      <c r="Y69" s="986">
        <f>ROUND(NOMINA!AX45,2)</f>
        <v>0</v>
      </c>
      <c r="Z69" s="986">
        <f>ROUND(NOMINA!BB45,2)+ROUND(NOMINA!BF45,2)</f>
        <v>0</v>
      </c>
      <c r="AA69" s="986">
        <f>ROUND(NOMINA!BK45,2)*0</f>
        <v>0</v>
      </c>
      <c r="AB69" s="986">
        <f>ROUND(NOMINA!BG45,2)</f>
        <v>300</v>
      </c>
      <c r="AC69" s="1000">
        <f t="shared" si="7"/>
        <v>614.44000000000005</v>
      </c>
      <c r="AE69" s="634"/>
    </row>
    <row r="70" spans="1:31" s="629" customFormat="1" ht="20.100000000000001" customHeight="1" thickBot="1">
      <c r="A70" s="770" t="s">
        <v>2846</v>
      </c>
      <c r="B70" s="510">
        <f t="shared" si="8"/>
        <v>4</v>
      </c>
      <c r="C70" s="980">
        <f>NOMINA!C46</f>
        <v>5782060</v>
      </c>
      <c r="D70" s="981" t="str">
        <f>NOMINA!D46</f>
        <v>Linares Araujo Adolfo Jose</v>
      </c>
      <c r="E70" s="978" t="s">
        <v>4622</v>
      </c>
      <c r="F70" s="982">
        <v>32351</v>
      </c>
      <c r="G70" s="978" t="s">
        <v>4620</v>
      </c>
      <c r="H70" s="1001">
        <f>NOMINA!H46</f>
        <v>39539</v>
      </c>
      <c r="I70" s="984">
        <f>NOMINA!I46</f>
        <v>16</v>
      </c>
      <c r="J70" s="985">
        <f>NOMINA!J46</f>
        <v>0</v>
      </c>
      <c r="K70" s="984">
        <f t="shared" si="6"/>
        <v>16</v>
      </c>
      <c r="L70" s="985" t="s">
        <v>4932</v>
      </c>
      <c r="M70" s="985"/>
      <c r="N70" s="1002" t="str">
        <f>NOMINA!O46</f>
        <v>Asistente Administrativo III</v>
      </c>
      <c r="O70" s="985">
        <v>1.02087691000006E+18</v>
      </c>
      <c r="P70" s="999">
        <f>NOMINA!W46</f>
        <v>113</v>
      </c>
      <c r="Q70" s="986">
        <f>NOMINA!AG46</f>
        <v>22.15</v>
      </c>
      <c r="R70" s="986">
        <f>NOMINA!AI46</f>
        <v>65</v>
      </c>
      <c r="S70" s="986">
        <f>NOMINA!AK46</f>
        <v>40.03</v>
      </c>
      <c r="T70" s="986">
        <f>ROUND(NOMINA!AO46,2)</f>
        <v>0</v>
      </c>
      <c r="U70" s="986">
        <f>ROUND(NOMINA!AQ46,2)</f>
        <v>0</v>
      </c>
      <c r="V70" s="986">
        <f>ROUND(NOMINA!AR46,2)</f>
        <v>0</v>
      </c>
      <c r="W70" s="986">
        <f>ROUND(NOMINA!AS46,2)</f>
        <v>0</v>
      </c>
      <c r="X70" s="986">
        <f>ROUND(NOMINA!AW46,2)</f>
        <v>0</v>
      </c>
      <c r="Y70" s="986">
        <f>ROUND(NOMINA!AX46,2)</f>
        <v>0</v>
      </c>
      <c r="Z70" s="986">
        <f>ROUND(NOMINA!BB46,2)+ROUND(NOMINA!BF46,2)</f>
        <v>0</v>
      </c>
      <c r="AA70" s="986">
        <f>ROUND(NOMINA!BK46,2)*0</f>
        <v>0</v>
      </c>
      <c r="AB70" s="986">
        <f>ROUND(NOMINA!BG46,2)</f>
        <v>300</v>
      </c>
      <c r="AC70" s="1000">
        <f t="shared" si="7"/>
        <v>540.18000000000006</v>
      </c>
      <c r="AE70" s="634"/>
    </row>
    <row r="71" spans="1:31" s="629" customFormat="1" ht="20.100000000000001" customHeight="1" thickBot="1">
      <c r="A71" s="770" t="s">
        <v>2846</v>
      </c>
      <c r="B71" s="510">
        <f t="shared" si="8"/>
        <v>5</v>
      </c>
      <c r="C71" s="980">
        <f>NOMINA!C47</f>
        <v>5790501</v>
      </c>
      <c r="D71" s="981" t="str">
        <f>NOMINA!D47</f>
        <v>Castellanos de Araujo Maria Eustoquia</v>
      </c>
      <c r="E71" s="978" t="s">
        <v>4622</v>
      </c>
      <c r="F71" s="982">
        <v>32351</v>
      </c>
      <c r="G71" s="978" t="s">
        <v>4620</v>
      </c>
      <c r="H71" s="1001">
        <f>NOMINA!H47</f>
        <v>39707</v>
      </c>
      <c r="I71" s="984">
        <f>NOMINA!I47</f>
        <v>16</v>
      </c>
      <c r="J71" s="985">
        <f>NOMINA!J47</f>
        <v>3</v>
      </c>
      <c r="K71" s="984">
        <f t="shared" si="6"/>
        <v>19</v>
      </c>
      <c r="L71" s="985" t="s">
        <v>4932</v>
      </c>
      <c r="M71" s="985"/>
      <c r="N71" s="1002" t="str">
        <f>NOMINA!O47</f>
        <v>Asistente de Analista III</v>
      </c>
      <c r="O71" s="985">
        <v>1.02087691000006E+18</v>
      </c>
      <c r="P71" s="999">
        <f>NOMINA!W47</f>
        <v>114</v>
      </c>
      <c r="Q71" s="986">
        <f>NOMINA!AG47</f>
        <v>27.81</v>
      </c>
      <c r="R71" s="986">
        <f>NOMINA!AI47</f>
        <v>65</v>
      </c>
      <c r="S71" s="986">
        <f>NOMINA!AK47</f>
        <v>51.7</v>
      </c>
      <c r="T71" s="986">
        <f>ROUND(NOMINA!AO47,2)</f>
        <v>0</v>
      </c>
      <c r="U71" s="986">
        <f>ROUND(NOMINA!AQ47,2)</f>
        <v>0</v>
      </c>
      <c r="V71" s="986">
        <f>ROUND(NOMINA!AR47,2)</f>
        <v>0</v>
      </c>
      <c r="W71" s="986">
        <f>ROUND(NOMINA!AS47,2)</f>
        <v>0</v>
      </c>
      <c r="X71" s="986">
        <f>ROUND(NOMINA!AW47,2)</f>
        <v>0</v>
      </c>
      <c r="Y71" s="986">
        <f>ROUND(NOMINA!AX47,2)</f>
        <v>0</v>
      </c>
      <c r="Z71" s="986">
        <f>ROUND(NOMINA!BB47,2)+ROUND(NOMINA!BF47,2)</f>
        <v>0</v>
      </c>
      <c r="AA71" s="986">
        <f>ROUND(NOMINA!BK47,2)*0</f>
        <v>0</v>
      </c>
      <c r="AB71" s="986">
        <f>ROUND(NOMINA!BG47,2)</f>
        <v>300</v>
      </c>
      <c r="AC71" s="1000">
        <f t="shared" si="7"/>
        <v>558.51</v>
      </c>
      <c r="AE71" s="634"/>
    </row>
    <row r="72" spans="1:31" s="629" customFormat="1" ht="20.100000000000001" customHeight="1" thickBot="1">
      <c r="A72" s="770" t="s">
        <v>2846</v>
      </c>
      <c r="B72" s="510">
        <f t="shared" si="8"/>
        <v>6</v>
      </c>
      <c r="C72" s="980">
        <f>NOMINA!C48</f>
        <v>7744688</v>
      </c>
      <c r="D72" s="981" t="str">
        <f>NOMINA!D48</f>
        <v>Aguilera Carroz Gerardo Raul</v>
      </c>
      <c r="E72" s="978" t="s">
        <v>4622</v>
      </c>
      <c r="F72" s="982">
        <v>32351</v>
      </c>
      <c r="G72" s="978" t="s">
        <v>4620</v>
      </c>
      <c r="H72" s="1001">
        <f>NOMINA!H48</f>
        <v>44713</v>
      </c>
      <c r="I72" s="984">
        <f>NOMINA!I48</f>
        <v>2</v>
      </c>
      <c r="J72" s="985">
        <f>NOMINA!J48</f>
        <v>0</v>
      </c>
      <c r="K72" s="984">
        <f t="shared" si="6"/>
        <v>2</v>
      </c>
      <c r="L72" s="985" t="s">
        <v>4932</v>
      </c>
      <c r="M72" s="985"/>
      <c r="N72" s="1002" t="str">
        <f>NOMINA!O48</f>
        <v>Asistente Administrativo III</v>
      </c>
      <c r="O72" s="985">
        <v>1.02087691000006E+18</v>
      </c>
      <c r="P72" s="999">
        <f>NOMINA!W48</f>
        <v>96</v>
      </c>
      <c r="Q72" s="986">
        <f>NOMINA!AG48</f>
        <v>1.92</v>
      </c>
      <c r="R72" s="986">
        <f>NOMINA!AI48</f>
        <v>65</v>
      </c>
      <c r="S72" s="986">
        <f>NOMINA!AK48</f>
        <v>32.58</v>
      </c>
      <c r="T72" s="986">
        <f>ROUND(NOMINA!AO48,2)</f>
        <v>0</v>
      </c>
      <c r="U72" s="986">
        <f>ROUND(NOMINA!AQ48,2)</f>
        <v>0</v>
      </c>
      <c r="V72" s="986">
        <f>ROUND(NOMINA!AR48,2)</f>
        <v>0</v>
      </c>
      <c r="W72" s="986">
        <f>ROUND(NOMINA!AS48,2)</f>
        <v>0</v>
      </c>
      <c r="X72" s="986">
        <f>ROUND(NOMINA!AW48,2)</f>
        <v>0</v>
      </c>
      <c r="Y72" s="986">
        <f>ROUND(NOMINA!AX48,2)</f>
        <v>0</v>
      </c>
      <c r="Z72" s="986">
        <f>ROUND(NOMINA!BB48,2)+ROUND(NOMINA!BF48,2)</f>
        <v>0</v>
      </c>
      <c r="AA72" s="986">
        <f>ROUND(NOMINA!BK48,2)*0</f>
        <v>0</v>
      </c>
      <c r="AB72" s="986">
        <f>ROUND(NOMINA!BG48,2)</f>
        <v>300</v>
      </c>
      <c r="AC72" s="1000">
        <f t="shared" si="7"/>
        <v>495.5</v>
      </c>
      <c r="AE72" s="634"/>
    </row>
    <row r="73" spans="1:31" s="629" customFormat="1" ht="20.100000000000001" customHeight="1" thickBot="1">
      <c r="A73" s="770" t="s">
        <v>2846</v>
      </c>
      <c r="B73" s="510">
        <f t="shared" si="8"/>
        <v>7</v>
      </c>
      <c r="C73" s="980">
        <f>NOMINA!C49</f>
        <v>7890070</v>
      </c>
      <c r="D73" s="981" t="str">
        <f>NOMINA!D49</f>
        <v>Pacheco Bermudez Bebsabeth Coromoto</v>
      </c>
      <c r="E73" s="978" t="s">
        <v>4622</v>
      </c>
      <c r="F73" s="982">
        <v>32351</v>
      </c>
      <c r="G73" s="978" t="s">
        <v>4620</v>
      </c>
      <c r="H73" s="1001">
        <f>NOMINA!H49</f>
        <v>38930</v>
      </c>
      <c r="I73" s="984">
        <f>NOMINA!I49</f>
        <v>18</v>
      </c>
      <c r="J73" s="985">
        <f>NOMINA!J49</f>
        <v>5</v>
      </c>
      <c r="K73" s="984">
        <f t="shared" si="6"/>
        <v>23</v>
      </c>
      <c r="L73" s="985" t="s">
        <v>4932</v>
      </c>
      <c r="M73" s="985"/>
      <c r="N73" s="1002" t="str">
        <f>NOMINA!O49</f>
        <v>Guia de Centro II</v>
      </c>
      <c r="O73" s="985">
        <v>1.02087691000006E+18</v>
      </c>
      <c r="P73" s="999">
        <f>NOMINA!W49</f>
        <v>88.5</v>
      </c>
      <c r="Q73" s="986">
        <f>NOMINA!AG49</f>
        <v>26.55</v>
      </c>
      <c r="R73" s="986">
        <f>NOMINA!AI49</f>
        <v>65</v>
      </c>
      <c r="S73" s="986">
        <f>NOMINA!AK49</f>
        <v>0</v>
      </c>
      <c r="T73" s="986">
        <f>ROUND(NOMINA!AO49,2)</f>
        <v>0</v>
      </c>
      <c r="U73" s="986">
        <f>ROUND(NOMINA!AQ49,2)</f>
        <v>0</v>
      </c>
      <c r="V73" s="986">
        <f>ROUND(NOMINA!AR49,2)</f>
        <v>0</v>
      </c>
      <c r="W73" s="986">
        <f>ROUND(NOMINA!AS49,2)</f>
        <v>0</v>
      </c>
      <c r="X73" s="986">
        <f>ROUND(NOMINA!AW49,2)</f>
        <v>0</v>
      </c>
      <c r="Y73" s="986">
        <f>ROUND(NOMINA!AX49,2)</f>
        <v>0</v>
      </c>
      <c r="Z73" s="986">
        <f>ROUND(NOMINA!BB49,2)+ROUND(NOMINA!BF49,2)</f>
        <v>0</v>
      </c>
      <c r="AA73" s="986">
        <f>ROUND(NOMINA!BK49,2)*0</f>
        <v>0</v>
      </c>
      <c r="AB73" s="986">
        <f>ROUND(NOMINA!BG49,2)</f>
        <v>300</v>
      </c>
      <c r="AC73" s="1000">
        <f t="shared" si="7"/>
        <v>480.05</v>
      </c>
      <c r="AE73" s="634"/>
    </row>
    <row r="74" spans="1:31" s="629" customFormat="1" ht="20.100000000000001" customHeight="1" thickBot="1">
      <c r="A74" s="770" t="s">
        <v>2846</v>
      </c>
      <c r="B74" s="510">
        <f t="shared" si="8"/>
        <v>8</v>
      </c>
      <c r="C74" s="980">
        <f>NOMINA!C50</f>
        <v>8719807</v>
      </c>
      <c r="D74" s="981" t="str">
        <f>NOMINA!D50</f>
        <v>Perez Saavedra Isabel Teresa</v>
      </c>
      <c r="E74" s="978" t="s">
        <v>4622</v>
      </c>
      <c r="F74" s="982">
        <v>32351</v>
      </c>
      <c r="G74" s="978" t="s">
        <v>4620</v>
      </c>
      <c r="H74" s="1001">
        <f>NOMINA!H50</f>
        <v>39874</v>
      </c>
      <c r="I74" s="984">
        <f>NOMINA!I50</f>
        <v>15</v>
      </c>
      <c r="J74" s="985">
        <f>NOMINA!J50</f>
        <v>4</v>
      </c>
      <c r="K74" s="984">
        <f t="shared" si="6"/>
        <v>19</v>
      </c>
      <c r="L74" s="985" t="s">
        <v>4932</v>
      </c>
      <c r="M74" s="985"/>
      <c r="N74" s="1002" t="str">
        <f>NOMINA!O50</f>
        <v>Abogado Jefe</v>
      </c>
      <c r="O74" s="985">
        <v>1.02087691000006E+18</v>
      </c>
      <c r="P74" s="999">
        <f>NOMINA!W50</f>
        <v>0</v>
      </c>
      <c r="Q74" s="986">
        <f>NOMINA!AG50</f>
        <v>0</v>
      </c>
      <c r="R74" s="986">
        <f>NOMINA!AI50</f>
        <v>0</v>
      </c>
      <c r="S74" s="986">
        <f>NOMINA!AK50</f>
        <v>0</v>
      </c>
      <c r="T74" s="986">
        <f>ROUND(NOMINA!AO50,2)</f>
        <v>0</v>
      </c>
      <c r="U74" s="986">
        <f>ROUND(NOMINA!AQ50,2)</f>
        <v>0</v>
      </c>
      <c r="V74" s="986">
        <f>ROUND(NOMINA!AR50,2)</f>
        <v>0</v>
      </c>
      <c r="W74" s="986">
        <f>ROUND(NOMINA!AS50,2)</f>
        <v>0</v>
      </c>
      <c r="X74" s="986">
        <f>ROUND(NOMINA!AW50,2)</f>
        <v>0</v>
      </c>
      <c r="Y74" s="986">
        <f>ROUND(NOMINA!AX50,2)</f>
        <v>0</v>
      </c>
      <c r="Z74" s="986">
        <f>ROUND(NOMINA!BB50,2)+ROUND(NOMINA!BF50,2)</f>
        <v>0</v>
      </c>
      <c r="AA74" s="986">
        <f>ROUND(NOMINA!BK50,2)*0</f>
        <v>0</v>
      </c>
      <c r="AB74" s="986">
        <f>ROUND(NOMINA!BG50,2)</f>
        <v>0</v>
      </c>
      <c r="AC74" s="1000">
        <f t="shared" si="7"/>
        <v>0</v>
      </c>
      <c r="AE74" s="634"/>
    </row>
    <row r="75" spans="1:31" s="629" customFormat="1" ht="20.100000000000001" customHeight="1" thickBot="1">
      <c r="A75" s="770" t="s">
        <v>2846</v>
      </c>
      <c r="B75" s="510">
        <f t="shared" si="8"/>
        <v>9</v>
      </c>
      <c r="C75" s="980">
        <f>NOMINA!C51</f>
        <v>8266170</v>
      </c>
      <c r="D75" s="981" t="str">
        <f>NOMINA!D51</f>
        <v>Aguana Sanchez Yraida Josefina</v>
      </c>
      <c r="E75" s="978" t="s">
        <v>4622</v>
      </c>
      <c r="F75" s="982">
        <v>32351</v>
      </c>
      <c r="G75" s="978" t="s">
        <v>4620</v>
      </c>
      <c r="H75" s="1001">
        <f>NOMINA!H51</f>
        <v>45323</v>
      </c>
      <c r="I75" s="984">
        <f>NOMINA!I51</f>
        <v>0</v>
      </c>
      <c r="J75" s="985">
        <f>NOMINA!J51</f>
        <v>5</v>
      </c>
      <c r="K75" s="984">
        <f t="shared" si="6"/>
        <v>5</v>
      </c>
      <c r="L75" s="985" t="s">
        <v>4932</v>
      </c>
      <c r="M75" s="985"/>
      <c r="N75" s="1002" t="str">
        <f>NOMINA!O51</f>
        <v>Guia de Centro I</v>
      </c>
      <c r="O75" s="985">
        <v>1.02087691000006E+18</v>
      </c>
      <c r="P75" s="999">
        <f>NOMINA!W51</f>
        <v>96</v>
      </c>
      <c r="Q75" s="986">
        <f>NOMINA!AG51</f>
        <v>4.8</v>
      </c>
      <c r="R75" s="986">
        <f>NOMINA!AI51</f>
        <v>65</v>
      </c>
      <c r="S75" s="986">
        <f>NOMINA!AK51</f>
        <v>43.01</v>
      </c>
      <c r="T75" s="986">
        <f>ROUND(NOMINA!AO51,2)</f>
        <v>0</v>
      </c>
      <c r="U75" s="986">
        <f>ROUND(NOMINA!AQ51,2)</f>
        <v>0</v>
      </c>
      <c r="V75" s="986">
        <f>ROUND(NOMINA!AR51,2)</f>
        <v>0</v>
      </c>
      <c r="W75" s="986">
        <f>ROUND(NOMINA!AS51,2)</f>
        <v>0</v>
      </c>
      <c r="X75" s="986">
        <f>ROUND(NOMINA!AW51,2)</f>
        <v>129.04</v>
      </c>
      <c r="Y75" s="986">
        <f>ROUND(NOMINA!AX51,2)</f>
        <v>0</v>
      </c>
      <c r="Z75" s="986">
        <f>ROUND(NOMINA!BB51,2)+ROUND(NOMINA!BF51,2)</f>
        <v>111.83</v>
      </c>
      <c r="AA75" s="986">
        <f>ROUND(NOMINA!BK51,2)*0</f>
        <v>0</v>
      </c>
      <c r="AB75" s="986">
        <f>ROUND(NOMINA!BG51,2)</f>
        <v>300</v>
      </c>
      <c r="AC75" s="1000">
        <f t="shared" si="7"/>
        <v>749.68000000000006</v>
      </c>
      <c r="AE75" s="634"/>
    </row>
    <row r="76" spans="1:31" s="629" customFormat="1" ht="20.100000000000001" customHeight="1" thickBot="1">
      <c r="A76" s="770" t="s">
        <v>2846</v>
      </c>
      <c r="B76" s="510">
        <f t="shared" si="8"/>
        <v>10</v>
      </c>
      <c r="C76" s="980">
        <f>NOMINA!C52</f>
        <v>9162178</v>
      </c>
      <c r="D76" s="981" t="str">
        <f>NOMINA!D52</f>
        <v>Duarte de Bastidas Gladys Margarita</v>
      </c>
      <c r="E76" s="978" t="s">
        <v>4622</v>
      </c>
      <c r="F76" s="982">
        <v>32351</v>
      </c>
      <c r="G76" s="978" t="s">
        <v>4620</v>
      </c>
      <c r="H76" s="1001">
        <f>NOMINA!H52</f>
        <v>39566</v>
      </c>
      <c r="I76" s="984">
        <f>NOMINA!I52</f>
        <v>16</v>
      </c>
      <c r="J76" s="985">
        <f>NOMINA!J52</f>
        <v>4</v>
      </c>
      <c r="K76" s="984">
        <f t="shared" si="6"/>
        <v>20</v>
      </c>
      <c r="L76" s="985" t="s">
        <v>4932</v>
      </c>
      <c r="M76" s="985"/>
      <c r="N76" s="1002" t="str">
        <f>NOMINA!O52</f>
        <v>Guia de Centro II</v>
      </c>
      <c r="O76" s="985">
        <v>1.02087691000006E+18</v>
      </c>
      <c r="P76" s="999">
        <f>NOMINA!W52</f>
        <v>88.5</v>
      </c>
      <c r="Q76" s="986">
        <f>NOMINA!AG52</f>
        <v>23.01</v>
      </c>
      <c r="R76" s="986">
        <f>NOMINA!AI52</f>
        <v>65</v>
      </c>
      <c r="S76" s="986">
        <f>NOMINA!AK52</f>
        <v>0</v>
      </c>
      <c r="T76" s="986">
        <f>ROUND(NOMINA!AO52,2)</f>
        <v>0</v>
      </c>
      <c r="U76" s="986">
        <f>ROUND(NOMINA!AQ52,2)</f>
        <v>0</v>
      </c>
      <c r="V76" s="986">
        <f>ROUND(NOMINA!AR52,2)</f>
        <v>0</v>
      </c>
      <c r="W76" s="986">
        <f>ROUND(NOMINA!AS52,2)</f>
        <v>0</v>
      </c>
      <c r="X76" s="986">
        <f>ROUND(NOMINA!AW52,2)</f>
        <v>105.91</v>
      </c>
      <c r="Y76" s="986">
        <f>ROUND(NOMINA!AX52,2)</f>
        <v>0</v>
      </c>
      <c r="Z76" s="986">
        <f>ROUND(NOMINA!BB52,2)+ROUND(NOMINA!BF52,2)</f>
        <v>68.84</v>
      </c>
      <c r="AA76" s="986">
        <f>ROUND(NOMINA!BK52,2)*0</f>
        <v>0</v>
      </c>
      <c r="AB76" s="986">
        <f>ROUND(NOMINA!BG52,2)</f>
        <v>300</v>
      </c>
      <c r="AC76" s="1000">
        <f t="shared" si="7"/>
        <v>651.26</v>
      </c>
      <c r="AE76" s="634"/>
    </row>
    <row r="77" spans="1:31" s="629" customFormat="1" ht="20.100000000000001" customHeight="1" thickBot="1">
      <c r="A77" s="770" t="s">
        <v>2846</v>
      </c>
      <c r="B77" s="510">
        <f t="shared" si="8"/>
        <v>11</v>
      </c>
      <c r="C77" s="980">
        <f>NOMINA!C53</f>
        <v>9162243</v>
      </c>
      <c r="D77" s="981" t="str">
        <f>NOMINA!D53</f>
        <v>Valera Borrero Marcos Tulio</v>
      </c>
      <c r="E77" s="978" t="s">
        <v>4622</v>
      </c>
      <c r="F77" s="982">
        <v>32351</v>
      </c>
      <c r="G77" s="978" t="s">
        <v>4620</v>
      </c>
      <c r="H77" s="1001">
        <f>NOMINA!H53</f>
        <v>35535</v>
      </c>
      <c r="I77" s="984">
        <f>NOMINA!I53</f>
        <v>27</v>
      </c>
      <c r="J77" s="985">
        <f>NOMINA!J53</f>
        <v>0</v>
      </c>
      <c r="K77" s="984">
        <f t="shared" si="6"/>
        <v>27</v>
      </c>
      <c r="L77" s="985" t="s">
        <v>4932</v>
      </c>
      <c r="M77" s="985"/>
      <c r="N77" s="1002" t="str">
        <f>NOMINA!O53</f>
        <v>Guia de Centro II</v>
      </c>
      <c r="O77" s="985">
        <v>1.02087691000006E+18</v>
      </c>
      <c r="P77" s="999">
        <f>NOMINA!W53</f>
        <v>88.5</v>
      </c>
      <c r="Q77" s="986">
        <f>NOMINA!AG53</f>
        <v>26.55</v>
      </c>
      <c r="R77" s="986">
        <f>NOMINA!AI53</f>
        <v>65</v>
      </c>
      <c r="S77" s="986">
        <f>NOMINA!AK53</f>
        <v>0</v>
      </c>
      <c r="T77" s="986">
        <f>ROUND(NOMINA!AO53,2)</f>
        <v>0</v>
      </c>
      <c r="U77" s="986">
        <f>ROUND(NOMINA!AQ53,2)</f>
        <v>0</v>
      </c>
      <c r="V77" s="986">
        <f>ROUND(NOMINA!AR53,2)</f>
        <v>0</v>
      </c>
      <c r="W77" s="986">
        <f>ROUND(NOMINA!AS53,2)</f>
        <v>0</v>
      </c>
      <c r="X77" s="986">
        <f>ROUND(NOMINA!AW53,2)</f>
        <v>0</v>
      </c>
      <c r="Y77" s="986">
        <f>ROUND(NOMINA!AX53,2)</f>
        <v>0</v>
      </c>
      <c r="Z77" s="986">
        <f>ROUND(NOMINA!BB53,2)+ROUND(NOMINA!BF53,2)</f>
        <v>0</v>
      </c>
      <c r="AA77" s="986">
        <f>ROUND(NOMINA!BK53,2)*0</f>
        <v>0</v>
      </c>
      <c r="AB77" s="986">
        <f>ROUND(NOMINA!BG53,2)</f>
        <v>300</v>
      </c>
      <c r="AC77" s="1000">
        <f t="shared" si="7"/>
        <v>480.05</v>
      </c>
      <c r="AE77" s="634"/>
    </row>
    <row r="78" spans="1:31" s="629" customFormat="1" ht="20.100000000000001" customHeight="1" thickBot="1">
      <c r="A78" s="770" t="s">
        <v>2846</v>
      </c>
      <c r="B78" s="510">
        <f t="shared" si="8"/>
        <v>12</v>
      </c>
      <c r="C78" s="980">
        <f>NOMINA!C54</f>
        <v>9170647</v>
      </c>
      <c r="D78" s="981" t="str">
        <f>NOMINA!D54</f>
        <v>Torres Gonzalez Meris Del Carmen</v>
      </c>
      <c r="E78" s="978" t="s">
        <v>4622</v>
      </c>
      <c r="F78" s="982">
        <v>32351</v>
      </c>
      <c r="G78" s="978" t="s">
        <v>4620</v>
      </c>
      <c r="H78" s="1001">
        <f>NOMINA!H54</f>
        <v>39238</v>
      </c>
      <c r="I78" s="984">
        <f>NOMINA!I54</f>
        <v>17</v>
      </c>
      <c r="J78" s="985">
        <f>NOMINA!J54</f>
        <v>0</v>
      </c>
      <c r="K78" s="984">
        <f t="shared" si="6"/>
        <v>17</v>
      </c>
      <c r="L78" s="985" t="s">
        <v>4932</v>
      </c>
      <c r="M78" s="985"/>
      <c r="N78" s="1002" t="str">
        <f>NOMINA!O54</f>
        <v>Guia de Centro II</v>
      </c>
      <c r="O78" s="985">
        <v>1.02087691000006E+18</v>
      </c>
      <c r="P78" s="999">
        <f>NOMINA!W54</f>
        <v>113</v>
      </c>
      <c r="Q78" s="986">
        <f>NOMINA!AG54</f>
        <v>23.95</v>
      </c>
      <c r="R78" s="986">
        <f>NOMINA!AI54</f>
        <v>65</v>
      </c>
      <c r="S78" s="986">
        <f>NOMINA!AK54</f>
        <v>40.39</v>
      </c>
      <c r="T78" s="986">
        <f>ROUND(NOMINA!AO54,2)</f>
        <v>0</v>
      </c>
      <c r="U78" s="986">
        <f>ROUND(NOMINA!AQ54,2)</f>
        <v>0</v>
      </c>
      <c r="V78" s="986">
        <f>ROUND(NOMINA!AR54,2)</f>
        <v>0</v>
      </c>
      <c r="W78" s="986">
        <f>ROUND(NOMINA!AS54,2)</f>
        <v>0</v>
      </c>
      <c r="X78" s="986">
        <f>ROUND(NOMINA!AW54,2)</f>
        <v>145.41</v>
      </c>
      <c r="Y78" s="986">
        <f>ROUND(NOMINA!AX54,2)</f>
        <v>0</v>
      </c>
      <c r="Z78" s="986">
        <f>ROUND(NOMINA!BB54,2)+ROUND(NOMINA!BF54,2)</f>
        <v>157.53</v>
      </c>
      <c r="AA78" s="986">
        <f>ROUND(NOMINA!BK54,2)*0</f>
        <v>0</v>
      </c>
      <c r="AB78" s="986">
        <f>ROUND(NOMINA!BG54,2)</f>
        <v>300</v>
      </c>
      <c r="AC78" s="1000">
        <f t="shared" si="7"/>
        <v>845.28</v>
      </c>
      <c r="AE78" s="634"/>
    </row>
    <row r="79" spans="1:31" s="629" customFormat="1" ht="20.100000000000001" customHeight="1" thickBot="1">
      <c r="A79" s="770" t="s">
        <v>2846</v>
      </c>
      <c r="B79" s="510">
        <f t="shared" si="8"/>
        <v>13</v>
      </c>
      <c r="C79" s="980">
        <f>NOMINA!C55</f>
        <v>9177323</v>
      </c>
      <c r="D79" s="981" t="str">
        <f>NOMINA!D55</f>
        <v>Simancas De Mendoza Alix Josefina</v>
      </c>
      <c r="E79" s="978" t="s">
        <v>4622</v>
      </c>
      <c r="F79" s="982">
        <v>32351</v>
      </c>
      <c r="G79" s="978" t="s">
        <v>4620</v>
      </c>
      <c r="H79" s="1001">
        <f>NOMINA!H55</f>
        <v>37879</v>
      </c>
      <c r="I79" s="984">
        <f>NOMINA!I55</f>
        <v>21</v>
      </c>
      <c r="J79" s="985">
        <f>NOMINA!J55</f>
        <v>0</v>
      </c>
      <c r="K79" s="984">
        <f t="shared" si="6"/>
        <v>21</v>
      </c>
      <c r="L79" s="985" t="s">
        <v>4932</v>
      </c>
      <c r="M79" s="985"/>
      <c r="N79" s="1002" t="str">
        <f>NOMINA!O55</f>
        <v>Asistente Administrativo III</v>
      </c>
      <c r="O79" s="985">
        <v>1.02087691000006E+18</v>
      </c>
      <c r="P79" s="999">
        <f>NOMINA!W55</f>
        <v>88.5</v>
      </c>
      <c r="Q79" s="986">
        <f>NOMINA!AG55</f>
        <v>24.6</v>
      </c>
      <c r="R79" s="986">
        <f>NOMINA!AI55</f>
        <v>65</v>
      </c>
      <c r="S79" s="986">
        <f>NOMINA!AK55</f>
        <v>0</v>
      </c>
      <c r="T79" s="986">
        <f>ROUND(NOMINA!AO55,2)</f>
        <v>0</v>
      </c>
      <c r="U79" s="986">
        <f>ROUND(NOMINA!AQ55,2)</f>
        <v>0</v>
      </c>
      <c r="V79" s="986">
        <f>ROUND(NOMINA!AR55,2)</f>
        <v>0</v>
      </c>
      <c r="W79" s="986">
        <f>ROUND(NOMINA!AS55,2)</f>
        <v>0</v>
      </c>
      <c r="X79" s="986">
        <f>ROUND(NOMINA!AW55,2)</f>
        <v>0</v>
      </c>
      <c r="Y79" s="986">
        <f>ROUND(NOMINA!AX55,2)</f>
        <v>0</v>
      </c>
      <c r="Z79" s="986">
        <f>ROUND(NOMINA!BB55,2)+ROUND(NOMINA!BF55,2)</f>
        <v>0</v>
      </c>
      <c r="AA79" s="986">
        <f>ROUND(NOMINA!BK55,2)*0</f>
        <v>0</v>
      </c>
      <c r="AB79" s="986">
        <f>ROUND(NOMINA!BG55,2)</f>
        <v>300</v>
      </c>
      <c r="AC79" s="1000">
        <f t="shared" si="7"/>
        <v>478.1</v>
      </c>
      <c r="AE79" s="634"/>
    </row>
    <row r="80" spans="1:31" s="629" customFormat="1" ht="20.100000000000001" customHeight="1" thickBot="1">
      <c r="A80" s="770" t="s">
        <v>2846</v>
      </c>
      <c r="B80" s="510">
        <f t="shared" si="8"/>
        <v>14</v>
      </c>
      <c r="C80" s="980">
        <f>NOMINA!C56</f>
        <v>9178087</v>
      </c>
      <c r="D80" s="981" t="str">
        <f>NOMINA!D56</f>
        <v>Saavedra Juan Jose</v>
      </c>
      <c r="E80" s="978" t="s">
        <v>4622</v>
      </c>
      <c r="F80" s="982">
        <v>32351</v>
      </c>
      <c r="G80" s="978" t="s">
        <v>4620</v>
      </c>
      <c r="H80" s="1001">
        <f>NOMINA!H56</f>
        <v>37622</v>
      </c>
      <c r="I80" s="984">
        <f>NOMINA!I56</f>
        <v>22</v>
      </c>
      <c r="J80" s="985">
        <f>NOMINA!J56</f>
        <v>0</v>
      </c>
      <c r="K80" s="984">
        <f t="shared" si="6"/>
        <v>22</v>
      </c>
      <c r="L80" s="985" t="s">
        <v>4932</v>
      </c>
      <c r="M80" s="985"/>
      <c r="N80" s="1002" t="str">
        <f>NOMINA!O56</f>
        <v>Asistente Administrativo III</v>
      </c>
      <c r="O80" s="985">
        <v>1.02087691000006E+18</v>
      </c>
      <c r="P80" s="999">
        <f>NOMINA!W56</f>
        <v>88.5</v>
      </c>
      <c r="Q80" s="986">
        <f>NOMINA!AG56</f>
        <v>26.19</v>
      </c>
      <c r="R80" s="986">
        <f>NOMINA!AI56</f>
        <v>65</v>
      </c>
      <c r="S80" s="986">
        <f>NOMINA!AK56</f>
        <v>0</v>
      </c>
      <c r="T80" s="986">
        <f>ROUND(NOMINA!AO56,2)</f>
        <v>0</v>
      </c>
      <c r="U80" s="986">
        <f>ROUND(NOMINA!AQ56,2)</f>
        <v>0</v>
      </c>
      <c r="V80" s="986">
        <f>ROUND(NOMINA!AR56,2)</f>
        <v>0</v>
      </c>
      <c r="W80" s="986">
        <f>ROUND(NOMINA!AS56,2)</f>
        <v>0</v>
      </c>
      <c r="X80" s="986">
        <f>ROUND(NOMINA!AW56,2)</f>
        <v>0</v>
      </c>
      <c r="Y80" s="986">
        <f>ROUND(NOMINA!AX56,2)</f>
        <v>2875.12</v>
      </c>
      <c r="Z80" s="986">
        <f>ROUND(NOMINA!BB56,2)+ROUND(NOMINA!BF56,2)</f>
        <v>0</v>
      </c>
      <c r="AA80" s="986">
        <f>ROUND(NOMINA!BK56,2)*0</f>
        <v>0</v>
      </c>
      <c r="AB80" s="986">
        <f>ROUND(NOMINA!BG56,2)</f>
        <v>300</v>
      </c>
      <c r="AC80" s="1000">
        <f t="shared" si="7"/>
        <v>3354.81</v>
      </c>
      <c r="AE80" s="634"/>
    </row>
    <row r="81" spans="1:31" s="629" customFormat="1" ht="20.100000000000001" customHeight="1" thickBot="1">
      <c r="A81" s="770" t="s">
        <v>2846</v>
      </c>
      <c r="B81" s="510">
        <f t="shared" si="8"/>
        <v>15</v>
      </c>
      <c r="C81" s="980">
        <f>NOMINA!C57</f>
        <v>9179981</v>
      </c>
      <c r="D81" s="981" t="str">
        <f>NOMINA!D57</f>
        <v>Manzanilla Molina Alfredo Jose</v>
      </c>
      <c r="E81" s="978" t="s">
        <v>4622</v>
      </c>
      <c r="F81" s="982">
        <v>32351</v>
      </c>
      <c r="G81" s="978" t="s">
        <v>4620</v>
      </c>
      <c r="H81" s="1001">
        <f>NOMINA!H57</f>
        <v>45597</v>
      </c>
      <c r="I81" s="984">
        <f>NOMINA!I57</f>
        <v>0</v>
      </c>
      <c r="J81" s="985">
        <f>NOMINA!J57</f>
        <v>18</v>
      </c>
      <c r="K81" s="984">
        <f t="shared" si="6"/>
        <v>18</v>
      </c>
      <c r="L81" s="985" t="s">
        <v>4932</v>
      </c>
      <c r="M81" s="985"/>
      <c r="N81" s="1002" t="str">
        <f>NOMINA!O57</f>
        <v>Instructor Agropecuario III</v>
      </c>
      <c r="O81" s="985">
        <v>1.02087691000006E+18</v>
      </c>
      <c r="P81" s="999">
        <f>NOMINA!W57</f>
        <v>88.5</v>
      </c>
      <c r="Q81" s="986">
        <f>NOMINA!AG57</f>
        <v>20.18</v>
      </c>
      <c r="R81" s="986">
        <f>NOMINA!AI57</f>
        <v>65</v>
      </c>
      <c r="S81" s="986">
        <f>NOMINA!AK57</f>
        <v>44.98</v>
      </c>
      <c r="T81" s="986">
        <f>ROUND(NOMINA!AO57,2)</f>
        <v>0</v>
      </c>
      <c r="U81" s="986">
        <f>ROUND(NOMINA!AQ57,2)</f>
        <v>0</v>
      </c>
      <c r="V81" s="986">
        <f>ROUND(NOMINA!AR57,2)</f>
        <v>0</v>
      </c>
      <c r="W81" s="986">
        <f>ROUND(NOMINA!AS57,2)</f>
        <v>0</v>
      </c>
      <c r="X81" s="986">
        <f>ROUND(NOMINA!AW57,2)</f>
        <v>0</v>
      </c>
      <c r="Y81" s="986">
        <f>ROUND(NOMINA!AX57,2)</f>
        <v>0</v>
      </c>
      <c r="Z81" s="986">
        <f>ROUND(NOMINA!BB57,2)+ROUND(NOMINA!BF57,2)</f>
        <v>0</v>
      </c>
      <c r="AA81" s="986">
        <f>ROUND(NOMINA!BK57,2)*0</f>
        <v>0</v>
      </c>
      <c r="AB81" s="986">
        <f>ROUND(NOMINA!BG57,2)</f>
        <v>300</v>
      </c>
      <c r="AC81" s="1000">
        <f t="shared" si="7"/>
        <v>518.66</v>
      </c>
      <c r="AE81" s="634"/>
    </row>
    <row r="82" spans="1:31" s="629" customFormat="1" ht="20.100000000000001" customHeight="1" thickBot="1">
      <c r="A82" s="770" t="s">
        <v>2846</v>
      </c>
      <c r="B82" s="510">
        <f t="shared" si="8"/>
        <v>16</v>
      </c>
      <c r="C82" s="980">
        <f>NOMINA!C58</f>
        <v>9311822</v>
      </c>
      <c r="D82" s="981" t="str">
        <f>NOMINA!D58</f>
        <v>Rojo Sanchez Alexis O.</v>
      </c>
      <c r="E82" s="978" t="s">
        <v>4622</v>
      </c>
      <c r="F82" s="982">
        <v>32351</v>
      </c>
      <c r="G82" s="978" t="s">
        <v>4620</v>
      </c>
      <c r="H82" s="1001">
        <f>NOMINA!H58</f>
        <v>37662</v>
      </c>
      <c r="I82" s="984">
        <f>NOMINA!I58</f>
        <v>21</v>
      </c>
      <c r="J82" s="985">
        <f>NOMINA!J58</f>
        <v>0</v>
      </c>
      <c r="K82" s="984">
        <f t="shared" si="6"/>
        <v>21</v>
      </c>
      <c r="L82" s="985" t="s">
        <v>4932</v>
      </c>
      <c r="M82" s="985"/>
      <c r="N82" s="1002" t="str">
        <f>NOMINA!O58</f>
        <v>Asistente Administrativo III</v>
      </c>
      <c r="O82" s="985">
        <v>1.02087691000006E+18</v>
      </c>
      <c r="P82" s="999">
        <f>NOMINA!W58</f>
        <v>0</v>
      </c>
      <c r="Q82" s="986">
        <f>NOMINA!AG58</f>
        <v>0</v>
      </c>
      <c r="R82" s="986">
        <f>NOMINA!AI58</f>
        <v>0</v>
      </c>
      <c r="S82" s="986">
        <f>NOMINA!AK58</f>
        <v>0</v>
      </c>
      <c r="T82" s="986">
        <f>ROUND(NOMINA!AO58,2)</f>
        <v>0</v>
      </c>
      <c r="U82" s="986">
        <f>ROUND(NOMINA!AQ58,2)</f>
        <v>0</v>
      </c>
      <c r="V82" s="986">
        <f>ROUND(NOMINA!AR58,2)</f>
        <v>0</v>
      </c>
      <c r="W82" s="986">
        <f>ROUND(NOMINA!AS58,2)</f>
        <v>0</v>
      </c>
      <c r="X82" s="986">
        <f>ROUND(NOMINA!AW58,2)</f>
        <v>0</v>
      </c>
      <c r="Y82" s="986">
        <f>ROUND(NOMINA!AX58,2)</f>
        <v>0</v>
      </c>
      <c r="Z82" s="986">
        <f>ROUND(NOMINA!BB58,2)+ROUND(NOMINA!BF58,2)</f>
        <v>0</v>
      </c>
      <c r="AA82" s="986">
        <f>ROUND(NOMINA!BK58,2)*0</f>
        <v>0</v>
      </c>
      <c r="AB82" s="986">
        <f>ROUND(NOMINA!BG58,2)</f>
        <v>0</v>
      </c>
      <c r="AC82" s="1000">
        <f t="shared" si="7"/>
        <v>0</v>
      </c>
      <c r="AE82" s="634"/>
    </row>
    <row r="83" spans="1:31" s="629" customFormat="1" ht="20.100000000000001" customHeight="1" thickBot="1">
      <c r="A83" s="770" t="s">
        <v>2846</v>
      </c>
      <c r="B83" s="510">
        <f t="shared" si="8"/>
        <v>17</v>
      </c>
      <c r="C83" s="980">
        <f>NOMINA!C59</f>
        <v>9315117</v>
      </c>
      <c r="D83" s="981" t="str">
        <f>NOMINA!D59</f>
        <v>Palma de Briceño Sonia Josefina</v>
      </c>
      <c r="E83" s="978" t="s">
        <v>4622</v>
      </c>
      <c r="F83" s="982">
        <v>32351</v>
      </c>
      <c r="G83" s="978" t="s">
        <v>4620</v>
      </c>
      <c r="H83" s="1001">
        <f>NOMINA!H59</f>
        <v>38412</v>
      </c>
      <c r="I83" s="984">
        <f>NOMINA!I59</f>
        <v>19</v>
      </c>
      <c r="J83" s="985">
        <f>NOMINA!J59</f>
        <v>0</v>
      </c>
      <c r="K83" s="984">
        <f t="shared" si="6"/>
        <v>19</v>
      </c>
      <c r="L83" s="985" t="s">
        <v>4932</v>
      </c>
      <c r="M83" s="985"/>
      <c r="N83" s="1002" t="str">
        <f>NOMINA!O59</f>
        <v>Analista de Personal V</v>
      </c>
      <c r="O83" s="985">
        <v>1.02087691000006E+18</v>
      </c>
      <c r="P83" s="999">
        <f>NOMINA!W59</f>
        <v>143.5</v>
      </c>
      <c r="Q83" s="986">
        <f>NOMINA!AG59</f>
        <v>35.01</v>
      </c>
      <c r="R83" s="986">
        <f>NOMINA!AI59</f>
        <v>65</v>
      </c>
      <c r="S83" s="986">
        <f>NOMINA!AK59</f>
        <v>60.88</v>
      </c>
      <c r="T83" s="986">
        <f>ROUND(NOMINA!AO59,2)</f>
        <v>0</v>
      </c>
      <c r="U83" s="986">
        <f>ROUND(NOMINA!AQ59,2)</f>
        <v>0</v>
      </c>
      <c r="V83" s="986">
        <f>ROUND(NOMINA!AR59,2)</f>
        <v>0</v>
      </c>
      <c r="W83" s="986">
        <f>ROUND(NOMINA!AS59,2)</f>
        <v>0</v>
      </c>
      <c r="X83" s="986">
        <f>ROUND(NOMINA!AW59,2)</f>
        <v>0</v>
      </c>
      <c r="Y83" s="986">
        <f>ROUND(NOMINA!AX59,2)</f>
        <v>0</v>
      </c>
      <c r="Z83" s="986">
        <f>ROUND(NOMINA!BB59,2)+ROUND(NOMINA!BF59,2)</f>
        <v>0</v>
      </c>
      <c r="AA83" s="986">
        <f>ROUND(NOMINA!BK59,2)*0</f>
        <v>0</v>
      </c>
      <c r="AB83" s="986">
        <f>ROUND(NOMINA!BG59,2)</f>
        <v>300</v>
      </c>
      <c r="AC83" s="1000">
        <f t="shared" si="7"/>
        <v>604.39</v>
      </c>
      <c r="AE83" s="634"/>
    </row>
    <row r="84" spans="1:31" s="629" customFormat="1" ht="20.100000000000001" customHeight="1" thickBot="1">
      <c r="A84" s="770" t="s">
        <v>2846</v>
      </c>
      <c r="B84" s="510">
        <f t="shared" si="8"/>
        <v>18</v>
      </c>
      <c r="C84" s="980">
        <f>NOMINA!C60</f>
        <v>9315325</v>
      </c>
      <c r="D84" s="981" t="str">
        <f>NOMINA!D60</f>
        <v>Gonzalez Hernandez Marianela</v>
      </c>
      <c r="E84" s="978" t="s">
        <v>4622</v>
      </c>
      <c r="F84" s="982">
        <v>32351</v>
      </c>
      <c r="G84" s="978" t="s">
        <v>4620</v>
      </c>
      <c r="H84" s="1001">
        <f>NOMINA!H60</f>
        <v>39678</v>
      </c>
      <c r="I84" s="984">
        <f>NOMINA!I60</f>
        <v>16</v>
      </c>
      <c r="J84" s="985">
        <f>NOMINA!J60</f>
        <v>2</v>
      </c>
      <c r="K84" s="984">
        <f t="shared" si="6"/>
        <v>18</v>
      </c>
      <c r="L84" s="985" t="s">
        <v>4932</v>
      </c>
      <c r="M84" s="985"/>
      <c r="N84" s="1002" t="str">
        <f>NOMINA!O60</f>
        <v>Asistente Administrativo IV</v>
      </c>
      <c r="O84" s="985">
        <v>1.02087691000006E+18</v>
      </c>
      <c r="P84" s="999">
        <f>NOMINA!W60</f>
        <v>114</v>
      </c>
      <c r="Q84" s="986">
        <f>NOMINA!AG60</f>
        <v>25.99</v>
      </c>
      <c r="R84" s="986">
        <f>NOMINA!AI60</f>
        <v>65</v>
      </c>
      <c r="S84" s="986">
        <f>NOMINA!AK60</f>
        <v>41</v>
      </c>
      <c r="T84" s="986">
        <f>ROUND(NOMINA!AO60,2)</f>
        <v>0</v>
      </c>
      <c r="U84" s="986">
        <f>ROUND(NOMINA!AQ60,2)</f>
        <v>0</v>
      </c>
      <c r="V84" s="986">
        <f>ROUND(NOMINA!AR60,2)</f>
        <v>0</v>
      </c>
      <c r="W84" s="986">
        <f>ROUND(NOMINA!AS60,2)</f>
        <v>0</v>
      </c>
      <c r="X84" s="986">
        <f>ROUND(NOMINA!AW60,2)</f>
        <v>0</v>
      </c>
      <c r="Y84" s="986">
        <f>ROUND(NOMINA!AX60,2)</f>
        <v>0</v>
      </c>
      <c r="Z84" s="986">
        <f>ROUND(NOMINA!BB60,2)+ROUND(NOMINA!BF60,2)</f>
        <v>0</v>
      </c>
      <c r="AA84" s="986">
        <f>ROUND(NOMINA!BK60,2)*0</f>
        <v>0</v>
      </c>
      <c r="AB84" s="986">
        <f>ROUND(NOMINA!BG60,2)</f>
        <v>300</v>
      </c>
      <c r="AC84" s="1000">
        <f t="shared" si="7"/>
        <v>545.99</v>
      </c>
      <c r="AE84" s="634"/>
    </row>
    <row r="85" spans="1:31" s="629" customFormat="1" ht="20.100000000000001" customHeight="1" thickBot="1">
      <c r="A85" s="770" t="s">
        <v>2846</v>
      </c>
      <c r="B85" s="510">
        <f t="shared" si="8"/>
        <v>19</v>
      </c>
      <c r="C85" s="980">
        <f>NOMINA!C61</f>
        <v>9316224</v>
      </c>
      <c r="D85" s="981" t="str">
        <f>NOMINA!D61</f>
        <v>Sanchez Barrios Magalis del Carmen</v>
      </c>
      <c r="E85" s="978" t="s">
        <v>4622</v>
      </c>
      <c r="F85" s="982">
        <v>32351</v>
      </c>
      <c r="G85" s="978" t="s">
        <v>4620</v>
      </c>
      <c r="H85" s="1001">
        <f>NOMINA!H61</f>
        <v>44317</v>
      </c>
      <c r="I85" s="984">
        <f>NOMINA!I61</f>
        <v>3</v>
      </c>
      <c r="J85" s="985">
        <f>NOMINA!J61</f>
        <v>0</v>
      </c>
      <c r="K85" s="984">
        <f t="shared" si="6"/>
        <v>3</v>
      </c>
      <c r="L85" s="985" t="s">
        <v>4932</v>
      </c>
      <c r="M85" s="985"/>
      <c r="N85" s="1002" t="str">
        <f>NOMINA!O61</f>
        <v>Tecnico Superior en Trabajo Social II</v>
      </c>
      <c r="O85" s="985">
        <v>1.02087691000006E+18</v>
      </c>
      <c r="P85" s="999">
        <f>NOMINA!W61</f>
        <v>109.5</v>
      </c>
      <c r="Q85" s="986">
        <f>NOMINA!AG61</f>
        <v>3.28</v>
      </c>
      <c r="R85" s="986">
        <f>NOMINA!AI61</f>
        <v>65</v>
      </c>
      <c r="S85" s="986">
        <f>NOMINA!AK61</f>
        <v>35.549999999999997</v>
      </c>
      <c r="T85" s="986">
        <f>ROUND(NOMINA!AO61,2)</f>
        <v>0</v>
      </c>
      <c r="U85" s="986">
        <f>ROUND(NOMINA!AQ61,2)</f>
        <v>0</v>
      </c>
      <c r="V85" s="986">
        <f>ROUND(NOMINA!AR61,2)</f>
        <v>0</v>
      </c>
      <c r="W85" s="986">
        <f>ROUND(NOMINA!AS61,2)</f>
        <v>0</v>
      </c>
      <c r="X85" s="986">
        <f>ROUND(NOMINA!AW61,2)</f>
        <v>0</v>
      </c>
      <c r="Y85" s="986">
        <f>ROUND(NOMINA!AX61,2)</f>
        <v>0</v>
      </c>
      <c r="Z85" s="986">
        <f>ROUND(NOMINA!BB61,2)+ROUND(NOMINA!BF61,2)</f>
        <v>0</v>
      </c>
      <c r="AA85" s="986">
        <f>ROUND(NOMINA!BK61,2)*0</f>
        <v>0</v>
      </c>
      <c r="AB85" s="986">
        <f>ROUND(NOMINA!BG61,2)</f>
        <v>300</v>
      </c>
      <c r="AC85" s="1000">
        <f t="shared" si="7"/>
        <v>513.32999999999993</v>
      </c>
      <c r="AE85" s="634"/>
    </row>
    <row r="86" spans="1:31" s="629" customFormat="1" ht="20.100000000000001" customHeight="1" thickBot="1">
      <c r="A86" s="770" t="s">
        <v>2846</v>
      </c>
      <c r="B86" s="510">
        <f t="shared" si="8"/>
        <v>20</v>
      </c>
      <c r="C86" s="980">
        <f>NOMINA!C62</f>
        <v>9323927</v>
      </c>
      <c r="D86" s="981" t="str">
        <f>NOMINA!D62</f>
        <v>Cardozo Garcia Jorge Antonio</v>
      </c>
      <c r="E86" s="978" t="s">
        <v>4622</v>
      </c>
      <c r="F86" s="982">
        <v>32351</v>
      </c>
      <c r="G86" s="978" t="s">
        <v>4620</v>
      </c>
      <c r="H86" s="1001">
        <f>NOMINA!H62</f>
        <v>35704</v>
      </c>
      <c r="I86" s="984">
        <f>NOMINA!I62</f>
        <v>27</v>
      </c>
      <c r="J86" s="985">
        <f>NOMINA!J62</f>
        <v>0</v>
      </c>
      <c r="K86" s="984">
        <f t="shared" si="6"/>
        <v>27</v>
      </c>
      <c r="L86" s="985" t="s">
        <v>4932</v>
      </c>
      <c r="M86" s="985"/>
      <c r="N86" s="1002" t="str">
        <f>NOMINA!O62</f>
        <v>Guia de Centro II</v>
      </c>
      <c r="O86" s="985">
        <v>1.02087691000006E+18</v>
      </c>
      <c r="P86" s="999">
        <f>NOMINA!W62</f>
        <v>88.5</v>
      </c>
      <c r="Q86" s="986">
        <f>NOMINA!AG62</f>
        <v>26.55</v>
      </c>
      <c r="R86" s="986">
        <f>NOMINA!AI62</f>
        <v>65</v>
      </c>
      <c r="S86" s="986">
        <f>NOMINA!AK62</f>
        <v>0</v>
      </c>
      <c r="T86" s="986">
        <f>ROUND(NOMINA!AO62,2)</f>
        <v>0</v>
      </c>
      <c r="U86" s="986">
        <f>ROUND(NOMINA!AQ62,2)</f>
        <v>0</v>
      </c>
      <c r="V86" s="986">
        <f>ROUND(NOMINA!AR62,2)</f>
        <v>0</v>
      </c>
      <c r="W86" s="986">
        <f>ROUND(NOMINA!AS62,2)</f>
        <v>0</v>
      </c>
      <c r="X86" s="986">
        <f>ROUND(NOMINA!AW62,2)</f>
        <v>0</v>
      </c>
      <c r="Y86" s="986">
        <f>ROUND(NOMINA!AX62,2)</f>
        <v>0</v>
      </c>
      <c r="Z86" s="986">
        <f>ROUND(NOMINA!BB62,2)+ROUND(NOMINA!BF62,2)</f>
        <v>0</v>
      </c>
      <c r="AA86" s="986">
        <f>ROUND(NOMINA!BK62,2)*0</f>
        <v>0</v>
      </c>
      <c r="AB86" s="986">
        <f>ROUND(NOMINA!BG62,2)</f>
        <v>300</v>
      </c>
      <c r="AC86" s="1000">
        <f t="shared" si="7"/>
        <v>480.05</v>
      </c>
      <c r="AE86" s="634"/>
    </row>
    <row r="87" spans="1:31" s="629" customFormat="1" ht="20.100000000000001" customHeight="1" thickBot="1">
      <c r="A87" s="770" t="s">
        <v>2846</v>
      </c>
      <c r="B87" s="510">
        <f t="shared" si="8"/>
        <v>21</v>
      </c>
      <c r="C87" s="980">
        <f>NOMINA!C63</f>
        <v>9327253</v>
      </c>
      <c r="D87" s="981" t="str">
        <f>NOMINA!D63</f>
        <v>Garcia Araujo Jose Domingo</v>
      </c>
      <c r="E87" s="978" t="s">
        <v>4622</v>
      </c>
      <c r="F87" s="982">
        <v>32351</v>
      </c>
      <c r="G87" s="978" t="s">
        <v>4620</v>
      </c>
      <c r="H87" s="1001">
        <f>NOMINA!H63</f>
        <v>38930</v>
      </c>
      <c r="I87" s="984">
        <f>NOMINA!I63</f>
        <v>18</v>
      </c>
      <c r="J87" s="985">
        <f>NOMINA!J63</f>
        <v>0</v>
      </c>
      <c r="K87" s="984">
        <f t="shared" si="6"/>
        <v>18</v>
      </c>
      <c r="L87" s="985" t="s">
        <v>4932</v>
      </c>
      <c r="M87" s="985"/>
      <c r="N87" s="1002" t="str">
        <f>NOMINA!O63</f>
        <v>Analista de Presupuesto III</v>
      </c>
      <c r="O87" s="985">
        <v>1.02087691000006E+18</v>
      </c>
      <c r="P87" s="999">
        <f>NOMINA!W63</f>
        <v>143.5</v>
      </c>
      <c r="Q87" s="986">
        <f>NOMINA!AG63</f>
        <v>32.72</v>
      </c>
      <c r="R87" s="986">
        <f>NOMINA!AI63</f>
        <v>65</v>
      </c>
      <c r="S87" s="986">
        <f>NOMINA!AK63</f>
        <v>0</v>
      </c>
      <c r="T87" s="986">
        <f>ROUND(NOMINA!AO63,2)</f>
        <v>0</v>
      </c>
      <c r="U87" s="986">
        <f>ROUND(NOMINA!AQ63,2)</f>
        <v>0</v>
      </c>
      <c r="V87" s="986">
        <f>ROUND(NOMINA!AR63,2)</f>
        <v>0</v>
      </c>
      <c r="W87" s="986">
        <f>ROUND(NOMINA!AS63,2)</f>
        <v>0</v>
      </c>
      <c r="X87" s="986">
        <f>ROUND(NOMINA!AW63,2)</f>
        <v>0</v>
      </c>
      <c r="Y87" s="986">
        <f>ROUND(NOMINA!AX63,2)</f>
        <v>0</v>
      </c>
      <c r="Z87" s="986">
        <f>ROUND(NOMINA!BB63,2)+ROUND(NOMINA!BF63,2)</f>
        <v>0</v>
      </c>
      <c r="AA87" s="986">
        <f>ROUND(NOMINA!BK63,2)*0</f>
        <v>0</v>
      </c>
      <c r="AB87" s="986">
        <f>ROUND(NOMINA!BG63,2)</f>
        <v>300</v>
      </c>
      <c r="AC87" s="1000">
        <f t="shared" si="7"/>
        <v>541.22</v>
      </c>
      <c r="AE87" s="634"/>
    </row>
    <row r="88" spans="1:31" s="629" customFormat="1" ht="20.100000000000001" customHeight="1" thickBot="1">
      <c r="A88" s="770" t="s">
        <v>2846</v>
      </c>
      <c r="B88" s="510">
        <f t="shared" si="8"/>
        <v>22</v>
      </c>
      <c r="C88" s="980">
        <f>NOMINA!C64</f>
        <v>9328157</v>
      </c>
      <c r="D88" s="981" t="str">
        <f>NOMINA!D64</f>
        <v>Perez Salas Olga Margarita</v>
      </c>
      <c r="E88" s="978" t="s">
        <v>4622</v>
      </c>
      <c r="F88" s="982">
        <v>32351</v>
      </c>
      <c r="G88" s="978" t="s">
        <v>4620</v>
      </c>
      <c r="H88" s="1001">
        <f>NOMINA!H64</f>
        <v>41153</v>
      </c>
      <c r="I88" s="984">
        <f>NOMINA!I64</f>
        <v>12</v>
      </c>
      <c r="J88" s="985">
        <f>NOMINA!J64</f>
        <v>0</v>
      </c>
      <c r="K88" s="984">
        <f t="shared" si="6"/>
        <v>12</v>
      </c>
      <c r="L88" s="985" t="s">
        <v>4932</v>
      </c>
      <c r="M88" s="985"/>
      <c r="N88" s="1002" t="str">
        <f>NOMINA!O64</f>
        <v>Guia de Centro II</v>
      </c>
      <c r="O88" s="985">
        <v>1.02087691000006E+18</v>
      </c>
      <c r="P88" s="999">
        <f>NOMINA!W64</f>
        <v>87</v>
      </c>
      <c r="Q88" s="986">
        <f>NOMINA!AG64</f>
        <v>12</v>
      </c>
      <c r="R88" s="986">
        <f>NOMINA!AI64</f>
        <v>65</v>
      </c>
      <c r="S88" s="986">
        <f>NOMINA!AK64</f>
        <v>0</v>
      </c>
      <c r="T88" s="986">
        <f>ROUND(NOMINA!AO64,2)</f>
        <v>0</v>
      </c>
      <c r="U88" s="986">
        <f>ROUND(NOMINA!AQ64,2)</f>
        <v>0</v>
      </c>
      <c r="V88" s="986">
        <f>ROUND(NOMINA!AR64,2)</f>
        <v>0</v>
      </c>
      <c r="W88" s="986">
        <f>ROUND(NOMINA!AS64,2)</f>
        <v>0</v>
      </c>
      <c r="X88" s="986">
        <f>ROUND(NOMINA!AW64,2)</f>
        <v>0</v>
      </c>
      <c r="Y88" s="986">
        <f>ROUND(NOMINA!AX64,2)</f>
        <v>0</v>
      </c>
      <c r="Z88" s="986">
        <f>ROUND(NOMINA!BB64,2)+ROUND(NOMINA!BF64,2)</f>
        <v>0</v>
      </c>
      <c r="AA88" s="986">
        <f>ROUND(NOMINA!BK64,2)*0</f>
        <v>0</v>
      </c>
      <c r="AB88" s="986">
        <f>ROUND(NOMINA!BG64,2)</f>
        <v>300</v>
      </c>
      <c r="AC88" s="1000">
        <f t="shared" si="7"/>
        <v>464</v>
      </c>
      <c r="AE88" s="634"/>
    </row>
    <row r="89" spans="1:31" s="629" customFormat="1" ht="20.100000000000001" customHeight="1" thickBot="1">
      <c r="A89" s="770" t="s">
        <v>2846</v>
      </c>
      <c r="B89" s="510">
        <f t="shared" si="8"/>
        <v>23</v>
      </c>
      <c r="C89" s="980">
        <f>NOMINA!C65</f>
        <v>9328224</v>
      </c>
      <c r="D89" s="981" t="str">
        <f>NOMINA!D65</f>
        <v>Abreu Araujo Omar Antonio</v>
      </c>
      <c r="E89" s="978" t="s">
        <v>4622</v>
      </c>
      <c r="F89" s="982">
        <v>32351</v>
      </c>
      <c r="G89" s="978" t="s">
        <v>4620</v>
      </c>
      <c r="H89" s="1001">
        <f>NOMINA!H65</f>
        <v>39356</v>
      </c>
      <c r="I89" s="984">
        <f>NOMINA!I65</f>
        <v>17</v>
      </c>
      <c r="J89" s="985">
        <f>NOMINA!J65</f>
        <v>2</v>
      </c>
      <c r="K89" s="984">
        <f t="shared" si="6"/>
        <v>19</v>
      </c>
      <c r="L89" s="985" t="s">
        <v>4932</v>
      </c>
      <c r="M89" s="985"/>
      <c r="N89" s="1002" t="str">
        <f>NOMINA!O65</f>
        <v>Tecnico Agropecuario III</v>
      </c>
      <c r="O89" s="985">
        <v>1.02087691000006E+18</v>
      </c>
      <c r="P89" s="999">
        <f>NOMINA!W65</f>
        <v>114</v>
      </c>
      <c r="Q89" s="986">
        <f>NOMINA!AG65</f>
        <v>27.81</v>
      </c>
      <c r="R89" s="986">
        <f>NOMINA!AI65</f>
        <v>65</v>
      </c>
      <c r="S89" s="986">
        <f>NOMINA!AK65</f>
        <v>0</v>
      </c>
      <c r="T89" s="986">
        <f>ROUND(NOMINA!AO65,2)</f>
        <v>0</v>
      </c>
      <c r="U89" s="986">
        <f>ROUND(NOMINA!AQ65,2)</f>
        <v>0</v>
      </c>
      <c r="V89" s="986">
        <f>ROUND(NOMINA!AR65,2)</f>
        <v>0</v>
      </c>
      <c r="W89" s="986">
        <f>ROUND(NOMINA!AS65,2)</f>
        <v>0</v>
      </c>
      <c r="X89" s="986">
        <f>ROUND(NOMINA!AW65,2)</f>
        <v>0</v>
      </c>
      <c r="Y89" s="986">
        <f>ROUND(NOMINA!AX65,2)</f>
        <v>0</v>
      </c>
      <c r="Z89" s="986">
        <f>ROUND(NOMINA!BB65,2)+ROUND(NOMINA!BF65,2)</f>
        <v>0</v>
      </c>
      <c r="AA89" s="986">
        <f>ROUND(NOMINA!BK65,2)*0</f>
        <v>0</v>
      </c>
      <c r="AB89" s="986">
        <f>ROUND(NOMINA!BG65,2)</f>
        <v>300</v>
      </c>
      <c r="AC89" s="1000">
        <f t="shared" si="7"/>
        <v>506.81</v>
      </c>
      <c r="AE89" s="634"/>
    </row>
    <row r="90" spans="1:31" s="629" customFormat="1" ht="20.100000000000001" customHeight="1" thickBot="1">
      <c r="A90" s="770" t="s">
        <v>2846</v>
      </c>
      <c r="B90" s="510">
        <f t="shared" si="8"/>
        <v>24</v>
      </c>
      <c r="C90" s="980">
        <f>NOMINA!C66</f>
        <v>9495661</v>
      </c>
      <c r="D90" s="981" t="str">
        <f>NOMINA!D66</f>
        <v>Aguial Carrillo Gregoria Coromoto</v>
      </c>
      <c r="E90" s="978" t="s">
        <v>4622</v>
      </c>
      <c r="F90" s="982">
        <v>32351</v>
      </c>
      <c r="G90" s="978" t="s">
        <v>4620</v>
      </c>
      <c r="H90" s="1001">
        <f>NOMINA!H66</f>
        <v>39692</v>
      </c>
      <c r="I90" s="984">
        <f>NOMINA!I66</f>
        <v>16</v>
      </c>
      <c r="J90" s="985">
        <f>NOMINA!J66</f>
        <v>0</v>
      </c>
      <c r="K90" s="984">
        <f t="shared" si="6"/>
        <v>16</v>
      </c>
      <c r="L90" s="985" t="s">
        <v>4932</v>
      </c>
      <c r="M90" s="985"/>
      <c r="N90" s="1002" t="str">
        <f>NOMINA!O66</f>
        <v>Jefe de Centro</v>
      </c>
      <c r="O90" s="985">
        <v>1.02087691000006E+18</v>
      </c>
      <c r="P90" s="999">
        <f>NOMINA!W66</f>
        <v>0</v>
      </c>
      <c r="Q90" s="986">
        <f>NOMINA!AG66</f>
        <v>0</v>
      </c>
      <c r="R90" s="986">
        <f>NOMINA!AI66</f>
        <v>0</v>
      </c>
      <c r="S90" s="986">
        <f>NOMINA!AK66</f>
        <v>0</v>
      </c>
      <c r="T90" s="986">
        <f>ROUND(NOMINA!AO66,2)</f>
        <v>0</v>
      </c>
      <c r="U90" s="986">
        <f>ROUND(NOMINA!AQ66,2)</f>
        <v>0</v>
      </c>
      <c r="V90" s="986">
        <f>ROUND(NOMINA!AR66,2)</f>
        <v>0</v>
      </c>
      <c r="W90" s="986">
        <f>ROUND(NOMINA!AS66,2)</f>
        <v>0</v>
      </c>
      <c r="X90" s="986">
        <f>ROUND(NOMINA!AW66,2)</f>
        <v>0</v>
      </c>
      <c r="Y90" s="986">
        <f>ROUND(NOMINA!AX66,2)</f>
        <v>0</v>
      </c>
      <c r="Z90" s="986">
        <f>ROUND(NOMINA!BB66,2)+ROUND(NOMINA!BF66,2)</f>
        <v>0</v>
      </c>
      <c r="AA90" s="986">
        <f>ROUND(NOMINA!BK66,2)*0</f>
        <v>0</v>
      </c>
      <c r="AB90" s="986">
        <f>ROUND(NOMINA!BG66,2)</f>
        <v>0</v>
      </c>
      <c r="AC90" s="1000">
        <f t="shared" si="7"/>
        <v>0</v>
      </c>
      <c r="AE90" s="634"/>
    </row>
    <row r="91" spans="1:31" s="629" customFormat="1" ht="20.100000000000001" customHeight="1" thickBot="1">
      <c r="A91" s="770" t="s">
        <v>2846</v>
      </c>
      <c r="B91" s="510">
        <f t="shared" si="8"/>
        <v>25</v>
      </c>
      <c r="C91" s="980">
        <f>NOMINA!C67</f>
        <v>9496860</v>
      </c>
      <c r="D91" s="981" t="str">
        <f>NOMINA!D67</f>
        <v>Hernandez Valero Jose Alfredo</v>
      </c>
      <c r="E91" s="978" t="s">
        <v>4622</v>
      </c>
      <c r="F91" s="982">
        <v>32351</v>
      </c>
      <c r="G91" s="978" t="s">
        <v>4620</v>
      </c>
      <c r="H91" s="1001">
        <f>NOMINA!H67</f>
        <v>43877</v>
      </c>
      <c r="I91" s="984">
        <f>NOMINA!I67</f>
        <v>4</v>
      </c>
      <c r="J91" s="985">
        <f>NOMINA!J67</f>
        <v>9</v>
      </c>
      <c r="K91" s="984">
        <f t="shared" si="6"/>
        <v>13</v>
      </c>
      <c r="L91" s="985" t="s">
        <v>4932</v>
      </c>
      <c r="M91" s="985"/>
      <c r="N91" s="1002" t="str">
        <f>NOMINA!O67</f>
        <v>AUDITOR III</v>
      </c>
      <c r="O91" s="985">
        <v>1.02087691000006E+18</v>
      </c>
      <c r="P91" s="999">
        <f>NOMINA!W67</f>
        <v>141.5</v>
      </c>
      <c r="Q91" s="986">
        <f>NOMINA!AG67</f>
        <v>21.51</v>
      </c>
      <c r="R91" s="986">
        <f>NOMINA!AI67</f>
        <v>65</v>
      </c>
      <c r="S91" s="986">
        <f>NOMINA!AK67</f>
        <v>57</v>
      </c>
      <c r="T91" s="986">
        <f>ROUND(NOMINA!AO67,2)</f>
        <v>0</v>
      </c>
      <c r="U91" s="986">
        <f>ROUND(NOMINA!AQ67,2)</f>
        <v>0</v>
      </c>
      <c r="V91" s="986">
        <f>ROUND(NOMINA!AR67,2)</f>
        <v>0</v>
      </c>
      <c r="W91" s="986">
        <f>ROUND(NOMINA!AS67,2)</f>
        <v>0</v>
      </c>
      <c r="X91" s="986">
        <f>ROUND(NOMINA!AW67,2)</f>
        <v>0</v>
      </c>
      <c r="Y91" s="986">
        <f>ROUND(NOMINA!AX67,2)</f>
        <v>0</v>
      </c>
      <c r="Z91" s="986">
        <f>ROUND(NOMINA!BB67,2)+ROUND(NOMINA!BF67,2)</f>
        <v>0</v>
      </c>
      <c r="AA91" s="986">
        <f>ROUND(NOMINA!BK67,2)*0</f>
        <v>0</v>
      </c>
      <c r="AB91" s="986">
        <f>ROUND(NOMINA!BG67,2)</f>
        <v>300</v>
      </c>
      <c r="AC91" s="1000">
        <f t="shared" si="7"/>
        <v>585.01</v>
      </c>
      <c r="AE91" s="634"/>
    </row>
    <row r="92" spans="1:31" s="629" customFormat="1" ht="20.100000000000001" customHeight="1" thickBot="1">
      <c r="A92" s="770" t="s">
        <v>2846</v>
      </c>
      <c r="B92" s="510">
        <f t="shared" si="8"/>
        <v>26</v>
      </c>
      <c r="C92" s="980">
        <f>NOMINA!C68</f>
        <v>9497151</v>
      </c>
      <c r="D92" s="981" t="str">
        <f>NOMINA!D68</f>
        <v>Mendoza Vieras Pedro Luis</v>
      </c>
      <c r="E92" s="978" t="s">
        <v>4622</v>
      </c>
      <c r="F92" s="982">
        <v>32351</v>
      </c>
      <c r="G92" s="978" t="s">
        <v>4620</v>
      </c>
      <c r="H92" s="1001">
        <f>NOMINA!H68</f>
        <v>36770</v>
      </c>
      <c r="I92" s="984">
        <f>NOMINA!I68</f>
        <v>24</v>
      </c>
      <c r="J92" s="985">
        <f>NOMINA!J68</f>
        <v>0</v>
      </c>
      <c r="K92" s="984">
        <f t="shared" si="6"/>
        <v>24</v>
      </c>
      <c r="L92" s="985" t="s">
        <v>4932</v>
      </c>
      <c r="M92" s="985"/>
      <c r="N92" s="1002" t="str">
        <f>NOMINA!O68</f>
        <v>Ingeniero Industrial II</v>
      </c>
      <c r="O92" s="985">
        <v>1.02087691000006E+18</v>
      </c>
      <c r="P92" s="999">
        <f>NOMINA!W68</f>
        <v>143.5</v>
      </c>
      <c r="Q92" s="986">
        <f>NOMINA!AG68</f>
        <v>43.05</v>
      </c>
      <c r="R92" s="986">
        <f>NOMINA!AI68</f>
        <v>65</v>
      </c>
      <c r="S92" s="986">
        <f>NOMINA!AK68</f>
        <v>62.89</v>
      </c>
      <c r="T92" s="986">
        <f>ROUND(NOMINA!AO68,2)</f>
        <v>0</v>
      </c>
      <c r="U92" s="986">
        <f>ROUND(NOMINA!AQ68,2)</f>
        <v>0</v>
      </c>
      <c r="V92" s="986">
        <f>ROUND(NOMINA!AR68,2)</f>
        <v>0</v>
      </c>
      <c r="W92" s="986">
        <f>ROUND(NOMINA!AS68,2)</f>
        <v>0</v>
      </c>
      <c r="X92" s="986">
        <f>ROUND(NOMINA!AW68,2)</f>
        <v>0</v>
      </c>
      <c r="Y92" s="986">
        <f>ROUND(NOMINA!AX68,2)</f>
        <v>0</v>
      </c>
      <c r="Z92" s="986">
        <f>ROUND(NOMINA!BB68,2)+ROUND(NOMINA!BF68,2)</f>
        <v>0</v>
      </c>
      <c r="AA92" s="986">
        <f>ROUND(NOMINA!BK68,2)*0</f>
        <v>0</v>
      </c>
      <c r="AB92" s="986">
        <f>ROUND(NOMINA!BG68,2)</f>
        <v>300</v>
      </c>
      <c r="AC92" s="1000">
        <f t="shared" si="7"/>
        <v>614.44000000000005</v>
      </c>
      <c r="AE92" s="634"/>
    </row>
    <row r="93" spans="1:31" s="629" customFormat="1" ht="20.100000000000001" customHeight="1" thickBot="1">
      <c r="A93" s="770" t="s">
        <v>2846</v>
      </c>
      <c r="B93" s="510">
        <f t="shared" si="8"/>
        <v>27</v>
      </c>
      <c r="C93" s="980">
        <f>NOMINA!C69</f>
        <v>10033119</v>
      </c>
      <c r="D93" s="981" t="str">
        <f>NOMINA!D69</f>
        <v>Artigas de Hernandez Ana Maria</v>
      </c>
      <c r="E93" s="978" t="s">
        <v>4622</v>
      </c>
      <c r="F93" s="982">
        <v>32351</v>
      </c>
      <c r="G93" s="978" t="s">
        <v>4620</v>
      </c>
      <c r="H93" s="1001">
        <f>NOMINA!H69</f>
        <v>43359</v>
      </c>
      <c r="I93" s="984">
        <f>NOMINA!I69</f>
        <v>6</v>
      </c>
      <c r="J93" s="985">
        <f>NOMINA!J69</f>
        <v>0</v>
      </c>
      <c r="K93" s="984">
        <f t="shared" si="6"/>
        <v>6</v>
      </c>
      <c r="L93" s="985" t="s">
        <v>4932</v>
      </c>
      <c r="M93" s="985"/>
      <c r="N93" s="1002" t="str">
        <f>NOMINA!O69</f>
        <v>Tutor Facilitador III</v>
      </c>
      <c r="O93" s="985">
        <v>1.02087691000006E+18</v>
      </c>
      <c r="P93" s="999">
        <f>NOMINA!W69</f>
        <v>139.5</v>
      </c>
      <c r="Q93" s="986">
        <f>NOMINA!AG69</f>
        <v>8.65</v>
      </c>
      <c r="R93" s="986">
        <f>NOMINA!AI69</f>
        <v>65</v>
      </c>
      <c r="S93" s="986">
        <f>NOMINA!AK69</f>
        <v>53.29</v>
      </c>
      <c r="T93" s="986">
        <f>ROUND(NOMINA!AO69,2)</f>
        <v>0</v>
      </c>
      <c r="U93" s="986">
        <f>ROUND(NOMINA!AQ69,2)</f>
        <v>0</v>
      </c>
      <c r="V93" s="986">
        <f>ROUND(NOMINA!AR69,2)</f>
        <v>0</v>
      </c>
      <c r="W93" s="986">
        <f>ROUND(NOMINA!AS69,2)</f>
        <v>0</v>
      </c>
      <c r="X93" s="986">
        <f>ROUND(NOMINA!AW69,2)</f>
        <v>0</v>
      </c>
      <c r="Y93" s="986">
        <f>ROUND(NOMINA!AX69,2)</f>
        <v>0</v>
      </c>
      <c r="Z93" s="986">
        <f>ROUND(NOMINA!BB69,2)+ROUND(NOMINA!BF69,2)</f>
        <v>0</v>
      </c>
      <c r="AA93" s="986">
        <f>ROUND(NOMINA!BK69,2)*0</f>
        <v>0</v>
      </c>
      <c r="AB93" s="986">
        <f>ROUND(NOMINA!BG69,2)</f>
        <v>300</v>
      </c>
      <c r="AC93" s="1000">
        <f t="shared" si="7"/>
        <v>566.44000000000005</v>
      </c>
      <c r="AE93" s="634"/>
    </row>
    <row r="94" spans="1:31" s="629" customFormat="1" ht="20.100000000000001" customHeight="1" thickBot="1">
      <c r="A94" s="770" t="s">
        <v>2846</v>
      </c>
      <c r="B94" s="510">
        <f t="shared" si="8"/>
        <v>28</v>
      </c>
      <c r="C94" s="980">
        <f>NOMINA!C70</f>
        <v>10035540</v>
      </c>
      <c r="D94" s="981" t="str">
        <f>NOMINA!D70</f>
        <v xml:space="preserve">Linares Linares Emma Teresa </v>
      </c>
      <c r="E94" s="978" t="s">
        <v>4622</v>
      </c>
      <c r="F94" s="982">
        <v>32351</v>
      </c>
      <c r="G94" s="978" t="s">
        <v>4620</v>
      </c>
      <c r="H94" s="1001">
        <f>NOMINA!H70</f>
        <v>43236</v>
      </c>
      <c r="I94" s="984">
        <f>NOMINA!I70</f>
        <v>6</v>
      </c>
      <c r="J94" s="985">
        <f>NOMINA!J70</f>
        <v>0</v>
      </c>
      <c r="K94" s="984">
        <f t="shared" si="6"/>
        <v>6</v>
      </c>
      <c r="L94" s="985" t="s">
        <v>4932</v>
      </c>
      <c r="M94" s="985"/>
      <c r="N94" s="1002" t="str">
        <f>NOMINA!O70</f>
        <v>Tecnico Superior en Trabajo Social II</v>
      </c>
      <c r="O94" s="985">
        <v>1.02087691000006E+18</v>
      </c>
      <c r="P94" s="999">
        <f>NOMINA!W70</f>
        <v>110.5</v>
      </c>
      <c r="Q94" s="986">
        <f>NOMINA!AG70</f>
        <v>6.85</v>
      </c>
      <c r="R94" s="986">
        <f>NOMINA!AI70</f>
        <v>65</v>
      </c>
      <c r="S94" s="986">
        <f>NOMINA!AK70</f>
        <v>45.59</v>
      </c>
      <c r="T94" s="986">
        <f>ROUND(NOMINA!AO70,2)</f>
        <v>0</v>
      </c>
      <c r="U94" s="986">
        <f>ROUND(NOMINA!AQ70,2)</f>
        <v>12.5</v>
      </c>
      <c r="V94" s="986">
        <f>ROUND(NOMINA!AR70,2)</f>
        <v>0</v>
      </c>
      <c r="W94" s="986">
        <f>ROUND(NOMINA!AS70,2)</f>
        <v>0</v>
      </c>
      <c r="X94" s="986">
        <f>ROUND(NOMINA!AW70,2)</f>
        <v>0</v>
      </c>
      <c r="Y94" s="986">
        <f>ROUND(NOMINA!AX70,2)</f>
        <v>0</v>
      </c>
      <c r="Z94" s="986">
        <f>ROUND(NOMINA!BB70,2)+ROUND(NOMINA!BF70,2)</f>
        <v>0</v>
      </c>
      <c r="AA94" s="986">
        <f>ROUND(NOMINA!BK70,2)*0</f>
        <v>0</v>
      </c>
      <c r="AB94" s="986">
        <f>ROUND(NOMINA!BG70,2)</f>
        <v>300</v>
      </c>
      <c r="AC94" s="1000">
        <f t="shared" si="7"/>
        <v>540.44000000000005</v>
      </c>
      <c r="AE94" s="634"/>
    </row>
    <row r="95" spans="1:31" s="629" customFormat="1" ht="20.100000000000001" customHeight="1" thickBot="1">
      <c r="A95" s="770" t="s">
        <v>2846</v>
      </c>
      <c r="B95" s="510">
        <f t="shared" si="8"/>
        <v>29</v>
      </c>
      <c r="C95" s="980">
        <f>NOMINA!C71</f>
        <v>10037054</v>
      </c>
      <c r="D95" s="981" t="str">
        <f>NOMINA!D71</f>
        <v>Aguial Carrillo Deris Margarita</v>
      </c>
      <c r="E95" s="978" t="s">
        <v>4622</v>
      </c>
      <c r="F95" s="982">
        <v>32351</v>
      </c>
      <c r="G95" s="978" t="s">
        <v>4620</v>
      </c>
      <c r="H95" s="1001">
        <f>NOMINA!H71</f>
        <v>39820</v>
      </c>
      <c r="I95" s="984">
        <f>NOMINA!I71</f>
        <v>16</v>
      </c>
      <c r="J95" s="985">
        <f>NOMINA!J71</f>
        <v>0</v>
      </c>
      <c r="K95" s="984">
        <f t="shared" si="6"/>
        <v>16</v>
      </c>
      <c r="L95" s="985" t="s">
        <v>4932</v>
      </c>
      <c r="M95" s="985"/>
      <c r="N95" s="1002" t="str">
        <f>NOMINA!O71</f>
        <v>Guia de Centro II</v>
      </c>
      <c r="O95" s="985">
        <v>1.02087691000006E+18</v>
      </c>
      <c r="P95" s="999">
        <f>NOMINA!W71</f>
        <v>88</v>
      </c>
      <c r="Q95" s="986">
        <f>NOMINA!AG71</f>
        <v>17.25</v>
      </c>
      <c r="R95" s="986">
        <f>NOMINA!AI71</f>
        <v>65</v>
      </c>
      <c r="S95" s="986">
        <f>NOMINA!AK71</f>
        <v>0</v>
      </c>
      <c r="T95" s="986">
        <f>ROUND(NOMINA!AO71,2)</f>
        <v>0</v>
      </c>
      <c r="U95" s="986">
        <f>ROUND(NOMINA!AQ71,2)</f>
        <v>0</v>
      </c>
      <c r="V95" s="986">
        <f>ROUND(NOMINA!AR71,2)</f>
        <v>0</v>
      </c>
      <c r="W95" s="986">
        <f>ROUND(NOMINA!AS71,2)</f>
        <v>0</v>
      </c>
      <c r="X95" s="986">
        <f>ROUND(NOMINA!AW71,2)</f>
        <v>102.15</v>
      </c>
      <c r="Y95" s="986">
        <f>ROUND(NOMINA!AX71,2)</f>
        <v>3541.2</v>
      </c>
      <c r="Z95" s="986">
        <f>ROUND(NOMINA!BB71,2)+ROUND(NOMINA!BF71,2)</f>
        <v>66.400000000000006</v>
      </c>
      <c r="AA95" s="986">
        <f>ROUND(NOMINA!BK71,2)*0</f>
        <v>0</v>
      </c>
      <c r="AB95" s="986">
        <f>ROUND(NOMINA!BG71,2)</f>
        <v>300</v>
      </c>
      <c r="AC95" s="1000">
        <f t="shared" si="7"/>
        <v>4180</v>
      </c>
      <c r="AE95" s="634"/>
    </row>
    <row r="96" spans="1:31" s="629" customFormat="1" ht="20.100000000000001" customHeight="1" thickBot="1">
      <c r="A96" s="770" t="s">
        <v>2846</v>
      </c>
      <c r="B96" s="510">
        <f t="shared" si="8"/>
        <v>30</v>
      </c>
      <c r="C96" s="980">
        <f>NOMINA!C72</f>
        <v>10175616</v>
      </c>
      <c r="D96" s="981" t="str">
        <f>NOMINA!D72</f>
        <v>Carrillo Prato Blanca Isabel</v>
      </c>
      <c r="E96" s="978" t="s">
        <v>4622</v>
      </c>
      <c r="F96" s="982">
        <v>32351</v>
      </c>
      <c r="G96" s="978" t="s">
        <v>4620</v>
      </c>
      <c r="H96" s="1001">
        <f>NOMINA!H72</f>
        <v>44228</v>
      </c>
      <c r="I96" s="984">
        <f>NOMINA!I72</f>
        <v>3</v>
      </c>
      <c r="J96" s="985">
        <f>NOMINA!J72</f>
        <v>0</v>
      </c>
      <c r="K96" s="984">
        <f t="shared" si="6"/>
        <v>3</v>
      </c>
      <c r="L96" s="985" t="s">
        <v>4932</v>
      </c>
      <c r="M96" s="985"/>
      <c r="N96" s="1002" t="str">
        <f>NOMINA!O72</f>
        <v>Medico jefe I</v>
      </c>
      <c r="O96" s="985">
        <v>1.02087691000006E+18</v>
      </c>
      <c r="P96" s="999">
        <f>NOMINA!W72</f>
        <v>153.5</v>
      </c>
      <c r="Q96" s="986">
        <f>NOMINA!AG72</f>
        <v>4.5999999999999996</v>
      </c>
      <c r="R96" s="986">
        <f>NOMINA!AI72</f>
        <v>65</v>
      </c>
      <c r="S96" s="986">
        <f>NOMINA!AK72</f>
        <v>66.930000000000007</v>
      </c>
      <c r="T96" s="986">
        <f>ROUND(NOMINA!AO72,2)</f>
        <v>0</v>
      </c>
      <c r="U96" s="986">
        <f>ROUND(NOMINA!AQ72,2)</f>
        <v>0</v>
      </c>
      <c r="V96" s="986">
        <f>ROUND(NOMINA!AR72,2)</f>
        <v>0</v>
      </c>
      <c r="W96" s="986">
        <f>ROUND(NOMINA!AS72,2)</f>
        <v>0</v>
      </c>
      <c r="X96" s="986">
        <f>ROUND(NOMINA!AW72,2)</f>
        <v>0</v>
      </c>
      <c r="Y96" s="986">
        <f>ROUND(NOMINA!AX72,2)</f>
        <v>0</v>
      </c>
      <c r="Z96" s="986">
        <f>ROUND(NOMINA!BB72,2)+ROUND(NOMINA!BF72,2)</f>
        <v>0</v>
      </c>
      <c r="AA96" s="986">
        <f>ROUND(NOMINA!BK72,2)*0</f>
        <v>0</v>
      </c>
      <c r="AB96" s="986">
        <f>ROUND(NOMINA!BG72,2)</f>
        <v>300</v>
      </c>
      <c r="AC96" s="1000">
        <f t="shared" si="7"/>
        <v>590.03</v>
      </c>
      <c r="AE96" s="634"/>
    </row>
    <row r="97" spans="1:31" s="629" customFormat="1" ht="20.100000000000001" customHeight="1" thickBot="1">
      <c r="A97" s="770" t="s">
        <v>2846</v>
      </c>
      <c r="B97" s="510">
        <f t="shared" si="8"/>
        <v>31</v>
      </c>
      <c r="C97" s="980">
        <f>NOMINA!C73</f>
        <v>10257016</v>
      </c>
      <c r="D97" s="981" t="str">
        <f>NOMINA!D73</f>
        <v>Torres Dulma Ramona</v>
      </c>
      <c r="E97" s="978" t="s">
        <v>4622</v>
      </c>
      <c r="F97" s="982">
        <v>32351</v>
      </c>
      <c r="G97" s="978" t="s">
        <v>4620</v>
      </c>
      <c r="H97" s="1001">
        <f>NOMINA!H73</f>
        <v>35947</v>
      </c>
      <c r="I97" s="984">
        <f>NOMINA!I73</f>
        <v>26</v>
      </c>
      <c r="J97" s="985">
        <f>NOMINA!J73</f>
        <v>0</v>
      </c>
      <c r="K97" s="984">
        <f t="shared" si="6"/>
        <v>26</v>
      </c>
      <c r="L97" s="985" t="s">
        <v>4932</v>
      </c>
      <c r="M97" s="985"/>
      <c r="N97" s="1002" t="str">
        <f>NOMINA!O73</f>
        <v>Tutor Facilitador III</v>
      </c>
      <c r="O97" s="985">
        <v>1.02087691000006E+18</v>
      </c>
      <c r="P97" s="999">
        <f>NOMINA!W73</f>
        <v>143.5</v>
      </c>
      <c r="Q97" s="986">
        <f>NOMINA!AG73</f>
        <v>43.05</v>
      </c>
      <c r="R97" s="986">
        <f>NOMINA!AI73</f>
        <v>65</v>
      </c>
      <c r="S97" s="986">
        <f>NOMINA!AK73</f>
        <v>62.89</v>
      </c>
      <c r="T97" s="986">
        <f>ROUND(NOMINA!AO73,2)</f>
        <v>0</v>
      </c>
      <c r="U97" s="986">
        <f>ROUND(NOMINA!AQ73,2)</f>
        <v>0</v>
      </c>
      <c r="V97" s="986">
        <f>ROUND(NOMINA!AR73,2)</f>
        <v>0</v>
      </c>
      <c r="W97" s="986">
        <f>ROUND(NOMINA!AS73,2)</f>
        <v>0</v>
      </c>
      <c r="X97" s="986">
        <f>ROUND(NOMINA!AW73,2)</f>
        <v>0</v>
      </c>
      <c r="Y97" s="986">
        <f>ROUND(NOMINA!AX73,2)</f>
        <v>0</v>
      </c>
      <c r="Z97" s="986">
        <f>ROUND(NOMINA!BB73,2)+ROUND(NOMINA!BF73,2)</f>
        <v>0</v>
      </c>
      <c r="AA97" s="986">
        <f>ROUND(NOMINA!BK73,2)*0</f>
        <v>0</v>
      </c>
      <c r="AB97" s="986">
        <f>ROUND(NOMINA!BG73,2)</f>
        <v>300</v>
      </c>
      <c r="AC97" s="1000">
        <f t="shared" si="7"/>
        <v>614.44000000000005</v>
      </c>
      <c r="AE97" s="634"/>
    </row>
    <row r="98" spans="1:31" s="629" customFormat="1" ht="20.100000000000001" customHeight="1" thickBot="1">
      <c r="A98" s="770" t="s">
        <v>2846</v>
      </c>
      <c r="B98" s="510">
        <f t="shared" si="8"/>
        <v>32</v>
      </c>
      <c r="C98" s="980">
        <f>NOMINA!C74</f>
        <v>10315803</v>
      </c>
      <c r="D98" s="981" t="str">
        <f>NOMINA!D74</f>
        <v>Frias Jacson Daniel</v>
      </c>
      <c r="E98" s="978" t="s">
        <v>4622</v>
      </c>
      <c r="F98" s="982">
        <v>32351</v>
      </c>
      <c r="G98" s="978" t="s">
        <v>4620</v>
      </c>
      <c r="H98" s="1001">
        <f>NOMINA!H74</f>
        <v>35415</v>
      </c>
      <c r="I98" s="984">
        <f>NOMINA!I74</f>
        <v>28</v>
      </c>
      <c r="J98" s="985">
        <f>NOMINA!J74</f>
        <v>0</v>
      </c>
      <c r="K98" s="984">
        <f t="shared" si="6"/>
        <v>28</v>
      </c>
      <c r="L98" s="985" t="s">
        <v>4932</v>
      </c>
      <c r="M98" s="985"/>
      <c r="N98" s="1002" t="str">
        <f>NOMINA!O74</f>
        <v>Guia de Centro II</v>
      </c>
      <c r="O98" s="985">
        <v>1.02087691000006E+18</v>
      </c>
      <c r="P98" s="999">
        <f>NOMINA!W74</f>
        <v>88.5</v>
      </c>
      <c r="Q98" s="986">
        <f>NOMINA!AG74</f>
        <v>26.55</v>
      </c>
      <c r="R98" s="986">
        <f>NOMINA!AI74</f>
        <v>65</v>
      </c>
      <c r="S98" s="986">
        <f>NOMINA!AK74</f>
        <v>0</v>
      </c>
      <c r="T98" s="986">
        <f>ROUND(NOMINA!AO74,2)</f>
        <v>0</v>
      </c>
      <c r="U98" s="986">
        <f>ROUND(NOMINA!AQ74,2)</f>
        <v>0</v>
      </c>
      <c r="V98" s="986">
        <f>ROUND(NOMINA!AR74,2)</f>
        <v>0</v>
      </c>
      <c r="W98" s="986">
        <f>ROUND(NOMINA!AS74,2)</f>
        <v>0</v>
      </c>
      <c r="X98" s="986">
        <f>ROUND(NOMINA!AW74,2)</f>
        <v>108.03</v>
      </c>
      <c r="Y98" s="986">
        <f>ROUND(NOMINA!AX74,2)</f>
        <v>0</v>
      </c>
      <c r="Z98" s="986">
        <f>ROUND(NOMINA!BB74,2)+ROUND(NOMINA!BF74,2)</f>
        <v>70.22</v>
      </c>
      <c r="AA98" s="986">
        <f>ROUND(NOMINA!BK74,2)*0</f>
        <v>0</v>
      </c>
      <c r="AB98" s="986">
        <f>ROUND(NOMINA!BG74,2)</f>
        <v>300</v>
      </c>
      <c r="AC98" s="1000">
        <f t="shared" si="7"/>
        <v>658.30000000000007</v>
      </c>
      <c r="AE98" s="634"/>
    </row>
    <row r="99" spans="1:31" s="629" customFormat="1" ht="20.100000000000001" customHeight="1" thickBot="1">
      <c r="A99" s="770" t="s">
        <v>2846</v>
      </c>
      <c r="B99" s="510">
        <f t="shared" si="8"/>
        <v>33</v>
      </c>
      <c r="C99" s="980">
        <f>NOMINA!C75</f>
        <v>10319457</v>
      </c>
      <c r="D99" s="981" t="str">
        <f>NOMINA!D75</f>
        <v>Marquez Marquez Maribel del Valle</v>
      </c>
      <c r="E99" s="978" t="s">
        <v>4622</v>
      </c>
      <c r="F99" s="982">
        <v>32351</v>
      </c>
      <c r="G99" s="978" t="s">
        <v>4620</v>
      </c>
      <c r="H99" s="1001">
        <f>NOMINA!H75</f>
        <v>38831</v>
      </c>
      <c r="I99" s="984">
        <f>NOMINA!I75</f>
        <v>18</v>
      </c>
      <c r="J99" s="985">
        <f>NOMINA!J75</f>
        <v>0</v>
      </c>
      <c r="K99" s="984">
        <f t="shared" si="6"/>
        <v>18</v>
      </c>
      <c r="L99" s="985" t="s">
        <v>4932</v>
      </c>
      <c r="M99" s="985"/>
      <c r="N99" s="1002" t="str">
        <f>NOMINA!O75</f>
        <v>Secretario Ejecutivo III</v>
      </c>
      <c r="O99" s="985">
        <v>1.02087691000006E+18</v>
      </c>
      <c r="P99" s="999">
        <f>NOMINA!W75</f>
        <v>88.5</v>
      </c>
      <c r="Q99" s="986">
        <f>NOMINA!AG75</f>
        <v>20.18</v>
      </c>
      <c r="R99" s="986">
        <f>NOMINA!AI75</f>
        <v>65</v>
      </c>
      <c r="S99" s="986">
        <f>NOMINA!AK75</f>
        <v>0</v>
      </c>
      <c r="T99" s="986">
        <f>ROUND(NOMINA!AO75,2)</f>
        <v>0</v>
      </c>
      <c r="U99" s="986">
        <f>ROUND(NOMINA!AQ75,2)</f>
        <v>0</v>
      </c>
      <c r="V99" s="986">
        <f>ROUND(NOMINA!AR75,2)</f>
        <v>0</v>
      </c>
      <c r="W99" s="986">
        <f>ROUND(NOMINA!AS75,2)</f>
        <v>0</v>
      </c>
      <c r="X99" s="986">
        <f>ROUND(NOMINA!AW75,2)</f>
        <v>0</v>
      </c>
      <c r="Y99" s="986">
        <f>ROUND(NOMINA!AX75,2)</f>
        <v>0</v>
      </c>
      <c r="Z99" s="986">
        <f>ROUND(NOMINA!BB75,2)+ROUND(NOMINA!BF75,2)</f>
        <v>0</v>
      </c>
      <c r="AA99" s="986">
        <f>ROUND(NOMINA!BK75,2)*0</f>
        <v>0</v>
      </c>
      <c r="AB99" s="986">
        <f>ROUND(NOMINA!BG75,2)</f>
        <v>300</v>
      </c>
      <c r="AC99" s="1000">
        <f t="shared" si="7"/>
        <v>473.68</v>
      </c>
      <c r="AE99" s="634"/>
    </row>
    <row r="100" spans="1:31" s="629" customFormat="1" ht="20.100000000000001" customHeight="1" thickBot="1">
      <c r="A100" s="770" t="s">
        <v>2846</v>
      </c>
      <c r="B100" s="510">
        <f t="shared" si="8"/>
        <v>34</v>
      </c>
      <c r="C100" s="980">
        <f>NOMINA!C76</f>
        <v>10396379</v>
      </c>
      <c r="D100" s="981" t="str">
        <f>NOMINA!D76</f>
        <v>Ruiz Luis Alfonzo</v>
      </c>
      <c r="E100" s="978" t="s">
        <v>4622</v>
      </c>
      <c r="F100" s="982">
        <v>32351</v>
      </c>
      <c r="G100" s="978" t="s">
        <v>4620</v>
      </c>
      <c r="H100" s="1001">
        <f>NOMINA!H76</f>
        <v>44743</v>
      </c>
      <c r="I100" s="984">
        <f>NOMINA!I76</f>
        <v>2</v>
      </c>
      <c r="J100" s="985">
        <f>NOMINA!J76</f>
        <v>0</v>
      </c>
      <c r="K100" s="984">
        <f t="shared" si="6"/>
        <v>2</v>
      </c>
      <c r="L100" s="985" t="s">
        <v>4932</v>
      </c>
      <c r="M100" s="985"/>
      <c r="N100" s="1002" t="str">
        <f>NOMINA!O76</f>
        <v>ENTRENADOR DEPORTIVO II</v>
      </c>
      <c r="O100" s="985">
        <v>1.02087691000006E+18</v>
      </c>
      <c r="P100" s="999">
        <f>NOMINA!W76</f>
        <v>65</v>
      </c>
      <c r="Q100" s="986">
        <f>NOMINA!AG76</f>
        <v>1.3</v>
      </c>
      <c r="R100" s="986">
        <f>NOMINA!AI76</f>
        <v>65</v>
      </c>
      <c r="S100" s="986">
        <f>NOMINA!AK76</f>
        <v>0</v>
      </c>
      <c r="T100" s="986">
        <f>ROUND(NOMINA!AO76,2)</f>
        <v>0</v>
      </c>
      <c r="U100" s="986">
        <f>ROUND(NOMINA!AQ76,2)</f>
        <v>0</v>
      </c>
      <c r="V100" s="986">
        <f>ROUND(NOMINA!AR76,2)</f>
        <v>0</v>
      </c>
      <c r="W100" s="986">
        <f>ROUND(NOMINA!AS76,2)</f>
        <v>0</v>
      </c>
      <c r="X100" s="986">
        <f>ROUND(NOMINA!AW76,2)</f>
        <v>0</v>
      </c>
      <c r="Y100" s="986">
        <f>ROUND(NOMINA!AX76,2)</f>
        <v>0</v>
      </c>
      <c r="Z100" s="986">
        <f>ROUND(NOMINA!BB76,2)+ROUND(NOMINA!BF76,2)</f>
        <v>0</v>
      </c>
      <c r="AA100" s="986">
        <f>ROUND(NOMINA!BK76,2)*0</f>
        <v>0</v>
      </c>
      <c r="AB100" s="986">
        <f>ROUND(NOMINA!BG76,2)</f>
        <v>300</v>
      </c>
      <c r="AC100" s="1000">
        <f t="shared" si="7"/>
        <v>431.3</v>
      </c>
      <c r="AE100" s="634"/>
    </row>
    <row r="101" spans="1:31" s="629" customFormat="1" ht="20.100000000000001" customHeight="1" thickBot="1">
      <c r="A101" s="770" t="s">
        <v>2846</v>
      </c>
      <c r="B101" s="510">
        <f t="shared" si="8"/>
        <v>35</v>
      </c>
      <c r="C101" s="980">
        <f>NOMINA!C77</f>
        <v>10398694</v>
      </c>
      <c r="D101" s="981" t="str">
        <f>NOMINA!D77</f>
        <v>Santana Briceño Jose Gregorio</v>
      </c>
      <c r="E101" s="978" t="s">
        <v>4622</v>
      </c>
      <c r="F101" s="982">
        <v>32351</v>
      </c>
      <c r="G101" s="978" t="s">
        <v>4620</v>
      </c>
      <c r="H101" s="1001">
        <f>NOMINA!H77</f>
        <v>44743</v>
      </c>
      <c r="I101" s="984">
        <f>NOMINA!I77</f>
        <v>2</v>
      </c>
      <c r="J101" s="985">
        <f>NOMINA!J77</f>
        <v>23</v>
      </c>
      <c r="K101" s="984">
        <f t="shared" si="6"/>
        <v>25</v>
      </c>
      <c r="L101" s="985" t="s">
        <v>4932</v>
      </c>
      <c r="M101" s="985"/>
      <c r="N101" s="1002" t="str">
        <f>NOMINA!O77</f>
        <v>Guia de Centro I</v>
      </c>
      <c r="O101" s="985">
        <v>1.02087691000006E+18</v>
      </c>
      <c r="P101" s="999">
        <f>NOMINA!W77</f>
        <v>114</v>
      </c>
      <c r="Q101" s="986">
        <f>NOMINA!AG77</f>
        <v>34.200000000000003</v>
      </c>
      <c r="R101" s="986">
        <f>NOMINA!AI77</f>
        <v>65</v>
      </c>
      <c r="S101" s="986">
        <f>NOMINA!AK77</f>
        <v>42.64</v>
      </c>
      <c r="T101" s="986">
        <f>ROUND(NOMINA!AO77,2)</f>
        <v>0</v>
      </c>
      <c r="U101" s="986">
        <f>ROUND(NOMINA!AQ77,2)</f>
        <v>0</v>
      </c>
      <c r="V101" s="986">
        <f>ROUND(NOMINA!AR77,2)</f>
        <v>0</v>
      </c>
      <c r="W101" s="986">
        <f>ROUND(NOMINA!AS77,2)</f>
        <v>0</v>
      </c>
      <c r="X101" s="986">
        <f>ROUND(NOMINA!AW77,2)</f>
        <v>153.5</v>
      </c>
      <c r="Y101" s="986">
        <f>ROUND(NOMINA!AX77,2)</f>
        <v>0</v>
      </c>
      <c r="Z101" s="986">
        <f>ROUND(NOMINA!BB77,2)+ROUND(NOMINA!BF77,2)</f>
        <v>99.78</v>
      </c>
      <c r="AA101" s="986">
        <f>ROUND(NOMINA!BK77,2)*0</f>
        <v>0</v>
      </c>
      <c r="AB101" s="986">
        <f>ROUND(NOMINA!BG77,2)</f>
        <v>300</v>
      </c>
      <c r="AC101" s="1000">
        <f t="shared" si="7"/>
        <v>809.12</v>
      </c>
      <c r="AE101" s="634"/>
    </row>
    <row r="102" spans="1:31" s="629" customFormat="1" ht="20.100000000000001" customHeight="1" thickBot="1">
      <c r="A102" s="770" t="s">
        <v>2846</v>
      </c>
      <c r="B102" s="510">
        <f t="shared" si="8"/>
        <v>36</v>
      </c>
      <c r="C102" s="980">
        <f>NOMINA!C78</f>
        <v>10399064</v>
      </c>
      <c r="D102" s="981" t="str">
        <f>NOMINA!D78</f>
        <v>Perdomo Perdomo Angela Aurora</v>
      </c>
      <c r="E102" s="978" t="s">
        <v>4622</v>
      </c>
      <c r="F102" s="982">
        <v>32351</v>
      </c>
      <c r="G102" s="978" t="s">
        <v>4620</v>
      </c>
      <c r="H102" s="1001">
        <f>NOMINA!H78</f>
        <v>39328</v>
      </c>
      <c r="I102" s="984">
        <f>NOMINA!I78</f>
        <v>17</v>
      </c>
      <c r="J102" s="985">
        <f>NOMINA!J78</f>
        <v>0</v>
      </c>
      <c r="K102" s="984">
        <f t="shared" si="6"/>
        <v>17</v>
      </c>
      <c r="L102" s="985" t="s">
        <v>4932</v>
      </c>
      <c r="M102" s="985"/>
      <c r="N102" s="1002" t="str">
        <f>NOMINA!O78</f>
        <v>Guia de Centro II</v>
      </c>
      <c r="O102" s="985">
        <v>1.02087691000006E+18</v>
      </c>
      <c r="P102" s="999">
        <f>NOMINA!W78</f>
        <v>113</v>
      </c>
      <c r="Q102" s="986">
        <f>NOMINA!AG78</f>
        <v>23.95</v>
      </c>
      <c r="R102" s="986">
        <f>NOMINA!AI78</f>
        <v>65</v>
      </c>
      <c r="S102" s="986">
        <f>NOMINA!AK78</f>
        <v>40.39</v>
      </c>
      <c r="T102" s="986">
        <f>ROUND(NOMINA!AO78,2)</f>
        <v>0</v>
      </c>
      <c r="U102" s="986">
        <f>ROUND(NOMINA!AQ78,2)</f>
        <v>0</v>
      </c>
      <c r="V102" s="986">
        <f>ROUND(NOMINA!AR78,2)</f>
        <v>0</v>
      </c>
      <c r="W102" s="986">
        <f>ROUND(NOMINA!AS78,2)</f>
        <v>0</v>
      </c>
      <c r="X102" s="986">
        <f>ROUND(NOMINA!AW78,2)</f>
        <v>145.41</v>
      </c>
      <c r="Y102" s="986">
        <f>ROUND(NOMINA!AX78,2)</f>
        <v>0</v>
      </c>
      <c r="Z102" s="986">
        <f>ROUND(NOMINA!BB78,2)+ROUND(NOMINA!BF78,2)</f>
        <v>94.52</v>
      </c>
      <c r="AA102" s="986">
        <f>ROUND(NOMINA!BK78,2)*0</f>
        <v>0</v>
      </c>
      <c r="AB102" s="986">
        <f>ROUND(NOMINA!BG78,2)</f>
        <v>300</v>
      </c>
      <c r="AC102" s="1000">
        <f t="shared" si="7"/>
        <v>782.27</v>
      </c>
      <c r="AE102" s="634"/>
    </row>
    <row r="103" spans="1:31" s="629" customFormat="1" ht="20.100000000000001" customHeight="1" thickBot="1">
      <c r="A103" s="770" t="s">
        <v>2846</v>
      </c>
      <c r="B103" s="510">
        <f t="shared" si="8"/>
        <v>37</v>
      </c>
      <c r="C103" s="980">
        <f>NOMINA!C79</f>
        <v>10400214</v>
      </c>
      <c r="D103" s="981" t="str">
        <f>NOMINA!D79</f>
        <v>Bastidas Yanitza Del Valle</v>
      </c>
      <c r="E103" s="978" t="s">
        <v>4622</v>
      </c>
      <c r="F103" s="982">
        <v>32351</v>
      </c>
      <c r="G103" s="978" t="s">
        <v>4620</v>
      </c>
      <c r="H103" s="1001">
        <f>NOMINA!H79</f>
        <v>41153</v>
      </c>
      <c r="I103" s="984">
        <f>NOMINA!I79</f>
        <v>12</v>
      </c>
      <c r="J103" s="985">
        <f>NOMINA!J79</f>
        <v>0</v>
      </c>
      <c r="K103" s="984">
        <f t="shared" si="6"/>
        <v>12</v>
      </c>
      <c r="L103" s="985" t="s">
        <v>4932</v>
      </c>
      <c r="M103" s="985"/>
      <c r="N103" s="1002" t="str">
        <f>NOMINA!O79</f>
        <v>Guia de Centro II</v>
      </c>
      <c r="O103" s="985">
        <v>1.02087691000006E+18</v>
      </c>
      <c r="P103" s="999">
        <f>NOMINA!W79</f>
        <v>112.5</v>
      </c>
      <c r="Q103" s="986">
        <f>NOMINA!AG79</f>
        <v>15.52</v>
      </c>
      <c r="R103" s="986">
        <f>NOMINA!AI79</f>
        <v>65</v>
      </c>
      <c r="S103" s="986">
        <f>NOMINA!AK79</f>
        <v>38.6</v>
      </c>
      <c r="T103" s="986">
        <f>ROUND(NOMINA!AO79,2)</f>
        <v>0</v>
      </c>
      <c r="U103" s="986">
        <f>ROUND(NOMINA!AQ79,2)</f>
        <v>0</v>
      </c>
      <c r="V103" s="986">
        <f>ROUND(NOMINA!AR79,2)</f>
        <v>0</v>
      </c>
      <c r="W103" s="986">
        <f>ROUND(NOMINA!AS79,2)</f>
        <v>0</v>
      </c>
      <c r="X103" s="986">
        <f>ROUND(NOMINA!AW79,2)</f>
        <v>138.97999999999999</v>
      </c>
      <c r="Y103" s="986">
        <f>ROUND(NOMINA!AX79,2)</f>
        <v>0</v>
      </c>
      <c r="Z103" s="986">
        <f>ROUND(NOMINA!BB79,2)+ROUND(NOMINA!BF79,2)</f>
        <v>0</v>
      </c>
      <c r="AA103" s="986">
        <f>ROUND(NOMINA!BK79,2)*0</f>
        <v>0</v>
      </c>
      <c r="AB103" s="986">
        <f>ROUND(NOMINA!BG79,2)</f>
        <v>300</v>
      </c>
      <c r="AC103" s="1000">
        <f t="shared" si="7"/>
        <v>670.6</v>
      </c>
      <c r="AE103" s="634"/>
    </row>
    <row r="104" spans="1:31" s="629" customFormat="1" ht="20.100000000000001" customHeight="1" thickBot="1">
      <c r="A104" s="770" t="s">
        <v>2846</v>
      </c>
      <c r="B104" s="510">
        <f t="shared" si="8"/>
        <v>38</v>
      </c>
      <c r="C104" s="980">
        <f>NOMINA!C80</f>
        <v>10400365</v>
      </c>
      <c r="D104" s="981" t="str">
        <f>NOMINA!D80</f>
        <v>Briceño Ruiz Sara Josefina</v>
      </c>
      <c r="E104" s="978" t="s">
        <v>4622</v>
      </c>
      <c r="F104" s="982">
        <v>32351</v>
      </c>
      <c r="G104" s="978" t="s">
        <v>4620</v>
      </c>
      <c r="H104" s="1001">
        <f>NOMINA!H80</f>
        <v>39328</v>
      </c>
      <c r="I104" s="984">
        <f>NOMINA!I80</f>
        <v>17</v>
      </c>
      <c r="J104" s="985">
        <f>NOMINA!J80</f>
        <v>0</v>
      </c>
      <c r="K104" s="984">
        <f t="shared" si="6"/>
        <v>17</v>
      </c>
      <c r="L104" s="985" t="s">
        <v>4932</v>
      </c>
      <c r="M104" s="985"/>
      <c r="N104" s="1002" t="str">
        <f>NOMINA!O80</f>
        <v>Supervisor de Servicios Generales IV</v>
      </c>
      <c r="O104" s="985">
        <v>1.02087691000006E+18</v>
      </c>
      <c r="P104" s="999">
        <f>NOMINA!W80</f>
        <v>113</v>
      </c>
      <c r="Q104" s="986">
        <f>NOMINA!AG80</f>
        <v>23.95</v>
      </c>
      <c r="R104" s="986">
        <f>NOMINA!AI80</f>
        <v>65</v>
      </c>
      <c r="S104" s="986">
        <f>NOMINA!AK80</f>
        <v>40.39</v>
      </c>
      <c r="T104" s="986">
        <f>ROUND(NOMINA!AO80,2)</f>
        <v>0</v>
      </c>
      <c r="U104" s="986">
        <f>ROUND(NOMINA!AQ80,2)</f>
        <v>0</v>
      </c>
      <c r="V104" s="986">
        <f>ROUND(NOMINA!AR80,2)</f>
        <v>0</v>
      </c>
      <c r="W104" s="986">
        <f>ROUND(NOMINA!AS80,2)</f>
        <v>0</v>
      </c>
      <c r="X104" s="986">
        <f>ROUND(NOMINA!AW80,2)</f>
        <v>0</v>
      </c>
      <c r="Y104" s="986">
        <f>ROUND(NOMINA!AX80,2)</f>
        <v>0</v>
      </c>
      <c r="Z104" s="986">
        <f>ROUND(NOMINA!BB80,2)+ROUND(NOMINA!BF80,2)</f>
        <v>0</v>
      </c>
      <c r="AA104" s="986">
        <f>ROUND(NOMINA!BK80,2)*0</f>
        <v>0</v>
      </c>
      <c r="AB104" s="986">
        <f>ROUND(NOMINA!BG80,2)</f>
        <v>300</v>
      </c>
      <c r="AC104" s="1000">
        <f t="shared" si="7"/>
        <v>542.33999999999992</v>
      </c>
      <c r="AE104" s="634"/>
    </row>
    <row r="105" spans="1:31" s="629" customFormat="1" ht="20.100000000000001" customHeight="1" thickBot="1">
      <c r="A105" s="770" t="s">
        <v>2846</v>
      </c>
      <c r="B105" s="510">
        <f t="shared" si="8"/>
        <v>39</v>
      </c>
      <c r="C105" s="980">
        <f>NOMINA!C81</f>
        <v>10400876</v>
      </c>
      <c r="D105" s="981" t="str">
        <f>NOMINA!D81</f>
        <v>Ramirez Vergara Graciela De Jesus</v>
      </c>
      <c r="E105" s="978" t="s">
        <v>4622</v>
      </c>
      <c r="F105" s="982">
        <v>32351</v>
      </c>
      <c r="G105" s="978" t="s">
        <v>4620</v>
      </c>
      <c r="H105" s="1001">
        <f>NOMINA!H81</f>
        <v>43556</v>
      </c>
      <c r="I105" s="984">
        <f>NOMINA!I81</f>
        <v>5</v>
      </c>
      <c r="J105" s="985">
        <f>NOMINA!J81</f>
        <v>10</v>
      </c>
      <c r="K105" s="984">
        <f t="shared" si="6"/>
        <v>15</v>
      </c>
      <c r="L105" s="985" t="s">
        <v>4932</v>
      </c>
      <c r="M105" s="985"/>
      <c r="N105" s="1002" t="str">
        <f>NOMINA!O81</f>
        <v>Analista de Procesamiento de Datos I</v>
      </c>
      <c r="O105" s="985">
        <v>1.02087691000006E+18</v>
      </c>
      <c r="P105" s="999">
        <f>NOMINA!W81</f>
        <v>113</v>
      </c>
      <c r="Q105" s="986">
        <f>NOMINA!AG81</f>
        <v>20.34</v>
      </c>
      <c r="R105" s="986">
        <f>NOMINA!AI81</f>
        <v>65</v>
      </c>
      <c r="S105" s="986">
        <f>NOMINA!AK81</f>
        <v>39.67</v>
      </c>
      <c r="T105" s="986">
        <f>ROUND(NOMINA!AO81,2)</f>
        <v>0</v>
      </c>
      <c r="U105" s="986">
        <f>ROUND(NOMINA!AQ81,2)</f>
        <v>0</v>
      </c>
      <c r="V105" s="986">
        <f>ROUND(NOMINA!AR81,2)</f>
        <v>0</v>
      </c>
      <c r="W105" s="986">
        <f>ROUND(NOMINA!AS81,2)</f>
        <v>0</v>
      </c>
      <c r="X105" s="986">
        <f>ROUND(NOMINA!AW81,2)</f>
        <v>0</v>
      </c>
      <c r="Y105" s="986">
        <f>ROUND(NOMINA!AX81,2)</f>
        <v>0</v>
      </c>
      <c r="Z105" s="986">
        <f>ROUND(NOMINA!BB81,2)+ROUND(NOMINA!BF81,2)</f>
        <v>0</v>
      </c>
      <c r="AA105" s="986">
        <f>ROUND(NOMINA!BK81,2)*0</f>
        <v>0</v>
      </c>
      <c r="AB105" s="986">
        <f>ROUND(NOMINA!BG81,2)</f>
        <v>300</v>
      </c>
      <c r="AC105" s="1000">
        <f t="shared" si="7"/>
        <v>538.01</v>
      </c>
      <c r="AE105" s="634"/>
    </row>
    <row r="106" spans="1:31" s="629" customFormat="1" ht="20.100000000000001" customHeight="1" thickBot="1">
      <c r="A106" s="770" t="s">
        <v>2846</v>
      </c>
      <c r="B106" s="510">
        <f t="shared" si="8"/>
        <v>40</v>
      </c>
      <c r="C106" s="980">
        <f>NOMINA!C82</f>
        <v>10404528</v>
      </c>
      <c r="D106" s="981" t="str">
        <f>NOMINA!D82</f>
        <v>Perez Castellano Javier Horacio</v>
      </c>
      <c r="E106" s="978" t="s">
        <v>4622</v>
      </c>
      <c r="F106" s="982">
        <v>32351</v>
      </c>
      <c r="G106" s="978" t="s">
        <v>4620</v>
      </c>
      <c r="H106" s="1001">
        <f>NOMINA!H82</f>
        <v>37622</v>
      </c>
      <c r="I106" s="984">
        <f>NOMINA!I82</f>
        <v>22</v>
      </c>
      <c r="J106" s="985">
        <f>NOMINA!J82</f>
        <v>0</v>
      </c>
      <c r="K106" s="984">
        <f t="shared" si="6"/>
        <v>22</v>
      </c>
      <c r="L106" s="985" t="s">
        <v>4932</v>
      </c>
      <c r="M106" s="985"/>
      <c r="N106" s="1002" t="str">
        <f>NOMINA!O82</f>
        <v>Administrador IV</v>
      </c>
      <c r="O106" s="985">
        <v>1.02087691000006E+18</v>
      </c>
      <c r="P106" s="999">
        <f>NOMINA!W82</f>
        <v>0</v>
      </c>
      <c r="Q106" s="986">
        <f>NOMINA!AG82</f>
        <v>0</v>
      </c>
      <c r="R106" s="986">
        <f>NOMINA!AI82</f>
        <v>0</v>
      </c>
      <c r="S106" s="986">
        <f>NOMINA!AK82</f>
        <v>0</v>
      </c>
      <c r="T106" s="986">
        <f>ROUND(NOMINA!AO82,2)</f>
        <v>0</v>
      </c>
      <c r="U106" s="986">
        <f>ROUND(NOMINA!AQ82,2)</f>
        <v>0</v>
      </c>
      <c r="V106" s="986">
        <f>ROUND(NOMINA!AR82,2)</f>
        <v>0</v>
      </c>
      <c r="W106" s="986">
        <f>ROUND(NOMINA!AS82,2)</f>
        <v>0</v>
      </c>
      <c r="X106" s="986">
        <f>ROUND(NOMINA!AW82,2)</f>
        <v>0</v>
      </c>
      <c r="Y106" s="986">
        <f>ROUND(NOMINA!AX82,2)</f>
        <v>0</v>
      </c>
      <c r="Z106" s="986">
        <f>ROUND(NOMINA!BB82,2)+ROUND(NOMINA!BF82,2)</f>
        <v>0</v>
      </c>
      <c r="AA106" s="986">
        <f>ROUND(NOMINA!BK82,2)*0</f>
        <v>0</v>
      </c>
      <c r="AB106" s="986">
        <f>ROUND(NOMINA!BG82,2)</f>
        <v>0</v>
      </c>
      <c r="AC106" s="1000">
        <f t="shared" si="7"/>
        <v>0</v>
      </c>
      <c r="AE106" s="634"/>
    </row>
    <row r="107" spans="1:31" s="629" customFormat="1" ht="20.100000000000001" customHeight="1" thickBot="1">
      <c r="A107" s="770" t="s">
        <v>2846</v>
      </c>
      <c r="B107" s="510">
        <f t="shared" si="8"/>
        <v>41</v>
      </c>
      <c r="C107" s="980">
        <f>NOMINA!C83</f>
        <v>10906110</v>
      </c>
      <c r="D107" s="981" t="str">
        <f>NOMINA!D83</f>
        <v>Linares Prato Yraima Gregoria</v>
      </c>
      <c r="E107" s="978" t="s">
        <v>4622</v>
      </c>
      <c r="F107" s="982">
        <v>32351</v>
      </c>
      <c r="G107" s="978" t="s">
        <v>4620</v>
      </c>
      <c r="H107" s="1001">
        <f>NOMINA!H83</f>
        <v>45292</v>
      </c>
      <c r="I107" s="984">
        <f>NOMINA!I83</f>
        <v>1</v>
      </c>
      <c r="J107" s="985">
        <f>NOMINA!J83</f>
        <v>0</v>
      </c>
      <c r="K107" s="984">
        <f t="shared" si="6"/>
        <v>1</v>
      </c>
      <c r="L107" s="985" t="s">
        <v>4932</v>
      </c>
      <c r="M107" s="985"/>
      <c r="N107" s="1002" t="str">
        <f>NOMINA!O83</f>
        <v>Guia de Centro I</v>
      </c>
      <c r="O107" s="985">
        <v>1.02087691000006E+18</v>
      </c>
      <c r="P107" s="999">
        <f>NOMINA!W83</f>
        <v>65</v>
      </c>
      <c r="Q107" s="986">
        <f>NOMINA!AG83</f>
        <v>0.65</v>
      </c>
      <c r="R107" s="986">
        <f>NOMINA!AI83</f>
        <v>65</v>
      </c>
      <c r="S107" s="986">
        <f>NOMINA!AK83</f>
        <v>0</v>
      </c>
      <c r="T107" s="986">
        <f>ROUND(NOMINA!AO83,2)</f>
        <v>0</v>
      </c>
      <c r="U107" s="986">
        <f>ROUND(NOMINA!AQ83,2)</f>
        <v>0</v>
      </c>
      <c r="V107" s="986">
        <f>ROUND(NOMINA!AR83,2)</f>
        <v>0</v>
      </c>
      <c r="W107" s="986">
        <f>ROUND(NOMINA!AS83,2)</f>
        <v>0</v>
      </c>
      <c r="X107" s="986">
        <f>ROUND(NOMINA!AW83,2)</f>
        <v>78.39</v>
      </c>
      <c r="Y107" s="986">
        <f>ROUND(NOMINA!AX83,2)</f>
        <v>2717.52</v>
      </c>
      <c r="Z107" s="986">
        <f>ROUND(NOMINA!BB83,2)+ROUND(NOMINA!BF83,2)</f>
        <v>84.92</v>
      </c>
      <c r="AA107" s="986">
        <f>ROUND(NOMINA!BK83,2)*0</f>
        <v>0</v>
      </c>
      <c r="AB107" s="986">
        <f>ROUND(NOMINA!BG83,2)</f>
        <v>300</v>
      </c>
      <c r="AC107" s="1000">
        <f t="shared" si="7"/>
        <v>3311.48</v>
      </c>
      <c r="AE107" s="634"/>
    </row>
    <row r="108" spans="1:31" s="629" customFormat="1" ht="20.100000000000001" customHeight="1" thickBot="1">
      <c r="A108" s="770" t="s">
        <v>2846</v>
      </c>
      <c r="B108" s="510">
        <f t="shared" si="8"/>
        <v>42</v>
      </c>
      <c r="C108" s="980">
        <f>NOMINA!C84</f>
        <v>10906923</v>
      </c>
      <c r="D108" s="981" t="str">
        <f>NOMINA!D84</f>
        <v>Cruz de Rodriguez Yanet Coromoto</v>
      </c>
      <c r="E108" s="978" t="s">
        <v>4622</v>
      </c>
      <c r="F108" s="982">
        <v>32351</v>
      </c>
      <c r="G108" s="978" t="s">
        <v>4620</v>
      </c>
      <c r="H108" s="1001">
        <f>NOMINA!H84</f>
        <v>44636</v>
      </c>
      <c r="I108" s="984">
        <f>NOMINA!I84</f>
        <v>2</v>
      </c>
      <c r="J108" s="985">
        <f>NOMINA!J84</f>
        <v>0</v>
      </c>
      <c r="K108" s="984">
        <f t="shared" si="6"/>
        <v>2</v>
      </c>
      <c r="L108" s="985" t="s">
        <v>4932</v>
      </c>
      <c r="M108" s="985"/>
      <c r="N108" s="1002" t="str">
        <f>NOMINA!O84</f>
        <v>Guia de Centro I</v>
      </c>
      <c r="O108" s="985">
        <v>1.02087691000006E+18</v>
      </c>
      <c r="P108" s="999">
        <f>NOMINA!W84</f>
        <v>96</v>
      </c>
      <c r="Q108" s="986">
        <f>NOMINA!AG84</f>
        <v>1.92</v>
      </c>
      <c r="R108" s="986">
        <f>NOMINA!AI84</f>
        <v>65</v>
      </c>
      <c r="S108" s="986">
        <f>NOMINA!AK84</f>
        <v>33.83</v>
      </c>
      <c r="T108" s="986">
        <f>ROUND(NOMINA!AO84,2)</f>
        <v>12.5</v>
      </c>
      <c r="U108" s="986">
        <f>ROUND(NOMINA!AQ84,2)</f>
        <v>0</v>
      </c>
      <c r="V108" s="986">
        <f>ROUND(NOMINA!AR84,2)</f>
        <v>0</v>
      </c>
      <c r="W108" s="986">
        <f>ROUND(NOMINA!AS84,2)</f>
        <v>0</v>
      </c>
      <c r="X108" s="986">
        <f>ROUND(NOMINA!AW84,2)</f>
        <v>0</v>
      </c>
      <c r="Y108" s="986">
        <f>ROUND(NOMINA!AX84,2)</f>
        <v>0</v>
      </c>
      <c r="Z108" s="986">
        <f>ROUND(NOMINA!BB84,2)+ROUND(NOMINA!BF84,2)</f>
        <v>0</v>
      </c>
      <c r="AA108" s="986">
        <f>ROUND(NOMINA!BK84,2)*0</f>
        <v>0</v>
      </c>
      <c r="AB108" s="986">
        <f>ROUND(NOMINA!BG84,2)</f>
        <v>300</v>
      </c>
      <c r="AC108" s="1000">
        <f t="shared" si="7"/>
        <v>509.25</v>
      </c>
      <c r="AE108" s="634"/>
    </row>
    <row r="109" spans="1:31" s="629" customFormat="1" ht="20.100000000000001" customHeight="1" thickBot="1">
      <c r="A109" s="770" t="s">
        <v>2846</v>
      </c>
      <c r="B109" s="510">
        <f t="shared" si="8"/>
        <v>43</v>
      </c>
      <c r="C109" s="980">
        <f>NOMINA!C85</f>
        <v>10908510</v>
      </c>
      <c r="D109" s="981" t="str">
        <f>NOMINA!D85</f>
        <v>Castro de Vielma Yanira Rosa</v>
      </c>
      <c r="E109" s="978" t="s">
        <v>4622</v>
      </c>
      <c r="F109" s="982">
        <v>32351</v>
      </c>
      <c r="G109" s="978" t="s">
        <v>4620</v>
      </c>
      <c r="H109" s="1001">
        <f>NOMINA!H85</f>
        <v>39874</v>
      </c>
      <c r="I109" s="984">
        <f>NOMINA!I85</f>
        <v>15</v>
      </c>
      <c r="J109" s="985">
        <f>NOMINA!J85</f>
        <v>6</v>
      </c>
      <c r="K109" s="984">
        <f t="shared" si="6"/>
        <v>21</v>
      </c>
      <c r="L109" s="985" t="s">
        <v>4932</v>
      </c>
      <c r="M109" s="985"/>
      <c r="N109" s="1002" t="str">
        <f>NOMINA!O85</f>
        <v>Jefe de Centro</v>
      </c>
      <c r="O109" s="985">
        <v>1.02087691000006E+18</v>
      </c>
      <c r="P109" s="999">
        <f>NOMINA!W85</f>
        <v>143.5</v>
      </c>
      <c r="Q109" s="986">
        <f>NOMINA!AG85</f>
        <v>39.89</v>
      </c>
      <c r="R109" s="986">
        <f>NOMINA!AI85</f>
        <v>65</v>
      </c>
      <c r="S109" s="986">
        <f>NOMINA!AK85</f>
        <v>62.1</v>
      </c>
      <c r="T109" s="986">
        <f>ROUND(NOMINA!AO85,2)</f>
        <v>0</v>
      </c>
      <c r="U109" s="986">
        <f>ROUND(NOMINA!AQ85,2)</f>
        <v>0</v>
      </c>
      <c r="V109" s="986">
        <f>ROUND(NOMINA!AR85,2)</f>
        <v>0</v>
      </c>
      <c r="W109" s="986">
        <f>ROUND(NOMINA!AS85,2)</f>
        <v>0</v>
      </c>
      <c r="X109" s="986">
        <f>ROUND(NOMINA!AW85,2)</f>
        <v>0</v>
      </c>
      <c r="Y109" s="986">
        <f>ROUND(NOMINA!AX85,2)</f>
        <v>0</v>
      </c>
      <c r="Z109" s="986">
        <f>ROUND(NOMINA!BB85,2)+ROUND(NOMINA!BF85,2)</f>
        <v>0</v>
      </c>
      <c r="AA109" s="986">
        <f>ROUND(NOMINA!BK85,2)*0</f>
        <v>0</v>
      </c>
      <c r="AB109" s="986">
        <f>ROUND(NOMINA!BG85,2)</f>
        <v>300</v>
      </c>
      <c r="AC109" s="1000">
        <f t="shared" si="7"/>
        <v>610.49</v>
      </c>
      <c r="AE109" s="634"/>
    </row>
    <row r="110" spans="1:31" s="629" customFormat="1" ht="20.100000000000001" customHeight="1" thickBot="1">
      <c r="A110" s="770" t="s">
        <v>2846</v>
      </c>
      <c r="B110" s="510">
        <f t="shared" si="8"/>
        <v>44</v>
      </c>
      <c r="C110" s="980">
        <f>NOMINA!C86</f>
        <v>10909245</v>
      </c>
      <c r="D110" s="981" t="str">
        <f>NOMINA!D86</f>
        <v>Delduca Moreno Luisa</v>
      </c>
      <c r="E110" s="978" t="s">
        <v>4622</v>
      </c>
      <c r="F110" s="982">
        <v>32351</v>
      </c>
      <c r="G110" s="978" t="s">
        <v>4620</v>
      </c>
      <c r="H110" s="1001">
        <f>NOMINA!H86</f>
        <v>36054</v>
      </c>
      <c r="I110" s="984">
        <f>NOMINA!I86</f>
        <v>26</v>
      </c>
      <c r="J110" s="985">
        <f>NOMINA!J86</f>
        <v>0</v>
      </c>
      <c r="K110" s="984">
        <f t="shared" si="6"/>
        <v>26</v>
      </c>
      <c r="L110" s="985" t="s">
        <v>4932</v>
      </c>
      <c r="M110" s="985"/>
      <c r="N110" s="1002" t="str">
        <f>NOMINA!O86</f>
        <v>Guia de Centro II</v>
      </c>
      <c r="O110" s="985">
        <v>1.02087691000006E+18</v>
      </c>
      <c r="P110" s="999">
        <f>NOMINA!W86</f>
        <v>114</v>
      </c>
      <c r="Q110" s="986">
        <f>NOMINA!AG86</f>
        <v>34.200000000000003</v>
      </c>
      <c r="R110" s="986">
        <f>NOMINA!AI86</f>
        <v>65</v>
      </c>
      <c r="S110" s="986">
        <f>NOMINA!AK86</f>
        <v>42.64</v>
      </c>
      <c r="T110" s="986">
        <f>ROUND(NOMINA!AO86,2)</f>
        <v>0</v>
      </c>
      <c r="U110" s="986">
        <f>ROUND(NOMINA!AQ86,2)</f>
        <v>0</v>
      </c>
      <c r="V110" s="986">
        <f>ROUND(NOMINA!AR86,2)</f>
        <v>0</v>
      </c>
      <c r="W110" s="986">
        <f>ROUND(NOMINA!AS86,2)</f>
        <v>0</v>
      </c>
      <c r="X110" s="986">
        <f>ROUND(NOMINA!AW86,2)</f>
        <v>153.5</v>
      </c>
      <c r="Y110" s="986">
        <f>ROUND(NOMINA!AX86,2)</f>
        <v>0</v>
      </c>
      <c r="Z110" s="986">
        <f>ROUND(NOMINA!BB86,2)+ROUND(NOMINA!BF86,2)</f>
        <v>0</v>
      </c>
      <c r="AA110" s="986">
        <f>ROUND(NOMINA!BK86,2)*0</f>
        <v>0</v>
      </c>
      <c r="AB110" s="986">
        <f>ROUND(NOMINA!BG86,2)</f>
        <v>300</v>
      </c>
      <c r="AC110" s="1000">
        <f t="shared" si="7"/>
        <v>709.33999999999992</v>
      </c>
      <c r="AE110" s="634"/>
    </row>
    <row r="111" spans="1:31" s="629" customFormat="1" ht="20.100000000000001" customHeight="1" thickBot="1">
      <c r="A111" s="770" t="s">
        <v>2846</v>
      </c>
      <c r="B111" s="510">
        <f t="shared" si="8"/>
        <v>45</v>
      </c>
      <c r="C111" s="980">
        <f>NOMINA!C87</f>
        <v>10910698</v>
      </c>
      <c r="D111" s="981" t="str">
        <f>NOMINA!D87</f>
        <v>Rangel Briceño Marcial Segundo</v>
      </c>
      <c r="E111" s="978" t="s">
        <v>4622</v>
      </c>
      <c r="F111" s="982">
        <v>32351</v>
      </c>
      <c r="G111" s="978" t="s">
        <v>4620</v>
      </c>
      <c r="H111" s="1001">
        <f>NOMINA!H87</f>
        <v>43891</v>
      </c>
      <c r="I111" s="984">
        <f>NOMINA!I87</f>
        <v>4</v>
      </c>
      <c r="J111" s="985">
        <f>NOMINA!J87</f>
        <v>0</v>
      </c>
      <c r="K111" s="984">
        <f t="shared" si="6"/>
        <v>4</v>
      </c>
      <c r="L111" s="985" t="s">
        <v>4932</v>
      </c>
      <c r="M111" s="985"/>
      <c r="N111" s="1002" t="str">
        <f>NOMINA!O87</f>
        <v>Asistente Administrativo II</v>
      </c>
      <c r="O111" s="985">
        <v>1.02087691000006E+18</v>
      </c>
      <c r="P111" s="999">
        <f>NOMINA!W87</f>
        <v>75</v>
      </c>
      <c r="Q111" s="986">
        <f>NOMINA!AG87</f>
        <v>3</v>
      </c>
      <c r="R111" s="986">
        <f>NOMINA!AI87</f>
        <v>65</v>
      </c>
      <c r="S111" s="986">
        <f>NOMINA!AK87</f>
        <v>0</v>
      </c>
      <c r="T111" s="986">
        <f>ROUND(NOMINA!AO87,2)</f>
        <v>0</v>
      </c>
      <c r="U111" s="986">
        <f>ROUND(NOMINA!AQ87,2)</f>
        <v>0</v>
      </c>
      <c r="V111" s="986">
        <f>ROUND(NOMINA!AR87,2)</f>
        <v>0</v>
      </c>
      <c r="W111" s="986">
        <f>ROUND(NOMINA!AS87,2)</f>
        <v>0</v>
      </c>
      <c r="X111" s="986">
        <f>ROUND(NOMINA!AW87,2)</f>
        <v>0</v>
      </c>
      <c r="Y111" s="986">
        <f>ROUND(NOMINA!AX87,2)</f>
        <v>0</v>
      </c>
      <c r="Z111" s="986">
        <f>ROUND(NOMINA!BB87,2)+ROUND(NOMINA!BF87,2)</f>
        <v>0</v>
      </c>
      <c r="AA111" s="986">
        <f>ROUND(NOMINA!BK87,2)*0</f>
        <v>0</v>
      </c>
      <c r="AB111" s="986">
        <f>ROUND(NOMINA!BG87,2)</f>
        <v>300</v>
      </c>
      <c r="AC111" s="1000">
        <f t="shared" si="7"/>
        <v>443</v>
      </c>
      <c r="AE111" s="634"/>
    </row>
    <row r="112" spans="1:31" s="629" customFormat="1" ht="20.100000000000001" customHeight="1" thickBot="1">
      <c r="A112" s="770" t="s">
        <v>2846</v>
      </c>
      <c r="B112" s="510">
        <f t="shared" si="8"/>
        <v>46</v>
      </c>
      <c r="C112" s="980">
        <f>NOMINA!C88</f>
        <v>10912595</v>
      </c>
      <c r="D112" s="981" t="str">
        <f>NOMINA!D88</f>
        <v>Delfin Bustos Jose Hercilio</v>
      </c>
      <c r="E112" s="978" t="s">
        <v>4622</v>
      </c>
      <c r="F112" s="982">
        <v>32351</v>
      </c>
      <c r="G112" s="978" t="s">
        <v>4620</v>
      </c>
      <c r="H112" s="1001">
        <f>NOMINA!H88</f>
        <v>36039</v>
      </c>
      <c r="I112" s="984">
        <f>NOMINA!I88</f>
        <v>26</v>
      </c>
      <c r="J112" s="985">
        <f>NOMINA!J88</f>
        <v>0</v>
      </c>
      <c r="K112" s="984">
        <f t="shared" si="6"/>
        <v>26</v>
      </c>
      <c r="L112" s="985" t="s">
        <v>4932</v>
      </c>
      <c r="M112" s="985"/>
      <c r="N112" s="1002" t="str">
        <f>NOMINA!O88</f>
        <v>Guia de Centro II</v>
      </c>
      <c r="O112" s="985">
        <v>1.02087691000006E+18</v>
      </c>
      <c r="P112" s="999">
        <f>NOMINA!W88</f>
        <v>0</v>
      </c>
      <c r="Q112" s="986">
        <f>NOMINA!AG88</f>
        <v>0</v>
      </c>
      <c r="R112" s="986">
        <f>NOMINA!AI88</f>
        <v>0</v>
      </c>
      <c r="S112" s="986">
        <f>NOMINA!AK88</f>
        <v>0</v>
      </c>
      <c r="T112" s="986">
        <f>ROUND(NOMINA!AO88,2)</f>
        <v>0</v>
      </c>
      <c r="U112" s="986">
        <f>ROUND(NOMINA!AQ88,2)</f>
        <v>0</v>
      </c>
      <c r="V112" s="986">
        <f>ROUND(NOMINA!AR88,2)</f>
        <v>0</v>
      </c>
      <c r="W112" s="986">
        <f>ROUND(NOMINA!AS88,2)</f>
        <v>0</v>
      </c>
      <c r="X112" s="986">
        <f>ROUND(NOMINA!AW88,2)</f>
        <v>0</v>
      </c>
      <c r="Y112" s="986">
        <f>ROUND(NOMINA!AX88,2)</f>
        <v>0</v>
      </c>
      <c r="Z112" s="986">
        <f>ROUND(NOMINA!BB88,2)+ROUND(NOMINA!BF88,2)</f>
        <v>0</v>
      </c>
      <c r="AA112" s="986">
        <f>ROUND(NOMINA!BK88,2)*0</f>
        <v>0</v>
      </c>
      <c r="AB112" s="986">
        <f>ROUND(NOMINA!BG88,2)</f>
        <v>0</v>
      </c>
      <c r="AC112" s="1000">
        <f t="shared" si="7"/>
        <v>0</v>
      </c>
      <c r="AE112" s="634"/>
    </row>
    <row r="113" spans="1:31" s="629" customFormat="1" ht="20.100000000000001" customHeight="1" thickBot="1">
      <c r="A113" s="770" t="s">
        <v>2846</v>
      </c>
      <c r="B113" s="510">
        <f t="shared" si="8"/>
        <v>47</v>
      </c>
      <c r="C113" s="980">
        <f>NOMINA!C89</f>
        <v>10913178</v>
      </c>
      <c r="D113" s="981" t="str">
        <f>NOMINA!D89</f>
        <v>Garcia Moreno Iris Josefina</v>
      </c>
      <c r="E113" s="978" t="s">
        <v>4622</v>
      </c>
      <c r="F113" s="982">
        <v>32351</v>
      </c>
      <c r="G113" s="978" t="s">
        <v>4620</v>
      </c>
      <c r="H113" s="1001">
        <f>NOMINA!H89</f>
        <v>44805</v>
      </c>
      <c r="I113" s="984">
        <f>NOMINA!I89</f>
        <v>2</v>
      </c>
      <c r="J113" s="985">
        <f>NOMINA!J89</f>
        <v>9</v>
      </c>
      <c r="K113" s="984">
        <f t="shared" si="6"/>
        <v>11</v>
      </c>
      <c r="L113" s="985" t="s">
        <v>4932</v>
      </c>
      <c r="M113" s="985"/>
      <c r="N113" s="1002" t="str">
        <f>NOMINA!O89</f>
        <v>Asistente de Servicio Social</v>
      </c>
      <c r="O113" s="985">
        <v>1.02087691000006E+18</v>
      </c>
      <c r="P113" s="999">
        <f>NOMINA!W89</f>
        <v>86</v>
      </c>
      <c r="Q113" s="986">
        <f>NOMINA!AG89</f>
        <v>10.66</v>
      </c>
      <c r="R113" s="986">
        <f>NOMINA!AI89</f>
        <v>65</v>
      </c>
      <c r="S113" s="986">
        <f>NOMINA!AK89</f>
        <v>0</v>
      </c>
      <c r="T113" s="986">
        <f>ROUND(NOMINA!AO89,2)</f>
        <v>0</v>
      </c>
      <c r="U113" s="986">
        <f>ROUND(NOMINA!AQ89,2)</f>
        <v>0</v>
      </c>
      <c r="V113" s="986">
        <f>ROUND(NOMINA!AR89,2)</f>
        <v>0</v>
      </c>
      <c r="W113" s="986">
        <f>ROUND(NOMINA!AS89,2)</f>
        <v>0</v>
      </c>
      <c r="X113" s="986">
        <f>ROUND(NOMINA!AW89,2)</f>
        <v>0</v>
      </c>
      <c r="Y113" s="986">
        <f>ROUND(NOMINA!AX89,2)</f>
        <v>0</v>
      </c>
      <c r="Z113" s="986">
        <f>ROUND(NOMINA!BB89,2)+ROUND(NOMINA!BF89,2)</f>
        <v>0</v>
      </c>
      <c r="AA113" s="986">
        <f>ROUND(NOMINA!BK89,2)*0</f>
        <v>0</v>
      </c>
      <c r="AB113" s="986">
        <f>ROUND(NOMINA!BG89,2)</f>
        <v>300</v>
      </c>
      <c r="AC113" s="1000">
        <f t="shared" si="7"/>
        <v>461.65999999999997</v>
      </c>
      <c r="AE113" s="634"/>
    </row>
    <row r="114" spans="1:31" s="629" customFormat="1" ht="20.100000000000001" customHeight="1" thickBot="1">
      <c r="A114" s="770" t="s">
        <v>2846</v>
      </c>
      <c r="B114" s="510">
        <f t="shared" si="8"/>
        <v>48</v>
      </c>
      <c r="C114" s="980">
        <f>NOMINA!C90</f>
        <v>10913637</v>
      </c>
      <c r="D114" s="981" t="str">
        <f>NOMINA!D90</f>
        <v>Angarita Hernandez Ana Del Carmen</v>
      </c>
      <c r="E114" s="978" t="s">
        <v>4622</v>
      </c>
      <c r="F114" s="982">
        <v>32351</v>
      </c>
      <c r="G114" s="978" t="s">
        <v>4620</v>
      </c>
      <c r="H114" s="1001">
        <f>NOMINA!H90</f>
        <v>40664</v>
      </c>
      <c r="I114" s="984">
        <f>NOMINA!I90</f>
        <v>13</v>
      </c>
      <c r="J114" s="985">
        <f>NOMINA!J90</f>
        <v>0</v>
      </c>
      <c r="K114" s="984">
        <f t="shared" si="6"/>
        <v>13</v>
      </c>
      <c r="L114" s="985" t="s">
        <v>4932</v>
      </c>
      <c r="M114" s="985"/>
      <c r="N114" s="1002" t="str">
        <f>NOMINA!O90</f>
        <v>Guia de Centro II</v>
      </c>
      <c r="O114" s="985">
        <v>1.02087691000006E+18</v>
      </c>
      <c r="P114" s="999">
        <f>NOMINA!W90</f>
        <v>141.5</v>
      </c>
      <c r="Q114" s="986">
        <f>NOMINA!AG90</f>
        <v>21.51</v>
      </c>
      <c r="R114" s="986">
        <f>NOMINA!AI90</f>
        <v>65</v>
      </c>
      <c r="S114" s="986">
        <f>NOMINA!AK90</f>
        <v>57</v>
      </c>
      <c r="T114" s="986">
        <f>ROUND(NOMINA!AO90,2)</f>
        <v>0</v>
      </c>
      <c r="U114" s="986">
        <f>ROUND(NOMINA!AQ90,2)</f>
        <v>0</v>
      </c>
      <c r="V114" s="986">
        <f>ROUND(NOMINA!AR90,2)</f>
        <v>0</v>
      </c>
      <c r="W114" s="986">
        <f>ROUND(NOMINA!AS90,2)</f>
        <v>0</v>
      </c>
      <c r="X114" s="986">
        <f>ROUND(NOMINA!AW90,2)</f>
        <v>171.01</v>
      </c>
      <c r="Y114" s="986">
        <f>ROUND(NOMINA!AX90,2)</f>
        <v>0</v>
      </c>
      <c r="Z114" s="986">
        <f>ROUND(NOMINA!BB90,2)+ROUND(NOMINA!BF90,2)</f>
        <v>185.26</v>
      </c>
      <c r="AA114" s="986">
        <f>ROUND(NOMINA!BK90,2)*0</f>
        <v>0</v>
      </c>
      <c r="AB114" s="986">
        <f>ROUND(NOMINA!BG90,2)</f>
        <v>300</v>
      </c>
      <c r="AC114" s="1000">
        <f t="shared" si="7"/>
        <v>941.28</v>
      </c>
      <c r="AE114" s="634"/>
    </row>
    <row r="115" spans="1:31" s="629" customFormat="1" ht="20.100000000000001" customHeight="1" thickBot="1">
      <c r="A115" s="770" t="s">
        <v>2846</v>
      </c>
      <c r="B115" s="510">
        <f t="shared" si="8"/>
        <v>49</v>
      </c>
      <c r="C115" s="980">
        <f>NOMINA!C91</f>
        <v>10915223</v>
      </c>
      <c r="D115" s="981" t="str">
        <f>NOMINA!D91</f>
        <v>Contreras Rojo Gerardo Alexander</v>
      </c>
      <c r="E115" s="978" t="s">
        <v>4622</v>
      </c>
      <c r="F115" s="982">
        <v>32351</v>
      </c>
      <c r="G115" s="978" t="s">
        <v>4620</v>
      </c>
      <c r="H115" s="1001">
        <f>NOMINA!H91</f>
        <v>35339</v>
      </c>
      <c r="I115" s="984">
        <f>NOMINA!I91</f>
        <v>28</v>
      </c>
      <c r="J115" s="985">
        <f>NOMINA!J91</f>
        <v>0</v>
      </c>
      <c r="K115" s="984">
        <f t="shared" si="6"/>
        <v>28</v>
      </c>
      <c r="L115" s="985" t="s">
        <v>4932</v>
      </c>
      <c r="M115" s="985"/>
      <c r="N115" s="1002" t="str">
        <f>NOMINA!O91</f>
        <v>Tutor Facilitador III</v>
      </c>
      <c r="O115" s="985">
        <v>1.02087691000006E+18</v>
      </c>
      <c r="P115" s="999">
        <f>NOMINA!W91</f>
        <v>158</v>
      </c>
      <c r="Q115" s="986">
        <f>NOMINA!AG91</f>
        <v>47.4</v>
      </c>
      <c r="R115" s="986">
        <f>NOMINA!AI91</f>
        <v>65</v>
      </c>
      <c r="S115" s="986">
        <f>NOMINA!AK91</f>
        <v>94.64</v>
      </c>
      <c r="T115" s="986">
        <f>ROUND(NOMINA!AO91,2)</f>
        <v>0</v>
      </c>
      <c r="U115" s="986">
        <f>ROUND(NOMINA!AQ91,2)</f>
        <v>0</v>
      </c>
      <c r="V115" s="986">
        <f>ROUND(NOMINA!AR91,2)</f>
        <v>0</v>
      </c>
      <c r="W115" s="986">
        <f>ROUND(NOMINA!AS91,2)</f>
        <v>0</v>
      </c>
      <c r="X115" s="986">
        <f>ROUND(NOMINA!AW91,2)</f>
        <v>0</v>
      </c>
      <c r="Y115" s="986">
        <f>ROUND(NOMINA!AX91,2)</f>
        <v>0</v>
      </c>
      <c r="Z115" s="986">
        <f>ROUND(NOMINA!BB91,2)+ROUND(NOMINA!BF91,2)</f>
        <v>0</v>
      </c>
      <c r="AA115" s="986">
        <f>ROUND(NOMINA!BK91,2)*0</f>
        <v>0</v>
      </c>
      <c r="AB115" s="986">
        <f>ROUND(NOMINA!BG91,2)</f>
        <v>300</v>
      </c>
      <c r="AC115" s="1000">
        <f t="shared" si="7"/>
        <v>665.04</v>
      </c>
      <c r="AE115" s="634"/>
    </row>
    <row r="116" spans="1:31" s="629" customFormat="1" ht="20.100000000000001" customHeight="1" thickBot="1">
      <c r="A116" s="770" t="s">
        <v>2846</v>
      </c>
      <c r="B116" s="510">
        <f t="shared" si="8"/>
        <v>50</v>
      </c>
      <c r="C116" s="980">
        <f>NOMINA!C92</f>
        <v>10915384</v>
      </c>
      <c r="D116" s="981" t="str">
        <f>NOMINA!D92</f>
        <v>Rojas Hernandez Morela Del Carmen</v>
      </c>
      <c r="E116" s="978" t="s">
        <v>4622</v>
      </c>
      <c r="F116" s="982">
        <v>32351</v>
      </c>
      <c r="G116" s="978" t="s">
        <v>4620</v>
      </c>
      <c r="H116" s="1001">
        <f>NOMINA!H92</f>
        <v>43147</v>
      </c>
      <c r="I116" s="984">
        <f>NOMINA!I92</f>
        <v>6</v>
      </c>
      <c r="J116" s="985">
        <f>NOMINA!J92</f>
        <v>0</v>
      </c>
      <c r="K116" s="984">
        <f t="shared" si="6"/>
        <v>6</v>
      </c>
      <c r="L116" s="985" t="s">
        <v>4932</v>
      </c>
      <c r="M116" s="985"/>
      <c r="N116" s="1002" t="str">
        <f>NOMINA!O92</f>
        <v>Guia de Centro II</v>
      </c>
      <c r="O116" s="985">
        <v>1.02087691000006E+18</v>
      </c>
      <c r="P116" s="999">
        <f>NOMINA!W92</f>
        <v>110.5</v>
      </c>
      <c r="Q116" s="986">
        <f>NOMINA!AG92</f>
        <v>6.85</v>
      </c>
      <c r="R116" s="986">
        <f>NOMINA!AI92</f>
        <v>65</v>
      </c>
      <c r="S116" s="986">
        <f>NOMINA!AK92</f>
        <v>36.47</v>
      </c>
      <c r="T116" s="986">
        <f>ROUND(NOMINA!AO92,2)</f>
        <v>0</v>
      </c>
      <c r="U116" s="986">
        <f>ROUND(NOMINA!AQ92,2)</f>
        <v>0</v>
      </c>
      <c r="V116" s="986">
        <f>ROUND(NOMINA!AR92,2)</f>
        <v>0</v>
      </c>
      <c r="W116" s="986">
        <f>ROUND(NOMINA!AS92,2)</f>
        <v>0</v>
      </c>
      <c r="X116" s="986">
        <f>ROUND(NOMINA!AW92,2)</f>
        <v>131.29</v>
      </c>
      <c r="Y116" s="986">
        <f>ROUND(NOMINA!AX92,2)</f>
        <v>0</v>
      </c>
      <c r="Z116" s="986">
        <f>ROUND(NOMINA!BB92,2)+ROUND(NOMINA!BF92,2)</f>
        <v>85.34</v>
      </c>
      <c r="AA116" s="986">
        <f>ROUND(NOMINA!BK92,2)*0</f>
        <v>0</v>
      </c>
      <c r="AB116" s="986">
        <f>ROUND(NOMINA!BG92,2)</f>
        <v>300</v>
      </c>
      <c r="AC116" s="1000">
        <f t="shared" si="7"/>
        <v>735.45</v>
      </c>
      <c r="AE116" s="634"/>
    </row>
    <row r="117" spans="1:31" s="629" customFormat="1" ht="20.100000000000001" customHeight="1" thickBot="1">
      <c r="A117" s="770" t="s">
        <v>2846</v>
      </c>
      <c r="B117" s="510">
        <f t="shared" si="8"/>
        <v>51</v>
      </c>
      <c r="C117" s="980">
        <f>NOMINA!C93</f>
        <v>10915597</v>
      </c>
      <c r="D117" s="981" t="str">
        <f>NOMINA!D93</f>
        <v>Carrillo Altuve Maria Mercedes</v>
      </c>
      <c r="E117" s="978" t="s">
        <v>4622</v>
      </c>
      <c r="F117" s="982">
        <v>32351</v>
      </c>
      <c r="G117" s="978" t="s">
        <v>4620</v>
      </c>
      <c r="H117" s="1001">
        <f>NOMINA!H93</f>
        <v>44501</v>
      </c>
      <c r="I117" s="984">
        <f>NOMINA!I93</f>
        <v>3</v>
      </c>
      <c r="J117" s="985">
        <f>NOMINA!J93</f>
        <v>0</v>
      </c>
      <c r="K117" s="984">
        <f t="shared" si="6"/>
        <v>3</v>
      </c>
      <c r="L117" s="985" t="s">
        <v>4932</v>
      </c>
      <c r="M117" s="985"/>
      <c r="N117" s="1002" t="str">
        <f>NOMINA!O93</f>
        <v>Guia de Centro I</v>
      </c>
      <c r="O117" s="985">
        <v>1.02087691000006E+18</v>
      </c>
      <c r="P117" s="999">
        <f>NOMINA!W93</f>
        <v>109.5</v>
      </c>
      <c r="Q117" s="986">
        <f>NOMINA!AG93</f>
        <v>3.28</v>
      </c>
      <c r="R117" s="986">
        <f>NOMINA!AI93</f>
        <v>65</v>
      </c>
      <c r="S117" s="986">
        <f>NOMINA!AK93</f>
        <v>71.11</v>
      </c>
      <c r="T117" s="986">
        <f>ROUND(NOMINA!AO93,2)</f>
        <v>0</v>
      </c>
      <c r="U117" s="986">
        <f>ROUND(NOMINA!AQ93,2)</f>
        <v>0</v>
      </c>
      <c r="V117" s="986">
        <f>ROUND(NOMINA!AR93,2)</f>
        <v>0</v>
      </c>
      <c r="W117" s="986">
        <f>ROUND(NOMINA!AS93,2)</f>
        <v>0</v>
      </c>
      <c r="X117" s="986">
        <f>ROUND(NOMINA!AW93,2)</f>
        <v>149.34</v>
      </c>
      <c r="Y117" s="986">
        <f>ROUND(NOMINA!AX93,2)</f>
        <v>0</v>
      </c>
      <c r="Z117" s="986">
        <f>ROUND(NOMINA!BB93,2)+ROUND(NOMINA!BF93,2)</f>
        <v>161.79</v>
      </c>
      <c r="AA117" s="986">
        <f>ROUND(NOMINA!BK93,2)*0</f>
        <v>0</v>
      </c>
      <c r="AB117" s="986">
        <f>ROUND(NOMINA!BG93,2)</f>
        <v>300</v>
      </c>
      <c r="AC117" s="1000">
        <f t="shared" si="7"/>
        <v>860.02</v>
      </c>
      <c r="AE117" s="634"/>
    </row>
    <row r="118" spans="1:31" s="629" customFormat="1" ht="20.100000000000001" customHeight="1" thickBot="1">
      <c r="A118" s="770" t="s">
        <v>2846</v>
      </c>
      <c r="B118" s="510">
        <f t="shared" si="8"/>
        <v>52</v>
      </c>
      <c r="C118" s="980">
        <f>NOMINA!C94</f>
        <v>11128954</v>
      </c>
      <c r="D118" s="981" t="str">
        <f>NOMINA!D94</f>
        <v>Soto Lopez Rafael Maria</v>
      </c>
      <c r="E118" s="978" t="s">
        <v>4622</v>
      </c>
      <c r="F118" s="982">
        <v>32351</v>
      </c>
      <c r="G118" s="978" t="s">
        <v>4620</v>
      </c>
      <c r="H118" s="1001">
        <f>NOMINA!H94</f>
        <v>45170</v>
      </c>
      <c r="I118" s="984">
        <f>NOMINA!I94</f>
        <v>1</v>
      </c>
      <c r="J118" s="985">
        <f>NOMINA!J94</f>
        <v>23</v>
      </c>
      <c r="K118" s="984">
        <f t="shared" si="6"/>
        <v>24</v>
      </c>
      <c r="L118" s="985" t="s">
        <v>4932</v>
      </c>
      <c r="M118" s="985"/>
      <c r="N118" s="1002" t="str">
        <f>NOMINA!O94</f>
        <v>Guia de Centro I</v>
      </c>
      <c r="O118" s="985">
        <v>1.02087691000006E+18</v>
      </c>
      <c r="P118" s="999">
        <f>NOMINA!W94</f>
        <v>114</v>
      </c>
      <c r="Q118" s="986">
        <f>NOMINA!AG94</f>
        <v>34.200000000000003</v>
      </c>
      <c r="R118" s="986">
        <f>NOMINA!AI94</f>
        <v>65</v>
      </c>
      <c r="S118" s="986">
        <f>NOMINA!AK94</f>
        <v>43.89</v>
      </c>
      <c r="T118" s="986">
        <f>ROUND(NOMINA!AO94,2)</f>
        <v>0</v>
      </c>
      <c r="U118" s="986">
        <f>ROUND(NOMINA!AQ94,2)</f>
        <v>0</v>
      </c>
      <c r="V118" s="986">
        <f>ROUND(NOMINA!AR94,2)</f>
        <v>0</v>
      </c>
      <c r="W118" s="986">
        <f>ROUND(NOMINA!AS94,2)</f>
        <v>0</v>
      </c>
      <c r="X118" s="986">
        <f>ROUND(NOMINA!AW94,2)</f>
        <v>158</v>
      </c>
      <c r="Y118" s="986">
        <f>ROUND(NOMINA!AX94,2)</f>
        <v>0</v>
      </c>
      <c r="Z118" s="986">
        <f>ROUND(NOMINA!BB94,2)+ROUND(NOMINA!BF94,2)</f>
        <v>102.7</v>
      </c>
      <c r="AA118" s="986">
        <f>ROUND(NOMINA!BK94,2)*0</f>
        <v>0</v>
      </c>
      <c r="AB118" s="986">
        <f>ROUND(NOMINA!BG94,2)</f>
        <v>300</v>
      </c>
      <c r="AC118" s="1000">
        <f t="shared" si="7"/>
        <v>817.79</v>
      </c>
      <c r="AE118" s="634"/>
    </row>
    <row r="119" spans="1:31" s="629" customFormat="1" ht="20.100000000000001" customHeight="1" thickBot="1">
      <c r="A119" s="770" t="s">
        <v>2846</v>
      </c>
      <c r="B119" s="510">
        <f t="shared" si="8"/>
        <v>53</v>
      </c>
      <c r="C119" s="980">
        <f>NOMINA!C95</f>
        <v>11132900</v>
      </c>
      <c r="D119" s="981" t="str">
        <f>NOMINA!D95</f>
        <v>Morillo Valero Ender Ramon</v>
      </c>
      <c r="E119" s="978" t="s">
        <v>4622</v>
      </c>
      <c r="F119" s="982">
        <v>32351</v>
      </c>
      <c r="G119" s="978" t="s">
        <v>4620</v>
      </c>
      <c r="H119" s="1001">
        <f>NOMINA!H95</f>
        <v>44866</v>
      </c>
      <c r="I119" s="984">
        <f>NOMINA!I95</f>
        <v>2</v>
      </c>
      <c r="J119" s="985">
        <f>NOMINA!J95</f>
        <v>0</v>
      </c>
      <c r="K119" s="984">
        <f t="shared" si="6"/>
        <v>2</v>
      </c>
      <c r="L119" s="985" t="s">
        <v>4932</v>
      </c>
      <c r="M119" s="985"/>
      <c r="N119" s="1002" t="str">
        <f>NOMINA!O95</f>
        <v>Guia de Centro I</v>
      </c>
      <c r="O119" s="985">
        <v>1.02087691000006E+18</v>
      </c>
      <c r="P119" s="999">
        <f>NOMINA!W95</f>
        <v>96</v>
      </c>
      <c r="Q119" s="986">
        <f>NOMINA!AG95</f>
        <v>1.92</v>
      </c>
      <c r="R119" s="986">
        <f>NOMINA!AI95</f>
        <v>65</v>
      </c>
      <c r="S119" s="986">
        <f>NOMINA!AK95</f>
        <v>32.58</v>
      </c>
      <c r="T119" s="986">
        <f>ROUND(NOMINA!AO95,2)</f>
        <v>0</v>
      </c>
      <c r="U119" s="986">
        <f>ROUND(NOMINA!AQ95,2)</f>
        <v>0</v>
      </c>
      <c r="V119" s="986">
        <f>ROUND(NOMINA!AR95,2)</f>
        <v>0</v>
      </c>
      <c r="W119" s="986">
        <f>ROUND(NOMINA!AS95,2)</f>
        <v>0</v>
      </c>
      <c r="X119" s="986">
        <f>ROUND(NOMINA!AW95,2)</f>
        <v>117.3</v>
      </c>
      <c r="Y119" s="986">
        <f>ROUND(NOMINA!AX95,2)</f>
        <v>0</v>
      </c>
      <c r="Z119" s="986">
        <f>ROUND(NOMINA!BB95,2)+ROUND(NOMINA!BF95,2)</f>
        <v>101.66</v>
      </c>
      <c r="AA119" s="986">
        <f>ROUND(NOMINA!BK95,2)*0</f>
        <v>0</v>
      </c>
      <c r="AB119" s="986">
        <f>ROUND(NOMINA!BG95,2)</f>
        <v>300</v>
      </c>
      <c r="AC119" s="1000">
        <f t="shared" si="7"/>
        <v>714.46</v>
      </c>
      <c r="AE119" s="634"/>
    </row>
    <row r="120" spans="1:31" s="629" customFormat="1" ht="20.100000000000001" customHeight="1" thickBot="1">
      <c r="A120" s="770" t="s">
        <v>2846</v>
      </c>
      <c r="B120" s="510">
        <f t="shared" si="8"/>
        <v>54</v>
      </c>
      <c r="C120" s="980">
        <f>NOMINA!C96</f>
        <v>11132943</v>
      </c>
      <c r="D120" s="981" t="str">
        <f>NOMINA!D96</f>
        <v>Materano Delgado Yoleida Josefina</v>
      </c>
      <c r="E120" s="978" t="s">
        <v>4622</v>
      </c>
      <c r="F120" s="982">
        <v>32351</v>
      </c>
      <c r="G120" s="978" t="s">
        <v>4620</v>
      </c>
      <c r="H120" s="1001">
        <f>NOMINA!H96</f>
        <v>39738</v>
      </c>
      <c r="I120" s="984">
        <f>NOMINA!I96</f>
        <v>16</v>
      </c>
      <c r="J120" s="985">
        <f>NOMINA!J96</f>
        <v>0</v>
      </c>
      <c r="K120" s="984">
        <f t="shared" si="6"/>
        <v>16</v>
      </c>
      <c r="L120" s="985" t="s">
        <v>4932</v>
      </c>
      <c r="M120" s="985"/>
      <c r="N120" s="1002" t="str">
        <f>NOMINA!O96</f>
        <v>Guia de Centro II</v>
      </c>
      <c r="O120" s="985">
        <v>1.02087691000006E+18</v>
      </c>
      <c r="P120" s="999">
        <f>NOMINA!W96</f>
        <v>88</v>
      </c>
      <c r="Q120" s="986">
        <f>NOMINA!AG96</f>
        <v>17.25</v>
      </c>
      <c r="R120" s="986">
        <f>NOMINA!AI96</f>
        <v>65</v>
      </c>
      <c r="S120" s="986">
        <f>NOMINA!AK96</f>
        <v>0</v>
      </c>
      <c r="T120" s="986">
        <f>ROUND(NOMINA!AO96,2)</f>
        <v>0</v>
      </c>
      <c r="U120" s="986">
        <f>ROUND(NOMINA!AQ96,2)</f>
        <v>0</v>
      </c>
      <c r="V120" s="986">
        <f>ROUND(NOMINA!AR96,2)</f>
        <v>0</v>
      </c>
      <c r="W120" s="986">
        <f>ROUND(NOMINA!AS96,2)</f>
        <v>0</v>
      </c>
      <c r="X120" s="986">
        <f>ROUND(NOMINA!AW96,2)</f>
        <v>0</v>
      </c>
      <c r="Y120" s="986">
        <f>ROUND(NOMINA!AX96,2)</f>
        <v>0</v>
      </c>
      <c r="Z120" s="986">
        <f>ROUND(NOMINA!BB96,2)+ROUND(NOMINA!BF96,2)</f>
        <v>0</v>
      </c>
      <c r="AA120" s="986">
        <f>ROUND(NOMINA!BK96,2)*0</f>
        <v>0</v>
      </c>
      <c r="AB120" s="986">
        <f>ROUND(NOMINA!BG96,2)</f>
        <v>300</v>
      </c>
      <c r="AC120" s="1000">
        <f t="shared" si="7"/>
        <v>470.25</v>
      </c>
      <c r="AE120" s="634"/>
    </row>
    <row r="121" spans="1:31" s="629" customFormat="1" ht="20.100000000000001" customHeight="1" thickBot="1">
      <c r="A121" s="770" t="s">
        <v>2846</v>
      </c>
      <c r="B121" s="510">
        <f t="shared" si="8"/>
        <v>55</v>
      </c>
      <c r="C121" s="980">
        <f>NOMINA!C97</f>
        <v>11132979</v>
      </c>
      <c r="D121" s="981" t="str">
        <f>NOMINA!D97</f>
        <v>Olivar Santana Maria Valbina</v>
      </c>
      <c r="E121" s="978" t="s">
        <v>4622</v>
      </c>
      <c r="F121" s="982">
        <v>32351</v>
      </c>
      <c r="G121" s="978" t="s">
        <v>4620</v>
      </c>
      <c r="H121" s="1001">
        <f>NOMINA!H97</f>
        <v>44348</v>
      </c>
      <c r="I121" s="984">
        <f>NOMINA!I97</f>
        <v>3</v>
      </c>
      <c r="J121" s="985">
        <f>NOMINA!J97</f>
        <v>12</v>
      </c>
      <c r="K121" s="984">
        <f t="shared" si="6"/>
        <v>15</v>
      </c>
      <c r="L121" s="985" t="s">
        <v>4932</v>
      </c>
      <c r="M121" s="985"/>
      <c r="N121" s="1002" t="str">
        <f>NOMINA!O97</f>
        <v>Guia de Centro II</v>
      </c>
      <c r="O121" s="985">
        <v>1.02087691000006E+18</v>
      </c>
      <c r="P121" s="999">
        <f>NOMINA!W97</f>
        <v>142.5</v>
      </c>
      <c r="Q121" s="986">
        <f>NOMINA!AG97</f>
        <v>25.65</v>
      </c>
      <c r="R121" s="986">
        <f>NOMINA!AI97</f>
        <v>65</v>
      </c>
      <c r="S121" s="986">
        <f>NOMINA!AK97</f>
        <v>59.85</v>
      </c>
      <c r="T121" s="986">
        <f>ROUND(NOMINA!AO97,2)</f>
        <v>12.5</v>
      </c>
      <c r="U121" s="986">
        <f>ROUND(NOMINA!AQ97,2)</f>
        <v>0</v>
      </c>
      <c r="V121" s="986">
        <f>ROUND(NOMINA!AR97,2)</f>
        <v>0</v>
      </c>
      <c r="W121" s="986">
        <f>ROUND(NOMINA!AS97,2)</f>
        <v>0</v>
      </c>
      <c r="X121" s="986">
        <f>ROUND(NOMINA!AW97,2)</f>
        <v>179.55</v>
      </c>
      <c r="Y121" s="986">
        <f>ROUND(NOMINA!AX97,2)</f>
        <v>0</v>
      </c>
      <c r="Z121" s="986">
        <f>ROUND(NOMINA!BB97,2)+ROUND(NOMINA!BF97,2)</f>
        <v>116.71</v>
      </c>
      <c r="AA121" s="986">
        <f>ROUND(NOMINA!BK97,2)*0</f>
        <v>0</v>
      </c>
      <c r="AB121" s="986">
        <f>ROUND(NOMINA!BG97,2)</f>
        <v>300</v>
      </c>
      <c r="AC121" s="1000">
        <f t="shared" si="7"/>
        <v>901.76</v>
      </c>
      <c r="AE121" s="634"/>
    </row>
    <row r="122" spans="1:31" s="629" customFormat="1" ht="20.100000000000001" customHeight="1" thickBot="1">
      <c r="A122" s="770" t="s">
        <v>2846</v>
      </c>
      <c r="B122" s="510">
        <f t="shared" si="8"/>
        <v>56</v>
      </c>
      <c r="C122" s="980">
        <f>NOMINA!C98</f>
        <v>11257247</v>
      </c>
      <c r="D122" s="981" t="str">
        <f>NOMINA!D98</f>
        <v>Chacin Sanchez Eduard Fabian</v>
      </c>
      <c r="E122" s="978" t="s">
        <v>4622</v>
      </c>
      <c r="F122" s="982">
        <v>32351</v>
      </c>
      <c r="G122" s="978" t="s">
        <v>4620</v>
      </c>
      <c r="H122" s="1001">
        <f>NOMINA!H98</f>
        <v>42492</v>
      </c>
      <c r="I122" s="984">
        <f>NOMINA!I98</f>
        <v>8</v>
      </c>
      <c r="J122" s="985">
        <f>NOMINA!J98</f>
        <v>0</v>
      </c>
      <c r="K122" s="984">
        <f t="shared" si="6"/>
        <v>8</v>
      </c>
      <c r="L122" s="985" t="s">
        <v>4932</v>
      </c>
      <c r="M122" s="985"/>
      <c r="N122" s="1002" t="str">
        <f>NOMINA!O98</f>
        <v>DELEGADO PRUEBA III</v>
      </c>
      <c r="O122" s="985">
        <v>1.02087691000006E+18</v>
      </c>
      <c r="P122" s="999">
        <f>NOMINA!W98</f>
        <v>139.5</v>
      </c>
      <c r="Q122" s="986">
        <f>NOMINA!AG98</f>
        <v>11.99</v>
      </c>
      <c r="R122" s="986">
        <f>NOMINA!AI98</f>
        <v>65</v>
      </c>
      <c r="S122" s="986">
        <f>NOMINA!AK98</f>
        <v>55.68</v>
      </c>
      <c r="T122" s="986">
        <f>ROUND(NOMINA!AO98,2)</f>
        <v>0</v>
      </c>
      <c r="U122" s="986">
        <f>ROUND(NOMINA!AQ98,2)</f>
        <v>0</v>
      </c>
      <c r="V122" s="986">
        <f>ROUND(NOMINA!AR98,2)</f>
        <v>0</v>
      </c>
      <c r="W122" s="986">
        <f>ROUND(NOMINA!AS98,2)</f>
        <v>0</v>
      </c>
      <c r="X122" s="986">
        <f>ROUND(NOMINA!AW98,2)</f>
        <v>0</v>
      </c>
      <c r="Y122" s="986">
        <f>ROUND(NOMINA!AX98,2)</f>
        <v>0</v>
      </c>
      <c r="Z122" s="986">
        <f>ROUND(NOMINA!BB98,2)+ROUND(NOMINA!BF98,2)</f>
        <v>0</v>
      </c>
      <c r="AA122" s="986">
        <f>ROUND(NOMINA!BK98,2)*0</f>
        <v>0</v>
      </c>
      <c r="AB122" s="986">
        <f>ROUND(NOMINA!BG98,2)</f>
        <v>300</v>
      </c>
      <c r="AC122" s="1000">
        <f t="shared" si="7"/>
        <v>572.17000000000007</v>
      </c>
      <c r="AE122" s="634"/>
    </row>
    <row r="123" spans="1:31" s="629" customFormat="1" ht="20.100000000000001" customHeight="1" thickBot="1">
      <c r="A123" s="770" t="s">
        <v>2846</v>
      </c>
      <c r="B123" s="510">
        <f t="shared" si="8"/>
        <v>57</v>
      </c>
      <c r="C123" s="980">
        <f>NOMINA!C99</f>
        <v>11318142</v>
      </c>
      <c r="D123" s="981" t="str">
        <f>NOMINA!D99</f>
        <v>Perdomo Rosales Modesto Ramon</v>
      </c>
      <c r="E123" s="978" t="s">
        <v>4622</v>
      </c>
      <c r="F123" s="982">
        <v>32351</v>
      </c>
      <c r="G123" s="978" t="s">
        <v>4620</v>
      </c>
      <c r="H123" s="1001">
        <f>NOMINA!H99</f>
        <v>43983</v>
      </c>
      <c r="I123" s="984">
        <f>NOMINA!I99</f>
        <v>4</v>
      </c>
      <c r="J123" s="985">
        <f>NOMINA!J99</f>
        <v>0</v>
      </c>
      <c r="K123" s="984">
        <f t="shared" si="6"/>
        <v>4</v>
      </c>
      <c r="L123" s="985" t="s">
        <v>4932</v>
      </c>
      <c r="M123" s="985"/>
      <c r="N123" s="1002" t="str">
        <f>NOMINA!O99</f>
        <v>Almacenista II</v>
      </c>
      <c r="O123" s="985">
        <v>1.02087691000006E+18</v>
      </c>
      <c r="P123" s="999">
        <f>NOMINA!W99</f>
        <v>75</v>
      </c>
      <c r="Q123" s="986">
        <f>NOMINA!AG99</f>
        <v>3</v>
      </c>
      <c r="R123" s="986">
        <f>NOMINA!AI99</f>
        <v>65</v>
      </c>
      <c r="S123" s="986">
        <f>NOMINA!AK99</f>
        <v>0</v>
      </c>
      <c r="T123" s="986">
        <f>ROUND(NOMINA!AO99,2)</f>
        <v>0</v>
      </c>
      <c r="U123" s="986">
        <f>ROUND(NOMINA!AQ99,2)</f>
        <v>0</v>
      </c>
      <c r="V123" s="986">
        <f>ROUND(NOMINA!AR99,2)</f>
        <v>0</v>
      </c>
      <c r="W123" s="986">
        <f>ROUND(NOMINA!AS99,2)</f>
        <v>0</v>
      </c>
      <c r="X123" s="986">
        <f>ROUND(NOMINA!AW99,2)</f>
        <v>0</v>
      </c>
      <c r="Y123" s="986">
        <f>ROUND(NOMINA!AX99,2)</f>
        <v>0</v>
      </c>
      <c r="Z123" s="986">
        <f>ROUND(NOMINA!BB99,2)+ROUND(NOMINA!BF99,2)</f>
        <v>28.6</v>
      </c>
      <c r="AA123" s="986">
        <f>ROUND(NOMINA!BK99,2)*0</f>
        <v>0</v>
      </c>
      <c r="AB123" s="986">
        <f>ROUND(NOMINA!BG99,2)</f>
        <v>300</v>
      </c>
      <c r="AC123" s="1000">
        <f t="shared" si="7"/>
        <v>471.6</v>
      </c>
      <c r="AE123" s="634"/>
    </row>
    <row r="124" spans="1:31" s="629" customFormat="1" ht="20.100000000000001" customHeight="1" thickBot="1">
      <c r="A124" s="770" t="s">
        <v>2846</v>
      </c>
      <c r="B124" s="510">
        <f t="shared" si="8"/>
        <v>58</v>
      </c>
      <c r="C124" s="980">
        <f>NOMINA!C100</f>
        <v>11318697</v>
      </c>
      <c r="D124" s="981" t="str">
        <f>NOMINA!D100</f>
        <v>Sardi Hernandez Gladis Josefina</v>
      </c>
      <c r="E124" s="978" t="s">
        <v>4622</v>
      </c>
      <c r="F124" s="982">
        <v>32351</v>
      </c>
      <c r="G124" s="978" t="s">
        <v>4620</v>
      </c>
      <c r="H124" s="1001">
        <f>NOMINA!H100</f>
        <v>39539</v>
      </c>
      <c r="I124" s="984">
        <f>NOMINA!I100</f>
        <v>16</v>
      </c>
      <c r="J124" s="985">
        <f>NOMINA!J100</f>
        <v>0</v>
      </c>
      <c r="K124" s="984">
        <f t="shared" si="6"/>
        <v>16</v>
      </c>
      <c r="L124" s="985" t="s">
        <v>4932</v>
      </c>
      <c r="M124" s="985"/>
      <c r="N124" s="1002" t="str">
        <f>NOMINA!O100</f>
        <v>Asistente Administrativo III</v>
      </c>
      <c r="O124" s="985">
        <v>1.02087691000006E+18</v>
      </c>
      <c r="P124" s="999">
        <f>NOMINA!W100</f>
        <v>88</v>
      </c>
      <c r="Q124" s="986">
        <f>NOMINA!AG100</f>
        <v>17.25</v>
      </c>
      <c r="R124" s="986">
        <f>NOMINA!AI100</f>
        <v>65</v>
      </c>
      <c r="S124" s="986">
        <f>NOMINA!AK100</f>
        <v>0</v>
      </c>
      <c r="T124" s="986">
        <f>ROUND(NOMINA!AO100,2)</f>
        <v>0</v>
      </c>
      <c r="U124" s="986">
        <f>ROUND(NOMINA!AQ100,2)</f>
        <v>0</v>
      </c>
      <c r="V124" s="986">
        <f>ROUND(NOMINA!AR100,2)</f>
        <v>0</v>
      </c>
      <c r="W124" s="986">
        <f>ROUND(NOMINA!AS100,2)</f>
        <v>0</v>
      </c>
      <c r="X124" s="986">
        <f>ROUND(NOMINA!AW100,2)</f>
        <v>0</v>
      </c>
      <c r="Y124" s="986">
        <f>ROUND(NOMINA!AX100,2)</f>
        <v>0</v>
      </c>
      <c r="Z124" s="986">
        <f>ROUND(NOMINA!BB100,2)+ROUND(NOMINA!BF100,2)</f>
        <v>0</v>
      </c>
      <c r="AA124" s="986">
        <f>ROUND(NOMINA!BK100,2)*0</f>
        <v>0</v>
      </c>
      <c r="AB124" s="986">
        <f>ROUND(NOMINA!BG100,2)</f>
        <v>300</v>
      </c>
      <c r="AC124" s="1000">
        <f t="shared" si="7"/>
        <v>470.25</v>
      </c>
      <c r="AE124" s="634"/>
    </row>
    <row r="125" spans="1:31" s="629" customFormat="1" ht="20.100000000000001" customHeight="1" thickBot="1">
      <c r="A125" s="770" t="s">
        <v>2846</v>
      </c>
      <c r="B125" s="510">
        <f t="shared" si="8"/>
        <v>59</v>
      </c>
      <c r="C125" s="980">
        <f>NOMINA!C101</f>
        <v>11319154</v>
      </c>
      <c r="D125" s="981" t="str">
        <f>NOMINA!D101</f>
        <v>Peña Villegas Lisette Carolina</v>
      </c>
      <c r="E125" s="978" t="s">
        <v>4622</v>
      </c>
      <c r="F125" s="982">
        <v>32351</v>
      </c>
      <c r="G125" s="978" t="s">
        <v>4620</v>
      </c>
      <c r="H125" s="1001">
        <f>NOMINA!H101</f>
        <v>34428</v>
      </c>
      <c r="I125" s="984">
        <f>NOMINA!I101</f>
        <v>30</v>
      </c>
      <c r="J125" s="985">
        <f>NOMINA!J101</f>
        <v>0</v>
      </c>
      <c r="K125" s="984">
        <f t="shared" si="6"/>
        <v>30</v>
      </c>
      <c r="L125" s="985" t="s">
        <v>4932</v>
      </c>
      <c r="M125" s="985"/>
      <c r="N125" s="1002" t="str">
        <f>NOMINA!O101</f>
        <v>Guia de Centro II</v>
      </c>
      <c r="O125" s="985">
        <v>1.02087691000006E+18</v>
      </c>
      <c r="P125" s="999">
        <f>NOMINA!W101</f>
        <v>158</v>
      </c>
      <c r="Q125" s="986">
        <f>NOMINA!AG101</f>
        <v>47.4</v>
      </c>
      <c r="R125" s="986">
        <f>NOMINA!AI101</f>
        <v>65</v>
      </c>
      <c r="S125" s="986">
        <f>NOMINA!AK101</f>
        <v>94.64</v>
      </c>
      <c r="T125" s="986">
        <f>ROUND(NOMINA!AO101,2)</f>
        <v>0</v>
      </c>
      <c r="U125" s="986">
        <f>ROUND(NOMINA!AQ101,2)</f>
        <v>0</v>
      </c>
      <c r="V125" s="986">
        <f>ROUND(NOMINA!AR101,2)</f>
        <v>0</v>
      </c>
      <c r="W125" s="986">
        <f>ROUND(NOMINA!AS101,2)</f>
        <v>0</v>
      </c>
      <c r="X125" s="986">
        <f>ROUND(NOMINA!AW101,2)</f>
        <v>0</v>
      </c>
      <c r="Y125" s="986">
        <f>ROUND(NOMINA!AX101,2)</f>
        <v>0</v>
      </c>
      <c r="Z125" s="986">
        <f>ROUND(NOMINA!BB101,2)+ROUND(NOMINA!BF101,2)</f>
        <v>0</v>
      </c>
      <c r="AA125" s="986">
        <f>ROUND(NOMINA!BK101,2)*0</f>
        <v>0</v>
      </c>
      <c r="AB125" s="986">
        <f>ROUND(NOMINA!BG101,2)</f>
        <v>300</v>
      </c>
      <c r="AC125" s="1000">
        <f t="shared" si="7"/>
        <v>665.04</v>
      </c>
      <c r="AE125" s="634"/>
    </row>
    <row r="126" spans="1:31" s="629" customFormat="1" ht="20.100000000000001" customHeight="1" thickBot="1">
      <c r="A126" s="770" t="s">
        <v>2846</v>
      </c>
      <c r="B126" s="510">
        <f t="shared" si="8"/>
        <v>60</v>
      </c>
      <c r="C126" s="980">
        <f>NOMINA!C102</f>
        <v>11320533</v>
      </c>
      <c r="D126" s="981" t="str">
        <f>NOMINA!D102</f>
        <v>Suarez Chiquin Yaritza Josefina</v>
      </c>
      <c r="E126" s="978" t="s">
        <v>4622</v>
      </c>
      <c r="F126" s="982">
        <v>32351</v>
      </c>
      <c r="G126" s="978" t="s">
        <v>4620</v>
      </c>
      <c r="H126" s="1001">
        <f>NOMINA!H102</f>
        <v>37629</v>
      </c>
      <c r="I126" s="984">
        <f>NOMINA!I102</f>
        <v>22</v>
      </c>
      <c r="J126" s="985">
        <f>NOMINA!J102</f>
        <v>0</v>
      </c>
      <c r="K126" s="984">
        <f t="shared" si="6"/>
        <v>22</v>
      </c>
      <c r="L126" s="985" t="s">
        <v>4932</v>
      </c>
      <c r="M126" s="985"/>
      <c r="N126" s="1002" t="str">
        <f>NOMINA!O102</f>
        <v>Administrador IV</v>
      </c>
      <c r="O126" s="985">
        <v>1.02087691000006E+18</v>
      </c>
      <c r="P126" s="999">
        <f>NOMINA!W102</f>
        <v>0</v>
      </c>
      <c r="Q126" s="986">
        <f>NOMINA!AG102</f>
        <v>0</v>
      </c>
      <c r="R126" s="986">
        <f>NOMINA!AI102</f>
        <v>0</v>
      </c>
      <c r="S126" s="986">
        <f>NOMINA!AK102</f>
        <v>0</v>
      </c>
      <c r="T126" s="986">
        <f>ROUND(NOMINA!AO102,2)</f>
        <v>0</v>
      </c>
      <c r="U126" s="986">
        <f>ROUND(NOMINA!AQ102,2)</f>
        <v>0</v>
      </c>
      <c r="V126" s="986">
        <f>ROUND(NOMINA!AR102,2)</f>
        <v>0</v>
      </c>
      <c r="W126" s="986">
        <f>ROUND(NOMINA!AS102,2)</f>
        <v>0</v>
      </c>
      <c r="X126" s="986">
        <f>ROUND(NOMINA!AW102,2)</f>
        <v>0</v>
      </c>
      <c r="Y126" s="986">
        <f>ROUND(NOMINA!AX102,2)</f>
        <v>0</v>
      </c>
      <c r="Z126" s="986">
        <f>ROUND(NOMINA!BB102,2)+ROUND(NOMINA!BF102,2)</f>
        <v>0</v>
      </c>
      <c r="AA126" s="986">
        <f>ROUND(NOMINA!BK102,2)*0</f>
        <v>0</v>
      </c>
      <c r="AB126" s="986">
        <f>ROUND(NOMINA!BG102,2)</f>
        <v>0</v>
      </c>
      <c r="AC126" s="1000">
        <f t="shared" si="7"/>
        <v>0</v>
      </c>
      <c r="AE126" s="634"/>
    </row>
    <row r="127" spans="1:31" s="629" customFormat="1" ht="20.100000000000001" customHeight="1" thickBot="1">
      <c r="A127" s="770" t="s">
        <v>2846</v>
      </c>
      <c r="B127" s="510">
        <f t="shared" si="8"/>
        <v>61</v>
      </c>
      <c r="C127" s="980">
        <f>NOMINA!C103</f>
        <v>11322871</v>
      </c>
      <c r="D127" s="981" t="str">
        <f>NOMINA!D103</f>
        <v>Rivas Albarran Martin Antonio</v>
      </c>
      <c r="E127" s="978" t="s">
        <v>4622</v>
      </c>
      <c r="F127" s="982">
        <v>32351</v>
      </c>
      <c r="G127" s="978" t="s">
        <v>4620</v>
      </c>
      <c r="H127" s="1001">
        <f>NOMINA!H103</f>
        <v>38718</v>
      </c>
      <c r="I127" s="984">
        <f>NOMINA!I103</f>
        <v>19</v>
      </c>
      <c r="J127" s="985">
        <f>NOMINA!J103</f>
        <v>0</v>
      </c>
      <c r="K127" s="984">
        <f t="shared" si="6"/>
        <v>19</v>
      </c>
      <c r="L127" s="985" t="s">
        <v>4932</v>
      </c>
      <c r="M127" s="985"/>
      <c r="N127" s="1002" t="str">
        <f>NOMINA!O103</f>
        <v>Tutor Facilitador III</v>
      </c>
      <c r="O127" s="985">
        <v>1.02087691000006E+18</v>
      </c>
      <c r="P127" s="999">
        <f>NOMINA!W103</f>
        <v>143.5</v>
      </c>
      <c r="Q127" s="986">
        <f>NOMINA!AG103</f>
        <v>35.01</v>
      </c>
      <c r="R127" s="986">
        <f>NOMINA!AI103</f>
        <v>65</v>
      </c>
      <c r="S127" s="986">
        <f>NOMINA!AK103</f>
        <v>60.88</v>
      </c>
      <c r="T127" s="986">
        <f>ROUND(NOMINA!AO103,2)</f>
        <v>0</v>
      </c>
      <c r="U127" s="986">
        <f>ROUND(NOMINA!AQ103,2)</f>
        <v>0</v>
      </c>
      <c r="V127" s="986">
        <f>ROUND(NOMINA!AR103,2)</f>
        <v>0</v>
      </c>
      <c r="W127" s="986">
        <f>ROUND(NOMINA!AS103,2)</f>
        <v>0</v>
      </c>
      <c r="X127" s="986">
        <f>ROUND(NOMINA!AW103,2)</f>
        <v>0</v>
      </c>
      <c r="Y127" s="986">
        <f>ROUND(NOMINA!AX103,2)</f>
        <v>4870.32</v>
      </c>
      <c r="Z127" s="986">
        <f>ROUND(NOMINA!BB103,2)+ROUND(NOMINA!BF103,2)</f>
        <v>0</v>
      </c>
      <c r="AA127" s="986">
        <f>ROUND(NOMINA!BK103,2)*0</f>
        <v>0</v>
      </c>
      <c r="AB127" s="986">
        <f>ROUND(NOMINA!BG103,2)</f>
        <v>300</v>
      </c>
      <c r="AC127" s="1000">
        <f t="shared" si="7"/>
        <v>5474.71</v>
      </c>
      <c r="AE127" s="634"/>
    </row>
    <row r="128" spans="1:31" s="629" customFormat="1" ht="20.100000000000001" customHeight="1" thickBot="1">
      <c r="A128" s="770" t="s">
        <v>2846</v>
      </c>
      <c r="B128" s="510">
        <f t="shared" si="8"/>
        <v>62</v>
      </c>
      <c r="C128" s="980">
        <f>NOMINA!C104</f>
        <v>11616673</v>
      </c>
      <c r="D128" s="981" t="str">
        <f>NOMINA!D104</f>
        <v>Perdomo Orlando Jose</v>
      </c>
      <c r="E128" s="978" t="s">
        <v>4622</v>
      </c>
      <c r="F128" s="982">
        <v>32351</v>
      </c>
      <c r="G128" s="978" t="s">
        <v>4620</v>
      </c>
      <c r="H128" s="1001">
        <f>NOMINA!H104</f>
        <v>35066</v>
      </c>
      <c r="I128" s="984">
        <f>NOMINA!I104</f>
        <v>29</v>
      </c>
      <c r="J128" s="985">
        <f>NOMINA!J104</f>
        <v>0</v>
      </c>
      <c r="K128" s="984">
        <f t="shared" si="6"/>
        <v>29</v>
      </c>
      <c r="L128" s="985" t="s">
        <v>4932</v>
      </c>
      <c r="M128" s="985"/>
      <c r="N128" s="1002" t="str">
        <f>NOMINA!O104</f>
        <v>Tutor Facilitador III</v>
      </c>
      <c r="O128" s="985">
        <v>1.02087691000006E+18</v>
      </c>
      <c r="P128" s="999">
        <f>NOMINA!W104</f>
        <v>143.5</v>
      </c>
      <c r="Q128" s="986">
        <f>NOMINA!AG104</f>
        <v>43.05</v>
      </c>
      <c r="R128" s="986">
        <f>NOMINA!AI104</f>
        <v>65</v>
      </c>
      <c r="S128" s="986">
        <f>NOMINA!AK104</f>
        <v>62.89</v>
      </c>
      <c r="T128" s="986">
        <f>ROUND(NOMINA!AO104,2)</f>
        <v>0</v>
      </c>
      <c r="U128" s="986">
        <f>ROUND(NOMINA!AQ104,2)</f>
        <v>0</v>
      </c>
      <c r="V128" s="986">
        <f>ROUND(NOMINA!AR104,2)</f>
        <v>0</v>
      </c>
      <c r="W128" s="986">
        <f>ROUND(NOMINA!AS104,2)</f>
        <v>0</v>
      </c>
      <c r="X128" s="986">
        <f>ROUND(NOMINA!AW104,2)</f>
        <v>0</v>
      </c>
      <c r="Y128" s="986">
        <f>ROUND(NOMINA!AX104,2)</f>
        <v>5031.04</v>
      </c>
      <c r="Z128" s="986">
        <f>ROUND(NOMINA!BB104,2)+ROUND(NOMINA!BF104,2)</f>
        <v>0</v>
      </c>
      <c r="AA128" s="986">
        <f>ROUND(NOMINA!BK104,2)*0</f>
        <v>0</v>
      </c>
      <c r="AB128" s="986">
        <f>ROUND(NOMINA!BG104,2)</f>
        <v>300</v>
      </c>
      <c r="AC128" s="1000">
        <f t="shared" si="7"/>
        <v>5645.48</v>
      </c>
      <c r="AE128" s="634"/>
    </row>
    <row r="129" spans="1:31" s="629" customFormat="1" ht="20.100000000000001" customHeight="1" thickBot="1">
      <c r="A129" s="770" t="s">
        <v>2846</v>
      </c>
      <c r="B129" s="510">
        <f t="shared" si="8"/>
        <v>63</v>
      </c>
      <c r="C129" s="980">
        <f>NOMINA!C105</f>
        <v>11734553</v>
      </c>
      <c r="D129" s="981" t="str">
        <f>NOMINA!D105</f>
        <v>Teran Torres Olga del Carmen</v>
      </c>
      <c r="E129" s="978" t="s">
        <v>4622</v>
      </c>
      <c r="F129" s="982">
        <v>32351</v>
      </c>
      <c r="G129" s="978" t="s">
        <v>4620</v>
      </c>
      <c r="H129" s="1001">
        <f>NOMINA!H105</f>
        <v>43206</v>
      </c>
      <c r="I129" s="984">
        <f>NOMINA!I105</f>
        <v>6</v>
      </c>
      <c r="J129" s="985">
        <f>NOMINA!J105</f>
        <v>0</v>
      </c>
      <c r="K129" s="984">
        <f t="shared" si="6"/>
        <v>6</v>
      </c>
      <c r="L129" s="985" t="s">
        <v>4932</v>
      </c>
      <c r="M129" s="985"/>
      <c r="N129" s="1002" t="str">
        <f>NOMINA!O105</f>
        <v>Tutor Facilitador III</v>
      </c>
      <c r="O129" s="985">
        <v>1.02087691000006E+18</v>
      </c>
      <c r="P129" s="999">
        <f>NOMINA!W105</f>
        <v>154</v>
      </c>
      <c r="Q129" s="986">
        <f>NOMINA!AG105</f>
        <v>9.5500000000000007</v>
      </c>
      <c r="R129" s="986">
        <f>NOMINA!AI105</f>
        <v>65</v>
      </c>
      <c r="S129" s="986">
        <f>NOMINA!AK105</f>
        <v>79.989999999999995</v>
      </c>
      <c r="T129" s="986">
        <f>ROUND(NOMINA!AO105,2)</f>
        <v>0</v>
      </c>
      <c r="U129" s="986">
        <f>ROUND(NOMINA!AQ105,2)</f>
        <v>0</v>
      </c>
      <c r="V129" s="986">
        <f>ROUND(NOMINA!AR105,2)</f>
        <v>0</v>
      </c>
      <c r="W129" s="986">
        <f>ROUND(NOMINA!AS105,2)</f>
        <v>0</v>
      </c>
      <c r="X129" s="986">
        <f>ROUND(NOMINA!AW105,2)</f>
        <v>0</v>
      </c>
      <c r="Y129" s="986">
        <f>ROUND(NOMINA!AX105,2)</f>
        <v>0</v>
      </c>
      <c r="Z129" s="986">
        <f>ROUND(NOMINA!BB105,2)+ROUND(NOMINA!BF105,2)</f>
        <v>0</v>
      </c>
      <c r="AA129" s="986">
        <f>ROUND(NOMINA!BK105,2)*0</f>
        <v>0</v>
      </c>
      <c r="AB129" s="986">
        <f>ROUND(NOMINA!BG105,2)</f>
        <v>300</v>
      </c>
      <c r="AC129" s="1000">
        <f t="shared" si="7"/>
        <v>608.54</v>
      </c>
      <c r="AE129" s="634"/>
    </row>
    <row r="130" spans="1:31" s="629" customFormat="1" ht="20.100000000000001" customHeight="1" thickBot="1">
      <c r="A130" s="770" t="s">
        <v>2846</v>
      </c>
      <c r="B130" s="510">
        <f t="shared" si="8"/>
        <v>64</v>
      </c>
      <c r="C130" s="980">
        <f>NOMINA!C106</f>
        <v>11894534</v>
      </c>
      <c r="D130" s="981" t="str">
        <f>NOMINA!D106</f>
        <v>Olmos Rodriguez Eberto de Jesus</v>
      </c>
      <c r="E130" s="978" t="s">
        <v>4622</v>
      </c>
      <c r="F130" s="982">
        <v>32351</v>
      </c>
      <c r="G130" s="978" t="s">
        <v>4620</v>
      </c>
      <c r="H130" s="1001">
        <f>NOMINA!H106</f>
        <v>40909</v>
      </c>
      <c r="I130" s="984">
        <f>NOMINA!I106</f>
        <v>13</v>
      </c>
      <c r="J130" s="985">
        <f>NOMINA!J106</f>
        <v>13</v>
      </c>
      <c r="K130" s="984">
        <f t="shared" si="6"/>
        <v>26</v>
      </c>
      <c r="L130" s="985" t="s">
        <v>4932</v>
      </c>
      <c r="M130" s="985"/>
      <c r="N130" s="1002" t="str">
        <f>NOMINA!O106</f>
        <v>Administrador Jefe</v>
      </c>
      <c r="O130" s="985">
        <v>1.02087691000006E+18</v>
      </c>
      <c r="P130" s="999">
        <f>NOMINA!W106</f>
        <v>0</v>
      </c>
      <c r="Q130" s="986">
        <f>NOMINA!AG106</f>
        <v>0</v>
      </c>
      <c r="R130" s="986">
        <f>NOMINA!AI106</f>
        <v>0</v>
      </c>
      <c r="S130" s="986">
        <f>NOMINA!AK106</f>
        <v>0</v>
      </c>
      <c r="T130" s="986">
        <f>ROUND(NOMINA!AO106,2)</f>
        <v>0</v>
      </c>
      <c r="U130" s="986">
        <f>ROUND(NOMINA!AQ106,2)</f>
        <v>0</v>
      </c>
      <c r="V130" s="986">
        <f>ROUND(NOMINA!AR106,2)</f>
        <v>0</v>
      </c>
      <c r="W130" s="986">
        <f>ROUND(NOMINA!AS106,2)</f>
        <v>0</v>
      </c>
      <c r="X130" s="986">
        <f>ROUND(NOMINA!AW106,2)</f>
        <v>0</v>
      </c>
      <c r="Y130" s="986">
        <f>ROUND(NOMINA!AX106,2)</f>
        <v>0</v>
      </c>
      <c r="Z130" s="986">
        <f>ROUND(NOMINA!BB106,2)+ROUND(NOMINA!BF106,2)</f>
        <v>0</v>
      </c>
      <c r="AA130" s="986">
        <f>ROUND(NOMINA!BK106,2)*0</f>
        <v>0</v>
      </c>
      <c r="AB130" s="986">
        <f>ROUND(NOMINA!BG106,2)</f>
        <v>0</v>
      </c>
      <c r="AC130" s="1000">
        <f t="shared" si="7"/>
        <v>0</v>
      </c>
      <c r="AE130" s="634"/>
    </row>
    <row r="131" spans="1:31" s="629" customFormat="1" ht="20.100000000000001" customHeight="1" thickBot="1">
      <c r="A131" s="770" t="s">
        <v>2846</v>
      </c>
      <c r="B131" s="510">
        <f t="shared" si="8"/>
        <v>65</v>
      </c>
      <c r="C131" s="980">
        <f>NOMINA!C107</f>
        <v>11895772</v>
      </c>
      <c r="D131" s="981" t="str">
        <f>NOMINA!D107</f>
        <v>Rangel Rivas Ildemaro</v>
      </c>
      <c r="E131" s="978" t="s">
        <v>4622</v>
      </c>
      <c r="F131" s="982">
        <v>32351</v>
      </c>
      <c r="G131" s="978" t="s">
        <v>4620</v>
      </c>
      <c r="H131" s="1001">
        <f>NOMINA!H107</f>
        <v>44743</v>
      </c>
      <c r="I131" s="984">
        <f>NOMINA!I107</f>
        <v>2</v>
      </c>
      <c r="J131" s="985">
        <f>NOMINA!J107</f>
        <v>0</v>
      </c>
      <c r="K131" s="984">
        <f t="shared" si="6"/>
        <v>2</v>
      </c>
      <c r="L131" s="985" t="s">
        <v>4932</v>
      </c>
      <c r="M131" s="985"/>
      <c r="N131" s="1002" t="str">
        <f>NOMINA!O107</f>
        <v>Entrenador Deportivo II</v>
      </c>
      <c r="O131" s="985">
        <v>1.02087691000006E+18</v>
      </c>
      <c r="P131" s="999">
        <f>NOMINA!W107</f>
        <v>0</v>
      </c>
      <c r="Q131" s="986">
        <f>NOMINA!AG107</f>
        <v>0</v>
      </c>
      <c r="R131" s="986">
        <f>NOMINA!AI107</f>
        <v>0</v>
      </c>
      <c r="S131" s="986">
        <f>NOMINA!AK107</f>
        <v>0</v>
      </c>
      <c r="T131" s="986">
        <f>ROUND(NOMINA!AO107,2)</f>
        <v>0</v>
      </c>
      <c r="U131" s="986">
        <f>ROUND(NOMINA!AQ107,2)</f>
        <v>0</v>
      </c>
      <c r="V131" s="986">
        <f>ROUND(NOMINA!AR107,2)</f>
        <v>0</v>
      </c>
      <c r="W131" s="986">
        <f>ROUND(NOMINA!AS107,2)</f>
        <v>0</v>
      </c>
      <c r="X131" s="986">
        <f>ROUND(NOMINA!AW107,2)</f>
        <v>0</v>
      </c>
      <c r="Y131" s="986">
        <f>ROUND(NOMINA!AX107,2)</f>
        <v>0</v>
      </c>
      <c r="Z131" s="986">
        <f>ROUND(NOMINA!BB107,2)+ROUND(NOMINA!BF107,2)</f>
        <v>0</v>
      </c>
      <c r="AA131" s="986">
        <f>ROUND(NOMINA!BK107,2)*0</f>
        <v>0</v>
      </c>
      <c r="AB131" s="986">
        <f>ROUND(NOMINA!BG107,2)</f>
        <v>0</v>
      </c>
      <c r="AC131" s="1000">
        <f t="shared" si="7"/>
        <v>0</v>
      </c>
      <c r="AE131" s="634"/>
    </row>
    <row r="132" spans="1:31" s="629" customFormat="1" ht="20.100000000000001" customHeight="1" thickBot="1">
      <c r="A132" s="770" t="s">
        <v>2846</v>
      </c>
      <c r="B132" s="510">
        <f t="shared" si="8"/>
        <v>66</v>
      </c>
      <c r="C132" s="980">
        <f>NOMINA!C108</f>
        <v>11896941</v>
      </c>
      <c r="D132" s="981" t="str">
        <f>NOMINA!D108</f>
        <v>Justo Angel Jannessy</v>
      </c>
      <c r="E132" s="978" t="s">
        <v>4622</v>
      </c>
      <c r="F132" s="982">
        <v>32351</v>
      </c>
      <c r="G132" s="978" t="s">
        <v>4620</v>
      </c>
      <c r="H132" s="1001">
        <f>NOMINA!H108</f>
        <v>38698</v>
      </c>
      <c r="I132" s="984">
        <f>NOMINA!I108</f>
        <v>19</v>
      </c>
      <c r="J132" s="985">
        <f>NOMINA!J108</f>
        <v>0</v>
      </c>
      <c r="K132" s="984">
        <f t="shared" ref="K132:K195" si="9">I132+J132</f>
        <v>19</v>
      </c>
      <c r="L132" s="985" t="s">
        <v>4932</v>
      </c>
      <c r="M132" s="985"/>
      <c r="N132" s="1002" t="str">
        <f>NOMINA!O108</f>
        <v>Analista de Presupuesto III</v>
      </c>
      <c r="O132" s="985">
        <v>1.02087691000006E+18</v>
      </c>
      <c r="P132" s="999">
        <f>NOMINA!W108</f>
        <v>0</v>
      </c>
      <c r="Q132" s="986">
        <f>NOMINA!AG108</f>
        <v>0</v>
      </c>
      <c r="R132" s="986">
        <f>NOMINA!AI108</f>
        <v>0</v>
      </c>
      <c r="S132" s="986">
        <f>NOMINA!AK108</f>
        <v>0</v>
      </c>
      <c r="T132" s="986">
        <f>ROUND(NOMINA!AO108,2)</f>
        <v>0</v>
      </c>
      <c r="U132" s="986">
        <f>ROUND(NOMINA!AQ108,2)</f>
        <v>0</v>
      </c>
      <c r="V132" s="986">
        <f>ROUND(NOMINA!AR108,2)</f>
        <v>0</v>
      </c>
      <c r="W132" s="986">
        <f>ROUND(NOMINA!AS108,2)</f>
        <v>0</v>
      </c>
      <c r="X132" s="986">
        <f>ROUND(NOMINA!AW108,2)</f>
        <v>0</v>
      </c>
      <c r="Y132" s="986">
        <f>ROUND(NOMINA!AX108,2)</f>
        <v>0</v>
      </c>
      <c r="Z132" s="986">
        <f>ROUND(NOMINA!BB108,2)+ROUND(NOMINA!BF108,2)</f>
        <v>0</v>
      </c>
      <c r="AA132" s="986">
        <f>ROUND(NOMINA!BK108,2)*0</f>
        <v>0</v>
      </c>
      <c r="AB132" s="986">
        <f>ROUND(NOMINA!BG108,2)</f>
        <v>0</v>
      </c>
      <c r="AC132" s="1000">
        <f t="shared" ref="AC132:AC195" si="10">+P132+Q132+R132+S132+T132+U132+V132+W132+X132+Y132+Z132+AB132+AA132</f>
        <v>0</v>
      </c>
      <c r="AE132" s="634"/>
    </row>
    <row r="133" spans="1:31" s="629" customFormat="1" ht="20.100000000000001" customHeight="1" thickBot="1">
      <c r="A133" s="770" t="s">
        <v>2846</v>
      </c>
      <c r="B133" s="510">
        <f t="shared" ref="B133:B196" si="11">+B132+1</f>
        <v>67</v>
      </c>
      <c r="C133" s="980">
        <f>NOMINA!C109</f>
        <v>11898486</v>
      </c>
      <c r="D133" s="981" t="str">
        <f>NOMINA!D109</f>
        <v>Linares Hernandez Thaiz Yoconda</v>
      </c>
      <c r="E133" s="978" t="s">
        <v>4622</v>
      </c>
      <c r="F133" s="982">
        <v>32351</v>
      </c>
      <c r="G133" s="978" t="s">
        <v>4620</v>
      </c>
      <c r="H133" s="1001">
        <f>NOMINA!H109</f>
        <v>40065</v>
      </c>
      <c r="I133" s="984">
        <f>NOMINA!I109</f>
        <v>15</v>
      </c>
      <c r="J133" s="985">
        <f>NOMINA!J109</f>
        <v>0</v>
      </c>
      <c r="K133" s="984">
        <f t="shared" si="9"/>
        <v>15</v>
      </c>
      <c r="L133" s="985" t="s">
        <v>4932</v>
      </c>
      <c r="M133" s="985"/>
      <c r="N133" s="1002" t="str">
        <f>NOMINA!O109</f>
        <v>Asistente Administrativo III</v>
      </c>
      <c r="O133" s="985">
        <v>1.02087691000006E+18</v>
      </c>
      <c r="P133" s="999">
        <f>NOMINA!W109</f>
        <v>113</v>
      </c>
      <c r="Q133" s="986">
        <f>NOMINA!AG109</f>
        <v>20.34</v>
      </c>
      <c r="R133" s="986">
        <f>NOMINA!AI109</f>
        <v>65</v>
      </c>
      <c r="S133" s="986">
        <f>NOMINA!AK109</f>
        <v>39.67</v>
      </c>
      <c r="T133" s="986">
        <f>ROUND(NOMINA!AO109,2)</f>
        <v>0</v>
      </c>
      <c r="U133" s="986">
        <f>ROUND(NOMINA!AQ109,2)</f>
        <v>0</v>
      </c>
      <c r="V133" s="986">
        <f>ROUND(NOMINA!AR109,2)</f>
        <v>0</v>
      </c>
      <c r="W133" s="986">
        <f>ROUND(NOMINA!AS109,2)</f>
        <v>0</v>
      </c>
      <c r="X133" s="986">
        <f>ROUND(NOMINA!AW109,2)</f>
        <v>0</v>
      </c>
      <c r="Y133" s="986">
        <f>ROUND(NOMINA!AX109,2)</f>
        <v>0</v>
      </c>
      <c r="Z133" s="986">
        <f>ROUND(NOMINA!BB109,2)+ROUND(NOMINA!BF109,2)</f>
        <v>0</v>
      </c>
      <c r="AA133" s="986">
        <f>ROUND(NOMINA!BK109,2)*0</f>
        <v>0</v>
      </c>
      <c r="AB133" s="986">
        <f>ROUND(NOMINA!BG109,2)</f>
        <v>300</v>
      </c>
      <c r="AC133" s="1000">
        <f t="shared" si="10"/>
        <v>538.01</v>
      </c>
      <c r="AE133" s="634"/>
    </row>
    <row r="134" spans="1:31" s="629" customFormat="1" ht="20.100000000000001" customHeight="1" thickBot="1">
      <c r="A134" s="770" t="s">
        <v>2846</v>
      </c>
      <c r="B134" s="510">
        <f t="shared" si="11"/>
        <v>68</v>
      </c>
      <c r="C134" s="980">
        <f>NOMINA!C110</f>
        <v>12040792</v>
      </c>
      <c r="D134" s="981" t="str">
        <f>NOMINA!D110</f>
        <v>Sulbaran Campos Jesus Alberto</v>
      </c>
      <c r="E134" s="978" t="s">
        <v>4622</v>
      </c>
      <c r="F134" s="982">
        <v>32351</v>
      </c>
      <c r="G134" s="978" t="s">
        <v>4620</v>
      </c>
      <c r="H134" s="1001">
        <f>NOMINA!H110</f>
        <v>43236</v>
      </c>
      <c r="I134" s="984">
        <f>NOMINA!I110</f>
        <v>6</v>
      </c>
      <c r="J134" s="985">
        <f>NOMINA!J110</f>
        <v>0</v>
      </c>
      <c r="K134" s="984">
        <f t="shared" si="9"/>
        <v>6</v>
      </c>
      <c r="L134" s="985" t="s">
        <v>4932</v>
      </c>
      <c r="M134" s="985"/>
      <c r="N134" s="1002" t="str">
        <f>NOMINA!O110</f>
        <v>Supervisor de Servicios Generales III</v>
      </c>
      <c r="O134" s="985">
        <v>1.02087691000006E+18</v>
      </c>
      <c r="P134" s="999">
        <f>NOMINA!W110</f>
        <v>110.5</v>
      </c>
      <c r="Q134" s="986">
        <f>NOMINA!AG110</f>
        <v>6.85</v>
      </c>
      <c r="R134" s="986">
        <f>NOMINA!AI110</f>
        <v>65</v>
      </c>
      <c r="S134" s="986">
        <f>NOMINA!AK110</f>
        <v>0</v>
      </c>
      <c r="T134" s="986">
        <f>ROUND(NOMINA!AO110,2)</f>
        <v>0</v>
      </c>
      <c r="U134" s="986">
        <f>ROUND(NOMINA!AQ110,2)</f>
        <v>0</v>
      </c>
      <c r="V134" s="986">
        <f>ROUND(NOMINA!AR110,2)</f>
        <v>0</v>
      </c>
      <c r="W134" s="986">
        <f>ROUND(NOMINA!AS110,2)</f>
        <v>0</v>
      </c>
      <c r="X134" s="986">
        <f>ROUND(NOMINA!AW110,2)</f>
        <v>0</v>
      </c>
      <c r="Y134" s="986">
        <f>ROUND(NOMINA!AX110,2)</f>
        <v>0</v>
      </c>
      <c r="Z134" s="986">
        <f>ROUND(NOMINA!BB110,2)+ROUND(NOMINA!BF110,2)</f>
        <v>0</v>
      </c>
      <c r="AA134" s="986">
        <f>ROUND(NOMINA!BK110,2)*0</f>
        <v>0</v>
      </c>
      <c r="AB134" s="986">
        <f>ROUND(NOMINA!BG110,2)</f>
        <v>300</v>
      </c>
      <c r="AC134" s="1000">
        <f t="shared" si="10"/>
        <v>482.35</v>
      </c>
      <c r="AE134" s="634"/>
    </row>
    <row r="135" spans="1:31" s="629" customFormat="1" ht="20.100000000000001" customHeight="1" thickBot="1">
      <c r="A135" s="770" t="s">
        <v>2846</v>
      </c>
      <c r="B135" s="510">
        <f t="shared" si="11"/>
        <v>69</v>
      </c>
      <c r="C135" s="980">
        <f>NOMINA!C111</f>
        <v>12042855</v>
      </c>
      <c r="D135" s="981" t="str">
        <f>NOMINA!D111</f>
        <v>Alburguez  Manzanilla Neira Josefina</v>
      </c>
      <c r="E135" s="978" t="s">
        <v>4622</v>
      </c>
      <c r="F135" s="982">
        <v>32351</v>
      </c>
      <c r="G135" s="978" t="s">
        <v>4620</v>
      </c>
      <c r="H135" s="1001">
        <f>NOMINA!H111</f>
        <v>44028</v>
      </c>
      <c r="I135" s="984">
        <f>NOMINA!I111</f>
        <v>4</v>
      </c>
      <c r="J135" s="985">
        <f>NOMINA!J111</f>
        <v>0</v>
      </c>
      <c r="K135" s="984">
        <f t="shared" si="9"/>
        <v>4</v>
      </c>
      <c r="L135" s="985" t="s">
        <v>4932</v>
      </c>
      <c r="M135" s="985"/>
      <c r="N135" s="1002" t="str">
        <f>NOMINA!O111</f>
        <v>Enfermera Jefe I</v>
      </c>
      <c r="O135" s="985">
        <v>1.02087691000006E+18</v>
      </c>
      <c r="P135" s="999">
        <f>NOMINA!W111</f>
        <v>109.5</v>
      </c>
      <c r="Q135" s="986">
        <f>NOMINA!AG111</f>
        <v>4.38</v>
      </c>
      <c r="R135" s="986">
        <f>NOMINA!AI111</f>
        <v>65</v>
      </c>
      <c r="S135" s="986">
        <f>NOMINA!AK111</f>
        <v>44.72</v>
      </c>
      <c r="T135" s="986">
        <f>ROUND(NOMINA!AO111,2)</f>
        <v>0</v>
      </c>
      <c r="U135" s="986">
        <f>ROUND(NOMINA!AQ111,2)</f>
        <v>0</v>
      </c>
      <c r="V135" s="986">
        <f>ROUND(NOMINA!AR111,2)</f>
        <v>0</v>
      </c>
      <c r="W135" s="986">
        <f>ROUND(NOMINA!AS111,2)</f>
        <v>0</v>
      </c>
      <c r="X135" s="986">
        <f>ROUND(NOMINA!AW111,2)</f>
        <v>0</v>
      </c>
      <c r="Y135" s="986">
        <f>ROUND(NOMINA!AX111,2)</f>
        <v>0</v>
      </c>
      <c r="Z135" s="986">
        <f>ROUND(NOMINA!BB111,2)+ROUND(NOMINA!BF111,2)</f>
        <v>0</v>
      </c>
      <c r="AA135" s="986">
        <f>ROUND(NOMINA!BK111,2)*0</f>
        <v>0</v>
      </c>
      <c r="AB135" s="986">
        <f>ROUND(NOMINA!BG111,2)</f>
        <v>300</v>
      </c>
      <c r="AC135" s="1000">
        <f t="shared" si="10"/>
        <v>523.6</v>
      </c>
      <c r="AE135" s="634"/>
    </row>
    <row r="136" spans="1:31" s="629" customFormat="1" ht="20.100000000000001" customHeight="1" thickBot="1">
      <c r="A136" s="770" t="s">
        <v>2846</v>
      </c>
      <c r="B136" s="510">
        <f t="shared" si="11"/>
        <v>70</v>
      </c>
      <c r="C136" s="980">
        <f>NOMINA!C112</f>
        <v>12045335</v>
      </c>
      <c r="D136" s="981" t="str">
        <f>NOMINA!D112</f>
        <v>Gonzalez De Briceño Yasmin Coromoto</v>
      </c>
      <c r="E136" s="978" t="s">
        <v>4622</v>
      </c>
      <c r="F136" s="982">
        <v>32351</v>
      </c>
      <c r="G136" s="978" t="s">
        <v>4620</v>
      </c>
      <c r="H136" s="1001">
        <f>NOMINA!H112</f>
        <v>45505</v>
      </c>
      <c r="I136" s="984">
        <f>NOMINA!I112</f>
        <v>0</v>
      </c>
      <c r="J136" s="985">
        <f>NOMINA!J112</f>
        <v>0</v>
      </c>
      <c r="K136" s="984">
        <f t="shared" si="9"/>
        <v>0</v>
      </c>
      <c r="L136" s="985" t="s">
        <v>4932</v>
      </c>
      <c r="M136" s="985"/>
      <c r="N136" s="1002" t="str">
        <f>NOMINA!O112</f>
        <v>Guia de Centro I</v>
      </c>
      <c r="O136" s="985">
        <v>1.02087691000006E+18</v>
      </c>
      <c r="P136" s="999">
        <f>NOMINA!W112</f>
        <v>123</v>
      </c>
      <c r="Q136" s="986">
        <f>NOMINA!AG112</f>
        <v>0</v>
      </c>
      <c r="R136" s="986">
        <f>NOMINA!AI112</f>
        <v>65</v>
      </c>
      <c r="S136" s="986">
        <f>NOMINA!AK112</f>
        <v>47</v>
      </c>
      <c r="T136" s="986">
        <f>ROUND(NOMINA!AO112,2)</f>
        <v>0</v>
      </c>
      <c r="U136" s="986">
        <f>ROUND(NOMINA!AQ112,2)</f>
        <v>0</v>
      </c>
      <c r="V136" s="986">
        <f>ROUND(NOMINA!AR112,2)</f>
        <v>0</v>
      </c>
      <c r="W136" s="986">
        <f>ROUND(NOMINA!AS112,2)</f>
        <v>0</v>
      </c>
      <c r="X136" s="986">
        <f>ROUND(NOMINA!AW112,2)</f>
        <v>141</v>
      </c>
      <c r="Y136" s="986">
        <f>ROUND(NOMINA!AX112,2)</f>
        <v>0</v>
      </c>
      <c r="Z136" s="986">
        <f>ROUND(NOMINA!BB112,2)+ROUND(NOMINA!BF112,2)</f>
        <v>91.65</v>
      </c>
      <c r="AA136" s="986">
        <f>ROUND(NOMINA!BK112,2)*0</f>
        <v>0</v>
      </c>
      <c r="AB136" s="986">
        <f>ROUND(NOMINA!BG112,2)</f>
        <v>300</v>
      </c>
      <c r="AC136" s="1000">
        <f t="shared" si="10"/>
        <v>767.65</v>
      </c>
      <c r="AE136" s="634"/>
    </row>
    <row r="137" spans="1:31" s="629" customFormat="1" ht="20.100000000000001" customHeight="1" thickBot="1">
      <c r="A137" s="770" t="s">
        <v>2846</v>
      </c>
      <c r="B137" s="510">
        <f t="shared" si="11"/>
        <v>71</v>
      </c>
      <c r="C137" s="980">
        <f>NOMINA!C113</f>
        <v>12045360</v>
      </c>
      <c r="D137" s="981" t="str">
        <f>NOMINA!D113</f>
        <v>Montilla Lamus Ana Cristina</v>
      </c>
      <c r="E137" s="978" t="s">
        <v>4622</v>
      </c>
      <c r="F137" s="982">
        <v>32351</v>
      </c>
      <c r="G137" s="978" t="s">
        <v>4620</v>
      </c>
      <c r="H137" s="1001">
        <f>NOMINA!H113</f>
        <v>39238</v>
      </c>
      <c r="I137" s="984">
        <f>NOMINA!I113</f>
        <v>17</v>
      </c>
      <c r="J137" s="985">
        <f>NOMINA!J113</f>
        <v>0</v>
      </c>
      <c r="K137" s="984">
        <f t="shared" si="9"/>
        <v>17</v>
      </c>
      <c r="L137" s="985" t="s">
        <v>4932</v>
      </c>
      <c r="M137" s="985"/>
      <c r="N137" s="1002" t="str">
        <f>NOMINA!O113</f>
        <v>Guia de Centro I</v>
      </c>
      <c r="O137" s="985">
        <v>1.02087691000006E+18</v>
      </c>
      <c r="P137" s="999">
        <f>NOMINA!W113</f>
        <v>88</v>
      </c>
      <c r="Q137" s="986">
        <f>NOMINA!AG113</f>
        <v>18.649999999999999</v>
      </c>
      <c r="R137" s="986">
        <f>NOMINA!AI113</f>
        <v>65</v>
      </c>
      <c r="S137" s="986">
        <f>NOMINA!AK113</f>
        <v>0</v>
      </c>
      <c r="T137" s="986">
        <f>ROUND(NOMINA!AO113,2)</f>
        <v>0</v>
      </c>
      <c r="U137" s="986">
        <f>ROUND(NOMINA!AQ113,2)</f>
        <v>0</v>
      </c>
      <c r="V137" s="986">
        <f>ROUND(NOMINA!AR113,2)</f>
        <v>0</v>
      </c>
      <c r="W137" s="986">
        <f>ROUND(NOMINA!AS113,2)</f>
        <v>0</v>
      </c>
      <c r="X137" s="986">
        <f>ROUND(NOMINA!AW113,2)</f>
        <v>0</v>
      </c>
      <c r="Y137" s="986">
        <f>ROUND(NOMINA!AX113,2)</f>
        <v>0</v>
      </c>
      <c r="Z137" s="986">
        <f>ROUND(NOMINA!BB113,2)+ROUND(NOMINA!BF113,2)</f>
        <v>0</v>
      </c>
      <c r="AA137" s="986">
        <f>ROUND(NOMINA!BK113,2)*0</f>
        <v>0</v>
      </c>
      <c r="AB137" s="986">
        <f>ROUND(NOMINA!BG113,2)</f>
        <v>300</v>
      </c>
      <c r="AC137" s="1000">
        <f t="shared" si="10"/>
        <v>471.65</v>
      </c>
      <c r="AE137" s="634"/>
    </row>
    <row r="138" spans="1:31" s="629" customFormat="1" ht="20.100000000000001" customHeight="1" thickBot="1">
      <c r="A138" s="770" t="s">
        <v>2846</v>
      </c>
      <c r="B138" s="510">
        <f t="shared" si="11"/>
        <v>72</v>
      </c>
      <c r="C138" s="980">
        <f>NOMINA!C114</f>
        <v>12045504</v>
      </c>
      <c r="D138" s="981" t="str">
        <f>NOMINA!D114</f>
        <v>Sanchez Olivar Denis Josefina</v>
      </c>
      <c r="E138" s="978" t="s">
        <v>4622</v>
      </c>
      <c r="F138" s="982">
        <v>32351</v>
      </c>
      <c r="G138" s="978" t="s">
        <v>4620</v>
      </c>
      <c r="H138" s="1001">
        <f>NOMINA!H114</f>
        <v>43862</v>
      </c>
      <c r="I138" s="984">
        <f>NOMINA!I114</f>
        <v>4</v>
      </c>
      <c r="J138" s="985">
        <f>NOMINA!J114</f>
        <v>0</v>
      </c>
      <c r="K138" s="984">
        <f t="shared" si="9"/>
        <v>4</v>
      </c>
      <c r="L138" s="985" t="s">
        <v>4932</v>
      </c>
      <c r="M138" s="985"/>
      <c r="N138" s="1002" t="str">
        <f>NOMINA!O114</f>
        <v>Asistente Administrativo II</v>
      </c>
      <c r="O138" s="985">
        <v>1.02087691000006E+18</v>
      </c>
      <c r="P138" s="999">
        <f>NOMINA!W114</f>
        <v>75</v>
      </c>
      <c r="Q138" s="986">
        <f>NOMINA!AG114</f>
        <v>3</v>
      </c>
      <c r="R138" s="986">
        <f>NOMINA!AI114</f>
        <v>65</v>
      </c>
      <c r="S138" s="986">
        <f>NOMINA!AK114</f>
        <v>0</v>
      </c>
      <c r="T138" s="986">
        <f>ROUND(NOMINA!AO114,2)</f>
        <v>25</v>
      </c>
      <c r="U138" s="986">
        <f>ROUND(NOMINA!AQ114,2)</f>
        <v>0</v>
      </c>
      <c r="V138" s="986">
        <f>ROUND(NOMINA!AR114,2)</f>
        <v>0</v>
      </c>
      <c r="W138" s="986">
        <f>ROUND(NOMINA!AS114,2)</f>
        <v>0</v>
      </c>
      <c r="X138" s="986">
        <f>ROUND(NOMINA!AW114,2)</f>
        <v>0</v>
      </c>
      <c r="Y138" s="986">
        <f>ROUND(NOMINA!AX114,2)</f>
        <v>0</v>
      </c>
      <c r="Z138" s="986">
        <f>ROUND(NOMINA!BB114,2)+ROUND(NOMINA!BF114,2)</f>
        <v>0</v>
      </c>
      <c r="AA138" s="986">
        <f>ROUND(NOMINA!BK114,2)*0</f>
        <v>0</v>
      </c>
      <c r="AB138" s="986">
        <f>ROUND(NOMINA!BG114,2)</f>
        <v>300</v>
      </c>
      <c r="AC138" s="1000">
        <f t="shared" si="10"/>
        <v>468</v>
      </c>
      <c r="AE138" s="634"/>
    </row>
    <row r="139" spans="1:31" s="629" customFormat="1" ht="20.100000000000001" customHeight="1" thickBot="1">
      <c r="A139" s="770" t="s">
        <v>2846</v>
      </c>
      <c r="B139" s="510">
        <f t="shared" si="11"/>
        <v>73</v>
      </c>
      <c r="C139" s="980">
        <f>NOMINA!C115</f>
        <v>12045934</v>
      </c>
      <c r="D139" s="981" t="str">
        <f>NOMINA!D115</f>
        <v>Mendez Olmos Tulio Enrique</v>
      </c>
      <c r="E139" s="978" t="s">
        <v>4622</v>
      </c>
      <c r="F139" s="982">
        <v>32351</v>
      </c>
      <c r="G139" s="978" t="s">
        <v>4620</v>
      </c>
      <c r="H139" s="1001">
        <f>NOMINA!H115</f>
        <v>36342</v>
      </c>
      <c r="I139" s="984">
        <f>NOMINA!I115</f>
        <v>25</v>
      </c>
      <c r="J139" s="985">
        <f>NOMINA!J115</f>
        <v>1</v>
      </c>
      <c r="K139" s="984">
        <f t="shared" si="9"/>
        <v>26</v>
      </c>
      <c r="L139" s="985" t="s">
        <v>4932</v>
      </c>
      <c r="M139" s="985"/>
      <c r="N139" s="1002" t="str">
        <f>NOMINA!O115</f>
        <v>Especialista en Informatica I</v>
      </c>
      <c r="O139" s="985">
        <v>1.02087691000006E+18</v>
      </c>
      <c r="P139" s="999">
        <f>NOMINA!W115</f>
        <v>143.5</v>
      </c>
      <c r="Q139" s="986">
        <f>NOMINA!AG115</f>
        <v>43.05</v>
      </c>
      <c r="R139" s="986">
        <f>NOMINA!AI115</f>
        <v>65</v>
      </c>
      <c r="S139" s="986">
        <f>NOMINA!AK115</f>
        <v>62.89</v>
      </c>
      <c r="T139" s="986">
        <f>ROUND(NOMINA!AO115,2)</f>
        <v>0</v>
      </c>
      <c r="U139" s="986">
        <f>ROUND(NOMINA!AQ115,2)</f>
        <v>0</v>
      </c>
      <c r="V139" s="986">
        <f>ROUND(NOMINA!AR115,2)</f>
        <v>0</v>
      </c>
      <c r="W139" s="986">
        <f>ROUND(NOMINA!AS115,2)</f>
        <v>0</v>
      </c>
      <c r="X139" s="986">
        <f>ROUND(NOMINA!AW115,2)</f>
        <v>0</v>
      </c>
      <c r="Y139" s="986">
        <f>ROUND(NOMINA!AX115,2)</f>
        <v>0</v>
      </c>
      <c r="Z139" s="986">
        <f>ROUND(NOMINA!BB115,2)+ROUND(NOMINA!BF115,2)</f>
        <v>0</v>
      </c>
      <c r="AA139" s="986">
        <f>ROUND(NOMINA!BK115,2)*0</f>
        <v>0</v>
      </c>
      <c r="AB139" s="986">
        <f>ROUND(NOMINA!BG115,2)</f>
        <v>300</v>
      </c>
      <c r="AC139" s="1000">
        <f t="shared" si="10"/>
        <v>614.44000000000005</v>
      </c>
      <c r="AE139" s="634"/>
    </row>
    <row r="140" spans="1:31" s="629" customFormat="1" ht="20.100000000000001" customHeight="1" thickBot="1">
      <c r="A140" s="770" t="s">
        <v>2846</v>
      </c>
      <c r="B140" s="510">
        <f t="shared" si="11"/>
        <v>74</v>
      </c>
      <c r="C140" s="980">
        <f>NOMINA!C116</f>
        <v>12457981</v>
      </c>
      <c r="D140" s="981" t="str">
        <f>NOMINA!D116</f>
        <v>Escalona Ruiz Luis Alberto</v>
      </c>
      <c r="E140" s="978" t="s">
        <v>4622</v>
      </c>
      <c r="F140" s="982">
        <v>32351</v>
      </c>
      <c r="G140" s="978" t="s">
        <v>4620</v>
      </c>
      <c r="H140" s="1001">
        <f>NOMINA!H116</f>
        <v>44348</v>
      </c>
      <c r="I140" s="984">
        <f>NOMINA!I116</f>
        <v>3</v>
      </c>
      <c r="J140" s="985">
        <f>NOMINA!J116</f>
        <v>4</v>
      </c>
      <c r="K140" s="984">
        <f t="shared" si="9"/>
        <v>7</v>
      </c>
      <c r="L140" s="985" t="s">
        <v>4932</v>
      </c>
      <c r="M140" s="985"/>
      <c r="N140" s="1002" t="str">
        <f>NOMINA!O116</f>
        <v>Medico Especialista II</v>
      </c>
      <c r="O140" s="985">
        <v>1.02087691000006E+18</v>
      </c>
      <c r="P140" s="999">
        <f>NOMINA!W116</f>
        <v>139.5</v>
      </c>
      <c r="Q140" s="986">
        <f>NOMINA!AG116</f>
        <v>10.32</v>
      </c>
      <c r="R140" s="986">
        <f>NOMINA!AI116</f>
        <v>65</v>
      </c>
      <c r="S140" s="986">
        <f>NOMINA!AK116</f>
        <v>0</v>
      </c>
      <c r="T140" s="986">
        <f>ROUND(NOMINA!AO116,2)</f>
        <v>0</v>
      </c>
      <c r="U140" s="986">
        <f>ROUND(NOMINA!AQ116,2)</f>
        <v>0</v>
      </c>
      <c r="V140" s="986">
        <f>ROUND(NOMINA!AR116,2)</f>
        <v>0</v>
      </c>
      <c r="W140" s="986">
        <f>ROUND(NOMINA!AS116,2)</f>
        <v>0</v>
      </c>
      <c r="X140" s="986">
        <f>ROUND(NOMINA!AW116,2)</f>
        <v>0</v>
      </c>
      <c r="Y140" s="986">
        <f>ROUND(NOMINA!AX116,2)</f>
        <v>0</v>
      </c>
      <c r="Z140" s="986">
        <f>ROUND(NOMINA!BB116,2)+ROUND(NOMINA!BF116,2)</f>
        <v>0</v>
      </c>
      <c r="AA140" s="986">
        <f>ROUND(NOMINA!BK116,2)*0</f>
        <v>0</v>
      </c>
      <c r="AB140" s="986">
        <f>ROUND(NOMINA!BG116,2)</f>
        <v>300</v>
      </c>
      <c r="AC140" s="1000">
        <f t="shared" si="10"/>
        <v>514.81999999999994</v>
      </c>
      <c r="AE140" s="634"/>
    </row>
    <row r="141" spans="1:31" s="629" customFormat="1" ht="20.100000000000001" customHeight="1" thickBot="1">
      <c r="A141" s="770" t="s">
        <v>2846</v>
      </c>
      <c r="B141" s="510">
        <f t="shared" si="11"/>
        <v>75</v>
      </c>
      <c r="C141" s="980">
        <f>NOMINA!C117</f>
        <v>12458811</v>
      </c>
      <c r="D141" s="981" t="str">
        <f>NOMINA!D117</f>
        <v>Segovia Rondon Milagros Del Valle</v>
      </c>
      <c r="E141" s="978" t="s">
        <v>4622</v>
      </c>
      <c r="F141" s="982">
        <v>32351</v>
      </c>
      <c r="G141" s="978" t="s">
        <v>4620</v>
      </c>
      <c r="H141" s="1001">
        <f>NOMINA!H117</f>
        <v>39514</v>
      </c>
      <c r="I141" s="984">
        <f>NOMINA!I117</f>
        <v>16</v>
      </c>
      <c r="J141" s="985">
        <f>NOMINA!J117</f>
        <v>7</v>
      </c>
      <c r="K141" s="984">
        <f t="shared" si="9"/>
        <v>23</v>
      </c>
      <c r="L141" s="985" t="s">
        <v>4932</v>
      </c>
      <c r="M141" s="985"/>
      <c r="N141" s="1002" t="str">
        <f>NOMINA!O117</f>
        <v>Analista de Presupuesto Jefe</v>
      </c>
      <c r="O141" s="985">
        <v>1.02087691000006E+18</v>
      </c>
      <c r="P141" s="999">
        <f>NOMINA!W117</f>
        <v>158</v>
      </c>
      <c r="Q141" s="986">
        <f>NOMINA!AG117</f>
        <v>47.4</v>
      </c>
      <c r="R141" s="986">
        <f>NOMINA!AI117</f>
        <v>65</v>
      </c>
      <c r="S141" s="986">
        <f>NOMINA!AK117</f>
        <v>82.99</v>
      </c>
      <c r="T141" s="986">
        <f>ROUND(NOMINA!AO117,2)</f>
        <v>12.5</v>
      </c>
      <c r="U141" s="986">
        <f>ROUND(NOMINA!AQ117,2)</f>
        <v>0</v>
      </c>
      <c r="V141" s="986">
        <f>ROUND(NOMINA!AR117,2)</f>
        <v>0</v>
      </c>
      <c r="W141" s="986">
        <f>ROUND(NOMINA!AS117,2)</f>
        <v>0</v>
      </c>
      <c r="X141" s="986">
        <f>ROUND(NOMINA!AW117,2)</f>
        <v>0</v>
      </c>
      <c r="Y141" s="986">
        <f>ROUND(NOMINA!AX117,2)</f>
        <v>0</v>
      </c>
      <c r="Z141" s="986">
        <f>ROUND(NOMINA!BB117,2)+ROUND(NOMINA!BF117,2)</f>
        <v>0</v>
      </c>
      <c r="AA141" s="986">
        <f>ROUND(NOMINA!BK117,2)*0</f>
        <v>0</v>
      </c>
      <c r="AB141" s="986">
        <f>ROUND(NOMINA!BG117,2)</f>
        <v>300</v>
      </c>
      <c r="AC141" s="1000">
        <f t="shared" si="10"/>
        <v>665.89</v>
      </c>
      <c r="AE141" s="634"/>
    </row>
    <row r="142" spans="1:31" s="629" customFormat="1" ht="20.100000000000001" customHeight="1" thickBot="1">
      <c r="A142" s="770" t="s">
        <v>2846</v>
      </c>
      <c r="B142" s="510">
        <f t="shared" si="11"/>
        <v>76</v>
      </c>
      <c r="C142" s="980">
        <f>NOMINA!C118</f>
        <v>12458942</v>
      </c>
      <c r="D142" s="981" t="str">
        <f>NOMINA!D118</f>
        <v>Mendoza Mendoza Mirian Del Milagro</v>
      </c>
      <c r="E142" s="978" t="s">
        <v>4622</v>
      </c>
      <c r="F142" s="982">
        <v>32351</v>
      </c>
      <c r="G142" s="978" t="s">
        <v>4620</v>
      </c>
      <c r="H142" s="1001">
        <f>NOMINA!H118</f>
        <v>44424</v>
      </c>
      <c r="I142" s="984">
        <f>NOMINA!I118</f>
        <v>3</v>
      </c>
      <c r="J142" s="985">
        <f>NOMINA!J118</f>
        <v>19</v>
      </c>
      <c r="K142" s="984">
        <f t="shared" si="9"/>
        <v>22</v>
      </c>
      <c r="L142" s="985" t="s">
        <v>4932</v>
      </c>
      <c r="M142" s="985"/>
      <c r="N142" s="1002" t="str">
        <f>NOMINA!O118</f>
        <v>Administrador Jefe</v>
      </c>
      <c r="O142" s="985">
        <v>1.02087691000006E+18</v>
      </c>
      <c r="P142" s="999">
        <f>NOMINA!W118</f>
        <v>0</v>
      </c>
      <c r="Q142" s="986">
        <f>NOMINA!AG118</f>
        <v>0</v>
      </c>
      <c r="R142" s="986">
        <f>NOMINA!AI118</f>
        <v>0</v>
      </c>
      <c r="S142" s="986">
        <f>NOMINA!AK118</f>
        <v>0</v>
      </c>
      <c r="T142" s="986">
        <f>ROUND(NOMINA!AO118,2)</f>
        <v>0</v>
      </c>
      <c r="U142" s="986">
        <f>ROUND(NOMINA!AQ118,2)</f>
        <v>0</v>
      </c>
      <c r="V142" s="986">
        <f>ROUND(NOMINA!AR118,2)</f>
        <v>0</v>
      </c>
      <c r="W142" s="986">
        <f>ROUND(NOMINA!AS118,2)</f>
        <v>0</v>
      </c>
      <c r="X142" s="986">
        <f>ROUND(NOMINA!AW118,2)</f>
        <v>0</v>
      </c>
      <c r="Y142" s="986">
        <f>ROUND(NOMINA!AX118,2)</f>
        <v>0</v>
      </c>
      <c r="Z142" s="986">
        <f>ROUND(NOMINA!BB118,2)+ROUND(NOMINA!BF118,2)</f>
        <v>0</v>
      </c>
      <c r="AA142" s="986">
        <f>ROUND(NOMINA!BK118,2)*0</f>
        <v>0</v>
      </c>
      <c r="AB142" s="986">
        <f>ROUND(NOMINA!BG118,2)</f>
        <v>0</v>
      </c>
      <c r="AC142" s="1000">
        <f t="shared" si="10"/>
        <v>0</v>
      </c>
      <c r="AE142" s="634"/>
    </row>
    <row r="143" spans="1:31" s="629" customFormat="1" ht="20.100000000000001" customHeight="1" thickBot="1">
      <c r="A143" s="770" t="s">
        <v>2846</v>
      </c>
      <c r="B143" s="510">
        <f t="shared" si="11"/>
        <v>77</v>
      </c>
      <c r="C143" s="980">
        <f>NOMINA!C119</f>
        <v>12541044</v>
      </c>
      <c r="D143" s="981" t="str">
        <f>NOMINA!D119</f>
        <v>Rojas Telles Lisbeth Josefina</v>
      </c>
      <c r="E143" s="978" t="s">
        <v>4622</v>
      </c>
      <c r="F143" s="982">
        <v>32351</v>
      </c>
      <c r="G143" s="978" t="s">
        <v>4620</v>
      </c>
      <c r="H143" s="1001">
        <f>NOMINA!H119</f>
        <v>45597</v>
      </c>
      <c r="I143" s="984">
        <f>NOMINA!I119</f>
        <v>0</v>
      </c>
      <c r="J143" s="985">
        <f>NOMINA!J119</f>
        <v>0</v>
      </c>
      <c r="K143" s="984">
        <f t="shared" si="9"/>
        <v>0</v>
      </c>
      <c r="L143" s="985" t="s">
        <v>4932</v>
      </c>
      <c r="M143" s="985"/>
      <c r="N143" s="1002" t="str">
        <f>NOMINA!O119</f>
        <v>Tutor Facilitador I</v>
      </c>
      <c r="O143" s="985">
        <v>1.02087691000006E+18</v>
      </c>
      <c r="P143" s="999">
        <f>NOMINA!W119</f>
        <v>123</v>
      </c>
      <c r="Q143" s="986">
        <f>NOMINA!AG119</f>
        <v>0</v>
      </c>
      <c r="R143" s="986">
        <f>NOMINA!AI119</f>
        <v>65</v>
      </c>
      <c r="S143" s="986">
        <f>NOMINA!AK119</f>
        <v>48.56</v>
      </c>
      <c r="T143" s="986">
        <f>ROUND(NOMINA!AO119,2)</f>
        <v>12.5</v>
      </c>
      <c r="U143" s="986">
        <f>ROUND(NOMINA!AQ119,2)</f>
        <v>0</v>
      </c>
      <c r="V143" s="986">
        <f>ROUND(NOMINA!AR119,2)</f>
        <v>0</v>
      </c>
      <c r="W143" s="986">
        <f>ROUND(NOMINA!AS119,2)</f>
        <v>0</v>
      </c>
      <c r="X143" s="986">
        <f>ROUND(NOMINA!AW119,2)</f>
        <v>0</v>
      </c>
      <c r="Y143" s="986">
        <f>ROUND(NOMINA!AX119,2)</f>
        <v>0</v>
      </c>
      <c r="Z143" s="986">
        <f>ROUND(NOMINA!BB119,2)+ROUND(NOMINA!BF119,2)</f>
        <v>0</v>
      </c>
      <c r="AA143" s="986">
        <f>ROUND(NOMINA!BK119,2)*0</f>
        <v>0</v>
      </c>
      <c r="AB143" s="986">
        <f>ROUND(NOMINA!BG119,2)</f>
        <v>300</v>
      </c>
      <c r="AC143" s="1000">
        <f t="shared" si="10"/>
        <v>549.05999999999995</v>
      </c>
      <c r="AE143" s="634"/>
    </row>
    <row r="144" spans="1:31" s="629" customFormat="1" ht="20.100000000000001" customHeight="1" thickBot="1">
      <c r="A144" s="770" t="s">
        <v>2846</v>
      </c>
      <c r="B144" s="510">
        <f t="shared" si="11"/>
        <v>78</v>
      </c>
      <c r="C144" s="980">
        <f>NOMINA!C120</f>
        <v>12542413</v>
      </c>
      <c r="D144" s="981" t="str">
        <f>NOMINA!D120</f>
        <v>Aponte Matheus Richard Alexander</v>
      </c>
      <c r="E144" s="978" t="s">
        <v>4622</v>
      </c>
      <c r="F144" s="982">
        <v>32351</v>
      </c>
      <c r="G144" s="978" t="s">
        <v>4620</v>
      </c>
      <c r="H144" s="1001">
        <f>NOMINA!H120</f>
        <v>36434</v>
      </c>
      <c r="I144" s="984">
        <f>NOMINA!I120</f>
        <v>25</v>
      </c>
      <c r="J144" s="985">
        <f>NOMINA!J120</f>
        <v>0</v>
      </c>
      <c r="K144" s="984">
        <f t="shared" si="9"/>
        <v>25</v>
      </c>
      <c r="L144" s="985" t="s">
        <v>4932</v>
      </c>
      <c r="M144" s="985"/>
      <c r="N144" s="1002" t="str">
        <f>NOMINA!O120</f>
        <v>Guia de Centro II</v>
      </c>
      <c r="O144" s="985">
        <v>1.02087691000006E+18</v>
      </c>
      <c r="P144" s="999">
        <f>NOMINA!W120</f>
        <v>0</v>
      </c>
      <c r="Q144" s="986">
        <f>NOMINA!AG120</f>
        <v>0</v>
      </c>
      <c r="R144" s="986">
        <f>NOMINA!AI120</f>
        <v>0</v>
      </c>
      <c r="S144" s="986">
        <f>NOMINA!AK120</f>
        <v>0</v>
      </c>
      <c r="T144" s="986">
        <f>ROUND(NOMINA!AO120,2)</f>
        <v>0</v>
      </c>
      <c r="U144" s="986">
        <f>ROUND(NOMINA!AQ120,2)</f>
        <v>0</v>
      </c>
      <c r="V144" s="986">
        <f>ROUND(NOMINA!AR120,2)</f>
        <v>0</v>
      </c>
      <c r="W144" s="986">
        <f>ROUND(NOMINA!AS120,2)</f>
        <v>0</v>
      </c>
      <c r="X144" s="986">
        <f>ROUND(NOMINA!AW120,2)</f>
        <v>0</v>
      </c>
      <c r="Y144" s="986">
        <f>ROUND(NOMINA!AX120,2)</f>
        <v>0</v>
      </c>
      <c r="Z144" s="986">
        <f>ROUND(NOMINA!BB120,2)+ROUND(NOMINA!BF120,2)</f>
        <v>0</v>
      </c>
      <c r="AA144" s="986">
        <f>ROUND(NOMINA!BK120,2)*0</f>
        <v>0</v>
      </c>
      <c r="AB144" s="986">
        <f>ROUND(NOMINA!BG120,2)</f>
        <v>0</v>
      </c>
      <c r="AC144" s="1000">
        <f t="shared" si="10"/>
        <v>0</v>
      </c>
      <c r="AE144" s="634"/>
    </row>
    <row r="145" spans="1:31" s="629" customFormat="1" ht="20.100000000000001" customHeight="1" thickBot="1">
      <c r="A145" s="770" t="s">
        <v>2846</v>
      </c>
      <c r="B145" s="510">
        <f t="shared" si="11"/>
        <v>79</v>
      </c>
      <c r="C145" s="980">
        <f>NOMINA!C121</f>
        <v>12798604</v>
      </c>
      <c r="D145" s="981" t="str">
        <f>NOMINA!D121</f>
        <v>Camacho Gomez Trina Margarita</v>
      </c>
      <c r="E145" s="978" t="s">
        <v>4622</v>
      </c>
      <c r="F145" s="982">
        <v>32351</v>
      </c>
      <c r="G145" s="978" t="s">
        <v>4620</v>
      </c>
      <c r="H145" s="1001">
        <f>NOMINA!H121</f>
        <v>35384</v>
      </c>
      <c r="I145" s="984">
        <f>NOMINA!I121</f>
        <v>28</v>
      </c>
      <c r="J145" s="985">
        <f>NOMINA!J121</f>
        <v>0</v>
      </c>
      <c r="K145" s="984">
        <f t="shared" si="9"/>
        <v>28</v>
      </c>
      <c r="L145" s="985" t="s">
        <v>4932</v>
      </c>
      <c r="M145" s="985"/>
      <c r="N145" s="1002" t="str">
        <f>NOMINA!O121</f>
        <v>Guia de Centro II</v>
      </c>
      <c r="O145" s="985">
        <v>1.02087691000006E+18</v>
      </c>
      <c r="P145" s="999">
        <f>NOMINA!W121</f>
        <v>88.5</v>
      </c>
      <c r="Q145" s="986">
        <f>NOMINA!AG121</f>
        <v>26.55</v>
      </c>
      <c r="R145" s="986">
        <f>NOMINA!AI121</f>
        <v>65</v>
      </c>
      <c r="S145" s="986">
        <f>NOMINA!AK121</f>
        <v>0</v>
      </c>
      <c r="T145" s="986">
        <f>ROUND(NOMINA!AO121,2)</f>
        <v>12.5</v>
      </c>
      <c r="U145" s="986">
        <f>ROUND(NOMINA!AQ121,2)</f>
        <v>0</v>
      </c>
      <c r="V145" s="986">
        <f>ROUND(NOMINA!AR121,2)</f>
        <v>0</v>
      </c>
      <c r="W145" s="986">
        <f>ROUND(NOMINA!AS121,2)</f>
        <v>0</v>
      </c>
      <c r="X145" s="986">
        <f>ROUND(NOMINA!AW121,2)</f>
        <v>0</v>
      </c>
      <c r="Y145" s="986">
        <f>ROUND(NOMINA!AX121,2)</f>
        <v>0</v>
      </c>
      <c r="Z145" s="986">
        <f>ROUND(NOMINA!BB121,2)+ROUND(NOMINA!BF121,2)</f>
        <v>0</v>
      </c>
      <c r="AA145" s="986">
        <f>ROUND(NOMINA!BK121,2)*0</f>
        <v>0</v>
      </c>
      <c r="AB145" s="986">
        <f>ROUND(NOMINA!BG121,2)</f>
        <v>300</v>
      </c>
      <c r="AC145" s="1000">
        <f t="shared" si="10"/>
        <v>492.55</v>
      </c>
      <c r="AE145" s="634"/>
    </row>
    <row r="146" spans="1:31" s="629" customFormat="1" ht="20.100000000000001" customHeight="1" thickBot="1">
      <c r="A146" s="770" t="s">
        <v>2846</v>
      </c>
      <c r="B146" s="510">
        <f t="shared" si="11"/>
        <v>80</v>
      </c>
      <c r="C146" s="980">
        <f>NOMINA!C122</f>
        <v>12798736</v>
      </c>
      <c r="D146" s="981" t="str">
        <f>NOMINA!D122</f>
        <v>Gonzalez Pabon Marianela</v>
      </c>
      <c r="E146" s="978" t="s">
        <v>4622</v>
      </c>
      <c r="F146" s="982">
        <v>32351</v>
      </c>
      <c r="G146" s="978" t="s">
        <v>4620</v>
      </c>
      <c r="H146" s="1001">
        <f>NOMINA!H122</f>
        <v>39479</v>
      </c>
      <c r="I146" s="984">
        <f>NOMINA!I122</f>
        <v>16</v>
      </c>
      <c r="J146" s="985">
        <f>NOMINA!J122</f>
        <v>7</v>
      </c>
      <c r="K146" s="984">
        <f t="shared" si="9"/>
        <v>23</v>
      </c>
      <c r="L146" s="985" t="s">
        <v>4932</v>
      </c>
      <c r="M146" s="985"/>
      <c r="N146" s="1002" t="str">
        <f>NOMINA!O122</f>
        <v>Analista de Personal VI</v>
      </c>
      <c r="O146" s="985">
        <v>1.02087691000006E+18</v>
      </c>
      <c r="P146" s="999">
        <f>NOMINA!W122</f>
        <v>158</v>
      </c>
      <c r="Q146" s="986">
        <f>NOMINA!AG122</f>
        <v>47.4</v>
      </c>
      <c r="R146" s="986">
        <f>NOMINA!AI122</f>
        <v>65</v>
      </c>
      <c r="S146" s="986">
        <f>NOMINA!AK122</f>
        <v>69.16</v>
      </c>
      <c r="T146" s="986">
        <f>ROUND(NOMINA!AO122,2)</f>
        <v>0</v>
      </c>
      <c r="U146" s="986">
        <f>ROUND(NOMINA!AQ122,2)</f>
        <v>0</v>
      </c>
      <c r="V146" s="986">
        <f>ROUND(NOMINA!AR122,2)</f>
        <v>0</v>
      </c>
      <c r="W146" s="986">
        <f>ROUND(NOMINA!AS122,2)</f>
        <v>0</v>
      </c>
      <c r="X146" s="986">
        <f>ROUND(NOMINA!AW122,2)</f>
        <v>0</v>
      </c>
      <c r="Y146" s="986">
        <f>ROUND(NOMINA!AX122,2)</f>
        <v>0</v>
      </c>
      <c r="Z146" s="986">
        <f>ROUND(NOMINA!BB122,2)+ROUND(NOMINA!BF122,2)</f>
        <v>0</v>
      </c>
      <c r="AA146" s="986">
        <f>ROUND(NOMINA!BK122,2)*0</f>
        <v>0</v>
      </c>
      <c r="AB146" s="986">
        <f>ROUND(NOMINA!BG122,2)</f>
        <v>300</v>
      </c>
      <c r="AC146" s="1000">
        <f t="shared" si="10"/>
        <v>639.55999999999995</v>
      </c>
      <c r="AE146" s="634"/>
    </row>
    <row r="147" spans="1:31" s="629" customFormat="1" ht="20.100000000000001" customHeight="1" thickBot="1">
      <c r="A147" s="770" t="s">
        <v>2846</v>
      </c>
      <c r="B147" s="510">
        <f t="shared" si="11"/>
        <v>81</v>
      </c>
      <c r="C147" s="980">
        <f>NOMINA!C123</f>
        <v>12939010</v>
      </c>
      <c r="D147" s="981" t="str">
        <f>NOMINA!D123</f>
        <v>Mendez de Viloria Yelitza Del Valle</v>
      </c>
      <c r="E147" s="978" t="s">
        <v>4622</v>
      </c>
      <c r="F147" s="982">
        <v>32351</v>
      </c>
      <c r="G147" s="978" t="s">
        <v>4620</v>
      </c>
      <c r="H147" s="1001">
        <f>NOMINA!H123</f>
        <v>42948</v>
      </c>
      <c r="I147" s="984">
        <f>NOMINA!I123</f>
        <v>7</v>
      </c>
      <c r="J147" s="985">
        <f>NOMINA!J123</f>
        <v>0</v>
      </c>
      <c r="K147" s="984">
        <f t="shared" si="9"/>
        <v>7</v>
      </c>
      <c r="L147" s="985" t="s">
        <v>4932</v>
      </c>
      <c r="M147" s="985"/>
      <c r="N147" s="1002" t="str">
        <f>NOMINA!O123</f>
        <v>Asistente Administrativo III</v>
      </c>
      <c r="O147" s="985">
        <v>1.02087691000006E+18</v>
      </c>
      <c r="P147" s="999">
        <f>NOMINA!W123</f>
        <v>110.5</v>
      </c>
      <c r="Q147" s="986">
        <f>NOMINA!AG123</f>
        <v>8.17</v>
      </c>
      <c r="R147" s="986">
        <f>NOMINA!AI123</f>
        <v>65</v>
      </c>
      <c r="S147" s="986">
        <f>NOMINA!AK123</f>
        <v>45.92</v>
      </c>
      <c r="T147" s="986">
        <f>ROUND(NOMINA!AO123,2)</f>
        <v>0</v>
      </c>
      <c r="U147" s="986">
        <f>ROUND(NOMINA!AQ123,2)</f>
        <v>0</v>
      </c>
      <c r="V147" s="986">
        <f>ROUND(NOMINA!AR123,2)</f>
        <v>0</v>
      </c>
      <c r="W147" s="986">
        <f>ROUND(NOMINA!AS123,2)</f>
        <v>0</v>
      </c>
      <c r="X147" s="986">
        <f>ROUND(NOMINA!AW123,2)</f>
        <v>0</v>
      </c>
      <c r="Y147" s="986">
        <f>ROUND(NOMINA!AX123,2)</f>
        <v>0</v>
      </c>
      <c r="Z147" s="986">
        <f>ROUND(NOMINA!BB123,2)+ROUND(NOMINA!BF123,2)</f>
        <v>0</v>
      </c>
      <c r="AA147" s="986">
        <f>ROUND(NOMINA!BK123,2)*0</f>
        <v>0</v>
      </c>
      <c r="AB147" s="986">
        <f>ROUND(NOMINA!BG123,2)</f>
        <v>300</v>
      </c>
      <c r="AC147" s="1000">
        <f t="shared" si="10"/>
        <v>529.59</v>
      </c>
      <c r="AE147" s="634"/>
    </row>
    <row r="148" spans="1:31" s="629" customFormat="1" ht="20.100000000000001" customHeight="1" thickBot="1">
      <c r="A148" s="770" t="s">
        <v>2846</v>
      </c>
      <c r="B148" s="510">
        <f t="shared" si="11"/>
        <v>82</v>
      </c>
      <c r="C148" s="980">
        <f>NOMINA!C124</f>
        <v>12941385</v>
      </c>
      <c r="D148" s="981" t="str">
        <f>NOMINA!D124</f>
        <v>Torres de Gonzalez Milangela Maria</v>
      </c>
      <c r="E148" s="978" t="s">
        <v>4622</v>
      </c>
      <c r="F148" s="982">
        <v>32351</v>
      </c>
      <c r="G148" s="978" t="s">
        <v>4620</v>
      </c>
      <c r="H148" s="1001">
        <f>NOMINA!H124</f>
        <v>42948</v>
      </c>
      <c r="I148" s="984">
        <f>NOMINA!I124</f>
        <v>7</v>
      </c>
      <c r="J148" s="985">
        <f>NOMINA!J124</f>
        <v>0</v>
      </c>
      <c r="K148" s="984">
        <f t="shared" si="9"/>
        <v>7</v>
      </c>
      <c r="L148" s="985" t="s">
        <v>4932</v>
      </c>
      <c r="M148" s="985"/>
      <c r="N148" s="1002" t="str">
        <f>NOMINA!O124</f>
        <v>Tutor Facilitador III</v>
      </c>
      <c r="O148" s="985">
        <v>1.02087691000006E+18</v>
      </c>
      <c r="P148" s="999">
        <f>NOMINA!W124</f>
        <v>139.5</v>
      </c>
      <c r="Q148" s="986">
        <f>NOMINA!AG124</f>
        <v>10.32</v>
      </c>
      <c r="R148" s="986">
        <f>NOMINA!AI124</f>
        <v>65</v>
      </c>
      <c r="S148" s="986">
        <f>NOMINA!AK124</f>
        <v>53.7</v>
      </c>
      <c r="T148" s="986">
        <f>ROUND(NOMINA!AO124,2)</f>
        <v>0</v>
      </c>
      <c r="U148" s="986">
        <f>ROUND(NOMINA!AQ124,2)</f>
        <v>0</v>
      </c>
      <c r="V148" s="986">
        <f>ROUND(NOMINA!AR124,2)</f>
        <v>0</v>
      </c>
      <c r="W148" s="986">
        <f>ROUND(NOMINA!AS124,2)</f>
        <v>0</v>
      </c>
      <c r="X148" s="986">
        <f>ROUND(NOMINA!AW124,2)</f>
        <v>0</v>
      </c>
      <c r="Y148" s="986">
        <f>ROUND(NOMINA!AX124,2)</f>
        <v>0</v>
      </c>
      <c r="Z148" s="986">
        <f>ROUND(NOMINA!BB124,2)+ROUND(NOMINA!BF124,2)</f>
        <v>0</v>
      </c>
      <c r="AA148" s="986">
        <f>ROUND(NOMINA!BK124,2)*0</f>
        <v>0</v>
      </c>
      <c r="AB148" s="986">
        <f>ROUND(NOMINA!BG124,2)</f>
        <v>300</v>
      </c>
      <c r="AC148" s="1000">
        <f t="shared" si="10"/>
        <v>568.52</v>
      </c>
      <c r="AE148" s="634"/>
    </row>
    <row r="149" spans="1:31" s="629" customFormat="1" ht="20.100000000000001" customHeight="1" thickBot="1">
      <c r="A149" s="770" t="s">
        <v>2846</v>
      </c>
      <c r="B149" s="510">
        <f t="shared" si="11"/>
        <v>83</v>
      </c>
      <c r="C149" s="980">
        <f>NOMINA!C125</f>
        <v>13117904</v>
      </c>
      <c r="D149" s="981" t="str">
        <f>NOMINA!D125</f>
        <v>Villegas Jaime Antonio</v>
      </c>
      <c r="E149" s="978" t="s">
        <v>4622</v>
      </c>
      <c r="F149" s="982">
        <v>32351</v>
      </c>
      <c r="G149" s="978" t="s">
        <v>4620</v>
      </c>
      <c r="H149" s="1001">
        <f>NOMINA!H125</f>
        <v>43693</v>
      </c>
      <c r="I149" s="984">
        <f>NOMINA!I125</f>
        <v>5</v>
      </c>
      <c r="J149" s="985">
        <f>NOMINA!J125</f>
        <v>0</v>
      </c>
      <c r="K149" s="984">
        <f t="shared" si="9"/>
        <v>5</v>
      </c>
      <c r="L149" s="985" t="s">
        <v>4932</v>
      </c>
      <c r="M149" s="985"/>
      <c r="N149" s="1002" t="str">
        <f>NOMINA!O125</f>
        <v>Guia de Centro I</v>
      </c>
      <c r="O149" s="985">
        <v>1.02087691000006E+18</v>
      </c>
      <c r="P149" s="999">
        <f>NOMINA!W125</f>
        <v>75</v>
      </c>
      <c r="Q149" s="986">
        <f>NOMINA!AG125</f>
        <v>3.75</v>
      </c>
      <c r="R149" s="986">
        <f>NOMINA!AI125</f>
        <v>65</v>
      </c>
      <c r="S149" s="986">
        <f>NOMINA!AK125</f>
        <v>0</v>
      </c>
      <c r="T149" s="986">
        <f>ROUND(NOMINA!AO125,2)</f>
        <v>12.5</v>
      </c>
      <c r="U149" s="986">
        <f>ROUND(NOMINA!AQ125,2)</f>
        <v>0</v>
      </c>
      <c r="V149" s="986">
        <f>ROUND(NOMINA!AR125,2)</f>
        <v>0</v>
      </c>
      <c r="W149" s="986">
        <f>ROUND(NOMINA!AS125,2)</f>
        <v>0</v>
      </c>
      <c r="X149" s="986">
        <f>ROUND(NOMINA!AW125,2)</f>
        <v>90</v>
      </c>
      <c r="Y149" s="986">
        <f>ROUND(NOMINA!AX125,2)</f>
        <v>0</v>
      </c>
      <c r="Z149" s="986">
        <f>ROUND(NOMINA!BB125,2)+ROUND(NOMINA!BF125,2)</f>
        <v>0</v>
      </c>
      <c r="AA149" s="986">
        <f>ROUND(NOMINA!BK125,2)*0</f>
        <v>0</v>
      </c>
      <c r="AB149" s="986">
        <f>ROUND(NOMINA!BG125,2)</f>
        <v>300</v>
      </c>
      <c r="AC149" s="1000">
        <f t="shared" si="10"/>
        <v>546.25</v>
      </c>
      <c r="AE149" s="634"/>
    </row>
    <row r="150" spans="1:31" s="629" customFormat="1" ht="20.100000000000001" customHeight="1" thickBot="1">
      <c r="A150" s="770" t="s">
        <v>2846</v>
      </c>
      <c r="B150" s="510">
        <f t="shared" si="11"/>
        <v>84</v>
      </c>
      <c r="C150" s="980">
        <f>NOMINA!C126</f>
        <v>13206767</v>
      </c>
      <c r="D150" s="981" t="str">
        <f>NOMINA!D126</f>
        <v>Bastidas Guerra Soralis del Valle</v>
      </c>
      <c r="E150" s="978" t="s">
        <v>4622</v>
      </c>
      <c r="F150" s="982">
        <v>32351</v>
      </c>
      <c r="G150" s="978" t="s">
        <v>4620</v>
      </c>
      <c r="H150" s="1001">
        <f>NOMINA!H126</f>
        <v>44713</v>
      </c>
      <c r="I150" s="984">
        <f>NOMINA!I126</f>
        <v>2</v>
      </c>
      <c r="J150" s="985">
        <f>NOMINA!J126</f>
        <v>0</v>
      </c>
      <c r="K150" s="984">
        <f t="shared" si="9"/>
        <v>2</v>
      </c>
      <c r="L150" s="985" t="s">
        <v>4932</v>
      </c>
      <c r="M150" s="985"/>
      <c r="N150" s="1002" t="str">
        <f>NOMINA!O126</f>
        <v>Abogado I</v>
      </c>
      <c r="O150" s="985">
        <v>1.02087691000006E+18</v>
      </c>
      <c r="P150" s="999">
        <f>NOMINA!W126</f>
        <v>0</v>
      </c>
      <c r="Q150" s="986">
        <f>NOMINA!AG126</f>
        <v>0</v>
      </c>
      <c r="R150" s="986">
        <f>NOMINA!AI126</f>
        <v>0</v>
      </c>
      <c r="S150" s="986">
        <f>NOMINA!AK126</f>
        <v>0</v>
      </c>
      <c r="T150" s="986">
        <f>ROUND(NOMINA!AO126,2)</f>
        <v>0</v>
      </c>
      <c r="U150" s="986">
        <f>ROUND(NOMINA!AQ126,2)</f>
        <v>0</v>
      </c>
      <c r="V150" s="986">
        <f>ROUND(NOMINA!AR126,2)</f>
        <v>0</v>
      </c>
      <c r="W150" s="986">
        <f>ROUND(NOMINA!AS126,2)</f>
        <v>0</v>
      </c>
      <c r="X150" s="986">
        <f>ROUND(NOMINA!AW126,2)</f>
        <v>0</v>
      </c>
      <c r="Y150" s="986">
        <f>ROUND(NOMINA!AX126,2)</f>
        <v>0</v>
      </c>
      <c r="Z150" s="986">
        <f>ROUND(NOMINA!BB126,2)+ROUND(NOMINA!BF126,2)</f>
        <v>0</v>
      </c>
      <c r="AA150" s="986">
        <f>ROUND(NOMINA!BK126,2)*0</f>
        <v>0</v>
      </c>
      <c r="AB150" s="986">
        <f>ROUND(NOMINA!BG126,2)</f>
        <v>0</v>
      </c>
      <c r="AC150" s="1000">
        <f t="shared" si="10"/>
        <v>0</v>
      </c>
      <c r="AE150" s="634"/>
    </row>
    <row r="151" spans="1:31" s="629" customFormat="1" ht="20.100000000000001" customHeight="1" thickBot="1">
      <c r="A151" s="770" t="s">
        <v>2846</v>
      </c>
      <c r="B151" s="510">
        <f t="shared" si="11"/>
        <v>85</v>
      </c>
      <c r="C151" s="980">
        <f>NOMINA!C127</f>
        <v>13207692</v>
      </c>
      <c r="D151" s="981" t="str">
        <f>NOMINA!D127</f>
        <v>Macias Briceño Alejandra Coromoto</v>
      </c>
      <c r="E151" s="978" t="s">
        <v>4622</v>
      </c>
      <c r="F151" s="982">
        <v>32351</v>
      </c>
      <c r="G151" s="978" t="s">
        <v>4620</v>
      </c>
      <c r="H151" s="1001">
        <f>NOMINA!H127</f>
        <v>38504</v>
      </c>
      <c r="I151" s="984">
        <f>NOMINA!I127</f>
        <v>19</v>
      </c>
      <c r="J151" s="985">
        <f>NOMINA!J127</f>
        <v>0</v>
      </c>
      <c r="K151" s="984">
        <f t="shared" si="9"/>
        <v>19</v>
      </c>
      <c r="L151" s="985" t="s">
        <v>4932</v>
      </c>
      <c r="M151" s="985"/>
      <c r="N151" s="1002" t="str">
        <f>NOMINA!O127</f>
        <v>Administrador III</v>
      </c>
      <c r="O151" s="985">
        <v>1.02087691000006E+18</v>
      </c>
      <c r="P151" s="999">
        <f>NOMINA!W127</f>
        <v>143.5</v>
      </c>
      <c r="Q151" s="986">
        <f>NOMINA!AG127</f>
        <v>35.01</v>
      </c>
      <c r="R151" s="986">
        <f>NOMINA!AI127</f>
        <v>65</v>
      </c>
      <c r="S151" s="986">
        <f>NOMINA!AK127</f>
        <v>64</v>
      </c>
      <c r="T151" s="986">
        <f>ROUND(NOMINA!AO127,2)</f>
        <v>25</v>
      </c>
      <c r="U151" s="986">
        <f>ROUND(NOMINA!AQ127,2)</f>
        <v>0</v>
      </c>
      <c r="V151" s="986">
        <f>ROUND(NOMINA!AR127,2)</f>
        <v>0</v>
      </c>
      <c r="W151" s="986">
        <f>ROUND(NOMINA!AS127,2)</f>
        <v>0</v>
      </c>
      <c r="X151" s="986">
        <f>ROUND(NOMINA!AW127,2)</f>
        <v>0</v>
      </c>
      <c r="Y151" s="986">
        <f>ROUND(NOMINA!AX127,2)</f>
        <v>0</v>
      </c>
      <c r="Z151" s="986">
        <f>ROUND(NOMINA!BB127,2)+ROUND(NOMINA!BF127,2)</f>
        <v>0</v>
      </c>
      <c r="AA151" s="986">
        <f>ROUND(NOMINA!BK127,2)*0</f>
        <v>0</v>
      </c>
      <c r="AB151" s="986">
        <f>ROUND(NOMINA!BG127,2)</f>
        <v>300</v>
      </c>
      <c r="AC151" s="1000">
        <f t="shared" si="10"/>
        <v>632.51</v>
      </c>
      <c r="AE151" s="634"/>
    </row>
    <row r="152" spans="1:31" s="629" customFormat="1" ht="20.100000000000001" customHeight="1" thickBot="1">
      <c r="A152" s="770" t="s">
        <v>2846</v>
      </c>
      <c r="B152" s="510">
        <f t="shared" si="11"/>
        <v>86</v>
      </c>
      <c r="C152" s="980">
        <f>NOMINA!C128</f>
        <v>13260050</v>
      </c>
      <c r="D152" s="981" t="str">
        <f>NOMINA!D128</f>
        <v>Mendoza Vieras Maria Elena</v>
      </c>
      <c r="E152" s="978" t="s">
        <v>4622</v>
      </c>
      <c r="F152" s="982">
        <v>32351</v>
      </c>
      <c r="G152" s="978" t="s">
        <v>4620</v>
      </c>
      <c r="H152" s="1001">
        <f>NOMINA!H128</f>
        <v>45444</v>
      </c>
      <c r="I152" s="984">
        <f>NOMINA!I128</f>
        <v>0</v>
      </c>
      <c r="J152" s="985">
        <f>NOMINA!J128</f>
        <v>12</v>
      </c>
      <c r="K152" s="984">
        <f t="shared" si="9"/>
        <v>12</v>
      </c>
      <c r="L152" s="985" t="s">
        <v>4932</v>
      </c>
      <c r="M152" s="985"/>
      <c r="N152" s="1002" t="str">
        <f>NOMINA!O128</f>
        <v>ADMINISTRADOR III</v>
      </c>
      <c r="O152" s="985">
        <v>1.02087691000006E+18</v>
      </c>
      <c r="P152" s="999">
        <f>NOMINA!W128</f>
        <v>141.5</v>
      </c>
      <c r="Q152" s="986">
        <f>NOMINA!AG128</f>
        <v>19.52</v>
      </c>
      <c r="R152" s="986">
        <f>NOMINA!AI128</f>
        <v>65</v>
      </c>
      <c r="S152" s="986">
        <f>NOMINA!AK128</f>
        <v>56.5</v>
      </c>
      <c r="T152" s="986">
        <f>ROUND(NOMINA!AO128,2)</f>
        <v>0</v>
      </c>
      <c r="U152" s="986">
        <f>ROUND(NOMINA!AQ128,2)</f>
        <v>0</v>
      </c>
      <c r="V152" s="986">
        <f>ROUND(NOMINA!AR128,2)</f>
        <v>0</v>
      </c>
      <c r="W152" s="986">
        <f>ROUND(NOMINA!AS128,2)</f>
        <v>0</v>
      </c>
      <c r="X152" s="986">
        <f>ROUND(NOMINA!AW128,2)</f>
        <v>0</v>
      </c>
      <c r="Y152" s="986">
        <f>ROUND(NOMINA!AX128,2)</f>
        <v>0</v>
      </c>
      <c r="Z152" s="986">
        <f>ROUND(NOMINA!BB128,2)+ROUND(NOMINA!BF128,2)</f>
        <v>0</v>
      </c>
      <c r="AA152" s="986">
        <f>ROUND(NOMINA!BK128,2)*0</f>
        <v>0</v>
      </c>
      <c r="AB152" s="986">
        <f>ROUND(NOMINA!BG128,2)</f>
        <v>300</v>
      </c>
      <c r="AC152" s="1000">
        <f t="shared" si="10"/>
        <v>582.52</v>
      </c>
      <c r="AE152" s="634"/>
    </row>
    <row r="153" spans="1:31" s="629" customFormat="1" ht="20.100000000000001" customHeight="1" thickBot="1">
      <c r="A153" s="770" t="s">
        <v>2846</v>
      </c>
      <c r="B153" s="510">
        <f t="shared" si="11"/>
        <v>87</v>
      </c>
      <c r="C153" s="980">
        <f>NOMINA!C129</f>
        <v>13260933</v>
      </c>
      <c r="D153" s="981" t="str">
        <f>NOMINA!D129</f>
        <v>Venegas Azuaje Freddy Jose</v>
      </c>
      <c r="E153" s="978" t="s">
        <v>4622</v>
      </c>
      <c r="F153" s="982">
        <v>32351</v>
      </c>
      <c r="G153" s="978" t="s">
        <v>4620</v>
      </c>
      <c r="H153" s="1001">
        <f>NOMINA!H129</f>
        <v>45474</v>
      </c>
      <c r="I153" s="984">
        <f>NOMINA!I129</f>
        <v>0</v>
      </c>
      <c r="J153" s="985">
        <f>NOMINA!J129</f>
        <v>0</v>
      </c>
      <c r="K153" s="984">
        <f t="shared" si="9"/>
        <v>0</v>
      </c>
      <c r="L153" s="985" t="s">
        <v>4932</v>
      </c>
      <c r="M153" s="985"/>
      <c r="N153" s="1002" t="str">
        <f>NOMINA!O129</f>
        <v>Guia de Centro I</v>
      </c>
      <c r="O153" s="985">
        <v>1.02087691000006E+18</v>
      </c>
      <c r="P153" s="999">
        <f>NOMINA!W129</f>
        <v>65</v>
      </c>
      <c r="Q153" s="986">
        <f>NOMINA!AG129</f>
        <v>0</v>
      </c>
      <c r="R153" s="986">
        <f>NOMINA!AI129</f>
        <v>65</v>
      </c>
      <c r="S153" s="986">
        <f>NOMINA!AK129</f>
        <v>0</v>
      </c>
      <c r="T153" s="986">
        <f>ROUND(NOMINA!AO129,2)</f>
        <v>0</v>
      </c>
      <c r="U153" s="986">
        <f>ROUND(NOMINA!AQ129,2)</f>
        <v>0</v>
      </c>
      <c r="V153" s="986">
        <f>ROUND(NOMINA!AR129,2)</f>
        <v>0</v>
      </c>
      <c r="W153" s="986">
        <f>ROUND(NOMINA!AS129,2)</f>
        <v>0</v>
      </c>
      <c r="X153" s="986">
        <f>ROUND(NOMINA!AW129,2)</f>
        <v>78</v>
      </c>
      <c r="Y153" s="986">
        <f>ROUND(NOMINA!AX129,2)</f>
        <v>0</v>
      </c>
      <c r="Z153" s="986">
        <f>ROUND(NOMINA!BB129,2)+ROUND(NOMINA!BF129,2)</f>
        <v>67.599999999999994</v>
      </c>
      <c r="AA153" s="986">
        <f>ROUND(NOMINA!BK129,2)*0</f>
        <v>0</v>
      </c>
      <c r="AB153" s="986">
        <f>ROUND(NOMINA!BG129,2)</f>
        <v>300</v>
      </c>
      <c r="AC153" s="1000">
        <f t="shared" si="10"/>
        <v>575.6</v>
      </c>
      <c r="AE153" s="634"/>
    </row>
    <row r="154" spans="1:31" s="629" customFormat="1" ht="20.100000000000001" customHeight="1" thickBot="1">
      <c r="A154" s="770" t="s">
        <v>2846</v>
      </c>
      <c r="B154" s="510">
        <f t="shared" si="11"/>
        <v>88</v>
      </c>
      <c r="C154" s="980">
        <f>NOMINA!C130</f>
        <v>13261035</v>
      </c>
      <c r="D154" s="981" t="str">
        <f>NOMINA!D130</f>
        <v>Henry Peña Yokary Nakary</v>
      </c>
      <c r="E154" s="978" t="s">
        <v>4622</v>
      </c>
      <c r="F154" s="982">
        <v>32351</v>
      </c>
      <c r="G154" s="978" t="s">
        <v>4620</v>
      </c>
      <c r="H154" s="1001">
        <f>NOMINA!H130</f>
        <v>43770</v>
      </c>
      <c r="I154" s="984">
        <f>NOMINA!I130</f>
        <v>5</v>
      </c>
      <c r="J154" s="985">
        <f>NOMINA!J130</f>
        <v>0</v>
      </c>
      <c r="K154" s="984">
        <f t="shared" si="9"/>
        <v>5</v>
      </c>
      <c r="L154" s="985" t="s">
        <v>4932</v>
      </c>
      <c r="M154" s="985"/>
      <c r="N154" s="1002" t="str">
        <f>NOMINA!O130</f>
        <v>Entrenador Deportivo V</v>
      </c>
      <c r="O154" s="985">
        <v>1.02087691000006E+18</v>
      </c>
      <c r="P154" s="999">
        <f>NOMINA!W130</f>
        <v>138.5</v>
      </c>
      <c r="Q154" s="986">
        <f>NOMINA!AG130</f>
        <v>6.92</v>
      </c>
      <c r="R154" s="986">
        <f>NOMINA!AI130</f>
        <v>65</v>
      </c>
      <c r="S154" s="986">
        <f>NOMINA!AK130</f>
        <v>52.6</v>
      </c>
      <c r="T154" s="986">
        <f>ROUND(NOMINA!AO130,2)</f>
        <v>0</v>
      </c>
      <c r="U154" s="986">
        <f>ROUND(NOMINA!AQ130,2)</f>
        <v>0</v>
      </c>
      <c r="V154" s="986">
        <f>ROUND(NOMINA!AR130,2)</f>
        <v>0</v>
      </c>
      <c r="W154" s="986">
        <f>ROUND(NOMINA!AS130,2)</f>
        <v>0</v>
      </c>
      <c r="X154" s="986">
        <f>ROUND(NOMINA!AW130,2)</f>
        <v>0</v>
      </c>
      <c r="Y154" s="986">
        <f>ROUND(NOMINA!AX130,2)</f>
        <v>0</v>
      </c>
      <c r="Z154" s="986">
        <f>ROUND(NOMINA!BB130,2)+ROUND(NOMINA!BF130,2)</f>
        <v>0</v>
      </c>
      <c r="AA154" s="986">
        <f>ROUND(NOMINA!BK130,2)*0</f>
        <v>0</v>
      </c>
      <c r="AB154" s="986">
        <f>ROUND(NOMINA!BG130,2)</f>
        <v>300</v>
      </c>
      <c r="AC154" s="1000">
        <f t="shared" si="10"/>
        <v>563.02</v>
      </c>
      <c r="AE154" s="634"/>
    </row>
    <row r="155" spans="1:31" s="629" customFormat="1" ht="20.100000000000001" customHeight="1" thickBot="1">
      <c r="A155" s="770" t="s">
        <v>2846</v>
      </c>
      <c r="B155" s="510">
        <f t="shared" si="11"/>
        <v>89</v>
      </c>
      <c r="C155" s="980">
        <f>NOMINA!C131</f>
        <v>13261229</v>
      </c>
      <c r="D155" s="981" t="str">
        <f>NOMINA!D131</f>
        <v>Abreu Rodriguez Eva Del Carmen</v>
      </c>
      <c r="E155" s="978" t="s">
        <v>4622</v>
      </c>
      <c r="F155" s="982">
        <v>32351</v>
      </c>
      <c r="G155" s="978" t="s">
        <v>4620</v>
      </c>
      <c r="H155" s="1001">
        <f>NOMINA!H131</f>
        <v>42644</v>
      </c>
      <c r="I155" s="984">
        <f>NOMINA!I131</f>
        <v>8</v>
      </c>
      <c r="J155" s="985">
        <f>NOMINA!J131</f>
        <v>0</v>
      </c>
      <c r="K155" s="984">
        <f t="shared" si="9"/>
        <v>8</v>
      </c>
      <c r="L155" s="985" t="s">
        <v>4932</v>
      </c>
      <c r="M155" s="985"/>
      <c r="N155" s="1002" t="str">
        <f>NOMINA!O131</f>
        <v>Asistente Administrativo III</v>
      </c>
      <c r="O155" s="985">
        <v>1.02087691000006E+18</v>
      </c>
      <c r="P155" s="999">
        <f>NOMINA!W131</f>
        <v>110.5</v>
      </c>
      <c r="Q155" s="986">
        <f>NOMINA!AG131</f>
        <v>9.5</v>
      </c>
      <c r="R155" s="986">
        <f>NOMINA!AI131</f>
        <v>65</v>
      </c>
      <c r="S155" s="986">
        <f>NOMINA!AK131</f>
        <v>38.25</v>
      </c>
      <c r="T155" s="986">
        <f>ROUND(NOMINA!AO131,2)</f>
        <v>12.5</v>
      </c>
      <c r="U155" s="986">
        <f>ROUND(NOMINA!AQ131,2)</f>
        <v>0</v>
      </c>
      <c r="V155" s="986">
        <f>ROUND(NOMINA!AR131,2)</f>
        <v>0</v>
      </c>
      <c r="W155" s="986">
        <f>ROUND(NOMINA!AS131,2)</f>
        <v>0</v>
      </c>
      <c r="X155" s="986">
        <f>ROUND(NOMINA!AW131,2)</f>
        <v>0</v>
      </c>
      <c r="Y155" s="986">
        <f>ROUND(NOMINA!AX131,2)</f>
        <v>0</v>
      </c>
      <c r="Z155" s="986">
        <f>ROUND(NOMINA!BB131,2)+ROUND(NOMINA!BF131,2)</f>
        <v>0</v>
      </c>
      <c r="AA155" s="986">
        <f>ROUND(NOMINA!BK131,2)*0</f>
        <v>0</v>
      </c>
      <c r="AB155" s="986">
        <f>ROUND(NOMINA!BG131,2)</f>
        <v>300</v>
      </c>
      <c r="AC155" s="1000">
        <f t="shared" si="10"/>
        <v>535.75</v>
      </c>
      <c r="AE155" s="634"/>
    </row>
    <row r="156" spans="1:31" s="629" customFormat="1" ht="20.100000000000001" customHeight="1" thickBot="1">
      <c r="A156" s="770" t="s">
        <v>2846</v>
      </c>
      <c r="B156" s="510">
        <f t="shared" si="11"/>
        <v>90</v>
      </c>
      <c r="C156" s="980">
        <f>NOMINA!C132</f>
        <v>13461747</v>
      </c>
      <c r="D156" s="981" t="str">
        <f>NOMINA!D132</f>
        <v>Santos Hernandez Karine Yenilet</v>
      </c>
      <c r="E156" s="978" t="s">
        <v>4622</v>
      </c>
      <c r="F156" s="982">
        <v>32351</v>
      </c>
      <c r="G156" s="978" t="s">
        <v>4620</v>
      </c>
      <c r="H156" s="1001">
        <f>NOMINA!H132</f>
        <v>44683</v>
      </c>
      <c r="I156" s="984">
        <f>NOMINA!I132</f>
        <v>2</v>
      </c>
      <c r="J156" s="985">
        <f>NOMINA!J132</f>
        <v>2</v>
      </c>
      <c r="K156" s="984">
        <f t="shared" si="9"/>
        <v>4</v>
      </c>
      <c r="L156" s="985" t="s">
        <v>4932</v>
      </c>
      <c r="M156" s="985"/>
      <c r="N156" s="1002" t="str">
        <f>NOMINA!O132</f>
        <v>Asistente Administrativo III</v>
      </c>
      <c r="O156" s="985">
        <v>1.02087691000006E+18</v>
      </c>
      <c r="P156" s="999">
        <f>NOMINA!W132</f>
        <v>109.5</v>
      </c>
      <c r="Q156" s="986">
        <f>NOMINA!AG132</f>
        <v>4.38</v>
      </c>
      <c r="R156" s="986">
        <f>NOMINA!AI132</f>
        <v>65</v>
      </c>
      <c r="S156" s="986">
        <f>NOMINA!AK132</f>
        <v>35.770000000000003</v>
      </c>
      <c r="T156" s="986">
        <f>ROUND(NOMINA!AO132,2)</f>
        <v>0</v>
      </c>
      <c r="U156" s="986">
        <f>ROUND(NOMINA!AQ132,2)</f>
        <v>0</v>
      </c>
      <c r="V156" s="986">
        <f>ROUND(NOMINA!AR132,2)</f>
        <v>0</v>
      </c>
      <c r="W156" s="986">
        <f>ROUND(NOMINA!AS132,2)</f>
        <v>0</v>
      </c>
      <c r="X156" s="986">
        <f>ROUND(NOMINA!AW132,2)</f>
        <v>0</v>
      </c>
      <c r="Y156" s="986">
        <f>ROUND(NOMINA!AX132,2)</f>
        <v>0</v>
      </c>
      <c r="Z156" s="986">
        <f>ROUND(NOMINA!BB132,2)+ROUND(NOMINA!BF132,2)</f>
        <v>0</v>
      </c>
      <c r="AA156" s="986">
        <f>ROUND(NOMINA!BK132,2)*0</f>
        <v>0</v>
      </c>
      <c r="AB156" s="986">
        <f>ROUND(NOMINA!BG132,2)</f>
        <v>300</v>
      </c>
      <c r="AC156" s="1000">
        <f t="shared" si="10"/>
        <v>514.65</v>
      </c>
      <c r="AE156" s="634"/>
    </row>
    <row r="157" spans="1:31" s="629" customFormat="1" ht="20.100000000000001" customHeight="1" thickBot="1">
      <c r="A157" s="770" t="s">
        <v>2846</v>
      </c>
      <c r="B157" s="510">
        <f t="shared" si="11"/>
        <v>91</v>
      </c>
      <c r="C157" s="980">
        <f>NOMINA!C133</f>
        <v>13461934</v>
      </c>
      <c r="D157" s="981" t="str">
        <f>NOMINA!D133</f>
        <v>Ramirez Ayala Jenny Marisela</v>
      </c>
      <c r="E157" s="978" t="s">
        <v>4622</v>
      </c>
      <c r="F157" s="982">
        <v>32351</v>
      </c>
      <c r="G157" s="978" t="s">
        <v>4620</v>
      </c>
      <c r="H157" s="1001">
        <f>NOMINA!H133</f>
        <v>43252</v>
      </c>
      <c r="I157" s="984">
        <f>NOMINA!I133</f>
        <v>6</v>
      </c>
      <c r="J157" s="985">
        <f>NOMINA!J133</f>
        <v>0</v>
      </c>
      <c r="K157" s="984">
        <f t="shared" si="9"/>
        <v>6</v>
      </c>
      <c r="L157" s="985" t="s">
        <v>4932</v>
      </c>
      <c r="M157" s="985"/>
      <c r="N157" s="1002" t="str">
        <f>NOMINA!O133</f>
        <v>Guia de Centro II</v>
      </c>
      <c r="O157" s="985">
        <v>1.02087691000006E+18</v>
      </c>
      <c r="P157" s="999">
        <f>NOMINA!W133</f>
        <v>85</v>
      </c>
      <c r="Q157" s="986">
        <f>NOMINA!AG133</f>
        <v>5.27</v>
      </c>
      <c r="R157" s="986">
        <f>NOMINA!AI133</f>
        <v>65</v>
      </c>
      <c r="S157" s="986">
        <f>NOMINA!AK133</f>
        <v>0</v>
      </c>
      <c r="T157" s="986">
        <f>ROUND(NOMINA!AO133,2)</f>
        <v>0</v>
      </c>
      <c r="U157" s="986">
        <f>ROUND(NOMINA!AQ133,2)</f>
        <v>0</v>
      </c>
      <c r="V157" s="986">
        <f>ROUND(NOMINA!AR133,2)</f>
        <v>0</v>
      </c>
      <c r="W157" s="986">
        <f>ROUND(NOMINA!AS133,2)</f>
        <v>0</v>
      </c>
      <c r="X157" s="986">
        <f>ROUND(NOMINA!AW133,2)</f>
        <v>93.16</v>
      </c>
      <c r="Y157" s="986">
        <f>ROUND(NOMINA!AX133,2)</f>
        <v>0</v>
      </c>
      <c r="Z157" s="986">
        <f>ROUND(NOMINA!BB133,2)+ROUND(NOMINA!BF133,2)</f>
        <v>100.93</v>
      </c>
      <c r="AA157" s="986">
        <f>ROUND(NOMINA!BK133,2)*0</f>
        <v>0</v>
      </c>
      <c r="AB157" s="986">
        <f>ROUND(NOMINA!BG133,2)</f>
        <v>300</v>
      </c>
      <c r="AC157" s="1000">
        <f t="shared" si="10"/>
        <v>649.36</v>
      </c>
      <c r="AE157" s="634"/>
    </row>
    <row r="158" spans="1:31" s="629" customFormat="1" ht="20.100000000000001" customHeight="1" thickBot="1">
      <c r="A158" s="770" t="s">
        <v>2846</v>
      </c>
      <c r="B158" s="510">
        <f t="shared" si="11"/>
        <v>92</v>
      </c>
      <c r="C158" s="980">
        <f>NOMINA!C134</f>
        <v>13462933</v>
      </c>
      <c r="D158" s="981" t="str">
        <f>NOMINA!D134</f>
        <v>Frias Aldana Maria Yaritza</v>
      </c>
      <c r="E158" s="978" t="s">
        <v>4622</v>
      </c>
      <c r="F158" s="982">
        <v>32351</v>
      </c>
      <c r="G158" s="978" t="s">
        <v>4620</v>
      </c>
      <c r="H158" s="1001">
        <f>NOMINA!H134</f>
        <v>39454</v>
      </c>
      <c r="I158" s="984">
        <f>NOMINA!I134</f>
        <v>17</v>
      </c>
      <c r="J158" s="985">
        <f>NOMINA!J134</f>
        <v>6</v>
      </c>
      <c r="K158" s="984">
        <f t="shared" si="9"/>
        <v>23</v>
      </c>
      <c r="L158" s="985" t="s">
        <v>4932</v>
      </c>
      <c r="M158" s="985"/>
      <c r="N158" s="1002" t="str">
        <f>NOMINA!O134</f>
        <v>Administrador Jefe</v>
      </c>
      <c r="O158" s="985">
        <v>1.02087691000006E+18</v>
      </c>
      <c r="P158" s="999">
        <f>NOMINA!W134</f>
        <v>0</v>
      </c>
      <c r="Q158" s="986">
        <f>NOMINA!AG134</f>
        <v>0</v>
      </c>
      <c r="R158" s="986">
        <f>NOMINA!AI134</f>
        <v>0</v>
      </c>
      <c r="S158" s="986">
        <f>NOMINA!AK134</f>
        <v>0</v>
      </c>
      <c r="T158" s="986">
        <f>ROUND(NOMINA!AO134,2)</f>
        <v>0</v>
      </c>
      <c r="U158" s="986">
        <f>ROUND(NOMINA!AQ134,2)</f>
        <v>0</v>
      </c>
      <c r="V158" s="986">
        <f>ROUND(NOMINA!AR134,2)</f>
        <v>0</v>
      </c>
      <c r="W158" s="986">
        <f>ROUND(NOMINA!AS134,2)</f>
        <v>0</v>
      </c>
      <c r="X158" s="986">
        <f>ROUND(NOMINA!AW134,2)</f>
        <v>0</v>
      </c>
      <c r="Y158" s="986">
        <f>ROUND(NOMINA!AX134,2)</f>
        <v>0</v>
      </c>
      <c r="Z158" s="986">
        <f>ROUND(NOMINA!BB134,2)+ROUND(NOMINA!BF134,2)</f>
        <v>0</v>
      </c>
      <c r="AA158" s="986">
        <f>ROUND(NOMINA!BK134,2)*0</f>
        <v>0</v>
      </c>
      <c r="AB158" s="986">
        <f>ROUND(NOMINA!BG134,2)</f>
        <v>0</v>
      </c>
      <c r="AC158" s="1000">
        <f t="shared" si="10"/>
        <v>0</v>
      </c>
      <c r="AE158" s="634"/>
    </row>
    <row r="159" spans="1:31" s="629" customFormat="1" ht="20.100000000000001" customHeight="1" thickBot="1">
      <c r="A159" s="770" t="s">
        <v>2846</v>
      </c>
      <c r="B159" s="510">
        <f t="shared" si="11"/>
        <v>93</v>
      </c>
      <c r="C159" s="980">
        <f>NOMINA!C135</f>
        <v>13462511</v>
      </c>
      <c r="D159" s="981" t="str">
        <f>NOMINA!D135</f>
        <v>Vielma Jenifer</v>
      </c>
      <c r="E159" s="978" t="s">
        <v>4622</v>
      </c>
      <c r="F159" s="982">
        <v>32351</v>
      </c>
      <c r="G159" s="978" t="s">
        <v>4620</v>
      </c>
      <c r="H159" s="1001">
        <f>NOMINA!H135</f>
        <v>43738</v>
      </c>
      <c r="I159" s="984">
        <f>NOMINA!I135</f>
        <v>5</v>
      </c>
      <c r="J159" s="985">
        <f>NOMINA!J135</f>
        <v>8</v>
      </c>
      <c r="K159" s="984">
        <f t="shared" si="9"/>
        <v>13</v>
      </c>
      <c r="L159" s="985" t="s">
        <v>4932</v>
      </c>
      <c r="M159" s="985"/>
      <c r="N159" s="1002" t="str">
        <f>NOMINA!O135</f>
        <v>CRIMINOLOGO</v>
      </c>
      <c r="O159" s="985">
        <v>1.02087691000006E+18</v>
      </c>
      <c r="P159" s="999">
        <f>NOMINA!W135</f>
        <v>156</v>
      </c>
      <c r="Q159" s="986">
        <f>NOMINA!AG135</f>
        <v>23.71</v>
      </c>
      <c r="R159" s="986">
        <f>NOMINA!AI135</f>
        <v>65</v>
      </c>
      <c r="S159" s="986">
        <f>NOMINA!AK135</f>
        <v>87.83</v>
      </c>
      <c r="T159" s="986">
        <f>ROUND(NOMINA!AO135,2)</f>
        <v>0</v>
      </c>
      <c r="U159" s="986">
        <f>ROUND(NOMINA!AQ135,2)</f>
        <v>0</v>
      </c>
      <c r="V159" s="986">
        <f>ROUND(NOMINA!AR135,2)</f>
        <v>0</v>
      </c>
      <c r="W159" s="986">
        <f>ROUND(NOMINA!AS135,2)</f>
        <v>0</v>
      </c>
      <c r="X159" s="986">
        <f>ROUND(NOMINA!AW135,2)</f>
        <v>0</v>
      </c>
      <c r="Y159" s="986">
        <f>ROUND(NOMINA!AX135,2)</f>
        <v>0</v>
      </c>
      <c r="Z159" s="986">
        <f>ROUND(NOMINA!BB135,2)+ROUND(NOMINA!BF135,2)</f>
        <v>0</v>
      </c>
      <c r="AA159" s="986">
        <f>ROUND(NOMINA!BK135,2)*0</f>
        <v>0</v>
      </c>
      <c r="AB159" s="986">
        <f>ROUND(NOMINA!BG135,2)</f>
        <v>300</v>
      </c>
      <c r="AC159" s="1000">
        <f t="shared" si="10"/>
        <v>632.54</v>
      </c>
      <c r="AE159" s="634"/>
    </row>
    <row r="160" spans="1:31" s="629" customFormat="1" ht="20.100000000000001" customHeight="1" thickBot="1">
      <c r="A160" s="770" t="s">
        <v>2846</v>
      </c>
      <c r="B160" s="510">
        <f t="shared" si="11"/>
        <v>94</v>
      </c>
      <c r="C160" s="980">
        <f>NOMINA!C136</f>
        <v>13522518</v>
      </c>
      <c r="D160" s="981" t="str">
        <f>NOMINA!D136</f>
        <v>Altuve Diaz Jose Antonio</v>
      </c>
      <c r="E160" s="978" t="s">
        <v>4622</v>
      </c>
      <c r="F160" s="982">
        <v>32351</v>
      </c>
      <c r="G160" s="978" t="s">
        <v>4620</v>
      </c>
      <c r="H160" s="1001">
        <f>NOMINA!H136</f>
        <v>43739</v>
      </c>
      <c r="I160" s="984">
        <f>NOMINA!I136</f>
        <v>5</v>
      </c>
      <c r="J160" s="985">
        <f>NOMINA!J136</f>
        <v>0</v>
      </c>
      <c r="K160" s="984">
        <f t="shared" si="9"/>
        <v>5</v>
      </c>
      <c r="L160" s="985" t="s">
        <v>4932</v>
      </c>
      <c r="M160" s="985"/>
      <c r="N160" s="1002" t="str">
        <f>NOMINA!O136</f>
        <v>Almacenista II</v>
      </c>
      <c r="O160" s="985">
        <v>1.02087691000006E+18</v>
      </c>
      <c r="P160" s="999">
        <f>NOMINA!W136</f>
        <v>75</v>
      </c>
      <c r="Q160" s="986">
        <f>NOMINA!AG136</f>
        <v>3.75</v>
      </c>
      <c r="R160" s="986">
        <f>NOMINA!AI136</f>
        <v>65</v>
      </c>
      <c r="S160" s="986">
        <f>NOMINA!AK136</f>
        <v>0</v>
      </c>
      <c r="T160" s="986">
        <f>ROUND(NOMINA!AO136,2)</f>
        <v>12.5</v>
      </c>
      <c r="U160" s="986">
        <f>ROUND(NOMINA!AQ136,2)</f>
        <v>0</v>
      </c>
      <c r="V160" s="986">
        <f>ROUND(NOMINA!AR136,2)</f>
        <v>0</v>
      </c>
      <c r="W160" s="986">
        <f>ROUND(NOMINA!AS136,2)</f>
        <v>0</v>
      </c>
      <c r="X160" s="986">
        <f>ROUND(NOMINA!AW136,2)</f>
        <v>0</v>
      </c>
      <c r="Y160" s="986">
        <f>ROUND(NOMINA!AX136,2)</f>
        <v>0</v>
      </c>
      <c r="Z160" s="986">
        <f>ROUND(NOMINA!BB136,2)+ROUND(NOMINA!BF136,2)</f>
        <v>30</v>
      </c>
      <c r="AA160" s="986">
        <f>ROUND(NOMINA!BK136,2)*0</f>
        <v>0</v>
      </c>
      <c r="AB160" s="986">
        <f>ROUND(NOMINA!BG136,2)</f>
        <v>300</v>
      </c>
      <c r="AC160" s="1000">
        <f t="shared" si="10"/>
        <v>486.25</v>
      </c>
      <c r="AE160" s="634"/>
    </row>
    <row r="161" spans="1:31" s="629" customFormat="1" ht="20.100000000000001" customHeight="1" thickBot="1">
      <c r="A161" s="770" t="s">
        <v>2846</v>
      </c>
      <c r="B161" s="510">
        <f t="shared" si="11"/>
        <v>95</v>
      </c>
      <c r="C161" s="980">
        <f>NOMINA!C137</f>
        <v>13523075</v>
      </c>
      <c r="D161" s="981" t="str">
        <f>NOMINA!D137</f>
        <v>Zambrano Castellanos Maria Alejandra</v>
      </c>
      <c r="E161" s="978" t="s">
        <v>4622</v>
      </c>
      <c r="F161" s="982">
        <v>32351</v>
      </c>
      <c r="G161" s="978" t="s">
        <v>4620</v>
      </c>
      <c r="H161" s="1001">
        <f>NOMINA!H137</f>
        <v>37718</v>
      </c>
      <c r="I161" s="984">
        <f>NOMINA!I137</f>
        <v>21</v>
      </c>
      <c r="J161" s="985">
        <f>NOMINA!J137</f>
        <v>0</v>
      </c>
      <c r="K161" s="984">
        <f t="shared" si="9"/>
        <v>21</v>
      </c>
      <c r="L161" s="985" t="s">
        <v>4932</v>
      </c>
      <c r="M161" s="985"/>
      <c r="N161" s="1002" t="str">
        <f>NOMINA!O137</f>
        <v>Planificador V</v>
      </c>
      <c r="O161" s="985">
        <v>1.02087691000006E+18</v>
      </c>
      <c r="P161" s="999">
        <f>NOMINA!W137</f>
        <v>114</v>
      </c>
      <c r="Q161" s="986">
        <f>NOMINA!AG137</f>
        <v>31.69</v>
      </c>
      <c r="R161" s="986">
        <f>NOMINA!AI137</f>
        <v>65</v>
      </c>
      <c r="S161" s="986">
        <f>NOMINA!AK137</f>
        <v>44.64</v>
      </c>
      <c r="T161" s="986">
        <f>ROUND(NOMINA!AO137,2)</f>
        <v>25</v>
      </c>
      <c r="U161" s="986">
        <f>ROUND(NOMINA!AQ137,2)</f>
        <v>0</v>
      </c>
      <c r="V161" s="986">
        <f>ROUND(NOMINA!AR137,2)</f>
        <v>0</v>
      </c>
      <c r="W161" s="986">
        <f>ROUND(NOMINA!AS137,2)</f>
        <v>0</v>
      </c>
      <c r="X161" s="986">
        <f>ROUND(NOMINA!AW137,2)</f>
        <v>0</v>
      </c>
      <c r="Y161" s="986">
        <f>ROUND(NOMINA!AX137,2)</f>
        <v>0</v>
      </c>
      <c r="Z161" s="986">
        <f>ROUND(NOMINA!BB137,2)+ROUND(NOMINA!BF137,2)</f>
        <v>0</v>
      </c>
      <c r="AA161" s="986">
        <f>ROUND(NOMINA!BK137,2)*0</f>
        <v>0</v>
      </c>
      <c r="AB161" s="986">
        <f>ROUND(NOMINA!BG137,2)</f>
        <v>300</v>
      </c>
      <c r="AC161" s="1000">
        <f t="shared" si="10"/>
        <v>580.32999999999993</v>
      </c>
      <c r="AE161" s="634"/>
    </row>
    <row r="162" spans="1:31" s="629" customFormat="1" ht="20.100000000000001" customHeight="1" thickBot="1">
      <c r="A162" s="770" t="s">
        <v>2846</v>
      </c>
      <c r="B162" s="510">
        <f t="shared" si="11"/>
        <v>96</v>
      </c>
      <c r="C162" s="980">
        <f>NOMINA!C138</f>
        <v>13745803</v>
      </c>
      <c r="D162" s="981" t="str">
        <f>NOMINA!D138</f>
        <v>Materan Riveros Yorvis Alexis</v>
      </c>
      <c r="E162" s="978" t="s">
        <v>4622</v>
      </c>
      <c r="F162" s="982">
        <v>32351</v>
      </c>
      <c r="G162" s="978" t="s">
        <v>4620</v>
      </c>
      <c r="H162" s="1001">
        <f>NOMINA!H138</f>
        <v>44774</v>
      </c>
      <c r="I162" s="984">
        <f>NOMINA!I138</f>
        <v>2</v>
      </c>
      <c r="J162" s="985">
        <f>NOMINA!J138</f>
        <v>22</v>
      </c>
      <c r="K162" s="984">
        <f t="shared" si="9"/>
        <v>24</v>
      </c>
      <c r="L162" s="985" t="s">
        <v>4932</v>
      </c>
      <c r="M162" s="985"/>
      <c r="N162" s="1002" t="str">
        <f>NOMINA!O138</f>
        <v>Tutor Facilitador III</v>
      </c>
      <c r="O162" s="985">
        <v>1.02087691000006E+18</v>
      </c>
      <c r="P162" s="999">
        <f>NOMINA!W138</f>
        <v>143.5</v>
      </c>
      <c r="Q162" s="986">
        <f>NOMINA!AG138</f>
        <v>43.05</v>
      </c>
      <c r="R162" s="986">
        <f>NOMINA!AI138</f>
        <v>65</v>
      </c>
      <c r="S162" s="986">
        <f>NOMINA!AK138</f>
        <v>62.89</v>
      </c>
      <c r="T162" s="986">
        <f>ROUND(NOMINA!AO138,2)</f>
        <v>0</v>
      </c>
      <c r="U162" s="986">
        <f>ROUND(NOMINA!AQ138,2)</f>
        <v>0</v>
      </c>
      <c r="V162" s="986">
        <f>ROUND(NOMINA!AR138,2)</f>
        <v>0</v>
      </c>
      <c r="W162" s="986">
        <f>ROUND(NOMINA!AS138,2)</f>
        <v>0</v>
      </c>
      <c r="X162" s="986">
        <f>ROUND(NOMINA!AW138,2)</f>
        <v>0</v>
      </c>
      <c r="Y162" s="986">
        <f>ROUND(NOMINA!AX138,2)</f>
        <v>0</v>
      </c>
      <c r="Z162" s="986">
        <f>ROUND(NOMINA!BB138,2)+ROUND(NOMINA!BF138,2)</f>
        <v>0</v>
      </c>
      <c r="AA162" s="986">
        <f>ROUND(NOMINA!BK138,2)*0</f>
        <v>0</v>
      </c>
      <c r="AB162" s="986">
        <f>ROUND(NOMINA!BG138,2)</f>
        <v>300</v>
      </c>
      <c r="AC162" s="1000">
        <f t="shared" si="10"/>
        <v>614.44000000000005</v>
      </c>
      <c r="AE162" s="634"/>
    </row>
    <row r="163" spans="1:31" s="629" customFormat="1" ht="20.100000000000001" customHeight="1" thickBot="1">
      <c r="A163" s="770" t="s">
        <v>2846</v>
      </c>
      <c r="B163" s="510">
        <f t="shared" si="11"/>
        <v>97</v>
      </c>
      <c r="C163" s="980">
        <f>NOMINA!C139</f>
        <v>13765028</v>
      </c>
      <c r="D163" s="981" t="str">
        <f>NOMINA!D139</f>
        <v xml:space="preserve">Diaz Ramirez Mileyda Del Valle </v>
      </c>
      <c r="E163" s="978" t="s">
        <v>4622</v>
      </c>
      <c r="F163" s="982">
        <v>32351</v>
      </c>
      <c r="G163" s="978" t="s">
        <v>4620</v>
      </c>
      <c r="H163" s="1001">
        <f>NOMINA!H139</f>
        <v>44348</v>
      </c>
      <c r="I163" s="984">
        <f>NOMINA!I139</f>
        <v>3</v>
      </c>
      <c r="J163" s="985">
        <f>NOMINA!J139</f>
        <v>7</v>
      </c>
      <c r="K163" s="984">
        <f t="shared" si="9"/>
        <v>10</v>
      </c>
      <c r="L163" s="985" t="s">
        <v>4932</v>
      </c>
      <c r="M163" s="985"/>
      <c r="N163" s="1002" t="str">
        <f>NOMINA!O139</f>
        <v>Guia de Centro II</v>
      </c>
      <c r="O163" s="985">
        <v>1.02087691000006E+18</v>
      </c>
      <c r="P163" s="999">
        <f>NOMINA!W139</f>
        <v>111.5</v>
      </c>
      <c r="Q163" s="986">
        <f>NOMINA!AG139</f>
        <v>12.26</v>
      </c>
      <c r="R163" s="986">
        <f>NOMINA!AI139</f>
        <v>65</v>
      </c>
      <c r="S163" s="986">
        <f>NOMINA!AK139</f>
        <v>37.75</v>
      </c>
      <c r="T163" s="986">
        <f>ROUND(NOMINA!AO139,2)</f>
        <v>0</v>
      </c>
      <c r="U163" s="986">
        <f>ROUND(NOMINA!AQ139,2)</f>
        <v>0</v>
      </c>
      <c r="V163" s="986">
        <f>ROUND(NOMINA!AR139,2)</f>
        <v>0</v>
      </c>
      <c r="W163" s="986">
        <f>ROUND(NOMINA!AS139,2)</f>
        <v>0</v>
      </c>
      <c r="X163" s="986">
        <f>ROUND(NOMINA!AW139,2)</f>
        <v>135.91</v>
      </c>
      <c r="Y163" s="986">
        <f>ROUND(NOMINA!AX139,2)</f>
        <v>0</v>
      </c>
      <c r="Z163" s="986">
        <f>ROUND(NOMINA!BB139,2)+ROUND(NOMINA!BF139,2)</f>
        <v>147.24</v>
      </c>
      <c r="AA163" s="986">
        <f>ROUND(NOMINA!BK139,2)*0</f>
        <v>0</v>
      </c>
      <c r="AB163" s="986">
        <f>ROUND(NOMINA!BG139,2)</f>
        <v>300</v>
      </c>
      <c r="AC163" s="1000">
        <f t="shared" si="10"/>
        <v>809.66</v>
      </c>
      <c r="AE163" s="634"/>
    </row>
    <row r="164" spans="1:31" s="629" customFormat="1" ht="20.100000000000001" customHeight="1" thickBot="1">
      <c r="A164" s="770" t="s">
        <v>2846</v>
      </c>
      <c r="B164" s="510">
        <f t="shared" si="11"/>
        <v>98</v>
      </c>
      <c r="C164" s="980">
        <f>NOMINA!C140</f>
        <v>13896147</v>
      </c>
      <c r="D164" s="981" t="str">
        <f>NOMINA!D140</f>
        <v>Carrizo Blanco Belquis Cecilia</v>
      </c>
      <c r="E164" s="978" t="s">
        <v>4622</v>
      </c>
      <c r="F164" s="982">
        <v>32351</v>
      </c>
      <c r="G164" s="978" t="s">
        <v>4620</v>
      </c>
      <c r="H164" s="1001">
        <f>NOMINA!H140</f>
        <v>41334</v>
      </c>
      <c r="I164" s="984">
        <f>NOMINA!I140</f>
        <v>11</v>
      </c>
      <c r="J164" s="985">
        <f>NOMINA!J140</f>
        <v>0</v>
      </c>
      <c r="K164" s="984">
        <f t="shared" si="9"/>
        <v>11</v>
      </c>
      <c r="L164" s="985" t="s">
        <v>4932</v>
      </c>
      <c r="M164" s="985"/>
      <c r="N164" s="1002" t="str">
        <f>NOMINA!O140</f>
        <v>Administrador III</v>
      </c>
      <c r="O164" s="985">
        <v>1.02087691000006E+18</v>
      </c>
      <c r="P164" s="999">
        <f>NOMINA!W140</f>
        <v>140.5</v>
      </c>
      <c r="Q164" s="986">
        <f>NOMINA!AG140</f>
        <v>17.420000000000002</v>
      </c>
      <c r="R164" s="986">
        <f>NOMINA!AI140</f>
        <v>65</v>
      </c>
      <c r="S164" s="986">
        <f>NOMINA!AK140</f>
        <v>55.73</v>
      </c>
      <c r="T164" s="986">
        <f>ROUND(NOMINA!AO140,2)</f>
        <v>0</v>
      </c>
      <c r="U164" s="986">
        <f>ROUND(NOMINA!AQ140,2)</f>
        <v>0</v>
      </c>
      <c r="V164" s="986">
        <f>ROUND(NOMINA!AR140,2)</f>
        <v>0</v>
      </c>
      <c r="W164" s="986">
        <f>ROUND(NOMINA!AS140,2)</f>
        <v>0</v>
      </c>
      <c r="X164" s="986">
        <f>ROUND(NOMINA!AW140,2)</f>
        <v>0</v>
      </c>
      <c r="Y164" s="986">
        <f>ROUND(NOMINA!AX140,2)</f>
        <v>0</v>
      </c>
      <c r="Z164" s="986">
        <f>ROUND(NOMINA!BB140,2)+ROUND(NOMINA!BF140,2)</f>
        <v>0</v>
      </c>
      <c r="AA164" s="986">
        <f>ROUND(NOMINA!BK140,2)*0</f>
        <v>0</v>
      </c>
      <c r="AB164" s="986">
        <f>ROUND(NOMINA!BG140,2)</f>
        <v>300</v>
      </c>
      <c r="AC164" s="1000">
        <f t="shared" si="10"/>
        <v>578.65000000000009</v>
      </c>
      <c r="AE164" s="634"/>
    </row>
    <row r="165" spans="1:31" s="629" customFormat="1" ht="20.100000000000001" customHeight="1" thickBot="1">
      <c r="A165" s="770" t="s">
        <v>2846</v>
      </c>
      <c r="B165" s="510">
        <f t="shared" si="11"/>
        <v>99</v>
      </c>
      <c r="C165" s="980">
        <f>NOMINA!C141</f>
        <v>13896239</v>
      </c>
      <c r="D165" s="981" t="str">
        <f>NOMINA!D141</f>
        <v>Sulbaran Campos Yusneida Ayarith</v>
      </c>
      <c r="E165" s="978" t="s">
        <v>4622</v>
      </c>
      <c r="F165" s="982">
        <v>32351</v>
      </c>
      <c r="G165" s="978" t="s">
        <v>4620</v>
      </c>
      <c r="H165" s="1001">
        <f>NOMINA!H141</f>
        <v>42416</v>
      </c>
      <c r="I165" s="984">
        <f>NOMINA!I141</f>
        <v>8</v>
      </c>
      <c r="J165" s="985">
        <f>NOMINA!J141</f>
        <v>0</v>
      </c>
      <c r="K165" s="984">
        <f t="shared" si="9"/>
        <v>8</v>
      </c>
      <c r="L165" s="985" t="s">
        <v>4932</v>
      </c>
      <c r="M165" s="985"/>
      <c r="N165" s="1002" t="str">
        <f>NOMINA!O141</f>
        <v>Analista de Presupuesto IV</v>
      </c>
      <c r="O165" s="985">
        <v>1.02087691000006E+18</v>
      </c>
      <c r="P165" s="999">
        <f>NOMINA!W141</f>
        <v>0</v>
      </c>
      <c r="Q165" s="986">
        <f>NOMINA!AG141</f>
        <v>0</v>
      </c>
      <c r="R165" s="986">
        <f>NOMINA!AI141</f>
        <v>0</v>
      </c>
      <c r="S165" s="986">
        <f>NOMINA!AK141</f>
        <v>0</v>
      </c>
      <c r="T165" s="986">
        <f>ROUND(NOMINA!AO141,2)</f>
        <v>0</v>
      </c>
      <c r="U165" s="986">
        <f>ROUND(NOMINA!AQ141,2)</f>
        <v>0</v>
      </c>
      <c r="V165" s="986">
        <f>ROUND(NOMINA!AR141,2)</f>
        <v>0</v>
      </c>
      <c r="W165" s="986">
        <f>ROUND(NOMINA!AS141,2)</f>
        <v>0</v>
      </c>
      <c r="X165" s="986">
        <f>ROUND(NOMINA!AW141,2)</f>
        <v>0</v>
      </c>
      <c r="Y165" s="986">
        <f>ROUND(NOMINA!AX141,2)</f>
        <v>0</v>
      </c>
      <c r="Z165" s="986">
        <f>ROUND(NOMINA!BB141,2)+ROUND(NOMINA!BF141,2)</f>
        <v>0</v>
      </c>
      <c r="AA165" s="986">
        <f>ROUND(NOMINA!BK141,2)*0</f>
        <v>0</v>
      </c>
      <c r="AB165" s="986">
        <f>ROUND(NOMINA!BG141,2)</f>
        <v>0</v>
      </c>
      <c r="AC165" s="1000">
        <f t="shared" si="10"/>
        <v>0</v>
      </c>
      <c r="AE165" s="634"/>
    </row>
    <row r="166" spans="1:31" s="629" customFormat="1" ht="20.100000000000001" customHeight="1" thickBot="1">
      <c r="A166" s="770" t="s">
        <v>2846</v>
      </c>
      <c r="B166" s="510">
        <f t="shared" si="11"/>
        <v>100</v>
      </c>
      <c r="C166" s="980">
        <f>NOMINA!C142</f>
        <v>13897046</v>
      </c>
      <c r="D166" s="981" t="str">
        <f>NOMINA!D142</f>
        <v>Artigas Sanchez Mireya Carolina</v>
      </c>
      <c r="E166" s="978" t="s">
        <v>4622</v>
      </c>
      <c r="F166" s="982">
        <v>32351</v>
      </c>
      <c r="G166" s="978" t="s">
        <v>4620</v>
      </c>
      <c r="H166" s="1001">
        <f>NOMINA!H142</f>
        <v>42384</v>
      </c>
      <c r="I166" s="984">
        <f>NOMINA!I142</f>
        <v>9</v>
      </c>
      <c r="J166" s="985">
        <f>NOMINA!J142</f>
        <v>0</v>
      </c>
      <c r="K166" s="984">
        <f t="shared" si="9"/>
        <v>9</v>
      </c>
      <c r="L166" s="985" t="s">
        <v>4932</v>
      </c>
      <c r="M166" s="985"/>
      <c r="N166" s="1002" t="str">
        <f>NOMINA!O142</f>
        <v>Tecnico Superior en Trabajo Social II</v>
      </c>
      <c r="O166" s="985">
        <v>1.02087691000006E+18</v>
      </c>
      <c r="P166" s="999">
        <f>NOMINA!W142</f>
        <v>111.5</v>
      </c>
      <c r="Q166" s="986">
        <f>NOMINA!AG142</f>
        <v>10.92</v>
      </c>
      <c r="R166" s="986">
        <f>NOMINA!AI142</f>
        <v>65</v>
      </c>
      <c r="S166" s="986">
        <f>NOMINA!AK142</f>
        <v>39.979999999999997</v>
      </c>
      <c r="T166" s="986">
        <f>ROUND(NOMINA!AO142,2)</f>
        <v>25</v>
      </c>
      <c r="U166" s="986">
        <f>ROUND(NOMINA!AQ142,2)</f>
        <v>0</v>
      </c>
      <c r="V166" s="986">
        <f>ROUND(NOMINA!AR142,2)</f>
        <v>0</v>
      </c>
      <c r="W166" s="986">
        <f>ROUND(NOMINA!AS142,2)</f>
        <v>0</v>
      </c>
      <c r="X166" s="986">
        <f>ROUND(NOMINA!AW142,2)</f>
        <v>0</v>
      </c>
      <c r="Y166" s="986">
        <f>ROUND(NOMINA!AX142,2)</f>
        <v>3838.56</v>
      </c>
      <c r="Z166" s="986">
        <f>ROUND(NOMINA!BB142,2)+ROUND(NOMINA!BF142,2)</f>
        <v>0</v>
      </c>
      <c r="AA166" s="986">
        <f>ROUND(NOMINA!BK142,2)*0</f>
        <v>0</v>
      </c>
      <c r="AB166" s="986">
        <f>ROUND(NOMINA!BG142,2)</f>
        <v>300</v>
      </c>
      <c r="AC166" s="1000">
        <f t="shared" si="10"/>
        <v>4390.96</v>
      </c>
      <c r="AE166" s="634"/>
    </row>
    <row r="167" spans="1:31" s="629" customFormat="1" ht="20.100000000000001" customHeight="1" thickBot="1">
      <c r="A167" s="770" t="s">
        <v>2846</v>
      </c>
      <c r="B167" s="510">
        <f t="shared" si="11"/>
        <v>101</v>
      </c>
      <c r="C167" s="980">
        <f>NOMINA!C143</f>
        <v>13897695</v>
      </c>
      <c r="D167" s="981" t="str">
        <f>NOMINA!D143</f>
        <v>Araujo Matheus Alba Mariela</v>
      </c>
      <c r="E167" s="978" t="s">
        <v>4622</v>
      </c>
      <c r="F167" s="982">
        <v>32351</v>
      </c>
      <c r="G167" s="978" t="s">
        <v>4620</v>
      </c>
      <c r="H167" s="1001">
        <f>NOMINA!H143</f>
        <v>39496</v>
      </c>
      <c r="I167" s="984">
        <f>NOMINA!I143</f>
        <v>16</v>
      </c>
      <c r="J167" s="985">
        <f>NOMINA!J143</f>
        <v>3</v>
      </c>
      <c r="K167" s="984">
        <f t="shared" si="9"/>
        <v>19</v>
      </c>
      <c r="L167" s="985" t="s">
        <v>4932</v>
      </c>
      <c r="M167" s="985"/>
      <c r="N167" s="1002" t="str">
        <f>NOMINA!O143</f>
        <v>Analista de Presupuesto Jefe</v>
      </c>
      <c r="O167" s="985">
        <v>1.02087691000006E+18</v>
      </c>
      <c r="P167" s="999">
        <f>NOMINA!W143</f>
        <v>143.5</v>
      </c>
      <c r="Q167" s="986">
        <f>NOMINA!AG143</f>
        <v>35.01</v>
      </c>
      <c r="R167" s="986">
        <f>NOMINA!AI143</f>
        <v>65</v>
      </c>
      <c r="S167" s="986">
        <f>NOMINA!AK143</f>
        <v>64</v>
      </c>
      <c r="T167" s="986">
        <f>ROUND(NOMINA!AO143,2)</f>
        <v>25</v>
      </c>
      <c r="U167" s="986">
        <f>ROUND(NOMINA!AQ143,2)</f>
        <v>0</v>
      </c>
      <c r="V167" s="986">
        <f>ROUND(NOMINA!AR143,2)</f>
        <v>0</v>
      </c>
      <c r="W167" s="986">
        <f>ROUND(NOMINA!AS143,2)</f>
        <v>0</v>
      </c>
      <c r="X167" s="986">
        <f>ROUND(NOMINA!AW143,2)</f>
        <v>0</v>
      </c>
      <c r="Y167" s="986">
        <f>ROUND(NOMINA!AX143,2)</f>
        <v>0</v>
      </c>
      <c r="Z167" s="986">
        <f>ROUND(NOMINA!BB143,2)+ROUND(NOMINA!BF143,2)</f>
        <v>0</v>
      </c>
      <c r="AA167" s="986">
        <f>ROUND(NOMINA!BK143,2)*0</f>
        <v>0</v>
      </c>
      <c r="AB167" s="986">
        <f>ROUND(NOMINA!BG143,2)</f>
        <v>300</v>
      </c>
      <c r="AC167" s="1000">
        <f t="shared" si="10"/>
        <v>632.51</v>
      </c>
      <c r="AE167" s="634"/>
    </row>
    <row r="168" spans="1:31" s="629" customFormat="1" ht="20.100000000000001" customHeight="1" thickBot="1">
      <c r="A168" s="770" t="s">
        <v>2846</v>
      </c>
      <c r="B168" s="510">
        <f t="shared" si="11"/>
        <v>102</v>
      </c>
      <c r="C168" s="980">
        <f>NOMINA!C144</f>
        <v>13996024</v>
      </c>
      <c r="D168" s="981" t="str">
        <f>NOMINA!D144</f>
        <v>Perez Barrios Helenmar</v>
      </c>
      <c r="E168" s="978" t="s">
        <v>4622</v>
      </c>
      <c r="F168" s="982">
        <v>32351</v>
      </c>
      <c r="G168" s="978" t="s">
        <v>4620</v>
      </c>
      <c r="H168" s="1001">
        <f>NOMINA!H144</f>
        <v>40028</v>
      </c>
      <c r="I168" s="984">
        <f>NOMINA!I144</f>
        <v>15</v>
      </c>
      <c r="J168" s="985">
        <f>NOMINA!J144</f>
        <v>0</v>
      </c>
      <c r="K168" s="984">
        <f t="shared" si="9"/>
        <v>15</v>
      </c>
      <c r="L168" s="985" t="s">
        <v>4932</v>
      </c>
      <c r="M168" s="985"/>
      <c r="N168" s="1002" t="str">
        <f>NOMINA!O144</f>
        <v>Contador III</v>
      </c>
      <c r="O168" s="985">
        <v>1.02087691000006E+18</v>
      </c>
      <c r="P168" s="999">
        <f>NOMINA!W144</f>
        <v>142.5</v>
      </c>
      <c r="Q168" s="986">
        <f>NOMINA!AG144</f>
        <v>25.65</v>
      </c>
      <c r="R168" s="986">
        <f>NOMINA!AI144</f>
        <v>65</v>
      </c>
      <c r="S168" s="986">
        <f>NOMINA!AK144</f>
        <v>59.85</v>
      </c>
      <c r="T168" s="986">
        <f>ROUND(NOMINA!AO144,2)</f>
        <v>12.5</v>
      </c>
      <c r="U168" s="986">
        <f>ROUND(NOMINA!AQ144,2)</f>
        <v>0</v>
      </c>
      <c r="V168" s="986">
        <f>ROUND(NOMINA!AR144,2)</f>
        <v>0</v>
      </c>
      <c r="W168" s="986">
        <f>ROUND(NOMINA!AS144,2)</f>
        <v>0</v>
      </c>
      <c r="X168" s="986">
        <f>ROUND(NOMINA!AW144,2)</f>
        <v>0</v>
      </c>
      <c r="Y168" s="986">
        <f>ROUND(NOMINA!AX144,2)</f>
        <v>0</v>
      </c>
      <c r="Z168" s="986">
        <f>ROUND(NOMINA!BB144,2)+ROUND(NOMINA!BF144,2)</f>
        <v>0</v>
      </c>
      <c r="AA168" s="986">
        <f>ROUND(NOMINA!BK144,2)*0</f>
        <v>0</v>
      </c>
      <c r="AB168" s="986">
        <f>ROUND(NOMINA!BG144,2)</f>
        <v>300</v>
      </c>
      <c r="AC168" s="1000">
        <f t="shared" si="10"/>
        <v>605.5</v>
      </c>
      <c r="AE168" s="634"/>
    </row>
    <row r="169" spans="1:31" s="629" customFormat="1" ht="20.100000000000001" customHeight="1" thickBot="1">
      <c r="A169" s="770" t="s">
        <v>2846</v>
      </c>
      <c r="B169" s="510">
        <f t="shared" si="11"/>
        <v>103</v>
      </c>
      <c r="C169" s="980">
        <f>NOMINA!C145</f>
        <v>14106648</v>
      </c>
      <c r="D169" s="981" t="str">
        <f>NOMINA!D145</f>
        <v>Aguilar Flores Heidy Coromoto</v>
      </c>
      <c r="E169" s="978" t="s">
        <v>4622</v>
      </c>
      <c r="F169" s="982">
        <v>32351</v>
      </c>
      <c r="G169" s="978" t="s">
        <v>4620</v>
      </c>
      <c r="H169" s="1001">
        <f>NOMINA!H145</f>
        <v>40787</v>
      </c>
      <c r="I169" s="984">
        <f>NOMINA!I145</f>
        <v>13</v>
      </c>
      <c r="J169" s="985">
        <f>NOMINA!J145</f>
        <v>6</v>
      </c>
      <c r="K169" s="984">
        <f t="shared" si="9"/>
        <v>19</v>
      </c>
      <c r="L169" s="985" t="s">
        <v>4932</v>
      </c>
      <c r="M169" s="985"/>
      <c r="N169" s="1002" t="str">
        <f>NOMINA!O145</f>
        <v>Asistente Administrativo IV</v>
      </c>
      <c r="O169" s="985">
        <v>1.02087691000006E+18</v>
      </c>
      <c r="P169" s="999">
        <f>NOMINA!W145</f>
        <v>114</v>
      </c>
      <c r="Q169" s="986">
        <f>NOMINA!AG145</f>
        <v>27.81</v>
      </c>
      <c r="R169" s="986">
        <f>NOMINA!AI145</f>
        <v>65</v>
      </c>
      <c r="S169" s="986">
        <f>NOMINA!AK145</f>
        <v>42.61</v>
      </c>
      <c r="T169" s="986">
        <f>ROUND(NOMINA!AO145,2)</f>
        <v>0</v>
      </c>
      <c r="U169" s="986">
        <f>ROUND(NOMINA!AQ145,2)</f>
        <v>0</v>
      </c>
      <c r="V169" s="986">
        <f>ROUND(NOMINA!AR145,2)</f>
        <v>0</v>
      </c>
      <c r="W169" s="986">
        <f>ROUND(NOMINA!AS145,2)</f>
        <v>0</v>
      </c>
      <c r="X169" s="986">
        <f>ROUND(NOMINA!AW145,2)</f>
        <v>0</v>
      </c>
      <c r="Y169" s="986">
        <f>ROUND(NOMINA!AX145,2)</f>
        <v>0</v>
      </c>
      <c r="Z169" s="986">
        <f>ROUND(NOMINA!BB145,2)+ROUND(NOMINA!BF145,2)</f>
        <v>0</v>
      </c>
      <c r="AA169" s="986">
        <f>ROUND(NOMINA!BK145,2)*0</f>
        <v>0</v>
      </c>
      <c r="AB169" s="986">
        <f>ROUND(NOMINA!BG145,2)</f>
        <v>300</v>
      </c>
      <c r="AC169" s="1000">
        <f t="shared" si="10"/>
        <v>549.42000000000007</v>
      </c>
      <c r="AE169" s="634"/>
    </row>
    <row r="170" spans="1:31" s="629" customFormat="1" ht="20.100000000000001" customHeight="1" thickBot="1">
      <c r="A170" s="770" t="s">
        <v>2846</v>
      </c>
      <c r="B170" s="510">
        <f t="shared" si="11"/>
        <v>104</v>
      </c>
      <c r="C170" s="980">
        <f>NOMINA!C146</f>
        <v>14329448</v>
      </c>
      <c r="D170" s="981" t="str">
        <f>NOMINA!D146</f>
        <v>Leal Mejia Jociany Trinny</v>
      </c>
      <c r="E170" s="978" t="s">
        <v>4622</v>
      </c>
      <c r="F170" s="982">
        <v>32351</v>
      </c>
      <c r="G170" s="978" t="s">
        <v>4620</v>
      </c>
      <c r="H170" s="1001">
        <f>NOMINA!H146</f>
        <v>44743</v>
      </c>
      <c r="I170" s="984">
        <f>NOMINA!I146</f>
        <v>2</v>
      </c>
      <c r="J170" s="985">
        <f>NOMINA!J146</f>
        <v>0</v>
      </c>
      <c r="K170" s="984">
        <f t="shared" si="9"/>
        <v>2</v>
      </c>
      <c r="L170" s="985" t="s">
        <v>4932</v>
      </c>
      <c r="M170" s="985"/>
      <c r="N170" s="1002" t="str">
        <f>NOMINA!O146</f>
        <v>Tutor Facilitador I</v>
      </c>
      <c r="O170" s="985">
        <v>1.02087691000006E+18</v>
      </c>
      <c r="P170" s="999">
        <f>NOMINA!W146</f>
        <v>123</v>
      </c>
      <c r="Q170" s="986">
        <f>NOMINA!AG146</f>
        <v>2.46</v>
      </c>
      <c r="R170" s="986">
        <f>NOMINA!AI146</f>
        <v>65</v>
      </c>
      <c r="S170" s="986">
        <f>NOMINA!AK146</f>
        <v>49.18</v>
      </c>
      <c r="T170" s="986">
        <f>ROUND(NOMINA!AO146,2)</f>
        <v>0</v>
      </c>
      <c r="U170" s="986">
        <f>ROUND(NOMINA!AQ146,2)</f>
        <v>0</v>
      </c>
      <c r="V170" s="986">
        <f>ROUND(NOMINA!AR146,2)</f>
        <v>0</v>
      </c>
      <c r="W170" s="986">
        <f>ROUND(NOMINA!AS146,2)</f>
        <v>0</v>
      </c>
      <c r="X170" s="986">
        <f>ROUND(NOMINA!AW146,2)</f>
        <v>0</v>
      </c>
      <c r="Y170" s="986">
        <f>ROUND(NOMINA!AX146,2)</f>
        <v>0</v>
      </c>
      <c r="Z170" s="986">
        <f>ROUND(NOMINA!BB146,2)+ROUND(NOMINA!BF146,2)</f>
        <v>0</v>
      </c>
      <c r="AA170" s="986">
        <f>ROUND(NOMINA!BK146,2)*0</f>
        <v>0</v>
      </c>
      <c r="AB170" s="986">
        <f>ROUND(NOMINA!BG146,2)</f>
        <v>300</v>
      </c>
      <c r="AC170" s="1000">
        <f t="shared" si="10"/>
        <v>539.64</v>
      </c>
      <c r="AE170" s="634"/>
    </row>
    <row r="171" spans="1:31" s="629" customFormat="1" ht="20.100000000000001" customHeight="1" thickBot="1">
      <c r="A171" s="770" t="s">
        <v>2846</v>
      </c>
      <c r="B171" s="510">
        <f t="shared" si="11"/>
        <v>105</v>
      </c>
      <c r="C171" s="980">
        <f>NOMINA!C147</f>
        <v>14406240</v>
      </c>
      <c r="D171" s="981" t="str">
        <f>NOMINA!D147</f>
        <v>Sarmiento Suarez Karem Yanira</v>
      </c>
      <c r="E171" s="978" t="s">
        <v>4622</v>
      </c>
      <c r="F171" s="982">
        <v>32351</v>
      </c>
      <c r="G171" s="978" t="s">
        <v>4620</v>
      </c>
      <c r="H171" s="1001">
        <f>NOMINA!H147</f>
        <v>43785</v>
      </c>
      <c r="I171" s="984">
        <f>NOMINA!I147</f>
        <v>5</v>
      </c>
      <c r="J171" s="985">
        <f>NOMINA!J147</f>
        <v>11</v>
      </c>
      <c r="K171" s="984">
        <f t="shared" si="9"/>
        <v>16</v>
      </c>
      <c r="L171" s="985" t="s">
        <v>4932</v>
      </c>
      <c r="M171" s="985"/>
      <c r="N171" s="1002" t="str">
        <f>NOMINA!O147</f>
        <v>Tecnico Superior en Trabajo Social II</v>
      </c>
      <c r="O171" s="985">
        <v>1.02087691000006E+18</v>
      </c>
      <c r="P171" s="999">
        <f>NOMINA!W147</f>
        <v>113</v>
      </c>
      <c r="Q171" s="986">
        <f>NOMINA!AG147</f>
        <v>22.15</v>
      </c>
      <c r="R171" s="986">
        <f>NOMINA!AI147</f>
        <v>65</v>
      </c>
      <c r="S171" s="986">
        <f>NOMINA!AK147</f>
        <v>50.04</v>
      </c>
      <c r="T171" s="986">
        <f>ROUND(NOMINA!AO147,2)</f>
        <v>0</v>
      </c>
      <c r="U171" s="986">
        <f>ROUND(NOMINA!AQ147,2)</f>
        <v>0</v>
      </c>
      <c r="V171" s="986">
        <f>ROUND(NOMINA!AR147,2)</f>
        <v>0</v>
      </c>
      <c r="W171" s="986">
        <f>ROUND(NOMINA!AS147,2)</f>
        <v>0</v>
      </c>
      <c r="X171" s="986">
        <f>ROUND(NOMINA!AW147,2)</f>
        <v>0</v>
      </c>
      <c r="Y171" s="986">
        <f>ROUND(NOMINA!AX147,2)</f>
        <v>0</v>
      </c>
      <c r="Z171" s="986">
        <f>ROUND(NOMINA!BB147,2)+ROUND(NOMINA!BF147,2)</f>
        <v>0</v>
      </c>
      <c r="AA171" s="986">
        <f>ROUND(NOMINA!BK147,2)*0</f>
        <v>0</v>
      </c>
      <c r="AB171" s="986">
        <f>ROUND(NOMINA!BG147,2)</f>
        <v>300</v>
      </c>
      <c r="AC171" s="1000">
        <f t="shared" si="10"/>
        <v>550.19000000000005</v>
      </c>
      <c r="AE171" s="634"/>
    </row>
    <row r="172" spans="1:31" s="629" customFormat="1" ht="20.100000000000001" customHeight="1" thickBot="1">
      <c r="A172" s="770" t="s">
        <v>2846</v>
      </c>
      <c r="B172" s="510">
        <f t="shared" si="11"/>
        <v>106</v>
      </c>
      <c r="C172" s="980">
        <f>NOMINA!C148</f>
        <v>14459607</v>
      </c>
      <c r="D172" s="981" t="str">
        <f>NOMINA!D148</f>
        <v>Martinez Leal Deyanira Yusissan</v>
      </c>
      <c r="E172" s="978" t="s">
        <v>4622</v>
      </c>
      <c r="F172" s="982">
        <v>32351</v>
      </c>
      <c r="G172" s="978" t="s">
        <v>4620</v>
      </c>
      <c r="H172" s="1001">
        <f>NOMINA!H148</f>
        <v>43116</v>
      </c>
      <c r="I172" s="984">
        <f>NOMINA!I148</f>
        <v>7</v>
      </c>
      <c r="J172" s="985">
        <f>NOMINA!J148</f>
        <v>0</v>
      </c>
      <c r="K172" s="984">
        <f t="shared" si="9"/>
        <v>7</v>
      </c>
      <c r="L172" s="985" t="s">
        <v>4932</v>
      </c>
      <c r="M172" s="985"/>
      <c r="N172" s="1002" t="str">
        <f>NOMINA!O148</f>
        <v>Tecnico Superior en Trabajo Social II</v>
      </c>
      <c r="O172" s="985">
        <v>1.02087691000006E+18</v>
      </c>
      <c r="P172" s="999">
        <f>NOMINA!W148</f>
        <v>110.5</v>
      </c>
      <c r="Q172" s="986">
        <f>NOMINA!AG148</f>
        <v>8.17</v>
      </c>
      <c r="R172" s="986">
        <f>NOMINA!AI148</f>
        <v>65</v>
      </c>
      <c r="S172" s="986">
        <f>NOMINA!AK148</f>
        <v>39.229999999999997</v>
      </c>
      <c r="T172" s="986">
        <f>ROUND(NOMINA!AO148,2)</f>
        <v>25</v>
      </c>
      <c r="U172" s="986">
        <f>ROUND(NOMINA!AQ148,2)</f>
        <v>0</v>
      </c>
      <c r="V172" s="986">
        <f>ROUND(NOMINA!AR148,2)</f>
        <v>0</v>
      </c>
      <c r="W172" s="986">
        <f>ROUND(NOMINA!AS148,2)</f>
        <v>0</v>
      </c>
      <c r="X172" s="986">
        <f>ROUND(NOMINA!AW148,2)</f>
        <v>0</v>
      </c>
      <c r="Y172" s="986">
        <f>ROUND(NOMINA!AX148,2)</f>
        <v>3766.56</v>
      </c>
      <c r="Z172" s="986">
        <f>ROUND(NOMINA!BB148,2)+ROUND(NOMINA!BF148,2)</f>
        <v>0</v>
      </c>
      <c r="AA172" s="986">
        <f>ROUND(NOMINA!BK148,2)*0</f>
        <v>0</v>
      </c>
      <c r="AB172" s="986">
        <f>ROUND(NOMINA!BG148,2)</f>
        <v>300</v>
      </c>
      <c r="AC172" s="1000">
        <f t="shared" si="10"/>
        <v>4314.46</v>
      </c>
      <c r="AE172" s="634"/>
    </row>
    <row r="173" spans="1:31" s="629" customFormat="1" ht="20.100000000000001" customHeight="1" thickBot="1">
      <c r="A173" s="770" t="s">
        <v>2846</v>
      </c>
      <c r="B173" s="510">
        <f t="shared" si="11"/>
        <v>107</v>
      </c>
      <c r="C173" s="980">
        <f>NOMINA!C149</f>
        <v>14598170</v>
      </c>
      <c r="D173" s="981" t="str">
        <f>NOMINA!D149</f>
        <v>Rendon Utrilla Gerson Paul</v>
      </c>
      <c r="E173" s="978" t="s">
        <v>4622</v>
      </c>
      <c r="F173" s="982">
        <v>32351</v>
      </c>
      <c r="G173" s="978" t="s">
        <v>4620</v>
      </c>
      <c r="H173" s="1001">
        <f>NOMINA!H149</f>
        <v>43435</v>
      </c>
      <c r="I173" s="984">
        <f>NOMINA!I149</f>
        <v>6</v>
      </c>
      <c r="J173" s="985">
        <f>NOMINA!J149</f>
        <v>0</v>
      </c>
      <c r="K173" s="984">
        <f t="shared" si="9"/>
        <v>6</v>
      </c>
      <c r="L173" s="985" t="s">
        <v>4932</v>
      </c>
      <c r="M173" s="985"/>
      <c r="N173" s="1002" t="str">
        <f>NOMINA!O149</f>
        <v>Tutor Facilitador III</v>
      </c>
      <c r="O173" s="985">
        <v>1.02087691000006E+18</v>
      </c>
      <c r="P173" s="999">
        <f>NOMINA!W149</f>
        <v>139.5</v>
      </c>
      <c r="Q173" s="986">
        <f>NOMINA!AG149</f>
        <v>8.65</v>
      </c>
      <c r="R173" s="986">
        <f>NOMINA!AI149</f>
        <v>65</v>
      </c>
      <c r="S173" s="986">
        <f>NOMINA!AK149</f>
        <v>54.85</v>
      </c>
      <c r="T173" s="986">
        <f>ROUND(NOMINA!AO149,2)</f>
        <v>0</v>
      </c>
      <c r="U173" s="986">
        <f>ROUND(NOMINA!AQ149,2)</f>
        <v>0</v>
      </c>
      <c r="V173" s="986">
        <f>ROUND(NOMINA!AR149,2)</f>
        <v>0</v>
      </c>
      <c r="W173" s="986">
        <f>ROUND(NOMINA!AS149,2)</f>
        <v>0</v>
      </c>
      <c r="X173" s="986">
        <f>ROUND(NOMINA!AW149,2)</f>
        <v>0</v>
      </c>
      <c r="Y173" s="986">
        <f>ROUND(NOMINA!AX149,2)</f>
        <v>0</v>
      </c>
      <c r="Z173" s="986">
        <f>ROUND(NOMINA!BB149,2)+ROUND(NOMINA!BF149,2)</f>
        <v>0</v>
      </c>
      <c r="AA173" s="986">
        <f>ROUND(NOMINA!BK149,2)*0</f>
        <v>0</v>
      </c>
      <c r="AB173" s="986">
        <f>ROUND(NOMINA!BG149,2)</f>
        <v>300</v>
      </c>
      <c r="AC173" s="1000">
        <f t="shared" si="10"/>
        <v>568</v>
      </c>
      <c r="AE173" s="634"/>
    </row>
    <row r="174" spans="1:31" s="629" customFormat="1" ht="20.100000000000001" customHeight="1" thickBot="1">
      <c r="A174" s="770" t="s">
        <v>2846</v>
      </c>
      <c r="B174" s="510">
        <f t="shared" si="11"/>
        <v>108</v>
      </c>
      <c r="C174" s="980">
        <f>NOMINA!C150</f>
        <v>14598687</v>
      </c>
      <c r="D174" s="981" t="str">
        <f>NOMINA!D150</f>
        <v>Godoy Bracamonte Juan Carlos</v>
      </c>
      <c r="E174" s="978" t="s">
        <v>4622</v>
      </c>
      <c r="F174" s="982">
        <v>32351</v>
      </c>
      <c r="G174" s="978" t="s">
        <v>4620</v>
      </c>
      <c r="H174" s="1001">
        <f>NOMINA!H150</f>
        <v>44332</v>
      </c>
      <c r="I174" s="984">
        <f>NOMINA!I150</f>
        <v>3</v>
      </c>
      <c r="J174" s="985">
        <f>NOMINA!J150</f>
        <v>0</v>
      </c>
      <c r="K174" s="984">
        <f t="shared" si="9"/>
        <v>3</v>
      </c>
      <c r="L174" s="985" t="s">
        <v>4932</v>
      </c>
      <c r="M174" s="985"/>
      <c r="N174" s="1002" t="str">
        <f>NOMINA!O150</f>
        <v>Entrenador Deportivo IV</v>
      </c>
      <c r="O174" s="985">
        <v>1.02087691000006E+18</v>
      </c>
      <c r="P174" s="999">
        <f>NOMINA!W150</f>
        <v>153.5</v>
      </c>
      <c r="Q174" s="986">
        <f>NOMINA!AG150</f>
        <v>4.5999999999999996</v>
      </c>
      <c r="R174" s="986">
        <f>NOMINA!AI150</f>
        <v>65</v>
      </c>
      <c r="S174" s="986">
        <f>NOMINA!AK150</f>
        <v>80.27</v>
      </c>
      <c r="T174" s="986">
        <f>ROUND(NOMINA!AO150,2)</f>
        <v>0</v>
      </c>
      <c r="U174" s="986">
        <f>ROUND(NOMINA!AQ150,2)</f>
        <v>0</v>
      </c>
      <c r="V174" s="986">
        <f>ROUND(NOMINA!AR150,2)</f>
        <v>0</v>
      </c>
      <c r="W174" s="986">
        <f>ROUND(NOMINA!AS150,2)</f>
        <v>0</v>
      </c>
      <c r="X174" s="986">
        <f>ROUND(NOMINA!AW150,2)</f>
        <v>0</v>
      </c>
      <c r="Y174" s="986">
        <f>ROUND(NOMINA!AX150,2)</f>
        <v>0</v>
      </c>
      <c r="Z174" s="986">
        <f>ROUND(NOMINA!BB150,2)+ROUND(NOMINA!BF150,2)</f>
        <v>0</v>
      </c>
      <c r="AA174" s="986">
        <f>ROUND(NOMINA!BK150,2)*0</f>
        <v>0</v>
      </c>
      <c r="AB174" s="986">
        <f>ROUND(NOMINA!BG150,2)</f>
        <v>300</v>
      </c>
      <c r="AC174" s="1000">
        <f t="shared" si="10"/>
        <v>603.37</v>
      </c>
      <c r="AE174" s="634"/>
    </row>
    <row r="175" spans="1:31" s="629" customFormat="1" ht="20.100000000000001" customHeight="1" thickBot="1">
      <c r="A175" s="770" t="s">
        <v>2846</v>
      </c>
      <c r="B175" s="510">
        <f t="shared" si="11"/>
        <v>109</v>
      </c>
      <c r="C175" s="980">
        <f>NOMINA!C151</f>
        <v>14719639</v>
      </c>
      <c r="D175" s="981" t="str">
        <f>NOMINA!D151</f>
        <v xml:space="preserve">Coy de Dorante Sandra Liliana </v>
      </c>
      <c r="E175" s="978" t="s">
        <v>4622</v>
      </c>
      <c r="F175" s="982">
        <v>32351</v>
      </c>
      <c r="G175" s="978" t="s">
        <v>4620</v>
      </c>
      <c r="H175" s="1001">
        <f>NOMINA!H151</f>
        <v>44896</v>
      </c>
      <c r="I175" s="984">
        <f>NOMINA!I151</f>
        <v>2</v>
      </c>
      <c r="J175" s="985">
        <f>NOMINA!J151</f>
        <v>0</v>
      </c>
      <c r="K175" s="984">
        <f t="shared" si="9"/>
        <v>2</v>
      </c>
      <c r="L175" s="985" t="s">
        <v>4932</v>
      </c>
      <c r="M175" s="985"/>
      <c r="N175" s="1002" t="str">
        <f>NOMINA!O151</f>
        <v>Guia de Centro I</v>
      </c>
      <c r="O175" s="985">
        <v>1.02087691000006E+18</v>
      </c>
      <c r="P175" s="999">
        <f>NOMINA!W151</f>
        <v>65</v>
      </c>
      <c r="Q175" s="986">
        <f>NOMINA!AG151</f>
        <v>1.3</v>
      </c>
      <c r="R175" s="986">
        <f>NOMINA!AI151</f>
        <v>65</v>
      </c>
      <c r="S175" s="986">
        <f>NOMINA!AK151</f>
        <v>0</v>
      </c>
      <c r="T175" s="986">
        <f>ROUND(NOMINA!AO151,2)</f>
        <v>0</v>
      </c>
      <c r="U175" s="986">
        <f>ROUND(NOMINA!AQ151,2)</f>
        <v>0</v>
      </c>
      <c r="V175" s="986">
        <f>ROUND(NOMINA!AR151,2)</f>
        <v>0</v>
      </c>
      <c r="W175" s="986">
        <f>ROUND(NOMINA!AS151,2)</f>
        <v>0</v>
      </c>
      <c r="X175" s="986">
        <f>ROUND(NOMINA!AW151,2)</f>
        <v>86.28</v>
      </c>
      <c r="Y175" s="986">
        <f>ROUND(NOMINA!AX151,2)</f>
        <v>0</v>
      </c>
      <c r="Z175" s="986">
        <f>ROUND(NOMINA!BB151,2)+ROUND(NOMINA!BF151,2)</f>
        <v>56.08</v>
      </c>
      <c r="AA175" s="986">
        <f>ROUND(NOMINA!BK151,2)*0</f>
        <v>0</v>
      </c>
      <c r="AB175" s="986">
        <f>ROUND(NOMINA!BG151,2)</f>
        <v>300</v>
      </c>
      <c r="AC175" s="1000">
        <f t="shared" si="10"/>
        <v>573.66000000000008</v>
      </c>
      <c r="AE175" s="634"/>
    </row>
    <row r="176" spans="1:31" s="629" customFormat="1" ht="20.100000000000001" customHeight="1" thickBot="1">
      <c r="A176" s="770" t="s">
        <v>2846</v>
      </c>
      <c r="B176" s="510">
        <f t="shared" si="11"/>
        <v>110</v>
      </c>
      <c r="C176" s="980">
        <f>NOMINA!C152</f>
        <v>14739168</v>
      </c>
      <c r="D176" s="981" t="str">
        <f>NOMINA!D152</f>
        <v>Briceño Hernandez Yeny Del Carmen</v>
      </c>
      <c r="E176" s="978" t="s">
        <v>4622</v>
      </c>
      <c r="F176" s="982">
        <v>32351</v>
      </c>
      <c r="G176" s="978" t="s">
        <v>4620</v>
      </c>
      <c r="H176" s="1001">
        <f>NOMINA!H152</f>
        <v>38841</v>
      </c>
      <c r="I176" s="984">
        <f>NOMINA!I152</f>
        <v>18</v>
      </c>
      <c r="J176" s="985">
        <f>NOMINA!J152</f>
        <v>0</v>
      </c>
      <c r="K176" s="984">
        <f t="shared" si="9"/>
        <v>18</v>
      </c>
      <c r="L176" s="985" t="s">
        <v>4932</v>
      </c>
      <c r="M176" s="985"/>
      <c r="N176" s="1002" t="str">
        <f>NOMINA!O152</f>
        <v>Trabajador Social III</v>
      </c>
      <c r="O176" s="985">
        <v>1.02087691000006E+18</v>
      </c>
      <c r="P176" s="999">
        <f>NOMINA!W152</f>
        <v>114</v>
      </c>
      <c r="Q176" s="986">
        <f>NOMINA!AG152</f>
        <v>25.99</v>
      </c>
      <c r="R176" s="986">
        <f>NOMINA!AI152</f>
        <v>65</v>
      </c>
      <c r="S176" s="986">
        <f>NOMINA!AK152</f>
        <v>42.25</v>
      </c>
      <c r="T176" s="986">
        <f>ROUND(NOMINA!AO152,2)</f>
        <v>12.5</v>
      </c>
      <c r="U176" s="986">
        <f>ROUND(NOMINA!AQ152,2)</f>
        <v>0</v>
      </c>
      <c r="V176" s="986">
        <f>ROUND(NOMINA!AR152,2)</f>
        <v>0</v>
      </c>
      <c r="W176" s="986">
        <f>ROUND(NOMINA!AS152,2)</f>
        <v>0</v>
      </c>
      <c r="X176" s="986">
        <f>ROUND(NOMINA!AW152,2)</f>
        <v>0</v>
      </c>
      <c r="Y176" s="986">
        <f>ROUND(NOMINA!AX152,2)</f>
        <v>0</v>
      </c>
      <c r="Z176" s="986">
        <f>ROUND(NOMINA!BB152,2)+ROUND(NOMINA!BF152,2)</f>
        <v>0</v>
      </c>
      <c r="AA176" s="986">
        <f>ROUND(NOMINA!BK152,2)*0</f>
        <v>0</v>
      </c>
      <c r="AB176" s="986">
        <f>ROUND(NOMINA!BG152,2)</f>
        <v>300</v>
      </c>
      <c r="AC176" s="1000">
        <f t="shared" si="10"/>
        <v>559.74</v>
      </c>
      <c r="AE176" s="634"/>
    </row>
    <row r="177" spans="1:31" s="629" customFormat="1" ht="20.100000000000001" customHeight="1" thickBot="1">
      <c r="A177" s="770" t="s">
        <v>2846</v>
      </c>
      <c r="B177" s="510">
        <f t="shared" si="11"/>
        <v>111</v>
      </c>
      <c r="C177" s="980">
        <f>NOMINA!C153</f>
        <v>14928034</v>
      </c>
      <c r="D177" s="981" t="str">
        <f>NOMINA!D153</f>
        <v>Ramirez Palomares Mariana Teresa</v>
      </c>
      <c r="E177" s="978" t="s">
        <v>4622</v>
      </c>
      <c r="F177" s="982">
        <v>32351</v>
      </c>
      <c r="G177" s="978" t="s">
        <v>4620</v>
      </c>
      <c r="H177" s="1001">
        <f>NOMINA!H153</f>
        <v>44302</v>
      </c>
      <c r="I177" s="984">
        <f>NOMINA!I153</f>
        <v>3</v>
      </c>
      <c r="J177" s="985">
        <f>NOMINA!J153</f>
        <v>11</v>
      </c>
      <c r="K177" s="984">
        <f t="shared" si="9"/>
        <v>14</v>
      </c>
      <c r="L177" s="985" t="s">
        <v>4932</v>
      </c>
      <c r="M177" s="985"/>
      <c r="N177" s="1002" t="str">
        <f>NOMINA!O153</f>
        <v>Promotor Cultural I</v>
      </c>
      <c r="O177" s="985">
        <v>1.02087691000006E+18</v>
      </c>
      <c r="P177" s="999">
        <f>NOMINA!W153</f>
        <v>87</v>
      </c>
      <c r="Q177" s="986">
        <f>NOMINA!AG153</f>
        <v>14.44</v>
      </c>
      <c r="R177" s="986">
        <f>NOMINA!AI153</f>
        <v>65</v>
      </c>
      <c r="S177" s="986">
        <f>NOMINA!AK153</f>
        <v>0</v>
      </c>
      <c r="T177" s="986">
        <f>ROUND(NOMINA!AO153,2)</f>
        <v>0</v>
      </c>
      <c r="U177" s="986">
        <f>ROUND(NOMINA!AQ153,2)</f>
        <v>0</v>
      </c>
      <c r="V177" s="986">
        <f>ROUND(NOMINA!AR153,2)</f>
        <v>0</v>
      </c>
      <c r="W177" s="986">
        <f>ROUND(NOMINA!AS153,2)</f>
        <v>0</v>
      </c>
      <c r="X177" s="986">
        <f>ROUND(NOMINA!AW153,2)</f>
        <v>0</v>
      </c>
      <c r="Y177" s="986">
        <f>ROUND(NOMINA!AX153,2)</f>
        <v>0</v>
      </c>
      <c r="Z177" s="986">
        <f>ROUND(NOMINA!BB153,2)+ROUND(NOMINA!BF153,2)</f>
        <v>0</v>
      </c>
      <c r="AA177" s="986">
        <f>ROUND(NOMINA!BK153,2)*0</f>
        <v>0</v>
      </c>
      <c r="AB177" s="986">
        <f>ROUND(NOMINA!BG153,2)</f>
        <v>300</v>
      </c>
      <c r="AC177" s="1000">
        <f t="shared" si="10"/>
        <v>466.44</v>
      </c>
      <c r="AE177" s="634"/>
    </row>
    <row r="178" spans="1:31" s="629" customFormat="1" ht="20.100000000000001" customHeight="1" thickBot="1">
      <c r="A178" s="770" t="s">
        <v>2846</v>
      </c>
      <c r="B178" s="510">
        <f t="shared" si="11"/>
        <v>112</v>
      </c>
      <c r="C178" s="980">
        <f>NOMINA!C154</f>
        <v>14928260</v>
      </c>
      <c r="D178" s="981" t="str">
        <f>NOMINA!D154</f>
        <v>Rivas Ana Lucila</v>
      </c>
      <c r="E178" s="978" t="s">
        <v>4622</v>
      </c>
      <c r="F178" s="982">
        <v>32351</v>
      </c>
      <c r="G178" s="978" t="s">
        <v>4620</v>
      </c>
      <c r="H178" s="1001">
        <f>NOMINA!H154</f>
        <v>39104</v>
      </c>
      <c r="I178" s="984">
        <f>NOMINA!I154</f>
        <v>18</v>
      </c>
      <c r="J178" s="985">
        <f>NOMINA!J154</f>
        <v>0</v>
      </c>
      <c r="K178" s="984">
        <f t="shared" si="9"/>
        <v>18</v>
      </c>
      <c r="L178" s="985" t="s">
        <v>4932</v>
      </c>
      <c r="M178" s="985"/>
      <c r="N178" s="1002" t="str">
        <f>NOMINA!O154</f>
        <v>Tutor Facilitador I</v>
      </c>
      <c r="O178" s="985">
        <v>1.02087691000006E+18</v>
      </c>
      <c r="P178" s="999">
        <f>NOMINA!W154</f>
        <v>114</v>
      </c>
      <c r="Q178" s="986">
        <f>NOMINA!AG154</f>
        <v>25.99</v>
      </c>
      <c r="R178" s="986">
        <f>NOMINA!AI154</f>
        <v>65</v>
      </c>
      <c r="S178" s="986">
        <f>NOMINA!AK154</f>
        <v>42.25</v>
      </c>
      <c r="T178" s="986">
        <f>ROUND(NOMINA!AO154,2)</f>
        <v>0</v>
      </c>
      <c r="U178" s="986">
        <f>ROUND(NOMINA!AQ154,2)</f>
        <v>0</v>
      </c>
      <c r="V178" s="986">
        <f>ROUND(NOMINA!AR154,2)</f>
        <v>0</v>
      </c>
      <c r="W178" s="986">
        <f>ROUND(NOMINA!AS154,2)</f>
        <v>0</v>
      </c>
      <c r="X178" s="986">
        <f>ROUND(NOMINA!AW154,2)</f>
        <v>0</v>
      </c>
      <c r="Y178" s="986">
        <f>ROUND(NOMINA!AX154,2)</f>
        <v>4055.84</v>
      </c>
      <c r="Z178" s="986">
        <f>ROUND(NOMINA!BB154,2)+ROUND(NOMINA!BF154,2)</f>
        <v>0</v>
      </c>
      <c r="AA178" s="986">
        <f>ROUND(NOMINA!BK154,2)*0</f>
        <v>0</v>
      </c>
      <c r="AB178" s="986">
        <f>ROUND(NOMINA!BG154,2)</f>
        <v>300</v>
      </c>
      <c r="AC178" s="1000">
        <f t="shared" si="10"/>
        <v>4603.08</v>
      </c>
      <c r="AE178" s="634"/>
    </row>
    <row r="179" spans="1:31" s="629" customFormat="1" ht="20.100000000000001" customHeight="1" thickBot="1">
      <c r="A179" s="770" t="s">
        <v>2846</v>
      </c>
      <c r="B179" s="510">
        <f t="shared" si="11"/>
        <v>113</v>
      </c>
      <c r="C179" s="980">
        <f>NOMINA!C155</f>
        <v>14929642</v>
      </c>
      <c r="D179" s="981" t="str">
        <f>NOMINA!D155</f>
        <v>Alvarran Arjona Ismenia Del Carmen</v>
      </c>
      <c r="E179" s="978" t="s">
        <v>4622</v>
      </c>
      <c r="F179" s="982">
        <v>32351</v>
      </c>
      <c r="G179" s="978" t="s">
        <v>4620</v>
      </c>
      <c r="H179" s="1001">
        <f>NOMINA!H155</f>
        <v>43419</v>
      </c>
      <c r="I179" s="984">
        <f>NOMINA!I155</f>
        <v>6</v>
      </c>
      <c r="J179" s="985">
        <f>NOMINA!J155</f>
        <v>0</v>
      </c>
      <c r="K179" s="984">
        <f t="shared" si="9"/>
        <v>6</v>
      </c>
      <c r="L179" s="985" t="s">
        <v>4932</v>
      </c>
      <c r="M179" s="985"/>
      <c r="N179" s="1002" t="str">
        <f>NOMINA!O155</f>
        <v>GUIA DE CENTRO II</v>
      </c>
      <c r="O179" s="985">
        <v>1.02087691000006E+18</v>
      </c>
      <c r="P179" s="999">
        <f>NOMINA!W155</f>
        <v>110.5</v>
      </c>
      <c r="Q179" s="986">
        <f>NOMINA!AG155</f>
        <v>6.85</v>
      </c>
      <c r="R179" s="986">
        <f>NOMINA!AI155</f>
        <v>65</v>
      </c>
      <c r="S179" s="986">
        <f>NOMINA!AK155</f>
        <v>37.72</v>
      </c>
      <c r="T179" s="986">
        <f>ROUND(NOMINA!AO155,2)</f>
        <v>12.5</v>
      </c>
      <c r="U179" s="986">
        <f>ROUND(NOMINA!AQ155,2)</f>
        <v>0</v>
      </c>
      <c r="V179" s="986">
        <f>ROUND(NOMINA!AR155,2)</f>
        <v>0</v>
      </c>
      <c r="W179" s="986">
        <f>ROUND(NOMINA!AS155,2)</f>
        <v>0</v>
      </c>
      <c r="X179" s="986">
        <f>ROUND(NOMINA!AW155,2)</f>
        <v>135.79</v>
      </c>
      <c r="Y179" s="986">
        <f>ROUND(NOMINA!AX155,2)</f>
        <v>0</v>
      </c>
      <c r="Z179" s="986">
        <f>ROUND(NOMINA!BB155,2)+ROUND(NOMINA!BF155,2)</f>
        <v>88.26</v>
      </c>
      <c r="AA179" s="986">
        <f>ROUND(NOMINA!BK155,2)*0</f>
        <v>0</v>
      </c>
      <c r="AB179" s="986">
        <f>ROUND(NOMINA!BG155,2)</f>
        <v>300</v>
      </c>
      <c r="AC179" s="1000">
        <f t="shared" si="10"/>
        <v>756.62</v>
      </c>
      <c r="AE179" s="634"/>
    </row>
    <row r="180" spans="1:31" s="629" customFormat="1" ht="20.100000000000001" customHeight="1" thickBot="1">
      <c r="A180" s="770" t="s">
        <v>2846</v>
      </c>
      <c r="B180" s="510">
        <f t="shared" si="11"/>
        <v>114</v>
      </c>
      <c r="C180" s="980">
        <f>NOMINA!C156</f>
        <v>14986675</v>
      </c>
      <c r="D180" s="981" t="str">
        <f>NOMINA!D156</f>
        <v>Mecias Nuñez Shirly Ygnacia</v>
      </c>
      <c r="E180" s="978" t="s">
        <v>4622</v>
      </c>
      <c r="F180" s="982">
        <v>32351</v>
      </c>
      <c r="G180" s="978" t="s">
        <v>4620</v>
      </c>
      <c r="H180" s="1001">
        <f>NOMINA!H156</f>
        <v>44805</v>
      </c>
      <c r="I180" s="984">
        <f>NOMINA!I156</f>
        <v>2</v>
      </c>
      <c r="J180" s="985">
        <f>NOMINA!J156</f>
        <v>0</v>
      </c>
      <c r="K180" s="984">
        <f t="shared" si="9"/>
        <v>2</v>
      </c>
      <c r="L180" s="985" t="s">
        <v>4932</v>
      </c>
      <c r="M180" s="985"/>
      <c r="N180" s="1002" t="str">
        <f>NOMINA!O156</f>
        <v>Tutor Facilitador I</v>
      </c>
      <c r="O180" s="985">
        <v>1.02087691000006E+18</v>
      </c>
      <c r="P180" s="999">
        <f>NOMINA!W156</f>
        <v>123</v>
      </c>
      <c r="Q180" s="986">
        <f>NOMINA!AG156</f>
        <v>2.46</v>
      </c>
      <c r="R180" s="986">
        <f>NOMINA!AI156</f>
        <v>65</v>
      </c>
      <c r="S180" s="986">
        <f>NOMINA!AK156</f>
        <v>50.74</v>
      </c>
      <c r="T180" s="986">
        <f>ROUND(NOMINA!AO156,2)</f>
        <v>0</v>
      </c>
      <c r="U180" s="986">
        <f>ROUND(NOMINA!AQ156,2)</f>
        <v>0</v>
      </c>
      <c r="V180" s="986">
        <f>ROUND(NOMINA!AR156,2)</f>
        <v>0</v>
      </c>
      <c r="W180" s="986">
        <f>ROUND(NOMINA!AS156,2)</f>
        <v>0</v>
      </c>
      <c r="X180" s="986">
        <f>ROUND(NOMINA!AW156,2)</f>
        <v>0</v>
      </c>
      <c r="Y180" s="986">
        <f>ROUND(NOMINA!AX156,2)</f>
        <v>0</v>
      </c>
      <c r="Z180" s="986">
        <f>ROUND(NOMINA!BB156,2)+ROUND(NOMINA!BF156,2)</f>
        <v>0</v>
      </c>
      <c r="AA180" s="986">
        <f>ROUND(NOMINA!BK156,2)*0</f>
        <v>0</v>
      </c>
      <c r="AB180" s="986">
        <f>ROUND(NOMINA!BG156,2)</f>
        <v>300</v>
      </c>
      <c r="AC180" s="1000">
        <f t="shared" si="10"/>
        <v>541.20000000000005</v>
      </c>
      <c r="AE180" s="634"/>
    </row>
    <row r="181" spans="1:31" s="629" customFormat="1" ht="20.100000000000001" customHeight="1" thickBot="1">
      <c r="A181" s="770" t="s">
        <v>2846</v>
      </c>
      <c r="B181" s="510">
        <f t="shared" si="11"/>
        <v>115</v>
      </c>
      <c r="C181" s="980">
        <f>NOMINA!C157</f>
        <v>15188927</v>
      </c>
      <c r="D181" s="981" t="str">
        <f>NOMINA!D157</f>
        <v>Linares Villarreal Rosmely del Carmen</v>
      </c>
      <c r="E181" s="978" t="s">
        <v>4622</v>
      </c>
      <c r="F181" s="982">
        <v>32351</v>
      </c>
      <c r="G181" s="978" t="s">
        <v>4620</v>
      </c>
      <c r="H181" s="1001">
        <f>NOMINA!H157</f>
        <v>44409</v>
      </c>
      <c r="I181" s="984">
        <f>NOMINA!I157</f>
        <v>3</v>
      </c>
      <c r="J181" s="985">
        <f>NOMINA!J157</f>
        <v>0</v>
      </c>
      <c r="K181" s="984">
        <f t="shared" si="9"/>
        <v>3</v>
      </c>
      <c r="L181" s="985" t="s">
        <v>4932</v>
      </c>
      <c r="M181" s="985"/>
      <c r="N181" s="1002" t="str">
        <f>NOMINA!O157</f>
        <v>Guia de Centro II</v>
      </c>
      <c r="O181" s="985">
        <v>1.02087691000006E+18</v>
      </c>
      <c r="P181" s="999">
        <f>NOMINA!W157</f>
        <v>75</v>
      </c>
      <c r="Q181" s="986">
        <f>NOMINA!AG157</f>
        <v>2.25</v>
      </c>
      <c r="R181" s="986">
        <f>NOMINA!AI157</f>
        <v>65</v>
      </c>
      <c r="S181" s="986">
        <f>NOMINA!AK157</f>
        <v>0</v>
      </c>
      <c r="T181" s="986">
        <f>ROUND(NOMINA!AO157,2)</f>
        <v>0</v>
      </c>
      <c r="U181" s="986">
        <f>ROUND(NOMINA!AQ157,2)</f>
        <v>0</v>
      </c>
      <c r="V181" s="986">
        <f>ROUND(NOMINA!AR157,2)</f>
        <v>0</v>
      </c>
      <c r="W181" s="986">
        <f>ROUND(NOMINA!AS157,2)</f>
        <v>0</v>
      </c>
      <c r="X181" s="986">
        <f>ROUND(NOMINA!AW157,2)</f>
        <v>92.85</v>
      </c>
      <c r="Y181" s="986">
        <f>ROUND(NOMINA!AX157,2)</f>
        <v>0</v>
      </c>
      <c r="Z181" s="986">
        <f>ROUND(NOMINA!BB157,2)+ROUND(NOMINA!BF157,2)</f>
        <v>60.35</v>
      </c>
      <c r="AA181" s="986">
        <f>ROUND(NOMINA!BK157,2)*0</f>
        <v>0</v>
      </c>
      <c r="AB181" s="986">
        <f>ROUND(NOMINA!BG157,2)</f>
        <v>300</v>
      </c>
      <c r="AC181" s="1000">
        <f t="shared" si="10"/>
        <v>595.45000000000005</v>
      </c>
      <c r="AE181" s="634"/>
    </row>
    <row r="182" spans="1:31" s="629" customFormat="1" ht="20.100000000000001" customHeight="1" thickBot="1">
      <c r="A182" s="770" t="s">
        <v>2846</v>
      </c>
      <c r="B182" s="510">
        <f t="shared" si="11"/>
        <v>116</v>
      </c>
      <c r="C182" s="980">
        <f>NOMINA!C158</f>
        <v>15560762</v>
      </c>
      <c r="D182" s="981" t="str">
        <f>NOMINA!D158</f>
        <v>Villalobos Javier Jose</v>
      </c>
      <c r="E182" s="978" t="s">
        <v>4622</v>
      </c>
      <c r="F182" s="982">
        <v>32351</v>
      </c>
      <c r="G182" s="978" t="s">
        <v>4620</v>
      </c>
      <c r="H182" s="1001">
        <f>NOMINA!H158</f>
        <v>45474</v>
      </c>
      <c r="I182" s="984">
        <f>NOMINA!I158</f>
        <v>0</v>
      </c>
      <c r="J182" s="985">
        <f>NOMINA!J158</f>
        <v>0</v>
      </c>
      <c r="K182" s="984">
        <f t="shared" si="9"/>
        <v>0</v>
      </c>
      <c r="L182" s="985" t="s">
        <v>4932</v>
      </c>
      <c r="M182" s="985"/>
      <c r="N182" s="1002" t="str">
        <f>NOMINA!O158</f>
        <v>Entrenador Deportivo IV</v>
      </c>
      <c r="O182" s="985">
        <v>1.02087691000006E+18</v>
      </c>
      <c r="P182" s="999">
        <f>NOMINA!W158</f>
        <v>123</v>
      </c>
      <c r="Q182" s="986">
        <f>NOMINA!AG158</f>
        <v>0</v>
      </c>
      <c r="R182" s="986">
        <f>NOMINA!AI158</f>
        <v>65</v>
      </c>
      <c r="S182" s="986">
        <f>NOMINA!AK158</f>
        <v>48.56</v>
      </c>
      <c r="T182" s="986">
        <f>ROUND(NOMINA!AO158,2)</f>
        <v>12.5</v>
      </c>
      <c r="U182" s="986">
        <f>ROUND(NOMINA!AQ158,2)</f>
        <v>0</v>
      </c>
      <c r="V182" s="986">
        <f>ROUND(NOMINA!AR158,2)</f>
        <v>0</v>
      </c>
      <c r="W182" s="986">
        <f>ROUND(NOMINA!AS158,2)</f>
        <v>0</v>
      </c>
      <c r="X182" s="986">
        <f>ROUND(NOMINA!AW158,2)</f>
        <v>0</v>
      </c>
      <c r="Y182" s="986">
        <f>ROUND(NOMINA!AX158,2)</f>
        <v>0</v>
      </c>
      <c r="Z182" s="986">
        <f>ROUND(NOMINA!BB158,2)+ROUND(NOMINA!BF158,2)</f>
        <v>0</v>
      </c>
      <c r="AA182" s="986">
        <f>ROUND(NOMINA!BK158,2)*0</f>
        <v>0</v>
      </c>
      <c r="AB182" s="986">
        <f>ROUND(NOMINA!BG158,2)</f>
        <v>300</v>
      </c>
      <c r="AC182" s="1000">
        <f t="shared" si="10"/>
        <v>549.05999999999995</v>
      </c>
      <c r="AE182" s="634"/>
    </row>
    <row r="183" spans="1:31" s="629" customFormat="1" ht="20.100000000000001" customHeight="1" thickBot="1">
      <c r="A183" s="770" t="s">
        <v>2846</v>
      </c>
      <c r="B183" s="510">
        <f t="shared" si="11"/>
        <v>117</v>
      </c>
      <c r="C183" s="980">
        <f>NOMINA!C159</f>
        <v>15583745</v>
      </c>
      <c r="D183" s="981" t="str">
        <f>NOMINA!D159</f>
        <v>Briceño Araujo Alexander Javier</v>
      </c>
      <c r="E183" s="978" t="s">
        <v>4622</v>
      </c>
      <c r="F183" s="982">
        <v>32351</v>
      </c>
      <c r="G183" s="978" t="s">
        <v>4620</v>
      </c>
      <c r="H183" s="1001">
        <f>NOMINA!H159</f>
        <v>43481</v>
      </c>
      <c r="I183" s="984">
        <f>NOMINA!I159</f>
        <v>6</v>
      </c>
      <c r="J183" s="985">
        <f>NOMINA!J159</f>
        <v>0</v>
      </c>
      <c r="K183" s="984">
        <f t="shared" si="9"/>
        <v>6</v>
      </c>
      <c r="L183" s="985" t="s">
        <v>4932</v>
      </c>
      <c r="M183" s="985"/>
      <c r="N183" s="1002" t="str">
        <f>NOMINA!O159</f>
        <v>Administrador II</v>
      </c>
      <c r="O183" s="985">
        <v>1.02087691000006E+18</v>
      </c>
      <c r="P183" s="999">
        <f>NOMINA!W159</f>
        <v>139.5</v>
      </c>
      <c r="Q183" s="986">
        <f>NOMINA!AG159</f>
        <v>8.65</v>
      </c>
      <c r="R183" s="986">
        <f>NOMINA!AI159</f>
        <v>65</v>
      </c>
      <c r="S183" s="986">
        <f>NOMINA!AK159</f>
        <v>53.29</v>
      </c>
      <c r="T183" s="986">
        <f>ROUND(NOMINA!AO159,2)</f>
        <v>0</v>
      </c>
      <c r="U183" s="986">
        <f>ROUND(NOMINA!AQ159,2)</f>
        <v>0</v>
      </c>
      <c r="V183" s="986">
        <f>ROUND(NOMINA!AR159,2)</f>
        <v>0</v>
      </c>
      <c r="W183" s="986">
        <f>ROUND(NOMINA!AS159,2)</f>
        <v>0</v>
      </c>
      <c r="X183" s="986">
        <f>ROUND(NOMINA!AW159,2)</f>
        <v>0</v>
      </c>
      <c r="Y183" s="986">
        <f>ROUND(NOMINA!AX159,2)</f>
        <v>4263.04</v>
      </c>
      <c r="Z183" s="986">
        <f>ROUND(NOMINA!BB159,2)+ROUND(NOMINA!BF159,2)</f>
        <v>0</v>
      </c>
      <c r="AA183" s="986">
        <f>ROUND(NOMINA!BK159,2)*0</f>
        <v>0</v>
      </c>
      <c r="AB183" s="986">
        <f>ROUND(NOMINA!BG159,2)</f>
        <v>300</v>
      </c>
      <c r="AC183" s="1000">
        <f t="shared" si="10"/>
        <v>4829.4799999999996</v>
      </c>
      <c r="AE183" s="634"/>
    </row>
    <row r="184" spans="1:31" s="629" customFormat="1" ht="20.100000000000001" customHeight="1" thickBot="1">
      <c r="A184" s="770" t="s">
        <v>2846</v>
      </c>
      <c r="B184" s="510">
        <f t="shared" si="11"/>
        <v>118</v>
      </c>
      <c r="C184" s="980">
        <f>NOMINA!C160</f>
        <v>15588470</v>
      </c>
      <c r="D184" s="981" t="str">
        <f>NOMINA!D160</f>
        <v>Briceño Lozada Maraiby Coromoto</v>
      </c>
      <c r="E184" s="978" t="s">
        <v>4622</v>
      </c>
      <c r="F184" s="982">
        <v>32351</v>
      </c>
      <c r="G184" s="978" t="s">
        <v>4620</v>
      </c>
      <c r="H184" s="1001">
        <f>NOMINA!H160</f>
        <v>39098</v>
      </c>
      <c r="I184" s="984">
        <f>NOMINA!I160</f>
        <v>18</v>
      </c>
      <c r="J184" s="985">
        <f>NOMINA!J160</f>
        <v>0</v>
      </c>
      <c r="K184" s="984">
        <f t="shared" si="9"/>
        <v>18</v>
      </c>
      <c r="L184" s="985" t="s">
        <v>4932</v>
      </c>
      <c r="M184" s="985"/>
      <c r="N184" s="1002" t="str">
        <f>NOMINA!O160</f>
        <v>Trabajador Social II</v>
      </c>
      <c r="O184" s="985">
        <v>1.02087691000006E+18</v>
      </c>
      <c r="P184" s="999">
        <f>NOMINA!W160</f>
        <v>114</v>
      </c>
      <c r="Q184" s="986">
        <f>NOMINA!AG160</f>
        <v>25.99</v>
      </c>
      <c r="R184" s="986">
        <f>NOMINA!AI160</f>
        <v>65</v>
      </c>
      <c r="S184" s="986">
        <f>NOMINA!AK160</f>
        <v>42.25</v>
      </c>
      <c r="T184" s="986">
        <f>ROUND(NOMINA!AO160,2)</f>
        <v>12.5</v>
      </c>
      <c r="U184" s="986">
        <f>ROUND(NOMINA!AQ160,2)</f>
        <v>0</v>
      </c>
      <c r="V184" s="986">
        <f>ROUND(NOMINA!AR160,2)</f>
        <v>0</v>
      </c>
      <c r="W184" s="986">
        <f>ROUND(NOMINA!AS160,2)</f>
        <v>0</v>
      </c>
      <c r="X184" s="986">
        <f>ROUND(NOMINA!AW160,2)</f>
        <v>0</v>
      </c>
      <c r="Y184" s="986">
        <f>ROUND(NOMINA!AX160,2)</f>
        <v>4055.84</v>
      </c>
      <c r="Z184" s="986">
        <f>ROUND(NOMINA!BB160,2)+ROUND(NOMINA!BF160,2)</f>
        <v>0</v>
      </c>
      <c r="AA184" s="986">
        <f>ROUND(NOMINA!BK160,2)*0</f>
        <v>0</v>
      </c>
      <c r="AB184" s="986">
        <f>ROUND(NOMINA!BG160,2)</f>
        <v>300</v>
      </c>
      <c r="AC184" s="1000">
        <f t="shared" si="10"/>
        <v>4615.58</v>
      </c>
      <c r="AE184" s="634"/>
    </row>
    <row r="185" spans="1:31" s="629" customFormat="1" ht="20.100000000000001" customHeight="1" thickBot="1">
      <c r="A185" s="770" t="s">
        <v>2846</v>
      </c>
      <c r="B185" s="510">
        <f t="shared" si="11"/>
        <v>119</v>
      </c>
      <c r="C185" s="980">
        <f>NOMINA!C161</f>
        <v>15752048</v>
      </c>
      <c r="D185" s="981" t="str">
        <f>NOMINA!D161</f>
        <v>Briceño Rangel Sudney Dayan</v>
      </c>
      <c r="E185" s="978" t="s">
        <v>4622</v>
      </c>
      <c r="F185" s="982">
        <v>32351</v>
      </c>
      <c r="G185" s="978" t="s">
        <v>4620</v>
      </c>
      <c r="H185" s="1001">
        <f>NOMINA!H161</f>
        <v>39679</v>
      </c>
      <c r="I185" s="984">
        <f>NOMINA!I161</f>
        <v>16</v>
      </c>
      <c r="J185" s="985">
        <f>NOMINA!J161</f>
        <v>0</v>
      </c>
      <c r="K185" s="984">
        <f t="shared" si="9"/>
        <v>16</v>
      </c>
      <c r="L185" s="985" t="s">
        <v>4932</v>
      </c>
      <c r="M185" s="985"/>
      <c r="N185" s="1002" t="str">
        <f>NOMINA!O161</f>
        <v>Guia de Centro II</v>
      </c>
      <c r="O185" s="985">
        <v>1.02087691000006E+18</v>
      </c>
      <c r="P185" s="999">
        <f>NOMINA!W161</f>
        <v>157</v>
      </c>
      <c r="Q185" s="986">
        <f>NOMINA!AG161</f>
        <v>30.77</v>
      </c>
      <c r="R185" s="986">
        <f>NOMINA!AI161</f>
        <v>65</v>
      </c>
      <c r="S185" s="986">
        <f>NOMINA!AK161</f>
        <v>88.47</v>
      </c>
      <c r="T185" s="986">
        <f>ROUND(NOMINA!AO161,2)</f>
        <v>0</v>
      </c>
      <c r="U185" s="986">
        <f>ROUND(NOMINA!AQ161,2)</f>
        <v>0</v>
      </c>
      <c r="V185" s="986">
        <f>ROUND(NOMINA!AR161,2)</f>
        <v>0</v>
      </c>
      <c r="W185" s="986">
        <f>ROUND(NOMINA!AS161,2)</f>
        <v>0</v>
      </c>
      <c r="X185" s="986">
        <f>ROUND(NOMINA!AW161,2)</f>
        <v>0</v>
      </c>
      <c r="Y185" s="986">
        <f>ROUND(NOMINA!AX161,2)</f>
        <v>0</v>
      </c>
      <c r="Z185" s="986">
        <f>ROUND(NOMINA!BB161,2)+ROUND(NOMINA!BF161,2)</f>
        <v>0</v>
      </c>
      <c r="AA185" s="986">
        <f>ROUND(NOMINA!BK161,2)*0</f>
        <v>0</v>
      </c>
      <c r="AB185" s="986">
        <f>ROUND(NOMINA!BG161,2)</f>
        <v>300</v>
      </c>
      <c r="AC185" s="1000">
        <f t="shared" si="10"/>
        <v>641.24</v>
      </c>
      <c r="AE185" s="634"/>
    </row>
    <row r="186" spans="1:31" s="629" customFormat="1" ht="20.100000000000001" customHeight="1" thickBot="1">
      <c r="A186" s="770" t="s">
        <v>2846</v>
      </c>
      <c r="B186" s="510">
        <f t="shared" si="11"/>
        <v>120</v>
      </c>
      <c r="C186" s="980">
        <f>NOMINA!C162</f>
        <v>15752183</v>
      </c>
      <c r="D186" s="981" t="str">
        <f>NOMINA!D162</f>
        <v>Delduca Adriana Del Valle</v>
      </c>
      <c r="E186" s="978" t="s">
        <v>4622</v>
      </c>
      <c r="F186" s="982">
        <v>32351</v>
      </c>
      <c r="G186" s="978" t="s">
        <v>4620</v>
      </c>
      <c r="H186" s="1001">
        <f>NOMINA!H162</f>
        <v>38930</v>
      </c>
      <c r="I186" s="984">
        <f>NOMINA!I162</f>
        <v>18</v>
      </c>
      <c r="J186" s="985">
        <f>NOMINA!J162</f>
        <v>0</v>
      </c>
      <c r="K186" s="984">
        <f t="shared" si="9"/>
        <v>18</v>
      </c>
      <c r="L186" s="985" t="s">
        <v>4932</v>
      </c>
      <c r="M186" s="985"/>
      <c r="N186" s="1002" t="str">
        <f>NOMINA!O162</f>
        <v>Analista de Presupuesto IV</v>
      </c>
      <c r="O186" s="985">
        <v>1.02087691000006E+18</v>
      </c>
      <c r="P186" s="999">
        <f>NOMINA!W162</f>
        <v>0</v>
      </c>
      <c r="Q186" s="986">
        <f>NOMINA!AG162</f>
        <v>0</v>
      </c>
      <c r="R186" s="986">
        <f>NOMINA!AI162</f>
        <v>0</v>
      </c>
      <c r="S186" s="986">
        <f>NOMINA!AK162</f>
        <v>0</v>
      </c>
      <c r="T186" s="986">
        <f>ROUND(NOMINA!AO162,2)</f>
        <v>0</v>
      </c>
      <c r="U186" s="986">
        <f>ROUND(NOMINA!AQ162,2)</f>
        <v>0</v>
      </c>
      <c r="V186" s="986">
        <f>ROUND(NOMINA!AR162,2)</f>
        <v>0</v>
      </c>
      <c r="W186" s="986">
        <f>ROUND(NOMINA!AS162,2)</f>
        <v>0</v>
      </c>
      <c r="X186" s="986">
        <f>ROUND(NOMINA!AW162,2)</f>
        <v>0</v>
      </c>
      <c r="Y186" s="986">
        <f>ROUND(NOMINA!AX162,2)</f>
        <v>0</v>
      </c>
      <c r="Z186" s="986">
        <f>ROUND(NOMINA!BB162,2)+ROUND(NOMINA!BF162,2)</f>
        <v>0</v>
      </c>
      <c r="AA186" s="986">
        <f>ROUND(NOMINA!BK162,2)*0</f>
        <v>0</v>
      </c>
      <c r="AB186" s="986">
        <f>ROUND(NOMINA!BG162,2)</f>
        <v>0</v>
      </c>
      <c r="AC186" s="1000">
        <f t="shared" si="10"/>
        <v>0</v>
      </c>
      <c r="AE186" s="634"/>
    </row>
    <row r="187" spans="1:31" s="629" customFormat="1" ht="20.100000000000001" customHeight="1" thickBot="1">
      <c r="A187" s="770" t="s">
        <v>2846</v>
      </c>
      <c r="B187" s="510">
        <f t="shared" si="11"/>
        <v>121</v>
      </c>
      <c r="C187" s="980">
        <f>NOMINA!C163</f>
        <v>15752386</v>
      </c>
      <c r="D187" s="981" t="str">
        <f>NOMINA!D163</f>
        <v>Villegas Gonzalez Mileide Karine</v>
      </c>
      <c r="E187" s="978" t="s">
        <v>4622</v>
      </c>
      <c r="F187" s="982">
        <v>32351</v>
      </c>
      <c r="G187" s="978" t="s">
        <v>4620</v>
      </c>
      <c r="H187" s="1001">
        <f>NOMINA!H163</f>
        <v>38930</v>
      </c>
      <c r="I187" s="984">
        <f>NOMINA!I163</f>
        <v>18</v>
      </c>
      <c r="J187" s="985">
        <f>NOMINA!J163</f>
        <v>0</v>
      </c>
      <c r="K187" s="984">
        <f t="shared" si="9"/>
        <v>18</v>
      </c>
      <c r="L187" s="985" t="s">
        <v>4932</v>
      </c>
      <c r="M187" s="985"/>
      <c r="N187" s="1002" t="str">
        <f>NOMINA!O163</f>
        <v>Guia de Centro II</v>
      </c>
      <c r="O187" s="985">
        <v>1.02087691000006E+18</v>
      </c>
      <c r="P187" s="999">
        <f>NOMINA!W163</f>
        <v>114</v>
      </c>
      <c r="Q187" s="986">
        <f>NOMINA!AG163</f>
        <v>25.99</v>
      </c>
      <c r="R187" s="986">
        <f>NOMINA!AI163</f>
        <v>65</v>
      </c>
      <c r="S187" s="986">
        <f>NOMINA!AK163</f>
        <v>43.5</v>
      </c>
      <c r="T187" s="986">
        <f>ROUND(NOMINA!AO163,2)</f>
        <v>0</v>
      </c>
      <c r="U187" s="986">
        <f>ROUND(NOMINA!AQ163,2)</f>
        <v>0</v>
      </c>
      <c r="V187" s="986">
        <f>ROUND(NOMINA!AR163,2)</f>
        <v>0</v>
      </c>
      <c r="W187" s="986">
        <f>ROUND(NOMINA!AS163,2)</f>
        <v>0</v>
      </c>
      <c r="X187" s="986">
        <f>ROUND(NOMINA!AW163,2)</f>
        <v>156.59</v>
      </c>
      <c r="Y187" s="986">
        <f>ROUND(NOMINA!AX163,2)</f>
        <v>0</v>
      </c>
      <c r="Z187" s="986">
        <f>ROUND(NOMINA!BB163,2)+ROUND(NOMINA!BF163,2)</f>
        <v>101.79</v>
      </c>
      <c r="AA187" s="986">
        <f>ROUND(NOMINA!BK163,2)*0</f>
        <v>0</v>
      </c>
      <c r="AB187" s="986">
        <f>ROUND(NOMINA!BG163,2)</f>
        <v>300</v>
      </c>
      <c r="AC187" s="1000">
        <f t="shared" si="10"/>
        <v>806.87000000000012</v>
      </c>
      <c r="AE187" s="634"/>
    </row>
    <row r="188" spans="1:31" s="629" customFormat="1" ht="20.100000000000001" customHeight="1" thickBot="1">
      <c r="A188" s="770" t="s">
        <v>2846</v>
      </c>
      <c r="B188" s="510">
        <f t="shared" si="11"/>
        <v>122</v>
      </c>
      <c r="C188" s="980">
        <f>NOMINA!C164</f>
        <v>15752435</v>
      </c>
      <c r="D188" s="981" t="str">
        <f>NOMINA!D164</f>
        <v>Gonzalez de Sayago Damarys Coromoto</v>
      </c>
      <c r="E188" s="978" t="s">
        <v>4622</v>
      </c>
      <c r="F188" s="982">
        <v>32351</v>
      </c>
      <c r="G188" s="978" t="s">
        <v>4620</v>
      </c>
      <c r="H188" s="1001">
        <f>NOMINA!H164</f>
        <v>38930</v>
      </c>
      <c r="I188" s="984">
        <f>NOMINA!I164</f>
        <v>18</v>
      </c>
      <c r="J188" s="985">
        <f>NOMINA!J164</f>
        <v>0</v>
      </c>
      <c r="K188" s="984">
        <f t="shared" si="9"/>
        <v>18</v>
      </c>
      <c r="L188" s="985" t="s">
        <v>4932</v>
      </c>
      <c r="M188" s="985"/>
      <c r="N188" s="1002" t="str">
        <f>NOMINA!O164</f>
        <v>Trabajador Social II</v>
      </c>
      <c r="O188" s="985">
        <v>1.02087691000006E+18</v>
      </c>
      <c r="P188" s="999">
        <f>NOMINA!W164</f>
        <v>114</v>
      </c>
      <c r="Q188" s="986">
        <f>NOMINA!AG164</f>
        <v>25.99</v>
      </c>
      <c r="R188" s="986">
        <f>NOMINA!AI164</f>
        <v>65</v>
      </c>
      <c r="S188" s="986">
        <f>NOMINA!AK164</f>
        <v>43.5</v>
      </c>
      <c r="T188" s="986">
        <f>ROUND(NOMINA!AO164,2)</f>
        <v>0</v>
      </c>
      <c r="U188" s="986">
        <f>ROUND(NOMINA!AQ164,2)</f>
        <v>0</v>
      </c>
      <c r="V188" s="986">
        <f>ROUND(NOMINA!AR164,2)</f>
        <v>0</v>
      </c>
      <c r="W188" s="986">
        <f>ROUND(NOMINA!AS164,2)</f>
        <v>0</v>
      </c>
      <c r="X188" s="986">
        <f>ROUND(NOMINA!AW164,2)</f>
        <v>0</v>
      </c>
      <c r="Y188" s="986">
        <f>ROUND(NOMINA!AX164,2)</f>
        <v>0</v>
      </c>
      <c r="Z188" s="986">
        <f>ROUND(NOMINA!BB164,2)+ROUND(NOMINA!BF164,2)</f>
        <v>0</v>
      </c>
      <c r="AA188" s="986">
        <f>ROUND(NOMINA!BK164,2)*0</f>
        <v>0</v>
      </c>
      <c r="AB188" s="986">
        <f>ROUND(NOMINA!BG164,2)</f>
        <v>300</v>
      </c>
      <c r="AC188" s="1000">
        <f t="shared" si="10"/>
        <v>548.49</v>
      </c>
      <c r="AE188" s="634"/>
    </row>
    <row r="189" spans="1:31" s="629" customFormat="1" ht="20.100000000000001" customHeight="1" thickBot="1">
      <c r="A189" s="770" t="s">
        <v>2846</v>
      </c>
      <c r="B189" s="510">
        <f t="shared" si="11"/>
        <v>123</v>
      </c>
      <c r="C189" s="980">
        <f>NOMINA!C165</f>
        <v>15780354</v>
      </c>
      <c r="D189" s="981" t="str">
        <f>NOMINA!D165</f>
        <v>Yndriago Blanco Lismiley Andreina</v>
      </c>
      <c r="E189" s="978" t="s">
        <v>4622</v>
      </c>
      <c r="F189" s="982">
        <v>32351</v>
      </c>
      <c r="G189" s="978" t="s">
        <v>4620</v>
      </c>
      <c r="H189" s="1001">
        <f>NOMINA!H165</f>
        <v>44409</v>
      </c>
      <c r="I189" s="984">
        <f>NOMINA!I165</f>
        <v>3</v>
      </c>
      <c r="J189" s="985">
        <f>NOMINA!J165</f>
        <v>0</v>
      </c>
      <c r="K189" s="984">
        <f t="shared" si="9"/>
        <v>3</v>
      </c>
      <c r="L189" s="985" t="s">
        <v>4932</v>
      </c>
      <c r="M189" s="985"/>
      <c r="N189" s="1002" t="str">
        <f>NOMINA!O165</f>
        <v>Guia de Centro I</v>
      </c>
      <c r="O189" s="985">
        <v>1.02087691000006E+18</v>
      </c>
      <c r="P189" s="999">
        <f>NOMINA!W165</f>
        <v>109.5</v>
      </c>
      <c r="Q189" s="986">
        <f>NOMINA!AG165</f>
        <v>3.28</v>
      </c>
      <c r="R189" s="986">
        <f>NOMINA!AI165</f>
        <v>65</v>
      </c>
      <c r="S189" s="986">
        <f>NOMINA!AK165</f>
        <v>44.44</v>
      </c>
      <c r="T189" s="986">
        <f>ROUND(NOMINA!AO165,2)</f>
        <v>0</v>
      </c>
      <c r="U189" s="986">
        <f>ROUND(NOMINA!AQ165,2)</f>
        <v>0</v>
      </c>
      <c r="V189" s="986">
        <f>ROUND(NOMINA!AR165,2)</f>
        <v>0</v>
      </c>
      <c r="W189" s="986">
        <f>ROUND(NOMINA!AS165,2)</f>
        <v>0</v>
      </c>
      <c r="X189" s="986">
        <f>ROUND(NOMINA!AW165,2)</f>
        <v>133.34</v>
      </c>
      <c r="Y189" s="986">
        <f>ROUND(NOMINA!AX165,2)</f>
        <v>0</v>
      </c>
      <c r="Z189" s="986">
        <f>ROUND(NOMINA!BB165,2)+ROUND(NOMINA!BF165,2)</f>
        <v>86.67</v>
      </c>
      <c r="AA189" s="986">
        <f>ROUND(NOMINA!BK165,2)*0</f>
        <v>0</v>
      </c>
      <c r="AB189" s="986">
        <f>ROUND(NOMINA!BG165,2)</f>
        <v>300</v>
      </c>
      <c r="AC189" s="1000">
        <f t="shared" si="10"/>
        <v>742.23</v>
      </c>
      <c r="AE189" s="634"/>
    </row>
    <row r="190" spans="1:31" s="629" customFormat="1" ht="20.100000000000001" customHeight="1" thickBot="1">
      <c r="A190" s="770" t="s">
        <v>2846</v>
      </c>
      <c r="B190" s="510">
        <f t="shared" si="11"/>
        <v>124</v>
      </c>
      <c r="C190" s="980">
        <f>NOMINA!C166</f>
        <v>15824548</v>
      </c>
      <c r="D190" s="981" t="str">
        <f>NOMINA!D166</f>
        <v>Moreno Maria Angelica</v>
      </c>
      <c r="E190" s="978" t="s">
        <v>4622</v>
      </c>
      <c r="F190" s="982">
        <v>32351</v>
      </c>
      <c r="G190" s="978" t="s">
        <v>4620</v>
      </c>
      <c r="H190" s="1001">
        <f>NOMINA!H166</f>
        <v>44317</v>
      </c>
      <c r="I190" s="984">
        <f>NOMINA!I166</f>
        <v>3</v>
      </c>
      <c r="J190" s="985">
        <f>NOMINA!J166</f>
        <v>0</v>
      </c>
      <c r="K190" s="984">
        <f t="shared" si="9"/>
        <v>3</v>
      </c>
      <c r="L190" s="985" t="s">
        <v>4932</v>
      </c>
      <c r="M190" s="985"/>
      <c r="N190" s="1002" t="str">
        <f>NOMINA!O166</f>
        <v>Tecnico Superior en Trabajo Social II</v>
      </c>
      <c r="O190" s="985">
        <v>1.02087691000006E+18</v>
      </c>
      <c r="P190" s="999">
        <f>NOMINA!W166</f>
        <v>109.5</v>
      </c>
      <c r="Q190" s="986">
        <f>NOMINA!AG166</f>
        <v>3.28</v>
      </c>
      <c r="R190" s="986">
        <f>NOMINA!AI166</f>
        <v>65</v>
      </c>
      <c r="S190" s="986">
        <f>NOMINA!AK166</f>
        <v>36.799999999999997</v>
      </c>
      <c r="T190" s="986">
        <f>ROUND(NOMINA!AO166,2)</f>
        <v>12.5</v>
      </c>
      <c r="U190" s="986">
        <f>ROUND(NOMINA!AQ166,2)</f>
        <v>0</v>
      </c>
      <c r="V190" s="986">
        <f>ROUND(NOMINA!AR166,2)</f>
        <v>0</v>
      </c>
      <c r="W190" s="986">
        <f>ROUND(NOMINA!AS166,2)</f>
        <v>0</v>
      </c>
      <c r="X190" s="986">
        <f>ROUND(NOMINA!AW166,2)</f>
        <v>0</v>
      </c>
      <c r="Y190" s="986">
        <f>ROUND(NOMINA!AX166,2)</f>
        <v>0</v>
      </c>
      <c r="Z190" s="986">
        <f>ROUND(NOMINA!BB166,2)+ROUND(NOMINA!BF166,2)</f>
        <v>0</v>
      </c>
      <c r="AA190" s="986">
        <f>ROUND(NOMINA!BK166,2)*0</f>
        <v>0</v>
      </c>
      <c r="AB190" s="986">
        <f>ROUND(NOMINA!BG166,2)</f>
        <v>300</v>
      </c>
      <c r="AC190" s="1000">
        <f t="shared" si="10"/>
        <v>527.07999999999993</v>
      </c>
      <c r="AE190" s="634"/>
    </row>
    <row r="191" spans="1:31" s="629" customFormat="1" ht="20.100000000000001" customHeight="1" thickBot="1">
      <c r="A191" s="770" t="s">
        <v>2846</v>
      </c>
      <c r="B191" s="510">
        <f t="shared" si="11"/>
        <v>125</v>
      </c>
      <c r="C191" s="980">
        <f>NOMINA!C167</f>
        <v>15904692</v>
      </c>
      <c r="D191" s="981" t="str">
        <f>NOMINA!D167</f>
        <v>Sifontes Sosa Mayulis Dayana</v>
      </c>
      <c r="E191" s="978" t="s">
        <v>4622</v>
      </c>
      <c r="F191" s="982">
        <v>32351</v>
      </c>
      <c r="G191" s="978" t="s">
        <v>4620</v>
      </c>
      <c r="H191" s="1001">
        <f>NOMINA!H167</f>
        <v>39756</v>
      </c>
      <c r="I191" s="984">
        <f>NOMINA!I167</f>
        <v>16</v>
      </c>
      <c r="J191" s="985">
        <f>NOMINA!J167</f>
        <v>0</v>
      </c>
      <c r="K191" s="984">
        <f t="shared" si="9"/>
        <v>16</v>
      </c>
      <c r="L191" s="985" t="s">
        <v>4932</v>
      </c>
      <c r="M191" s="985"/>
      <c r="N191" s="1002" t="str">
        <f>NOMINA!O167</f>
        <v>Guia de Centro II</v>
      </c>
      <c r="O191" s="985">
        <v>1.02087691000006E+18</v>
      </c>
      <c r="P191" s="999">
        <f>NOMINA!W167</f>
        <v>113</v>
      </c>
      <c r="Q191" s="986">
        <f>NOMINA!AG167</f>
        <v>22.15</v>
      </c>
      <c r="R191" s="986">
        <f>NOMINA!AI167</f>
        <v>65</v>
      </c>
      <c r="S191" s="986">
        <f>NOMINA!AK167</f>
        <v>42.53</v>
      </c>
      <c r="T191" s="986">
        <f>ROUND(NOMINA!AO167,2)</f>
        <v>25</v>
      </c>
      <c r="U191" s="986">
        <f>ROUND(NOMINA!AQ167,2)</f>
        <v>0</v>
      </c>
      <c r="V191" s="986">
        <f>ROUND(NOMINA!AR167,2)</f>
        <v>0</v>
      </c>
      <c r="W191" s="986">
        <f>ROUND(NOMINA!AS167,2)</f>
        <v>0</v>
      </c>
      <c r="X191" s="986">
        <f>ROUND(NOMINA!AW167,2)</f>
        <v>153.11000000000001</v>
      </c>
      <c r="Y191" s="986">
        <f>ROUND(NOMINA!AX167,2)</f>
        <v>0</v>
      </c>
      <c r="Z191" s="986">
        <f>ROUND(NOMINA!BB167,2)+ROUND(NOMINA!BF167,2)</f>
        <v>99.52</v>
      </c>
      <c r="AA191" s="986">
        <f>ROUND(NOMINA!BK167,2)*0</f>
        <v>0</v>
      </c>
      <c r="AB191" s="986">
        <f>ROUND(NOMINA!BG167,2)</f>
        <v>300</v>
      </c>
      <c r="AC191" s="1000">
        <f t="shared" si="10"/>
        <v>820.31000000000006</v>
      </c>
      <c r="AE191" s="634"/>
    </row>
    <row r="192" spans="1:31" s="629" customFormat="1" ht="20.100000000000001" customHeight="1" thickBot="1">
      <c r="A192" s="770" t="s">
        <v>2846</v>
      </c>
      <c r="B192" s="510">
        <f t="shared" si="11"/>
        <v>126</v>
      </c>
      <c r="C192" s="980">
        <f>NOMINA!C168</f>
        <v>16015833</v>
      </c>
      <c r="D192" s="981" t="str">
        <f>NOMINA!D168</f>
        <v>Briceño Doris Elena</v>
      </c>
      <c r="E192" s="978" t="s">
        <v>4622</v>
      </c>
      <c r="F192" s="982">
        <v>32351</v>
      </c>
      <c r="G192" s="978" t="s">
        <v>4620</v>
      </c>
      <c r="H192" s="1001">
        <f>NOMINA!H168</f>
        <v>42948</v>
      </c>
      <c r="I192" s="984">
        <f>NOMINA!I168</f>
        <v>7</v>
      </c>
      <c r="J192" s="985">
        <f>NOMINA!J168</f>
        <v>0</v>
      </c>
      <c r="K192" s="984">
        <f t="shared" si="9"/>
        <v>7</v>
      </c>
      <c r="L192" s="985" t="s">
        <v>4932</v>
      </c>
      <c r="M192" s="985"/>
      <c r="N192" s="1002" t="str">
        <f>NOMINA!O168</f>
        <v>Guia de Centro II</v>
      </c>
      <c r="O192" s="985">
        <v>1.02087691000006E+18</v>
      </c>
      <c r="P192" s="999">
        <f>NOMINA!W168</f>
        <v>139.5</v>
      </c>
      <c r="Q192" s="986">
        <f>NOMINA!AG168</f>
        <v>10.32</v>
      </c>
      <c r="R192" s="986">
        <f>NOMINA!AI168</f>
        <v>65</v>
      </c>
      <c r="S192" s="986">
        <f>NOMINA!AK168</f>
        <v>55.27</v>
      </c>
      <c r="T192" s="986">
        <f>ROUND(NOMINA!AO168,2)</f>
        <v>12.5</v>
      </c>
      <c r="U192" s="986">
        <f>ROUND(NOMINA!AQ168,2)</f>
        <v>0</v>
      </c>
      <c r="V192" s="986">
        <f>ROUND(NOMINA!AR168,2)</f>
        <v>0</v>
      </c>
      <c r="W192" s="986">
        <f>ROUND(NOMINA!AS168,2)</f>
        <v>0</v>
      </c>
      <c r="X192" s="986">
        <f>ROUND(NOMINA!AW168,2)</f>
        <v>165.81</v>
      </c>
      <c r="Y192" s="986">
        <f>ROUND(NOMINA!AX168,2)</f>
        <v>0</v>
      </c>
      <c r="Z192" s="986">
        <f>ROUND(NOMINA!BB168,2)+ROUND(NOMINA!BF168,2)</f>
        <v>179.63</v>
      </c>
      <c r="AA192" s="986">
        <f>ROUND(NOMINA!BK168,2)*0</f>
        <v>0</v>
      </c>
      <c r="AB192" s="986">
        <f>ROUND(NOMINA!BG168,2)</f>
        <v>300</v>
      </c>
      <c r="AC192" s="1000">
        <f t="shared" si="10"/>
        <v>928.03</v>
      </c>
      <c r="AE192" s="634"/>
    </row>
    <row r="193" spans="1:31" s="629" customFormat="1" ht="20.100000000000001" customHeight="1" thickBot="1">
      <c r="A193" s="770" t="s">
        <v>2846</v>
      </c>
      <c r="B193" s="510">
        <f t="shared" si="11"/>
        <v>127</v>
      </c>
      <c r="C193" s="980">
        <f>NOMINA!C169</f>
        <v>16065580</v>
      </c>
      <c r="D193" s="981" t="str">
        <f>NOMINA!D169</f>
        <v>Paredes de Rendon Zuly Josefina</v>
      </c>
      <c r="E193" s="978" t="s">
        <v>4622</v>
      </c>
      <c r="F193" s="982">
        <v>32351</v>
      </c>
      <c r="G193" s="978" t="s">
        <v>4620</v>
      </c>
      <c r="H193" s="1001">
        <f>NOMINA!H169</f>
        <v>44363</v>
      </c>
      <c r="I193" s="984">
        <f>NOMINA!I169</f>
        <v>3</v>
      </c>
      <c r="J193" s="985">
        <f>NOMINA!J169</f>
        <v>0</v>
      </c>
      <c r="K193" s="984">
        <f t="shared" si="9"/>
        <v>3</v>
      </c>
      <c r="L193" s="985" t="s">
        <v>4932</v>
      </c>
      <c r="M193" s="985"/>
      <c r="N193" s="1002" t="str">
        <f>NOMINA!O169</f>
        <v>Tutor Facilitador II</v>
      </c>
      <c r="O193" s="985">
        <v>1.02087691000006E+18</v>
      </c>
      <c r="P193" s="999">
        <f>NOMINA!W169</f>
        <v>138.5</v>
      </c>
      <c r="Q193" s="986">
        <f>NOMINA!AG169</f>
        <v>4.1500000000000004</v>
      </c>
      <c r="R193" s="986">
        <f>NOMINA!AI169</f>
        <v>65</v>
      </c>
      <c r="S193" s="986">
        <f>NOMINA!AK169</f>
        <v>53.47</v>
      </c>
      <c r="T193" s="986">
        <f>ROUND(NOMINA!AO169,2)</f>
        <v>0</v>
      </c>
      <c r="U193" s="986">
        <f>ROUND(NOMINA!AQ169,2)</f>
        <v>0</v>
      </c>
      <c r="V193" s="986">
        <f>ROUND(NOMINA!AR169,2)</f>
        <v>0</v>
      </c>
      <c r="W193" s="986">
        <f>ROUND(NOMINA!AS169,2)</f>
        <v>0</v>
      </c>
      <c r="X193" s="986">
        <f>ROUND(NOMINA!AW169,2)</f>
        <v>0</v>
      </c>
      <c r="Y193" s="986">
        <f>ROUND(NOMINA!AX169,2)</f>
        <v>0</v>
      </c>
      <c r="Z193" s="986">
        <f>ROUND(NOMINA!BB169,2)+ROUND(NOMINA!BF169,2)</f>
        <v>0</v>
      </c>
      <c r="AA193" s="986">
        <f>ROUND(NOMINA!BK169,2)*0</f>
        <v>0</v>
      </c>
      <c r="AB193" s="986">
        <f>ROUND(NOMINA!BG169,2)</f>
        <v>300</v>
      </c>
      <c r="AC193" s="1000">
        <f t="shared" si="10"/>
        <v>561.12</v>
      </c>
      <c r="AE193" s="634"/>
    </row>
    <row r="194" spans="1:31" s="629" customFormat="1" ht="20.100000000000001" customHeight="1" thickBot="1">
      <c r="A194" s="770" t="s">
        <v>2846</v>
      </c>
      <c r="B194" s="510">
        <f t="shared" si="11"/>
        <v>128</v>
      </c>
      <c r="C194" s="980">
        <f>NOMINA!C170</f>
        <v>16065861</v>
      </c>
      <c r="D194" s="981" t="str">
        <f>NOMINA!D170</f>
        <v>Gonzalez Pineda Eduardo Manuel</v>
      </c>
      <c r="E194" s="978" t="s">
        <v>4622</v>
      </c>
      <c r="F194" s="982">
        <v>32351</v>
      </c>
      <c r="G194" s="978" t="s">
        <v>4620</v>
      </c>
      <c r="H194" s="1001">
        <f>NOMINA!H170</f>
        <v>43906</v>
      </c>
      <c r="I194" s="984">
        <f>NOMINA!I170</f>
        <v>4</v>
      </c>
      <c r="J194" s="985">
        <f>NOMINA!J170</f>
        <v>13</v>
      </c>
      <c r="K194" s="984">
        <f t="shared" si="9"/>
        <v>17</v>
      </c>
      <c r="L194" s="985" t="s">
        <v>4932</v>
      </c>
      <c r="M194" s="985"/>
      <c r="N194" s="1002" t="str">
        <f>NOMINA!O170</f>
        <v>Entrenador Deportivo VI</v>
      </c>
      <c r="O194" s="985">
        <v>1.02087691000006E+18</v>
      </c>
      <c r="P194" s="999">
        <f>NOMINA!W170</f>
        <v>142.5</v>
      </c>
      <c r="Q194" s="986">
        <f>NOMINA!AG170</f>
        <v>30.21</v>
      </c>
      <c r="R194" s="986">
        <f>NOMINA!AI170</f>
        <v>65</v>
      </c>
      <c r="S194" s="986">
        <f>NOMINA!AK170</f>
        <v>59.43</v>
      </c>
      <c r="T194" s="986">
        <f>ROUND(NOMINA!AO170,2)</f>
        <v>0</v>
      </c>
      <c r="U194" s="986">
        <f>ROUND(NOMINA!AQ170,2)</f>
        <v>0</v>
      </c>
      <c r="V194" s="986">
        <f>ROUND(NOMINA!AR170,2)</f>
        <v>0</v>
      </c>
      <c r="W194" s="986">
        <f>ROUND(NOMINA!AS170,2)</f>
        <v>0</v>
      </c>
      <c r="X194" s="986">
        <f>ROUND(NOMINA!AW170,2)</f>
        <v>0</v>
      </c>
      <c r="Y194" s="986">
        <f>ROUND(NOMINA!AX170,2)</f>
        <v>0</v>
      </c>
      <c r="Z194" s="986">
        <f>ROUND(NOMINA!BB170,2)+ROUND(NOMINA!BF170,2)</f>
        <v>0</v>
      </c>
      <c r="AA194" s="986">
        <f>ROUND(NOMINA!BK170,2)*0</f>
        <v>0</v>
      </c>
      <c r="AB194" s="986">
        <f>ROUND(NOMINA!BG170,2)</f>
        <v>300</v>
      </c>
      <c r="AC194" s="1000">
        <f t="shared" si="10"/>
        <v>597.14</v>
      </c>
      <c r="AE194" s="634"/>
    </row>
    <row r="195" spans="1:31" s="629" customFormat="1" ht="20.100000000000001" customHeight="1" thickBot="1">
      <c r="A195" s="770" t="s">
        <v>2846</v>
      </c>
      <c r="B195" s="510">
        <f t="shared" si="11"/>
        <v>129</v>
      </c>
      <c r="C195" s="980">
        <f>NOMINA!C171</f>
        <v>16066524</v>
      </c>
      <c r="D195" s="981" t="str">
        <f>NOMINA!D171</f>
        <v>Carmona Peñaloza Yaneth Coromoto</v>
      </c>
      <c r="E195" s="978" t="s">
        <v>4622</v>
      </c>
      <c r="F195" s="982">
        <v>32351</v>
      </c>
      <c r="G195" s="978" t="s">
        <v>4620</v>
      </c>
      <c r="H195" s="1001">
        <f>NOMINA!H171</f>
        <v>41456</v>
      </c>
      <c r="I195" s="984">
        <f>NOMINA!I171</f>
        <v>11</v>
      </c>
      <c r="J195" s="985">
        <f>NOMINA!J171</f>
        <v>0</v>
      </c>
      <c r="K195" s="984">
        <f t="shared" si="9"/>
        <v>11</v>
      </c>
      <c r="L195" s="985" t="s">
        <v>4932</v>
      </c>
      <c r="M195" s="985"/>
      <c r="N195" s="1002" t="str">
        <f>NOMINA!O171</f>
        <v>Asistente Administrativo III</v>
      </c>
      <c r="O195" s="985">
        <v>1.02087691000006E+18</v>
      </c>
      <c r="P195" s="999">
        <f>NOMINA!W171</f>
        <v>111.5</v>
      </c>
      <c r="Q195" s="986">
        <f>NOMINA!AG171</f>
        <v>13.82</v>
      </c>
      <c r="R195" s="986">
        <f>NOMINA!AI171</f>
        <v>65</v>
      </c>
      <c r="S195" s="986">
        <f>NOMINA!AK171</f>
        <v>40.56</v>
      </c>
      <c r="T195" s="986">
        <f>ROUND(NOMINA!AO171,2)</f>
        <v>25</v>
      </c>
      <c r="U195" s="986">
        <f>ROUND(NOMINA!AQ171,2)</f>
        <v>0</v>
      </c>
      <c r="V195" s="986">
        <f>ROUND(NOMINA!AR171,2)</f>
        <v>0</v>
      </c>
      <c r="W195" s="986">
        <f>ROUND(NOMINA!AS171,2)</f>
        <v>0</v>
      </c>
      <c r="X195" s="986">
        <f>ROUND(NOMINA!AW171,2)</f>
        <v>0</v>
      </c>
      <c r="Y195" s="986">
        <f>ROUND(NOMINA!AX171,2)</f>
        <v>0</v>
      </c>
      <c r="Z195" s="986">
        <f>ROUND(NOMINA!BB171,2)+ROUND(NOMINA!BF171,2)</f>
        <v>0</v>
      </c>
      <c r="AA195" s="986">
        <f>ROUND(NOMINA!BK171,2)*0</f>
        <v>0</v>
      </c>
      <c r="AB195" s="986">
        <f>ROUND(NOMINA!BG171,2)</f>
        <v>300</v>
      </c>
      <c r="AC195" s="1000">
        <f t="shared" si="10"/>
        <v>555.88</v>
      </c>
      <c r="AE195" s="634"/>
    </row>
    <row r="196" spans="1:31" s="629" customFormat="1" ht="20.100000000000001" customHeight="1" thickBot="1">
      <c r="A196" s="770" t="s">
        <v>2846</v>
      </c>
      <c r="B196" s="510">
        <f t="shared" si="11"/>
        <v>130</v>
      </c>
      <c r="C196" s="980">
        <f>NOMINA!C172</f>
        <v>16066554</v>
      </c>
      <c r="D196" s="981" t="str">
        <f>NOMINA!D172</f>
        <v>Gonzalez Huerta Maria Josefina</v>
      </c>
      <c r="E196" s="978" t="s">
        <v>4622</v>
      </c>
      <c r="F196" s="982">
        <v>32351</v>
      </c>
      <c r="G196" s="978" t="s">
        <v>4620</v>
      </c>
      <c r="H196" s="1001">
        <f>NOMINA!H172</f>
        <v>38797</v>
      </c>
      <c r="I196" s="984">
        <f>NOMINA!I172</f>
        <v>18</v>
      </c>
      <c r="J196" s="985">
        <f>NOMINA!J172</f>
        <v>0</v>
      </c>
      <c r="K196" s="984">
        <f t="shared" ref="K196:K259" si="12">I196+J196</f>
        <v>18</v>
      </c>
      <c r="L196" s="985" t="s">
        <v>4932</v>
      </c>
      <c r="M196" s="985"/>
      <c r="N196" s="1002" t="str">
        <f>NOMINA!O172</f>
        <v>Auditor IV</v>
      </c>
      <c r="O196" s="985">
        <v>1.02087691000006E+18</v>
      </c>
      <c r="P196" s="999">
        <f>NOMINA!W172</f>
        <v>143.5</v>
      </c>
      <c r="Q196" s="986">
        <f>NOMINA!AG172</f>
        <v>32.72</v>
      </c>
      <c r="R196" s="986">
        <f>NOMINA!AI172</f>
        <v>65</v>
      </c>
      <c r="S196" s="986">
        <f>NOMINA!AK172</f>
        <v>63.43</v>
      </c>
      <c r="T196" s="986">
        <f>ROUND(NOMINA!AO172,2)</f>
        <v>0</v>
      </c>
      <c r="U196" s="986">
        <f>ROUND(NOMINA!AQ172,2)</f>
        <v>0</v>
      </c>
      <c r="V196" s="986">
        <f>ROUND(NOMINA!AR172,2)</f>
        <v>0</v>
      </c>
      <c r="W196" s="986">
        <f>ROUND(NOMINA!AS172,2)</f>
        <v>0</v>
      </c>
      <c r="X196" s="986">
        <f>ROUND(NOMINA!AW172,2)</f>
        <v>0</v>
      </c>
      <c r="Y196" s="986">
        <f>ROUND(NOMINA!AX172,2)</f>
        <v>0</v>
      </c>
      <c r="Z196" s="986">
        <f>ROUND(NOMINA!BB172,2)+ROUND(NOMINA!BF172,2)</f>
        <v>0</v>
      </c>
      <c r="AA196" s="986">
        <f>ROUND(NOMINA!BK172,2)*0</f>
        <v>0</v>
      </c>
      <c r="AB196" s="986">
        <f>ROUND(NOMINA!BG172,2)</f>
        <v>300</v>
      </c>
      <c r="AC196" s="1000">
        <f t="shared" ref="AC196:AC259" si="13">+P196+Q196+R196+S196+T196+U196+V196+W196+X196+Y196+Z196+AB196+AA196</f>
        <v>604.65</v>
      </c>
      <c r="AE196" s="634"/>
    </row>
    <row r="197" spans="1:31" s="629" customFormat="1" ht="20.100000000000001" customHeight="1" thickBot="1">
      <c r="A197" s="770" t="s">
        <v>2846</v>
      </c>
      <c r="B197" s="510">
        <f t="shared" ref="B197:B260" si="14">+B196+1</f>
        <v>131</v>
      </c>
      <c r="C197" s="980">
        <f>NOMINA!C173</f>
        <v>16266033</v>
      </c>
      <c r="D197" s="981" t="str">
        <f>NOMINA!D173</f>
        <v>Montilla de Davila Nileidy del Valle</v>
      </c>
      <c r="E197" s="978" t="s">
        <v>4622</v>
      </c>
      <c r="F197" s="982">
        <v>32351</v>
      </c>
      <c r="G197" s="978" t="s">
        <v>4620</v>
      </c>
      <c r="H197" s="1001">
        <f>NOMINA!H173</f>
        <v>44713</v>
      </c>
      <c r="I197" s="984">
        <f>NOMINA!I173</f>
        <v>2</v>
      </c>
      <c r="J197" s="985">
        <f>NOMINA!J173</f>
        <v>0</v>
      </c>
      <c r="K197" s="984">
        <f t="shared" si="12"/>
        <v>2</v>
      </c>
      <c r="L197" s="985" t="s">
        <v>4932</v>
      </c>
      <c r="M197" s="985"/>
      <c r="N197" s="1002" t="str">
        <f>NOMINA!O173</f>
        <v>Guia de Centro I</v>
      </c>
      <c r="O197" s="985">
        <v>1.02087691000006E+18</v>
      </c>
      <c r="P197" s="999">
        <f>NOMINA!W173</f>
        <v>96</v>
      </c>
      <c r="Q197" s="986">
        <f>NOMINA!AG173</f>
        <v>1.92</v>
      </c>
      <c r="R197" s="986">
        <f>NOMINA!AI173</f>
        <v>65</v>
      </c>
      <c r="S197" s="986">
        <f>NOMINA!AK173</f>
        <v>43.85</v>
      </c>
      <c r="T197" s="986">
        <f>ROUND(NOMINA!AO173,2)</f>
        <v>25</v>
      </c>
      <c r="U197" s="986">
        <f>ROUND(NOMINA!AQ173,2)</f>
        <v>0</v>
      </c>
      <c r="V197" s="986">
        <f>ROUND(NOMINA!AR173,2)</f>
        <v>0</v>
      </c>
      <c r="W197" s="986">
        <f>ROUND(NOMINA!AS173,2)</f>
        <v>0</v>
      </c>
      <c r="X197" s="986">
        <f>ROUND(NOMINA!AW173,2)</f>
        <v>131.57</v>
      </c>
      <c r="Y197" s="986">
        <f>ROUND(NOMINA!AX173,2)</f>
        <v>0</v>
      </c>
      <c r="Z197" s="986">
        <f>ROUND(NOMINA!BB173,2)+ROUND(NOMINA!BF173,2)</f>
        <v>142.53</v>
      </c>
      <c r="AA197" s="986">
        <f>ROUND(NOMINA!BK173,2)*0</f>
        <v>0</v>
      </c>
      <c r="AB197" s="986">
        <f>ROUND(NOMINA!BG173,2)</f>
        <v>300</v>
      </c>
      <c r="AC197" s="1000">
        <f t="shared" si="13"/>
        <v>805.87</v>
      </c>
      <c r="AE197" s="634"/>
    </row>
    <row r="198" spans="1:31" s="629" customFormat="1" ht="20.100000000000001" customHeight="1" thickBot="1">
      <c r="A198" s="770" t="s">
        <v>2846</v>
      </c>
      <c r="B198" s="510">
        <f t="shared" si="14"/>
        <v>132</v>
      </c>
      <c r="C198" s="980">
        <f>NOMINA!C174</f>
        <v>16266989</v>
      </c>
      <c r="D198" s="981" t="str">
        <f>NOMINA!D174</f>
        <v>Rincon Quevedo Angela Adriana</v>
      </c>
      <c r="E198" s="978" t="s">
        <v>4622</v>
      </c>
      <c r="F198" s="982">
        <v>32351</v>
      </c>
      <c r="G198" s="978" t="s">
        <v>4620</v>
      </c>
      <c r="H198" s="1001">
        <f>NOMINA!H174</f>
        <v>43040</v>
      </c>
      <c r="I198" s="984">
        <f>NOMINA!I174</f>
        <v>7</v>
      </c>
      <c r="J198" s="985">
        <f>NOMINA!J174</f>
        <v>0</v>
      </c>
      <c r="K198" s="984">
        <f t="shared" si="12"/>
        <v>7</v>
      </c>
      <c r="L198" s="985" t="s">
        <v>4932</v>
      </c>
      <c r="M198" s="985"/>
      <c r="N198" s="1002" t="str">
        <f>NOMINA!O174</f>
        <v>Guia de Centro II</v>
      </c>
      <c r="O198" s="985">
        <v>1.02087691000006E+18</v>
      </c>
      <c r="P198" s="999">
        <f>NOMINA!W174</f>
        <v>139.5</v>
      </c>
      <c r="Q198" s="986">
        <f>NOMINA!AG174</f>
        <v>10.32</v>
      </c>
      <c r="R198" s="986">
        <f>NOMINA!AI174</f>
        <v>65</v>
      </c>
      <c r="S198" s="986">
        <f>NOMINA!AK174</f>
        <v>56.83</v>
      </c>
      <c r="T198" s="986">
        <f>ROUND(NOMINA!AO174,2)</f>
        <v>0</v>
      </c>
      <c r="U198" s="986">
        <f>ROUND(NOMINA!AQ174,2)</f>
        <v>0</v>
      </c>
      <c r="V198" s="986">
        <f>ROUND(NOMINA!AR174,2)</f>
        <v>0</v>
      </c>
      <c r="W198" s="986">
        <f>ROUND(NOMINA!AS174,2)</f>
        <v>0</v>
      </c>
      <c r="X198" s="986">
        <f>ROUND(NOMINA!AW174,2)</f>
        <v>170.49</v>
      </c>
      <c r="Y198" s="986">
        <f>ROUND(NOMINA!AX174,2)</f>
        <v>0</v>
      </c>
      <c r="Z198" s="986">
        <f>ROUND(NOMINA!BB174,2)+ROUND(NOMINA!BF174,2)</f>
        <v>110.82</v>
      </c>
      <c r="AA198" s="986">
        <f>ROUND(NOMINA!BK174,2)*0</f>
        <v>0</v>
      </c>
      <c r="AB198" s="986">
        <f>ROUND(NOMINA!BG174,2)</f>
        <v>300</v>
      </c>
      <c r="AC198" s="1000">
        <f t="shared" si="13"/>
        <v>852.96</v>
      </c>
      <c r="AE198" s="634"/>
    </row>
    <row r="199" spans="1:31" s="629" customFormat="1" ht="20.100000000000001" customHeight="1" thickBot="1">
      <c r="A199" s="770" t="s">
        <v>2846</v>
      </c>
      <c r="B199" s="510">
        <f t="shared" si="14"/>
        <v>133</v>
      </c>
      <c r="C199" s="980">
        <f>NOMINA!C175</f>
        <v>16267940</v>
      </c>
      <c r="D199" s="981" t="str">
        <f>NOMINA!D175</f>
        <v>Araujo Moreno Elisaelith</v>
      </c>
      <c r="E199" s="978" t="s">
        <v>4622</v>
      </c>
      <c r="F199" s="982">
        <v>32351</v>
      </c>
      <c r="G199" s="978" t="s">
        <v>4620</v>
      </c>
      <c r="H199" s="1001">
        <f>NOMINA!H175</f>
        <v>44600</v>
      </c>
      <c r="I199" s="984">
        <f>NOMINA!I175</f>
        <v>2</v>
      </c>
      <c r="J199" s="985">
        <f>NOMINA!J175</f>
        <v>0</v>
      </c>
      <c r="K199" s="984">
        <f t="shared" si="12"/>
        <v>2</v>
      </c>
      <c r="L199" s="985" t="s">
        <v>4932</v>
      </c>
      <c r="M199" s="985"/>
      <c r="N199" s="1002" t="str">
        <f>NOMINA!O175</f>
        <v>Tecnico Superior en Trabajo Social II</v>
      </c>
      <c r="O199" s="985">
        <v>1.02087691000006E+18</v>
      </c>
      <c r="P199" s="999">
        <f>NOMINA!W175</f>
        <v>96</v>
      </c>
      <c r="Q199" s="986">
        <f>NOMINA!AG175</f>
        <v>1.92</v>
      </c>
      <c r="R199" s="986">
        <f>NOMINA!AI175</f>
        <v>65</v>
      </c>
      <c r="S199" s="986">
        <f>NOMINA!AK175</f>
        <v>35.08</v>
      </c>
      <c r="T199" s="986">
        <f>ROUND(NOMINA!AO175,2)</f>
        <v>0</v>
      </c>
      <c r="U199" s="986">
        <f>ROUND(NOMINA!AQ175,2)</f>
        <v>0</v>
      </c>
      <c r="V199" s="986">
        <f>ROUND(NOMINA!AR175,2)</f>
        <v>0</v>
      </c>
      <c r="W199" s="986">
        <f>ROUND(NOMINA!AS175,2)</f>
        <v>0</v>
      </c>
      <c r="X199" s="986">
        <f>ROUND(NOMINA!AW175,2)</f>
        <v>0</v>
      </c>
      <c r="Y199" s="986">
        <f>ROUND(NOMINA!AX175,2)</f>
        <v>0</v>
      </c>
      <c r="Z199" s="986">
        <f>ROUND(NOMINA!BB175,2)+ROUND(NOMINA!BF175,2)</f>
        <v>0</v>
      </c>
      <c r="AA199" s="986">
        <f>ROUND(NOMINA!BK175,2)*0</f>
        <v>0</v>
      </c>
      <c r="AB199" s="986">
        <f>ROUND(NOMINA!BG175,2)</f>
        <v>300</v>
      </c>
      <c r="AC199" s="1000">
        <f t="shared" si="13"/>
        <v>498</v>
      </c>
      <c r="AE199" s="634"/>
    </row>
    <row r="200" spans="1:31" s="629" customFormat="1" ht="20.100000000000001" customHeight="1" thickBot="1">
      <c r="A200" s="770" t="s">
        <v>2846</v>
      </c>
      <c r="B200" s="510">
        <f t="shared" si="14"/>
        <v>134</v>
      </c>
      <c r="C200" s="980">
        <f>NOMINA!C176</f>
        <v>16376534</v>
      </c>
      <c r="D200" s="981" t="str">
        <f>NOMINA!D176</f>
        <v>Lugo Moreno Yenny Katiuska</v>
      </c>
      <c r="E200" s="978" t="s">
        <v>4622</v>
      </c>
      <c r="F200" s="982">
        <v>32351</v>
      </c>
      <c r="G200" s="978" t="s">
        <v>4620</v>
      </c>
      <c r="H200" s="1001">
        <f>NOMINA!H176</f>
        <v>43754</v>
      </c>
      <c r="I200" s="984">
        <f>NOMINA!I176</f>
        <v>5</v>
      </c>
      <c r="J200" s="985">
        <f>NOMINA!J176</f>
        <v>0</v>
      </c>
      <c r="K200" s="984">
        <f t="shared" si="12"/>
        <v>5</v>
      </c>
      <c r="L200" s="985" t="s">
        <v>4932</v>
      </c>
      <c r="M200" s="985"/>
      <c r="N200" s="1002" t="str">
        <f>NOMINA!O176</f>
        <v>Guia de Centro II</v>
      </c>
      <c r="O200" s="985">
        <v>1.02087691000006E+18</v>
      </c>
      <c r="P200" s="999">
        <f>NOMINA!W176</f>
        <v>138.5</v>
      </c>
      <c r="Q200" s="986">
        <f>NOMINA!AG176</f>
        <v>6.92</v>
      </c>
      <c r="R200" s="986">
        <f>NOMINA!AI176</f>
        <v>65</v>
      </c>
      <c r="S200" s="986">
        <f>NOMINA!AK176</f>
        <v>54.17</v>
      </c>
      <c r="T200" s="986">
        <f>ROUND(NOMINA!AO176,2)</f>
        <v>0</v>
      </c>
      <c r="U200" s="986">
        <f>ROUND(NOMINA!AQ176,2)</f>
        <v>0</v>
      </c>
      <c r="V200" s="986">
        <f>ROUND(NOMINA!AR176,2)</f>
        <v>0</v>
      </c>
      <c r="W200" s="986">
        <f>ROUND(NOMINA!AS176,2)</f>
        <v>0</v>
      </c>
      <c r="X200" s="986">
        <f>ROUND(NOMINA!AW176,2)</f>
        <v>162.51</v>
      </c>
      <c r="Y200" s="986">
        <f>ROUND(NOMINA!AX176,2)</f>
        <v>0</v>
      </c>
      <c r="Z200" s="986">
        <f>ROUND(NOMINA!BB176,2)+ROUND(NOMINA!BF176,2)</f>
        <v>105.63</v>
      </c>
      <c r="AA200" s="986">
        <f>ROUND(NOMINA!BK176,2)*0</f>
        <v>0</v>
      </c>
      <c r="AB200" s="986">
        <f>ROUND(NOMINA!BG176,2)</f>
        <v>300</v>
      </c>
      <c r="AC200" s="1000">
        <f t="shared" si="13"/>
        <v>832.73</v>
      </c>
      <c r="AE200" s="634"/>
    </row>
    <row r="201" spans="1:31" s="629" customFormat="1" ht="20.100000000000001" customHeight="1" thickBot="1">
      <c r="A201" s="770" t="s">
        <v>2846</v>
      </c>
      <c r="B201" s="510">
        <f t="shared" si="14"/>
        <v>135</v>
      </c>
      <c r="C201" s="980">
        <f>NOMINA!C177</f>
        <v>16376698</v>
      </c>
      <c r="D201" s="981" t="str">
        <f>NOMINA!D177</f>
        <v>Barreto Maldonado Jose Luis</v>
      </c>
      <c r="E201" s="978" t="s">
        <v>4622</v>
      </c>
      <c r="F201" s="982">
        <v>32351</v>
      </c>
      <c r="G201" s="978" t="s">
        <v>4620</v>
      </c>
      <c r="H201" s="1001">
        <f>NOMINA!H177</f>
        <v>40909</v>
      </c>
      <c r="I201" s="984">
        <f>NOMINA!I177</f>
        <v>13</v>
      </c>
      <c r="J201" s="985">
        <f>NOMINA!J177</f>
        <v>0</v>
      </c>
      <c r="K201" s="984">
        <f t="shared" si="12"/>
        <v>13</v>
      </c>
      <c r="L201" s="985" t="s">
        <v>4932</v>
      </c>
      <c r="M201" s="985"/>
      <c r="N201" s="1002" t="str">
        <f>NOMINA!O177</f>
        <v>Supervisor de Servicios Generales IV</v>
      </c>
      <c r="O201" s="985">
        <v>1.02087691000006E+18</v>
      </c>
      <c r="P201" s="999">
        <f>NOMINA!W177</f>
        <v>87</v>
      </c>
      <c r="Q201" s="986">
        <f>NOMINA!AG177</f>
        <v>13.22</v>
      </c>
      <c r="R201" s="986">
        <f>NOMINA!AI177</f>
        <v>65</v>
      </c>
      <c r="S201" s="986">
        <f>NOMINA!AK177</f>
        <v>0</v>
      </c>
      <c r="T201" s="986">
        <f>ROUND(NOMINA!AO177,2)</f>
        <v>0</v>
      </c>
      <c r="U201" s="986">
        <f>ROUND(NOMINA!AQ177,2)</f>
        <v>0</v>
      </c>
      <c r="V201" s="986">
        <f>ROUND(NOMINA!AR177,2)</f>
        <v>0</v>
      </c>
      <c r="W201" s="986">
        <f>ROUND(NOMINA!AS177,2)</f>
        <v>0</v>
      </c>
      <c r="X201" s="986">
        <f>ROUND(NOMINA!AW177,2)</f>
        <v>0</v>
      </c>
      <c r="Y201" s="986">
        <f>ROUND(NOMINA!AX177,2)</f>
        <v>2843.6</v>
      </c>
      <c r="Z201" s="986">
        <f>ROUND(NOMINA!BB177,2)+ROUND(NOMINA!BF177,2)</f>
        <v>17.77</v>
      </c>
      <c r="AA201" s="986">
        <f>ROUND(NOMINA!BK177,2)*0</f>
        <v>0</v>
      </c>
      <c r="AB201" s="986">
        <f>ROUND(NOMINA!BG177,2)</f>
        <v>300</v>
      </c>
      <c r="AC201" s="1000">
        <f t="shared" si="13"/>
        <v>3326.5899999999997</v>
      </c>
      <c r="AE201" s="634"/>
    </row>
    <row r="202" spans="1:31" s="629" customFormat="1" ht="20.100000000000001" customHeight="1" thickBot="1">
      <c r="A202" s="770" t="s">
        <v>2846</v>
      </c>
      <c r="B202" s="510">
        <f t="shared" si="14"/>
        <v>136</v>
      </c>
      <c r="C202" s="980">
        <f>NOMINA!C178</f>
        <v>16376781</v>
      </c>
      <c r="D202" s="981" t="str">
        <f>NOMINA!D178</f>
        <v>Viloria de Utrilla Arelis del Carmen</v>
      </c>
      <c r="E202" s="978" t="s">
        <v>4622</v>
      </c>
      <c r="F202" s="982">
        <v>32351</v>
      </c>
      <c r="G202" s="978" t="s">
        <v>4620</v>
      </c>
      <c r="H202" s="1001">
        <f>NOMINA!H178</f>
        <v>45413</v>
      </c>
      <c r="I202" s="984">
        <f>NOMINA!I178</f>
        <v>0</v>
      </c>
      <c r="J202" s="985">
        <f>NOMINA!J178</f>
        <v>0</v>
      </c>
      <c r="K202" s="984">
        <f t="shared" si="12"/>
        <v>0</v>
      </c>
      <c r="L202" s="985" t="s">
        <v>4932</v>
      </c>
      <c r="M202" s="985"/>
      <c r="N202" s="1002" t="str">
        <f>NOMINA!O178</f>
        <v>Guia de Centro I</v>
      </c>
      <c r="O202" s="985">
        <v>1.02087691000006E+18</v>
      </c>
      <c r="P202" s="999">
        <f>NOMINA!W178</f>
        <v>96</v>
      </c>
      <c r="Q202" s="986">
        <f>NOMINA!AG178</f>
        <v>0</v>
      </c>
      <c r="R202" s="986">
        <f>NOMINA!AI178</f>
        <v>65</v>
      </c>
      <c r="S202" s="986">
        <f>NOMINA!AK178</f>
        <v>34.700000000000003</v>
      </c>
      <c r="T202" s="986">
        <f>ROUND(NOMINA!AO178,2)</f>
        <v>25</v>
      </c>
      <c r="U202" s="986">
        <f>ROUND(NOMINA!AQ178,2)</f>
        <v>0</v>
      </c>
      <c r="V202" s="986">
        <f>ROUND(NOMINA!AR178,2)</f>
        <v>0</v>
      </c>
      <c r="W202" s="986">
        <f>ROUND(NOMINA!AS178,2)</f>
        <v>0</v>
      </c>
      <c r="X202" s="986">
        <f>ROUND(NOMINA!AW178,2)</f>
        <v>124.92</v>
      </c>
      <c r="Y202" s="986">
        <f>ROUND(NOMINA!AX178,2)</f>
        <v>0</v>
      </c>
      <c r="Z202" s="986">
        <f>ROUND(NOMINA!BB178,2)+ROUND(NOMINA!BF178,2)</f>
        <v>27.07</v>
      </c>
      <c r="AA202" s="986">
        <f>ROUND(NOMINA!BK178,2)*0</f>
        <v>0</v>
      </c>
      <c r="AB202" s="986">
        <f>ROUND(NOMINA!BG178,2)</f>
        <v>300</v>
      </c>
      <c r="AC202" s="1000">
        <f t="shared" si="13"/>
        <v>672.69</v>
      </c>
      <c r="AE202" s="634"/>
    </row>
    <row r="203" spans="1:31" s="629" customFormat="1" ht="20.100000000000001" customHeight="1" thickBot="1">
      <c r="A203" s="770" t="s">
        <v>2846</v>
      </c>
      <c r="B203" s="510">
        <f t="shared" si="14"/>
        <v>137</v>
      </c>
      <c r="C203" s="980">
        <f>NOMINA!C179</f>
        <v>16377159</v>
      </c>
      <c r="D203" s="981" t="str">
        <f>NOMINA!D179</f>
        <v>Carrillo Uzcategui Tahiyuani Carolina</v>
      </c>
      <c r="E203" s="978" t="s">
        <v>4622</v>
      </c>
      <c r="F203" s="982">
        <v>32351</v>
      </c>
      <c r="G203" s="978" t="s">
        <v>4620</v>
      </c>
      <c r="H203" s="1001">
        <f>NOMINA!H179</f>
        <v>44743</v>
      </c>
      <c r="I203" s="984">
        <f>NOMINA!I179</f>
        <v>2</v>
      </c>
      <c r="J203" s="985">
        <f>NOMINA!J179</f>
        <v>0</v>
      </c>
      <c r="K203" s="984">
        <f t="shared" si="12"/>
        <v>2</v>
      </c>
      <c r="L203" s="985" t="s">
        <v>4932</v>
      </c>
      <c r="M203" s="985"/>
      <c r="N203" s="1002" t="str">
        <f>NOMINA!O179</f>
        <v>Guia de Centro I</v>
      </c>
      <c r="O203" s="985">
        <v>1.02087691000006E+18</v>
      </c>
      <c r="P203" s="999">
        <f>NOMINA!W179</f>
        <v>96</v>
      </c>
      <c r="Q203" s="986">
        <f>NOMINA!AG179</f>
        <v>1.92</v>
      </c>
      <c r="R203" s="986">
        <f>NOMINA!AI179</f>
        <v>65</v>
      </c>
      <c r="S203" s="986">
        <f>NOMINA!AK179</f>
        <v>35.08</v>
      </c>
      <c r="T203" s="986">
        <f>ROUND(NOMINA!AO179,2)</f>
        <v>0</v>
      </c>
      <c r="U203" s="986">
        <f>ROUND(NOMINA!AQ179,2)</f>
        <v>0</v>
      </c>
      <c r="V203" s="986">
        <f>ROUND(NOMINA!AR179,2)</f>
        <v>0</v>
      </c>
      <c r="W203" s="986">
        <f>ROUND(NOMINA!AS179,2)</f>
        <v>0</v>
      </c>
      <c r="X203" s="986">
        <f>ROUND(NOMINA!AW179,2)</f>
        <v>126.3</v>
      </c>
      <c r="Y203" s="986">
        <f>ROUND(NOMINA!AX179,2)</f>
        <v>0</v>
      </c>
      <c r="Z203" s="986">
        <f>ROUND(NOMINA!BB179,2)+ROUND(NOMINA!BF179,2)</f>
        <v>82.1</v>
      </c>
      <c r="AA203" s="986">
        <f>ROUND(NOMINA!BK179,2)*0</f>
        <v>0</v>
      </c>
      <c r="AB203" s="986">
        <f>ROUND(NOMINA!BG179,2)</f>
        <v>300</v>
      </c>
      <c r="AC203" s="1000">
        <f t="shared" si="13"/>
        <v>706.4</v>
      </c>
      <c r="AE203" s="634"/>
    </row>
    <row r="204" spans="1:31" s="629" customFormat="1" ht="20.100000000000001" customHeight="1" thickBot="1">
      <c r="A204" s="770" t="s">
        <v>2846</v>
      </c>
      <c r="B204" s="510">
        <f t="shared" si="14"/>
        <v>138</v>
      </c>
      <c r="C204" s="980">
        <f>NOMINA!C180</f>
        <v>16377588</v>
      </c>
      <c r="D204" s="981" t="str">
        <f>NOMINA!D180</f>
        <v>Perdomo Linares Alejandra Carolina</v>
      </c>
      <c r="E204" s="978" t="s">
        <v>4622</v>
      </c>
      <c r="F204" s="982">
        <v>32351</v>
      </c>
      <c r="G204" s="978" t="s">
        <v>4620</v>
      </c>
      <c r="H204" s="1001">
        <f>NOMINA!H180</f>
        <v>44059</v>
      </c>
      <c r="I204" s="984">
        <f>NOMINA!I180</f>
        <v>4</v>
      </c>
      <c r="J204" s="985">
        <f>NOMINA!J180</f>
        <v>0</v>
      </c>
      <c r="K204" s="984">
        <f t="shared" si="12"/>
        <v>4</v>
      </c>
      <c r="L204" s="985" t="s">
        <v>4932</v>
      </c>
      <c r="M204" s="985"/>
      <c r="N204" s="1002" t="str">
        <f>NOMINA!O180</f>
        <v>Tutor Facilitador II</v>
      </c>
      <c r="O204" s="985">
        <v>1.02087691000006E+18</v>
      </c>
      <c r="P204" s="999">
        <f>NOMINA!W180</f>
        <v>138.5</v>
      </c>
      <c r="Q204" s="986">
        <f>NOMINA!AG180</f>
        <v>5.54</v>
      </c>
      <c r="R204" s="986">
        <f>NOMINA!AI180</f>
        <v>65</v>
      </c>
      <c r="S204" s="986">
        <f>NOMINA!AK180</f>
        <v>53.82</v>
      </c>
      <c r="T204" s="986">
        <f>ROUND(NOMINA!AO180,2)</f>
        <v>0</v>
      </c>
      <c r="U204" s="986">
        <f>ROUND(NOMINA!AQ180,2)</f>
        <v>0</v>
      </c>
      <c r="V204" s="986">
        <f>ROUND(NOMINA!AR180,2)</f>
        <v>0</v>
      </c>
      <c r="W204" s="986">
        <f>ROUND(NOMINA!AS180,2)</f>
        <v>0</v>
      </c>
      <c r="X204" s="986">
        <f>ROUND(NOMINA!AW180,2)</f>
        <v>0</v>
      </c>
      <c r="Y204" s="986">
        <f>ROUND(NOMINA!AX180,2)</f>
        <v>0</v>
      </c>
      <c r="Z204" s="986">
        <f>ROUND(NOMINA!BB180,2)+ROUND(NOMINA!BF180,2)</f>
        <v>0</v>
      </c>
      <c r="AA204" s="986">
        <f>ROUND(NOMINA!BK180,2)*0</f>
        <v>0</v>
      </c>
      <c r="AB204" s="986">
        <f>ROUND(NOMINA!BG180,2)</f>
        <v>300</v>
      </c>
      <c r="AC204" s="1000">
        <f t="shared" si="13"/>
        <v>562.86</v>
      </c>
      <c r="AE204" s="634"/>
    </row>
    <row r="205" spans="1:31" s="629" customFormat="1" ht="20.100000000000001" customHeight="1" thickBot="1">
      <c r="A205" s="770" t="s">
        <v>2846</v>
      </c>
      <c r="B205" s="510">
        <f t="shared" si="14"/>
        <v>139</v>
      </c>
      <c r="C205" s="980">
        <f>NOMINA!C181</f>
        <v>16377628</v>
      </c>
      <c r="D205" s="981" t="str">
        <f>NOMINA!D181</f>
        <v>Peña Nava Maria Gabriela</v>
      </c>
      <c r="E205" s="978" t="s">
        <v>4622</v>
      </c>
      <c r="F205" s="982">
        <v>32351</v>
      </c>
      <c r="G205" s="978" t="s">
        <v>4620</v>
      </c>
      <c r="H205" s="1001">
        <f>NOMINA!H181</f>
        <v>44743</v>
      </c>
      <c r="I205" s="984">
        <f>NOMINA!I181</f>
        <v>2</v>
      </c>
      <c r="J205" s="985">
        <f>NOMINA!J181</f>
        <v>9</v>
      </c>
      <c r="K205" s="984">
        <f t="shared" si="12"/>
        <v>11</v>
      </c>
      <c r="L205" s="985" t="s">
        <v>4932</v>
      </c>
      <c r="M205" s="985"/>
      <c r="N205" s="1002" t="str">
        <f>NOMINA!O181</f>
        <v>Guia de Centro II</v>
      </c>
      <c r="O205" s="985">
        <v>1.02087691000006E+18</v>
      </c>
      <c r="P205" s="999">
        <f>NOMINA!W181</f>
        <v>140.5</v>
      </c>
      <c r="Q205" s="986">
        <f>NOMINA!AG181</f>
        <v>17.420000000000002</v>
      </c>
      <c r="R205" s="986">
        <f>NOMINA!AI181</f>
        <v>65</v>
      </c>
      <c r="S205" s="986">
        <f>NOMINA!AK181</f>
        <v>57.29</v>
      </c>
      <c r="T205" s="986">
        <f>ROUND(NOMINA!AO181,2)</f>
        <v>0</v>
      </c>
      <c r="U205" s="986">
        <f>ROUND(NOMINA!AQ181,2)</f>
        <v>0</v>
      </c>
      <c r="V205" s="986">
        <f>ROUND(NOMINA!AR181,2)</f>
        <v>0</v>
      </c>
      <c r="W205" s="986">
        <f>ROUND(NOMINA!AS181,2)</f>
        <v>0</v>
      </c>
      <c r="X205" s="986">
        <f>ROUND(NOMINA!AW181,2)</f>
        <v>171.88</v>
      </c>
      <c r="Y205" s="986">
        <f>ROUND(NOMINA!AX181,2)</f>
        <v>0</v>
      </c>
      <c r="Z205" s="986">
        <f>ROUND(NOMINA!BB181,2)+ROUND(NOMINA!BF181,2)</f>
        <v>111.72</v>
      </c>
      <c r="AA205" s="986">
        <f>ROUND(NOMINA!BK181,2)*0</f>
        <v>0</v>
      </c>
      <c r="AB205" s="986">
        <f>ROUND(NOMINA!BG181,2)</f>
        <v>300</v>
      </c>
      <c r="AC205" s="1000">
        <f t="shared" si="13"/>
        <v>863.81000000000006</v>
      </c>
      <c r="AE205" s="634"/>
    </row>
    <row r="206" spans="1:31" s="629" customFormat="1" ht="20.100000000000001" customHeight="1" thickBot="1">
      <c r="A206" s="770" t="s">
        <v>2846</v>
      </c>
      <c r="B206" s="510">
        <f t="shared" si="14"/>
        <v>140</v>
      </c>
      <c r="C206" s="980">
        <f>NOMINA!C182</f>
        <v>16533566</v>
      </c>
      <c r="D206" s="981" t="str">
        <f>NOMINA!D182</f>
        <v>Materan Gallardo Vivian Katiana</v>
      </c>
      <c r="E206" s="978" t="s">
        <v>4622</v>
      </c>
      <c r="F206" s="982">
        <v>32351</v>
      </c>
      <c r="G206" s="978" t="s">
        <v>4620</v>
      </c>
      <c r="H206" s="1001">
        <f>NOMINA!H182</f>
        <v>44683</v>
      </c>
      <c r="I206" s="984">
        <f>NOMINA!I182</f>
        <v>2</v>
      </c>
      <c r="J206" s="985">
        <f>NOMINA!J182</f>
        <v>0</v>
      </c>
      <c r="K206" s="984">
        <f t="shared" si="12"/>
        <v>2</v>
      </c>
      <c r="L206" s="985" t="s">
        <v>4932</v>
      </c>
      <c r="M206" s="985"/>
      <c r="N206" s="1002" t="str">
        <f>NOMINA!O182</f>
        <v>Guia de Centro I</v>
      </c>
      <c r="O206" s="985">
        <v>1.02087691000006E+18</v>
      </c>
      <c r="P206" s="999">
        <f>NOMINA!W182</f>
        <v>65</v>
      </c>
      <c r="Q206" s="986">
        <f>NOMINA!AG182</f>
        <v>1.3</v>
      </c>
      <c r="R206" s="986">
        <f>NOMINA!AI182</f>
        <v>65</v>
      </c>
      <c r="S206" s="986">
        <f>NOMINA!AK182</f>
        <v>0</v>
      </c>
      <c r="T206" s="986">
        <f>ROUND(NOMINA!AO182,2)</f>
        <v>0</v>
      </c>
      <c r="U206" s="986">
        <f>ROUND(NOMINA!AQ182,2)</f>
        <v>0</v>
      </c>
      <c r="V206" s="986">
        <f>ROUND(NOMINA!AR182,2)</f>
        <v>0</v>
      </c>
      <c r="W206" s="986">
        <f>ROUND(NOMINA!AS182,2)</f>
        <v>0</v>
      </c>
      <c r="X206" s="986">
        <f>ROUND(NOMINA!AW182,2)</f>
        <v>86.28</v>
      </c>
      <c r="Y206" s="986">
        <f>ROUND(NOMINA!AX182,2)</f>
        <v>0</v>
      </c>
      <c r="Z206" s="986">
        <f>ROUND(NOMINA!BB182,2)+ROUND(NOMINA!BF182,2)</f>
        <v>56.08</v>
      </c>
      <c r="AA206" s="986">
        <f>ROUND(NOMINA!BK182,2)*0</f>
        <v>0</v>
      </c>
      <c r="AB206" s="986">
        <f>ROUND(NOMINA!BG182,2)</f>
        <v>300</v>
      </c>
      <c r="AC206" s="1000">
        <f t="shared" si="13"/>
        <v>573.66000000000008</v>
      </c>
      <c r="AE206" s="634"/>
    </row>
    <row r="207" spans="1:31" s="629" customFormat="1" ht="20.100000000000001" customHeight="1" thickBot="1">
      <c r="A207" s="770" t="s">
        <v>2846</v>
      </c>
      <c r="B207" s="510">
        <f t="shared" si="14"/>
        <v>141</v>
      </c>
      <c r="C207" s="980">
        <f>NOMINA!C183</f>
        <v>16533615</v>
      </c>
      <c r="D207" s="981" t="str">
        <f>NOMINA!D183</f>
        <v>Valero Sulbaran Urquia Del Mar</v>
      </c>
      <c r="E207" s="978" t="s">
        <v>4622</v>
      </c>
      <c r="F207" s="982">
        <v>32351</v>
      </c>
      <c r="G207" s="978" t="s">
        <v>4620</v>
      </c>
      <c r="H207" s="1001">
        <f>NOMINA!H183</f>
        <v>45474</v>
      </c>
      <c r="I207" s="984">
        <f>NOMINA!I183</f>
        <v>0</v>
      </c>
      <c r="J207" s="985">
        <f>NOMINA!J183</f>
        <v>0</v>
      </c>
      <c r="K207" s="984">
        <f t="shared" si="12"/>
        <v>0</v>
      </c>
      <c r="L207" s="985" t="s">
        <v>4932</v>
      </c>
      <c r="M207" s="985"/>
      <c r="N207" s="1002" t="str">
        <f>NOMINA!O183</f>
        <v>Guia de Centro I</v>
      </c>
      <c r="O207" s="985">
        <v>1.02087691000006E+18</v>
      </c>
      <c r="P207" s="999">
        <f>NOMINA!W183</f>
        <v>123</v>
      </c>
      <c r="Q207" s="986">
        <f>NOMINA!AG183</f>
        <v>0</v>
      </c>
      <c r="R207" s="986">
        <f>NOMINA!AI183</f>
        <v>65</v>
      </c>
      <c r="S207" s="986">
        <f>NOMINA!AK183</f>
        <v>48.56</v>
      </c>
      <c r="T207" s="986">
        <f>ROUND(NOMINA!AO183,2)</f>
        <v>12.5</v>
      </c>
      <c r="U207" s="986">
        <f>ROUND(NOMINA!AQ183,2)</f>
        <v>0</v>
      </c>
      <c r="V207" s="986">
        <f>ROUND(NOMINA!AR183,2)</f>
        <v>0</v>
      </c>
      <c r="W207" s="986">
        <f>ROUND(NOMINA!AS183,2)</f>
        <v>0</v>
      </c>
      <c r="X207" s="986">
        <f>ROUND(NOMINA!AW183,2)</f>
        <v>145.69</v>
      </c>
      <c r="Y207" s="986">
        <f>ROUND(NOMINA!AX183,2)</f>
        <v>0</v>
      </c>
      <c r="Z207" s="986">
        <f>ROUND(NOMINA!BB183,2)+ROUND(NOMINA!BF183,2)</f>
        <v>126.26</v>
      </c>
      <c r="AA207" s="986">
        <f>ROUND(NOMINA!BK183,2)*0</f>
        <v>0</v>
      </c>
      <c r="AB207" s="986">
        <f>ROUND(NOMINA!BG183,2)</f>
        <v>300</v>
      </c>
      <c r="AC207" s="1000">
        <f t="shared" si="13"/>
        <v>821.01</v>
      </c>
      <c r="AE207" s="634"/>
    </row>
    <row r="208" spans="1:31" s="629" customFormat="1" ht="20.100000000000001" customHeight="1" thickBot="1">
      <c r="A208" s="770" t="s">
        <v>2846</v>
      </c>
      <c r="B208" s="510">
        <f t="shared" si="14"/>
        <v>142</v>
      </c>
      <c r="C208" s="980">
        <f>NOMINA!C184</f>
        <v>16533986</v>
      </c>
      <c r="D208" s="981" t="str">
        <f>NOMINA!D184</f>
        <v>Serrada Bustos Gladys Magaly</v>
      </c>
      <c r="E208" s="978" t="s">
        <v>4622</v>
      </c>
      <c r="F208" s="982">
        <v>32351</v>
      </c>
      <c r="G208" s="978" t="s">
        <v>4620</v>
      </c>
      <c r="H208" s="1001">
        <f>NOMINA!H184</f>
        <v>42948</v>
      </c>
      <c r="I208" s="984">
        <f>NOMINA!I184</f>
        <v>7</v>
      </c>
      <c r="J208" s="985">
        <f>NOMINA!J184</f>
        <v>0</v>
      </c>
      <c r="K208" s="984">
        <f t="shared" si="12"/>
        <v>7</v>
      </c>
      <c r="L208" s="985" t="s">
        <v>4932</v>
      </c>
      <c r="M208" s="985"/>
      <c r="N208" s="1002" t="str">
        <f>NOMINA!O184</f>
        <v>INGENIERO ELECTRICISTA JEFE</v>
      </c>
      <c r="O208" s="985">
        <v>1.02087691000006E+18</v>
      </c>
      <c r="P208" s="999">
        <f>NOMINA!W184</f>
        <v>139.5</v>
      </c>
      <c r="Q208" s="986">
        <f>NOMINA!AG184</f>
        <v>10.32</v>
      </c>
      <c r="R208" s="986">
        <f>NOMINA!AI184</f>
        <v>65</v>
      </c>
      <c r="S208" s="986">
        <f>NOMINA!AK184</f>
        <v>55.27</v>
      </c>
      <c r="T208" s="986">
        <f>ROUND(NOMINA!AO184,2)</f>
        <v>0</v>
      </c>
      <c r="U208" s="986">
        <f>ROUND(NOMINA!AQ184,2)</f>
        <v>0</v>
      </c>
      <c r="V208" s="986">
        <f>ROUND(NOMINA!AR184,2)</f>
        <v>0</v>
      </c>
      <c r="W208" s="986">
        <f>ROUND(NOMINA!AS184,2)</f>
        <v>0</v>
      </c>
      <c r="X208" s="986">
        <f>ROUND(NOMINA!AW184,2)</f>
        <v>0</v>
      </c>
      <c r="Y208" s="986">
        <f>ROUND(NOMINA!AX184,2)</f>
        <v>0</v>
      </c>
      <c r="Z208" s="986">
        <f>ROUND(NOMINA!BB184,2)+ROUND(NOMINA!BF184,2)</f>
        <v>0</v>
      </c>
      <c r="AA208" s="986">
        <f>ROUND(NOMINA!BK184,2)*0</f>
        <v>0</v>
      </c>
      <c r="AB208" s="986">
        <f>ROUND(NOMINA!BG184,2)</f>
        <v>300</v>
      </c>
      <c r="AC208" s="1000">
        <f t="shared" si="13"/>
        <v>570.08999999999992</v>
      </c>
      <c r="AE208" s="634"/>
    </row>
    <row r="209" spans="1:31" s="629" customFormat="1" ht="20.100000000000001" customHeight="1" thickBot="1">
      <c r="A209" s="770" t="s">
        <v>2846</v>
      </c>
      <c r="B209" s="510">
        <f t="shared" si="14"/>
        <v>143</v>
      </c>
      <c r="C209" s="980">
        <f>NOMINA!C185</f>
        <v>16739081</v>
      </c>
      <c r="D209" s="981" t="str">
        <f>NOMINA!D185</f>
        <v>Albarran Araujo Yely Coromoto</v>
      </c>
      <c r="E209" s="978" t="s">
        <v>4622</v>
      </c>
      <c r="F209" s="982">
        <v>32351</v>
      </c>
      <c r="G209" s="978" t="s">
        <v>4620</v>
      </c>
      <c r="H209" s="1001">
        <f>NOMINA!H185</f>
        <v>42948</v>
      </c>
      <c r="I209" s="984">
        <f>NOMINA!I185</f>
        <v>7</v>
      </c>
      <c r="J209" s="985">
        <f>NOMINA!J185</f>
        <v>0</v>
      </c>
      <c r="K209" s="984">
        <f t="shared" si="12"/>
        <v>7</v>
      </c>
      <c r="L209" s="985" t="s">
        <v>4932</v>
      </c>
      <c r="M209" s="985"/>
      <c r="N209" s="1002" t="str">
        <f>NOMINA!O185</f>
        <v>Asistente Administrativo III</v>
      </c>
      <c r="O209" s="985">
        <v>1.02087691000006E+18</v>
      </c>
      <c r="P209" s="999">
        <f>NOMINA!W185</f>
        <v>0</v>
      </c>
      <c r="Q209" s="986">
        <f>NOMINA!AG185</f>
        <v>0</v>
      </c>
      <c r="R209" s="986">
        <f>NOMINA!AI185</f>
        <v>0</v>
      </c>
      <c r="S209" s="986">
        <f>NOMINA!AK185</f>
        <v>0</v>
      </c>
      <c r="T209" s="986">
        <f>ROUND(NOMINA!AO185,2)</f>
        <v>0</v>
      </c>
      <c r="U209" s="986">
        <f>ROUND(NOMINA!AQ185,2)</f>
        <v>0</v>
      </c>
      <c r="V209" s="986">
        <f>ROUND(NOMINA!AR185,2)</f>
        <v>0</v>
      </c>
      <c r="W209" s="986">
        <f>ROUND(NOMINA!AS185,2)</f>
        <v>0</v>
      </c>
      <c r="X209" s="986">
        <f>ROUND(NOMINA!AW185,2)</f>
        <v>0</v>
      </c>
      <c r="Y209" s="986">
        <f>ROUND(NOMINA!AX185,2)</f>
        <v>0</v>
      </c>
      <c r="Z209" s="986">
        <f>ROUND(NOMINA!BB185,2)+ROUND(NOMINA!BF185,2)</f>
        <v>0</v>
      </c>
      <c r="AA209" s="986">
        <f>ROUND(NOMINA!BK185,2)*0</f>
        <v>0</v>
      </c>
      <c r="AB209" s="986">
        <f>ROUND(NOMINA!BG185,2)</f>
        <v>0</v>
      </c>
      <c r="AC209" s="1000">
        <f t="shared" si="13"/>
        <v>0</v>
      </c>
      <c r="AE209" s="634"/>
    </row>
    <row r="210" spans="1:31" s="629" customFormat="1" ht="20.100000000000001" customHeight="1" thickBot="1">
      <c r="A210" s="770" t="s">
        <v>2846</v>
      </c>
      <c r="B210" s="510">
        <f t="shared" si="14"/>
        <v>144</v>
      </c>
      <c r="C210" s="980">
        <f>NOMINA!C186</f>
        <v>16740261</v>
      </c>
      <c r="D210" s="981" t="str">
        <f>NOMINA!D186</f>
        <v>Rivas Briceño Nathaly Del Carmen</v>
      </c>
      <c r="E210" s="978" t="s">
        <v>4622</v>
      </c>
      <c r="F210" s="982">
        <v>32351</v>
      </c>
      <c r="G210" s="978" t="s">
        <v>4620</v>
      </c>
      <c r="H210" s="1001">
        <f>NOMINA!H186</f>
        <v>45505</v>
      </c>
      <c r="I210" s="984">
        <f>NOMINA!I186</f>
        <v>0</v>
      </c>
      <c r="J210" s="985">
        <f>NOMINA!J186</f>
        <v>0</v>
      </c>
      <c r="K210" s="984">
        <f t="shared" si="12"/>
        <v>0</v>
      </c>
      <c r="L210" s="985" t="s">
        <v>4932</v>
      </c>
      <c r="M210" s="985"/>
      <c r="N210" s="1002" t="str">
        <f>NOMINA!O186</f>
        <v>Tecnico Superior en Trabajo Social I</v>
      </c>
      <c r="O210" s="985">
        <v>1.02087691000006E+18</v>
      </c>
      <c r="P210" s="999">
        <f>NOMINA!W186</f>
        <v>96</v>
      </c>
      <c r="Q210" s="986">
        <f>NOMINA!AG186</f>
        <v>0</v>
      </c>
      <c r="R210" s="986">
        <f>NOMINA!AI186</f>
        <v>65</v>
      </c>
      <c r="S210" s="986">
        <f>NOMINA!AK186</f>
        <v>33.450000000000003</v>
      </c>
      <c r="T210" s="986">
        <f>ROUND(NOMINA!AO186,2)</f>
        <v>0</v>
      </c>
      <c r="U210" s="986">
        <f>ROUND(NOMINA!AQ186,2)</f>
        <v>0</v>
      </c>
      <c r="V210" s="986">
        <f>ROUND(NOMINA!AR186,2)</f>
        <v>0</v>
      </c>
      <c r="W210" s="986">
        <f>ROUND(NOMINA!AS186,2)</f>
        <v>0</v>
      </c>
      <c r="X210" s="986">
        <f>ROUND(NOMINA!AW186,2)</f>
        <v>0</v>
      </c>
      <c r="Y210" s="986">
        <f>ROUND(NOMINA!AX186,2)</f>
        <v>0</v>
      </c>
      <c r="Z210" s="986">
        <f>ROUND(NOMINA!BB186,2)+ROUND(NOMINA!BF186,2)</f>
        <v>0</v>
      </c>
      <c r="AA210" s="986">
        <f>ROUND(NOMINA!BK186,2)*0</f>
        <v>0</v>
      </c>
      <c r="AB210" s="986">
        <f>ROUND(NOMINA!BG186,2)</f>
        <v>300</v>
      </c>
      <c r="AC210" s="1000">
        <f t="shared" si="13"/>
        <v>494.45</v>
      </c>
      <c r="AE210" s="634"/>
    </row>
    <row r="211" spans="1:31" s="629" customFormat="1" ht="20.100000000000001" customHeight="1" thickBot="1">
      <c r="A211" s="770" t="s">
        <v>2846</v>
      </c>
      <c r="B211" s="510">
        <f t="shared" si="14"/>
        <v>145</v>
      </c>
      <c r="C211" s="980">
        <f>NOMINA!C187</f>
        <v>16881384</v>
      </c>
      <c r="D211" s="981" t="str">
        <f>NOMINA!D187</f>
        <v>Perez Ramirez Yonathan Jesus</v>
      </c>
      <c r="E211" s="978" t="s">
        <v>4622</v>
      </c>
      <c r="F211" s="982">
        <v>32351</v>
      </c>
      <c r="G211" s="978" t="s">
        <v>4620</v>
      </c>
      <c r="H211" s="1001">
        <f>NOMINA!H187</f>
        <v>43906</v>
      </c>
      <c r="I211" s="984">
        <f>NOMINA!I187</f>
        <v>4</v>
      </c>
      <c r="J211" s="985">
        <f>NOMINA!J187</f>
        <v>9</v>
      </c>
      <c r="K211" s="984">
        <f t="shared" si="12"/>
        <v>13</v>
      </c>
      <c r="L211" s="985" t="s">
        <v>4932</v>
      </c>
      <c r="M211" s="985"/>
      <c r="N211" s="1002" t="str">
        <f>NOMINA!O187</f>
        <v>Guia de Centro II</v>
      </c>
      <c r="O211" s="985">
        <v>1.02087691000006E+18</v>
      </c>
      <c r="P211" s="999">
        <f>NOMINA!W187</f>
        <v>112.5</v>
      </c>
      <c r="Q211" s="986">
        <f>NOMINA!AG187</f>
        <v>17.100000000000001</v>
      </c>
      <c r="R211" s="986">
        <f>NOMINA!AI187</f>
        <v>65</v>
      </c>
      <c r="S211" s="986">
        <f>NOMINA!AK187</f>
        <v>38.92</v>
      </c>
      <c r="T211" s="986">
        <f>ROUND(NOMINA!AO187,2)</f>
        <v>0</v>
      </c>
      <c r="U211" s="986">
        <f>ROUND(NOMINA!AQ187,2)</f>
        <v>0</v>
      </c>
      <c r="V211" s="986">
        <f>ROUND(NOMINA!AR187,2)</f>
        <v>0</v>
      </c>
      <c r="W211" s="986">
        <f>ROUND(NOMINA!AS187,2)</f>
        <v>0</v>
      </c>
      <c r="X211" s="986">
        <f>ROUND(NOMINA!AW187,2)</f>
        <v>140.11000000000001</v>
      </c>
      <c r="Y211" s="986">
        <f>ROUND(NOMINA!AX187,2)</f>
        <v>0</v>
      </c>
      <c r="Z211" s="986">
        <f>ROUND(NOMINA!BB187,2)+ROUND(NOMINA!BF187,2)</f>
        <v>121.43</v>
      </c>
      <c r="AA211" s="986">
        <f>ROUND(NOMINA!BK187,2)*0</f>
        <v>0</v>
      </c>
      <c r="AB211" s="986">
        <f>ROUND(NOMINA!BG187,2)</f>
        <v>300</v>
      </c>
      <c r="AC211" s="1000">
        <f t="shared" si="13"/>
        <v>795.06</v>
      </c>
      <c r="AE211" s="634"/>
    </row>
    <row r="212" spans="1:31" s="629" customFormat="1" ht="20.100000000000001" customHeight="1" thickBot="1">
      <c r="A212" s="770" t="s">
        <v>2846</v>
      </c>
      <c r="B212" s="510">
        <f t="shared" si="14"/>
        <v>146</v>
      </c>
      <c r="C212" s="980">
        <f>NOMINA!C188</f>
        <v>16882467</v>
      </c>
      <c r="D212" s="981" t="str">
        <f>NOMINA!D188</f>
        <v>Mejia Araujo Sandra Coromoto</v>
      </c>
      <c r="E212" s="978" t="s">
        <v>4622</v>
      </c>
      <c r="F212" s="982">
        <v>32351</v>
      </c>
      <c r="G212" s="978" t="s">
        <v>4620</v>
      </c>
      <c r="H212" s="1001">
        <f>NOMINA!H188</f>
        <v>42948</v>
      </c>
      <c r="I212" s="984">
        <f>NOMINA!I188</f>
        <v>7</v>
      </c>
      <c r="J212" s="985">
        <f>NOMINA!J188</f>
        <v>7</v>
      </c>
      <c r="K212" s="984">
        <f t="shared" si="12"/>
        <v>14</v>
      </c>
      <c r="L212" s="985" t="s">
        <v>4932</v>
      </c>
      <c r="M212" s="985"/>
      <c r="N212" s="1002" t="str">
        <f>NOMINA!O188</f>
        <v>Analista de Personal IV</v>
      </c>
      <c r="O212" s="985">
        <v>1.02087691000006E+18</v>
      </c>
      <c r="P212" s="999">
        <f>NOMINA!W188</f>
        <v>141.5</v>
      </c>
      <c r="Q212" s="986">
        <f>NOMINA!AG188</f>
        <v>23.49</v>
      </c>
      <c r="R212" s="986">
        <f>NOMINA!AI188</f>
        <v>65</v>
      </c>
      <c r="S212" s="986">
        <f>NOMINA!AK188</f>
        <v>59.06</v>
      </c>
      <c r="T212" s="986">
        <f>ROUND(NOMINA!AO188,2)</f>
        <v>12.5</v>
      </c>
      <c r="U212" s="986">
        <f>ROUND(NOMINA!AQ188,2)</f>
        <v>0</v>
      </c>
      <c r="V212" s="986">
        <f>ROUND(NOMINA!AR188,2)</f>
        <v>0</v>
      </c>
      <c r="W212" s="986">
        <f>ROUND(NOMINA!AS188,2)</f>
        <v>0</v>
      </c>
      <c r="X212" s="986">
        <f>ROUND(NOMINA!AW188,2)</f>
        <v>0</v>
      </c>
      <c r="Y212" s="986">
        <f>ROUND(NOMINA!AX188,2)</f>
        <v>0</v>
      </c>
      <c r="Z212" s="986">
        <f>ROUND(NOMINA!BB188,2)+ROUND(NOMINA!BF188,2)</f>
        <v>0</v>
      </c>
      <c r="AA212" s="986">
        <f>ROUND(NOMINA!BK188,2)*0</f>
        <v>0</v>
      </c>
      <c r="AB212" s="986">
        <f>ROUND(NOMINA!BG188,2)</f>
        <v>300</v>
      </c>
      <c r="AC212" s="1000">
        <f t="shared" si="13"/>
        <v>601.54999999999995</v>
      </c>
      <c r="AE212" s="634"/>
    </row>
    <row r="213" spans="1:31" s="629" customFormat="1" ht="20.100000000000001" customHeight="1" thickBot="1">
      <c r="A213" s="770" t="s">
        <v>2846</v>
      </c>
      <c r="B213" s="510">
        <f t="shared" si="14"/>
        <v>147</v>
      </c>
      <c r="C213" s="980">
        <f>NOMINA!C189</f>
        <v>16883267</v>
      </c>
      <c r="D213" s="981" t="str">
        <f>NOMINA!D189</f>
        <v>Matheus Rondon Aida</v>
      </c>
      <c r="E213" s="978" t="s">
        <v>4622</v>
      </c>
      <c r="F213" s="982">
        <v>32351</v>
      </c>
      <c r="G213" s="978" t="s">
        <v>4620</v>
      </c>
      <c r="H213" s="1001">
        <f>NOMINA!H189</f>
        <v>38930</v>
      </c>
      <c r="I213" s="984">
        <f>NOMINA!I189</f>
        <v>18</v>
      </c>
      <c r="J213" s="985">
        <f>NOMINA!J189</f>
        <v>0</v>
      </c>
      <c r="K213" s="984">
        <f t="shared" si="12"/>
        <v>18</v>
      </c>
      <c r="L213" s="985" t="s">
        <v>4932</v>
      </c>
      <c r="M213" s="985"/>
      <c r="N213" s="1002" t="str">
        <f>NOMINA!O189</f>
        <v>Guia de Centro II</v>
      </c>
      <c r="O213" s="985">
        <v>1.02087691000006E+18</v>
      </c>
      <c r="P213" s="999">
        <f>NOMINA!W189</f>
        <v>114</v>
      </c>
      <c r="Q213" s="986">
        <f>NOMINA!AG189</f>
        <v>25.99</v>
      </c>
      <c r="R213" s="986">
        <f>NOMINA!AI189</f>
        <v>65</v>
      </c>
      <c r="S213" s="986">
        <f>NOMINA!AK189</f>
        <v>41</v>
      </c>
      <c r="T213" s="986">
        <f>ROUND(NOMINA!AO189,2)</f>
        <v>0</v>
      </c>
      <c r="U213" s="986">
        <f>ROUND(NOMINA!AQ189,2)</f>
        <v>0</v>
      </c>
      <c r="V213" s="986">
        <f>ROUND(NOMINA!AR189,2)</f>
        <v>0</v>
      </c>
      <c r="W213" s="986">
        <f>ROUND(NOMINA!AS189,2)</f>
        <v>0</v>
      </c>
      <c r="X213" s="986">
        <f>ROUND(NOMINA!AW189,2)</f>
        <v>0</v>
      </c>
      <c r="Y213" s="986">
        <f>ROUND(NOMINA!AX189,2)</f>
        <v>0</v>
      </c>
      <c r="Z213" s="986">
        <f>ROUND(NOMINA!BB189,2)+ROUND(NOMINA!BF189,2)</f>
        <v>0</v>
      </c>
      <c r="AA213" s="986">
        <f>ROUND(NOMINA!BK189,2)*0</f>
        <v>0</v>
      </c>
      <c r="AB213" s="986">
        <f>ROUND(NOMINA!BG189,2)</f>
        <v>300</v>
      </c>
      <c r="AC213" s="1000">
        <f t="shared" si="13"/>
        <v>545.99</v>
      </c>
      <c r="AE213" s="634"/>
    </row>
    <row r="214" spans="1:31" s="629" customFormat="1" ht="20.100000000000001" customHeight="1" thickBot="1">
      <c r="A214" s="770" t="s">
        <v>2846</v>
      </c>
      <c r="B214" s="510">
        <f>+B213+1</f>
        <v>148</v>
      </c>
      <c r="C214" s="980">
        <f>NOMINA!C190</f>
        <v>17037244</v>
      </c>
      <c r="D214" s="981" t="str">
        <f>NOMINA!D190</f>
        <v>Bastidas Yelitza Del Carmen</v>
      </c>
      <c r="E214" s="978" t="s">
        <v>4622</v>
      </c>
      <c r="F214" s="982">
        <v>32351</v>
      </c>
      <c r="G214" s="978" t="s">
        <v>4620</v>
      </c>
      <c r="H214" s="1001">
        <f>NOMINA!H190</f>
        <v>40087</v>
      </c>
      <c r="I214" s="984">
        <f>NOMINA!I190</f>
        <v>15</v>
      </c>
      <c r="J214" s="985">
        <f>NOMINA!J190</f>
        <v>0</v>
      </c>
      <c r="K214" s="984">
        <f t="shared" si="12"/>
        <v>15</v>
      </c>
      <c r="L214" s="985" t="s">
        <v>4932</v>
      </c>
      <c r="M214" s="985"/>
      <c r="N214" s="1002" t="str">
        <f>NOMINA!O190</f>
        <v>Guia de Centro II</v>
      </c>
      <c r="O214" s="985">
        <v>1.02087691000006E+18</v>
      </c>
      <c r="P214" s="999">
        <f>NOMINA!W190</f>
        <v>113</v>
      </c>
      <c r="Q214" s="986">
        <f>NOMINA!AG190</f>
        <v>20.34</v>
      </c>
      <c r="R214" s="986">
        <f>NOMINA!AI190</f>
        <v>65</v>
      </c>
      <c r="S214" s="986">
        <f>NOMINA!AK190</f>
        <v>42.17</v>
      </c>
      <c r="T214" s="986">
        <f>ROUND(NOMINA!AO190,2)</f>
        <v>0</v>
      </c>
      <c r="U214" s="986">
        <f>ROUND(NOMINA!AQ190,2)</f>
        <v>0</v>
      </c>
      <c r="V214" s="986">
        <f>ROUND(NOMINA!AR190,2)</f>
        <v>0</v>
      </c>
      <c r="W214" s="986">
        <f>ROUND(NOMINA!AS190,2)</f>
        <v>0</v>
      </c>
      <c r="X214" s="986">
        <f>ROUND(NOMINA!AW190,2)</f>
        <v>151.81</v>
      </c>
      <c r="Y214" s="986">
        <f>ROUND(NOMINA!AX190,2)</f>
        <v>0</v>
      </c>
      <c r="Z214" s="986">
        <f>ROUND(NOMINA!BB190,2)+ROUND(NOMINA!BF190,2)</f>
        <v>98.67</v>
      </c>
      <c r="AA214" s="986">
        <f>ROUND(NOMINA!BK190,2)*0</f>
        <v>0</v>
      </c>
      <c r="AB214" s="986">
        <f>ROUND(NOMINA!BG190,2)</f>
        <v>300</v>
      </c>
      <c r="AC214" s="1000">
        <f t="shared" si="13"/>
        <v>790.99</v>
      </c>
      <c r="AE214" s="634"/>
    </row>
    <row r="215" spans="1:31" s="629" customFormat="1" ht="20.100000000000001" customHeight="1" thickBot="1">
      <c r="A215" s="770" t="s">
        <v>2846</v>
      </c>
      <c r="B215" s="510">
        <f t="shared" si="14"/>
        <v>149</v>
      </c>
      <c r="C215" s="980">
        <f>NOMINA!C191</f>
        <v>17094419</v>
      </c>
      <c r="D215" s="981" t="str">
        <f>NOMINA!D191</f>
        <v>Aponte Rivera Lenismar del Valle</v>
      </c>
      <c r="E215" s="978" t="s">
        <v>4622</v>
      </c>
      <c r="F215" s="982">
        <v>32351</v>
      </c>
      <c r="G215" s="978" t="s">
        <v>4620</v>
      </c>
      <c r="H215" s="1001">
        <f>NOMINA!H191</f>
        <v>44409</v>
      </c>
      <c r="I215" s="984">
        <f>NOMINA!I191</f>
        <v>3</v>
      </c>
      <c r="J215" s="985">
        <f>NOMINA!J191</f>
        <v>0</v>
      </c>
      <c r="K215" s="984">
        <f t="shared" si="12"/>
        <v>3</v>
      </c>
      <c r="L215" s="985" t="s">
        <v>4932</v>
      </c>
      <c r="M215" s="985"/>
      <c r="N215" s="1002" t="str">
        <f>NOMINA!O191</f>
        <v>Guia de Centro I</v>
      </c>
      <c r="O215" s="985">
        <v>1.02087691000006E+18</v>
      </c>
      <c r="P215" s="999">
        <f>NOMINA!W191</f>
        <v>75</v>
      </c>
      <c r="Q215" s="986">
        <f>NOMINA!AG191</f>
        <v>2.25</v>
      </c>
      <c r="R215" s="986">
        <f>NOMINA!AI191</f>
        <v>65</v>
      </c>
      <c r="S215" s="986">
        <f>NOMINA!AK191</f>
        <v>0</v>
      </c>
      <c r="T215" s="986">
        <f>ROUND(NOMINA!AO191,2)</f>
        <v>0</v>
      </c>
      <c r="U215" s="986">
        <f>ROUND(NOMINA!AQ191,2)</f>
        <v>0</v>
      </c>
      <c r="V215" s="986">
        <f>ROUND(NOMINA!AR191,2)</f>
        <v>0</v>
      </c>
      <c r="W215" s="986">
        <f>ROUND(NOMINA!AS191,2)</f>
        <v>0</v>
      </c>
      <c r="X215" s="986">
        <f>ROUND(NOMINA!AW191,2)</f>
        <v>85.35</v>
      </c>
      <c r="Y215" s="986">
        <f>ROUND(NOMINA!AX191,2)</f>
        <v>0</v>
      </c>
      <c r="Z215" s="986">
        <f>ROUND(NOMINA!BB191,2)+ROUND(NOMINA!BF191,2)</f>
        <v>55.48</v>
      </c>
      <c r="AA215" s="986">
        <f>ROUND(NOMINA!BK191,2)*0</f>
        <v>0</v>
      </c>
      <c r="AB215" s="986">
        <f>ROUND(NOMINA!BG191,2)</f>
        <v>300</v>
      </c>
      <c r="AC215" s="1000">
        <f t="shared" si="13"/>
        <v>583.07999999999993</v>
      </c>
      <c r="AE215" s="634"/>
    </row>
    <row r="216" spans="1:31" s="629" customFormat="1" ht="20.100000000000001" customHeight="1" thickBot="1">
      <c r="A216" s="770" t="s">
        <v>2846</v>
      </c>
      <c r="B216" s="510">
        <f t="shared" si="14"/>
        <v>150</v>
      </c>
      <c r="C216" s="980">
        <f>NOMINA!C192</f>
        <v>17094426</v>
      </c>
      <c r="D216" s="981" t="str">
        <f>NOMINA!D192</f>
        <v>Manzanilla Araujo Richard Jose</v>
      </c>
      <c r="E216" s="978" t="s">
        <v>4622</v>
      </c>
      <c r="F216" s="982">
        <v>32351</v>
      </c>
      <c r="G216" s="978" t="s">
        <v>4620</v>
      </c>
      <c r="H216" s="1001">
        <f>NOMINA!H192</f>
        <v>43344</v>
      </c>
      <c r="I216" s="984">
        <f>NOMINA!I192</f>
        <v>6</v>
      </c>
      <c r="J216" s="985">
        <f>NOMINA!J192</f>
        <v>0</v>
      </c>
      <c r="K216" s="984">
        <f t="shared" si="12"/>
        <v>6</v>
      </c>
      <c r="L216" s="985" t="s">
        <v>4932</v>
      </c>
      <c r="M216" s="985"/>
      <c r="N216" s="1002" t="str">
        <f>NOMINA!O192</f>
        <v>Guia de Centro II</v>
      </c>
      <c r="O216" s="985">
        <v>1.02087691000006E+18</v>
      </c>
      <c r="P216" s="999">
        <f>NOMINA!W192</f>
        <v>139.5</v>
      </c>
      <c r="Q216" s="986">
        <f>NOMINA!AG192</f>
        <v>8.65</v>
      </c>
      <c r="R216" s="986">
        <f>NOMINA!AI192</f>
        <v>65</v>
      </c>
      <c r="S216" s="986">
        <f>NOMINA!AK192</f>
        <v>54.85</v>
      </c>
      <c r="T216" s="986">
        <f>ROUND(NOMINA!AO192,2)</f>
        <v>0</v>
      </c>
      <c r="U216" s="986">
        <f>ROUND(NOMINA!AQ192,2)</f>
        <v>0</v>
      </c>
      <c r="V216" s="986">
        <f>ROUND(NOMINA!AR192,2)</f>
        <v>0</v>
      </c>
      <c r="W216" s="986">
        <f>ROUND(NOMINA!AS192,2)</f>
        <v>0</v>
      </c>
      <c r="X216" s="986">
        <f>ROUND(NOMINA!AW192,2)</f>
        <v>164.55</v>
      </c>
      <c r="Y216" s="986">
        <f>ROUND(NOMINA!AX192,2)</f>
        <v>0</v>
      </c>
      <c r="Z216" s="986">
        <f>ROUND(NOMINA!BB192,2)+ROUND(NOMINA!BF192,2)</f>
        <v>106.96</v>
      </c>
      <c r="AA216" s="986">
        <f>ROUND(NOMINA!BK192,2)*0</f>
        <v>0</v>
      </c>
      <c r="AB216" s="986">
        <f>ROUND(NOMINA!BG192,2)</f>
        <v>300</v>
      </c>
      <c r="AC216" s="1000">
        <f t="shared" si="13"/>
        <v>839.51</v>
      </c>
      <c r="AE216" s="634"/>
    </row>
    <row r="217" spans="1:31" s="629" customFormat="1" ht="20.100000000000001" customHeight="1" thickBot="1">
      <c r="A217" s="770" t="s">
        <v>2846</v>
      </c>
      <c r="B217" s="510">
        <f t="shared" si="14"/>
        <v>151</v>
      </c>
      <c r="C217" s="980">
        <f>NOMINA!C193</f>
        <v>17130893</v>
      </c>
      <c r="D217" s="981" t="str">
        <f>NOMINA!D193</f>
        <v>Leon Valero Ceila Maria</v>
      </c>
      <c r="E217" s="978" t="s">
        <v>4622</v>
      </c>
      <c r="F217" s="982">
        <v>32351</v>
      </c>
      <c r="G217" s="978" t="s">
        <v>4620</v>
      </c>
      <c r="H217" s="1001">
        <f>NOMINA!H193</f>
        <v>39602</v>
      </c>
      <c r="I217" s="984">
        <f>NOMINA!I193</f>
        <v>16</v>
      </c>
      <c r="J217" s="985">
        <f>NOMINA!J193</f>
        <v>0</v>
      </c>
      <c r="K217" s="984">
        <f t="shared" si="12"/>
        <v>16</v>
      </c>
      <c r="L217" s="985" t="s">
        <v>4932</v>
      </c>
      <c r="M217" s="985"/>
      <c r="N217" s="1002" t="str">
        <f>NOMINA!O193</f>
        <v>Tutor Facilitador III</v>
      </c>
      <c r="O217" s="985">
        <v>1.02087691000006E+18</v>
      </c>
      <c r="P217" s="999">
        <f>NOMINA!W193</f>
        <v>142.5</v>
      </c>
      <c r="Q217" s="986">
        <f>NOMINA!AG193</f>
        <v>27.93</v>
      </c>
      <c r="R217" s="986">
        <f>NOMINA!AI193</f>
        <v>65</v>
      </c>
      <c r="S217" s="986">
        <f>NOMINA!AK193</f>
        <v>61.98</v>
      </c>
      <c r="T217" s="986">
        <f>ROUND(NOMINA!AO193,2)</f>
        <v>25</v>
      </c>
      <c r="U217" s="986">
        <f>ROUND(NOMINA!AQ193,2)</f>
        <v>0</v>
      </c>
      <c r="V217" s="986">
        <f>ROUND(NOMINA!AR193,2)</f>
        <v>0</v>
      </c>
      <c r="W217" s="986">
        <f>ROUND(NOMINA!AS193,2)</f>
        <v>0</v>
      </c>
      <c r="X217" s="986">
        <f>ROUND(NOMINA!AW193,2)</f>
        <v>0</v>
      </c>
      <c r="Y217" s="986">
        <f>ROUND(NOMINA!AX193,2)</f>
        <v>0</v>
      </c>
      <c r="Z217" s="986">
        <f>ROUND(NOMINA!BB193,2)+ROUND(NOMINA!BF193,2)</f>
        <v>0</v>
      </c>
      <c r="AA217" s="986">
        <f>ROUND(NOMINA!BK193,2)*0</f>
        <v>0</v>
      </c>
      <c r="AB217" s="986">
        <f>ROUND(NOMINA!BG193,2)</f>
        <v>300</v>
      </c>
      <c r="AC217" s="1000">
        <f t="shared" si="13"/>
        <v>622.41000000000008</v>
      </c>
      <c r="AE217" s="634"/>
    </row>
    <row r="218" spans="1:31" s="629" customFormat="1" ht="20.100000000000001" customHeight="1" thickBot="1">
      <c r="A218" s="770" t="s">
        <v>2846</v>
      </c>
      <c r="B218" s="510">
        <f t="shared" si="14"/>
        <v>152</v>
      </c>
      <c r="C218" s="980">
        <f>NOMINA!C194</f>
        <v>17265093</v>
      </c>
      <c r="D218" s="981" t="str">
        <f>NOMINA!D194</f>
        <v>Vielma Viloria Dublasca del Valle</v>
      </c>
      <c r="E218" s="978" t="s">
        <v>4622</v>
      </c>
      <c r="F218" s="982">
        <v>32351</v>
      </c>
      <c r="G218" s="978" t="s">
        <v>4620</v>
      </c>
      <c r="H218" s="1001">
        <f>NOMINA!H194</f>
        <v>45323</v>
      </c>
      <c r="I218" s="984">
        <f>NOMINA!I194</f>
        <v>0</v>
      </c>
      <c r="J218" s="985">
        <f>NOMINA!J194</f>
        <v>1</v>
      </c>
      <c r="K218" s="984">
        <f t="shared" si="12"/>
        <v>1</v>
      </c>
      <c r="L218" s="985" t="s">
        <v>4932</v>
      </c>
      <c r="M218" s="985"/>
      <c r="N218" s="1002" t="str">
        <f>NOMINA!O194</f>
        <v>Psicologo I</v>
      </c>
      <c r="O218" s="985">
        <v>1.02087691000006E+18</v>
      </c>
      <c r="P218" s="999">
        <f>NOMINA!W194</f>
        <v>152.5</v>
      </c>
      <c r="Q218" s="986">
        <f>NOMINA!AG194</f>
        <v>1.52</v>
      </c>
      <c r="R218" s="986">
        <f>NOMINA!AI194</f>
        <v>65</v>
      </c>
      <c r="S218" s="986">
        <f>NOMINA!AK194</f>
        <v>78.84</v>
      </c>
      <c r="T218" s="986">
        <f>ROUND(NOMINA!AO194,2)</f>
        <v>0</v>
      </c>
      <c r="U218" s="986">
        <f>ROUND(NOMINA!AQ194,2)</f>
        <v>0</v>
      </c>
      <c r="V218" s="986">
        <f>ROUND(NOMINA!AR194,2)</f>
        <v>0</v>
      </c>
      <c r="W218" s="986">
        <f>ROUND(NOMINA!AS194,2)</f>
        <v>0</v>
      </c>
      <c r="X218" s="986">
        <f>ROUND(NOMINA!AW194,2)</f>
        <v>0</v>
      </c>
      <c r="Y218" s="986">
        <f>ROUND(NOMINA!AX194,2)</f>
        <v>0</v>
      </c>
      <c r="Z218" s="986">
        <f>ROUND(NOMINA!BB194,2)+ROUND(NOMINA!BF194,2)</f>
        <v>0</v>
      </c>
      <c r="AA218" s="986">
        <f>ROUND(NOMINA!BK194,2)*0</f>
        <v>0</v>
      </c>
      <c r="AB218" s="986">
        <f>ROUND(NOMINA!BG194,2)</f>
        <v>300</v>
      </c>
      <c r="AC218" s="1000">
        <f t="shared" si="13"/>
        <v>597.86</v>
      </c>
      <c r="AE218" s="634"/>
    </row>
    <row r="219" spans="1:31" s="629" customFormat="1" ht="20.100000000000001" customHeight="1" thickBot="1">
      <c r="A219" s="770" t="s">
        <v>2846</v>
      </c>
      <c r="B219" s="510">
        <f t="shared" si="14"/>
        <v>153</v>
      </c>
      <c r="C219" s="980">
        <f>NOMINA!C195</f>
        <v>17265578</v>
      </c>
      <c r="D219" s="981" t="str">
        <f>NOMINA!D195</f>
        <v>Briceño Aguilar Rebeca Andreina</v>
      </c>
      <c r="E219" s="978" t="s">
        <v>4622</v>
      </c>
      <c r="F219" s="982">
        <v>32351</v>
      </c>
      <c r="G219" s="978" t="s">
        <v>4620</v>
      </c>
      <c r="H219" s="1001">
        <f>NOMINA!H195</f>
        <v>45047</v>
      </c>
      <c r="I219" s="984">
        <f>NOMINA!I195</f>
        <v>1</v>
      </c>
      <c r="J219" s="985">
        <f>NOMINA!J195</f>
        <v>2</v>
      </c>
      <c r="K219" s="984">
        <f t="shared" si="12"/>
        <v>3</v>
      </c>
      <c r="L219" s="985" t="s">
        <v>4932</v>
      </c>
      <c r="M219" s="985"/>
      <c r="N219" s="1002" t="str">
        <f>NOMINA!O195</f>
        <v>Tecnico Superior en Trabajo Social II</v>
      </c>
      <c r="O219" s="985">
        <v>1.02087691000006E+18</v>
      </c>
      <c r="P219" s="999">
        <f>NOMINA!W195</f>
        <v>109.5</v>
      </c>
      <c r="Q219" s="986">
        <f>NOMINA!AG195</f>
        <v>3.28</v>
      </c>
      <c r="R219" s="986">
        <f>NOMINA!AI195</f>
        <v>65</v>
      </c>
      <c r="S219" s="986">
        <f>NOMINA!AK195</f>
        <v>38.049999999999997</v>
      </c>
      <c r="T219" s="986">
        <f>ROUND(NOMINA!AO195,2)</f>
        <v>0</v>
      </c>
      <c r="U219" s="986">
        <f>ROUND(NOMINA!AQ195,2)</f>
        <v>0</v>
      </c>
      <c r="V219" s="986">
        <f>ROUND(NOMINA!AR195,2)</f>
        <v>0</v>
      </c>
      <c r="W219" s="986">
        <f>ROUND(NOMINA!AS195,2)</f>
        <v>0</v>
      </c>
      <c r="X219" s="986">
        <f>ROUND(NOMINA!AW195,2)</f>
        <v>0</v>
      </c>
      <c r="Y219" s="986">
        <f>ROUND(NOMINA!AX195,2)</f>
        <v>0</v>
      </c>
      <c r="Z219" s="986">
        <f>ROUND(NOMINA!BB195,2)+ROUND(NOMINA!BF195,2)</f>
        <v>0</v>
      </c>
      <c r="AA219" s="986">
        <f>ROUND(NOMINA!BK195,2)*0</f>
        <v>0</v>
      </c>
      <c r="AB219" s="986">
        <f>ROUND(NOMINA!BG195,2)</f>
        <v>300</v>
      </c>
      <c r="AC219" s="1000">
        <f t="shared" si="13"/>
        <v>515.82999999999993</v>
      </c>
      <c r="AE219" s="634"/>
    </row>
    <row r="220" spans="1:31" s="629" customFormat="1" ht="20.100000000000001" customHeight="1" thickBot="1">
      <c r="A220" s="770" t="s">
        <v>2846</v>
      </c>
      <c r="B220" s="510">
        <f t="shared" si="14"/>
        <v>154</v>
      </c>
      <c r="C220" s="980">
        <f>NOMINA!C196</f>
        <v>17265648</v>
      </c>
      <c r="D220" s="981" t="str">
        <f>NOMINA!D196</f>
        <v>Carrizo Mary Alejandra</v>
      </c>
      <c r="E220" s="978" t="s">
        <v>4622</v>
      </c>
      <c r="F220" s="982">
        <v>32351</v>
      </c>
      <c r="G220" s="978" t="s">
        <v>4620</v>
      </c>
      <c r="H220" s="1001">
        <f>NOMINA!H196</f>
        <v>43709</v>
      </c>
      <c r="I220" s="984">
        <f>NOMINA!I196</f>
        <v>5</v>
      </c>
      <c r="J220" s="985">
        <f>NOMINA!J196</f>
        <v>0</v>
      </c>
      <c r="K220" s="984">
        <f t="shared" si="12"/>
        <v>5</v>
      </c>
      <c r="L220" s="985" t="s">
        <v>4932</v>
      </c>
      <c r="M220" s="985"/>
      <c r="N220" s="1002" t="str">
        <f>NOMINA!O196</f>
        <v>Guia de Centro II</v>
      </c>
      <c r="O220" s="985">
        <v>1.02087691000006E+18</v>
      </c>
      <c r="P220" s="999">
        <f>NOMINA!W196</f>
        <v>75</v>
      </c>
      <c r="Q220" s="986">
        <f>NOMINA!AG196</f>
        <v>3.75</v>
      </c>
      <c r="R220" s="986">
        <f>NOMINA!AI196</f>
        <v>65</v>
      </c>
      <c r="S220" s="986">
        <f>NOMINA!AK196</f>
        <v>0</v>
      </c>
      <c r="T220" s="986">
        <f>ROUND(NOMINA!AO196,2)</f>
        <v>0</v>
      </c>
      <c r="U220" s="986">
        <f>ROUND(NOMINA!AQ196,2)</f>
        <v>0</v>
      </c>
      <c r="V220" s="986">
        <f>ROUND(NOMINA!AR196,2)</f>
        <v>0</v>
      </c>
      <c r="W220" s="986">
        <f>ROUND(NOMINA!AS196,2)</f>
        <v>0</v>
      </c>
      <c r="X220" s="986">
        <f>ROUND(NOMINA!AW196,2)</f>
        <v>93.75</v>
      </c>
      <c r="Y220" s="986">
        <f>ROUND(NOMINA!AX196,2)</f>
        <v>0</v>
      </c>
      <c r="Z220" s="986">
        <f>ROUND(NOMINA!BB196,2)+ROUND(NOMINA!BF196,2)</f>
        <v>101.56</v>
      </c>
      <c r="AA220" s="986">
        <f>ROUND(NOMINA!BK196,2)*0</f>
        <v>0</v>
      </c>
      <c r="AB220" s="986">
        <f>ROUND(NOMINA!BG196,2)</f>
        <v>300</v>
      </c>
      <c r="AC220" s="1000">
        <f t="shared" si="13"/>
        <v>639.05999999999995</v>
      </c>
      <c r="AE220" s="634"/>
    </row>
    <row r="221" spans="1:31" s="629" customFormat="1" ht="20.100000000000001" customHeight="1" thickBot="1">
      <c r="A221" s="770" t="s">
        <v>2846</v>
      </c>
      <c r="B221" s="510">
        <f t="shared" si="14"/>
        <v>155</v>
      </c>
      <c r="C221" s="980">
        <f>NOMINA!C197</f>
        <v>17267324</v>
      </c>
      <c r="D221" s="981" t="str">
        <f>NOMINA!D197</f>
        <v>Urdaneta Soto Katherine Esther</v>
      </c>
      <c r="E221" s="978" t="s">
        <v>4622</v>
      </c>
      <c r="F221" s="982">
        <v>32351</v>
      </c>
      <c r="G221" s="978" t="s">
        <v>4620</v>
      </c>
      <c r="H221" s="1001">
        <f>NOMINA!H197</f>
        <v>43785</v>
      </c>
      <c r="I221" s="984">
        <f>NOMINA!I197</f>
        <v>5</v>
      </c>
      <c r="J221" s="985">
        <f>NOMINA!J197</f>
        <v>0</v>
      </c>
      <c r="K221" s="984">
        <f t="shared" si="12"/>
        <v>5</v>
      </c>
      <c r="L221" s="985" t="s">
        <v>4932</v>
      </c>
      <c r="M221" s="985"/>
      <c r="N221" s="1002" t="str">
        <f>NOMINA!O197</f>
        <v>Guia de Centro II</v>
      </c>
      <c r="O221" s="985">
        <v>1.02087691000006E+18</v>
      </c>
      <c r="P221" s="999">
        <f>NOMINA!W197</f>
        <v>75</v>
      </c>
      <c r="Q221" s="986">
        <f>NOMINA!AG197</f>
        <v>3.75</v>
      </c>
      <c r="R221" s="986">
        <f>NOMINA!AI197</f>
        <v>65</v>
      </c>
      <c r="S221" s="986">
        <f>NOMINA!AK197</f>
        <v>0</v>
      </c>
      <c r="T221" s="986">
        <f>ROUND(NOMINA!AO197,2)</f>
        <v>0</v>
      </c>
      <c r="U221" s="986">
        <f>ROUND(NOMINA!AQ197,2)</f>
        <v>0</v>
      </c>
      <c r="V221" s="986">
        <f>ROUND(NOMINA!AR197,2)</f>
        <v>0</v>
      </c>
      <c r="W221" s="986">
        <f>ROUND(NOMINA!AS197,2)</f>
        <v>0</v>
      </c>
      <c r="X221" s="986">
        <f>ROUND(NOMINA!AW197,2)</f>
        <v>93.75</v>
      </c>
      <c r="Y221" s="986">
        <f>ROUND(NOMINA!AX197,2)</f>
        <v>0</v>
      </c>
      <c r="Z221" s="986">
        <f>ROUND(NOMINA!BB197,2)+ROUND(NOMINA!BF197,2)</f>
        <v>60.94</v>
      </c>
      <c r="AA221" s="986">
        <f>ROUND(NOMINA!BK197,2)*0</f>
        <v>0</v>
      </c>
      <c r="AB221" s="986">
        <f>ROUND(NOMINA!BG197,2)</f>
        <v>300</v>
      </c>
      <c r="AC221" s="1000">
        <f t="shared" si="13"/>
        <v>598.44000000000005</v>
      </c>
      <c r="AE221" s="634"/>
    </row>
    <row r="222" spans="1:31" s="629" customFormat="1" ht="20.100000000000001" customHeight="1" thickBot="1">
      <c r="A222" s="770" t="s">
        <v>2846</v>
      </c>
      <c r="B222" s="510">
        <f t="shared" si="14"/>
        <v>156</v>
      </c>
      <c r="C222" s="980">
        <f>NOMINA!C198</f>
        <v>17391316</v>
      </c>
      <c r="D222" s="981" t="str">
        <f>NOMINA!D198</f>
        <v>Torres Aranguren Lilibeth del Valle</v>
      </c>
      <c r="E222" s="978" t="s">
        <v>4622</v>
      </c>
      <c r="F222" s="982">
        <v>32351</v>
      </c>
      <c r="G222" s="978" t="s">
        <v>4620</v>
      </c>
      <c r="H222" s="1001">
        <f>NOMINA!H198</f>
        <v>44713</v>
      </c>
      <c r="I222" s="984">
        <f>NOMINA!I198</f>
        <v>2</v>
      </c>
      <c r="J222" s="985">
        <f>NOMINA!J198</f>
        <v>0</v>
      </c>
      <c r="K222" s="984">
        <f t="shared" si="12"/>
        <v>2</v>
      </c>
      <c r="L222" s="985" t="s">
        <v>4932</v>
      </c>
      <c r="M222" s="985"/>
      <c r="N222" s="1002" t="str">
        <f>NOMINA!O198</f>
        <v>Guia de Centro I</v>
      </c>
      <c r="O222" s="985">
        <v>1.02087691000006E+18</v>
      </c>
      <c r="P222" s="999">
        <f>NOMINA!W198</f>
        <v>96</v>
      </c>
      <c r="Q222" s="986">
        <f>NOMINA!AG198</f>
        <v>1.92</v>
      </c>
      <c r="R222" s="986">
        <f>NOMINA!AI198</f>
        <v>65</v>
      </c>
      <c r="S222" s="986">
        <f>NOMINA!AK198</f>
        <v>33.83</v>
      </c>
      <c r="T222" s="986">
        <f>ROUND(NOMINA!AO198,2)</f>
        <v>0</v>
      </c>
      <c r="U222" s="986">
        <f>ROUND(NOMINA!AQ198,2)</f>
        <v>0</v>
      </c>
      <c r="V222" s="986">
        <f>ROUND(NOMINA!AR198,2)</f>
        <v>0</v>
      </c>
      <c r="W222" s="986">
        <f>ROUND(NOMINA!AS198,2)</f>
        <v>0</v>
      </c>
      <c r="X222" s="986">
        <f>ROUND(NOMINA!AW198,2)</f>
        <v>121.8</v>
      </c>
      <c r="Y222" s="986">
        <f>ROUND(NOMINA!AX198,2)</f>
        <v>0</v>
      </c>
      <c r="Z222" s="986">
        <f>ROUND(NOMINA!BB198,2)+ROUND(NOMINA!BF198,2)</f>
        <v>79.17</v>
      </c>
      <c r="AA222" s="986">
        <f>ROUND(NOMINA!BK198,2)*0</f>
        <v>0</v>
      </c>
      <c r="AB222" s="986">
        <f>ROUND(NOMINA!BG198,2)</f>
        <v>300</v>
      </c>
      <c r="AC222" s="1000">
        <f t="shared" si="13"/>
        <v>697.72</v>
      </c>
      <c r="AE222" s="634"/>
    </row>
    <row r="223" spans="1:31" s="629" customFormat="1" ht="20.100000000000001" customHeight="1" thickBot="1">
      <c r="A223" s="770" t="s">
        <v>2846</v>
      </c>
      <c r="B223" s="510">
        <f t="shared" si="14"/>
        <v>157</v>
      </c>
      <c r="C223" s="980">
        <f>NOMINA!C199</f>
        <v>17391892</v>
      </c>
      <c r="D223" s="981" t="str">
        <f>NOMINA!D199</f>
        <v>Godoy Padilla Darcy Yaneth</v>
      </c>
      <c r="E223" s="978" t="s">
        <v>4622</v>
      </c>
      <c r="F223" s="982">
        <v>32351</v>
      </c>
      <c r="G223" s="978" t="s">
        <v>4620</v>
      </c>
      <c r="H223" s="1001">
        <f>NOMINA!H199</f>
        <v>45323</v>
      </c>
      <c r="I223" s="984">
        <f>NOMINA!I199</f>
        <v>0</v>
      </c>
      <c r="J223" s="985">
        <f>NOMINA!J199</f>
        <v>2</v>
      </c>
      <c r="K223" s="984">
        <f t="shared" si="12"/>
        <v>2</v>
      </c>
      <c r="L223" s="985" t="s">
        <v>4932</v>
      </c>
      <c r="M223" s="985"/>
      <c r="N223" s="1002" t="str">
        <f>NOMINA!O199</f>
        <v>Analista de Personal I</v>
      </c>
      <c r="O223" s="985">
        <v>1.02087691000006E+18</v>
      </c>
      <c r="P223" s="999">
        <f>NOMINA!W199</f>
        <v>123</v>
      </c>
      <c r="Q223" s="986">
        <f>NOMINA!AG199</f>
        <v>2.46</v>
      </c>
      <c r="R223" s="986">
        <f>NOMINA!AI199</f>
        <v>65</v>
      </c>
      <c r="S223" s="986">
        <f>NOMINA!AK199</f>
        <v>50.74</v>
      </c>
      <c r="T223" s="986">
        <f>ROUND(NOMINA!AO199,2)</f>
        <v>25</v>
      </c>
      <c r="U223" s="986">
        <f>ROUND(NOMINA!AQ199,2)</f>
        <v>0</v>
      </c>
      <c r="V223" s="986">
        <f>ROUND(NOMINA!AR199,2)</f>
        <v>0</v>
      </c>
      <c r="W223" s="986">
        <f>ROUND(NOMINA!AS199,2)</f>
        <v>0</v>
      </c>
      <c r="X223" s="986">
        <f>ROUND(NOMINA!AW199,2)</f>
        <v>0</v>
      </c>
      <c r="Y223" s="986">
        <f>ROUND(NOMINA!AX199,2)</f>
        <v>0</v>
      </c>
      <c r="Z223" s="986">
        <f>ROUND(NOMINA!BB199,2)+ROUND(NOMINA!BF199,2)</f>
        <v>0</v>
      </c>
      <c r="AA223" s="986">
        <f>ROUND(NOMINA!BK199,2)*0</f>
        <v>0</v>
      </c>
      <c r="AB223" s="986">
        <f>ROUND(NOMINA!BG199,2)</f>
        <v>300</v>
      </c>
      <c r="AC223" s="1000">
        <f t="shared" si="13"/>
        <v>566.20000000000005</v>
      </c>
      <c r="AE223" s="634"/>
    </row>
    <row r="224" spans="1:31" s="629" customFormat="1" ht="20.100000000000001" customHeight="1" thickBot="1">
      <c r="A224" s="770" t="s">
        <v>2846</v>
      </c>
      <c r="B224" s="510">
        <f t="shared" si="14"/>
        <v>158</v>
      </c>
      <c r="C224" s="980">
        <f>NOMINA!C200</f>
        <v>17392309</v>
      </c>
      <c r="D224" s="981" t="str">
        <f>NOMINA!D200</f>
        <v>Torres Briceño Yarelis Del Carmen</v>
      </c>
      <c r="E224" s="978" t="s">
        <v>4622</v>
      </c>
      <c r="F224" s="982">
        <v>32351</v>
      </c>
      <c r="G224" s="978" t="s">
        <v>4620</v>
      </c>
      <c r="H224" s="1001">
        <f>NOMINA!H200</f>
        <v>43116</v>
      </c>
      <c r="I224" s="984">
        <f>NOMINA!I200</f>
        <v>7</v>
      </c>
      <c r="J224" s="985">
        <f>NOMINA!J200</f>
        <v>0</v>
      </c>
      <c r="K224" s="984">
        <f t="shared" si="12"/>
        <v>7</v>
      </c>
      <c r="L224" s="985" t="s">
        <v>4932</v>
      </c>
      <c r="M224" s="985"/>
      <c r="N224" s="1002" t="str">
        <f>NOMINA!O200</f>
        <v>Administrador II</v>
      </c>
      <c r="O224" s="985">
        <v>1.02087691000006E+18</v>
      </c>
      <c r="P224" s="999">
        <f>NOMINA!W200</f>
        <v>139.5</v>
      </c>
      <c r="Q224" s="986">
        <f>NOMINA!AG200</f>
        <v>10.32</v>
      </c>
      <c r="R224" s="986">
        <f>NOMINA!AI200</f>
        <v>65</v>
      </c>
      <c r="S224" s="986">
        <f>NOMINA!AK200</f>
        <v>56.83</v>
      </c>
      <c r="T224" s="986">
        <f>ROUND(NOMINA!AO200,2)</f>
        <v>12.5</v>
      </c>
      <c r="U224" s="986">
        <f>ROUND(NOMINA!AQ200,2)</f>
        <v>0</v>
      </c>
      <c r="V224" s="986">
        <f>ROUND(NOMINA!AR200,2)</f>
        <v>0</v>
      </c>
      <c r="W224" s="986">
        <f>ROUND(NOMINA!AS200,2)</f>
        <v>0</v>
      </c>
      <c r="X224" s="986">
        <f>ROUND(NOMINA!AW200,2)</f>
        <v>0</v>
      </c>
      <c r="Y224" s="986">
        <f>ROUND(NOMINA!AX200,2)</f>
        <v>4546.4799999999996</v>
      </c>
      <c r="Z224" s="986">
        <f>ROUND(NOMINA!BB200,2)+ROUND(NOMINA!BF200,2)</f>
        <v>0</v>
      </c>
      <c r="AA224" s="986">
        <f>ROUND(NOMINA!BK200,2)*0</f>
        <v>0</v>
      </c>
      <c r="AB224" s="986">
        <f>ROUND(NOMINA!BG200,2)</f>
        <v>300</v>
      </c>
      <c r="AC224" s="1000">
        <f t="shared" si="13"/>
        <v>5130.6299999999992</v>
      </c>
      <c r="AE224" s="634"/>
    </row>
    <row r="225" spans="1:31" s="629" customFormat="1" ht="20.100000000000001" customHeight="1" thickBot="1">
      <c r="A225" s="770" t="s">
        <v>2846</v>
      </c>
      <c r="B225" s="510">
        <f t="shared" si="14"/>
        <v>159</v>
      </c>
      <c r="C225" s="980">
        <f>NOMINA!C201</f>
        <v>17393693</v>
      </c>
      <c r="D225" s="981" t="str">
        <f>NOMINA!D201</f>
        <v>Nuñez Maria Gusmara</v>
      </c>
      <c r="E225" s="978" t="s">
        <v>4622</v>
      </c>
      <c r="F225" s="982">
        <v>32351</v>
      </c>
      <c r="G225" s="978" t="s">
        <v>4620</v>
      </c>
      <c r="H225" s="1001">
        <f>NOMINA!H201</f>
        <v>44516</v>
      </c>
      <c r="I225" s="984">
        <f>NOMINA!I201</f>
        <v>3</v>
      </c>
      <c r="J225" s="985">
        <f>NOMINA!J201</f>
        <v>0</v>
      </c>
      <c r="K225" s="984">
        <f t="shared" si="12"/>
        <v>3</v>
      </c>
      <c r="L225" s="985" t="s">
        <v>4932</v>
      </c>
      <c r="M225" s="985"/>
      <c r="N225" s="1002" t="str">
        <f>NOMINA!O201</f>
        <v>Asistente Administrativo II</v>
      </c>
      <c r="O225" s="985">
        <v>1.02087691000006E+18</v>
      </c>
      <c r="P225" s="999">
        <f>NOMINA!W201</f>
        <v>75</v>
      </c>
      <c r="Q225" s="986">
        <f>NOMINA!AG201</f>
        <v>2.25</v>
      </c>
      <c r="R225" s="986">
        <f>NOMINA!AI201</f>
        <v>65</v>
      </c>
      <c r="S225" s="986">
        <f>NOMINA!AK201</f>
        <v>0</v>
      </c>
      <c r="T225" s="986">
        <f>ROUND(NOMINA!AO201,2)</f>
        <v>0</v>
      </c>
      <c r="U225" s="986">
        <f>ROUND(NOMINA!AQ201,2)</f>
        <v>0</v>
      </c>
      <c r="V225" s="986">
        <f>ROUND(NOMINA!AR201,2)</f>
        <v>0</v>
      </c>
      <c r="W225" s="986">
        <f>ROUND(NOMINA!AS201,2)</f>
        <v>0</v>
      </c>
      <c r="X225" s="986">
        <f>ROUND(NOMINA!AW201,2)</f>
        <v>0</v>
      </c>
      <c r="Y225" s="986">
        <f>ROUND(NOMINA!AX201,2)</f>
        <v>0</v>
      </c>
      <c r="Z225" s="986">
        <f>ROUND(NOMINA!BB201,2)+ROUND(NOMINA!BF201,2)</f>
        <v>0</v>
      </c>
      <c r="AA225" s="986">
        <f>ROUND(NOMINA!BK201,2)*0</f>
        <v>0</v>
      </c>
      <c r="AB225" s="986">
        <f>ROUND(NOMINA!BG201,2)</f>
        <v>300</v>
      </c>
      <c r="AC225" s="1000">
        <f t="shared" si="13"/>
        <v>442.25</v>
      </c>
      <c r="AE225" s="634"/>
    </row>
    <row r="226" spans="1:31" s="629" customFormat="1" ht="20.100000000000001" customHeight="1" thickBot="1">
      <c r="A226" s="770" t="s">
        <v>2846</v>
      </c>
      <c r="B226" s="510">
        <f t="shared" si="14"/>
        <v>160</v>
      </c>
      <c r="C226" s="980">
        <f>NOMINA!C202</f>
        <v>17596844</v>
      </c>
      <c r="D226" s="981" t="str">
        <f>NOMINA!D202</f>
        <v>Colmenares Jorge Luis</v>
      </c>
      <c r="E226" s="978" t="s">
        <v>4622</v>
      </c>
      <c r="F226" s="982">
        <v>32351</v>
      </c>
      <c r="G226" s="978" t="s">
        <v>4620</v>
      </c>
      <c r="H226" s="1001">
        <f>NOMINA!H202</f>
        <v>45474</v>
      </c>
      <c r="I226" s="984">
        <f>NOMINA!I202</f>
        <v>0</v>
      </c>
      <c r="J226" s="985">
        <f>NOMINA!J202</f>
        <v>0</v>
      </c>
      <c r="K226" s="984">
        <f t="shared" si="12"/>
        <v>0</v>
      </c>
      <c r="L226" s="985" t="s">
        <v>4932</v>
      </c>
      <c r="M226" s="985"/>
      <c r="N226" s="1002" t="str">
        <f>NOMINA!O202</f>
        <v>Guia de Centro I</v>
      </c>
      <c r="O226" s="985">
        <v>1.02087691000006E+18</v>
      </c>
      <c r="P226" s="999">
        <f>NOMINA!W202</f>
        <v>96</v>
      </c>
      <c r="Q226" s="986">
        <f>NOMINA!AG202</f>
        <v>0</v>
      </c>
      <c r="R226" s="986">
        <f>NOMINA!AI202</f>
        <v>65</v>
      </c>
      <c r="S226" s="986">
        <f>NOMINA!AK202</f>
        <v>34.700000000000003</v>
      </c>
      <c r="T226" s="986">
        <f>ROUND(NOMINA!AO202,2)</f>
        <v>0</v>
      </c>
      <c r="U226" s="986">
        <f>ROUND(NOMINA!AQ202,2)</f>
        <v>0</v>
      </c>
      <c r="V226" s="986">
        <f>ROUND(NOMINA!AR202,2)</f>
        <v>0</v>
      </c>
      <c r="W226" s="986">
        <f>ROUND(NOMINA!AS202,2)</f>
        <v>0</v>
      </c>
      <c r="X226" s="986">
        <f>ROUND(NOMINA!AW202,2)</f>
        <v>124.92</v>
      </c>
      <c r="Y226" s="986">
        <f>ROUND(NOMINA!AX202,2)</f>
        <v>0</v>
      </c>
      <c r="Z226" s="986">
        <f>ROUND(NOMINA!BB202,2)+ROUND(NOMINA!BF202,2)</f>
        <v>135.33000000000001</v>
      </c>
      <c r="AA226" s="986">
        <f>ROUND(NOMINA!BK202,2)*0</f>
        <v>0</v>
      </c>
      <c r="AB226" s="986">
        <f>ROUND(NOMINA!BG202,2)</f>
        <v>300</v>
      </c>
      <c r="AC226" s="1000">
        <f t="shared" si="13"/>
        <v>755.95</v>
      </c>
      <c r="AE226" s="634"/>
    </row>
    <row r="227" spans="1:31" s="629" customFormat="1" ht="20.100000000000001" customHeight="1" thickBot="1">
      <c r="A227" s="770" t="s">
        <v>2846</v>
      </c>
      <c r="B227" s="510">
        <f t="shared" si="14"/>
        <v>161</v>
      </c>
      <c r="C227" s="980">
        <f>NOMINA!C203</f>
        <v>17597257</v>
      </c>
      <c r="D227" s="981" t="str">
        <f>NOMINA!D203</f>
        <v>Linares Barreto Jorge Luis</v>
      </c>
      <c r="E227" s="978" t="s">
        <v>4622</v>
      </c>
      <c r="F227" s="982">
        <v>32351</v>
      </c>
      <c r="G227" s="978" t="s">
        <v>4620</v>
      </c>
      <c r="H227" s="1001">
        <f>NOMINA!H203</f>
        <v>45536</v>
      </c>
      <c r="I227" s="984">
        <f>NOMINA!I203</f>
        <v>0</v>
      </c>
      <c r="J227" s="985">
        <f>NOMINA!J203</f>
        <v>0</v>
      </c>
      <c r="K227" s="984">
        <f t="shared" si="12"/>
        <v>0</v>
      </c>
      <c r="L227" s="985" t="s">
        <v>4932</v>
      </c>
      <c r="M227" s="985"/>
      <c r="N227" s="1002" t="str">
        <f>NOMINA!O203</f>
        <v>GUIA DE CENTRO I</v>
      </c>
      <c r="O227" s="985">
        <v>1.02087691000006E+18</v>
      </c>
      <c r="P227" s="999">
        <f>NOMINA!W203</f>
        <v>96</v>
      </c>
      <c r="Q227" s="986">
        <f>NOMINA!AG203</f>
        <v>0</v>
      </c>
      <c r="R227" s="986">
        <f>NOMINA!AI203</f>
        <v>65</v>
      </c>
      <c r="S227" s="986">
        <f>NOMINA!AK203</f>
        <v>32.200000000000003</v>
      </c>
      <c r="T227" s="986">
        <f>ROUND(NOMINA!AO203,2)</f>
        <v>0</v>
      </c>
      <c r="U227" s="986">
        <f>ROUND(NOMINA!AQ203,2)</f>
        <v>0</v>
      </c>
      <c r="V227" s="986">
        <f>ROUND(NOMINA!AR203,2)</f>
        <v>0</v>
      </c>
      <c r="W227" s="986">
        <f>ROUND(NOMINA!AS203,2)</f>
        <v>0</v>
      </c>
      <c r="X227" s="986">
        <f>ROUND(NOMINA!AW203,2)</f>
        <v>115.92</v>
      </c>
      <c r="Y227" s="986">
        <f>ROUND(NOMINA!AX203,2)</f>
        <v>0</v>
      </c>
      <c r="Z227" s="986">
        <f>ROUND(NOMINA!BB203,2)+ROUND(NOMINA!BF203,2)</f>
        <v>75.349999999999994</v>
      </c>
      <c r="AA227" s="986">
        <f>ROUND(NOMINA!BK203,2)*0</f>
        <v>0</v>
      </c>
      <c r="AB227" s="986">
        <f>ROUND(NOMINA!BG203,2)</f>
        <v>300</v>
      </c>
      <c r="AC227" s="1000">
        <f t="shared" si="13"/>
        <v>684.47</v>
      </c>
      <c r="AE227" s="634"/>
    </row>
    <row r="228" spans="1:31" s="629" customFormat="1" ht="20.100000000000001" customHeight="1" thickBot="1">
      <c r="A228" s="770" t="s">
        <v>2846</v>
      </c>
      <c r="B228" s="510">
        <f t="shared" si="14"/>
        <v>162</v>
      </c>
      <c r="C228" s="980">
        <f>NOMINA!C204</f>
        <v>17597285</v>
      </c>
      <c r="D228" s="981" t="str">
        <f>NOMINA!D204</f>
        <v>Duarte Portillo Dani Vicente</v>
      </c>
      <c r="E228" s="978" t="s">
        <v>4622</v>
      </c>
      <c r="F228" s="982">
        <v>32351</v>
      </c>
      <c r="G228" s="978" t="s">
        <v>4620</v>
      </c>
      <c r="H228" s="1001">
        <f>NOMINA!H204</f>
        <v>42782</v>
      </c>
      <c r="I228" s="984">
        <f>NOMINA!I204</f>
        <v>7</v>
      </c>
      <c r="J228" s="985">
        <f>NOMINA!J204</f>
        <v>0</v>
      </c>
      <c r="K228" s="984">
        <f t="shared" si="12"/>
        <v>7</v>
      </c>
      <c r="L228" s="985" t="s">
        <v>4932</v>
      </c>
      <c r="M228" s="985"/>
      <c r="N228" s="1002" t="str">
        <f>NOMINA!O204</f>
        <v>Tecnico Superior en Trabajo Social II</v>
      </c>
      <c r="O228" s="985">
        <v>1.02087691000006E+18</v>
      </c>
      <c r="P228" s="999">
        <f>NOMINA!W204</f>
        <v>110.5</v>
      </c>
      <c r="Q228" s="986">
        <f>NOMINA!AG204</f>
        <v>8.17</v>
      </c>
      <c r="R228" s="986">
        <f>NOMINA!AI204</f>
        <v>65</v>
      </c>
      <c r="S228" s="986">
        <f>NOMINA!AK204</f>
        <v>36.729999999999997</v>
      </c>
      <c r="T228" s="986">
        <f>ROUND(NOMINA!AO204,2)</f>
        <v>0</v>
      </c>
      <c r="U228" s="986">
        <f>ROUND(NOMINA!AQ204,2)</f>
        <v>0</v>
      </c>
      <c r="V228" s="986">
        <f>ROUND(NOMINA!AR204,2)</f>
        <v>0</v>
      </c>
      <c r="W228" s="986">
        <f>ROUND(NOMINA!AS204,2)</f>
        <v>0</v>
      </c>
      <c r="X228" s="986">
        <f>ROUND(NOMINA!AW204,2)</f>
        <v>0</v>
      </c>
      <c r="Y228" s="986">
        <f>ROUND(NOMINA!AX204,2)</f>
        <v>0</v>
      </c>
      <c r="Z228" s="986">
        <f>ROUND(NOMINA!BB204,2)+ROUND(NOMINA!BF204,2)</f>
        <v>0</v>
      </c>
      <c r="AA228" s="986">
        <f>ROUND(NOMINA!BK204,2)*0</f>
        <v>0</v>
      </c>
      <c r="AB228" s="986">
        <f>ROUND(NOMINA!BG204,2)</f>
        <v>300</v>
      </c>
      <c r="AC228" s="1000">
        <f t="shared" si="13"/>
        <v>520.4</v>
      </c>
      <c r="AE228" s="634"/>
    </row>
    <row r="229" spans="1:31" s="629" customFormat="1" ht="20.100000000000001" customHeight="1" thickBot="1">
      <c r="A229" s="770" t="s">
        <v>2846</v>
      </c>
      <c r="B229" s="510">
        <f t="shared" si="14"/>
        <v>163</v>
      </c>
      <c r="C229" s="980">
        <f>NOMINA!C205</f>
        <v>17604568</v>
      </c>
      <c r="D229" s="981" t="str">
        <f>NOMINA!D205</f>
        <v>Rivera Gil Christian Rafael</v>
      </c>
      <c r="E229" s="978" t="s">
        <v>4622</v>
      </c>
      <c r="F229" s="982">
        <v>32351</v>
      </c>
      <c r="G229" s="978" t="s">
        <v>4620</v>
      </c>
      <c r="H229" s="1001">
        <f>NOMINA!H205</f>
        <v>43831</v>
      </c>
      <c r="I229" s="984">
        <f>NOMINA!I205</f>
        <v>5</v>
      </c>
      <c r="J229" s="985">
        <f>NOMINA!J205</f>
        <v>0</v>
      </c>
      <c r="K229" s="984">
        <f t="shared" si="12"/>
        <v>5</v>
      </c>
      <c r="L229" s="985" t="s">
        <v>4932</v>
      </c>
      <c r="M229" s="985"/>
      <c r="N229" s="1002" t="str">
        <f>NOMINA!O205</f>
        <v>Tecnico en Reparacion y Mantenimiento I</v>
      </c>
      <c r="O229" s="985">
        <v>1.02087691000006E+18</v>
      </c>
      <c r="P229" s="999">
        <f>NOMINA!W205</f>
        <v>109.5</v>
      </c>
      <c r="Q229" s="986">
        <f>NOMINA!AG205</f>
        <v>5.47</v>
      </c>
      <c r="R229" s="986">
        <f>NOMINA!AI205</f>
        <v>65</v>
      </c>
      <c r="S229" s="986">
        <f>NOMINA!AK205</f>
        <v>38.49</v>
      </c>
      <c r="T229" s="986">
        <f>ROUND(NOMINA!AO205,2)</f>
        <v>25</v>
      </c>
      <c r="U229" s="986">
        <f>ROUND(NOMINA!AQ205,2)</f>
        <v>0</v>
      </c>
      <c r="V229" s="986">
        <f>ROUND(NOMINA!AR205,2)</f>
        <v>0</v>
      </c>
      <c r="W229" s="986">
        <f>ROUND(NOMINA!AS205,2)</f>
        <v>0</v>
      </c>
      <c r="X229" s="986">
        <f>ROUND(NOMINA!AW205,2)</f>
        <v>0</v>
      </c>
      <c r="Y229" s="986">
        <f>ROUND(NOMINA!AX205,2)</f>
        <v>3695.52</v>
      </c>
      <c r="Z229" s="986">
        <f>ROUND(NOMINA!BB205,2)+ROUND(NOMINA!BF205,2)</f>
        <v>23.1</v>
      </c>
      <c r="AA229" s="986">
        <f>ROUND(NOMINA!BK205,2)*0</f>
        <v>0</v>
      </c>
      <c r="AB229" s="986">
        <f>ROUND(NOMINA!BG205,2)</f>
        <v>300</v>
      </c>
      <c r="AC229" s="1000">
        <f t="shared" si="13"/>
        <v>4262.08</v>
      </c>
      <c r="AE229" s="634"/>
    </row>
    <row r="230" spans="1:31" s="629" customFormat="1" ht="20.100000000000001" customHeight="1" thickBot="1">
      <c r="A230" s="770" t="s">
        <v>2846</v>
      </c>
      <c r="B230" s="510">
        <f t="shared" si="14"/>
        <v>164</v>
      </c>
      <c r="C230" s="980">
        <f>NOMINA!C206</f>
        <v>17605222</v>
      </c>
      <c r="D230" s="981" t="str">
        <f>NOMINA!D206</f>
        <v>Aguial Dayana Carolina</v>
      </c>
      <c r="E230" s="978" t="s">
        <v>4622</v>
      </c>
      <c r="F230" s="982">
        <v>32351</v>
      </c>
      <c r="G230" s="978" t="s">
        <v>4620</v>
      </c>
      <c r="H230" s="1001">
        <f>NOMINA!H206</f>
        <v>42737</v>
      </c>
      <c r="I230" s="984">
        <f>NOMINA!I206</f>
        <v>8</v>
      </c>
      <c r="J230" s="985">
        <f>NOMINA!J206</f>
        <v>0</v>
      </c>
      <c r="K230" s="984">
        <f t="shared" si="12"/>
        <v>8</v>
      </c>
      <c r="L230" s="985" t="s">
        <v>4932</v>
      </c>
      <c r="M230" s="985"/>
      <c r="N230" s="1002" t="str">
        <f>NOMINA!O206</f>
        <v>Guia de Centro II</v>
      </c>
      <c r="O230" s="985">
        <v>1.02087691000006E+18</v>
      </c>
      <c r="P230" s="999">
        <f>NOMINA!W206</f>
        <v>110.5</v>
      </c>
      <c r="Q230" s="986">
        <f>NOMINA!AG206</f>
        <v>9.5</v>
      </c>
      <c r="R230" s="986">
        <f>NOMINA!AI206</f>
        <v>65</v>
      </c>
      <c r="S230" s="986">
        <f>NOMINA!AK206</f>
        <v>46.25</v>
      </c>
      <c r="T230" s="986">
        <f>ROUND(NOMINA!AO206,2)</f>
        <v>0</v>
      </c>
      <c r="U230" s="986">
        <f>ROUND(NOMINA!AQ206,2)</f>
        <v>0</v>
      </c>
      <c r="V230" s="986">
        <f>ROUND(NOMINA!AR206,2)</f>
        <v>0</v>
      </c>
      <c r="W230" s="986">
        <f>ROUND(NOMINA!AS206,2)</f>
        <v>0</v>
      </c>
      <c r="X230" s="986">
        <f>ROUND(NOMINA!AW206,2)</f>
        <v>138.75</v>
      </c>
      <c r="Y230" s="986">
        <f>ROUND(NOMINA!AX206,2)</f>
        <v>4810.08</v>
      </c>
      <c r="Z230" s="986">
        <f>ROUND(NOMINA!BB206,2)+ROUND(NOMINA!BF206,2)</f>
        <v>90.19</v>
      </c>
      <c r="AA230" s="986">
        <f>ROUND(NOMINA!BK206,2)*0</f>
        <v>0</v>
      </c>
      <c r="AB230" s="986">
        <f>ROUND(NOMINA!BG206,2)</f>
        <v>300</v>
      </c>
      <c r="AC230" s="1000">
        <f t="shared" si="13"/>
        <v>5570.2699999999995</v>
      </c>
      <c r="AE230" s="634"/>
    </row>
    <row r="231" spans="1:31" s="629" customFormat="1" ht="20.100000000000001" customHeight="1" thickBot="1">
      <c r="A231" s="770" t="s">
        <v>2846</v>
      </c>
      <c r="B231" s="510">
        <f t="shared" si="14"/>
        <v>165</v>
      </c>
      <c r="C231" s="980">
        <f>NOMINA!C207</f>
        <v>17605492</v>
      </c>
      <c r="D231" s="981" t="str">
        <f>NOMINA!D207</f>
        <v>Briceño Briceño Naibely Carolina</v>
      </c>
      <c r="E231" s="978" t="s">
        <v>4622</v>
      </c>
      <c r="F231" s="982">
        <v>32351</v>
      </c>
      <c r="G231" s="978" t="s">
        <v>4620</v>
      </c>
      <c r="H231" s="1001">
        <f>NOMINA!H207</f>
        <v>43967</v>
      </c>
      <c r="I231" s="984">
        <f>NOMINA!I207</f>
        <v>4</v>
      </c>
      <c r="J231" s="985">
        <f>NOMINA!J207</f>
        <v>0</v>
      </c>
      <c r="K231" s="984">
        <f t="shared" si="12"/>
        <v>4</v>
      </c>
      <c r="L231" s="985" t="s">
        <v>4932</v>
      </c>
      <c r="M231" s="985"/>
      <c r="N231" s="1002" t="str">
        <f>NOMINA!O207</f>
        <v>Asistente Administrativo V</v>
      </c>
      <c r="O231" s="985">
        <v>1.02087691000006E+18</v>
      </c>
      <c r="P231" s="999">
        <f>NOMINA!W207</f>
        <v>138.5</v>
      </c>
      <c r="Q231" s="986">
        <f>NOMINA!AG207</f>
        <v>5.54</v>
      </c>
      <c r="R231" s="986">
        <f>NOMINA!AI207</f>
        <v>65</v>
      </c>
      <c r="S231" s="986">
        <f>NOMINA!AK207</f>
        <v>52.26</v>
      </c>
      <c r="T231" s="986">
        <f>ROUND(NOMINA!AO207,2)</f>
        <v>0</v>
      </c>
      <c r="U231" s="986">
        <f>ROUND(NOMINA!AQ207,2)</f>
        <v>0</v>
      </c>
      <c r="V231" s="986">
        <f>ROUND(NOMINA!AR207,2)</f>
        <v>0</v>
      </c>
      <c r="W231" s="986">
        <f>ROUND(NOMINA!AS207,2)</f>
        <v>0</v>
      </c>
      <c r="X231" s="986">
        <f>ROUND(NOMINA!AW207,2)</f>
        <v>0</v>
      </c>
      <c r="Y231" s="986">
        <f>ROUND(NOMINA!AX207,2)</f>
        <v>0</v>
      </c>
      <c r="Z231" s="986">
        <f>ROUND(NOMINA!BB207,2)+ROUND(NOMINA!BF207,2)</f>
        <v>0</v>
      </c>
      <c r="AA231" s="986">
        <f>ROUND(NOMINA!BK207,2)*0</f>
        <v>0</v>
      </c>
      <c r="AB231" s="986">
        <f>ROUND(NOMINA!BG207,2)</f>
        <v>300</v>
      </c>
      <c r="AC231" s="1000">
        <f t="shared" si="13"/>
        <v>561.29999999999995</v>
      </c>
      <c r="AE231" s="634"/>
    </row>
    <row r="232" spans="1:31" s="629" customFormat="1" ht="20.100000000000001" customHeight="1" thickBot="1">
      <c r="A232" s="770" t="s">
        <v>2846</v>
      </c>
      <c r="B232" s="510">
        <f t="shared" si="14"/>
        <v>166</v>
      </c>
      <c r="C232" s="980">
        <f>NOMINA!C208</f>
        <v>17606237</v>
      </c>
      <c r="D232" s="981" t="str">
        <f>NOMINA!D208</f>
        <v>Castellano Rivera Maria Antonina</v>
      </c>
      <c r="E232" s="978" t="s">
        <v>4622</v>
      </c>
      <c r="F232" s="982">
        <v>32351</v>
      </c>
      <c r="G232" s="978" t="s">
        <v>4620</v>
      </c>
      <c r="H232" s="1001">
        <f>NOMINA!H208</f>
        <v>40909</v>
      </c>
      <c r="I232" s="984">
        <f>NOMINA!I208</f>
        <v>13</v>
      </c>
      <c r="J232" s="985">
        <f>NOMINA!J208</f>
        <v>0</v>
      </c>
      <c r="K232" s="984">
        <f t="shared" si="12"/>
        <v>13</v>
      </c>
      <c r="L232" s="985" t="s">
        <v>4932</v>
      </c>
      <c r="M232" s="985"/>
      <c r="N232" s="1002" t="str">
        <f>NOMINA!O208</f>
        <v>Asistente Administrativo III</v>
      </c>
      <c r="O232" s="985">
        <v>1.02087691000006E+18</v>
      </c>
      <c r="P232" s="999">
        <f>NOMINA!W208</f>
        <v>87</v>
      </c>
      <c r="Q232" s="986">
        <f>NOMINA!AG208</f>
        <v>13.22</v>
      </c>
      <c r="R232" s="986">
        <f>NOMINA!AI208</f>
        <v>65</v>
      </c>
      <c r="S232" s="986">
        <f>NOMINA!AK208</f>
        <v>34.29</v>
      </c>
      <c r="T232" s="986">
        <f>ROUND(NOMINA!AO208,2)</f>
        <v>0</v>
      </c>
      <c r="U232" s="986">
        <f>ROUND(NOMINA!AQ208,2)</f>
        <v>0</v>
      </c>
      <c r="V232" s="986">
        <f>ROUND(NOMINA!AR208,2)</f>
        <v>0</v>
      </c>
      <c r="W232" s="986">
        <f>ROUND(NOMINA!AS208,2)</f>
        <v>0</v>
      </c>
      <c r="X232" s="986">
        <f>ROUND(NOMINA!AW208,2)</f>
        <v>0</v>
      </c>
      <c r="Y232" s="986">
        <f>ROUND(NOMINA!AX208,2)</f>
        <v>3292.32</v>
      </c>
      <c r="Z232" s="986">
        <f>ROUND(NOMINA!BB208,2)+ROUND(NOMINA!BF208,2)</f>
        <v>0</v>
      </c>
      <c r="AA232" s="986">
        <f>ROUND(NOMINA!BK208,2)*0</f>
        <v>0</v>
      </c>
      <c r="AB232" s="986">
        <f>ROUND(NOMINA!BG208,2)</f>
        <v>300</v>
      </c>
      <c r="AC232" s="1000">
        <f t="shared" si="13"/>
        <v>3791.83</v>
      </c>
      <c r="AE232" s="634"/>
    </row>
    <row r="233" spans="1:31" s="629" customFormat="1" ht="20.100000000000001" customHeight="1" thickBot="1">
      <c r="A233" s="770" t="s">
        <v>2846</v>
      </c>
      <c r="B233" s="510">
        <f t="shared" si="14"/>
        <v>167</v>
      </c>
      <c r="C233" s="980">
        <f>NOMINA!C209</f>
        <v>17830972</v>
      </c>
      <c r="D233" s="981" t="str">
        <f>NOMINA!D209</f>
        <v>Bastidas Franco Dianellys Sarain</v>
      </c>
      <c r="E233" s="978" t="s">
        <v>4622</v>
      </c>
      <c r="F233" s="982">
        <v>32351</v>
      </c>
      <c r="G233" s="978" t="s">
        <v>4620</v>
      </c>
      <c r="H233" s="1001">
        <f>NOMINA!H209</f>
        <v>44713</v>
      </c>
      <c r="I233" s="984">
        <f>NOMINA!I209</f>
        <v>2</v>
      </c>
      <c r="J233" s="985">
        <f>NOMINA!J209</f>
        <v>0</v>
      </c>
      <c r="K233" s="984">
        <f t="shared" si="12"/>
        <v>2</v>
      </c>
      <c r="L233" s="985" t="s">
        <v>4932</v>
      </c>
      <c r="M233" s="985"/>
      <c r="N233" s="1002" t="str">
        <f>NOMINA!O209</f>
        <v>Entrenador Deportivo IV</v>
      </c>
      <c r="O233" s="985">
        <v>1.02087691000006E+18</v>
      </c>
      <c r="P233" s="999">
        <f>NOMINA!W209</f>
        <v>123</v>
      </c>
      <c r="Q233" s="986">
        <f>NOMINA!AG209</f>
        <v>2.46</v>
      </c>
      <c r="R233" s="986">
        <f>NOMINA!AI209</f>
        <v>65</v>
      </c>
      <c r="S233" s="986">
        <f>NOMINA!AK209</f>
        <v>47.61</v>
      </c>
      <c r="T233" s="986">
        <f>ROUND(NOMINA!AO209,2)</f>
        <v>0</v>
      </c>
      <c r="U233" s="986">
        <f>ROUND(NOMINA!AQ209,2)</f>
        <v>0</v>
      </c>
      <c r="V233" s="986">
        <f>ROUND(NOMINA!AR209,2)</f>
        <v>0</v>
      </c>
      <c r="W233" s="986">
        <f>ROUND(NOMINA!AS209,2)</f>
        <v>0</v>
      </c>
      <c r="X233" s="986">
        <f>ROUND(NOMINA!AW209,2)</f>
        <v>0</v>
      </c>
      <c r="Y233" s="986">
        <f>ROUND(NOMINA!AX209,2)</f>
        <v>0</v>
      </c>
      <c r="Z233" s="986">
        <f>ROUND(NOMINA!BB209,2)+ROUND(NOMINA!BF209,2)</f>
        <v>0</v>
      </c>
      <c r="AA233" s="986">
        <f>ROUND(NOMINA!BK209,2)*0</f>
        <v>0</v>
      </c>
      <c r="AB233" s="986">
        <f>ROUND(NOMINA!BG209,2)</f>
        <v>300</v>
      </c>
      <c r="AC233" s="1000">
        <f t="shared" si="13"/>
        <v>538.06999999999994</v>
      </c>
      <c r="AE233" s="634"/>
    </row>
    <row r="234" spans="1:31" s="629" customFormat="1" ht="20.100000000000001" customHeight="1" thickBot="1">
      <c r="A234" s="770" t="s">
        <v>2846</v>
      </c>
      <c r="B234" s="510">
        <f t="shared" si="14"/>
        <v>168</v>
      </c>
      <c r="C234" s="980">
        <f>NOMINA!C210</f>
        <v>17831012</v>
      </c>
      <c r="D234" s="981" t="str">
        <f>NOMINA!D210</f>
        <v>Valera Briceño Jesus Enrique</v>
      </c>
      <c r="E234" s="978" t="s">
        <v>4622</v>
      </c>
      <c r="F234" s="982">
        <v>32351</v>
      </c>
      <c r="G234" s="978" t="s">
        <v>4620</v>
      </c>
      <c r="H234" s="1001">
        <f>NOMINA!H210</f>
        <v>45474</v>
      </c>
      <c r="I234" s="984">
        <f>NOMINA!I210</f>
        <v>0</v>
      </c>
      <c r="J234" s="985">
        <f>NOMINA!J210</f>
        <v>5</v>
      </c>
      <c r="K234" s="984">
        <f t="shared" si="12"/>
        <v>5</v>
      </c>
      <c r="L234" s="985" t="s">
        <v>4932</v>
      </c>
      <c r="M234" s="985"/>
      <c r="N234" s="1002" t="str">
        <f>NOMINA!O210</f>
        <v>Guia de Centro I</v>
      </c>
      <c r="O234" s="985">
        <v>1.02087691000006E+18</v>
      </c>
      <c r="P234" s="999">
        <f>NOMINA!W210</f>
        <v>75</v>
      </c>
      <c r="Q234" s="986">
        <f>NOMINA!AG210</f>
        <v>3.75</v>
      </c>
      <c r="R234" s="986">
        <f>NOMINA!AI210</f>
        <v>65</v>
      </c>
      <c r="S234" s="986">
        <f>NOMINA!AK210</f>
        <v>0</v>
      </c>
      <c r="T234" s="986">
        <f>ROUND(NOMINA!AO210,2)</f>
        <v>12.5</v>
      </c>
      <c r="U234" s="986">
        <f>ROUND(NOMINA!AQ210,2)</f>
        <v>0</v>
      </c>
      <c r="V234" s="986">
        <f>ROUND(NOMINA!AR210,2)</f>
        <v>0</v>
      </c>
      <c r="W234" s="986">
        <f>ROUND(NOMINA!AS210,2)</f>
        <v>0</v>
      </c>
      <c r="X234" s="986">
        <f>ROUND(NOMINA!AW210,2)</f>
        <v>90</v>
      </c>
      <c r="Y234" s="986">
        <f>ROUND(NOMINA!AX210,2)</f>
        <v>0</v>
      </c>
      <c r="Z234" s="986">
        <f>ROUND(NOMINA!BB210,2)+ROUND(NOMINA!BF210,2)</f>
        <v>58.5</v>
      </c>
      <c r="AA234" s="986">
        <f>ROUND(NOMINA!BK210,2)*0</f>
        <v>0</v>
      </c>
      <c r="AB234" s="986">
        <f>ROUND(NOMINA!BG210,2)</f>
        <v>300</v>
      </c>
      <c r="AC234" s="1000">
        <f t="shared" si="13"/>
        <v>604.75</v>
      </c>
      <c r="AE234" s="634"/>
    </row>
    <row r="235" spans="1:31" s="629" customFormat="1" ht="20.100000000000001" customHeight="1" thickBot="1">
      <c r="A235" s="770" t="s">
        <v>2846</v>
      </c>
      <c r="B235" s="510">
        <f t="shared" si="14"/>
        <v>169</v>
      </c>
      <c r="C235" s="980">
        <f>NOMINA!C211</f>
        <v>17831231</v>
      </c>
      <c r="D235" s="981" t="str">
        <f>NOMINA!D211</f>
        <v>Blanco Torres Beixy Coromoto</v>
      </c>
      <c r="E235" s="978" t="s">
        <v>4622</v>
      </c>
      <c r="F235" s="982">
        <v>32351</v>
      </c>
      <c r="G235" s="978" t="s">
        <v>4620</v>
      </c>
      <c r="H235" s="1001">
        <f>NOMINA!H211</f>
        <v>44200</v>
      </c>
      <c r="I235" s="984">
        <f>NOMINA!I211</f>
        <v>4</v>
      </c>
      <c r="J235" s="985">
        <f>NOMINA!J211</f>
        <v>7</v>
      </c>
      <c r="K235" s="984">
        <f t="shared" si="12"/>
        <v>11</v>
      </c>
      <c r="L235" s="985" t="s">
        <v>4932</v>
      </c>
      <c r="M235" s="985"/>
      <c r="N235" s="1002" t="str">
        <f>NOMINA!O211</f>
        <v>Abogado III</v>
      </c>
      <c r="O235" s="985">
        <v>1.02087691000006E+18</v>
      </c>
      <c r="P235" s="999">
        <f>NOMINA!W211</f>
        <v>140.5</v>
      </c>
      <c r="Q235" s="986">
        <f>NOMINA!AG211</f>
        <v>17.420000000000002</v>
      </c>
      <c r="R235" s="986">
        <f>NOMINA!AI211</f>
        <v>65</v>
      </c>
      <c r="S235" s="986">
        <f>NOMINA!AK211</f>
        <v>57.29</v>
      </c>
      <c r="T235" s="986">
        <f>ROUND(NOMINA!AO211,2)</f>
        <v>12.5</v>
      </c>
      <c r="U235" s="986">
        <f>ROUND(NOMINA!AQ211,2)</f>
        <v>12.5</v>
      </c>
      <c r="V235" s="986">
        <f>ROUND(NOMINA!AR211,2)</f>
        <v>0</v>
      </c>
      <c r="W235" s="986">
        <f>ROUND(NOMINA!AS211,2)</f>
        <v>0</v>
      </c>
      <c r="X235" s="986">
        <f>ROUND(NOMINA!AW211,2)</f>
        <v>0</v>
      </c>
      <c r="Y235" s="986">
        <f>ROUND(NOMINA!AX211,2)</f>
        <v>4583.4399999999996</v>
      </c>
      <c r="Z235" s="986">
        <f>ROUND(NOMINA!BB211,2)+ROUND(NOMINA!BF211,2)</f>
        <v>0</v>
      </c>
      <c r="AA235" s="986">
        <f>ROUND(NOMINA!BK211,2)*0</f>
        <v>0</v>
      </c>
      <c r="AB235" s="986">
        <f>ROUND(NOMINA!BG211,2)</f>
        <v>300</v>
      </c>
      <c r="AC235" s="1000">
        <f t="shared" si="13"/>
        <v>5188.6499999999996</v>
      </c>
      <c r="AE235" s="634"/>
    </row>
    <row r="236" spans="1:31" s="629" customFormat="1" ht="20.100000000000001" customHeight="1" thickBot="1">
      <c r="A236" s="770" t="s">
        <v>2846</v>
      </c>
      <c r="B236" s="510">
        <f t="shared" si="14"/>
        <v>170</v>
      </c>
      <c r="C236" s="980">
        <f>NOMINA!C212</f>
        <v>17831384</v>
      </c>
      <c r="D236" s="981" t="str">
        <f>NOMINA!D212</f>
        <v>Nieve Briceño Glorys Carolina</v>
      </c>
      <c r="E236" s="978" t="s">
        <v>4622</v>
      </c>
      <c r="F236" s="982">
        <v>32351</v>
      </c>
      <c r="G236" s="978" t="s">
        <v>4620</v>
      </c>
      <c r="H236" s="1001">
        <f>NOMINA!H212</f>
        <v>42339</v>
      </c>
      <c r="I236" s="984">
        <f>NOMINA!I212</f>
        <v>9</v>
      </c>
      <c r="J236" s="985">
        <f>NOMINA!J212</f>
        <v>0</v>
      </c>
      <c r="K236" s="984">
        <f t="shared" si="12"/>
        <v>9</v>
      </c>
      <c r="L236" s="985" t="s">
        <v>4932</v>
      </c>
      <c r="M236" s="985"/>
      <c r="N236" s="1002" t="str">
        <f>NOMINA!O212</f>
        <v>Guia de Centro II</v>
      </c>
      <c r="O236" s="985">
        <v>1.02087691000006E+18</v>
      </c>
      <c r="P236" s="999">
        <f>NOMINA!W212</f>
        <v>140.5</v>
      </c>
      <c r="Q236" s="986">
        <f>NOMINA!AG212</f>
        <v>13.77</v>
      </c>
      <c r="R236" s="986">
        <f>NOMINA!AI212</f>
        <v>65</v>
      </c>
      <c r="S236" s="986">
        <f>NOMINA!AK212</f>
        <v>56.38</v>
      </c>
      <c r="T236" s="986">
        <f>ROUND(NOMINA!AO212,2)</f>
        <v>0</v>
      </c>
      <c r="U236" s="986">
        <f>ROUND(NOMINA!AQ212,2)</f>
        <v>0</v>
      </c>
      <c r="V236" s="986">
        <f>ROUND(NOMINA!AR212,2)</f>
        <v>0</v>
      </c>
      <c r="W236" s="986">
        <f>ROUND(NOMINA!AS212,2)</f>
        <v>0</v>
      </c>
      <c r="X236" s="986">
        <f>ROUND(NOMINA!AW212,2)</f>
        <v>169.14</v>
      </c>
      <c r="Y236" s="986">
        <f>ROUND(NOMINA!AX212,2)</f>
        <v>0</v>
      </c>
      <c r="Z236" s="986">
        <f>ROUND(NOMINA!BB212,2)+ROUND(NOMINA!BF212,2)</f>
        <v>0</v>
      </c>
      <c r="AA236" s="986">
        <f>ROUND(NOMINA!BK212,2)*0</f>
        <v>0</v>
      </c>
      <c r="AB236" s="986">
        <f>ROUND(NOMINA!BG212,2)</f>
        <v>300</v>
      </c>
      <c r="AC236" s="1000">
        <f t="shared" si="13"/>
        <v>744.79</v>
      </c>
      <c r="AE236" s="634"/>
    </row>
    <row r="237" spans="1:31" s="629" customFormat="1" ht="20.100000000000001" customHeight="1" thickBot="1">
      <c r="A237" s="770" t="s">
        <v>2846</v>
      </c>
      <c r="B237" s="510">
        <f t="shared" si="14"/>
        <v>171</v>
      </c>
      <c r="C237" s="980">
        <f>NOMINA!C213</f>
        <v>17832396</v>
      </c>
      <c r="D237" s="981" t="str">
        <f>NOMINA!D213</f>
        <v>Pulido Sanchez Joalina Vanessa</v>
      </c>
      <c r="E237" s="978" t="s">
        <v>4622</v>
      </c>
      <c r="F237" s="982">
        <v>32351</v>
      </c>
      <c r="G237" s="978" t="s">
        <v>4620</v>
      </c>
      <c r="H237" s="1001">
        <f>NOMINA!H213</f>
        <v>43191</v>
      </c>
      <c r="I237" s="984">
        <f>NOMINA!I213</f>
        <v>6</v>
      </c>
      <c r="J237" s="985">
        <f>NOMINA!J213</f>
        <v>0</v>
      </c>
      <c r="K237" s="984">
        <f t="shared" si="12"/>
        <v>6</v>
      </c>
      <c r="L237" s="985" t="s">
        <v>4932</v>
      </c>
      <c r="M237" s="985"/>
      <c r="N237" s="1002" t="str">
        <f>NOMINA!O213</f>
        <v>Enfermera Jefe I</v>
      </c>
      <c r="O237" s="985">
        <v>1.02087691000006E+18</v>
      </c>
      <c r="P237" s="999">
        <f>NOMINA!W213</f>
        <v>109.5</v>
      </c>
      <c r="Q237" s="986">
        <f>NOMINA!AG213</f>
        <v>6.79</v>
      </c>
      <c r="R237" s="986">
        <f>NOMINA!AI213</f>
        <v>65</v>
      </c>
      <c r="S237" s="986">
        <f>NOMINA!AK213</f>
        <v>38.76</v>
      </c>
      <c r="T237" s="986">
        <f>ROUND(NOMINA!AO213,2)</f>
        <v>0</v>
      </c>
      <c r="U237" s="986">
        <f>ROUND(NOMINA!AQ213,2)</f>
        <v>0</v>
      </c>
      <c r="V237" s="986">
        <f>ROUND(NOMINA!AR213,2)</f>
        <v>0</v>
      </c>
      <c r="W237" s="986">
        <f>ROUND(NOMINA!AS213,2)</f>
        <v>0</v>
      </c>
      <c r="X237" s="986">
        <f>ROUND(NOMINA!AW213,2)</f>
        <v>0</v>
      </c>
      <c r="Y237" s="986">
        <f>ROUND(NOMINA!AX213,2)</f>
        <v>0</v>
      </c>
      <c r="Z237" s="986">
        <f>ROUND(NOMINA!BB213,2)+ROUND(NOMINA!BF213,2)</f>
        <v>0</v>
      </c>
      <c r="AA237" s="986">
        <f>ROUND(NOMINA!BK213,2)*0</f>
        <v>0</v>
      </c>
      <c r="AB237" s="986">
        <f>ROUND(NOMINA!BG213,2)</f>
        <v>300</v>
      </c>
      <c r="AC237" s="1000">
        <f t="shared" si="13"/>
        <v>520.04999999999995</v>
      </c>
      <c r="AE237" s="634"/>
    </row>
    <row r="238" spans="1:31" s="629" customFormat="1" ht="20.100000000000001" customHeight="1" thickBot="1">
      <c r="A238" s="770" t="s">
        <v>2846</v>
      </c>
      <c r="B238" s="510">
        <f t="shared" si="14"/>
        <v>172</v>
      </c>
      <c r="C238" s="980">
        <f>NOMINA!C214</f>
        <v>17865154</v>
      </c>
      <c r="D238" s="981" t="str">
        <f>NOMINA!D214</f>
        <v>Serrano Ingrid Maria</v>
      </c>
      <c r="E238" s="978" t="s">
        <v>4622</v>
      </c>
      <c r="F238" s="982">
        <v>32351</v>
      </c>
      <c r="G238" s="978" t="s">
        <v>4620</v>
      </c>
      <c r="H238" s="1001">
        <f>NOMINA!H214</f>
        <v>43846</v>
      </c>
      <c r="I238" s="984">
        <f>NOMINA!I214</f>
        <v>5</v>
      </c>
      <c r="J238" s="985">
        <f>NOMINA!J214</f>
        <v>0</v>
      </c>
      <c r="K238" s="984">
        <f t="shared" si="12"/>
        <v>5</v>
      </c>
      <c r="L238" s="985" t="s">
        <v>4932</v>
      </c>
      <c r="M238" s="985"/>
      <c r="N238" s="1002" t="str">
        <f>NOMINA!O214</f>
        <v>Guia de Centro I</v>
      </c>
      <c r="O238" s="985">
        <v>1.02087691000006E+18</v>
      </c>
      <c r="P238" s="999">
        <f>NOMINA!W214</f>
        <v>75</v>
      </c>
      <c r="Q238" s="986">
        <f>NOMINA!AG214</f>
        <v>3.75</v>
      </c>
      <c r="R238" s="986">
        <f>NOMINA!AI214</f>
        <v>65</v>
      </c>
      <c r="S238" s="986">
        <f>NOMINA!AK214</f>
        <v>0</v>
      </c>
      <c r="T238" s="986">
        <f>ROUND(NOMINA!AO214,2)</f>
        <v>0</v>
      </c>
      <c r="U238" s="986">
        <f>ROUND(NOMINA!AQ214,2)</f>
        <v>0</v>
      </c>
      <c r="V238" s="986">
        <f>ROUND(NOMINA!AR214,2)</f>
        <v>0</v>
      </c>
      <c r="W238" s="986">
        <f>ROUND(NOMINA!AS214,2)</f>
        <v>0</v>
      </c>
      <c r="X238" s="986">
        <f>ROUND(NOMINA!AW214,2)</f>
        <v>86.25</v>
      </c>
      <c r="Y238" s="986">
        <f>ROUND(NOMINA!AX214,2)</f>
        <v>2990</v>
      </c>
      <c r="Z238" s="986">
        <f>ROUND(NOMINA!BB214,2)+ROUND(NOMINA!BF214,2)</f>
        <v>74.75</v>
      </c>
      <c r="AA238" s="986">
        <f>ROUND(NOMINA!BK214,2)*0</f>
        <v>0</v>
      </c>
      <c r="AB238" s="986">
        <f>ROUND(NOMINA!BG214,2)</f>
        <v>300</v>
      </c>
      <c r="AC238" s="1000">
        <f t="shared" si="13"/>
        <v>3594.75</v>
      </c>
      <c r="AE238" s="634"/>
    </row>
    <row r="239" spans="1:31" s="629" customFormat="1" ht="20.100000000000001" customHeight="1" thickBot="1">
      <c r="A239" s="770" t="s">
        <v>2846</v>
      </c>
      <c r="B239" s="510">
        <f t="shared" si="14"/>
        <v>173</v>
      </c>
      <c r="C239" s="980">
        <f>NOMINA!C215</f>
        <v>18036203</v>
      </c>
      <c r="D239" s="981" t="str">
        <f>NOMINA!D215</f>
        <v>Yepes Caceres Mervis Javier</v>
      </c>
      <c r="E239" s="978" t="s">
        <v>4622</v>
      </c>
      <c r="F239" s="982">
        <v>32351</v>
      </c>
      <c r="G239" s="978" t="s">
        <v>4620</v>
      </c>
      <c r="H239" s="1001">
        <f>NOMINA!H215</f>
        <v>45505</v>
      </c>
      <c r="I239" s="984">
        <f>NOMINA!I215</f>
        <v>0</v>
      </c>
      <c r="J239" s="985">
        <f>NOMINA!J215</f>
        <v>0</v>
      </c>
      <c r="K239" s="984">
        <f t="shared" si="12"/>
        <v>0</v>
      </c>
      <c r="L239" s="985" t="s">
        <v>4932</v>
      </c>
      <c r="M239" s="985"/>
      <c r="N239" s="1002" t="str">
        <f>NOMINA!O215</f>
        <v>Guia de Centro I</v>
      </c>
      <c r="O239" s="985">
        <v>1.02087691000006E+18</v>
      </c>
      <c r="P239" s="999">
        <f>NOMINA!W215</f>
        <v>65</v>
      </c>
      <c r="Q239" s="986">
        <f>NOMINA!AG215</f>
        <v>0</v>
      </c>
      <c r="R239" s="986">
        <f>NOMINA!AI215</f>
        <v>65</v>
      </c>
      <c r="S239" s="986">
        <f>NOMINA!AK215</f>
        <v>0</v>
      </c>
      <c r="T239" s="986">
        <f>ROUND(NOMINA!AO215,2)</f>
        <v>12.5</v>
      </c>
      <c r="U239" s="986">
        <f>ROUND(NOMINA!AQ215,2)</f>
        <v>0</v>
      </c>
      <c r="V239" s="986">
        <f>ROUND(NOMINA!AR215,2)</f>
        <v>0</v>
      </c>
      <c r="W239" s="986">
        <f>ROUND(NOMINA!AS215,2)</f>
        <v>0</v>
      </c>
      <c r="X239" s="986">
        <f>ROUND(NOMINA!AW215,2)</f>
        <v>85.5</v>
      </c>
      <c r="Y239" s="986">
        <f>ROUND(NOMINA!AX215,2)</f>
        <v>0</v>
      </c>
      <c r="Z239" s="986">
        <f>ROUND(NOMINA!BB215,2)+ROUND(NOMINA!BF215,2)</f>
        <v>55.58</v>
      </c>
      <c r="AA239" s="986">
        <f>ROUND(NOMINA!BK215,2)*0</f>
        <v>0</v>
      </c>
      <c r="AB239" s="986">
        <f>ROUND(NOMINA!BG215,2)</f>
        <v>300</v>
      </c>
      <c r="AC239" s="1000">
        <f t="shared" si="13"/>
        <v>583.57999999999993</v>
      </c>
      <c r="AE239" s="634"/>
    </row>
    <row r="240" spans="1:31" s="629" customFormat="1" ht="20.100000000000001" customHeight="1" thickBot="1">
      <c r="A240" s="770" t="s">
        <v>2846</v>
      </c>
      <c r="B240" s="510">
        <f t="shared" si="14"/>
        <v>174</v>
      </c>
      <c r="C240" s="980">
        <f>NOMINA!C216</f>
        <v>18036156</v>
      </c>
      <c r="D240" s="981" t="str">
        <f>NOMINA!D216</f>
        <v>Ruiz Vasquez Endri Ramon</v>
      </c>
      <c r="E240" s="978" t="s">
        <v>4622</v>
      </c>
      <c r="F240" s="982">
        <v>32351</v>
      </c>
      <c r="G240" s="978" t="s">
        <v>4620</v>
      </c>
      <c r="H240" s="1001">
        <f>NOMINA!H216</f>
        <v>45597</v>
      </c>
      <c r="I240" s="984">
        <f>NOMINA!I216</f>
        <v>0</v>
      </c>
      <c r="J240" s="985">
        <f>NOMINA!J216</f>
        <v>0</v>
      </c>
      <c r="K240" s="984">
        <f t="shared" si="12"/>
        <v>0</v>
      </c>
      <c r="L240" s="985" t="s">
        <v>4932</v>
      </c>
      <c r="M240" s="985"/>
      <c r="N240" s="1002" t="str">
        <f>NOMINA!O216</f>
        <v>Guia de Centro I</v>
      </c>
      <c r="O240" s="985">
        <v>1.02087691000006E+18</v>
      </c>
      <c r="P240" s="999">
        <f>NOMINA!W216</f>
        <v>65</v>
      </c>
      <c r="Q240" s="986">
        <f>NOMINA!AG216</f>
        <v>0</v>
      </c>
      <c r="R240" s="986">
        <f>NOMINA!AI216</f>
        <v>65</v>
      </c>
      <c r="S240" s="986">
        <f>NOMINA!AK216</f>
        <v>0</v>
      </c>
      <c r="T240" s="986">
        <f>ROUND(NOMINA!AO216,2)</f>
        <v>0</v>
      </c>
      <c r="U240" s="986">
        <f>ROUND(NOMINA!AQ216,2)</f>
        <v>0</v>
      </c>
      <c r="V240" s="986">
        <f>ROUND(NOMINA!AR216,2)</f>
        <v>0</v>
      </c>
      <c r="W240" s="986">
        <f>ROUND(NOMINA!AS216,2)</f>
        <v>0</v>
      </c>
      <c r="X240" s="986">
        <f>ROUND(NOMINA!AW216,2)</f>
        <v>78</v>
      </c>
      <c r="Y240" s="986">
        <f>ROUND(NOMINA!AX216,2)</f>
        <v>0</v>
      </c>
      <c r="Z240" s="986">
        <f>ROUND(NOMINA!BB216,2)+ROUND(NOMINA!BF216,2)</f>
        <v>50.7</v>
      </c>
      <c r="AA240" s="986">
        <f>ROUND(NOMINA!BK216,2)*0</f>
        <v>0</v>
      </c>
      <c r="AB240" s="986">
        <f>ROUND(NOMINA!BG216,2)</f>
        <v>300</v>
      </c>
      <c r="AC240" s="1000">
        <f t="shared" si="13"/>
        <v>558.70000000000005</v>
      </c>
      <c r="AE240" s="634"/>
    </row>
    <row r="241" spans="1:31" s="629" customFormat="1" ht="20.100000000000001" customHeight="1" thickBot="1">
      <c r="A241" s="770" t="s">
        <v>2846</v>
      </c>
      <c r="B241" s="510">
        <f t="shared" si="14"/>
        <v>175</v>
      </c>
      <c r="C241" s="980">
        <f>NOMINA!C217</f>
        <v>18095603</v>
      </c>
      <c r="D241" s="981" t="str">
        <f>NOMINA!D217</f>
        <v>Lozada Bencomo Daniela Carolina</v>
      </c>
      <c r="E241" s="978" t="s">
        <v>4622</v>
      </c>
      <c r="F241" s="982">
        <v>32351</v>
      </c>
      <c r="G241" s="978" t="s">
        <v>4620</v>
      </c>
      <c r="H241" s="1001">
        <f>NOMINA!H217</f>
        <v>42963</v>
      </c>
      <c r="I241" s="984">
        <f>NOMINA!I217</f>
        <v>7</v>
      </c>
      <c r="J241" s="985">
        <f>NOMINA!J217</f>
        <v>0</v>
      </c>
      <c r="K241" s="984">
        <f t="shared" si="12"/>
        <v>7</v>
      </c>
      <c r="L241" s="985" t="s">
        <v>4932</v>
      </c>
      <c r="M241" s="985"/>
      <c r="N241" s="1002" t="str">
        <f>NOMINA!O217</f>
        <v>Tecnico Superior en Trabajo Social II</v>
      </c>
      <c r="O241" s="985">
        <v>1.02087691000006E+18</v>
      </c>
      <c r="P241" s="999">
        <f>NOMINA!W217</f>
        <v>110.5</v>
      </c>
      <c r="Q241" s="986">
        <f>NOMINA!AG217</f>
        <v>8.17</v>
      </c>
      <c r="R241" s="986">
        <f>NOMINA!AI217</f>
        <v>65</v>
      </c>
      <c r="S241" s="986">
        <f>NOMINA!AK217</f>
        <v>47.48</v>
      </c>
      <c r="T241" s="986">
        <f>ROUND(NOMINA!AO217,2)</f>
        <v>0</v>
      </c>
      <c r="U241" s="986">
        <f>ROUND(NOMINA!AQ217,2)</f>
        <v>0</v>
      </c>
      <c r="V241" s="986">
        <f>ROUND(NOMINA!AR217,2)</f>
        <v>0</v>
      </c>
      <c r="W241" s="986">
        <f>ROUND(NOMINA!AS217,2)</f>
        <v>0</v>
      </c>
      <c r="X241" s="986">
        <f>ROUND(NOMINA!AW217,2)</f>
        <v>0</v>
      </c>
      <c r="Y241" s="986">
        <f>ROUND(NOMINA!AX217,2)</f>
        <v>0</v>
      </c>
      <c r="Z241" s="986">
        <f>ROUND(NOMINA!BB217,2)+ROUND(NOMINA!BF217,2)</f>
        <v>0</v>
      </c>
      <c r="AA241" s="986">
        <f>ROUND(NOMINA!BK217,2)*0</f>
        <v>0</v>
      </c>
      <c r="AB241" s="986">
        <f>ROUND(NOMINA!BG217,2)</f>
        <v>300</v>
      </c>
      <c r="AC241" s="1000">
        <f t="shared" si="13"/>
        <v>531.15</v>
      </c>
      <c r="AE241" s="634"/>
    </row>
    <row r="242" spans="1:31" s="629" customFormat="1" ht="20.100000000000001" customHeight="1" thickBot="1">
      <c r="A242" s="770" t="s">
        <v>2846</v>
      </c>
      <c r="B242" s="510">
        <f t="shared" si="14"/>
        <v>176</v>
      </c>
      <c r="C242" s="980">
        <f>NOMINA!C218</f>
        <v>18096996</v>
      </c>
      <c r="D242" s="981" t="str">
        <f>NOMINA!D218</f>
        <v>Diaz Maldonado Anny Jackeline</v>
      </c>
      <c r="E242" s="978" t="s">
        <v>4622</v>
      </c>
      <c r="F242" s="982">
        <v>32351</v>
      </c>
      <c r="G242" s="978" t="s">
        <v>4620</v>
      </c>
      <c r="H242" s="1001">
        <f>NOMINA!H218</f>
        <v>44743</v>
      </c>
      <c r="I242" s="984">
        <f>NOMINA!I218</f>
        <v>2</v>
      </c>
      <c r="J242" s="985">
        <f>NOMINA!J218</f>
        <v>0</v>
      </c>
      <c r="K242" s="984">
        <f t="shared" si="12"/>
        <v>2</v>
      </c>
      <c r="L242" s="985" t="s">
        <v>4932</v>
      </c>
      <c r="M242" s="985"/>
      <c r="N242" s="1002" t="str">
        <f>NOMINA!O218</f>
        <v>CONTABILISTA III</v>
      </c>
      <c r="O242" s="985">
        <v>1.02087691000006E+18</v>
      </c>
      <c r="P242" s="999">
        <f>NOMINA!W218</f>
        <v>96</v>
      </c>
      <c r="Q242" s="986">
        <f>NOMINA!AG218</f>
        <v>1.92</v>
      </c>
      <c r="R242" s="986">
        <f>NOMINA!AI218</f>
        <v>65</v>
      </c>
      <c r="S242" s="986">
        <f>NOMINA!AK218</f>
        <v>33.83</v>
      </c>
      <c r="T242" s="986">
        <f>ROUND(NOMINA!AO218,2)</f>
        <v>12.5</v>
      </c>
      <c r="U242" s="986">
        <f>ROUND(NOMINA!AQ218,2)</f>
        <v>0</v>
      </c>
      <c r="V242" s="986">
        <f>ROUND(NOMINA!AR218,2)</f>
        <v>0</v>
      </c>
      <c r="W242" s="986">
        <f>ROUND(NOMINA!AS218,2)</f>
        <v>0</v>
      </c>
      <c r="X242" s="986">
        <f>ROUND(NOMINA!AW218,2)</f>
        <v>0</v>
      </c>
      <c r="Y242" s="986">
        <f>ROUND(NOMINA!AX218,2)</f>
        <v>0</v>
      </c>
      <c r="Z242" s="986">
        <f>ROUND(NOMINA!BB218,2)+ROUND(NOMINA!BF218,2)</f>
        <v>0</v>
      </c>
      <c r="AA242" s="986">
        <f>ROUND(NOMINA!BK218,2)*0</f>
        <v>0</v>
      </c>
      <c r="AB242" s="986">
        <f>ROUND(NOMINA!BG218,2)</f>
        <v>300</v>
      </c>
      <c r="AC242" s="1000">
        <f t="shared" si="13"/>
        <v>509.25</v>
      </c>
      <c r="AE242" s="634"/>
    </row>
    <row r="243" spans="1:31" s="629" customFormat="1" ht="20.100000000000001" customHeight="1" thickBot="1">
      <c r="A243" s="770" t="s">
        <v>2846</v>
      </c>
      <c r="B243" s="510">
        <f t="shared" si="14"/>
        <v>177</v>
      </c>
      <c r="C243" s="980">
        <f>NOMINA!C219</f>
        <v>18097528</v>
      </c>
      <c r="D243" s="981" t="str">
        <f>NOMINA!D219</f>
        <v>Godoy Suarez Nelson Jose</v>
      </c>
      <c r="E243" s="978" t="s">
        <v>4622</v>
      </c>
      <c r="F243" s="982">
        <v>32351</v>
      </c>
      <c r="G243" s="978" t="s">
        <v>4620</v>
      </c>
      <c r="H243" s="1001">
        <f>NOMINA!H219</f>
        <v>45536</v>
      </c>
      <c r="I243" s="984">
        <f>NOMINA!I219</f>
        <v>0</v>
      </c>
      <c r="J243" s="985">
        <f>NOMINA!J219</f>
        <v>0</v>
      </c>
      <c r="K243" s="984">
        <f t="shared" si="12"/>
        <v>0</v>
      </c>
      <c r="L243" s="985" t="s">
        <v>4932</v>
      </c>
      <c r="M243" s="985"/>
      <c r="N243" s="1002" t="str">
        <f>NOMINA!O219</f>
        <v>Guia de Centro I</v>
      </c>
      <c r="O243" s="985">
        <v>1.02087691000006E+18</v>
      </c>
      <c r="P243" s="999">
        <f>NOMINA!W219</f>
        <v>65</v>
      </c>
      <c r="Q243" s="986">
        <f>NOMINA!AG219</f>
        <v>0</v>
      </c>
      <c r="R243" s="986">
        <f>NOMINA!AI219</f>
        <v>65</v>
      </c>
      <c r="S243" s="986">
        <f>NOMINA!AK219</f>
        <v>0</v>
      </c>
      <c r="T243" s="986">
        <f>ROUND(NOMINA!AO219,2)</f>
        <v>0</v>
      </c>
      <c r="U243" s="986">
        <f>ROUND(NOMINA!AQ219,2)</f>
        <v>0</v>
      </c>
      <c r="V243" s="986">
        <f>ROUND(NOMINA!AR219,2)</f>
        <v>0</v>
      </c>
      <c r="W243" s="986">
        <f>ROUND(NOMINA!AS219,2)</f>
        <v>0</v>
      </c>
      <c r="X243" s="986">
        <f>ROUND(NOMINA!AW219,2)</f>
        <v>85.5</v>
      </c>
      <c r="Y243" s="986">
        <f>ROUND(NOMINA!AX219,2)</f>
        <v>0</v>
      </c>
      <c r="Z243" s="986">
        <f>ROUND(NOMINA!BB219,2)+ROUND(NOMINA!BF219,2)</f>
        <v>55.58</v>
      </c>
      <c r="AA243" s="986">
        <f>ROUND(NOMINA!BK219,2)*0</f>
        <v>0</v>
      </c>
      <c r="AB243" s="986">
        <f>ROUND(NOMINA!BG219,2)</f>
        <v>300</v>
      </c>
      <c r="AC243" s="1000">
        <f t="shared" si="13"/>
        <v>571.07999999999993</v>
      </c>
      <c r="AE243" s="634"/>
    </row>
    <row r="244" spans="1:31" s="629" customFormat="1" ht="20.100000000000001" customHeight="1" thickBot="1">
      <c r="A244" s="770" t="s">
        <v>2846</v>
      </c>
      <c r="B244" s="510">
        <f t="shared" si="14"/>
        <v>178</v>
      </c>
      <c r="C244" s="980">
        <f>NOMINA!C220</f>
        <v>18097873</v>
      </c>
      <c r="D244" s="981" t="str">
        <f>NOMINA!D220</f>
        <v>Villarreal Prada Yoriangela Nataly</v>
      </c>
      <c r="E244" s="978" t="s">
        <v>4622</v>
      </c>
      <c r="F244" s="982">
        <v>32351</v>
      </c>
      <c r="G244" s="978" t="s">
        <v>4620</v>
      </c>
      <c r="H244" s="1001">
        <f>NOMINA!H220</f>
        <v>44531</v>
      </c>
      <c r="I244" s="984">
        <f>NOMINA!I220</f>
        <v>3</v>
      </c>
      <c r="J244" s="985">
        <f>NOMINA!J220</f>
        <v>0</v>
      </c>
      <c r="K244" s="984">
        <f t="shared" si="12"/>
        <v>3</v>
      </c>
      <c r="L244" s="985" t="s">
        <v>4932</v>
      </c>
      <c r="M244" s="985"/>
      <c r="N244" s="1002" t="str">
        <f>NOMINA!O220</f>
        <v>Guia de Centro I</v>
      </c>
      <c r="O244" s="985">
        <v>1.02087691000006E+18</v>
      </c>
      <c r="P244" s="999">
        <f>NOMINA!W220</f>
        <v>75</v>
      </c>
      <c r="Q244" s="986">
        <f>NOMINA!AG220</f>
        <v>2.25</v>
      </c>
      <c r="R244" s="986">
        <f>NOMINA!AI220</f>
        <v>65</v>
      </c>
      <c r="S244" s="986">
        <f>NOMINA!AK220</f>
        <v>0</v>
      </c>
      <c r="T244" s="986">
        <f>ROUND(NOMINA!AO220,2)</f>
        <v>25</v>
      </c>
      <c r="U244" s="986">
        <f>ROUND(NOMINA!AQ220,2)</f>
        <v>0</v>
      </c>
      <c r="V244" s="986">
        <f>ROUND(NOMINA!AR220,2)</f>
        <v>0</v>
      </c>
      <c r="W244" s="986">
        <f>ROUND(NOMINA!AS220,2)</f>
        <v>0</v>
      </c>
      <c r="X244" s="986">
        <f>ROUND(NOMINA!AW220,2)</f>
        <v>92.85</v>
      </c>
      <c r="Y244" s="986">
        <f>ROUND(NOMINA!AX220,2)</f>
        <v>0</v>
      </c>
      <c r="Z244" s="986">
        <f>ROUND(NOMINA!BB220,2)+ROUND(NOMINA!BF220,2)</f>
        <v>80.47</v>
      </c>
      <c r="AA244" s="986">
        <f>ROUND(NOMINA!BK220,2)*0</f>
        <v>0</v>
      </c>
      <c r="AB244" s="986">
        <f>ROUND(NOMINA!BG220,2)</f>
        <v>300</v>
      </c>
      <c r="AC244" s="1000">
        <f t="shared" si="13"/>
        <v>640.57000000000005</v>
      </c>
      <c r="AE244" s="634"/>
    </row>
    <row r="245" spans="1:31" s="629" customFormat="1" ht="20.100000000000001" customHeight="1" thickBot="1">
      <c r="A245" s="770" t="s">
        <v>2846</v>
      </c>
      <c r="B245" s="510">
        <f t="shared" si="14"/>
        <v>179</v>
      </c>
      <c r="C245" s="980">
        <f>NOMINA!C221</f>
        <v>18348317</v>
      </c>
      <c r="D245" s="981" t="str">
        <f>NOMINA!D221</f>
        <v>Abreu Araujo Gilmer Francisco</v>
      </c>
      <c r="E245" s="978" t="s">
        <v>4622</v>
      </c>
      <c r="F245" s="982">
        <v>32351</v>
      </c>
      <c r="G245" s="978" t="s">
        <v>4620</v>
      </c>
      <c r="H245" s="1001">
        <f>NOMINA!H221</f>
        <v>43160</v>
      </c>
      <c r="I245" s="984">
        <f>NOMINA!I221</f>
        <v>6</v>
      </c>
      <c r="J245" s="985">
        <f>NOMINA!J221</f>
        <v>0</v>
      </c>
      <c r="K245" s="984">
        <f t="shared" si="12"/>
        <v>6</v>
      </c>
      <c r="L245" s="985" t="s">
        <v>4932</v>
      </c>
      <c r="M245" s="985"/>
      <c r="N245" s="1002" t="str">
        <f>NOMINA!O221</f>
        <v>Tutor Facilitador III</v>
      </c>
      <c r="O245" s="985">
        <v>1.02087691000006E+18</v>
      </c>
      <c r="P245" s="999">
        <f>NOMINA!W221</f>
        <v>139.5</v>
      </c>
      <c r="Q245" s="986">
        <f>NOMINA!AG221</f>
        <v>8.65</v>
      </c>
      <c r="R245" s="986">
        <f>NOMINA!AI221</f>
        <v>65</v>
      </c>
      <c r="S245" s="986">
        <f>NOMINA!AK221</f>
        <v>65.819999999999993</v>
      </c>
      <c r="T245" s="986">
        <f>ROUND(NOMINA!AO221,2)</f>
        <v>12.5</v>
      </c>
      <c r="U245" s="986">
        <f>ROUND(NOMINA!AQ221,2)</f>
        <v>0</v>
      </c>
      <c r="V245" s="986">
        <f>ROUND(NOMINA!AR221,2)</f>
        <v>0</v>
      </c>
      <c r="W245" s="986">
        <f>ROUND(NOMINA!AS221,2)</f>
        <v>0</v>
      </c>
      <c r="X245" s="986">
        <f>ROUND(NOMINA!AW221,2)</f>
        <v>0</v>
      </c>
      <c r="Y245" s="986">
        <f>ROUND(NOMINA!AX221,2)</f>
        <v>0</v>
      </c>
      <c r="Z245" s="986">
        <f>ROUND(NOMINA!BB221,2)+ROUND(NOMINA!BF221,2)</f>
        <v>0</v>
      </c>
      <c r="AA245" s="986">
        <f>ROUND(NOMINA!BK221,2)*0</f>
        <v>0</v>
      </c>
      <c r="AB245" s="986">
        <f>ROUND(NOMINA!BG221,2)</f>
        <v>300</v>
      </c>
      <c r="AC245" s="1000">
        <f t="shared" si="13"/>
        <v>591.47</v>
      </c>
      <c r="AE245" s="634"/>
    </row>
    <row r="246" spans="1:31" s="629" customFormat="1" ht="20.100000000000001" customHeight="1" thickBot="1">
      <c r="A246" s="770" t="s">
        <v>2846</v>
      </c>
      <c r="B246" s="510">
        <f t="shared" si="14"/>
        <v>180</v>
      </c>
      <c r="C246" s="980">
        <f>NOMINA!C222</f>
        <v>18348721</v>
      </c>
      <c r="D246" s="981" t="str">
        <f>NOMINA!D222</f>
        <v>Villarreal Lusana Carolina</v>
      </c>
      <c r="E246" s="978" t="s">
        <v>4622</v>
      </c>
      <c r="F246" s="982">
        <v>32351</v>
      </c>
      <c r="G246" s="978" t="s">
        <v>4620</v>
      </c>
      <c r="H246" s="1001">
        <f>NOMINA!H222</f>
        <v>42948</v>
      </c>
      <c r="I246" s="984">
        <f>NOMINA!I222</f>
        <v>7</v>
      </c>
      <c r="J246" s="985">
        <f>NOMINA!J222</f>
        <v>0</v>
      </c>
      <c r="K246" s="984">
        <f t="shared" si="12"/>
        <v>7</v>
      </c>
      <c r="L246" s="985" t="s">
        <v>4932</v>
      </c>
      <c r="M246" s="985"/>
      <c r="N246" s="1002" t="str">
        <f>NOMINA!O222</f>
        <v>Tecnico Superior en Trabajo Social II</v>
      </c>
      <c r="O246" s="985">
        <v>1.02087691000006E+18</v>
      </c>
      <c r="P246" s="999">
        <f>NOMINA!W222</f>
        <v>110.5</v>
      </c>
      <c r="Q246" s="986">
        <f>NOMINA!AG222</f>
        <v>8.17</v>
      </c>
      <c r="R246" s="986">
        <f>NOMINA!AI222</f>
        <v>65</v>
      </c>
      <c r="S246" s="986">
        <f>NOMINA!AK222</f>
        <v>39.229999999999997</v>
      </c>
      <c r="T246" s="986">
        <f>ROUND(NOMINA!AO222,2)</f>
        <v>25</v>
      </c>
      <c r="U246" s="986">
        <f>ROUND(NOMINA!AQ222,2)</f>
        <v>0</v>
      </c>
      <c r="V246" s="986">
        <f>ROUND(NOMINA!AR222,2)</f>
        <v>0</v>
      </c>
      <c r="W246" s="986">
        <f>ROUND(NOMINA!AS222,2)</f>
        <v>0</v>
      </c>
      <c r="X246" s="986">
        <f>ROUND(NOMINA!AW222,2)</f>
        <v>0</v>
      </c>
      <c r="Y246" s="986">
        <f>ROUND(NOMINA!AX222,2)</f>
        <v>0</v>
      </c>
      <c r="Z246" s="986">
        <f>ROUND(NOMINA!BB222,2)+ROUND(NOMINA!BF222,2)</f>
        <v>0</v>
      </c>
      <c r="AA246" s="986">
        <f>ROUND(NOMINA!BK222,2)*0</f>
        <v>0</v>
      </c>
      <c r="AB246" s="986">
        <f>ROUND(NOMINA!BG222,2)</f>
        <v>300</v>
      </c>
      <c r="AC246" s="1000">
        <f t="shared" si="13"/>
        <v>547.9</v>
      </c>
      <c r="AE246" s="634"/>
    </row>
    <row r="247" spans="1:31" s="629" customFormat="1" ht="20.100000000000001" customHeight="1" thickBot="1">
      <c r="A247" s="770" t="s">
        <v>2846</v>
      </c>
      <c r="B247" s="510">
        <f t="shared" si="14"/>
        <v>181</v>
      </c>
      <c r="C247" s="980">
        <f>NOMINA!C223</f>
        <v>18349021</v>
      </c>
      <c r="D247" s="981" t="str">
        <f>NOMINA!D223</f>
        <v>Godoy Linares Amenaida del Valle</v>
      </c>
      <c r="E247" s="978" t="s">
        <v>4622</v>
      </c>
      <c r="F247" s="982">
        <v>32351</v>
      </c>
      <c r="G247" s="978" t="s">
        <v>4620</v>
      </c>
      <c r="H247" s="1001">
        <f>NOMINA!H223</f>
        <v>44683</v>
      </c>
      <c r="I247" s="984">
        <f>NOMINA!I223</f>
        <v>2</v>
      </c>
      <c r="J247" s="985">
        <f>NOMINA!J223</f>
        <v>0</v>
      </c>
      <c r="K247" s="984">
        <f t="shared" si="12"/>
        <v>2</v>
      </c>
      <c r="L247" s="985" t="s">
        <v>4932</v>
      </c>
      <c r="M247" s="985"/>
      <c r="N247" s="1002" t="str">
        <f>NOMINA!O223</f>
        <v>Guia de Centro I</v>
      </c>
      <c r="O247" s="985">
        <v>1.02087691000006E+18</v>
      </c>
      <c r="P247" s="999">
        <f>NOMINA!W223</f>
        <v>96</v>
      </c>
      <c r="Q247" s="986">
        <f>NOMINA!AG223</f>
        <v>1.92</v>
      </c>
      <c r="R247" s="986">
        <f>NOMINA!AI223</f>
        <v>65</v>
      </c>
      <c r="S247" s="986">
        <f>NOMINA!AK223</f>
        <v>42.29</v>
      </c>
      <c r="T247" s="986">
        <f>ROUND(NOMINA!AO223,2)</f>
        <v>12.5</v>
      </c>
      <c r="U247" s="986">
        <f>ROUND(NOMINA!AQ223,2)</f>
        <v>0</v>
      </c>
      <c r="V247" s="986">
        <f>ROUND(NOMINA!AR223,2)</f>
        <v>0</v>
      </c>
      <c r="W247" s="986">
        <f>ROUND(NOMINA!AS223,2)</f>
        <v>0</v>
      </c>
      <c r="X247" s="986">
        <f>ROUND(NOMINA!AW223,2)</f>
        <v>126.88</v>
      </c>
      <c r="Y247" s="986">
        <f>ROUND(NOMINA!AX223,2)</f>
        <v>0</v>
      </c>
      <c r="Z247" s="986">
        <f>ROUND(NOMINA!BB223,2)+ROUND(NOMINA!BF223,2)</f>
        <v>137.44999999999999</v>
      </c>
      <c r="AA247" s="986">
        <f>ROUND(NOMINA!BK223,2)*0</f>
        <v>0</v>
      </c>
      <c r="AB247" s="986">
        <f>ROUND(NOMINA!BG223,2)</f>
        <v>300</v>
      </c>
      <c r="AC247" s="1000">
        <f t="shared" si="13"/>
        <v>782.04</v>
      </c>
      <c r="AE247" s="634"/>
    </row>
    <row r="248" spans="1:31" s="629" customFormat="1" ht="20.100000000000001" customHeight="1" thickBot="1">
      <c r="A248" s="770" t="s">
        <v>2846</v>
      </c>
      <c r="B248" s="510">
        <f t="shared" si="14"/>
        <v>182</v>
      </c>
      <c r="C248" s="980">
        <f>NOMINA!C224</f>
        <v>18349553</v>
      </c>
      <c r="D248" s="981" t="str">
        <f>NOMINA!D224</f>
        <v>Quiroga Valdes Nayla Carolina</v>
      </c>
      <c r="E248" s="978" t="s">
        <v>4622</v>
      </c>
      <c r="F248" s="982">
        <v>32351</v>
      </c>
      <c r="G248" s="978" t="s">
        <v>4620</v>
      </c>
      <c r="H248" s="1001">
        <f>NOMINA!H224</f>
        <v>45566</v>
      </c>
      <c r="I248" s="984">
        <f>NOMINA!I224</f>
        <v>0</v>
      </c>
      <c r="J248" s="985">
        <f>NOMINA!J224</f>
        <v>0</v>
      </c>
      <c r="K248" s="984">
        <f t="shared" si="12"/>
        <v>0</v>
      </c>
      <c r="L248" s="985" t="s">
        <v>4932</v>
      </c>
      <c r="M248" s="985"/>
      <c r="N248" s="1002" t="str">
        <f>NOMINA!O224</f>
        <v>Guia de Centro I</v>
      </c>
      <c r="O248" s="985">
        <v>1.02087691000006E+18</v>
      </c>
      <c r="P248" s="999">
        <f>NOMINA!W224</f>
        <v>123</v>
      </c>
      <c r="Q248" s="986">
        <f>NOMINA!AG224</f>
        <v>0</v>
      </c>
      <c r="R248" s="986">
        <f>NOMINA!AI224</f>
        <v>65</v>
      </c>
      <c r="S248" s="986">
        <f>NOMINA!AK224</f>
        <v>47</v>
      </c>
      <c r="T248" s="986">
        <f>ROUND(NOMINA!AO224,2)</f>
        <v>0</v>
      </c>
      <c r="U248" s="986">
        <f>ROUND(NOMINA!AQ224,2)</f>
        <v>0</v>
      </c>
      <c r="V248" s="986">
        <f>ROUND(NOMINA!AR224,2)</f>
        <v>0</v>
      </c>
      <c r="W248" s="986">
        <f>ROUND(NOMINA!AS224,2)</f>
        <v>0</v>
      </c>
      <c r="X248" s="986">
        <f>ROUND(NOMINA!AW224,2)</f>
        <v>141</v>
      </c>
      <c r="Y248" s="986">
        <f>ROUND(NOMINA!AX224,2)</f>
        <v>0</v>
      </c>
      <c r="Z248" s="986">
        <f>ROUND(NOMINA!BB224,2)+ROUND(NOMINA!BF224,2)</f>
        <v>0</v>
      </c>
      <c r="AA248" s="986">
        <f>ROUND(NOMINA!BK224,2)*0</f>
        <v>0</v>
      </c>
      <c r="AB248" s="986">
        <f>ROUND(NOMINA!BG224,2)</f>
        <v>300</v>
      </c>
      <c r="AC248" s="1000">
        <f t="shared" si="13"/>
        <v>676</v>
      </c>
      <c r="AE248" s="634"/>
    </row>
    <row r="249" spans="1:31" s="629" customFormat="1" ht="20.100000000000001" customHeight="1" thickBot="1">
      <c r="A249" s="770" t="s">
        <v>2846</v>
      </c>
      <c r="B249" s="510">
        <f t="shared" si="14"/>
        <v>183</v>
      </c>
      <c r="C249" s="980">
        <f>NOMINA!C225</f>
        <v>18349653</v>
      </c>
      <c r="D249" s="981" t="str">
        <f>NOMINA!D225</f>
        <v>Baptista Finol Violexy del Valle</v>
      </c>
      <c r="E249" s="978" t="s">
        <v>4622</v>
      </c>
      <c r="F249" s="982">
        <v>32351</v>
      </c>
      <c r="G249" s="978" t="s">
        <v>4620</v>
      </c>
      <c r="H249" s="1001">
        <f>NOMINA!H225</f>
        <v>45627</v>
      </c>
      <c r="I249" s="984">
        <f>NOMINA!I225</f>
        <v>0</v>
      </c>
      <c r="J249" s="985">
        <f>NOMINA!J225</f>
        <v>0</v>
      </c>
      <c r="K249" s="984">
        <f t="shared" si="12"/>
        <v>0</v>
      </c>
      <c r="L249" s="985" t="s">
        <v>4932</v>
      </c>
      <c r="M249" s="985"/>
      <c r="N249" s="1002" t="str">
        <f>NOMINA!O225</f>
        <v>Guia de Centro I</v>
      </c>
      <c r="O249" s="985">
        <v>1.02087691000006E+18</v>
      </c>
      <c r="P249" s="999">
        <f>NOMINA!W225</f>
        <v>96</v>
      </c>
      <c r="Q249" s="986">
        <f>NOMINA!AG225</f>
        <v>0</v>
      </c>
      <c r="R249" s="986">
        <f>NOMINA!AI225</f>
        <v>65</v>
      </c>
      <c r="S249" s="986">
        <f>NOMINA!AK225</f>
        <v>43.37</v>
      </c>
      <c r="T249" s="986">
        <f>ROUND(NOMINA!AO225,2)</f>
        <v>25</v>
      </c>
      <c r="U249" s="986">
        <f>ROUND(NOMINA!AQ225,2)</f>
        <v>0</v>
      </c>
      <c r="V249" s="986">
        <f>ROUND(NOMINA!AR225,2)</f>
        <v>0</v>
      </c>
      <c r="W249" s="986">
        <f>ROUND(NOMINA!AS225,2)</f>
        <v>0</v>
      </c>
      <c r="X249" s="986">
        <f>ROUND(NOMINA!AW225,2)</f>
        <v>130.13</v>
      </c>
      <c r="Y249" s="986">
        <f>ROUND(NOMINA!AX225,2)</f>
        <v>0</v>
      </c>
      <c r="Z249" s="986">
        <f>ROUND(NOMINA!BB225,2)+ROUND(NOMINA!BF225,2)</f>
        <v>140.97</v>
      </c>
      <c r="AA249" s="986">
        <f>ROUND(NOMINA!BK225,2)*0</f>
        <v>0</v>
      </c>
      <c r="AB249" s="986">
        <f>ROUND(NOMINA!BG225,2)</f>
        <v>300</v>
      </c>
      <c r="AC249" s="1000">
        <f t="shared" si="13"/>
        <v>800.47</v>
      </c>
      <c r="AE249" s="634"/>
    </row>
    <row r="250" spans="1:31" s="629" customFormat="1" ht="20.100000000000001" customHeight="1" thickBot="1">
      <c r="A250" s="770" t="s">
        <v>2846</v>
      </c>
      <c r="B250" s="510">
        <f t="shared" si="14"/>
        <v>184</v>
      </c>
      <c r="C250" s="980">
        <f>NOMINA!C226</f>
        <v>18350884</v>
      </c>
      <c r="D250" s="981" t="str">
        <f>NOMINA!D226</f>
        <v>Araujo Mendoza Mirelis Carolina</v>
      </c>
      <c r="E250" s="978" t="s">
        <v>4622</v>
      </c>
      <c r="F250" s="982">
        <v>32351</v>
      </c>
      <c r="G250" s="978" t="s">
        <v>4620</v>
      </c>
      <c r="H250" s="1001">
        <f>NOMINA!H226</f>
        <v>45474</v>
      </c>
      <c r="I250" s="984">
        <f>NOMINA!I226</f>
        <v>0</v>
      </c>
      <c r="J250" s="985">
        <f>NOMINA!J226</f>
        <v>0</v>
      </c>
      <c r="K250" s="984">
        <f t="shared" si="12"/>
        <v>0</v>
      </c>
      <c r="L250" s="985" t="s">
        <v>4932</v>
      </c>
      <c r="M250" s="985"/>
      <c r="N250" s="1002" t="str">
        <f>NOMINA!O226</f>
        <v>Guia de Centro I</v>
      </c>
      <c r="O250" s="985">
        <v>1.02087691000006E+18</v>
      </c>
      <c r="P250" s="999">
        <f>NOMINA!W226</f>
        <v>65</v>
      </c>
      <c r="Q250" s="986">
        <f>NOMINA!AG226</f>
        <v>0</v>
      </c>
      <c r="R250" s="986">
        <f>NOMINA!AI226</f>
        <v>65</v>
      </c>
      <c r="S250" s="986">
        <f>NOMINA!AK226</f>
        <v>0</v>
      </c>
      <c r="T250" s="986">
        <f>ROUND(NOMINA!AO226,2)</f>
        <v>12.5</v>
      </c>
      <c r="U250" s="986">
        <f>ROUND(NOMINA!AQ226,2)</f>
        <v>0</v>
      </c>
      <c r="V250" s="986">
        <f>ROUND(NOMINA!AR226,2)</f>
        <v>0</v>
      </c>
      <c r="W250" s="986">
        <f>ROUND(NOMINA!AS226,2)</f>
        <v>0</v>
      </c>
      <c r="X250" s="986">
        <f>ROUND(NOMINA!AW226,2)</f>
        <v>81.75</v>
      </c>
      <c r="Y250" s="986">
        <f>ROUND(NOMINA!AX226,2)</f>
        <v>0</v>
      </c>
      <c r="Z250" s="986">
        <f>ROUND(NOMINA!BB226,2)+ROUND(NOMINA!BF226,2)</f>
        <v>53.14</v>
      </c>
      <c r="AA250" s="986">
        <f>ROUND(NOMINA!BK226,2)*0</f>
        <v>0</v>
      </c>
      <c r="AB250" s="986">
        <f>ROUND(NOMINA!BG226,2)</f>
        <v>300</v>
      </c>
      <c r="AC250" s="1000">
        <f t="shared" si="13"/>
        <v>577.39</v>
      </c>
      <c r="AE250" s="634"/>
    </row>
    <row r="251" spans="1:31" s="629" customFormat="1" ht="20.100000000000001" customHeight="1" thickBot="1">
      <c r="A251" s="770" t="s">
        <v>2846</v>
      </c>
      <c r="B251" s="510">
        <f t="shared" si="14"/>
        <v>185</v>
      </c>
      <c r="C251" s="980">
        <f>NOMINA!C227</f>
        <v>18378985</v>
      </c>
      <c r="D251" s="981" t="str">
        <f>NOMINA!D227</f>
        <v>Quintero Paradas Ilse Maria</v>
      </c>
      <c r="E251" s="978" t="s">
        <v>4622</v>
      </c>
      <c r="F251" s="982">
        <v>32351</v>
      </c>
      <c r="G251" s="978" t="s">
        <v>4620</v>
      </c>
      <c r="H251" s="1001">
        <f>NOMINA!H227</f>
        <v>43147</v>
      </c>
      <c r="I251" s="984">
        <f>NOMINA!I227</f>
        <v>6</v>
      </c>
      <c r="J251" s="985">
        <f>NOMINA!J227</f>
        <v>0</v>
      </c>
      <c r="K251" s="984">
        <f t="shared" si="12"/>
        <v>6</v>
      </c>
      <c r="L251" s="985" t="s">
        <v>4932</v>
      </c>
      <c r="M251" s="985"/>
      <c r="N251" s="1002" t="str">
        <f>NOMINA!O227</f>
        <v>Analista de Procesamiento de Datos II</v>
      </c>
      <c r="O251" s="985">
        <v>1.02087691000006E+18</v>
      </c>
      <c r="P251" s="999">
        <f>NOMINA!W227</f>
        <v>139.5</v>
      </c>
      <c r="Q251" s="986">
        <f>NOMINA!AG227</f>
        <v>8.65</v>
      </c>
      <c r="R251" s="986">
        <f>NOMINA!AI227</f>
        <v>65</v>
      </c>
      <c r="S251" s="986">
        <f>NOMINA!AK227</f>
        <v>54.85</v>
      </c>
      <c r="T251" s="986">
        <f>ROUND(NOMINA!AO227,2)</f>
        <v>12.5</v>
      </c>
      <c r="U251" s="986">
        <f>ROUND(NOMINA!AQ227,2)</f>
        <v>0</v>
      </c>
      <c r="V251" s="986">
        <f>ROUND(NOMINA!AR227,2)</f>
        <v>0</v>
      </c>
      <c r="W251" s="986">
        <f>ROUND(NOMINA!AS227,2)</f>
        <v>0</v>
      </c>
      <c r="X251" s="986">
        <f>ROUND(NOMINA!AW227,2)</f>
        <v>0</v>
      </c>
      <c r="Y251" s="986">
        <f>ROUND(NOMINA!AX227,2)</f>
        <v>0</v>
      </c>
      <c r="Z251" s="986">
        <f>ROUND(NOMINA!BB227,2)+ROUND(NOMINA!BF227,2)</f>
        <v>0</v>
      </c>
      <c r="AA251" s="986">
        <f>ROUND(NOMINA!BK227,2)*0</f>
        <v>0</v>
      </c>
      <c r="AB251" s="986">
        <f>ROUND(NOMINA!BG227,2)</f>
        <v>300</v>
      </c>
      <c r="AC251" s="1000">
        <f t="shared" si="13"/>
        <v>580.5</v>
      </c>
      <c r="AE251" s="634"/>
    </row>
    <row r="252" spans="1:31" s="629" customFormat="1" ht="20.100000000000001" customHeight="1" thickBot="1">
      <c r="A252" s="770" t="s">
        <v>2846</v>
      </c>
      <c r="B252" s="510">
        <f t="shared" si="14"/>
        <v>186</v>
      </c>
      <c r="C252" s="980">
        <f>NOMINA!C228</f>
        <v>18456345</v>
      </c>
      <c r="D252" s="981" t="str">
        <f>NOMINA!D228</f>
        <v>Peñaloza Olmos Eduardo Jose</v>
      </c>
      <c r="E252" s="978" t="s">
        <v>4622</v>
      </c>
      <c r="F252" s="982">
        <v>32351</v>
      </c>
      <c r="G252" s="978" t="s">
        <v>4620</v>
      </c>
      <c r="H252" s="1001">
        <f>NOMINA!H228</f>
        <v>44774</v>
      </c>
      <c r="I252" s="984">
        <f>NOMINA!I228</f>
        <v>2</v>
      </c>
      <c r="J252" s="985">
        <f>NOMINA!J228</f>
        <v>0</v>
      </c>
      <c r="K252" s="984">
        <f t="shared" si="12"/>
        <v>2</v>
      </c>
      <c r="L252" s="985" t="s">
        <v>4932</v>
      </c>
      <c r="M252" s="985"/>
      <c r="N252" s="1002" t="str">
        <f>NOMINA!O228</f>
        <v>ESPECIALISTA EN INFORMATICA I</v>
      </c>
      <c r="O252" s="985">
        <v>1.02087691000006E+18</v>
      </c>
      <c r="P252" s="999">
        <f>NOMINA!W228</f>
        <v>123</v>
      </c>
      <c r="Q252" s="986">
        <f>NOMINA!AG228</f>
        <v>2.46</v>
      </c>
      <c r="R252" s="986">
        <f>NOMINA!AI228</f>
        <v>65</v>
      </c>
      <c r="S252" s="986">
        <f>NOMINA!AK228</f>
        <v>47.61</v>
      </c>
      <c r="T252" s="986">
        <f>ROUND(NOMINA!AO228,2)</f>
        <v>0</v>
      </c>
      <c r="U252" s="986">
        <f>ROUND(NOMINA!AQ228,2)</f>
        <v>0</v>
      </c>
      <c r="V252" s="986">
        <f>ROUND(NOMINA!AR228,2)</f>
        <v>0</v>
      </c>
      <c r="W252" s="986">
        <f>ROUND(NOMINA!AS228,2)</f>
        <v>0</v>
      </c>
      <c r="X252" s="986">
        <f>ROUND(NOMINA!AW228,2)</f>
        <v>0</v>
      </c>
      <c r="Y252" s="986">
        <f>ROUND(NOMINA!AX228,2)</f>
        <v>0</v>
      </c>
      <c r="Z252" s="986">
        <f>ROUND(NOMINA!BB228,2)+ROUND(NOMINA!BF228,2)</f>
        <v>0</v>
      </c>
      <c r="AA252" s="986">
        <f>ROUND(NOMINA!BK228,2)*0</f>
        <v>0</v>
      </c>
      <c r="AB252" s="986">
        <f>ROUND(NOMINA!BG228,2)</f>
        <v>300</v>
      </c>
      <c r="AC252" s="1000">
        <f t="shared" si="13"/>
        <v>538.06999999999994</v>
      </c>
      <c r="AE252" s="634"/>
    </row>
    <row r="253" spans="1:31" s="629" customFormat="1" ht="20.100000000000001" customHeight="1" thickBot="1">
      <c r="A253" s="770" t="s">
        <v>2846</v>
      </c>
      <c r="B253" s="510">
        <f t="shared" si="14"/>
        <v>187</v>
      </c>
      <c r="C253" s="980">
        <f>NOMINA!C229</f>
        <v>18457406</v>
      </c>
      <c r="D253" s="981" t="str">
        <f>NOMINA!D229</f>
        <v>Rivero Zambrano Herluis Jose</v>
      </c>
      <c r="E253" s="978" t="s">
        <v>4622</v>
      </c>
      <c r="F253" s="982">
        <v>32351</v>
      </c>
      <c r="G253" s="978" t="s">
        <v>4620</v>
      </c>
      <c r="H253" s="1001">
        <f>NOMINA!H229</f>
        <v>41548</v>
      </c>
      <c r="I253" s="984">
        <f>NOMINA!I229</f>
        <v>11</v>
      </c>
      <c r="J253" s="985">
        <f>NOMINA!J229</f>
        <v>0</v>
      </c>
      <c r="K253" s="984">
        <f t="shared" si="12"/>
        <v>11</v>
      </c>
      <c r="L253" s="985" t="s">
        <v>4932</v>
      </c>
      <c r="M253" s="985"/>
      <c r="N253" s="1002" t="str">
        <f>NOMINA!O229</f>
        <v>Ingeniero Agronomo IV</v>
      </c>
      <c r="O253" s="985">
        <v>1.02087691000006E+18</v>
      </c>
      <c r="P253" s="999">
        <f>NOMINA!W229</f>
        <v>0</v>
      </c>
      <c r="Q253" s="986">
        <f>NOMINA!AG229</f>
        <v>0</v>
      </c>
      <c r="R253" s="986">
        <f>NOMINA!AI229</f>
        <v>0</v>
      </c>
      <c r="S253" s="986">
        <f>NOMINA!AK229</f>
        <v>0</v>
      </c>
      <c r="T253" s="986">
        <f>ROUND(NOMINA!AO229,2)</f>
        <v>0</v>
      </c>
      <c r="U253" s="986">
        <f>ROUND(NOMINA!AQ229,2)</f>
        <v>0</v>
      </c>
      <c r="V253" s="986">
        <f>ROUND(NOMINA!AR229,2)</f>
        <v>0</v>
      </c>
      <c r="W253" s="986">
        <f>ROUND(NOMINA!AS229,2)</f>
        <v>0</v>
      </c>
      <c r="X253" s="986">
        <f>ROUND(NOMINA!AW229,2)</f>
        <v>0</v>
      </c>
      <c r="Y253" s="986">
        <f>ROUND(NOMINA!AX229,2)</f>
        <v>0</v>
      </c>
      <c r="Z253" s="986">
        <f>ROUND(NOMINA!BB229,2)+ROUND(NOMINA!BF229,2)</f>
        <v>0</v>
      </c>
      <c r="AA253" s="986">
        <f>ROUND(NOMINA!BK229,2)*0</f>
        <v>0</v>
      </c>
      <c r="AB253" s="986">
        <f>ROUND(NOMINA!BG229,2)</f>
        <v>0</v>
      </c>
      <c r="AC253" s="1000">
        <f t="shared" si="13"/>
        <v>0</v>
      </c>
      <c r="AE253" s="634"/>
    </row>
    <row r="254" spans="1:31" s="629" customFormat="1" ht="20.100000000000001" customHeight="1" thickBot="1">
      <c r="A254" s="770" t="s">
        <v>2846</v>
      </c>
      <c r="B254" s="510">
        <f t="shared" si="14"/>
        <v>188</v>
      </c>
      <c r="C254" s="980">
        <f>NOMINA!C230</f>
        <v>18458012</v>
      </c>
      <c r="D254" s="981" t="str">
        <f>NOMINA!D230</f>
        <v>Briceño Uzcategui Maria Esperanza</v>
      </c>
      <c r="E254" s="978" t="s">
        <v>4622</v>
      </c>
      <c r="F254" s="982">
        <v>32351</v>
      </c>
      <c r="G254" s="978" t="s">
        <v>4620</v>
      </c>
      <c r="H254" s="1001">
        <f>NOMINA!H230</f>
        <v>44636</v>
      </c>
      <c r="I254" s="984">
        <f>NOMINA!I230</f>
        <v>2</v>
      </c>
      <c r="J254" s="985">
        <f>NOMINA!J230</f>
        <v>0</v>
      </c>
      <c r="K254" s="984">
        <f t="shared" si="12"/>
        <v>2</v>
      </c>
      <c r="L254" s="985" t="s">
        <v>4932</v>
      </c>
      <c r="M254" s="985"/>
      <c r="N254" s="1002" t="str">
        <f>NOMINA!O230</f>
        <v>Asistente Administrativo III</v>
      </c>
      <c r="O254" s="985">
        <v>1.02087691000006E+18</v>
      </c>
      <c r="P254" s="999">
        <f>NOMINA!W230</f>
        <v>96</v>
      </c>
      <c r="Q254" s="986">
        <f>NOMINA!AG230</f>
        <v>1.92</v>
      </c>
      <c r="R254" s="986">
        <f>NOMINA!AI230</f>
        <v>65</v>
      </c>
      <c r="S254" s="986">
        <f>NOMINA!AK230</f>
        <v>35.08</v>
      </c>
      <c r="T254" s="986">
        <f>ROUND(NOMINA!AO230,2)</f>
        <v>25</v>
      </c>
      <c r="U254" s="986">
        <f>ROUND(NOMINA!AQ230,2)</f>
        <v>0</v>
      </c>
      <c r="V254" s="986">
        <f>ROUND(NOMINA!AR230,2)</f>
        <v>0</v>
      </c>
      <c r="W254" s="986">
        <f>ROUND(NOMINA!AS230,2)</f>
        <v>0</v>
      </c>
      <c r="X254" s="986">
        <f>ROUND(NOMINA!AW230,2)</f>
        <v>0</v>
      </c>
      <c r="Y254" s="986">
        <f>ROUND(NOMINA!AX230,2)</f>
        <v>0</v>
      </c>
      <c r="Z254" s="986">
        <f>ROUND(NOMINA!BB230,2)+ROUND(NOMINA!BF230,2)</f>
        <v>0</v>
      </c>
      <c r="AA254" s="986">
        <f>ROUND(NOMINA!BK230,2)*0</f>
        <v>0</v>
      </c>
      <c r="AB254" s="986">
        <f>ROUND(NOMINA!BG230,2)</f>
        <v>300</v>
      </c>
      <c r="AC254" s="1000">
        <f t="shared" si="13"/>
        <v>523</v>
      </c>
      <c r="AE254" s="634"/>
    </row>
    <row r="255" spans="1:31" s="629" customFormat="1" ht="20.100000000000001" customHeight="1" thickBot="1">
      <c r="A255" s="770" t="s">
        <v>2846</v>
      </c>
      <c r="B255" s="510">
        <f t="shared" si="14"/>
        <v>189</v>
      </c>
      <c r="C255" s="980">
        <f>NOMINA!C231</f>
        <v>18670458</v>
      </c>
      <c r="D255" s="981" t="str">
        <f>NOMINA!D231</f>
        <v>Gervasi de Valera Solanye Dairilyn</v>
      </c>
      <c r="E255" s="978" t="s">
        <v>4622</v>
      </c>
      <c r="F255" s="982">
        <v>32351</v>
      </c>
      <c r="G255" s="978" t="s">
        <v>4620</v>
      </c>
      <c r="H255" s="1001">
        <f>NOMINA!H231</f>
        <v>42741</v>
      </c>
      <c r="I255" s="984">
        <f>NOMINA!I231</f>
        <v>8</v>
      </c>
      <c r="J255" s="985">
        <f>NOMINA!J231</f>
        <v>0</v>
      </c>
      <c r="K255" s="984">
        <f t="shared" si="12"/>
        <v>8</v>
      </c>
      <c r="L255" s="985" t="s">
        <v>4932</v>
      </c>
      <c r="M255" s="985"/>
      <c r="N255" s="1002" t="str">
        <f>NOMINA!O231</f>
        <v>Entrenador Deportivo IV</v>
      </c>
      <c r="O255" s="985">
        <v>1.02087691000006E+18</v>
      </c>
      <c r="P255" s="999">
        <f>NOMINA!W231</f>
        <v>139.5</v>
      </c>
      <c r="Q255" s="986">
        <f>NOMINA!AG231</f>
        <v>11.99</v>
      </c>
      <c r="R255" s="986">
        <f>NOMINA!AI231</f>
        <v>65</v>
      </c>
      <c r="S255" s="986">
        <f>NOMINA!AK231</f>
        <v>57.25</v>
      </c>
      <c r="T255" s="986">
        <f>ROUND(NOMINA!AO231,2)</f>
        <v>25</v>
      </c>
      <c r="U255" s="986">
        <f>ROUND(NOMINA!AQ231,2)</f>
        <v>0</v>
      </c>
      <c r="V255" s="986">
        <f>ROUND(NOMINA!AR231,2)</f>
        <v>0</v>
      </c>
      <c r="W255" s="986">
        <f>ROUND(NOMINA!AS231,2)</f>
        <v>0</v>
      </c>
      <c r="X255" s="986">
        <f>ROUND(NOMINA!AW231,2)</f>
        <v>0</v>
      </c>
      <c r="Y255" s="986">
        <f>ROUND(NOMINA!AX231,2)</f>
        <v>4579.92</v>
      </c>
      <c r="Z255" s="986">
        <f>ROUND(NOMINA!BB231,2)+ROUND(NOMINA!BF231,2)</f>
        <v>0</v>
      </c>
      <c r="AA255" s="986">
        <f>ROUND(NOMINA!BK231,2)*0</f>
        <v>0</v>
      </c>
      <c r="AB255" s="986">
        <f>ROUND(NOMINA!BG231,2)</f>
        <v>300</v>
      </c>
      <c r="AC255" s="1000">
        <f t="shared" si="13"/>
        <v>5178.66</v>
      </c>
      <c r="AE255" s="634"/>
    </row>
    <row r="256" spans="1:31" s="629" customFormat="1" ht="20.100000000000001" customHeight="1" thickBot="1">
      <c r="A256" s="770" t="s">
        <v>2846</v>
      </c>
      <c r="B256" s="510">
        <f t="shared" si="14"/>
        <v>190</v>
      </c>
      <c r="C256" s="980">
        <f>NOMINA!C232</f>
        <v>18733682</v>
      </c>
      <c r="D256" s="981" t="str">
        <f>NOMINA!D232</f>
        <v>Ocanto Ramirez Maria Alejandra</v>
      </c>
      <c r="E256" s="978" t="s">
        <v>4622</v>
      </c>
      <c r="F256" s="982">
        <v>32351</v>
      </c>
      <c r="G256" s="978" t="s">
        <v>4620</v>
      </c>
      <c r="H256" s="1001">
        <f>NOMINA!H232</f>
        <v>45474</v>
      </c>
      <c r="I256" s="984">
        <f>NOMINA!I232</f>
        <v>0</v>
      </c>
      <c r="J256" s="985">
        <f>NOMINA!J232</f>
        <v>0</v>
      </c>
      <c r="K256" s="984">
        <f t="shared" si="12"/>
        <v>0</v>
      </c>
      <c r="L256" s="985" t="s">
        <v>4932</v>
      </c>
      <c r="M256" s="985"/>
      <c r="N256" s="1002" t="str">
        <f>NOMINA!O232</f>
        <v>Guia de Centro I</v>
      </c>
      <c r="O256" s="985">
        <v>1.02087691000006E+18</v>
      </c>
      <c r="P256" s="999">
        <f>NOMINA!W232</f>
        <v>65</v>
      </c>
      <c r="Q256" s="986">
        <f>NOMINA!AG232</f>
        <v>0</v>
      </c>
      <c r="R256" s="986">
        <f>NOMINA!AI232</f>
        <v>65</v>
      </c>
      <c r="S256" s="986">
        <f>NOMINA!AK232</f>
        <v>0</v>
      </c>
      <c r="T256" s="986">
        <f>ROUND(NOMINA!AO232,2)</f>
        <v>12.5</v>
      </c>
      <c r="U256" s="986">
        <f>ROUND(NOMINA!AQ232,2)</f>
        <v>0</v>
      </c>
      <c r="V256" s="986">
        <f>ROUND(NOMINA!AR232,2)</f>
        <v>0</v>
      </c>
      <c r="W256" s="986">
        <f>ROUND(NOMINA!AS232,2)</f>
        <v>0</v>
      </c>
      <c r="X256" s="986">
        <f>ROUND(NOMINA!AW232,2)</f>
        <v>81.75</v>
      </c>
      <c r="Y256" s="986">
        <f>ROUND(NOMINA!AX232,2)</f>
        <v>0</v>
      </c>
      <c r="Z256" s="986">
        <f>ROUND(NOMINA!BB232,2)+ROUND(NOMINA!BF232,2)</f>
        <v>53.14</v>
      </c>
      <c r="AA256" s="986">
        <f>ROUND(NOMINA!BK232,2)*0</f>
        <v>0</v>
      </c>
      <c r="AB256" s="986">
        <f>ROUND(NOMINA!BG232,2)</f>
        <v>300</v>
      </c>
      <c r="AC256" s="1000">
        <f t="shared" si="13"/>
        <v>577.39</v>
      </c>
      <c r="AE256" s="634"/>
    </row>
    <row r="257" spans="1:31" s="629" customFormat="1" ht="20.100000000000001" customHeight="1" thickBot="1">
      <c r="A257" s="770" t="s">
        <v>2846</v>
      </c>
      <c r="B257" s="510">
        <f t="shared" si="14"/>
        <v>191</v>
      </c>
      <c r="C257" s="980">
        <f>NOMINA!C233</f>
        <v>18801597</v>
      </c>
      <c r="D257" s="981" t="str">
        <f>NOMINA!D233</f>
        <v>Rodriguez Salas Mary Carmen</v>
      </c>
      <c r="E257" s="978" t="s">
        <v>4622</v>
      </c>
      <c r="F257" s="982">
        <v>32351</v>
      </c>
      <c r="G257" s="978" t="s">
        <v>4620</v>
      </c>
      <c r="H257" s="1001">
        <f>NOMINA!H233</f>
        <v>43359</v>
      </c>
      <c r="I257" s="984">
        <f>NOMINA!I233</f>
        <v>6</v>
      </c>
      <c r="J257" s="985">
        <f>NOMINA!J233</f>
        <v>0</v>
      </c>
      <c r="K257" s="984">
        <f t="shared" si="12"/>
        <v>6</v>
      </c>
      <c r="L257" s="985" t="s">
        <v>4932</v>
      </c>
      <c r="M257" s="985"/>
      <c r="N257" s="1002" t="str">
        <f>NOMINA!O233</f>
        <v>Tutor Facilitador III</v>
      </c>
      <c r="O257" s="985">
        <v>1.02087691000006E+18</v>
      </c>
      <c r="P257" s="999">
        <f>NOMINA!W233</f>
        <v>139.5</v>
      </c>
      <c r="Q257" s="986">
        <f>NOMINA!AG233</f>
        <v>8.65</v>
      </c>
      <c r="R257" s="986">
        <f>NOMINA!AI233</f>
        <v>65</v>
      </c>
      <c r="S257" s="986">
        <f>NOMINA!AK233</f>
        <v>56.41</v>
      </c>
      <c r="T257" s="986">
        <f>ROUND(NOMINA!AO233,2)</f>
        <v>25</v>
      </c>
      <c r="U257" s="986">
        <f>ROUND(NOMINA!AQ233,2)</f>
        <v>0</v>
      </c>
      <c r="V257" s="986">
        <f>ROUND(NOMINA!AR233,2)</f>
        <v>0</v>
      </c>
      <c r="W257" s="986">
        <f>ROUND(NOMINA!AS233,2)</f>
        <v>0</v>
      </c>
      <c r="X257" s="986">
        <f>ROUND(NOMINA!AW233,2)</f>
        <v>0</v>
      </c>
      <c r="Y257" s="986">
        <f>ROUND(NOMINA!AX233,2)</f>
        <v>0</v>
      </c>
      <c r="Z257" s="986">
        <f>ROUND(NOMINA!BB233,2)+ROUND(NOMINA!BF233,2)</f>
        <v>0</v>
      </c>
      <c r="AA257" s="986">
        <f>ROUND(NOMINA!BK233,2)*0</f>
        <v>0</v>
      </c>
      <c r="AB257" s="986">
        <f>ROUND(NOMINA!BG233,2)</f>
        <v>300</v>
      </c>
      <c r="AC257" s="1000">
        <f t="shared" si="13"/>
        <v>594.55999999999995</v>
      </c>
      <c r="AE257" s="634"/>
    </row>
    <row r="258" spans="1:31" s="629" customFormat="1" ht="20.100000000000001" customHeight="1" thickBot="1">
      <c r="A258" s="770" t="s">
        <v>2846</v>
      </c>
      <c r="B258" s="510">
        <f t="shared" si="14"/>
        <v>192</v>
      </c>
      <c r="C258" s="980">
        <f>NOMINA!C234</f>
        <v>18802405</v>
      </c>
      <c r="D258" s="981" t="str">
        <f>NOMINA!D234</f>
        <v>Ramirez Rodriguez Rudys Arelys</v>
      </c>
      <c r="E258" s="978" t="s">
        <v>4622</v>
      </c>
      <c r="F258" s="982">
        <v>32351</v>
      </c>
      <c r="G258" s="978" t="s">
        <v>4620</v>
      </c>
      <c r="H258" s="1001">
        <f>NOMINA!H234</f>
        <v>44332</v>
      </c>
      <c r="I258" s="984">
        <f>NOMINA!I234</f>
        <v>3</v>
      </c>
      <c r="J258" s="985">
        <f>NOMINA!J234</f>
        <v>0</v>
      </c>
      <c r="K258" s="984">
        <f t="shared" si="12"/>
        <v>3</v>
      </c>
      <c r="L258" s="985" t="s">
        <v>4932</v>
      </c>
      <c r="M258" s="985"/>
      <c r="N258" s="1002" t="str">
        <f>NOMINA!O234</f>
        <v>Tutor Facilitador I</v>
      </c>
      <c r="O258" s="985">
        <v>1.02087691000006E+18</v>
      </c>
      <c r="P258" s="999">
        <f>NOMINA!W234</f>
        <v>109.5</v>
      </c>
      <c r="Q258" s="986">
        <f>NOMINA!AG234</f>
        <v>3.28</v>
      </c>
      <c r="R258" s="986">
        <f>NOMINA!AI234</f>
        <v>65</v>
      </c>
      <c r="S258" s="986">
        <f>NOMINA!AK234</f>
        <v>47.57</v>
      </c>
      <c r="T258" s="986">
        <f>ROUND(NOMINA!AO234,2)</f>
        <v>12.5</v>
      </c>
      <c r="U258" s="986">
        <f>ROUND(NOMINA!AQ234,2)</f>
        <v>0</v>
      </c>
      <c r="V258" s="986">
        <f>ROUND(NOMINA!AR234,2)</f>
        <v>0</v>
      </c>
      <c r="W258" s="986">
        <f>ROUND(NOMINA!AS234,2)</f>
        <v>0</v>
      </c>
      <c r="X258" s="986">
        <f>ROUND(NOMINA!AW234,2)</f>
        <v>0</v>
      </c>
      <c r="Y258" s="986">
        <f>ROUND(NOMINA!AX234,2)</f>
        <v>0</v>
      </c>
      <c r="Z258" s="986">
        <f>ROUND(NOMINA!BB234,2)+ROUND(NOMINA!BF234,2)</f>
        <v>0</v>
      </c>
      <c r="AA258" s="986">
        <f>ROUND(NOMINA!BK234,2)*0</f>
        <v>0</v>
      </c>
      <c r="AB258" s="986">
        <f>ROUND(NOMINA!BG234,2)</f>
        <v>300</v>
      </c>
      <c r="AC258" s="1000">
        <f t="shared" si="13"/>
        <v>537.85</v>
      </c>
      <c r="AE258" s="634"/>
    </row>
    <row r="259" spans="1:31" s="629" customFormat="1" ht="20.100000000000001" customHeight="1" thickBot="1">
      <c r="A259" s="770" t="s">
        <v>2846</v>
      </c>
      <c r="B259" s="510">
        <f t="shared" si="14"/>
        <v>193</v>
      </c>
      <c r="C259" s="980">
        <f>NOMINA!C235</f>
        <v>18984406</v>
      </c>
      <c r="D259" s="981" t="str">
        <f>NOMINA!D235</f>
        <v>Torres Santiago Eduardo David</v>
      </c>
      <c r="E259" s="978" t="s">
        <v>4622</v>
      </c>
      <c r="F259" s="982">
        <v>32351</v>
      </c>
      <c r="G259" s="978" t="s">
        <v>4620</v>
      </c>
      <c r="H259" s="1001">
        <f>NOMINA!H235</f>
        <v>45200</v>
      </c>
      <c r="I259" s="984">
        <f>NOMINA!I235</f>
        <v>1</v>
      </c>
      <c r="J259" s="985">
        <f>NOMINA!J235</f>
        <v>0</v>
      </c>
      <c r="K259" s="984">
        <f t="shared" si="12"/>
        <v>1</v>
      </c>
      <c r="L259" s="985" t="s">
        <v>4932</v>
      </c>
      <c r="M259" s="985"/>
      <c r="N259" s="1002" t="str">
        <f>NOMINA!O235</f>
        <v>Guia de Centro I</v>
      </c>
      <c r="O259" s="985">
        <v>1.02087691000006E+18</v>
      </c>
      <c r="P259" s="999">
        <f>NOMINA!W235</f>
        <v>65</v>
      </c>
      <c r="Q259" s="986">
        <f>NOMINA!AG235</f>
        <v>0.65</v>
      </c>
      <c r="R259" s="986">
        <f>NOMINA!AI235</f>
        <v>65</v>
      </c>
      <c r="S259" s="986">
        <f>NOMINA!AK235</f>
        <v>0</v>
      </c>
      <c r="T259" s="986">
        <f>ROUND(NOMINA!AO235,2)</f>
        <v>0</v>
      </c>
      <c r="U259" s="986">
        <f>ROUND(NOMINA!AQ235,2)</f>
        <v>0</v>
      </c>
      <c r="V259" s="986">
        <f>ROUND(NOMINA!AR235,2)</f>
        <v>0</v>
      </c>
      <c r="W259" s="986">
        <f>ROUND(NOMINA!AS235,2)</f>
        <v>0</v>
      </c>
      <c r="X259" s="986">
        <f>ROUND(NOMINA!AW235,2)</f>
        <v>78.39</v>
      </c>
      <c r="Y259" s="986">
        <f>ROUND(NOMINA!AX235,2)</f>
        <v>0</v>
      </c>
      <c r="Z259" s="986">
        <f>ROUND(NOMINA!BB235,2)+ROUND(NOMINA!BF235,2)</f>
        <v>50.95</v>
      </c>
      <c r="AA259" s="986">
        <f>ROUND(NOMINA!BK235,2)*0</f>
        <v>0</v>
      </c>
      <c r="AB259" s="986">
        <f>ROUND(NOMINA!BG235,2)</f>
        <v>300</v>
      </c>
      <c r="AC259" s="1000">
        <f t="shared" si="13"/>
        <v>559.99</v>
      </c>
      <c r="AE259" s="634"/>
    </row>
    <row r="260" spans="1:31" s="629" customFormat="1" ht="20.100000000000001" customHeight="1" thickBot="1">
      <c r="A260" s="770" t="s">
        <v>2846</v>
      </c>
      <c r="B260" s="510">
        <f t="shared" si="14"/>
        <v>194</v>
      </c>
      <c r="C260" s="980">
        <f>NOMINA!C236</f>
        <v>19101647</v>
      </c>
      <c r="D260" s="981" t="str">
        <f>NOMINA!D236</f>
        <v>Uzcategui Urbina Madeley Tatiana</v>
      </c>
      <c r="E260" s="978" t="s">
        <v>4622</v>
      </c>
      <c r="F260" s="982">
        <v>32351</v>
      </c>
      <c r="G260" s="978" t="s">
        <v>4620</v>
      </c>
      <c r="H260" s="1001">
        <f>NOMINA!H236</f>
        <v>43845</v>
      </c>
      <c r="I260" s="984">
        <f>NOMINA!I236</f>
        <v>5</v>
      </c>
      <c r="J260" s="985">
        <f>NOMINA!J236</f>
        <v>0</v>
      </c>
      <c r="K260" s="984">
        <f t="shared" ref="K260:K323" si="15">I260+J260</f>
        <v>5</v>
      </c>
      <c r="L260" s="985" t="s">
        <v>4932</v>
      </c>
      <c r="M260" s="985"/>
      <c r="N260" s="1002" t="str">
        <f>NOMINA!O236</f>
        <v>Guia de Centro I</v>
      </c>
      <c r="O260" s="985">
        <v>1.02087691000006E+18</v>
      </c>
      <c r="P260" s="999">
        <f>NOMINA!W236</f>
        <v>75</v>
      </c>
      <c r="Q260" s="986">
        <f>NOMINA!AG236</f>
        <v>3.75</v>
      </c>
      <c r="R260" s="986">
        <f>NOMINA!AI236</f>
        <v>65</v>
      </c>
      <c r="S260" s="986">
        <f>NOMINA!AK236</f>
        <v>0</v>
      </c>
      <c r="T260" s="986">
        <f>ROUND(NOMINA!AO236,2)</f>
        <v>0</v>
      </c>
      <c r="U260" s="986">
        <f>ROUND(NOMINA!AQ236,2)</f>
        <v>0</v>
      </c>
      <c r="V260" s="986">
        <f>ROUND(NOMINA!AR236,2)</f>
        <v>0</v>
      </c>
      <c r="W260" s="986">
        <f>ROUND(NOMINA!AS236,2)</f>
        <v>0</v>
      </c>
      <c r="X260" s="986">
        <f>ROUND(NOMINA!AW236,2)</f>
        <v>93.75</v>
      </c>
      <c r="Y260" s="986">
        <f>ROUND(NOMINA!AX236,2)</f>
        <v>3250</v>
      </c>
      <c r="Z260" s="986">
        <f>ROUND(NOMINA!BB236,2)+ROUND(NOMINA!BF236,2)</f>
        <v>60.94</v>
      </c>
      <c r="AA260" s="986">
        <f>ROUND(NOMINA!BK236,2)*0</f>
        <v>0</v>
      </c>
      <c r="AB260" s="986">
        <f>ROUND(NOMINA!BG236,2)</f>
        <v>300</v>
      </c>
      <c r="AC260" s="1000">
        <f t="shared" ref="AC260:AC323" si="16">+P260+Q260+R260+S260+T260+U260+V260+W260+X260+Y260+Z260+AB260+AA260</f>
        <v>3848.44</v>
      </c>
      <c r="AE260" s="634"/>
    </row>
    <row r="261" spans="1:31" s="629" customFormat="1" ht="20.100000000000001" customHeight="1" thickBot="1">
      <c r="A261" s="770" t="s">
        <v>2846</v>
      </c>
      <c r="B261" s="510">
        <f t="shared" ref="B261:B324" si="17">+B260+1</f>
        <v>195</v>
      </c>
      <c r="C261" s="980">
        <f>NOMINA!C237</f>
        <v>19101773</v>
      </c>
      <c r="D261" s="981" t="str">
        <f>NOMINA!D237</f>
        <v>Gil Molina Maite Karina</v>
      </c>
      <c r="E261" s="978" t="s">
        <v>4622</v>
      </c>
      <c r="F261" s="982">
        <v>32351</v>
      </c>
      <c r="G261" s="978" t="s">
        <v>4620</v>
      </c>
      <c r="H261" s="1001">
        <f>NOMINA!H237</f>
        <v>45200</v>
      </c>
      <c r="I261" s="984">
        <f>NOMINA!I237</f>
        <v>1</v>
      </c>
      <c r="J261" s="985">
        <f>NOMINA!J237</f>
        <v>0</v>
      </c>
      <c r="K261" s="984">
        <f t="shared" si="15"/>
        <v>1</v>
      </c>
      <c r="L261" s="985" t="s">
        <v>4932</v>
      </c>
      <c r="M261" s="985"/>
      <c r="N261" s="1002" t="str">
        <f>NOMINA!O237</f>
        <v>Guia de Centro I</v>
      </c>
      <c r="O261" s="985">
        <v>1.02087691000006E+18</v>
      </c>
      <c r="P261" s="999">
        <f>NOMINA!W237</f>
        <v>96</v>
      </c>
      <c r="Q261" s="986">
        <f>NOMINA!AG237</f>
        <v>0.96</v>
      </c>
      <c r="R261" s="986">
        <f>NOMINA!AI237</f>
        <v>65</v>
      </c>
      <c r="S261" s="986">
        <f>NOMINA!AK237</f>
        <v>33.64</v>
      </c>
      <c r="T261" s="986">
        <f>ROUND(NOMINA!AO237,2)</f>
        <v>0</v>
      </c>
      <c r="U261" s="986">
        <f>ROUND(NOMINA!AQ237,2)</f>
        <v>0</v>
      </c>
      <c r="V261" s="986">
        <f>ROUND(NOMINA!AR237,2)</f>
        <v>0</v>
      </c>
      <c r="W261" s="986">
        <f>ROUND(NOMINA!AS237,2)</f>
        <v>0</v>
      </c>
      <c r="X261" s="986">
        <f>ROUND(NOMINA!AW237,2)</f>
        <v>121.11</v>
      </c>
      <c r="Y261" s="986">
        <f>ROUND(NOMINA!AX237,2)</f>
        <v>0</v>
      </c>
      <c r="Z261" s="986">
        <f>ROUND(NOMINA!BB237,2)+ROUND(NOMINA!BF237,2)</f>
        <v>78.72</v>
      </c>
      <c r="AA261" s="986">
        <f>ROUND(NOMINA!BK237,2)*0</f>
        <v>0</v>
      </c>
      <c r="AB261" s="986">
        <f>ROUND(NOMINA!BG237,2)</f>
        <v>300</v>
      </c>
      <c r="AC261" s="1000">
        <f t="shared" si="16"/>
        <v>695.43</v>
      </c>
      <c r="AE261" s="634"/>
    </row>
    <row r="262" spans="1:31" s="629" customFormat="1" ht="20.100000000000001" customHeight="1" thickBot="1">
      <c r="A262" s="770" t="s">
        <v>2846</v>
      </c>
      <c r="B262" s="510">
        <f t="shared" si="17"/>
        <v>196</v>
      </c>
      <c r="C262" s="980">
        <f>NOMINA!C238</f>
        <v>19103118</v>
      </c>
      <c r="D262" s="981" t="str">
        <f>NOMINA!D238</f>
        <v>Plaza Quintero Orelis Maria</v>
      </c>
      <c r="E262" s="978" t="s">
        <v>4622</v>
      </c>
      <c r="F262" s="982">
        <v>32351</v>
      </c>
      <c r="G262" s="978" t="s">
        <v>4620</v>
      </c>
      <c r="H262" s="1001">
        <f>NOMINA!H238</f>
        <v>43724</v>
      </c>
      <c r="I262" s="984">
        <f>NOMINA!I238</f>
        <v>5</v>
      </c>
      <c r="J262" s="985">
        <f>NOMINA!J238</f>
        <v>0</v>
      </c>
      <c r="K262" s="984">
        <f t="shared" si="15"/>
        <v>5</v>
      </c>
      <c r="L262" s="985" t="s">
        <v>4932</v>
      </c>
      <c r="M262" s="985"/>
      <c r="N262" s="1002" t="str">
        <f>NOMINA!O238</f>
        <v>Tecnico Superior en Trabajo Social II</v>
      </c>
      <c r="O262" s="985">
        <v>1.02087691000006E+18</v>
      </c>
      <c r="P262" s="999">
        <f>NOMINA!W238</f>
        <v>109.5</v>
      </c>
      <c r="Q262" s="986">
        <f>NOMINA!AG238</f>
        <v>5.47</v>
      </c>
      <c r="R262" s="986">
        <f>NOMINA!AI238</f>
        <v>65</v>
      </c>
      <c r="S262" s="986">
        <f>NOMINA!AK238</f>
        <v>38.49</v>
      </c>
      <c r="T262" s="986">
        <f>ROUND(NOMINA!AO238,2)</f>
        <v>0</v>
      </c>
      <c r="U262" s="986">
        <f>ROUND(NOMINA!AQ238,2)</f>
        <v>0</v>
      </c>
      <c r="V262" s="986">
        <f>ROUND(NOMINA!AR238,2)</f>
        <v>0</v>
      </c>
      <c r="W262" s="986">
        <f>ROUND(NOMINA!AS238,2)</f>
        <v>0</v>
      </c>
      <c r="X262" s="986">
        <f>ROUND(NOMINA!AW238,2)</f>
        <v>0</v>
      </c>
      <c r="Y262" s="986">
        <f>ROUND(NOMINA!AX238,2)</f>
        <v>0</v>
      </c>
      <c r="Z262" s="986">
        <f>ROUND(NOMINA!BB238,2)+ROUND(NOMINA!BF238,2)</f>
        <v>0</v>
      </c>
      <c r="AA262" s="986">
        <f>ROUND(NOMINA!BK238,2)*0</f>
        <v>0</v>
      </c>
      <c r="AB262" s="986">
        <f>ROUND(NOMINA!BG238,2)</f>
        <v>300</v>
      </c>
      <c r="AC262" s="1000">
        <f t="shared" si="16"/>
        <v>518.46</v>
      </c>
      <c r="AE262" s="634"/>
    </row>
    <row r="263" spans="1:31" s="629" customFormat="1" ht="20.100000000000001" customHeight="1" thickBot="1">
      <c r="A263" s="770" t="s">
        <v>2846</v>
      </c>
      <c r="B263" s="510">
        <f t="shared" si="17"/>
        <v>197</v>
      </c>
      <c r="C263" s="980">
        <f>NOMINA!C239</f>
        <v>19103604</v>
      </c>
      <c r="D263" s="981" t="str">
        <f>NOMINA!D239</f>
        <v>Hernandez Graterol Gleidys Coromoto</v>
      </c>
      <c r="E263" s="978" t="s">
        <v>4622</v>
      </c>
      <c r="F263" s="982">
        <v>32351</v>
      </c>
      <c r="G263" s="978" t="s">
        <v>4620</v>
      </c>
      <c r="H263" s="1001">
        <f>NOMINA!H239</f>
        <v>44600</v>
      </c>
      <c r="I263" s="984">
        <f>NOMINA!I239</f>
        <v>2</v>
      </c>
      <c r="J263" s="985">
        <f>NOMINA!J239</f>
        <v>0</v>
      </c>
      <c r="K263" s="984">
        <f t="shared" si="15"/>
        <v>2</v>
      </c>
      <c r="L263" s="985" t="s">
        <v>4932</v>
      </c>
      <c r="M263" s="985"/>
      <c r="N263" s="1002" t="str">
        <f>NOMINA!O239</f>
        <v>Asistente Administrativo III</v>
      </c>
      <c r="O263" s="985">
        <v>1.02087691000006E+18</v>
      </c>
      <c r="P263" s="999">
        <f>NOMINA!W239</f>
        <v>96</v>
      </c>
      <c r="Q263" s="986">
        <f>NOMINA!AG239</f>
        <v>1.92</v>
      </c>
      <c r="R263" s="986">
        <f>NOMINA!AI239</f>
        <v>65</v>
      </c>
      <c r="S263" s="986">
        <f>NOMINA!AK239</f>
        <v>35.08</v>
      </c>
      <c r="T263" s="986">
        <f>ROUND(NOMINA!AO239,2)</f>
        <v>25</v>
      </c>
      <c r="U263" s="986">
        <f>ROUND(NOMINA!AQ239,2)</f>
        <v>0</v>
      </c>
      <c r="V263" s="986">
        <f>ROUND(NOMINA!AR239,2)</f>
        <v>0</v>
      </c>
      <c r="W263" s="986">
        <f>ROUND(NOMINA!AS239,2)</f>
        <v>0</v>
      </c>
      <c r="X263" s="986">
        <f>ROUND(NOMINA!AW239,2)</f>
        <v>0</v>
      </c>
      <c r="Y263" s="986">
        <f>ROUND(NOMINA!AX239,2)</f>
        <v>0</v>
      </c>
      <c r="Z263" s="986">
        <f>ROUND(NOMINA!BB239,2)+ROUND(NOMINA!BF239,2)</f>
        <v>0</v>
      </c>
      <c r="AA263" s="986">
        <f>ROUND(NOMINA!BK239,2)*0</f>
        <v>0</v>
      </c>
      <c r="AB263" s="986">
        <f>ROUND(NOMINA!BG239,2)</f>
        <v>300</v>
      </c>
      <c r="AC263" s="1000">
        <f t="shared" si="16"/>
        <v>523</v>
      </c>
      <c r="AE263" s="634"/>
    </row>
    <row r="264" spans="1:31" s="629" customFormat="1" ht="20.100000000000001" customHeight="1" thickBot="1">
      <c r="A264" s="770" t="s">
        <v>2846</v>
      </c>
      <c r="B264" s="510">
        <f t="shared" si="17"/>
        <v>198</v>
      </c>
      <c r="C264" s="980">
        <f>NOMINA!C240</f>
        <v>19103823</v>
      </c>
      <c r="D264" s="981" t="str">
        <f>NOMINA!D240</f>
        <v>Valero Sanchez Zulay del Valle</v>
      </c>
      <c r="E264" s="978" t="s">
        <v>4622</v>
      </c>
      <c r="F264" s="982">
        <v>32351</v>
      </c>
      <c r="G264" s="978" t="s">
        <v>4620</v>
      </c>
      <c r="H264" s="1001">
        <f>NOMINA!H240</f>
        <v>42795</v>
      </c>
      <c r="I264" s="984">
        <f>NOMINA!I240</f>
        <v>7</v>
      </c>
      <c r="J264" s="985">
        <f>NOMINA!J240</f>
        <v>0</v>
      </c>
      <c r="K264" s="984">
        <f t="shared" si="15"/>
        <v>7</v>
      </c>
      <c r="L264" s="985" t="s">
        <v>4932</v>
      </c>
      <c r="M264" s="985"/>
      <c r="N264" s="1002" t="str">
        <f>NOMINA!O240</f>
        <v>Tutor Facilitador III</v>
      </c>
      <c r="O264" s="985">
        <v>1.02087691000006E+18</v>
      </c>
      <c r="P264" s="999">
        <f>NOMINA!W240</f>
        <v>154</v>
      </c>
      <c r="Q264" s="986">
        <f>NOMINA!AG240</f>
        <v>11.39</v>
      </c>
      <c r="R264" s="986">
        <f>NOMINA!AI240</f>
        <v>65</v>
      </c>
      <c r="S264" s="986">
        <f>NOMINA!AK240</f>
        <v>82.82</v>
      </c>
      <c r="T264" s="986">
        <f>ROUND(NOMINA!AO240,2)</f>
        <v>0</v>
      </c>
      <c r="U264" s="986">
        <f>ROUND(NOMINA!AQ240,2)</f>
        <v>0</v>
      </c>
      <c r="V264" s="986">
        <f>ROUND(NOMINA!AR240,2)</f>
        <v>0</v>
      </c>
      <c r="W264" s="986">
        <f>ROUND(NOMINA!AS240,2)</f>
        <v>0</v>
      </c>
      <c r="X264" s="986">
        <f>ROUND(NOMINA!AW240,2)</f>
        <v>0</v>
      </c>
      <c r="Y264" s="986">
        <f>ROUND(NOMINA!AX240,2)</f>
        <v>0</v>
      </c>
      <c r="Z264" s="986">
        <f>ROUND(NOMINA!BB240,2)+ROUND(NOMINA!BF240,2)</f>
        <v>0</v>
      </c>
      <c r="AA264" s="986">
        <f>ROUND(NOMINA!BK240,2)*0</f>
        <v>0</v>
      </c>
      <c r="AB264" s="986">
        <f>ROUND(NOMINA!BG240,2)</f>
        <v>300</v>
      </c>
      <c r="AC264" s="1000">
        <f t="shared" si="16"/>
        <v>613.21</v>
      </c>
      <c r="AE264" s="634"/>
    </row>
    <row r="265" spans="1:31" s="629" customFormat="1" ht="20.100000000000001" customHeight="1" thickBot="1">
      <c r="A265" s="770" t="s">
        <v>2846</v>
      </c>
      <c r="B265" s="510">
        <f t="shared" si="17"/>
        <v>199</v>
      </c>
      <c r="C265" s="980">
        <f>NOMINA!C241</f>
        <v>19286780</v>
      </c>
      <c r="D265" s="981" t="str">
        <f>NOMINA!D241</f>
        <v>Mejia Rosales Katiusca Josefina</v>
      </c>
      <c r="E265" s="978" t="s">
        <v>4622</v>
      </c>
      <c r="F265" s="982">
        <v>32351</v>
      </c>
      <c r="G265" s="978" t="s">
        <v>4620</v>
      </c>
      <c r="H265" s="1001">
        <f>NOMINA!H241</f>
        <v>42492</v>
      </c>
      <c r="I265" s="984">
        <f>NOMINA!I241</f>
        <v>8</v>
      </c>
      <c r="J265" s="985">
        <f>NOMINA!J241</f>
        <v>0</v>
      </c>
      <c r="K265" s="984">
        <f t="shared" si="15"/>
        <v>8</v>
      </c>
      <c r="L265" s="985" t="s">
        <v>4932</v>
      </c>
      <c r="M265" s="985"/>
      <c r="N265" s="1002" t="str">
        <f>NOMINA!O241</f>
        <v>Asistente Administrativo III</v>
      </c>
      <c r="O265" s="985">
        <v>1.02087691000006E+18</v>
      </c>
      <c r="P265" s="999">
        <f>NOMINA!W241</f>
        <v>110.5</v>
      </c>
      <c r="Q265" s="986">
        <f>NOMINA!AG241</f>
        <v>9.5</v>
      </c>
      <c r="R265" s="986">
        <f>NOMINA!AI241</f>
        <v>65</v>
      </c>
      <c r="S265" s="986">
        <f>NOMINA!AK241</f>
        <v>39.5</v>
      </c>
      <c r="T265" s="986">
        <f>ROUND(NOMINA!AO241,2)</f>
        <v>0</v>
      </c>
      <c r="U265" s="986">
        <f>ROUND(NOMINA!AQ241,2)</f>
        <v>0</v>
      </c>
      <c r="V265" s="986">
        <f>ROUND(NOMINA!AR241,2)</f>
        <v>0</v>
      </c>
      <c r="W265" s="986">
        <f>ROUND(NOMINA!AS241,2)</f>
        <v>0</v>
      </c>
      <c r="X265" s="986">
        <f>ROUND(NOMINA!AW241,2)</f>
        <v>0</v>
      </c>
      <c r="Y265" s="986">
        <f>ROUND(NOMINA!AX241,2)</f>
        <v>0</v>
      </c>
      <c r="Z265" s="986">
        <f>ROUND(NOMINA!BB241,2)+ROUND(NOMINA!BF241,2)</f>
        <v>0</v>
      </c>
      <c r="AA265" s="986">
        <f>ROUND(NOMINA!BK241,2)*0</f>
        <v>0</v>
      </c>
      <c r="AB265" s="986">
        <f>ROUND(NOMINA!BG241,2)</f>
        <v>300</v>
      </c>
      <c r="AC265" s="1000">
        <f t="shared" si="16"/>
        <v>524.5</v>
      </c>
      <c r="AE265" s="634"/>
    </row>
    <row r="266" spans="1:31" s="629" customFormat="1" ht="20.100000000000001" customHeight="1" thickBot="1">
      <c r="A266" s="770" t="s">
        <v>2846</v>
      </c>
      <c r="B266" s="510">
        <f t="shared" si="17"/>
        <v>200</v>
      </c>
      <c r="C266" s="980">
        <f>NOMINA!C242</f>
        <v>19287100</v>
      </c>
      <c r="D266" s="981" t="str">
        <f>NOMINA!D242</f>
        <v>Leal Mejia Fraineli Yoset</v>
      </c>
      <c r="E266" s="978" t="s">
        <v>4622</v>
      </c>
      <c r="F266" s="982">
        <v>32351</v>
      </c>
      <c r="G266" s="978" t="s">
        <v>4620</v>
      </c>
      <c r="H266" s="1001">
        <f>NOMINA!H242</f>
        <v>44713</v>
      </c>
      <c r="I266" s="984">
        <f>NOMINA!I242</f>
        <v>2</v>
      </c>
      <c r="J266" s="985">
        <f>NOMINA!J242</f>
        <v>0</v>
      </c>
      <c r="K266" s="984">
        <f t="shared" si="15"/>
        <v>2</v>
      </c>
      <c r="L266" s="985" t="s">
        <v>4932</v>
      </c>
      <c r="M266" s="985"/>
      <c r="N266" s="1002" t="str">
        <f>NOMINA!O242</f>
        <v>Tecnico Superior en Trabajo Social II</v>
      </c>
      <c r="O266" s="985">
        <v>1.02087691000006E+18</v>
      </c>
      <c r="P266" s="999">
        <f>NOMINA!W242</f>
        <v>96</v>
      </c>
      <c r="Q266" s="986">
        <f>NOMINA!AG242</f>
        <v>1.92</v>
      </c>
      <c r="R266" s="986">
        <f>NOMINA!AI242</f>
        <v>65</v>
      </c>
      <c r="S266" s="986">
        <f>NOMINA!AK242</f>
        <v>35.08</v>
      </c>
      <c r="T266" s="986">
        <f>ROUND(NOMINA!AO242,2)</f>
        <v>25</v>
      </c>
      <c r="U266" s="986">
        <f>ROUND(NOMINA!AQ242,2)</f>
        <v>0</v>
      </c>
      <c r="V266" s="986">
        <f>ROUND(NOMINA!AR242,2)</f>
        <v>0</v>
      </c>
      <c r="W266" s="986">
        <f>ROUND(NOMINA!AS242,2)</f>
        <v>0</v>
      </c>
      <c r="X266" s="986">
        <f>ROUND(NOMINA!AW242,2)</f>
        <v>0</v>
      </c>
      <c r="Y266" s="986">
        <f>ROUND(NOMINA!AX242,2)</f>
        <v>0</v>
      </c>
      <c r="Z266" s="986">
        <f>ROUND(NOMINA!BB242,2)+ROUND(NOMINA!BF242,2)</f>
        <v>0</v>
      </c>
      <c r="AA266" s="986">
        <f>ROUND(NOMINA!BK242,2)*0</f>
        <v>0</v>
      </c>
      <c r="AB266" s="986">
        <f>ROUND(NOMINA!BG242,2)</f>
        <v>300</v>
      </c>
      <c r="AC266" s="1000">
        <f t="shared" si="16"/>
        <v>523</v>
      </c>
      <c r="AE266" s="634"/>
    </row>
    <row r="267" spans="1:31" s="629" customFormat="1" ht="20.100000000000001" customHeight="1" thickBot="1">
      <c r="A267" s="770" t="s">
        <v>2846</v>
      </c>
      <c r="B267" s="510">
        <f t="shared" si="17"/>
        <v>201</v>
      </c>
      <c r="C267" s="980">
        <f>NOMINA!C243</f>
        <v>19372791</v>
      </c>
      <c r="D267" s="981" t="str">
        <f>NOMINA!D243</f>
        <v>Reveron Araujo Andreina Oscarelis</v>
      </c>
      <c r="E267" s="978" t="s">
        <v>4622</v>
      </c>
      <c r="F267" s="982">
        <v>32351</v>
      </c>
      <c r="G267" s="978" t="s">
        <v>4620</v>
      </c>
      <c r="H267" s="1001">
        <f>NOMINA!H243</f>
        <v>45627</v>
      </c>
      <c r="I267" s="984">
        <f>NOMINA!I243</f>
        <v>0</v>
      </c>
      <c r="J267" s="985">
        <f>NOMINA!J243</f>
        <v>0</v>
      </c>
      <c r="K267" s="984">
        <f t="shared" si="15"/>
        <v>0</v>
      </c>
      <c r="L267" s="985" t="s">
        <v>4932</v>
      </c>
      <c r="M267" s="985"/>
      <c r="N267" s="1002" t="str">
        <f>NOMINA!O243</f>
        <v>Guia de Centro I</v>
      </c>
      <c r="O267" s="985">
        <v>1.02087691000006E+18</v>
      </c>
      <c r="P267" s="999">
        <f>NOMINA!W243</f>
        <v>96</v>
      </c>
      <c r="Q267" s="986">
        <f>NOMINA!AG243</f>
        <v>0</v>
      </c>
      <c r="R267" s="986">
        <f>NOMINA!AI243</f>
        <v>65</v>
      </c>
      <c r="S267" s="986">
        <f>NOMINA!AK243</f>
        <v>41.81</v>
      </c>
      <c r="T267" s="986">
        <f>ROUND(NOMINA!AO243,2)</f>
        <v>0</v>
      </c>
      <c r="U267" s="986">
        <f>ROUND(NOMINA!AQ243,2)</f>
        <v>0</v>
      </c>
      <c r="V267" s="986">
        <f>ROUND(NOMINA!AR243,2)</f>
        <v>0</v>
      </c>
      <c r="W267" s="986">
        <f>ROUND(NOMINA!AS243,2)</f>
        <v>0</v>
      </c>
      <c r="X267" s="986">
        <f>ROUND(NOMINA!AW243,2)</f>
        <v>125.44</v>
      </c>
      <c r="Y267" s="986">
        <f>ROUND(NOMINA!AX243,2)</f>
        <v>0</v>
      </c>
      <c r="Z267" s="986">
        <f>ROUND(NOMINA!BB243,2)+ROUND(NOMINA!BF243,2)</f>
        <v>108.71</v>
      </c>
      <c r="AA267" s="986">
        <f>ROUND(NOMINA!BK243,2)*0</f>
        <v>0</v>
      </c>
      <c r="AB267" s="986">
        <f>ROUND(NOMINA!BG243,2)</f>
        <v>300</v>
      </c>
      <c r="AC267" s="1000">
        <f t="shared" si="16"/>
        <v>736.96</v>
      </c>
      <c r="AE267" s="634"/>
    </row>
    <row r="268" spans="1:31" s="629" customFormat="1" ht="20.100000000000001" customHeight="1" thickBot="1">
      <c r="A268" s="770" t="s">
        <v>2846</v>
      </c>
      <c r="B268" s="510">
        <f t="shared" si="17"/>
        <v>202</v>
      </c>
      <c r="C268" s="980">
        <f>NOMINA!C244</f>
        <v>19610534</v>
      </c>
      <c r="D268" s="981" t="str">
        <f>NOMINA!D244</f>
        <v>Santos Saavedra Greosmar Johan</v>
      </c>
      <c r="E268" s="978" t="s">
        <v>4622</v>
      </c>
      <c r="F268" s="982">
        <v>32351</v>
      </c>
      <c r="G268" s="978" t="s">
        <v>4620</v>
      </c>
      <c r="H268" s="1001">
        <f>NOMINA!H244</f>
        <v>44713</v>
      </c>
      <c r="I268" s="984">
        <f>NOMINA!I244</f>
        <v>2</v>
      </c>
      <c r="J268" s="985">
        <f>NOMINA!J244</f>
        <v>0</v>
      </c>
      <c r="K268" s="984">
        <f t="shared" si="15"/>
        <v>2</v>
      </c>
      <c r="L268" s="985" t="s">
        <v>4932</v>
      </c>
      <c r="M268" s="985"/>
      <c r="N268" s="1002" t="str">
        <f>NOMINA!O244</f>
        <v>Guia de Centro I</v>
      </c>
      <c r="O268" s="985">
        <v>1.02087691000006E+18</v>
      </c>
      <c r="P268" s="999">
        <f>NOMINA!W244</f>
        <v>96</v>
      </c>
      <c r="Q268" s="986">
        <f>NOMINA!AG244</f>
        <v>1.92</v>
      </c>
      <c r="R268" s="986">
        <f>NOMINA!AI244</f>
        <v>65</v>
      </c>
      <c r="S268" s="986">
        <f>NOMINA!AK244</f>
        <v>33.83</v>
      </c>
      <c r="T268" s="986">
        <f>ROUND(NOMINA!AO244,2)</f>
        <v>0</v>
      </c>
      <c r="U268" s="986">
        <f>ROUND(NOMINA!AQ244,2)</f>
        <v>0</v>
      </c>
      <c r="V268" s="986">
        <f>ROUND(NOMINA!AR244,2)</f>
        <v>0</v>
      </c>
      <c r="W268" s="986">
        <f>ROUND(NOMINA!AS244,2)</f>
        <v>0</v>
      </c>
      <c r="X268" s="986">
        <f>ROUND(NOMINA!AW244,2)</f>
        <v>121.8</v>
      </c>
      <c r="Y268" s="986">
        <f>ROUND(NOMINA!AX244,2)</f>
        <v>0</v>
      </c>
      <c r="Z268" s="986">
        <f>ROUND(NOMINA!BB244,2)+ROUND(NOMINA!BF244,2)</f>
        <v>0</v>
      </c>
      <c r="AA268" s="986">
        <f>ROUND(NOMINA!BK244,2)*0</f>
        <v>0</v>
      </c>
      <c r="AB268" s="986">
        <f>ROUND(NOMINA!BG244,2)</f>
        <v>300</v>
      </c>
      <c r="AC268" s="1000">
        <f t="shared" si="16"/>
        <v>618.54999999999995</v>
      </c>
      <c r="AE268" s="634"/>
    </row>
    <row r="269" spans="1:31" s="629" customFormat="1" ht="20.100000000000001" customHeight="1" thickBot="1">
      <c r="A269" s="770" t="s">
        <v>2846</v>
      </c>
      <c r="B269" s="510">
        <f t="shared" si="17"/>
        <v>203</v>
      </c>
      <c r="C269" s="980">
        <f>NOMINA!C245</f>
        <v>19610565</v>
      </c>
      <c r="D269" s="981" t="str">
        <f>NOMINA!D245</f>
        <v>Uzcategui Uzcategui Saray Cristina</v>
      </c>
      <c r="E269" s="978" t="s">
        <v>4622</v>
      </c>
      <c r="F269" s="982">
        <v>32351</v>
      </c>
      <c r="G269" s="978" t="s">
        <v>4620</v>
      </c>
      <c r="H269" s="1001">
        <f>NOMINA!H245</f>
        <v>44713</v>
      </c>
      <c r="I269" s="984">
        <f>NOMINA!I245</f>
        <v>2</v>
      </c>
      <c r="J269" s="985">
        <f>NOMINA!J245</f>
        <v>0</v>
      </c>
      <c r="K269" s="984">
        <f t="shared" si="15"/>
        <v>2</v>
      </c>
      <c r="L269" s="985" t="s">
        <v>4932</v>
      </c>
      <c r="M269" s="985"/>
      <c r="N269" s="1002" t="str">
        <f>NOMINA!O245</f>
        <v>Guia de Centro I</v>
      </c>
      <c r="O269" s="985">
        <v>1.02087691000006E+18</v>
      </c>
      <c r="P269" s="999">
        <f>NOMINA!W245</f>
        <v>96</v>
      </c>
      <c r="Q269" s="986">
        <f>NOMINA!AG245</f>
        <v>1.92</v>
      </c>
      <c r="R269" s="986">
        <f>NOMINA!AI245</f>
        <v>65</v>
      </c>
      <c r="S269" s="986">
        <f>NOMINA!AK245</f>
        <v>43.85</v>
      </c>
      <c r="T269" s="986">
        <f>ROUND(NOMINA!AO245,2)</f>
        <v>12.5</v>
      </c>
      <c r="U269" s="986">
        <f>ROUND(NOMINA!AQ245,2)</f>
        <v>0</v>
      </c>
      <c r="V269" s="986">
        <f>ROUND(NOMINA!AR245,2)</f>
        <v>0</v>
      </c>
      <c r="W269" s="986">
        <f>ROUND(NOMINA!AS245,2)</f>
        <v>0</v>
      </c>
      <c r="X269" s="986">
        <f>ROUND(NOMINA!AW245,2)</f>
        <v>131.57</v>
      </c>
      <c r="Y269" s="986">
        <f>ROUND(NOMINA!AX245,2)</f>
        <v>0</v>
      </c>
      <c r="Z269" s="986">
        <f>ROUND(NOMINA!BB245,2)+ROUND(NOMINA!BF245,2)</f>
        <v>114.02</v>
      </c>
      <c r="AA269" s="986">
        <f>ROUND(NOMINA!BK245,2)*0</f>
        <v>0</v>
      </c>
      <c r="AB269" s="986">
        <f>ROUND(NOMINA!BG245,2)</f>
        <v>300</v>
      </c>
      <c r="AC269" s="1000">
        <f t="shared" si="16"/>
        <v>764.86</v>
      </c>
      <c r="AE269" s="634"/>
    </row>
    <row r="270" spans="1:31" s="629" customFormat="1" ht="20.100000000000001" customHeight="1" thickBot="1">
      <c r="A270" s="770" t="s">
        <v>2846</v>
      </c>
      <c r="B270" s="510">
        <f t="shared" si="17"/>
        <v>204</v>
      </c>
      <c r="C270" s="980">
        <f>NOMINA!C246</f>
        <v>19643405</v>
      </c>
      <c r="D270" s="981" t="str">
        <f>NOMINA!D246</f>
        <v>Valero Mejia Aleidy Rosana</v>
      </c>
      <c r="E270" s="978" t="s">
        <v>4622</v>
      </c>
      <c r="F270" s="982">
        <v>32351</v>
      </c>
      <c r="G270" s="978" t="s">
        <v>4620</v>
      </c>
      <c r="H270" s="1001">
        <f>NOMINA!H246</f>
        <v>43221</v>
      </c>
      <c r="I270" s="984">
        <f>NOMINA!I246</f>
        <v>6</v>
      </c>
      <c r="J270" s="985">
        <f>NOMINA!J246</f>
        <v>0</v>
      </c>
      <c r="K270" s="984">
        <f t="shared" si="15"/>
        <v>6</v>
      </c>
      <c r="L270" s="985" t="s">
        <v>4932</v>
      </c>
      <c r="M270" s="985"/>
      <c r="N270" s="1002" t="str">
        <f>NOMINA!O246</f>
        <v>Guia de Centro II</v>
      </c>
      <c r="O270" s="985">
        <v>1.02087691000006E+18</v>
      </c>
      <c r="P270" s="999">
        <f>NOMINA!W246</f>
        <v>110.5</v>
      </c>
      <c r="Q270" s="986">
        <f>NOMINA!AG246</f>
        <v>6.85</v>
      </c>
      <c r="R270" s="986">
        <f>NOMINA!AI246</f>
        <v>65</v>
      </c>
      <c r="S270" s="986">
        <f>NOMINA!AK246</f>
        <v>37.72</v>
      </c>
      <c r="T270" s="986">
        <f>ROUND(NOMINA!AO246,2)</f>
        <v>0</v>
      </c>
      <c r="U270" s="986">
        <f>ROUND(NOMINA!AQ246,2)</f>
        <v>0</v>
      </c>
      <c r="V270" s="986">
        <f>ROUND(NOMINA!AR246,2)</f>
        <v>0</v>
      </c>
      <c r="W270" s="986">
        <f>ROUND(NOMINA!AS246,2)</f>
        <v>0</v>
      </c>
      <c r="X270" s="986">
        <f>ROUND(NOMINA!AW246,2)</f>
        <v>135.79</v>
      </c>
      <c r="Y270" s="986">
        <f>ROUND(NOMINA!AX246,2)</f>
        <v>0</v>
      </c>
      <c r="Z270" s="986">
        <f>ROUND(NOMINA!BB246,2)+ROUND(NOMINA!BF246,2)</f>
        <v>88.26</v>
      </c>
      <c r="AA270" s="986">
        <f>ROUND(NOMINA!BK246,2)*0</f>
        <v>0</v>
      </c>
      <c r="AB270" s="986">
        <f>ROUND(NOMINA!BG246,2)</f>
        <v>300</v>
      </c>
      <c r="AC270" s="1000">
        <f t="shared" si="16"/>
        <v>744.12</v>
      </c>
      <c r="AE270" s="634"/>
    </row>
    <row r="271" spans="1:31" s="629" customFormat="1" ht="20.100000000000001" customHeight="1" thickBot="1">
      <c r="A271" s="770" t="s">
        <v>2846</v>
      </c>
      <c r="B271" s="510">
        <f t="shared" si="17"/>
        <v>205</v>
      </c>
      <c r="C271" s="980">
        <f>NOMINA!C247</f>
        <v>19643806</v>
      </c>
      <c r="D271" s="981" t="str">
        <f>NOMINA!D247</f>
        <v>Vazquez Hernandez Doris Mercedes</v>
      </c>
      <c r="E271" s="978" t="s">
        <v>4622</v>
      </c>
      <c r="F271" s="982">
        <v>32351</v>
      </c>
      <c r="G271" s="978" t="s">
        <v>4620</v>
      </c>
      <c r="H271" s="1001">
        <f>NOMINA!H247</f>
        <v>45505</v>
      </c>
      <c r="I271" s="984">
        <f>NOMINA!I247</f>
        <v>0</v>
      </c>
      <c r="J271" s="985">
        <f>NOMINA!J247</f>
        <v>0</v>
      </c>
      <c r="K271" s="984">
        <f t="shared" si="15"/>
        <v>0</v>
      </c>
      <c r="L271" s="985" t="s">
        <v>4932</v>
      </c>
      <c r="M271" s="985"/>
      <c r="N271" s="1002" t="str">
        <f>NOMINA!O247</f>
        <v>Asistente Administrativo III</v>
      </c>
      <c r="O271" s="985">
        <v>1.02087691000006E+18</v>
      </c>
      <c r="P271" s="999">
        <f>NOMINA!W247</f>
        <v>96</v>
      </c>
      <c r="Q271" s="986">
        <f>NOMINA!AG247</f>
        <v>0</v>
      </c>
      <c r="R271" s="986">
        <f>NOMINA!AI247</f>
        <v>65</v>
      </c>
      <c r="S271" s="986">
        <f>NOMINA!AK247</f>
        <v>43.37</v>
      </c>
      <c r="T271" s="986">
        <f>ROUND(NOMINA!AO247,2)</f>
        <v>25</v>
      </c>
      <c r="U271" s="986">
        <f>ROUND(NOMINA!AQ247,2)</f>
        <v>0</v>
      </c>
      <c r="V271" s="986">
        <f>ROUND(NOMINA!AR247,2)</f>
        <v>0</v>
      </c>
      <c r="W271" s="986">
        <f>ROUND(NOMINA!AS247,2)</f>
        <v>0</v>
      </c>
      <c r="X271" s="986">
        <f>ROUND(NOMINA!AW247,2)</f>
        <v>0</v>
      </c>
      <c r="Y271" s="986">
        <f>ROUND(NOMINA!AX247,2)</f>
        <v>0</v>
      </c>
      <c r="Z271" s="986">
        <f>ROUND(NOMINA!BB247,2)+ROUND(NOMINA!BF247,2)</f>
        <v>0</v>
      </c>
      <c r="AA271" s="986">
        <f>ROUND(NOMINA!BK247,2)*0</f>
        <v>0</v>
      </c>
      <c r="AB271" s="986">
        <f>ROUND(NOMINA!BG247,2)</f>
        <v>300</v>
      </c>
      <c r="AC271" s="1000">
        <f t="shared" si="16"/>
        <v>529.37</v>
      </c>
      <c r="AE271" s="634"/>
    </row>
    <row r="272" spans="1:31" s="629" customFormat="1" ht="20.100000000000001" customHeight="1" thickBot="1">
      <c r="A272" s="770" t="s">
        <v>2846</v>
      </c>
      <c r="B272" s="510">
        <f t="shared" si="17"/>
        <v>206</v>
      </c>
      <c r="C272" s="980">
        <f>NOMINA!C248</f>
        <v>19644743</v>
      </c>
      <c r="D272" s="981" t="str">
        <f>NOMINA!D248</f>
        <v>Villa Daniela Carolina</v>
      </c>
      <c r="E272" s="978" t="s">
        <v>4622</v>
      </c>
      <c r="F272" s="982">
        <v>32351</v>
      </c>
      <c r="G272" s="978" t="s">
        <v>4620</v>
      </c>
      <c r="H272" s="1001">
        <f>NOMINA!H248</f>
        <v>43967</v>
      </c>
      <c r="I272" s="984">
        <f>NOMINA!I248</f>
        <v>4</v>
      </c>
      <c r="J272" s="985">
        <f>NOMINA!J248</f>
        <v>0</v>
      </c>
      <c r="K272" s="984">
        <f t="shared" si="15"/>
        <v>4</v>
      </c>
      <c r="L272" s="985" t="s">
        <v>4932</v>
      </c>
      <c r="M272" s="985"/>
      <c r="N272" s="1002" t="str">
        <f>NOMINA!O248</f>
        <v>Analista de Procesamiento de Datos II</v>
      </c>
      <c r="O272" s="985">
        <v>1.02087691000006E+18</v>
      </c>
      <c r="P272" s="999">
        <f>NOMINA!W248</f>
        <v>138.5</v>
      </c>
      <c r="Q272" s="986">
        <f>NOMINA!AG248</f>
        <v>5.54</v>
      </c>
      <c r="R272" s="986">
        <f>NOMINA!AI248</f>
        <v>65</v>
      </c>
      <c r="S272" s="986">
        <f>NOMINA!AK248</f>
        <v>55.38</v>
      </c>
      <c r="T272" s="986">
        <f>ROUND(NOMINA!AO248,2)</f>
        <v>12.5</v>
      </c>
      <c r="U272" s="986">
        <f>ROUND(NOMINA!AQ248,2)</f>
        <v>0</v>
      </c>
      <c r="V272" s="986">
        <f>ROUND(NOMINA!AR248,2)</f>
        <v>0</v>
      </c>
      <c r="W272" s="986">
        <f>ROUND(NOMINA!AS248,2)</f>
        <v>0</v>
      </c>
      <c r="X272" s="986">
        <f>ROUND(NOMINA!AW248,2)</f>
        <v>0</v>
      </c>
      <c r="Y272" s="986">
        <f>ROUND(NOMINA!AX248,2)</f>
        <v>0</v>
      </c>
      <c r="Z272" s="986">
        <f>ROUND(NOMINA!BB248,2)+ROUND(NOMINA!BF248,2)</f>
        <v>0</v>
      </c>
      <c r="AA272" s="986">
        <f>ROUND(NOMINA!BK248,2)*0</f>
        <v>0</v>
      </c>
      <c r="AB272" s="986">
        <f>ROUND(NOMINA!BG248,2)</f>
        <v>300</v>
      </c>
      <c r="AC272" s="1000">
        <f t="shared" si="16"/>
        <v>576.92000000000007</v>
      </c>
      <c r="AE272" s="634"/>
    </row>
    <row r="273" spans="1:31" s="629" customFormat="1" ht="20.100000000000001" customHeight="1" thickBot="1">
      <c r="A273" s="770" t="s">
        <v>2846</v>
      </c>
      <c r="B273" s="510">
        <f t="shared" si="17"/>
        <v>207</v>
      </c>
      <c r="C273" s="980">
        <f>NOMINA!C249</f>
        <v>19644756</v>
      </c>
      <c r="D273" s="981" t="str">
        <f>NOMINA!D249</f>
        <v>Mejia Aldana Norbelys Carolina</v>
      </c>
      <c r="E273" s="978" t="s">
        <v>4622</v>
      </c>
      <c r="F273" s="982">
        <v>32351</v>
      </c>
      <c r="G273" s="978" t="s">
        <v>4620</v>
      </c>
      <c r="H273" s="1001">
        <f>NOMINA!H249</f>
        <v>44470</v>
      </c>
      <c r="I273" s="984">
        <f>NOMINA!I249</f>
        <v>3</v>
      </c>
      <c r="J273" s="985">
        <f>NOMINA!J249</f>
        <v>0</v>
      </c>
      <c r="K273" s="984">
        <f t="shared" si="15"/>
        <v>3</v>
      </c>
      <c r="L273" s="985" t="s">
        <v>4932</v>
      </c>
      <c r="M273" s="985"/>
      <c r="N273" s="1002" t="str">
        <f>NOMINA!O249</f>
        <v>Economa II</v>
      </c>
      <c r="O273" s="985">
        <v>1.02087691000006E+18</v>
      </c>
      <c r="P273" s="999">
        <f>NOMINA!W249</f>
        <v>75</v>
      </c>
      <c r="Q273" s="986">
        <f>NOMINA!AG249</f>
        <v>2.25</v>
      </c>
      <c r="R273" s="986">
        <f>NOMINA!AI249</f>
        <v>65</v>
      </c>
      <c r="S273" s="986">
        <f>NOMINA!AK249</f>
        <v>0</v>
      </c>
      <c r="T273" s="986">
        <f>ROUND(NOMINA!AO249,2)</f>
        <v>25</v>
      </c>
      <c r="U273" s="986">
        <f>ROUND(NOMINA!AQ249,2)</f>
        <v>0</v>
      </c>
      <c r="V273" s="986">
        <f>ROUND(NOMINA!AR249,2)</f>
        <v>0</v>
      </c>
      <c r="W273" s="986">
        <f>ROUND(NOMINA!AS249,2)</f>
        <v>0</v>
      </c>
      <c r="X273" s="986">
        <f>ROUND(NOMINA!AW249,2)</f>
        <v>0</v>
      </c>
      <c r="Y273" s="986">
        <f>ROUND(NOMINA!AX249,2)</f>
        <v>0</v>
      </c>
      <c r="Z273" s="986">
        <f>ROUND(NOMINA!BB249,2)+ROUND(NOMINA!BF249,2)</f>
        <v>61.9</v>
      </c>
      <c r="AA273" s="986">
        <f>ROUND(NOMINA!BK249,2)*0</f>
        <v>0</v>
      </c>
      <c r="AB273" s="986">
        <f>ROUND(NOMINA!BG249,2)</f>
        <v>300</v>
      </c>
      <c r="AC273" s="1000">
        <f t="shared" si="16"/>
        <v>529.15</v>
      </c>
      <c r="AE273" s="634"/>
    </row>
    <row r="274" spans="1:31" s="629" customFormat="1" ht="20.100000000000001" customHeight="1" thickBot="1">
      <c r="A274" s="770" t="s">
        <v>2846</v>
      </c>
      <c r="B274" s="510">
        <f t="shared" si="17"/>
        <v>208</v>
      </c>
      <c r="C274" s="980">
        <f>NOMINA!C250</f>
        <v>19794217</v>
      </c>
      <c r="D274" s="981" t="str">
        <f>NOMINA!D250</f>
        <v>Suarez Leal Betzabeth Daimar</v>
      </c>
      <c r="E274" s="978" t="s">
        <v>4622</v>
      </c>
      <c r="F274" s="982">
        <v>32351</v>
      </c>
      <c r="G274" s="978" t="s">
        <v>4620</v>
      </c>
      <c r="H274" s="1001">
        <f>NOMINA!H250</f>
        <v>44683</v>
      </c>
      <c r="I274" s="984">
        <f>NOMINA!I250</f>
        <v>2</v>
      </c>
      <c r="J274" s="985">
        <f>NOMINA!J250</f>
        <v>0</v>
      </c>
      <c r="K274" s="984">
        <f t="shared" si="15"/>
        <v>2</v>
      </c>
      <c r="L274" s="985" t="s">
        <v>4932</v>
      </c>
      <c r="M274" s="985"/>
      <c r="N274" s="1002" t="str">
        <f>NOMINA!O250</f>
        <v>Guia de Centro I</v>
      </c>
      <c r="O274" s="985">
        <v>1.02087691000006E+18</v>
      </c>
      <c r="P274" s="999">
        <f>NOMINA!W250</f>
        <v>96</v>
      </c>
      <c r="Q274" s="986">
        <f>NOMINA!AG250</f>
        <v>1.92</v>
      </c>
      <c r="R274" s="986">
        <f>NOMINA!AI250</f>
        <v>65</v>
      </c>
      <c r="S274" s="986">
        <f>NOMINA!AK250</f>
        <v>33.83</v>
      </c>
      <c r="T274" s="986">
        <f>ROUND(NOMINA!AO250,2)</f>
        <v>12.5</v>
      </c>
      <c r="U274" s="986">
        <f>ROUND(NOMINA!AQ250,2)</f>
        <v>0</v>
      </c>
      <c r="V274" s="986">
        <f>ROUND(NOMINA!AR250,2)</f>
        <v>0</v>
      </c>
      <c r="W274" s="986">
        <f>ROUND(NOMINA!AS250,2)</f>
        <v>0</v>
      </c>
      <c r="X274" s="986">
        <f>ROUND(NOMINA!AW250,2)</f>
        <v>121.8</v>
      </c>
      <c r="Y274" s="986">
        <f>ROUND(NOMINA!AX250,2)</f>
        <v>0</v>
      </c>
      <c r="Z274" s="986">
        <f>ROUND(NOMINA!BB250,2)+ROUND(NOMINA!BF250,2)</f>
        <v>79.17</v>
      </c>
      <c r="AA274" s="986">
        <f>ROUND(NOMINA!BK250,2)*0</f>
        <v>0</v>
      </c>
      <c r="AB274" s="986">
        <f>ROUND(NOMINA!BG250,2)</f>
        <v>300</v>
      </c>
      <c r="AC274" s="1000">
        <f t="shared" si="16"/>
        <v>710.22</v>
      </c>
      <c r="AE274" s="634"/>
    </row>
    <row r="275" spans="1:31" s="629" customFormat="1" ht="20.100000000000001" customHeight="1" thickBot="1">
      <c r="A275" s="770" t="s">
        <v>2846</v>
      </c>
      <c r="B275" s="510">
        <f t="shared" si="17"/>
        <v>209</v>
      </c>
      <c r="C275" s="980">
        <f>NOMINA!C251</f>
        <v>20038162</v>
      </c>
      <c r="D275" s="981" t="str">
        <f>NOMINA!D251</f>
        <v>Jerez Rangel Gleidy Andreina</v>
      </c>
      <c r="E275" s="978" t="s">
        <v>4622</v>
      </c>
      <c r="F275" s="982">
        <v>32351</v>
      </c>
      <c r="G275" s="978" t="s">
        <v>4620</v>
      </c>
      <c r="H275" s="1001">
        <f>NOMINA!H251</f>
        <v>45597</v>
      </c>
      <c r="I275" s="984">
        <f>NOMINA!I251</f>
        <v>0</v>
      </c>
      <c r="J275" s="985">
        <f>NOMINA!J251</f>
        <v>0</v>
      </c>
      <c r="K275" s="984">
        <f t="shared" si="15"/>
        <v>0</v>
      </c>
      <c r="L275" s="985" t="s">
        <v>4932</v>
      </c>
      <c r="M275" s="985"/>
      <c r="N275" s="1002" t="str">
        <f>NOMINA!O251</f>
        <v>Guia de Centro I</v>
      </c>
      <c r="O275" s="985">
        <v>1.02087691000006E+18</v>
      </c>
      <c r="P275" s="999">
        <f>NOMINA!W251</f>
        <v>96</v>
      </c>
      <c r="Q275" s="986">
        <f>NOMINA!AG251</f>
        <v>0</v>
      </c>
      <c r="R275" s="986">
        <f>NOMINA!AI251</f>
        <v>65</v>
      </c>
      <c r="S275" s="986">
        <f>NOMINA!AK251</f>
        <v>43.37</v>
      </c>
      <c r="T275" s="986">
        <f>ROUND(NOMINA!AO251,2)</f>
        <v>12.5</v>
      </c>
      <c r="U275" s="986">
        <f>ROUND(NOMINA!AQ251,2)</f>
        <v>0</v>
      </c>
      <c r="V275" s="986">
        <f>ROUND(NOMINA!AR251,2)</f>
        <v>0</v>
      </c>
      <c r="W275" s="986">
        <f>ROUND(NOMINA!AS251,2)</f>
        <v>0</v>
      </c>
      <c r="X275" s="986">
        <f>ROUND(NOMINA!AW251,2)</f>
        <v>130.13</v>
      </c>
      <c r="Y275" s="986">
        <f>ROUND(NOMINA!AX251,2)</f>
        <v>0</v>
      </c>
      <c r="Z275" s="986">
        <f>ROUND(NOMINA!BB251,2)+ROUND(NOMINA!BF251,2)</f>
        <v>84.58</v>
      </c>
      <c r="AA275" s="986">
        <f>ROUND(NOMINA!BK251,2)*0</f>
        <v>0</v>
      </c>
      <c r="AB275" s="986">
        <f>ROUND(NOMINA!BG251,2)</f>
        <v>300</v>
      </c>
      <c r="AC275" s="1000">
        <f t="shared" si="16"/>
        <v>731.57999999999993</v>
      </c>
      <c r="AE275" s="634"/>
    </row>
    <row r="276" spans="1:31" s="629" customFormat="1" ht="20.100000000000001" customHeight="1" thickBot="1">
      <c r="A276" s="770" t="s">
        <v>2846</v>
      </c>
      <c r="B276" s="510">
        <f t="shared" si="17"/>
        <v>210</v>
      </c>
      <c r="C276" s="980">
        <f>NOMINA!C252</f>
        <v>20655363</v>
      </c>
      <c r="D276" s="981" t="str">
        <f>NOMINA!D252</f>
        <v>Sarache Ramirez Maryelis Stefani</v>
      </c>
      <c r="E276" s="978" t="s">
        <v>4622</v>
      </c>
      <c r="F276" s="982">
        <v>32351</v>
      </c>
      <c r="G276" s="978" t="s">
        <v>4620</v>
      </c>
      <c r="H276" s="1001">
        <f>NOMINA!H252</f>
        <v>45323</v>
      </c>
      <c r="I276" s="984">
        <f>NOMINA!I252</f>
        <v>0</v>
      </c>
      <c r="J276" s="985">
        <f>NOMINA!J252</f>
        <v>0</v>
      </c>
      <c r="K276" s="984">
        <f t="shared" si="15"/>
        <v>0</v>
      </c>
      <c r="L276" s="985" t="s">
        <v>4932</v>
      </c>
      <c r="M276" s="985"/>
      <c r="N276" s="1002" t="str">
        <f>NOMINA!O252</f>
        <v>Guia de Centro I</v>
      </c>
      <c r="O276" s="985">
        <v>1.02087691000006E+18</v>
      </c>
      <c r="P276" s="999">
        <f>NOMINA!W252</f>
        <v>96</v>
      </c>
      <c r="Q276" s="986">
        <f>NOMINA!AG252</f>
        <v>0</v>
      </c>
      <c r="R276" s="986">
        <f>NOMINA!AI252</f>
        <v>65</v>
      </c>
      <c r="S276" s="986">
        <f>NOMINA!AK252</f>
        <v>43.37</v>
      </c>
      <c r="T276" s="986">
        <f>ROUND(NOMINA!AO252,2)</f>
        <v>25</v>
      </c>
      <c r="U276" s="986">
        <f>ROUND(NOMINA!AQ252,2)</f>
        <v>0</v>
      </c>
      <c r="V276" s="986">
        <f>ROUND(NOMINA!AR252,2)</f>
        <v>0</v>
      </c>
      <c r="W276" s="986">
        <f>ROUND(NOMINA!AS252,2)</f>
        <v>0</v>
      </c>
      <c r="X276" s="986">
        <f>ROUND(NOMINA!AW252,2)</f>
        <v>130.13</v>
      </c>
      <c r="Y276" s="986">
        <f>ROUND(NOMINA!AX252,2)</f>
        <v>0</v>
      </c>
      <c r="Z276" s="986">
        <f>ROUND(NOMINA!BB252,2)+ROUND(NOMINA!BF252,2)</f>
        <v>112.78</v>
      </c>
      <c r="AA276" s="986">
        <f>ROUND(NOMINA!BK252,2)*0</f>
        <v>0</v>
      </c>
      <c r="AB276" s="986">
        <f>ROUND(NOMINA!BG252,2)</f>
        <v>300</v>
      </c>
      <c r="AC276" s="1000">
        <f t="shared" si="16"/>
        <v>772.28</v>
      </c>
      <c r="AE276" s="634"/>
    </row>
    <row r="277" spans="1:31" s="629" customFormat="1" ht="20.100000000000001" customHeight="1" thickBot="1">
      <c r="A277" s="770" t="s">
        <v>2846</v>
      </c>
      <c r="B277" s="510">
        <f t="shared" si="17"/>
        <v>211</v>
      </c>
      <c r="C277" s="980">
        <f>NOMINA!C253</f>
        <v>20401711</v>
      </c>
      <c r="D277" s="981" t="str">
        <f>NOMINA!D253</f>
        <v>Mendez Giro Maryely Roxana</v>
      </c>
      <c r="E277" s="978" t="s">
        <v>4622</v>
      </c>
      <c r="F277" s="982">
        <v>32351</v>
      </c>
      <c r="G277" s="978" t="s">
        <v>4620</v>
      </c>
      <c r="H277" s="1001">
        <f>NOMINA!H253</f>
        <v>44363</v>
      </c>
      <c r="I277" s="984">
        <f>NOMINA!I253</f>
        <v>3</v>
      </c>
      <c r="J277" s="985">
        <f>NOMINA!J253</f>
        <v>2</v>
      </c>
      <c r="K277" s="984">
        <f t="shared" si="15"/>
        <v>5</v>
      </c>
      <c r="L277" s="985" t="s">
        <v>4932</v>
      </c>
      <c r="M277" s="985"/>
      <c r="N277" s="1002" t="str">
        <f>NOMINA!O253</f>
        <v>Guia de Centro II</v>
      </c>
      <c r="O277" s="985">
        <v>1.02087691000006E+18</v>
      </c>
      <c r="P277" s="999">
        <f>NOMINA!W253</f>
        <v>109.5</v>
      </c>
      <c r="Q277" s="986">
        <f>NOMINA!AG253</f>
        <v>5.47</v>
      </c>
      <c r="R277" s="986">
        <f>NOMINA!AI253</f>
        <v>65</v>
      </c>
      <c r="S277" s="986">
        <f>NOMINA!AK253</f>
        <v>38.49</v>
      </c>
      <c r="T277" s="986">
        <f>ROUND(NOMINA!AO253,2)</f>
        <v>12.5</v>
      </c>
      <c r="U277" s="986">
        <f>ROUND(NOMINA!AQ253,2)</f>
        <v>0</v>
      </c>
      <c r="V277" s="986">
        <f>ROUND(NOMINA!AR253,2)</f>
        <v>0</v>
      </c>
      <c r="W277" s="986">
        <f>ROUND(NOMINA!AS253,2)</f>
        <v>0</v>
      </c>
      <c r="X277" s="986">
        <f>ROUND(NOMINA!AW253,2)</f>
        <v>138.58000000000001</v>
      </c>
      <c r="Y277" s="986">
        <f>ROUND(NOMINA!AX253,2)</f>
        <v>0</v>
      </c>
      <c r="Z277" s="986">
        <f>ROUND(NOMINA!BB253,2)+ROUND(NOMINA!BF253,2)</f>
        <v>30.03</v>
      </c>
      <c r="AA277" s="986">
        <f>ROUND(NOMINA!BK253,2)*0</f>
        <v>0</v>
      </c>
      <c r="AB277" s="986">
        <f>ROUND(NOMINA!BG253,2)</f>
        <v>300</v>
      </c>
      <c r="AC277" s="1000">
        <f t="shared" si="16"/>
        <v>699.57</v>
      </c>
      <c r="AE277" s="634"/>
    </row>
    <row r="278" spans="1:31" s="629" customFormat="1" ht="20.100000000000001" customHeight="1" thickBot="1">
      <c r="A278" s="770" t="s">
        <v>2846</v>
      </c>
      <c r="B278" s="510">
        <f t="shared" si="17"/>
        <v>212</v>
      </c>
      <c r="C278" s="980">
        <f>NOMINA!C254</f>
        <v>20428039</v>
      </c>
      <c r="D278" s="981" t="str">
        <f>NOMINA!D254</f>
        <v>Manzanilla Juan Roberto Antonio</v>
      </c>
      <c r="E278" s="978" t="s">
        <v>4622</v>
      </c>
      <c r="F278" s="982">
        <v>32351</v>
      </c>
      <c r="G278" s="978" t="s">
        <v>4620</v>
      </c>
      <c r="H278" s="1001">
        <f>NOMINA!H254</f>
        <v>45566</v>
      </c>
      <c r="I278" s="984">
        <f>NOMINA!I254</f>
        <v>0</v>
      </c>
      <c r="J278" s="985">
        <f>NOMINA!J254</f>
        <v>0</v>
      </c>
      <c r="K278" s="984">
        <f t="shared" si="15"/>
        <v>0</v>
      </c>
      <c r="L278" s="985" t="s">
        <v>4932</v>
      </c>
      <c r="M278" s="985"/>
      <c r="N278" s="1002" t="str">
        <f>NOMINA!O254</f>
        <v>Guia de Centro I</v>
      </c>
      <c r="O278" s="985">
        <v>1.02087691000006E+18</v>
      </c>
      <c r="P278" s="999">
        <f>NOMINA!W254</f>
        <v>65</v>
      </c>
      <c r="Q278" s="986">
        <f>NOMINA!AG254</f>
        <v>0</v>
      </c>
      <c r="R278" s="986">
        <f>NOMINA!AI254</f>
        <v>65</v>
      </c>
      <c r="S278" s="986">
        <f>NOMINA!AK254</f>
        <v>0</v>
      </c>
      <c r="T278" s="986">
        <f>ROUND(NOMINA!AO254,2)</f>
        <v>25</v>
      </c>
      <c r="U278" s="986">
        <f>ROUND(NOMINA!AQ254,2)</f>
        <v>0</v>
      </c>
      <c r="V278" s="986">
        <f>ROUND(NOMINA!AR254,2)</f>
        <v>0</v>
      </c>
      <c r="W278" s="986">
        <f>ROUND(NOMINA!AS254,2)</f>
        <v>0</v>
      </c>
      <c r="X278" s="986">
        <f>ROUND(NOMINA!AW254,2)</f>
        <v>85.5</v>
      </c>
      <c r="Y278" s="986">
        <f>ROUND(NOMINA!AX254,2)</f>
        <v>0</v>
      </c>
      <c r="Z278" s="986">
        <f>ROUND(NOMINA!BB254,2)+ROUND(NOMINA!BF254,2)</f>
        <v>55.58</v>
      </c>
      <c r="AA278" s="986">
        <f>ROUND(NOMINA!BK254,2)*0</f>
        <v>0</v>
      </c>
      <c r="AB278" s="986">
        <f>ROUND(NOMINA!BG254,2)</f>
        <v>300</v>
      </c>
      <c r="AC278" s="1000">
        <f t="shared" si="16"/>
        <v>596.07999999999993</v>
      </c>
      <c r="AE278" s="634"/>
    </row>
    <row r="279" spans="1:31" s="629" customFormat="1" ht="20.100000000000001" customHeight="1" thickBot="1">
      <c r="A279" s="770" t="s">
        <v>2846</v>
      </c>
      <c r="B279" s="510">
        <f t="shared" si="17"/>
        <v>213</v>
      </c>
      <c r="C279" s="980">
        <f>NOMINA!C255</f>
        <v>20430884</v>
      </c>
      <c r="D279" s="981" t="str">
        <f>NOMINA!D255</f>
        <v>Ruiz Olmos Diana Carolina</v>
      </c>
      <c r="E279" s="978" t="s">
        <v>4622</v>
      </c>
      <c r="F279" s="982">
        <v>32351</v>
      </c>
      <c r="G279" s="978" t="s">
        <v>4620</v>
      </c>
      <c r="H279" s="1001">
        <f>NOMINA!H255</f>
        <v>45292</v>
      </c>
      <c r="I279" s="984">
        <f>NOMINA!I255</f>
        <v>1</v>
      </c>
      <c r="J279" s="985">
        <f>NOMINA!J255</f>
        <v>0</v>
      </c>
      <c r="K279" s="984">
        <f t="shared" si="15"/>
        <v>1</v>
      </c>
      <c r="L279" s="985" t="s">
        <v>4932</v>
      </c>
      <c r="M279" s="985"/>
      <c r="N279" s="1002" t="str">
        <f>NOMINA!O255</f>
        <v>Guia de Centro I</v>
      </c>
      <c r="O279" s="985">
        <v>1.02087691000006E+18</v>
      </c>
      <c r="P279" s="999">
        <f>NOMINA!W255</f>
        <v>96</v>
      </c>
      <c r="Q279" s="986">
        <f>NOMINA!AG255</f>
        <v>0.96</v>
      </c>
      <c r="R279" s="986">
        <f>NOMINA!AI255</f>
        <v>65</v>
      </c>
      <c r="S279" s="986">
        <f>NOMINA!AK255</f>
        <v>32.39</v>
      </c>
      <c r="T279" s="986">
        <f>ROUND(NOMINA!AO255,2)</f>
        <v>0</v>
      </c>
      <c r="U279" s="986">
        <f>ROUND(NOMINA!AQ255,2)</f>
        <v>0</v>
      </c>
      <c r="V279" s="986">
        <f>ROUND(NOMINA!AR255,2)</f>
        <v>0</v>
      </c>
      <c r="W279" s="986">
        <f>ROUND(NOMINA!AS255,2)</f>
        <v>0</v>
      </c>
      <c r="X279" s="986">
        <f>ROUND(NOMINA!AW255,2)</f>
        <v>116.61</v>
      </c>
      <c r="Y279" s="986">
        <f>ROUND(NOMINA!AX255,2)</f>
        <v>4042.48</v>
      </c>
      <c r="Z279" s="986">
        <f>ROUND(NOMINA!BB255,2)+ROUND(NOMINA!BF255,2)</f>
        <v>75.8</v>
      </c>
      <c r="AA279" s="986">
        <f>ROUND(NOMINA!BK255,2)*0</f>
        <v>0</v>
      </c>
      <c r="AB279" s="986">
        <f>ROUND(NOMINA!BG255,2)</f>
        <v>300</v>
      </c>
      <c r="AC279" s="1000">
        <f t="shared" si="16"/>
        <v>4729.24</v>
      </c>
      <c r="AE279" s="634"/>
    </row>
    <row r="280" spans="1:31" s="629" customFormat="1" ht="20.100000000000001" customHeight="1" thickBot="1">
      <c r="A280" s="770" t="s">
        <v>2846</v>
      </c>
      <c r="B280" s="510">
        <f t="shared" si="17"/>
        <v>214</v>
      </c>
      <c r="C280" s="980">
        <f>NOMINA!C256</f>
        <v>20603227</v>
      </c>
      <c r="D280" s="981" t="str">
        <f>NOMINA!D256</f>
        <v>Morillo Garces Yeniree Lourdes</v>
      </c>
      <c r="E280" s="978" t="s">
        <v>4622</v>
      </c>
      <c r="F280" s="982">
        <v>32351</v>
      </c>
      <c r="G280" s="978" t="s">
        <v>4620</v>
      </c>
      <c r="H280" s="1001">
        <f>NOMINA!H256</f>
        <v>44470</v>
      </c>
      <c r="I280" s="984">
        <f>NOMINA!I256</f>
        <v>3</v>
      </c>
      <c r="J280" s="985">
        <f>NOMINA!J256</f>
        <v>0</v>
      </c>
      <c r="K280" s="984">
        <f t="shared" si="15"/>
        <v>3</v>
      </c>
      <c r="L280" s="985" t="s">
        <v>4932</v>
      </c>
      <c r="M280" s="985"/>
      <c r="N280" s="1002" t="str">
        <f>NOMINA!O256</f>
        <v>Tecnico Superior en Trabajo Social II</v>
      </c>
      <c r="O280" s="985">
        <v>1.02087691000006E+18</v>
      </c>
      <c r="P280" s="999">
        <f>NOMINA!W256</f>
        <v>109.5</v>
      </c>
      <c r="Q280" s="986">
        <f>NOMINA!AG256</f>
        <v>3.28</v>
      </c>
      <c r="R280" s="986">
        <f>NOMINA!AI256</f>
        <v>65</v>
      </c>
      <c r="S280" s="986">
        <f>NOMINA!AK256</f>
        <v>38.049999999999997</v>
      </c>
      <c r="T280" s="986">
        <f>ROUND(NOMINA!AO256,2)</f>
        <v>25</v>
      </c>
      <c r="U280" s="986">
        <f>ROUND(NOMINA!AQ256,2)</f>
        <v>0</v>
      </c>
      <c r="V280" s="986">
        <f>ROUND(NOMINA!AR256,2)</f>
        <v>0</v>
      </c>
      <c r="W280" s="986">
        <f>ROUND(NOMINA!AS256,2)</f>
        <v>0</v>
      </c>
      <c r="X280" s="986">
        <f>ROUND(NOMINA!AW256,2)</f>
        <v>0</v>
      </c>
      <c r="Y280" s="986">
        <f>ROUND(NOMINA!AX256,2)</f>
        <v>0</v>
      </c>
      <c r="Z280" s="986">
        <f>ROUND(NOMINA!BB256,2)+ROUND(NOMINA!BF256,2)</f>
        <v>0</v>
      </c>
      <c r="AA280" s="986">
        <f>ROUND(NOMINA!BK256,2)*0</f>
        <v>0</v>
      </c>
      <c r="AB280" s="986">
        <f>ROUND(NOMINA!BG256,2)</f>
        <v>300</v>
      </c>
      <c r="AC280" s="1000">
        <f t="shared" si="16"/>
        <v>540.82999999999993</v>
      </c>
      <c r="AE280" s="634"/>
    </row>
    <row r="281" spans="1:31" s="629" customFormat="1" ht="20.100000000000001" customHeight="1" thickBot="1">
      <c r="A281" s="770" t="s">
        <v>2846</v>
      </c>
      <c r="B281" s="510">
        <f t="shared" si="17"/>
        <v>215</v>
      </c>
      <c r="C281" s="980">
        <f>NOMINA!C257</f>
        <v>20707490</v>
      </c>
      <c r="D281" s="981" t="str">
        <f>NOMINA!D257</f>
        <v>Saavedra Valera Keila Andreina</v>
      </c>
      <c r="E281" s="978" t="s">
        <v>4622</v>
      </c>
      <c r="F281" s="982">
        <v>32351</v>
      </c>
      <c r="G281" s="978" t="s">
        <v>4620</v>
      </c>
      <c r="H281" s="1001">
        <f>NOMINA!H257</f>
        <v>42751</v>
      </c>
      <c r="I281" s="984">
        <f>NOMINA!I257</f>
        <v>8</v>
      </c>
      <c r="J281" s="985">
        <f>NOMINA!J257</f>
        <v>0</v>
      </c>
      <c r="K281" s="984">
        <f t="shared" si="15"/>
        <v>8</v>
      </c>
      <c r="L281" s="985" t="s">
        <v>4932</v>
      </c>
      <c r="M281" s="985"/>
      <c r="N281" s="1002" t="str">
        <f>NOMINA!O257</f>
        <v>Tutor Facilitador III</v>
      </c>
      <c r="O281" s="985">
        <v>1.02087691000006E+18</v>
      </c>
      <c r="P281" s="999">
        <f>NOMINA!W257</f>
        <v>139.5</v>
      </c>
      <c r="Q281" s="986">
        <f>NOMINA!AG257</f>
        <v>11.99</v>
      </c>
      <c r="R281" s="986">
        <f>NOMINA!AI257</f>
        <v>65</v>
      </c>
      <c r="S281" s="986">
        <f>NOMINA!AK257</f>
        <v>0</v>
      </c>
      <c r="T281" s="986">
        <f>ROUND(NOMINA!AO257,2)</f>
        <v>0</v>
      </c>
      <c r="U281" s="986">
        <f>ROUND(NOMINA!AQ257,2)</f>
        <v>0</v>
      </c>
      <c r="V281" s="986">
        <f>ROUND(NOMINA!AR257,2)</f>
        <v>0</v>
      </c>
      <c r="W281" s="986">
        <f>ROUND(NOMINA!AS257,2)</f>
        <v>0</v>
      </c>
      <c r="X281" s="986">
        <f>ROUND(NOMINA!AW257,2)</f>
        <v>0</v>
      </c>
      <c r="Y281" s="986">
        <f>ROUND(NOMINA!AX257,2)</f>
        <v>3663.92</v>
      </c>
      <c r="Z281" s="986">
        <f>ROUND(NOMINA!BB257,2)+ROUND(NOMINA!BF257,2)</f>
        <v>0</v>
      </c>
      <c r="AA281" s="986">
        <f>ROUND(NOMINA!BK257,2)*0</f>
        <v>0</v>
      </c>
      <c r="AB281" s="986">
        <f>ROUND(NOMINA!BG257,2)</f>
        <v>300</v>
      </c>
      <c r="AC281" s="1000">
        <f t="shared" si="16"/>
        <v>4180.41</v>
      </c>
      <c r="AE281" s="634"/>
    </row>
    <row r="282" spans="1:31" s="629" customFormat="1" ht="20.100000000000001" customHeight="1" thickBot="1">
      <c r="A282" s="770" t="s">
        <v>2846</v>
      </c>
      <c r="B282" s="510">
        <f t="shared" si="17"/>
        <v>216</v>
      </c>
      <c r="C282" s="980">
        <f>NOMINA!C258</f>
        <v>20789286</v>
      </c>
      <c r="D282" s="981" t="str">
        <f>NOMINA!D258</f>
        <v xml:space="preserve">Viloria Jessica del Carmen </v>
      </c>
      <c r="E282" s="978" t="s">
        <v>4622</v>
      </c>
      <c r="F282" s="982">
        <v>32351</v>
      </c>
      <c r="G282" s="978" t="s">
        <v>4620</v>
      </c>
      <c r="H282" s="1001">
        <f>NOMINA!H258</f>
        <v>44713</v>
      </c>
      <c r="I282" s="984">
        <f>NOMINA!I258</f>
        <v>2</v>
      </c>
      <c r="J282" s="985">
        <f>NOMINA!J258</f>
        <v>0</v>
      </c>
      <c r="K282" s="984">
        <f t="shared" si="15"/>
        <v>2</v>
      </c>
      <c r="L282" s="985" t="s">
        <v>4932</v>
      </c>
      <c r="M282" s="985"/>
      <c r="N282" s="1002" t="str">
        <f>NOMINA!O258</f>
        <v>Asistente Administrativo IV</v>
      </c>
      <c r="O282" s="985">
        <v>1.02087691000006E+18</v>
      </c>
      <c r="P282" s="999">
        <f>NOMINA!W258</f>
        <v>123</v>
      </c>
      <c r="Q282" s="986">
        <f>NOMINA!AG258</f>
        <v>2.46</v>
      </c>
      <c r="R282" s="986">
        <f>NOMINA!AI258</f>
        <v>65</v>
      </c>
      <c r="S282" s="986">
        <f>NOMINA!AK258</f>
        <v>49.18</v>
      </c>
      <c r="T282" s="986">
        <f>ROUND(NOMINA!AO258,2)</f>
        <v>0</v>
      </c>
      <c r="U282" s="986">
        <f>ROUND(NOMINA!AQ258,2)</f>
        <v>0</v>
      </c>
      <c r="V282" s="986">
        <f>ROUND(NOMINA!AR258,2)</f>
        <v>0</v>
      </c>
      <c r="W282" s="986">
        <f>ROUND(NOMINA!AS258,2)</f>
        <v>0</v>
      </c>
      <c r="X282" s="986">
        <f>ROUND(NOMINA!AW258,2)</f>
        <v>0</v>
      </c>
      <c r="Y282" s="986">
        <f>ROUND(NOMINA!AX258,2)</f>
        <v>0</v>
      </c>
      <c r="Z282" s="986">
        <f>ROUND(NOMINA!BB258,2)+ROUND(NOMINA!BF258,2)</f>
        <v>0</v>
      </c>
      <c r="AA282" s="986">
        <f>ROUND(NOMINA!BK258,2)*0</f>
        <v>0</v>
      </c>
      <c r="AB282" s="986">
        <f>ROUND(NOMINA!BG258,2)</f>
        <v>300</v>
      </c>
      <c r="AC282" s="1000">
        <f t="shared" si="16"/>
        <v>539.64</v>
      </c>
      <c r="AE282" s="634"/>
    </row>
    <row r="283" spans="1:31" s="629" customFormat="1" ht="20.100000000000001" customHeight="1" thickBot="1">
      <c r="A283" s="770" t="s">
        <v>2846</v>
      </c>
      <c r="B283" s="510">
        <f t="shared" si="17"/>
        <v>217</v>
      </c>
      <c r="C283" s="980">
        <f>NOMINA!C259</f>
        <v>20790947</v>
      </c>
      <c r="D283" s="981" t="str">
        <f>NOMINA!D259</f>
        <v>Urbina Cuellar Tannessy Lenery</v>
      </c>
      <c r="E283" s="978" t="s">
        <v>4622</v>
      </c>
      <c r="F283" s="982">
        <v>32351</v>
      </c>
      <c r="G283" s="978" t="s">
        <v>4620</v>
      </c>
      <c r="H283" s="1001">
        <f>NOMINA!H259</f>
        <v>43967</v>
      </c>
      <c r="I283" s="984">
        <f>NOMINA!I259</f>
        <v>4</v>
      </c>
      <c r="J283" s="985">
        <f>NOMINA!J259</f>
        <v>0</v>
      </c>
      <c r="K283" s="984">
        <f t="shared" si="15"/>
        <v>4</v>
      </c>
      <c r="L283" s="985" t="s">
        <v>4932</v>
      </c>
      <c r="M283" s="985"/>
      <c r="N283" s="1002" t="str">
        <f>NOMINA!O259</f>
        <v>Asistente Administrativo IV</v>
      </c>
      <c r="O283" s="985">
        <v>1.02087691000006E+18</v>
      </c>
      <c r="P283" s="999">
        <f>NOMINA!W259</f>
        <v>0</v>
      </c>
      <c r="Q283" s="986">
        <f>NOMINA!AG259</f>
        <v>0</v>
      </c>
      <c r="R283" s="986">
        <f>NOMINA!AI259</f>
        <v>0</v>
      </c>
      <c r="S283" s="986">
        <f>NOMINA!AK259</f>
        <v>0</v>
      </c>
      <c r="T283" s="986">
        <f>ROUND(NOMINA!AO259,2)</f>
        <v>0</v>
      </c>
      <c r="U283" s="986">
        <f>ROUND(NOMINA!AQ259,2)</f>
        <v>0</v>
      </c>
      <c r="V283" s="986">
        <f>ROUND(NOMINA!AR259,2)</f>
        <v>0</v>
      </c>
      <c r="W283" s="986">
        <f>ROUND(NOMINA!AS259,2)</f>
        <v>0</v>
      </c>
      <c r="X283" s="986">
        <f>ROUND(NOMINA!AW259,2)</f>
        <v>0</v>
      </c>
      <c r="Y283" s="986">
        <f>ROUND(NOMINA!AX259,2)</f>
        <v>0</v>
      </c>
      <c r="Z283" s="986">
        <f>ROUND(NOMINA!BB259,2)+ROUND(NOMINA!BF259,2)</f>
        <v>0</v>
      </c>
      <c r="AA283" s="986">
        <f>ROUND(NOMINA!BK259,2)*0</f>
        <v>0</v>
      </c>
      <c r="AB283" s="986">
        <f>ROUND(NOMINA!BG259,2)</f>
        <v>0</v>
      </c>
      <c r="AC283" s="1000">
        <f t="shared" si="16"/>
        <v>0</v>
      </c>
      <c r="AE283" s="634"/>
    </row>
    <row r="284" spans="1:31" s="629" customFormat="1" ht="20.100000000000001" customHeight="1" thickBot="1">
      <c r="A284" s="770" t="s">
        <v>2846</v>
      </c>
      <c r="B284" s="510">
        <f t="shared" si="17"/>
        <v>218</v>
      </c>
      <c r="C284" s="980">
        <f>NOMINA!C260</f>
        <v>21061126</v>
      </c>
      <c r="D284" s="981" t="str">
        <f>NOMINA!D260</f>
        <v>Olivar Nava Robinson de Jesus</v>
      </c>
      <c r="E284" s="978" t="s">
        <v>4622</v>
      </c>
      <c r="F284" s="982">
        <v>32351</v>
      </c>
      <c r="G284" s="978" t="s">
        <v>4620</v>
      </c>
      <c r="H284" s="1001">
        <f>NOMINA!H260</f>
        <v>45047</v>
      </c>
      <c r="I284" s="984">
        <f>NOMINA!I260</f>
        <v>1</v>
      </c>
      <c r="J284" s="985">
        <f>NOMINA!J260</f>
        <v>0</v>
      </c>
      <c r="K284" s="984">
        <f t="shared" si="15"/>
        <v>1</v>
      </c>
      <c r="L284" s="985" t="s">
        <v>4932</v>
      </c>
      <c r="M284" s="985"/>
      <c r="N284" s="1002" t="str">
        <f>NOMINA!O260</f>
        <v>Guia de Centro I</v>
      </c>
      <c r="O284" s="985">
        <v>1.02087691000006E+18</v>
      </c>
      <c r="P284" s="999">
        <f>NOMINA!W260</f>
        <v>96</v>
      </c>
      <c r="Q284" s="986">
        <f>NOMINA!AG260</f>
        <v>0.96</v>
      </c>
      <c r="R284" s="986">
        <f>NOMINA!AI260</f>
        <v>65</v>
      </c>
      <c r="S284" s="986">
        <f>NOMINA!AK260</f>
        <v>40.49</v>
      </c>
      <c r="T284" s="986">
        <f>ROUND(NOMINA!AO260,2)</f>
        <v>0</v>
      </c>
      <c r="U284" s="986">
        <f>ROUND(NOMINA!AQ260,2)</f>
        <v>0</v>
      </c>
      <c r="V284" s="986">
        <f>ROUND(NOMINA!AR260,2)</f>
        <v>0</v>
      </c>
      <c r="W284" s="986">
        <f>ROUND(NOMINA!AS260,2)</f>
        <v>0</v>
      </c>
      <c r="X284" s="986">
        <f>ROUND(NOMINA!AW260,2)</f>
        <v>121.47</v>
      </c>
      <c r="Y284" s="986">
        <f>ROUND(NOMINA!AX260,2)</f>
        <v>0</v>
      </c>
      <c r="Z284" s="986">
        <f>ROUND(NOMINA!BB260,2)+ROUND(NOMINA!BF260,2)</f>
        <v>131.59</v>
      </c>
      <c r="AA284" s="986">
        <f>ROUND(NOMINA!BK260,2)*0</f>
        <v>0</v>
      </c>
      <c r="AB284" s="986">
        <f>ROUND(NOMINA!BG260,2)</f>
        <v>300</v>
      </c>
      <c r="AC284" s="1000">
        <f t="shared" si="16"/>
        <v>755.51</v>
      </c>
      <c r="AE284" s="634"/>
    </row>
    <row r="285" spans="1:31" s="629" customFormat="1" ht="20.100000000000001" customHeight="1" thickBot="1">
      <c r="A285" s="770" t="s">
        <v>2846</v>
      </c>
      <c r="B285" s="510">
        <f t="shared" si="17"/>
        <v>219</v>
      </c>
      <c r="C285" s="980">
        <f>NOMINA!C261</f>
        <v>21061789</v>
      </c>
      <c r="D285" s="981" t="str">
        <f>NOMINA!D261</f>
        <v xml:space="preserve">Suarez Briceño Daiver Jose </v>
      </c>
      <c r="E285" s="978" t="s">
        <v>4622</v>
      </c>
      <c r="F285" s="982">
        <v>32351</v>
      </c>
      <c r="G285" s="978" t="s">
        <v>4620</v>
      </c>
      <c r="H285" s="1001">
        <f>NOMINA!H261</f>
        <v>44713</v>
      </c>
      <c r="I285" s="984">
        <f>NOMINA!I261</f>
        <v>2</v>
      </c>
      <c r="J285" s="985">
        <f>NOMINA!J261</f>
        <v>0</v>
      </c>
      <c r="K285" s="984">
        <f t="shared" si="15"/>
        <v>2</v>
      </c>
      <c r="L285" s="985" t="s">
        <v>4932</v>
      </c>
      <c r="M285" s="985"/>
      <c r="N285" s="1002" t="str">
        <f>NOMINA!O261</f>
        <v>Abogado I</v>
      </c>
      <c r="O285" s="985">
        <v>1.02087691000006E+18</v>
      </c>
      <c r="P285" s="999">
        <f>NOMINA!W261</f>
        <v>123</v>
      </c>
      <c r="Q285" s="986">
        <f>NOMINA!AG261</f>
        <v>2.46</v>
      </c>
      <c r="R285" s="986">
        <f>NOMINA!AI261</f>
        <v>65</v>
      </c>
      <c r="S285" s="986">
        <f>NOMINA!AK261</f>
        <v>47.61</v>
      </c>
      <c r="T285" s="986">
        <f>ROUND(NOMINA!AO261,2)</f>
        <v>0</v>
      </c>
      <c r="U285" s="986">
        <f>ROUND(NOMINA!AQ261,2)</f>
        <v>0</v>
      </c>
      <c r="V285" s="986">
        <f>ROUND(NOMINA!AR261,2)</f>
        <v>0</v>
      </c>
      <c r="W285" s="986">
        <f>ROUND(NOMINA!AS261,2)</f>
        <v>0</v>
      </c>
      <c r="X285" s="986">
        <f>ROUND(NOMINA!AW261,2)</f>
        <v>0</v>
      </c>
      <c r="Y285" s="986">
        <f>ROUND(NOMINA!AX261,2)</f>
        <v>0</v>
      </c>
      <c r="Z285" s="986">
        <f>ROUND(NOMINA!BB261,2)+ROUND(NOMINA!BF261,2)</f>
        <v>0</v>
      </c>
      <c r="AA285" s="986">
        <f>ROUND(NOMINA!BK261,2)*0</f>
        <v>0</v>
      </c>
      <c r="AB285" s="986">
        <f>ROUND(NOMINA!BG261,2)</f>
        <v>300</v>
      </c>
      <c r="AC285" s="1000">
        <f t="shared" si="16"/>
        <v>538.06999999999994</v>
      </c>
      <c r="AE285" s="634"/>
    </row>
    <row r="286" spans="1:31" s="629" customFormat="1" ht="20.100000000000001" customHeight="1" thickBot="1">
      <c r="A286" s="770" t="s">
        <v>2846</v>
      </c>
      <c r="B286" s="510">
        <f t="shared" si="17"/>
        <v>220</v>
      </c>
      <c r="C286" s="980">
        <f>NOMINA!C262</f>
        <v>21365212</v>
      </c>
      <c r="D286" s="981" t="str">
        <f>NOMINA!D262</f>
        <v>Manzanilla Gonzalez Landkler Josue</v>
      </c>
      <c r="E286" s="978" t="s">
        <v>4622</v>
      </c>
      <c r="F286" s="982">
        <v>32351</v>
      </c>
      <c r="G286" s="978" t="s">
        <v>4620</v>
      </c>
      <c r="H286" s="1001">
        <f>NOMINA!H262</f>
        <v>44317</v>
      </c>
      <c r="I286" s="984">
        <f>NOMINA!I262</f>
        <v>3</v>
      </c>
      <c r="J286" s="985">
        <f>NOMINA!J262</f>
        <v>0</v>
      </c>
      <c r="K286" s="984">
        <f t="shared" si="15"/>
        <v>3</v>
      </c>
      <c r="L286" s="985" t="s">
        <v>4932</v>
      </c>
      <c r="M286" s="985"/>
      <c r="N286" s="1002" t="str">
        <f>NOMINA!O262</f>
        <v>Asistente Administrativo II</v>
      </c>
      <c r="O286" s="985">
        <v>1.02087691000006E+18</v>
      </c>
      <c r="P286" s="999">
        <f>NOMINA!W262</f>
        <v>75</v>
      </c>
      <c r="Q286" s="986">
        <f>NOMINA!AG262</f>
        <v>2.25</v>
      </c>
      <c r="R286" s="986">
        <f>NOMINA!AI262</f>
        <v>65</v>
      </c>
      <c r="S286" s="986">
        <f>NOMINA!AK262</f>
        <v>0</v>
      </c>
      <c r="T286" s="986">
        <f>ROUND(NOMINA!AO262,2)</f>
        <v>0</v>
      </c>
      <c r="U286" s="986">
        <f>ROUND(NOMINA!AQ262,2)</f>
        <v>0</v>
      </c>
      <c r="V286" s="986">
        <f>ROUND(NOMINA!AR262,2)</f>
        <v>0</v>
      </c>
      <c r="W286" s="986">
        <f>ROUND(NOMINA!AS262,2)</f>
        <v>0</v>
      </c>
      <c r="X286" s="986">
        <f>ROUND(NOMINA!AW262,2)</f>
        <v>0</v>
      </c>
      <c r="Y286" s="986">
        <f>ROUND(NOMINA!AX262,2)</f>
        <v>0</v>
      </c>
      <c r="Z286" s="986">
        <f>ROUND(NOMINA!BB262,2)+ROUND(NOMINA!BF262,2)</f>
        <v>0</v>
      </c>
      <c r="AA286" s="986">
        <f>ROUND(NOMINA!BK262,2)*0</f>
        <v>0</v>
      </c>
      <c r="AB286" s="986">
        <f>ROUND(NOMINA!BG262,2)</f>
        <v>300</v>
      </c>
      <c r="AC286" s="1000">
        <f t="shared" si="16"/>
        <v>442.25</v>
      </c>
      <c r="AE286" s="634"/>
    </row>
    <row r="287" spans="1:31" s="629" customFormat="1" ht="20.100000000000001" customHeight="1" thickBot="1">
      <c r="A287" s="770" t="s">
        <v>2846</v>
      </c>
      <c r="B287" s="510">
        <f t="shared" si="17"/>
        <v>221</v>
      </c>
      <c r="C287" s="980">
        <f>NOMINA!C263</f>
        <v>21592108</v>
      </c>
      <c r="D287" s="981" t="str">
        <f>NOMINA!D263</f>
        <v>Coy Andara Darlin Gabriela</v>
      </c>
      <c r="E287" s="978" t="s">
        <v>4622</v>
      </c>
      <c r="F287" s="982">
        <v>32351</v>
      </c>
      <c r="G287" s="978" t="s">
        <v>4620</v>
      </c>
      <c r="H287" s="1001">
        <f>NOMINA!H263</f>
        <v>43024</v>
      </c>
      <c r="I287" s="984">
        <f>NOMINA!I263</f>
        <v>7</v>
      </c>
      <c r="J287" s="985">
        <f>NOMINA!J263</f>
        <v>0</v>
      </c>
      <c r="K287" s="984">
        <f t="shared" si="15"/>
        <v>7</v>
      </c>
      <c r="L287" s="985" t="s">
        <v>4932</v>
      </c>
      <c r="M287" s="985"/>
      <c r="N287" s="1002" t="str">
        <f>NOMINA!O263</f>
        <v>PLANIFICADOR I</v>
      </c>
      <c r="O287" s="985">
        <v>1.02087691000006E+18</v>
      </c>
      <c r="P287" s="999">
        <f>NOMINA!W263</f>
        <v>0</v>
      </c>
      <c r="Q287" s="986">
        <f>NOMINA!AG263</f>
        <v>0</v>
      </c>
      <c r="R287" s="986">
        <f>NOMINA!AI263</f>
        <v>0</v>
      </c>
      <c r="S287" s="986">
        <f>NOMINA!AK263</f>
        <v>0</v>
      </c>
      <c r="T287" s="986">
        <f>ROUND(NOMINA!AO263,2)</f>
        <v>0</v>
      </c>
      <c r="U287" s="986">
        <f>ROUND(NOMINA!AQ263,2)</f>
        <v>0</v>
      </c>
      <c r="V287" s="986">
        <f>ROUND(NOMINA!AR263,2)</f>
        <v>0</v>
      </c>
      <c r="W287" s="986">
        <f>ROUND(NOMINA!AS263,2)</f>
        <v>0</v>
      </c>
      <c r="X287" s="986">
        <f>ROUND(NOMINA!AW263,2)</f>
        <v>0</v>
      </c>
      <c r="Y287" s="986">
        <f>ROUND(NOMINA!AX263,2)</f>
        <v>0</v>
      </c>
      <c r="Z287" s="986">
        <f>ROUND(NOMINA!BB263,2)+ROUND(NOMINA!BF263,2)</f>
        <v>0</v>
      </c>
      <c r="AA287" s="986">
        <f>ROUND(NOMINA!BK263,2)*0</f>
        <v>0</v>
      </c>
      <c r="AB287" s="986">
        <f>ROUND(NOMINA!BG263,2)</f>
        <v>0</v>
      </c>
      <c r="AC287" s="1000">
        <f t="shared" si="16"/>
        <v>0</v>
      </c>
      <c r="AE287" s="634"/>
    </row>
    <row r="288" spans="1:31" s="629" customFormat="1" ht="20.100000000000001" customHeight="1" thickBot="1">
      <c r="A288" s="770" t="s">
        <v>2846</v>
      </c>
      <c r="B288" s="510">
        <f t="shared" si="17"/>
        <v>222</v>
      </c>
      <c r="C288" s="980">
        <f>NOMINA!C264</f>
        <v>22622493</v>
      </c>
      <c r="D288" s="981" t="str">
        <f>NOMINA!D264</f>
        <v xml:space="preserve">Barrios Olivar Geraldine Katiusca </v>
      </c>
      <c r="E288" s="978" t="s">
        <v>4622</v>
      </c>
      <c r="F288" s="982">
        <v>32351</v>
      </c>
      <c r="G288" s="978" t="s">
        <v>4620</v>
      </c>
      <c r="H288" s="1001">
        <f>NOMINA!H264</f>
        <v>44363</v>
      </c>
      <c r="I288" s="984">
        <f>NOMINA!I264</f>
        <v>3</v>
      </c>
      <c r="J288" s="985">
        <f>NOMINA!J264</f>
        <v>0</v>
      </c>
      <c r="K288" s="984">
        <f t="shared" si="15"/>
        <v>3</v>
      </c>
      <c r="L288" s="985" t="s">
        <v>4932</v>
      </c>
      <c r="M288" s="985"/>
      <c r="N288" s="1002" t="str">
        <f>NOMINA!O264</f>
        <v>Guia de Centro I</v>
      </c>
      <c r="O288" s="985">
        <v>1.02087691000006E+18</v>
      </c>
      <c r="P288" s="999">
        <f>NOMINA!W264</f>
        <v>75</v>
      </c>
      <c r="Q288" s="986">
        <f>NOMINA!AG264</f>
        <v>2.25</v>
      </c>
      <c r="R288" s="986">
        <f>NOMINA!AI264</f>
        <v>65</v>
      </c>
      <c r="S288" s="986">
        <f>NOMINA!AK264</f>
        <v>0</v>
      </c>
      <c r="T288" s="986">
        <f>ROUND(NOMINA!AO264,2)</f>
        <v>25</v>
      </c>
      <c r="U288" s="986">
        <f>ROUND(NOMINA!AQ264,2)</f>
        <v>0</v>
      </c>
      <c r="V288" s="986">
        <f>ROUND(NOMINA!AR264,2)</f>
        <v>0</v>
      </c>
      <c r="W288" s="986">
        <f>ROUND(NOMINA!AS264,2)</f>
        <v>0</v>
      </c>
      <c r="X288" s="986">
        <f>ROUND(NOMINA!AW264,2)</f>
        <v>92.85</v>
      </c>
      <c r="Y288" s="986">
        <f>ROUND(NOMINA!AX264,2)</f>
        <v>0</v>
      </c>
      <c r="Z288" s="986">
        <f>ROUND(NOMINA!BB264,2)+ROUND(NOMINA!BF264,2)</f>
        <v>60.35</v>
      </c>
      <c r="AA288" s="986">
        <f>ROUND(NOMINA!BK264,2)*0</f>
        <v>0</v>
      </c>
      <c r="AB288" s="986">
        <f>ROUND(NOMINA!BG264,2)</f>
        <v>300</v>
      </c>
      <c r="AC288" s="1000">
        <f t="shared" si="16"/>
        <v>620.45000000000005</v>
      </c>
      <c r="AE288" s="634"/>
    </row>
    <row r="289" spans="1:31" s="629" customFormat="1" ht="20.100000000000001" customHeight="1" thickBot="1">
      <c r="A289" s="770" t="s">
        <v>2846</v>
      </c>
      <c r="B289" s="510">
        <f t="shared" si="17"/>
        <v>223</v>
      </c>
      <c r="C289" s="980">
        <f>NOMINA!C265</f>
        <v>23782360</v>
      </c>
      <c r="D289" s="981" t="str">
        <f>NOMINA!D265</f>
        <v>Rivera Sandoval Ilva Azucena</v>
      </c>
      <c r="E289" s="978" t="s">
        <v>4622</v>
      </c>
      <c r="F289" s="982">
        <v>32351</v>
      </c>
      <c r="G289" s="978" t="s">
        <v>4620</v>
      </c>
      <c r="H289" s="1001">
        <f>NOMINA!H265</f>
        <v>39203</v>
      </c>
      <c r="I289" s="984">
        <f>NOMINA!I265</f>
        <v>17</v>
      </c>
      <c r="J289" s="985">
        <f>NOMINA!J265</f>
        <v>0</v>
      </c>
      <c r="K289" s="984">
        <f t="shared" si="15"/>
        <v>17</v>
      </c>
      <c r="L289" s="985" t="s">
        <v>4932</v>
      </c>
      <c r="M289" s="985"/>
      <c r="N289" s="1002" t="str">
        <f>NOMINA!O265</f>
        <v>Administrador III</v>
      </c>
      <c r="O289" s="985">
        <v>1.02087691000006E+18</v>
      </c>
      <c r="P289" s="999">
        <f>NOMINA!W265</f>
        <v>142.5</v>
      </c>
      <c r="Q289" s="986">
        <f>NOMINA!AG265</f>
        <v>30.21</v>
      </c>
      <c r="R289" s="986">
        <f>NOMINA!AI265</f>
        <v>65</v>
      </c>
      <c r="S289" s="986">
        <f>NOMINA!AK265</f>
        <v>59.43</v>
      </c>
      <c r="T289" s="986">
        <f>ROUND(NOMINA!AO265,2)</f>
        <v>0</v>
      </c>
      <c r="U289" s="986">
        <f>ROUND(NOMINA!AQ265,2)</f>
        <v>0</v>
      </c>
      <c r="V289" s="986">
        <f>ROUND(NOMINA!AR265,2)</f>
        <v>0</v>
      </c>
      <c r="W289" s="986">
        <f>ROUND(NOMINA!AS265,2)</f>
        <v>0</v>
      </c>
      <c r="X289" s="986">
        <f>ROUND(NOMINA!AW265,2)</f>
        <v>0</v>
      </c>
      <c r="Y289" s="986">
        <f>ROUND(NOMINA!AX265,2)</f>
        <v>0</v>
      </c>
      <c r="Z289" s="986">
        <f>ROUND(NOMINA!BB265,2)+ROUND(NOMINA!BF265,2)</f>
        <v>0</v>
      </c>
      <c r="AA289" s="986">
        <f>ROUND(NOMINA!BK265,2)*0</f>
        <v>0</v>
      </c>
      <c r="AB289" s="986">
        <f>ROUND(NOMINA!BG265,2)</f>
        <v>300</v>
      </c>
      <c r="AC289" s="1000">
        <f t="shared" si="16"/>
        <v>597.14</v>
      </c>
      <c r="AE289" s="634"/>
    </row>
    <row r="290" spans="1:31" s="629" customFormat="1" ht="20.100000000000001" customHeight="1" thickBot="1">
      <c r="A290" s="770" t="s">
        <v>2846</v>
      </c>
      <c r="B290" s="510">
        <f t="shared" si="17"/>
        <v>224</v>
      </c>
      <c r="C290" s="980">
        <f>NOMINA!C266</f>
        <v>23960738</v>
      </c>
      <c r="D290" s="981" t="str">
        <f>NOMINA!D266</f>
        <v>Molina Briceño Maria de los Angeles</v>
      </c>
      <c r="E290" s="978" t="s">
        <v>4622</v>
      </c>
      <c r="F290" s="982">
        <v>32351</v>
      </c>
      <c r="G290" s="978" t="s">
        <v>4620</v>
      </c>
      <c r="H290" s="1001">
        <f>NOMINA!H266</f>
        <v>43497</v>
      </c>
      <c r="I290" s="984">
        <f>NOMINA!I266</f>
        <v>5</v>
      </c>
      <c r="J290" s="985">
        <f>NOMINA!J266</f>
        <v>0</v>
      </c>
      <c r="K290" s="984">
        <f t="shared" si="15"/>
        <v>5</v>
      </c>
      <c r="L290" s="985" t="s">
        <v>4932</v>
      </c>
      <c r="M290" s="985"/>
      <c r="N290" s="1002" t="str">
        <f>NOMINA!O266</f>
        <v>Psicologo II</v>
      </c>
      <c r="O290" s="985">
        <v>1.02087691000006E+18</v>
      </c>
      <c r="P290" s="999">
        <f>NOMINA!W266</f>
        <v>138.5</v>
      </c>
      <c r="Q290" s="986">
        <f>NOMINA!AG266</f>
        <v>6.92</v>
      </c>
      <c r="R290" s="986">
        <f>NOMINA!AI266</f>
        <v>65</v>
      </c>
      <c r="S290" s="986">
        <f>NOMINA!AK266</f>
        <v>52.6</v>
      </c>
      <c r="T290" s="986">
        <f>ROUND(NOMINA!AO266,2)</f>
        <v>0</v>
      </c>
      <c r="U290" s="986">
        <f>ROUND(NOMINA!AQ266,2)</f>
        <v>0</v>
      </c>
      <c r="V290" s="986">
        <f>ROUND(NOMINA!AR266,2)</f>
        <v>0</v>
      </c>
      <c r="W290" s="986">
        <f>ROUND(NOMINA!AS266,2)</f>
        <v>0</v>
      </c>
      <c r="X290" s="986">
        <f>ROUND(NOMINA!AW266,2)</f>
        <v>0</v>
      </c>
      <c r="Y290" s="986">
        <f>ROUND(NOMINA!AX266,2)</f>
        <v>0</v>
      </c>
      <c r="Z290" s="986">
        <f>ROUND(NOMINA!BB266,2)+ROUND(NOMINA!BF266,2)</f>
        <v>0</v>
      </c>
      <c r="AA290" s="986">
        <f>ROUND(NOMINA!BK266,2)*0</f>
        <v>0</v>
      </c>
      <c r="AB290" s="986">
        <f>ROUND(NOMINA!BG266,2)</f>
        <v>300</v>
      </c>
      <c r="AC290" s="1000">
        <f t="shared" si="16"/>
        <v>563.02</v>
      </c>
      <c r="AE290" s="634"/>
    </row>
    <row r="291" spans="1:31" s="629" customFormat="1" ht="20.100000000000001" customHeight="1" thickBot="1">
      <c r="A291" s="770" t="s">
        <v>2846</v>
      </c>
      <c r="B291" s="510">
        <f t="shared" si="17"/>
        <v>225</v>
      </c>
      <c r="C291" s="980">
        <f>NOMINA!C267</f>
        <v>24135378</v>
      </c>
      <c r="D291" s="981" t="str">
        <f>NOMINA!D267</f>
        <v>Rivas Hurtado Orleidys Betania</v>
      </c>
      <c r="E291" s="978" t="s">
        <v>4622</v>
      </c>
      <c r="F291" s="982">
        <v>32351</v>
      </c>
      <c r="G291" s="978" t="s">
        <v>4620</v>
      </c>
      <c r="H291" s="1001">
        <f>NOMINA!H267</f>
        <v>43862</v>
      </c>
      <c r="I291" s="984">
        <f>NOMINA!I267</f>
        <v>4</v>
      </c>
      <c r="J291" s="985">
        <f>NOMINA!J267</f>
        <v>0</v>
      </c>
      <c r="K291" s="984">
        <f t="shared" si="15"/>
        <v>4</v>
      </c>
      <c r="L291" s="985" t="s">
        <v>4932</v>
      </c>
      <c r="M291" s="985"/>
      <c r="N291" s="1002" t="str">
        <f>NOMINA!O267</f>
        <v>Asistente Administrativo IV</v>
      </c>
      <c r="O291" s="985">
        <v>1.02087691000006E+18</v>
      </c>
      <c r="P291" s="999">
        <f>NOMINA!W267</f>
        <v>138.5</v>
      </c>
      <c r="Q291" s="986">
        <f>NOMINA!AG267</f>
        <v>5.54</v>
      </c>
      <c r="R291" s="986">
        <f>NOMINA!AI267</f>
        <v>65</v>
      </c>
      <c r="S291" s="986">
        <f>NOMINA!AK267</f>
        <v>55.38</v>
      </c>
      <c r="T291" s="986">
        <f>ROUND(NOMINA!AO267,2)</f>
        <v>12.5</v>
      </c>
      <c r="U291" s="986">
        <f>ROUND(NOMINA!AQ267,2)</f>
        <v>0</v>
      </c>
      <c r="V291" s="986">
        <f>ROUND(NOMINA!AR267,2)</f>
        <v>0</v>
      </c>
      <c r="W291" s="986">
        <f>ROUND(NOMINA!AS267,2)</f>
        <v>0</v>
      </c>
      <c r="X291" s="986">
        <f>ROUND(NOMINA!AW267,2)</f>
        <v>0</v>
      </c>
      <c r="Y291" s="986">
        <f>ROUND(NOMINA!AX267,2)</f>
        <v>0</v>
      </c>
      <c r="Z291" s="986">
        <f>ROUND(NOMINA!BB267,2)+ROUND(NOMINA!BF267,2)</f>
        <v>0</v>
      </c>
      <c r="AA291" s="986">
        <f>ROUND(NOMINA!BK267,2)*0</f>
        <v>0</v>
      </c>
      <c r="AB291" s="986">
        <f>ROUND(NOMINA!BG267,2)</f>
        <v>300</v>
      </c>
      <c r="AC291" s="1000">
        <f t="shared" si="16"/>
        <v>576.92000000000007</v>
      </c>
      <c r="AE291" s="634"/>
    </row>
    <row r="292" spans="1:31" s="629" customFormat="1" ht="20.100000000000001" customHeight="1" thickBot="1">
      <c r="A292" s="770" t="s">
        <v>2846</v>
      </c>
      <c r="B292" s="510">
        <f t="shared" si="17"/>
        <v>226</v>
      </c>
      <c r="C292" s="980">
        <f>NOMINA!C268</f>
        <v>24136795</v>
      </c>
      <c r="D292" s="981" t="str">
        <f>NOMINA!D268</f>
        <v xml:space="preserve">Viloria Maldonado Gerardo Jesus </v>
      </c>
      <c r="E292" s="978" t="s">
        <v>4622</v>
      </c>
      <c r="F292" s="982">
        <v>32351</v>
      </c>
      <c r="G292" s="978" t="s">
        <v>4620</v>
      </c>
      <c r="H292" s="1001">
        <f>NOMINA!H268</f>
        <v>44600</v>
      </c>
      <c r="I292" s="984">
        <f>NOMINA!I268</f>
        <v>2</v>
      </c>
      <c r="J292" s="985">
        <f>NOMINA!J268</f>
        <v>0</v>
      </c>
      <c r="K292" s="984">
        <f t="shared" si="15"/>
        <v>2</v>
      </c>
      <c r="L292" s="985" t="s">
        <v>4932</v>
      </c>
      <c r="M292" s="985"/>
      <c r="N292" s="1002" t="str">
        <f>NOMINA!O268</f>
        <v>Entrenador Deportivo II</v>
      </c>
      <c r="O292" s="985">
        <v>1.02087691000006E+18</v>
      </c>
      <c r="P292" s="999">
        <f>NOMINA!W268</f>
        <v>65</v>
      </c>
      <c r="Q292" s="986">
        <f>NOMINA!AG268</f>
        <v>1.3</v>
      </c>
      <c r="R292" s="986">
        <f>NOMINA!AI268</f>
        <v>65</v>
      </c>
      <c r="S292" s="986">
        <f>NOMINA!AK268</f>
        <v>0</v>
      </c>
      <c r="T292" s="986">
        <f>ROUND(NOMINA!AO268,2)</f>
        <v>12.5</v>
      </c>
      <c r="U292" s="986">
        <f>ROUND(NOMINA!AQ268,2)</f>
        <v>0</v>
      </c>
      <c r="V292" s="986">
        <f>ROUND(NOMINA!AR268,2)</f>
        <v>0</v>
      </c>
      <c r="W292" s="986">
        <f>ROUND(NOMINA!AS268,2)</f>
        <v>0</v>
      </c>
      <c r="X292" s="986">
        <f>ROUND(NOMINA!AW268,2)</f>
        <v>0</v>
      </c>
      <c r="Y292" s="986">
        <f>ROUND(NOMINA!AX268,2)</f>
        <v>0</v>
      </c>
      <c r="Z292" s="986">
        <f>ROUND(NOMINA!BB268,2)+ROUND(NOMINA!BF268,2)</f>
        <v>0</v>
      </c>
      <c r="AA292" s="986">
        <f>ROUND(NOMINA!BK268,2)*0</f>
        <v>0</v>
      </c>
      <c r="AB292" s="986">
        <f>ROUND(NOMINA!BG268,2)</f>
        <v>300</v>
      </c>
      <c r="AC292" s="1000">
        <f t="shared" si="16"/>
        <v>443.8</v>
      </c>
      <c r="AE292" s="634"/>
    </row>
    <row r="293" spans="1:31" s="629" customFormat="1" ht="20.100000000000001" customHeight="1" thickBot="1">
      <c r="A293" s="770" t="s">
        <v>2846</v>
      </c>
      <c r="B293" s="510">
        <f t="shared" si="17"/>
        <v>227</v>
      </c>
      <c r="C293" s="980">
        <f>NOMINA!C269</f>
        <v>24385729</v>
      </c>
      <c r="D293" s="981" t="str">
        <f>NOMINA!D269</f>
        <v>Cordova Rivero Liseth Carolina</v>
      </c>
      <c r="E293" s="978" t="s">
        <v>4622</v>
      </c>
      <c r="F293" s="982">
        <v>32351</v>
      </c>
      <c r="G293" s="978" t="s">
        <v>4620</v>
      </c>
      <c r="H293" s="1001">
        <f>NOMINA!H269</f>
        <v>45597</v>
      </c>
      <c r="I293" s="984">
        <f>NOMINA!I269</f>
        <v>0</v>
      </c>
      <c r="J293" s="985">
        <f>NOMINA!J269</f>
        <v>1</v>
      </c>
      <c r="K293" s="984">
        <f t="shared" si="15"/>
        <v>1</v>
      </c>
      <c r="L293" s="985" t="s">
        <v>4932</v>
      </c>
      <c r="M293" s="985"/>
      <c r="N293" s="1002" t="str">
        <f>NOMINA!O269</f>
        <v>Secretario I</v>
      </c>
      <c r="O293" s="985">
        <v>1.02087691000006E+18</v>
      </c>
      <c r="P293" s="999">
        <f>NOMINA!W269</f>
        <v>65</v>
      </c>
      <c r="Q293" s="986">
        <f>NOMINA!AG269</f>
        <v>0.65</v>
      </c>
      <c r="R293" s="986">
        <f>NOMINA!AI269</f>
        <v>65</v>
      </c>
      <c r="S293" s="986">
        <f>NOMINA!AK269</f>
        <v>0</v>
      </c>
      <c r="T293" s="986">
        <f>ROUND(NOMINA!AO269,2)</f>
        <v>0</v>
      </c>
      <c r="U293" s="986">
        <f>ROUND(NOMINA!AQ269,2)</f>
        <v>0</v>
      </c>
      <c r="V293" s="986">
        <f>ROUND(NOMINA!AR269,2)</f>
        <v>0</v>
      </c>
      <c r="W293" s="986">
        <f>ROUND(NOMINA!AS269,2)</f>
        <v>0</v>
      </c>
      <c r="X293" s="986">
        <f>ROUND(NOMINA!AW269,2)</f>
        <v>0</v>
      </c>
      <c r="Y293" s="986">
        <f>ROUND(NOMINA!AX269,2)</f>
        <v>0</v>
      </c>
      <c r="Z293" s="986">
        <f>ROUND(NOMINA!BB269,2)+ROUND(NOMINA!BF269,2)</f>
        <v>0</v>
      </c>
      <c r="AA293" s="986">
        <f>ROUND(NOMINA!BK269,2)*0</f>
        <v>0</v>
      </c>
      <c r="AB293" s="986">
        <f>ROUND(NOMINA!BG269,2)</f>
        <v>300</v>
      </c>
      <c r="AC293" s="1000">
        <f t="shared" si="16"/>
        <v>430.65</v>
      </c>
      <c r="AE293" s="634"/>
    </row>
    <row r="294" spans="1:31" s="629" customFormat="1" ht="20.100000000000001" customHeight="1" thickBot="1">
      <c r="A294" s="770" t="s">
        <v>2846</v>
      </c>
      <c r="B294" s="510">
        <f t="shared" si="17"/>
        <v>228</v>
      </c>
      <c r="C294" s="980">
        <f>NOMINA!C270</f>
        <v>23254845</v>
      </c>
      <c r="D294" s="981" t="str">
        <f>NOMINA!D270</f>
        <v>Castellanos Paredes Luis Gregorio</v>
      </c>
      <c r="E294" s="978" t="s">
        <v>4622</v>
      </c>
      <c r="F294" s="982">
        <v>32351</v>
      </c>
      <c r="G294" s="978" t="s">
        <v>4620</v>
      </c>
      <c r="H294" s="1001">
        <f>NOMINA!H270</f>
        <v>44332</v>
      </c>
      <c r="I294" s="984">
        <f>NOMINA!I270</f>
        <v>3</v>
      </c>
      <c r="J294" s="985">
        <f>NOMINA!J270</f>
        <v>0</v>
      </c>
      <c r="K294" s="984">
        <f t="shared" si="15"/>
        <v>3</v>
      </c>
      <c r="L294" s="985" t="s">
        <v>4932</v>
      </c>
      <c r="M294" s="985"/>
      <c r="N294" s="1002" t="str">
        <f>NOMINA!O270</f>
        <v>Entrenador Deportivo II</v>
      </c>
      <c r="O294" s="985">
        <v>1.02087691000006E+18</v>
      </c>
      <c r="P294" s="999">
        <f>NOMINA!W270</f>
        <v>75</v>
      </c>
      <c r="Q294" s="986">
        <f>NOMINA!AG270</f>
        <v>2.25</v>
      </c>
      <c r="R294" s="986">
        <f>NOMINA!AI270</f>
        <v>65</v>
      </c>
      <c r="S294" s="986">
        <f>NOMINA!AK270</f>
        <v>0</v>
      </c>
      <c r="T294" s="986">
        <f>ROUND(NOMINA!AO270,2)</f>
        <v>0</v>
      </c>
      <c r="U294" s="986">
        <f>ROUND(NOMINA!AQ270,2)</f>
        <v>0</v>
      </c>
      <c r="V294" s="986">
        <f>ROUND(NOMINA!AR270,2)</f>
        <v>0</v>
      </c>
      <c r="W294" s="986">
        <f>ROUND(NOMINA!AS270,2)</f>
        <v>0</v>
      </c>
      <c r="X294" s="986">
        <f>ROUND(NOMINA!AW270,2)</f>
        <v>0</v>
      </c>
      <c r="Y294" s="986">
        <f>ROUND(NOMINA!AX270,2)</f>
        <v>0</v>
      </c>
      <c r="Z294" s="986">
        <f>ROUND(NOMINA!BB270,2)+ROUND(NOMINA!BF270,2)</f>
        <v>0</v>
      </c>
      <c r="AA294" s="986">
        <f>ROUND(NOMINA!BK270,2)*0</f>
        <v>0</v>
      </c>
      <c r="AB294" s="986">
        <f>ROUND(NOMINA!BG270,2)</f>
        <v>300</v>
      </c>
      <c r="AC294" s="1000">
        <f t="shared" si="16"/>
        <v>442.25</v>
      </c>
      <c r="AE294" s="634"/>
    </row>
    <row r="295" spans="1:31" s="629" customFormat="1" ht="20.100000000000001" customHeight="1" thickBot="1">
      <c r="A295" s="770" t="s">
        <v>2846</v>
      </c>
      <c r="B295" s="510">
        <f t="shared" si="17"/>
        <v>229</v>
      </c>
      <c r="C295" s="980">
        <f>NOMINA!C271</f>
        <v>23594366</v>
      </c>
      <c r="D295" s="981" t="str">
        <f>NOMINA!D271</f>
        <v>Quintero Montilla Merly Paula</v>
      </c>
      <c r="E295" s="978" t="s">
        <v>4622</v>
      </c>
      <c r="F295" s="982">
        <v>32351</v>
      </c>
      <c r="G295" s="978" t="s">
        <v>4620</v>
      </c>
      <c r="H295" s="1001">
        <f>NOMINA!H271</f>
        <v>45413</v>
      </c>
      <c r="I295" s="984">
        <f>NOMINA!I271</f>
        <v>0</v>
      </c>
      <c r="J295" s="985">
        <f>NOMINA!J271</f>
        <v>0</v>
      </c>
      <c r="K295" s="984">
        <f t="shared" si="15"/>
        <v>0</v>
      </c>
      <c r="L295" s="985" t="s">
        <v>4932</v>
      </c>
      <c r="M295" s="985"/>
      <c r="N295" s="1002" t="str">
        <f>NOMINA!O271</f>
        <v>Tutor Facilitador I</v>
      </c>
      <c r="O295" s="985">
        <v>1.02087691000006E+18</v>
      </c>
      <c r="P295" s="999">
        <f>NOMINA!W271</f>
        <v>123</v>
      </c>
      <c r="Q295" s="986">
        <f>NOMINA!AG271</f>
        <v>0</v>
      </c>
      <c r="R295" s="986">
        <f>NOMINA!AI271</f>
        <v>65</v>
      </c>
      <c r="S295" s="986">
        <f>NOMINA!AK271</f>
        <v>47</v>
      </c>
      <c r="T295" s="986">
        <f>ROUND(NOMINA!AO271,2)</f>
        <v>0</v>
      </c>
      <c r="U295" s="986">
        <f>ROUND(NOMINA!AQ271,2)</f>
        <v>0</v>
      </c>
      <c r="V295" s="986">
        <f>ROUND(NOMINA!AR271,2)</f>
        <v>0</v>
      </c>
      <c r="W295" s="986">
        <f>ROUND(NOMINA!AS271,2)</f>
        <v>0</v>
      </c>
      <c r="X295" s="986">
        <f>ROUND(NOMINA!AW271,2)</f>
        <v>0</v>
      </c>
      <c r="Y295" s="986">
        <f>ROUND(NOMINA!AX271,2)</f>
        <v>0</v>
      </c>
      <c r="Z295" s="986">
        <f>ROUND(NOMINA!BB271,2)+ROUND(NOMINA!BF271,2)</f>
        <v>0</v>
      </c>
      <c r="AA295" s="986">
        <f>ROUND(NOMINA!BK271,2)*0</f>
        <v>0</v>
      </c>
      <c r="AB295" s="986">
        <f>ROUND(NOMINA!BG271,2)</f>
        <v>300</v>
      </c>
      <c r="AC295" s="1000">
        <f t="shared" si="16"/>
        <v>535</v>
      </c>
      <c r="AE295" s="634"/>
    </row>
    <row r="296" spans="1:31" s="629" customFormat="1" ht="20.100000000000001" customHeight="1" thickBot="1">
      <c r="A296" s="770" t="s">
        <v>2846</v>
      </c>
      <c r="B296" s="510">
        <f t="shared" si="17"/>
        <v>230</v>
      </c>
      <c r="C296" s="980">
        <f>NOMINA!C272</f>
        <v>23775734</v>
      </c>
      <c r="D296" s="981" t="str">
        <f>NOMINA!D272</f>
        <v>Gonzalez Torres Klerwin Alfonso</v>
      </c>
      <c r="E296" s="978" t="s">
        <v>4622</v>
      </c>
      <c r="F296" s="982">
        <v>32351</v>
      </c>
      <c r="G296" s="978" t="s">
        <v>4620</v>
      </c>
      <c r="H296" s="1001">
        <f>NOMINA!H272</f>
        <v>45627</v>
      </c>
      <c r="I296" s="984">
        <f>NOMINA!I272</f>
        <v>0</v>
      </c>
      <c r="J296" s="985">
        <f>NOMINA!J272</f>
        <v>5</v>
      </c>
      <c r="K296" s="984">
        <f t="shared" si="15"/>
        <v>5</v>
      </c>
      <c r="L296" s="985" t="s">
        <v>4932</v>
      </c>
      <c r="M296" s="985"/>
      <c r="N296" s="1002" t="str">
        <f>NOMINA!O272</f>
        <v>Guia de Centro I</v>
      </c>
      <c r="O296" s="985">
        <v>1.02087691000006E+18</v>
      </c>
      <c r="P296" s="999">
        <f>NOMINA!W272</f>
        <v>65</v>
      </c>
      <c r="Q296" s="986">
        <f>NOMINA!AG272</f>
        <v>3.25</v>
      </c>
      <c r="R296" s="986">
        <f>NOMINA!AI272</f>
        <v>65</v>
      </c>
      <c r="S296" s="986">
        <f>NOMINA!AK272</f>
        <v>0</v>
      </c>
      <c r="T296" s="986">
        <f>ROUND(NOMINA!AO272,2)</f>
        <v>0</v>
      </c>
      <c r="U296" s="986">
        <f>ROUND(NOMINA!AQ272,2)</f>
        <v>0</v>
      </c>
      <c r="V296" s="986">
        <f>ROUND(NOMINA!AR272,2)</f>
        <v>0</v>
      </c>
      <c r="W296" s="986">
        <f>ROUND(NOMINA!AS272,2)</f>
        <v>0</v>
      </c>
      <c r="X296" s="986">
        <f>ROUND(NOMINA!AW272,2)</f>
        <v>83.7</v>
      </c>
      <c r="Y296" s="986">
        <f>ROUND(NOMINA!AX272,2)</f>
        <v>0</v>
      </c>
      <c r="Z296" s="986">
        <f>ROUND(NOMINA!BB272,2)+ROUND(NOMINA!BF272,2)</f>
        <v>90.68</v>
      </c>
      <c r="AA296" s="986">
        <f>ROUND(NOMINA!BK272,2)*0</f>
        <v>0</v>
      </c>
      <c r="AB296" s="986">
        <f>ROUND(NOMINA!BG272,2)</f>
        <v>300</v>
      </c>
      <c r="AC296" s="1000">
        <f t="shared" si="16"/>
        <v>607.63</v>
      </c>
      <c r="AE296" s="634"/>
    </row>
    <row r="297" spans="1:31" s="629" customFormat="1" ht="20.100000000000001" customHeight="1" thickBot="1">
      <c r="A297" s="770" t="s">
        <v>2846</v>
      </c>
      <c r="B297" s="510">
        <f t="shared" si="17"/>
        <v>231</v>
      </c>
      <c r="C297" s="980">
        <f>NOMINA!C273</f>
        <v>24565372</v>
      </c>
      <c r="D297" s="981" t="str">
        <f>NOMINA!D273</f>
        <v>Moreno Silva Alfredy Jose</v>
      </c>
      <c r="E297" s="978" t="s">
        <v>4622</v>
      </c>
      <c r="F297" s="982">
        <v>32351</v>
      </c>
      <c r="G297" s="978" t="s">
        <v>4620</v>
      </c>
      <c r="H297" s="1001">
        <f>NOMINA!H273</f>
        <v>40360</v>
      </c>
      <c r="I297" s="984">
        <f>NOMINA!I273</f>
        <v>14</v>
      </c>
      <c r="J297" s="985">
        <f>NOMINA!J273</f>
        <v>0</v>
      </c>
      <c r="K297" s="984">
        <f t="shared" si="15"/>
        <v>14</v>
      </c>
      <c r="L297" s="985" t="s">
        <v>4932</v>
      </c>
      <c r="M297" s="985"/>
      <c r="N297" s="1002" t="str">
        <f>NOMINA!O273</f>
        <v>Asistente de Relaciones Publicas</v>
      </c>
      <c r="O297" s="985">
        <v>1.02087691000006E+18</v>
      </c>
      <c r="P297" s="999">
        <f>NOMINA!W273</f>
        <v>0</v>
      </c>
      <c r="Q297" s="986">
        <f>NOMINA!AG273</f>
        <v>0</v>
      </c>
      <c r="R297" s="986">
        <f>NOMINA!AI273</f>
        <v>0</v>
      </c>
      <c r="S297" s="986">
        <f>NOMINA!AK273</f>
        <v>0</v>
      </c>
      <c r="T297" s="986">
        <f>ROUND(NOMINA!AO273,2)</f>
        <v>0</v>
      </c>
      <c r="U297" s="986">
        <f>ROUND(NOMINA!AQ273,2)</f>
        <v>0</v>
      </c>
      <c r="V297" s="986">
        <f>ROUND(NOMINA!AR273,2)</f>
        <v>0</v>
      </c>
      <c r="W297" s="986">
        <f>ROUND(NOMINA!AS273,2)</f>
        <v>0</v>
      </c>
      <c r="X297" s="986">
        <f>ROUND(NOMINA!AW273,2)</f>
        <v>0</v>
      </c>
      <c r="Y297" s="986">
        <f>ROUND(NOMINA!AX273,2)</f>
        <v>0</v>
      </c>
      <c r="Z297" s="986">
        <f>ROUND(NOMINA!BB273,2)+ROUND(NOMINA!BF273,2)</f>
        <v>0</v>
      </c>
      <c r="AA297" s="986">
        <f>ROUND(NOMINA!BK273,2)*0</f>
        <v>0</v>
      </c>
      <c r="AB297" s="986">
        <f>ROUND(NOMINA!BG273,2)</f>
        <v>0</v>
      </c>
      <c r="AC297" s="1000">
        <f t="shared" si="16"/>
        <v>0</v>
      </c>
      <c r="AE297" s="634"/>
    </row>
    <row r="298" spans="1:31" s="629" customFormat="1" ht="20.100000000000001" customHeight="1" thickBot="1">
      <c r="A298" s="770" t="s">
        <v>2846</v>
      </c>
      <c r="B298" s="510">
        <f t="shared" si="17"/>
        <v>232</v>
      </c>
      <c r="C298" s="980">
        <f>NOMINA!C274</f>
        <v>25006139</v>
      </c>
      <c r="D298" s="981" t="str">
        <f>NOMINA!D274</f>
        <v>Ramirez Palomares Carmen Beatriz</v>
      </c>
      <c r="E298" s="978" t="s">
        <v>4622</v>
      </c>
      <c r="F298" s="982">
        <v>32351</v>
      </c>
      <c r="G298" s="978" t="s">
        <v>4620</v>
      </c>
      <c r="H298" s="1001">
        <f>NOMINA!H274</f>
        <v>43512</v>
      </c>
      <c r="I298" s="984">
        <f>NOMINA!I274</f>
        <v>5</v>
      </c>
      <c r="J298" s="985">
        <f>NOMINA!J274</f>
        <v>0</v>
      </c>
      <c r="K298" s="984">
        <f t="shared" si="15"/>
        <v>5</v>
      </c>
      <c r="L298" s="985" t="s">
        <v>4932</v>
      </c>
      <c r="M298" s="985"/>
      <c r="N298" s="1002" t="str">
        <f>NOMINA!O274</f>
        <v>Guia de Centro I</v>
      </c>
      <c r="O298" s="985">
        <v>1.02087691000006E+18</v>
      </c>
      <c r="P298" s="999">
        <f>NOMINA!W274</f>
        <v>75</v>
      </c>
      <c r="Q298" s="986">
        <f>NOMINA!AG274</f>
        <v>3.75</v>
      </c>
      <c r="R298" s="986">
        <f>NOMINA!AI274</f>
        <v>65</v>
      </c>
      <c r="S298" s="986">
        <f>NOMINA!AK274</f>
        <v>0</v>
      </c>
      <c r="T298" s="986">
        <f>ROUND(NOMINA!AO274,2)</f>
        <v>0</v>
      </c>
      <c r="U298" s="986">
        <f>ROUND(NOMINA!AQ274,2)</f>
        <v>0</v>
      </c>
      <c r="V298" s="986">
        <f>ROUND(NOMINA!AR274,2)</f>
        <v>0</v>
      </c>
      <c r="W298" s="986">
        <f>ROUND(NOMINA!AS274,2)</f>
        <v>0</v>
      </c>
      <c r="X298" s="986">
        <f>ROUND(NOMINA!AW274,2)</f>
        <v>90</v>
      </c>
      <c r="Y298" s="986">
        <f>ROUND(NOMINA!AX274,2)</f>
        <v>0</v>
      </c>
      <c r="Z298" s="986">
        <f>ROUND(NOMINA!BB274,2)+ROUND(NOMINA!BF274,2)</f>
        <v>0</v>
      </c>
      <c r="AA298" s="986">
        <f>ROUND(NOMINA!BK274,2)*0</f>
        <v>0</v>
      </c>
      <c r="AB298" s="986">
        <f>ROUND(NOMINA!BG274,2)</f>
        <v>300</v>
      </c>
      <c r="AC298" s="1000">
        <f t="shared" si="16"/>
        <v>533.75</v>
      </c>
      <c r="AE298" s="634"/>
    </row>
    <row r="299" spans="1:31" s="629" customFormat="1" ht="20.100000000000001" customHeight="1" thickBot="1">
      <c r="A299" s="770" t="s">
        <v>2846</v>
      </c>
      <c r="B299" s="510">
        <f t="shared" si="17"/>
        <v>233</v>
      </c>
      <c r="C299" s="980">
        <f>NOMINA!C275</f>
        <v>25006878</v>
      </c>
      <c r="D299" s="981" t="str">
        <f>NOMINA!D275</f>
        <v>Fernandez Garcia Rafael Ramon</v>
      </c>
      <c r="E299" s="978" t="s">
        <v>4622</v>
      </c>
      <c r="F299" s="982">
        <v>32351</v>
      </c>
      <c r="G299" s="978" t="s">
        <v>4620</v>
      </c>
      <c r="H299" s="1001">
        <f>NOMINA!H275</f>
        <v>44986</v>
      </c>
      <c r="I299" s="984">
        <f>NOMINA!I275</f>
        <v>1</v>
      </c>
      <c r="J299" s="985">
        <f>NOMINA!J275</f>
        <v>7</v>
      </c>
      <c r="K299" s="984">
        <f t="shared" si="15"/>
        <v>8</v>
      </c>
      <c r="L299" s="985" t="s">
        <v>4932</v>
      </c>
      <c r="M299" s="985"/>
      <c r="N299" s="1002" t="str">
        <f>NOMINA!O275</f>
        <v>Guia de Centro I</v>
      </c>
      <c r="O299" s="985">
        <v>1.02087691000006E+18</v>
      </c>
      <c r="P299" s="999">
        <f>NOMINA!W275</f>
        <v>85</v>
      </c>
      <c r="Q299" s="986">
        <f>NOMINA!AG275</f>
        <v>7.31</v>
      </c>
      <c r="R299" s="986">
        <f>NOMINA!AI275</f>
        <v>65</v>
      </c>
      <c r="S299" s="986">
        <f>NOMINA!AK275</f>
        <v>0</v>
      </c>
      <c r="T299" s="986">
        <f>ROUND(NOMINA!AO275,2)</f>
        <v>0</v>
      </c>
      <c r="U299" s="986">
        <f>ROUND(NOMINA!AQ275,2)</f>
        <v>0</v>
      </c>
      <c r="V299" s="986">
        <f>ROUND(NOMINA!AR275,2)</f>
        <v>0</v>
      </c>
      <c r="W299" s="986">
        <f>ROUND(NOMINA!AS275,2)</f>
        <v>0</v>
      </c>
      <c r="X299" s="986">
        <f>ROUND(NOMINA!AW275,2)</f>
        <v>98.14</v>
      </c>
      <c r="Y299" s="986">
        <f>ROUND(NOMINA!AX275,2)</f>
        <v>0</v>
      </c>
      <c r="Z299" s="986">
        <f>ROUND(NOMINA!BB275,2)+ROUND(NOMINA!BF275,2)</f>
        <v>63.79</v>
      </c>
      <c r="AA299" s="986">
        <f>ROUND(NOMINA!BK275,2)*0</f>
        <v>0</v>
      </c>
      <c r="AB299" s="986">
        <f>ROUND(NOMINA!BG275,2)</f>
        <v>300</v>
      </c>
      <c r="AC299" s="1000">
        <f t="shared" si="16"/>
        <v>619.24</v>
      </c>
      <c r="AE299" s="634"/>
    </row>
    <row r="300" spans="1:31" s="629" customFormat="1" ht="20.100000000000001" customHeight="1" thickBot="1">
      <c r="A300" s="770" t="s">
        <v>2846</v>
      </c>
      <c r="B300" s="510">
        <f t="shared" si="17"/>
        <v>234</v>
      </c>
      <c r="C300" s="980">
        <f>NOMINA!C276</f>
        <v>25096069</v>
      </c>
      <c r="D300" s="981" t="str">
        <f>NOMINA!D276</f>
        <v>Coello Diaz Yormileidys del Carmen</v>
      </c>
      <c r="E300" s="978" t="s">
        <v>4622</v>
      </c>
      <c r="F300" s="982">
        <v>32351</v>
      </c>
      <c r="G300" s="978" t="s">
        <v>4620</v>
      </c>
      <c r="H300" s="1001">
        <f>NOMINA!H276</f>
        <v>44599</v>
      </c>
      <c r="I300" s="984">
        <f>NOMINA!I276</f>
        <v>2</v>
      </c>
      <c r="J300" s="985">
        <f>NOMINA!J276</f>
        <v>0</v>
      </c>
      <c r="K300" s="984">
        <f t="shared" si="15"/>
        <v>2</v>
      </c>
      <c r="L300" s="985" t="s">
        <v>4932</v>
      </c>
      <c r="M300" s="985"/>
      <c r="N300" s="1002" t="str">
        <f>NOMINA!O276</f>
        <v>Guia de Centro I</v>
      </c>
      <c r="O300" s="985">
        <v>1.02087691000006E+18</v>
      </c>
      <c r="P300" s="999">
        <f>NOMINA!W276</f>
        <v>96</v>
      </c>
      <c r="Q300" s="986">
        <f>NOMINA!AG276</f>
        <v>1.92</v>
      </c>
      <c r="R300" s="986">
        <f>NOMINA!AI276</f>
        <v>65</v>
      </c>
      <c r="S300" s="986">
        <f>NOMINA!AK276</f>
        <v>42.29</v>
      </c>
      <c r="T300" s="986">
        <f>ROUND(NOMINA!AO276,2)</f>
        <v>12.5</v>
      </c>
      <c r="U300" s="986">
        <f>ROUND(NOMINA!AQ276,2)</f>
        <v>0</v>
      </c>
      <c r="V300" s="986">
        <f>ROUND(NOMINA!AR276,2)</f>
        <v>0</v>
      </c>
      <c r="W300" s="986">
        <f>ROUND(NOMINA!AS276,2)</f>
        <v>0</v>
      </c>
      <c r="X300" s="986">
        <f>ROUND(NOMINA!AW276,2)</f>
        <v>126.88</v>
      </c>
      <c r="Y300" s="986">
        <f>ROUND(NOMINA!AX276,2)</f>
        <v>0</v>
      </c>
      <c r="Z300" s="986">
        <f>ROUND(NOMINA!BB276,2)+ROUND(NOMINA!BF276,2)</f>
        <v>82.47</v>
      </c>
      <c r="AA300" s="986">
        <f>ROUND(NOMINA!BK276,2)*0</f>
        <v>0</v>
      </c>
      <c r="AB300" s="986">
        <f>ROUND(NOMINA!BG276,2)</f>
        <v>300</v>
      </c>
      <c r="AC300" s="1000">
        <f t="shared" si="16"/>
        <v>727.06000000000006</v>
      </c>
      <c r="AE300" s="634"/>
    </row>
    <row r="301" spans="1:31" s="629" customFormat="1" ht="20.100000000000001" customHeight="1" thickBot="1">
      <c r="A301" s="770" t="s">
        <v>2846</v>
      </c>
      <c r="B301" s="510">
        <f t="shared" si="17"/>
        <v>235</v>
      </c>
      <c r="C301" s="980">
        <f>NOMINA!C277</f>
        <v>25173139</v>
      </c>
      <c r="D301" s="981" t="str">
        <f>NOMINA!D277</f>
        <v>Viloria Albornoz Arelis Andreina</v>
      </c>
      <c r="E301" s="978" t="s">
        <v>4622</v>
      </c>
      <c r="F301" s="982">
        <v>32351</v>
      </c>
      <c r="G301" s="978" t="s">
        <v>4620</v>
      </c>
      <c r="H301" s="1001">
        <f>NOMINA!H277</f>
        <v>45536</v>
      </c>
      <c r="I301" s="984">
        <f>NOMINA!I277</f>
        <v>0</v>
      </c>
      <c r="J301" s="985">
        <f>NOMINA!J277</f>
        <v>0</v>
      </c>
      <c r="K301" s="984">
        <f t="shared" si="15"/>
        <v>0</v>
      </c>
      <c r="L301" s="985" t="s">
        <v>4932</v>
      </c>
      <c r="M301" s="985"/>
      <c r="N301" s="1002" t="str">
        <f>NOMINA!O277</f>
        <v>PLANIFICADOR I</v>
      </c>
      <c r="O301" s="985">
        <v>1.02087691000006E+18</v>
      </c>
      <c r="P301" s="999">
        <f>NOMINA!W277</f>
        <v>123</v>
      </c>
      <c r="Q301" s="986">
        <f>NOMINA!AG277</f>
        <v>0</v>
      </c>
      <c r="R301" s="986">
        <f>NOMINA!AI277</f>
        <v>65</v>
      </c>
      <c r="S301" s="986">
        <f>NOMINA!AK277</f>
        <v>48.56</v>
      </c>
      <c r="T301" s="986">
        <f>ROUND(NOMINA!AO277,2)</f>
        <v>0</v>
      </c>
      <c r="U301" s="986">
        <f>ROUND(NOMINA!AQ277,2)</f>
        <v>0</v>
      </c>
      <c r="V301" s="986">
        <f>ROUND(NOMINA!AR277,2)</f>
        <v>0</v>
      </c>
      <c r="W301" s="986">
        <f>ROUND(NOMINA!AS277,2)</f>
        <v>0</v>
      </c>
      <c r="X301" s="986">
        <f>ROUND(NOMINA!AW277,2)</f>
        <v>0</v>
      </c>
      <c r="Y301" s="986">
        <f>ROUND(NOMINA!AX277,2)</f>
        <v>0</v>
      </c>
      <c r="Z301" s="986">
        <f>ROUND(NOMINA!BB277,2)+ROUND(NOMINA!BF277,2)</f>
        <v>0</v>
      </c>
      <c r="AA301" s="986">
        <f>ROUND(NOMINA!BK277,2)*0</f>
        <v>0</v>
      </c>
      <c r="AB301" s="986">
        <f>ROUND(NOMINA!BG277,2)</f>
        <v>300</v>
      </c>
      <c r="AC301" s="1000">
        <f t="shared" si="16"/>
        <v>536.55999999999995</v>
      </c>
      <c r="AE301" s="634"/>
    </row>
    <row r="302" spans="1:31" s="629" customFormat="1" ht="20.100000000000001" customHeight="1" thickBot="1">
      <c r="A302" s="770" t="s">
        <v>2846</v>
      </c>
      <c r="B302" s="510">
        <f t="shared" si="17"/>
        <v>236</v>
      </c>
      <c r="C302" s="980">
        <f>NOMINA!C278</f>
        <v>25173983</v>
      </c>
      <c r="D302" s="981" t="str">
        <f>NOMINA!D278</f>
        <v>Guanda Barazarte Roxely Andreina</v>
      </c>
      <c r="E302" s="978" t="s">
        <v>4622</v>
      </c>
      <c r="F302" s="982">
        <v>32351</v>
      </c>
      <c r="G302" s="978" t="s">
        <v>4620</v>
      </c>
      <c r="H302" s="1001">
        <f>NOMINA!H278</f>
        <v>44363</v>
      </c>
      <c r="I302" s="984">
        <f>NOMINA!I278</f>
        <v>3</v>
      </c>
      <c r="J302" s="985">
        <f>NOMINA!J278</f>
        <v>0</v>
      </c>
      <c r="K302" s="984">
        <f t="shared" si="15"/>
        <v>3</v>
      </c>
      <c r="L302" s="985" t="s">
        <v>4932</v>
      </c>
      <c r="M302" s="985"/>
      <c r="N302" s="1002" t="str">
        <f>NOMINA!O278</f>
        <v>Guia de Centro I</v>
      </c>
      <c r="O302" s="985">
        <v>1.02087691000006E+18</v>
      </c>
      <c r="P302" s="999">
        <f>NOMINA!W278</f>
        <v>75</v>
      </c>
      <c r="Q302" s="986">
        <f>NOMINA!AG278</f>
        <v>2.25</v>
      </c>
      <c r="R302" s="986">
        <f>NOMINA!AI278</f>
        <v>65</v>
      </c>
      <c r="S302" s="986">
        <f>NOMINA!AK278</f>
        <v>0</v>
      </c>
      <c r="T302" s="986">
        <f>ROUND(NOMINA!AO278,2)</f>
        <v>12.5</v>
      </c>
      <c r="U302" s="986">
        <f>ROUND(NOMINA!AQ278,2)</f>
        <v>0</v>
      </c>
      <c r="V302" s="986">
        <f>ROUND(NOMINA!AR278,2)</f>
        <v>0</v>
      </c>
      <c r="W302" s="986">
        <f>ROUND(NOMINA!AS278,2)</f>
        <v>0</v>
      </c>
      <c r="X302" s="986">
        <f>ROUND(NOMINA!AW278,2)</f>
        <v>89.1</v>
      </c>
      <c r="Y302" s="986">
        <f>ROUND(NOMINA!AX278,2)</f>
        <v>0</v>
      </c>
      <c r="Z302" s="986">
        <f>ROUND(NOMINA!BB278,2)+ROUND(NOMINA!BF278,2)</f>
        <v>0</v>
      </c>
      <c r="AA302" s="986">
        <f>ROUND(NOMINA!BK278,2)*0</f>
        <v>0</v>
      </c>
      <c r="AB302" s="986">
        <f>ROUND(NOMINA!BG278,2)</f>
        <v>300</v>
      </c>
      <c r="AC302" s="1000">
        <f t="shared" si="16"/>
        <v>543.85</v>
      </c>
      <c r="AE302" s="634"/>
    </row>
    <row r="303" spans="1:31" s="629" customFormat="1" ht="20.100000000000001" customHeight="1" thickBot="1">
      <c r="A303" s="770"/>
      <c r="B303" s="510">
        <f t="shared" si="17"/>
        <v>237</v>
      </c>
      <c r="C303" s="980">
        <f>NOMINA!C279</f>
        <v>25303390</v>
      </c>
      <c r="D303" s="981" t="str">
        <f>NOMINA!D279</f>
        <v>Graterol Castillo Yoselyn Zunedy</v>
      </c>
      <c r="E303" s="978" t="s">
        <v>4622</v>
      </c>
      <c r="F303" s="982">
        <v>32351</v>
      </c>
      <c r="G303" s="978" t="s">
        <v>4620</v>
      </c>
      <c r="H303" s="1001">
        <f>NOMINA!H279</f>
        <v>43862</v>
      </c>
      <c r="I303" s="984">
        <f>NOMINA!I279</f>
        <v>4</v>
      </c>
      <c r="J303" s="985">
        <f>NOMINA!J279</f>
        <v>0</v>
      </c>
      <c r="K303" s="984">
        <f t="shared" si="15"/>
        <v>4</v>
      </c>
      <c r="L303" s="985" t="s">
        <v>4932</v>
      </c>
      <c r="M303" s="985"/>
      <c r="N303" s="1002" t="str">
        <f>NOMINA!O279</f>
        <v>Guia de Centro I</v>
      </c>
      <c r="O303" s="985">
        <v>1.02087691000006E+18</v>
      </c>
      <c r="P303" s="999">
        <f>NOMINA!W279</f>
        <v>75</v>
      </c>
      <c r="Q303" s="986">
        <f>NOMINA!AG279</f>
        <v>3</v>
      </c>
      <c r="R303" s="986">
        <f>NOMINA!AI279</f>
        <v>65</v>
      </c>
      <c r="S303" s="986">
        <f>NOMINA!AK279</f>
        <v>0</v>
      </c>
      <c r="T303" s="986">
        <f>ROUND(NOMINA!AO279,2)</f>
        <v>25</v>
      </c>
      <c r="U303" s="986">
        <f>ROUND(NOMINA!AQ279,2)</f>
        <v>0</v>
      </c>
      <c r="V303" s="986">
        <f>ROUND(NOMINA!AR279,2)</f>
        <v>0</v>
      </c>
      <c r="W303" s="986">
        <f>ROUND(NOMINA!AS279,2)</f>
        <v>0</v>
      </c>
      <c r="X303" s="986">
        <f>ROUND(NOMINA!AW279,2)</f>
        <v>93.3</v>
      </c>
      <c r="Y303" s="986">
        <f>ROUND(NOMINA!AX279,2)</f>
        <v>0</v>
      </c>
      <c r="Z303" s="986">
        <f>ROUND(NOMINA!BB279,2)+ROUND(NOMINA!BF279,2)</f>
        <v>60.65</v>
      </c>
      <c r="AA303" s="986">
        <f>ROUND(NOMINA!BK279,2)*0</f>
        <v>0</v>
      </c>
      <c r="AB303" s="986">
        <f>ROUND(NOMINA!BG279,2)</f>
        <v>300</v>
      </c>
      <c r="AC303" s="1000">
        <f t="shared" si="16"/>
        <v>621.95000000000005</v>
      </c>
      <c r="AE303" s="634"/>
    </row>
    <row r="304" spans="1:31" s="629" customFormat="1" ht="20.100000000000001" customHeight="1" thickBot="1">
      <c r="A304" s="770"/>
      <c r="B304" s="510">
        <f t="shared" si="17"/>
        <v>238</v>
      </c>
      <c r="C304" s="980">
        <f>NOMINA!C280</f>
        <v>25454143</v>
      </c>
      <c r="D304" s="981" t="str">
        <f>NOMINA!D280</f>
        <v>Briceño Ana Beatriz</v>
      </c>
      <c r="E304" s="978" t="s">
        <v>4622</v>
      </c>
      <c r="F304" s="982">
        <v>32351</v>
      </c>
      <c r="G304" s="978" t="s">
        <v>4620</v>
      </c>
      <c r="H304" s="1001">
        <f>NOMINA!H280</f>
        <v>45536</v>
      </c>
      <c r="I304" s="984">
        <f>NOMINA!I280</f>
        <v>0</v>
      </c>
      <c r="J304" s="985">
        <f>NOMINA!J280</f>
        <v>0</v>
      </c>
      <c r="K304" s="984">
        <f t="shared" si="15"/>
        <v>0</v>
      </c>
      <c r="L304" s="985" t="s">
        <v>4932</v>
      </c>
      <c r="M304" s="985"/>
      <c r="N304" s="1002" t="str">
        <f>NOMINA!O280</f>
        <v>Guia de Centro I</v>
      </c>
      <c r="O304" s="985">
        <v>1.02087691000006E+18</v>
      </c>
      <c r="P304" s="999">
        <f>NOMINA!W280</f>
        <v>65</v>
      </c>
      <c r="Q304" s="986">
        <f>NOMINA!AG280</f>
        <v>0</v>
      </c>
      <c r="R304" s="986">
        <f>NOMINA!AI280</f>
        <v>65</v>
      </c>
      <c r="S304" s="986">
        <f>NOMINA!AK280</f>
        <v>0</v>
      </c>
      <c r="T304" s="986">
        <f>ROUND(NOMINA!AO280,2)</f>
        <v>0</v>
      </c>
      <c r="U304" s="986">
        <f>ROUND(NOMINA!AQ280,2)</f>
        <v>0</v>
      </c>
      <c r="V304" s="986">
        <f>ROUND(NOMINA!AR280,2)</f>
        <v>0</v>
      </c>
      <c r="W304" s="986">
        <f>ROUND(NOMINA!AS280,2)</f>
        <v>0</v>
      </c>
      <c r="X304" s="986">
        <f>ROUND(NOMINA!AW280,2)</f>
        <v>81.75</v>
      </c>
      <c r="Y304" s="986">
        <f>ROUND(NOMINA!AX280,2)</f>
        <v>0</v>
      </c>
      <c r="Z304" s="986">
        <f>ROUND(NOMINA!BB280,2)+ROUND(NOMINA!BF280,2)</f>
        <v>70.849999999999994</v>
      </c>
      <c r="AA304" s="986">
        <f>ROUND(NOMINA!BK280,2)*0</f>
        <v>0</v>
      </c>
      <c r="AB304" s="986">
        <f>ROUND(NOMINA!BG280,2)</f>
        <v>300</v>
      </c>
      <c r="AC304" s="1000">
        <f t="shared" si="16"/>
        <v>582.6</v>
      </c>
      <c r="AE304" s="634"/>
    </row>
    <row r="305" spans="1:31" s="629" customFormat="1" ht="20.100000000000001" customHeight="1" thickBot="1">
      <c r="A305" s="770"/>
      <c r="B305" s="510">
        <f t="shared" si="17"/>
        <v>239</v>
      </c>
      <c r="C305" s="980">
        <f>NOMINA!C281</f>
        <v>25604733</v>
      </c>
      <c r="D305" s="981" t="str">
        <f>NOMINA!D281</f>
        <v>Nava Carrillo Oriana Daniela</v>
      </c>
      <c r="E305" s="978" t="s">
        <v>4622</v>
      </c>
      <c r="F305" s="982">
        <v>32351</v>
      </c>
      <c r="G305" s="978" t="s">
        <v>4620</v>
      </c>
      <c r="H305" s="1001">
        <f>NOMINA!H281</f>
        <v>43754</v>
      </c>
      <c r="I305" s="984">
        <f>NOMINA!I281</f>
        <v>5</v>
      </c>
      <c r="J305" s="985">
        <f>NOMINA!J281</f>
        <v>0</v>
      </c>
      <c r="K305" s="984">
        <f t="shared" si="15"/>
        <v>5</v>
      </c>
      <c r="L305" s="985" t="s">
        <v>4932</v>
      </c>
      <c r="M305" s="985"/>
      <c r="N305" s="1002" t="str">
        <f>NOMINA!O281</f>
        <v>Entrenador Deportivo II</v>
      </c>
      <c r="O305" s="985">
        <v>1.02087691000006E+18</v>
      </c>
      <c r="P305" s="999">
        <f>NOMINA!W281</f>
        <v>75</v>
      </c>
      <c r="Q305" s="986">
        <f>NOMINA!AG281</f>
        <v>3.75</v>
      </c>
      <c r="R305" s="986">
        <f>NOMINA!AI281</f>
        <v>65</v>
      </c>
      <c r="S305" s="986">
        <f>NOMINA!AK281</f>
        <v>0</v>
      </c>
      <c r="T305" s="986">
        <f>ROUND(NOMINA!AO281,2)</f>
        <v>0</v>
      </c>
      <c r="U305" s="986">
        <f>ROUND(NOMINA!AQ281,2)</f>
        <v>0</v>
      </c>
      <c r="V305" s="986">
        <f>ROUND(NOMINA!AR281,2)</f>
        <v>0</v>
      </c>
      <c r="W305" s="986">
        <f>ROUND(NOMINA!AS281,2)</f>
        <v>0</v>
      </c>
      <c r="X305" s="986">
        <f>ROUND(NOMINA!AW281,2)</f>
        <v>0</v>
      </c>
      <c r="Y305" s="986">
        <f>ROUND(NOMINA!AX281,2)</f>
        <v>0</v>
      </c>
      <c r="Z305" s="986">
        <f>ROUND(NOMINA!BB281,2)+ROUND(NOMINA!BF281,2)</f>
        <v>0</v>
      </c>
      <c r="AA305" s="986">
        <f>ROUND(NOMINA!BK281,2)*0</f>
        <v>0</v>
      </c>
      <c r="AB305" s="986">
        <f>ROUND(NOMINA!BG281,2)</f>
        <v>300</v>
      </c>
      <c r="AC305" s="1000">
        <f t="shared" si="16"/>
        <v>443.75</v>
      </c>
      <c r="AE305" s="634"/>
    </row>
    <row r="306" spans="1:31" s="629" customFormat="1" ht="20.100000000000001" customHeight="1" thickBot="1">
      <c r="A306" s="770"/>
      <c r="B306" s="510">
        <f t="shared" si="17"/>
        <v>240</v>
      </c>
      <c r="C306" s="980">
        <f>NOMINA!C282</f>
        <v>25619540</v>
      </c>
      <c r="D306" s="981" t="str">
        <f>NOMINA!D282</f>
        <v xml:space="preserve">Balza Vetencourt Maria Gabriela </v>
      </c>
      <c r="E306" s="978" t="s">
        <v>4622</v>
      </c>
      <c r="F306" s="982">
        <v>32351</v>
      </c>
      <c r="G306" s="978" t="s">
        <v>4620</v>
      </c>
      <c r="H306" s="1001">
        <f>NOMINA!H282</f>
        <v>44743</v>
      </c>
      <c r="I306" s="984">
        <f>NOMINA!I282</f>
        <v>2</v>
      </c>
      <c r="J306" s="985">
        <f>NOMINA!J282</f>
        <v>0</v>
      </c>
      <c r="K306" s="984">
        <f t="shared" si="15"/>
        <v>2</v>
      </c>
      <c r="L306" s="985" t="s">
        <v>4932</v>
      </c>
      <c r="M306" s="985"/>
      <c r="N306" s="1002" t="str">
        <f>NOMINA!O282</f>
        <v>Guia de Centro I</v>
      </c>
      <c r="O306" s="985">
        <v>1.02087691000006E+18</v>
      </c>
      <c r="P306" s="999">
        <f>NOMINA!W282</f>
        <v>65</v>
      </c>
      <c r="Q306" s="986">
        <f>NOMINA!AG282</f>
        <v>1.3</v>
      </c>
      <c r="R306" s="986">
        <f>NOMINA!AI282</f>
        <v>65</v>
      </c>
      <c r="S306" s="986">
        <f>NOMINA!AK282</f>
        <v>0</v>
      </c>
      <c r="T306" s="986">
        <f>ROUND(NOMINA!AO282,2)</f>
        <v>25</v>
      </c>
      <c r="U306" s="986">
        <f>ROUND(NOMINA!AQ282,2)</f>
        <v>0</v>
      </c>
      <c r="V306" s="986">
        <f>ROUND(NOMINA!AR282,2)</f>
        <v>0</v>
      </c>
      <c r="W306" s="986">
        <f>ROUND(NOMINA!AS282,2)</f>
        <v>0</v>
      </c>
      <c r="X306" s="986">
        <f>ROUND(NOMINA!AW282,2)</f>
        <v>86.28</v>
      </c>
      <c r="Y306" s="986">
        <f>ROUND(NOMINA!AX282,2)</f>
        <v>0</v>
      </c>
      <c r="Z306" s="986">
        <f>ROUND(NOMINA!BB282,2)+ROUND(NOMINA!BF282,2)</f>
        <v>74.78</v>
      </c>
      <c r="AA306" s="986">
        <f>ROUND(NOMINA!BK282,2)*0</f>
        <v>0</v>
      </c>
      <c r="AB306" s="986">
        <f>ROUND(NOMINA!BG282,2)</f>
        <v>300</v>
      </c>
      <c r="AC306" s="1000">
        <f t="shared" si="16"/>
        <v>617.36</v>
      </c>
      <c r="AE306" s="634"/>
    </row>
    <row r="307" spans="1:31" s="629" customFormat="1" ht="20.100000000000001" customHeight="1" thickBot="1">
      <c r="A307" s="770"/>
      <c r="B307" s="510">
        <f t="shared" si="17"/>
        <v>241</v>
      </c>
      <c r="C307" s="980">
        <f>NOMINA!C283</f>
        <v>26094609</v>
      </c>
      <c r="D307" s="981" t="str">
        <f>NOMINA!D283</f>
        <v>Andara Moreno Marielena Nathaly</v>
      </c>
      <c r="E307" s="978" t="s">
        <v>4622</v>
      </c>
      <c r="F307" s="982">
        <v>32351</v>
      </c>
      <c r="G307" s="978" t="s">
        <v>4620</v>
      </c>
      <c r="H307" s="1001">
        <f>NOMINA!H283</f>
        <v>44713</v>
      </c>
      <c r="I307" s="984">
        <f>NOMINA!I283</f>
        <v>2</v>
      </c>
      <c r="J307" s="985">
        <f>NOMINA!J283</f>
        <v>0</v>
      </c>
      <c r="K307" s="984">
        <f t="shared" si="15"/>
        <v>2</v>
      </c>
      <c r="L307" s="985" t="s">
        <v>4932</v>
      </c>
      <c r="M307" s="985"/>
      <c r="N307" s="1002" t="str">
        <f>NOMINA!O283</f>
        <v>Abogado I</v>
      </c>
      <c r="O307" s="985">
        <v>1.02087691000006E+18</v>
      </c>
      <c r="P307" s="999">
        <f>NOMINA!W283</f>
        <v>123</v>
      </c>
      <c r="Q307" s="986">
        <f>NOMINA!AG283</f>
        <v>2.46</v>
      </c>
      <c r="R307" s="986">
        <f>NOMINA!AI283</f>
        <v>65</v>
      </c>
      <c r="S307" s="986">
        <f>NOMINA!AK283</f>
        <v>47.61</v>
      </c>
      <c r="T307" s="986">
        <f>ROUND(NOMINA!AO283,2)</f>
        <v>0</v>
      </c>
      <c r="U307" s="986">
        <f>ROUND(NOMINA!AQ283,2)</f>
        <v>0</v>
      </c>
      <c r="V307" s="986">
        <f>ROUND(NOMINA!AR283,2)</f>
        <v>0</v>
      </c>
      <c r="W307" s="986">
        <f>ROUND(NOMINA!AS283,2)</f>
        <v>0</v>
      </c>
      <c r="X307" s="986">
        <f>ROUND(NOMINA!AW283,2)</f>
        <v>0</v>
      </c>
      <c r="Y307" s="986">
        <f>ROUND(NOMINA!AX283,2)</f>
        <v>0</v>
      </c>
      <c r="Z307" s="986">
        <f>ROUND(NOMINA!BB283,2)+ROUND(NOMINA!BF283,2)</f>
        <v>0</v>
      </c>
      <c r="AA307" s="986">
        <f>ROUND(NOMINA!BK283,2)*0</f>
        <v>0</v>
      </c>
      <c r="AB307" s="986">
        <f>ROUND(NOMINA!BG283,2)</f>
        <v>300</v>
      </c>
      <c r="AC307" s="1000">
        <f t="shared" si="16"/>
        <v>538.06999999999994</v>
      </c>
      <c r="AE307" s="634"/>
    </row>
    <row r="308" spans="1:31" s="629" customFormat="1" ht="20.100000000000001" customHeight="1" thickBot="1">
      <c r="A308" s="770"/>
      <c r="B308" s="510">
        <f t="shared" si="17"/>
        <v>242</v>
      </c>
      <c r="C308" s="980">
        <f>NOMINA!C284</f>
        <v>26094690</v>
      </c>
      <c r="D308" s="981" t="str">
        <f>NOMINA!D284</f>
        <v>Fernandez Romero Numa Manuel</v>
      </c>
      <c r="E308" s="978" t="s">
        <v>4622</v>
      </c>
      <c r="F308" s="982">
        <v>32351</v>
      </c>
      <c r="G308" s="978" t="s">
        <v>4620</v>
      </c>
      <c r="H308" s="1001">
        <f>NOMINA!H284</f>
        <v>45017</v>
      </c>
      <c r="I308" s="984">
        <f>NOMINA!I284</f>
        <v>1</v>
      </c>
      <c r="J308" s="985">
        <f>NOMINA!J284</f>
        <v>0</v>
      </c>
      <c r="K308" s="984">
        <f t="shared" si="15"/>
        <v>1</v>
      </c>
      <c r="L308" s="985" t="s">
        <v>4932</v>
      </c>
      <c r="M308" s="985"/>
      <c r="N308" s="1002" t="str">
        <f>NOMINA!O284</f>
        <v>Guia de Centro I</v>
      </c>
      <c r="O308" s="985">
        <v>1.02087691000006E+18</v>
      </c>
      <c r="P308" s="999">
        <f>NOMINA!W284</f>
        <v>65</v>
      </c>
      <c r="Q308" s="986">
        <f>NOMINA!AG284</f>
        <v>0.65</v>
      </c>
      <c r="R308" s="986">
        <f>NOMINA!AI284</f>
        <v>65</v>
      </c>
      <c r="S308" s="986">
        <f>NOMINA!AK284</f>
        <v>0</v>
      </c>
      <c r="T308" s="986">
        <f>ROUND(NOMINA!AO284,2)</f>
        <v>0</v>
      </c>
      <c r="U308" s="986">
        <f>ROUND(NOMINA!AQ284,2)</f>
        <v>0</v>
      </c>
      <c r="V308" s="986">
        <f>ROUND(NOMINA!AR284,2)</f>
        <v>0</v>
      </c>
      <c r="W308" s="986">
        <f>ROUND(NOMINA!AS284,2)</f>
        <v>0</v>
      </c>
      <c r="X308" s="986">
        <f>ROUND(NOMINA!AW284,2)</f>
        <v>85.89</v>
      </c>
      <c r="Y308" s="986">
        <f>ROUND(NOMINA!AX284,2)</f>
        <v>0</v>
      </c>
      <c r="Z308" s="986">
        <f>ROUND(NOMINA!BB284,2)+ROUND(NOMINA!BF284,2)</f>
        <v>93.05</v>
      </c>
      <c r="AA308" s="986">
        <f>ROUND(NOMINA!BK284,2)*0</f>
        <v>0</v>
      </c>
      <c r="AB308" s="986">
        <f>ROUND(NOMINA!BG284,2)</f>
        <v>300</v>
      </c>
      <c r="AC308" s="1000">
        <f t="shared" si="16"/>
        <v>609.59</v>
      </c>
      <c r="AE308" s="634"/>
    </row>
    <row r="309" spans="1:31" s="629" customFormat="1" ht="20.100000000000001" customHeight="1" thickBot="1">
      <c r="A309" s="770"/>
      <c r="B309" s="510">
        <f t="shared" si="17"/>
        <v>243</v>
      </c>
      <c r="C309" s="980">
        <f>NOMINA!C285</f>
        <v>26114271</v>
      </c>
      <c r="D309" s="981" t="str">
        <f>NOMINA!D285</f>
        <v>Moncayo Perez Ruddy Bellaliz</v>
      </c>
      <c r="E309" s="978" t="s">
        <v>4622</v>
      </c>
      <c r="F309" s="982">
        <v>32351</v>
      </c>
      <c r="G309" s="978" t="s">
        <v>4620</v>
      </c>
      <c r="H309" s="1001">
        <f>NOMINA!H285</f>
        <v>44636</v>
      </c>
      <c r="I309" s="984">
        <f>NOMINA!I285</f>
        <v>2</v>
      </c>
      <c r="J309" s="985">
        <f>NOMINA!J285</f>
        <v>0</v>
      </c>
      <c r="K309" s="984">
        <f t="shared" si="15"/>
        <v>2</v>
      </c>
      <c r="L309" s="985" t="s">
        <v>4932</v>
      </c>
      <c r="M309" s="985"/>
      <c r="N309" s="1002" t="str">
        <f>NOMINA!O285</f>
        <v>Abogado I</v>
      </c>
      <c r="O309" s="985">
        <v>1.02087691000006E+18</v>
      </c>
      <c r="P309" s="999">
        <f>NOMINA!W285</f>
        <v>123</v>
      </c>
      <c r="Q309" s="986">
        <f>NOMINA!AG285</f>
        <v>2.46</v>
      </c>
      <c r="R309" s="986">
        <f>NOMINA!AI285</f>
        <v>65</v>
      </c>
      <c r="S309" s="986">
        <f>NOMINA!AK285</f>
        <v>47.61</v>
      </c>
      <c r="T309" s="986">
        <f>ROUND(NOMINA!AO285,2)</f>
        <v>0</v>
      </c>
      <c r="U309" s="986">
        <f>ROUND(NOMINA!AQ285,2)</f>
        <v>0</v>
      </c>
      <c r="V309" s="986">
        <f>ROUND(NOMINA!AR285,2)</f>
        <v>0</v>
      </c>
      <c r="W309" s="986">
        <f>ROUND(NOMINA!AS285,2)</f>
        <v>0</v>
      </c>
      <c r="X309" s="986">
        <f>ROUND(NOMINA!AW285,2)</f>
        <v>0</v>
      </c>
      <c r="Y309" s="986">
        <f>ROUND(NOMINA!AX285,2)</f>
        <v>0</v>
      </c>
      <c r="Z309" s="986">
        <f>ROUND(NOMINA!BB285,2)+ROUND(NOMINA!BF285,2)</f>
        <v>0</v>
      </c>
      <c r="AA309" s="986">
        <f>ROUND(NOMINA!BK285,2)*0</f>
        <v>0</v>
      </c>
      <c r="AB309" s="986">
        <f>ROUND(NOMINA!BG285,2)</f>
        <v>300</v>
      </c>
      <c r="AC309" s="1000">
        <f t="shared" si="16"/>
        <v>538.06999999999994</v>
      </c>
      <c r="AE309" s="634"/>
    </row>
    <row r="310" spans="1:31" s="629" customFormat="1" ht="20.100000000000001" customHeight="1" thickBot="1">
      <c r="A310" s="770"/>
      <c r="B310" s="510">
        <f t="shared" si="17"/>
        <v>244</v>
      </c>
      <c r="C310" s="980">
        <f>NOMINA!C286</f>
        <v>26191823</v>
      </c>
      <c r="D310" s="981" t="str">
        <f>NOMINA!D286</f>
        <v>Briceño Espinoza Brayhan Jose</v>
      </c>
      <c r="E310" s="978" t="s">
        <v>4622</v>
      </c>
      <c r="F310" s="982">
        <v>32351</v>
      </c>
      <c r="G310" s="978" t="s">
        <v>4620</v>
      </c>
      <c r="H310" s="1001">
        <f>NOMINA!H286</f>
        <v>44470</v>
      </c>
      <c r="I310" s="984">
        <f>NOMINA!I286</f>
        <v>3</v>
      </c>
      <c r="J310" s="985">
        <f>NOMINA!J286</f>
        <v>0</v>
      </c>
      <c r="K310" s="984">
        <f t="shared" si="15"/>
        <v>3</v>
      </c>
      <c r="L310" s="985" t="s">
        <v>4932</v>
      </c>
      <c r="M310" s="985"/>
      <c r="N310" s="1002" t="str">
        <f>NOMINA!O286</f>
        <v>Abogado II</v>
      </c>
      <c r="O310" s="985">
        <v>1.02087691000006E+18</v>
      </c>
      <c r="P310" s="999">
        <f>NOMINA!W286</f>
        <v>138.5</v>
      </c>
      <c r="Q310" s="986">
        <f>NOMINA!AG286</f>
        <v>4.1500000000000004</v>
      </c>
      <c r="R310" s="986">
        <f>NOMINA!AI286</f>
        <v>65</v>
      </c>
      <c r="S310" s="986">
        <f>NOMINA!AK286</f>
        <v>51.91</v>
      </c>
      <c r="T310" s="986">
        <f>ROUND(NOMINA!AO286,2)</f>
        <v>0</v>
      </c>
      <c r="U310" s="986">
        <f>ROUND(NOMINA!AQ286,2)</f>
        <v>0</v>
      </c>
      <c r="V310" s="986">
        <f>ROUND(NOMINA!AR286,2)</f>
        <v>0</v>
      </c>
      <c r="W310" s="986">
        <f>ROUND(NOMINA!AS286,2)</f>
        <v>0</v>
      </c>
      <c r="X310" s="986">
        <f>ROUND(NOMINA!AW286,2)</f>
        <v>0</v>
      </c>
      <c r="Y310" s="986">
        <f>ROUND(NOMINA!AX286,2)</f>
        <v>0</v>
      </c>
      <c r="Z310" s="986">
        <f>ROUND(NOMINA!BB286,2)+ROUND(NOMINA!BF286,2)</f>
        <v>0</v>
      </c>
      <c r="AA310" s="986">
        <f>ROUND(NOMINA!BK286,2)*0</f>
        <v>0</v>
      </c>
      <c r="AB310" s="986">
        <f>ROUND(NOMINA!BG286,2)</f>
        <v>300</v>
      </c>
      <c r="AC310" s="1000">
        <f t="shared" si="16"/>
        <v>559.55999999999995</v>
      </c>
      <c r="AE310" s="634"/>
    </row>
    <row r="311" spans="1:31" s="629" customFormat="1" ht="20.100000000000001" customHeight="1" thickBot="1">
      <c r="A311" s="770"/>
      <c r="B311" s="510">
        <f t="shared" si="17"/>
        <v>245</v>
      </c>
      <c r="C311" s="980">
        <f>NOMINA!C287</f>
        <v>26235963</v>
      </c>
      <c r="D311" s="981" t="str">
        <f>NOMINA!D287</f>
        <v>Segovia Segovia Freylu Margarita</v>
      </c>
      <c r="E311" s="978" t="s">
        <v>4622</v>
      </c>
      <c r="F311" s="982">
        <v>32351</v>
      </c>
      <c r="G311" s="978" t="s">
        <v>4620</v>
      </c>
      <c r="H311" s="1001">
        <f>NOMINA!H287</f>
        <v>45383</v>
      </c>
      <c r="I311" s="984">
        <f>NOMINA!I287</f>
        <v>0</v>
      </c>
      <c r="J311" s="985">
        <f>NOMINA!J287</f>
        <v>0</v>
      </c>
      <c r="K311" s="984">
        <f t="shared" si="15"/>
        <v>0</v>
      </c>
      <c r="L311" s="985" t="s">
        <v>4932</v>
      </c>
      <c r="M311" s="985"/>
      <c r="N311" s="1002" t="str">
        <f>NOMINA!O287</f>
        <v>Psicologo I</v>
      </c>
      <c r="O311" s="985">
        <v>1.02087691000006E+18</v>
      </c>
      <c r="P311" s="999">
        <f>NOMINA!W287</f>
        <v>123</v>
      </c>
      <c r="Q311" s="986">
        <f>NOMINA!AG287</f>
        <v>0</v>
      </c>
      <c r="R311" s="986">
        <f>NOMINA!AI287</f>
        <v>65</v>
      </c>
      <c r="S311" s="986">
        <f>NOMINA!AK287</f>
        <v>48.56</v>
      </c>
      <c r="T311" s="986">
        <f>ROUND(NOMINA!AO287,2)</f>
        <v>0</v>
      </c>
      <c r="U311" s="986">
        <f>ROUND(NOMINA!AQ287,2)</f>
        <v>0</v>
      </c>
      <c r="V311" s="986">
        <f>ROUND(NOMINA!AR287,2)</f>
        <v>0</v>
      </c>
      <c r="W311" s="986">
        <f>ROUND(NOMINA!AS287,2)</f>
        <v>0</v>
      </c>
      <c r="X311" s="986">
        <f>ROUND(NOMINA!AW287,2)</f>
        <v>0</v>
      </c>
      <c r="Y311" s="986">
        <f>ROUND(NOMINA!AX287,2)</f>
        <v>0</v>
      </c>
      <c r="Z311" s="986">
        <f>ROUND(NOMINA!BB287,2)+ROUND(NOMINA!BF287,2)</f>
        <v>0</v>
      </c>
      <c r="AA311" s="986">
        <f>ROUND(NOMINA!BK287,2)*0</f>
        <v>0</v>
      </c>
      <c r="AB311" s="986">
        <f>ROUND(NOMINA!BG287,2)</f>
        <v>300</v>
      </c>
      <c r="AC311" s="1000">
        <f t="shared" si="16"/>
        <v>536.55999999999995</v>
      </c>
      <c r="AE311" s="634"/>
    </row>
    <row r="312" spans="1:31" s="629" customFormat="1" ht="20.100000000000001" customHeight="1" thickBot="1">
      <c r="A312" s="770"/>
      <c r="B312" s="510">
        <f t="shared" si="17"/>
        <v>246</v>
      </c>
      <c r="C312" s="980">
        <f>NOMINA!C288</f>
        <v>26413871</v>
      </c>
      <c r="D312" s="981" t="str">
        <f>NOMINA!D288</f>
        <v>Molina Rojas Genesis Angely</v>
      </c>
      <c r="E312" s="978" t="s">
        <v>4622</v>
      </c>
      <c r="F312" s="982">
        <v>32351</v>
      </c>
      <c r="G312" s="978" t="s">
        <v>4620</v>
      </c>
      <c r="H312" s="1001">
        <f>NOMINA!H288</f>
        <v>44228</v>
      </c>
      <c r="I312" s="984">
        <f>NOMINA!I288</f>
        <v>3</v>
      </c>
      <c r="J312" s="985">
        <f>NOMINA!J288</f>
        <v>0</v>
      </c>
      <c r="K312" s="984">
        <f t="shared" si="15"/>
        <v>3</v>
      </c>
      <c r="L312" s="985" t="s">
        <v>4932</v>
      </c>
      <c r="M312" s="985"/>
      <c r="N312" s="1002" t="str">
        <f>NOMINA!O288</f>
        <v>Guia de Centro I</v>
      </c>
      <c r="O312" s="985">
        <v>1.02087691000006E+18</v>
      </c>
      <c r="P312" s="999">
        <f>NOMINA!W288</f>
        <v>75</v>
      </c>
      <c r="Q312" s="986">
        <f>NOMINA!AG288</f>
        <v>2.25</v>
      </c>
      <c r="R312" s="986">
        <f>NOMINA!AI288</f>
        <v>65</v>
      </c>
      <c r="S312" s="986">
        <f>NOMINA!AK288</f>
        <v>0</v>
      </c>
      <c r="T312" s="986">
        <f>ROUND(NOMINA!AO288,2)</f>
        <v>0</v>
      </c>
      <c r="U312" s="986">
        <f>ROUND(NOMINA!AQ288,2)</f>
        <v>0</v>
      </c>
      <c r="V312" s="986">
        <f>ROUND(NOMINA!AR288,2)</f>
        <v>0</v>
      </c>
      <c r="W312" s="986">
        <f>ROUND(NOMINA!AS288,2)</f>
        <v>0</v>
      </c>
      <c r="X312" s="986">
        <f>ROUND(NOMINA!AW288,2)</f>
        <v>92.85</v>
      </c>
      <c r="Y312" s="986">
        <f>ROUND(NOMINA!AX288,2)</f>
        <v>0</v>
      </c>
      <c r="Z312" s="986">
        <f>ROUND(NOMINA!BB288,2)+ROUND(NOMINA!BF288,2)</f>
        <v>60.35</v>
      </c>
      <c r="AA312" s="986">
        <f>ROUND(NOMINA!BK288,2)*0</f>
        <v>0</v>
      </c>
      <c r="AB312" s="986">
        <f>ROUND(NOMINA!BG288,2)</f>
        <v>300</v>
      </c>
      <c r="AC312" s="1000">
        <f t="shared" si="16"/>
        <v>595.45000000000005</v>
      </c>
      <c r="AE312" s="634"/>
    </row>
    <row r="313" spans="1:31" s="629" customFormat="1" ht="20.100000000000001" customHeight="1" thickBot="1">
      <c r="A313" s="770"/>
      <c r="B313" s="510">
        <f t="shared" si="17"/>
        <v>247</v>
      </c>
      <c r="C313" s="980">
        <f>NOMINA!C289</f>
        <v>26591879</v>
      </c>
      <c r="D313" s="981" t="str">
        <f>NOMINA!D289</f>
        <v>Delgado Cabezas Rosa Magdalena</v>
      </c>
      <c r="E313" s="978" t="s">
        <v>4622</v>
      </c>
      <c r="F313" s="982">
        <v>32351</v>
      </c>
      <c r="G313" s="978" t="s">
        <v>4620</v>
      </c>
      <c r="H313" s="1001">
        <f>NOMINA!H289</f>
        <v>43587</v>
      </c>
      <c r="I313" s="984">
        <f>NOMINA!I289</f>
        <v>5</v>
      </c>
      <c r="J313" s="985">
        <f>NOMINA!J289</f>
        <v>0</v>
      </c>
      <c r="K313" s="984">
        <f t="shared" si="15"/>
        <v>5</v>
      </c>
      <c r="L313" s="985" t="s">
        <v>4932</v>
      </c>
      <c r="M313" s="985"/>
      <c r="N313" s="1002" t="str">
        <f>NOMINA!O289</f>
        <v>Psicologo II</v>
      </c>
      <c r="O313" s="985">
        <v>1.02087691000006E+18</v>
      </c>
      <c r="P313" s="999">
        <f>NOMINA!W289</f>
        <v>138.5</v>
      </c>
      <c r="Q313" s="986">
        <f>NOMINA!AG289</f>
        <v>6.92</v>
      </c>
      <c r="R313" s="986">
        <f>NOMINA!AI289</f>
        <v>65</v>
      </c>
      <c r="S313" s="986">
        <f>NOMINA!AK289</f>
        <v>54.17</v>
      </c>
      <c r="T313" s="986">
        <f>ROUND(NOMINA!AO289,2)</f>
        <v>0</v>
      </c>
      <c r="U313" s="986">
        <f>ROUND(NOMINA!AQ289,2)</f>
        <v>0</v>
      </c>
      <c r="V313" s="986">
        <f>ROUND(NOMINA!AR289,2)</f>
        <v>0</v>
      </c>
      <c r="W313" s="986">
        <f>ROUND(NOMINA!AS289,2)</f>
        <v>0</v>
      </c>
      <c r="X313" s="986">
        <f>ROUND(NOMINA!AW289,2)</f>
        <v>0</v>
      </c>
      <c r="Y313" s="986">
        <f>ROUND(NOMINA!AX289,2)</f>
        <v>0</v>
      </c>
      <c r="Z313" s="986">
        <f>ROUND(NOMINA!BB289,2)+ROUND(NOMINA!BF289,2)</f>
        <v>0</v>
      </c>
      <c r="AA313" s="986">
        <f>ROUND(NOMINA!BK289,2)*0</f>
        <v>0</v>
      </c>
      <c r="AB313" s="986">
        <f>ROUND(NOMINA!BG289,2)</f>
        <v>300</v>
      </c>
      <c r="AC313" s="1000">
        <f t="shared" si="16"/>
        <v>564.58999999999992</v>
      </c>
      <c r="AE313" s="634"/>
    </row>
    <row r="314" spans="1:31" s="629" customFormat="1" ht="20.100000000000001" customHeight="1" thickBot="1">
      <c r="A314" s="770"/>
      <c r="B314" s="510">
        <f t="shared" si="17"/>
        <v>248</v>
      </c>
      <c r="C314" s="980">
        <f>NOMINA!C290</f>
        <v>26690908</v>
      </c>
      <c r="D314" s="981" t="str">
        <f>NOMINA!D290</f>
        <v>Segovia Lisbeira del Carmen</v>
      </c>
      <c r="E314" s="978" t="s">
        <v>4622</v>
      </c>
      <c r="F314" s="982">
        <v>32351</v>
      </c>
      <c r="G314" s="978" t="s">
        <v>4620</v>
      </c>
      <c r="H314" s="1001">
        <f>NOMINA!H290</f>
        <v>44228</v>
      </c>
      <c r="I314" s="984">
        <f>NOMINA!I290</f>
        <v>3</v>
      </c>
      <c r="J314" s="985">
        <f>NOMINA!J290</f>
        <v>0</v>
      </c>
      <c r="K314" s="984">
        <f t="shared" si="15"/>
        <v>3</v>
      </c>
      <c r="L314" s="985" t="s">
        <v>4932</v>
      </c>
      <c r="M314" s="985"/>
      <c r="N314" s="1002" t="str">
        <f>NOMINA!O290</f>
        <v>Guia de Centro I</v>
      </c>
      <c r="O314" s="985">
        <v>1.02087691000006E+18</v>
      </c>
      <c r="P314" s="999">
        <f>NOMINA!W290</f>
        <v>75</v>
      </c>
      <c r="Q314" s="986">
        <f>NOMINA!AG290</f>
        <v>2.25</v>
      </c>
      <c r="R314" s="986">
        <f>NOMINA!AI290</f>
        <v>65</v>
      </c>
      <c r="S314" s="986">
        <f>NOMINA!AK290</f>
        <v>0</v>
      </c>
      <c r="T314" s="986">
        <f>ROUND(NOMINA!AO290,2)</f>
        <v>0</v>
      </c>
      <c r="U314" s="986">
        <f>ROUND(NOMINA!AQ290,2)</f>
        <v>0</v>
      </c>
      <c r="V314" s="986">
        <f>ROUND(NOMINA!AR290,2)</f>
        <v>0</v>
      </c>
      <c r="W314" s="986">
        <f>ROUND(NOMINA!AS290,2)</f>
        <v>0</v>
      </c>
      <c r="X314" s="986">
        <f>ROUND(NOMINA!AW290,2)</f>
        <v>89.1</v>
      </c>
      <c r="Y314" s="986">
        <f>ROUND(NOMINA!AX290,2)</f>
        <v>0</v>
      </c>
      <c r="Z314" s="986">
        <f>ROUND(NOMINA!BB290,2)+ROUND(NOMINA!BF290,2)</f>
        <v>57.92</v>
      </c>
      <c r="AA314" s="986">
        <f>ROUND(NOMINA!BK290,2)*0</f>
        <v>0</v>
      </c>
      <c r="AB314" s="986">
        <f>ROUND(NOMINA!BG290,2)</f>
        <v>300</v>
      </c>
      <c r="AC314" s="1000">
        <f t="shared" si="16"/>
        <v>589.27</v>
      </c>
      <c r="AE314" s="634"/>
    </row>
    <row r="315" spans="1:31" s="629" customFormat="1" ht="20.100000000000001" customHeight="1" thickBot="1">
      <c r="A315" s="770"/>
      <c r="B315" s="510">
        <f t="shared" si="17"/>
        <v>249</v>
      </c>
      <c r="C315" s="980">
        <f>NOMINA!C291</f>
        <v>26962104</v>
      </c>
      <c r="D315" s="981" t="str">
        <f>NOMINA!D291</f>
        <v>Rubio Briceño Diana Carolina</v>
      </c>
      <c r="E315" s="978" t="s">
        <v>4622</v>
      </c>
      <c r="F315" s="982">
        <v>32351</v>
      </c>
      <c r="G315" s="978" t="s">
        <v>4620</v>
      </c>
      <c r="H315" s="1001">
        <f>NOMINA!H291</f>
        <v>44393</v>
      </c>
      <c r="I315" s="984">
        <f>NOMINA!I291</f>
        <v>3</v>
      </c>
      <c r="J315" s="985">
        <f>NOMINA!J291</f>
        <v>0</v>
      </c>
      <c r="K315" s="984">
        <f t="shared" si="15"/>
        <v>3</v>
      </c>
      <c r="L315" s="985" t="s">
        <v>4932</v>
      </c>
      <c r="M315" s="985"/>
      <c r="N315" s="1002" t="str">
        <f>NOMINA!O291</f>
        <v>Asistente Administrativo II</v>
      </c>
      <c r="O315" s="985">
        <v>1.02087691000006E+18</v>
      </c>
      <c r="P315" s="999">
        <f>NOMINA!W291</f>
        <v>75</v>
      </c>
      <c r="Q315" s="986">
        <f>NOMINA!AG291</f>
        <v>2.25</v>
      </c>
      <c r="R315" s="986">
        <f>NOMINA!AI291</f>
        <v>65</v>
      </c>
      <c r="S315" s="986">
        <f>NOMINA!AK291</f>
        <v>0</v>
      </c>
      <c r="T315" s="986">
        <f>ROUND(NOMINA!AO291,2)</f>
        <v>0</v>
      </c>
      <c r="U315" s="986">
        <f>ROUND(NOMINA!AQ291,2)</f>
        <v>0</v>
      </c>
      <c r="V315" s="986">
        <f>ROUND(NOMINA!AR291,2)</f>
        <v>12.5</v>
      </c>
      <c r="W315" s="986">
        <f>ROUND(NOMINA!AS291,2)</f>
        <v>0</v>
      </c>
      <c r="X315" s="986">
        <f>ROUND(NOMINA!AW291,2)</f>
        <v>0</v>
      </c>
      <c r="Y315" s="986">
        <f>ROUND(NOMINA!AX291,2)</f>
        <v>0</v>
      </c>
      <c r="Z315" s="986">
        <f>ROUND(NOMINA!BB291,2)+ROUND(NOMINA!BF291,2)</f>
        <v>0</v>
      </c>
      <c r="AA315" s="986">
        <f>ROUND(NOMINA!BK291,2)*0</f>
        <v>0</v>
      </c>
      <c r="AB315" s="986">
        <f>ROUND(NOMINA!BG291,2)</f>
        <v>300</v>
      </c>
      <c r="AC315" s="1000">
        <f t="shared" si="16"/>
        <v>454.75</v>
      </c>
      <c r="AE315" s="634"/>
    </row>
    <row r="316" spans="1:31" s="629" customFormat="1" ht="20.100000000000001" customHeight="1" thickBot="1">
      <c r="A316" s="770"/>
      <c r="B316" s="510">
        <f t="shared" si="17"/>
        <v>250</v>
      </c>
      <c r="C316" s="980">
        <f>NOMINA!C292</f>
        <v>27251392</v>
      </c>
      <c r="D316" s="981" t="str">
        <f>NOMINA!D292</f>
        <v>Rangel Maria Antonia</v>
      </c>
      <c r="E316" s="978" t="s">
        <v>4622</v>
      </c>
      <c r="F316" s="982">
        <v>32351</v>
      </c>
      <c r="G316" s="978" t="s">
        <v>4620</v>
      </c>
      <c r="H316" s="1001">
        <f>NOMINA!H292</f>
        <v>45627</v>
      </c>
      <c r="I316" s="984">
        <f>NOMINA!I292</f>
        <v>0</v>
      </c>
      <c r="J316" s="985">
        <f>NOMINA!J292</f>
        <v>0</v>
      </c>
      <c r="K316" s="984">
        <f t="shared" si="15"/>
        <v>0</v>
      </c>
      <c r="L316" s="985" t="s">
        <v>4932</v>
      </c>
      <c r="M316" s="985"/>
      <c r="N316" s="1002" t="str">
        <f>NOMINA!O292</f>
        <v>Guia de Centro I</v>
      </c>
      <c r="O316" s="985">
        <v>1.02087691000006E+18</v>
      </c>
      <c r="P316" s="999">
        <f>NOMINA!W292</f>
        <v>65</v>
      </c>
      <c r="Q316" s="986">
        <f>NOMINA!AG292</f>
        <v>0</v>
      </c>
      <c r="R316" s="986">
        <f>NOMINA!AI292</f>
        <v>65</v>
      </c>
      <c r="S316" s="986">
        <f>NOMINA!AK292</f>
        <v>0</v>
      </c>
      <c r="T316" s="986">
        <f>ROUND(NOMINA!AO292,2)</f>
        <v>0</v>
      </c>
      <c r="U316" s="986">
        <f>ROUND(NOMINA!AQ292,2)</f>
        <v>0</v>
      </c>
      <c r="V316" s="986">
        <f>ROUND(NOMINA!AR292,2)</f>
        <v>0</v>
      </c>
      <c r="W316" s="986">
        <f>ROUND(NOMINA!AS292,2)</f>
        <v>0</v>
      </c>
      <c r="X316" s="986">
        <f>ROUND(NOMINA!AW292,2)</f>
        <v>81.75</v>
      </c>
      <c r="Y316" s="986">
        <f>ROUND(NOMINA!AX292,2)</f>
        <v>0</v>
      </c>
      <c r="Z316" s="986">
        <f>ROUND(NOMINA!BB292,2)+ROUND(NOMINA!BF292,2)</f>
        <v>0</v>
      </c>
      <c r="AA316" s="986">
        <f>ROUND(NOMINA!BK292,2)*0</f>
        <v>0</v>
      </c>
      <c r="AB316" s="986">
        <f>ROUND(NOMINA!BG292,2)</f>
        <v>300</v>
      </c>
      <c r="AC316" s="1000">
        <f t="shared" si="16"/>
        <v>511.75</v>
      </c>
      <c r="AE316" s="634"/>
    </row>
    <row r="317" spans="1:31" s="629" customFormat="1" ht="20.100000000000001" customHeight="1" thickBot="1">
      <c r="A317" s="770"/>
      <c r="B317" s="510">
        <f t="shared" si="17"/>
        <v>251</v>
      </c>
      <c r="C317" s="980">
        <f>NOMINA!C293</f>
        <v>27251885</v>
      </c>
      <c r="D317" s="981" t="str">
        <f>NOMINA!D293</f>
        <v>Barrozo Godoy Kellem Daniela</v>
      </c>
      <c r="E317" s="978" t="s">
        <v>4622</v>
      </c>
      <c r="F317" s="982">
        <v>32351</v>
      </c>
      <c r="G317" s="978" t="s">
        <v>4620</v>
      </c>
      <c r="H317" s="1001">
        <f>NOMINA!H293</f>
        <v>45474</v>
      </c>
      <c r="I317" s="984">
        <f>NOMINA!I293</f>
        <v>0</v>
      </c>
      <c r="J317" s="985">
        <f>NOMINA!J293</f>
        <v>0</v>
      </c>
      <c r="K317" s="984">
        <f t="shared" si="15"/>
        <v>0</v>
      </c>
      <c r="L317" s="985" t="s">
        <v>4932</v>
      </c>
      <c r="M317" s="985"/>
      <c r="N317" s="1002" t="str">
        <f>NOMINA!O293</f>
        <v>Guia de Centro I</v>
      </c>
      <c r="O317" s="985">
        <v>1.02087691000006E+18</v>
      </c>
      <c r="P317" s="999">
        <f>NOMINA!W293</f>
        <v>65</v>
      </c>
      <c r="Q317" s="986">
        <f>NOMINA!AG293</f>
        <v>0</v>
      </c>
      <c r="R317" s="986">
        <f>NOMINA!AI293</f>
        <v>65</v>
      </c>
      <c r="S317" s="986">
        <f>NOMINA!AK293</f>
        <v>0</v>
      </c>
      <c r="T317" s="986">
        <f>ROUND(NOMINA!AO293,2)</f>
        <v>12.5</v>
      </c>
      <c r="U317" s="986">
        <f>ROUND(NOMINA!AQ293,2)</f>
        <v>0</v>
      </c>
      <c r="V317" s="986">
        <f>ROUND(NOMINA!AR293,2)</f>
        <v>0</v>
      </c>
      <c r="W317" s="986">
        <f>ROUND(NOMINA!AS293,2)</f>
        <v>0</v>
      </c>
      <c r="X317" s="986">
        <f>ROUND(NOMINA!AW293,2)</f>
        <v>81.75</v>
      </c>
      <c r="Y317" s="986">
        <f>ROUND(NOMINA!AX293,2)</f>
        <v>0</v>
      </c>
      <c r="Z317" s="986">
        <f>ROUND(NOMINA!BB293,2)+ROUND(NOMINA!BF293,2)</f>
        <v>70.849999999999994</v>
      </c>
      <c r="AA317" s="986">
        <f>ROUND(NOMINA!BK293,2)*0</f>
        <v>0</v>
      </c>
      <c r="AB317" s="986">
        <f>ROUND(NOMINA!BG293,2)</f>
        <v>300</v>
      </c>
      <c r="AC317" s="1000">
        <f t="shared" si="16"/>
        <v>595.1</v>
      </c>
      <c r="AE317" s="634"/>
    </row>
    <row r="318" spans="1:31" s="629" customFormat="1" ht="20.100000000000001" customHeight="1" thickBot="1">
      <c r="A318" s="770"/>
      <c r="B318" s="510">
        <f t="shared" si="17"/>
        <v>252</v>
      </c>
      <c r="C318" s="980">
        <f>NOMINA!C294</f>
        <v>27251899</v>
      </c>
      <c r="D318" s="981" t="str">
        <f>NOMINA!D294</f>
        <v>Perez Gonzalez Maria Ines</v>
      </c>
      <c r="E318" s="978" t="s">
        <v>4622</v>
      </c>
      <c r="F318" s="982">
        <v>32351</v>
      </c>
      <c r="G318" s="978" t="s">
        <v>4620</v>
      </c>
      <c r="H318" s="1001">
        <f>NOMINA!H294</f>
        <v>45474</v>
      </c>
      <c r="I318" s="984">
        <f>NOMINA!I294</f>
        <v>0</v>
      </c>
      <c r="J318" s="985">
        <f>NOMINA!J294</f>
        <v>0</v>
      </c>
      <c r="K318" s="984">
        <f t="shared" si="15"/>
        <v>0</v>
      </c>
      <c r="L318" s="985" t="s">
        <v>4932</v>
      </c>
      <c r="M318" s="985"/>
      <c r="N318" s="1002" t="str">
        <f>NOMINA!O294</f>
        <v>Guia de Centro I</v>
      </c>
      <c r="O318" s="985">
        <v>1.02087691000006E+18</v>
      </c>
      <c r="P318" s="999">
        <f>NOMINA!W294</f>
        <v>65</v>
      </c>
      <c r="Q318" s="986">
        <f>NOMINA!AG294</f>
        <v>0</v>
      </c>
      <c r="R318" s="986">
        <f>NOMINA!AI294</f>
        <v>65</v>
      </c>
      <c r="S318" s="986">
        <f>NOMINA!AK294</f>
        <v>0</v>
      </c>
      <c r="T318" s="986">
        <f>ROUND(NOMINA!AO294,2)</f>
        <v>0</v>
      </c>
      <c r="U318" s="986">
        <f>ROUND(NOMINA!AQ294,2)</f>
        <v>0</v>
      </c>
      <c r="V318" s="986">
        <f>ROUND(NOMINA!AR294,2)</f>
        <v>0</v>
      </c>
      <c r="W318" s="986">
        <f>ROUND(NOMINA!AS294,2)</f>
        <v>0</v>
      </c>
      <c r="X318" s="986">
        <f>ROUND(NOMINA!AW294,2)</f>
        <v>81.75</v>
      </c>
      <c r="Y318" s="986">
        <f>ROUND(NOMINA!AX294,2)</f>
        <v>0</v>
      </c>
      <c r="Z318" s="986">
        <f>ROUND(NOMINA!BB294,2)+ROUND(NOMINA!BF294,2)</f>
        <v>70.849999999999994</v>
      </c>
      <c r="AA318" s="986">
        <f>ROUND(NOMINA!BK294,2)*0</f>
        <v>0</v>
      </c>
      <c r="AB318" s="986">
        <f>ROUND(NOMINA!BG294,2)</f>
        <v>300</v>
      </c>
      <c r="AC318" s="1000">
        <f t="shared" si="16"/>
        <v>582.6</v>
      </c>
      <c r="AE318" s="634"/>
    </row>
    <row r="319" spans="1:31" s="629" customFormat="1" ht="20.100000000000001" customHeight="1" thickBot="1">
      <c r="A319" s="770"/>
      <c r="B319" s="510">
        <f t="shared" si="17"/>
        <v>253</v>
      </c>
      <c r="C319" s="980">
        <f>NOMINA!C295</f>
        <v>27363633</v>
      </c>
      <c r="D319" s="981" t="str">
        <f>NOMINA!D295</f>
        <v>Padilla Blanco Melany Marian</v>
      </c>
      <c r="E319" s="978" t="s">
        <v>4622</v>
      </c>
      <c r="F319" s="982">
        <v>32351</v>
      </c>
      <c r="G319" s="978" t="s">
        <v>4620</v>
      </c>
      <c r="H319" s="1001">
        <f>NOMINA!H295</f>
        <v>45627</v>
      </c>
      <c r="I319" s="984">
        <f>NOMINA!I295</f>
        <v>0</v>
      </c>
      <c r="J319" s="985">
        <f>NOMINA!J295</f>
        <v>0</v>
      </c>
      <c r="K319" s="984">
        <f t="shared" si="15"/>
        <v>0</v>
      </c>
      <c r="L319" s="985" t="s">
        <v>4932</v>
      </c>
      <c r="M319" s="985"/>
      <c r="N319" s="1002" t="str">
        <f>NOMINA!O295</f>
        <v>Guia de Centro I</v>
      </c>
      <c r="O319" s="985">
        <v>1.02087691000006E+18</v>
      </c>
      <c r="P319" s="999">
        <f>NOMINA!W295</f>
        <v>65</v>
      </c>
      <c r="Q319" s="986">
        <f>NOMINA!AG295</f>
        <v>0</v>
      </c>
      <c r="R319" s="986">
        <f>NOMINA!AI295</f>
        <v>65</v>
      </c>
      <c r="S319" s="986">
        <f>NOMINA!AK295</f>
        <v>0</v>
      </c>
      <c r="T319" s="986">
        <f>ROUND(NOMINA!AO295,2)</f>
        <v>0</v>
      </c>
      <c r="U319" s="986">
        <f>ROUND(NOMINA!AQ295,2)</f>
        <v>0</v>
      </c>
      <c r="V319" s="986">
        <f>ROUND(NOMINA!AR295,2)</f>
        <v>0</v>
      </c>
      <c r="W319" s="986">
        <f>ROUND(NOMINA!AS295,2)</f>
        <v>0</v>
      </c>
      <c r="X319" s="986">
        <f>ROUND(NOMINA!AW295,2)</f>
        <v>78</v>
      </c>
      <c r="Y319" s="986">
        <f>ROUND(NOMINA!AX295,2)</f>
        <v>0</v>
      </c>
      <c r="Z319" s="986">
        <f>ROUND(NOMINA!BB295,2)+ROUND(NOMINA!BF295,2)</f>
        <v>101.4</v>
      </c>
      <c r="AA319" s="986">
        <f>ROUND(NOMINA!BK295,2)*0</f>
        <v>0</v>
      </c>
      <c r="AB319" s="986">
        <f>ROUND(NOMINA!BG295,2)</f>
        <v>300</v>
      </c>
      <c r="AC319" s="1000">
        <f t="shared" si="16"/>
        <v>609.4</v>
      </c>
      <c r="AE319" s="634"/>
    </row>
    <row r="320" spans="1:31" s="629" customFormat="1" ht="20.100000000000001" customHeight="1" thickBot="1">
      <c r="A320" s="770"/>
      <c r="B320" s="510">
        <f t="shared" si="17"/>
        <v>254</v>
      </c>
      <c r="C320" s="980">
        <f>NOMINA!C296</f>
        <v>27415737</v>
      </c>
      <c r="D320" s="981" t="str">
        <f>NOMINA!D296</f>
        <v>Rivas Torres Rosa Alba</v>
      </c>
      <c r="E320" s="978" t="s">
        <v>4622</v>
      </c>
      <c r="F320" s="982">
        <v>32351</v>
      </c>
      <c r="G320" s="978" t="s">
        <v>4620</v>
      </c>
      <c r="H320" s="1001">
        <f>NOMINA!H296</f>
        <v>44363</v>
      </c>
      <c r="I320" s="984">
        <f>NOMINA!I296</f>
        <v>3</v>
      </c>
      <c r="J320" s="985">
        <f>NOMINA!J296</f>
        <v>0</v>
      </c>
      <c r="K320" s="984">
        <f t="shared" si="15"/>
        <v>3</v>
      </c>
      <c r="L320" s="985" t="s">
        <v>4932</v>
      </c>
      <c r="M320" s="985"/>
      <c r="N320" s="1002" t="str">
        <f>NOMINA!O296</f>
        <v>Asistente Administrativo II</v>
      </c>
      <c r="O320" s="985">
        <v>1.02087691000006E+18</v>
      </c>
      <c r="P320" s="999">
        <f>NOMINA!W296</f>
        <v>75</v>
      </c>
      <c r="Q320" s="986">
        <f>NOMINA!AG296</f>
        <v>2.25</v>
      </c>
      <c r="R320" s="986">
        <f>NOMINA!AI296</f>
        <v>65</v>
      </c>
      <c r="S320" s="986">
        <f>NOMINA!AK296</f>
        <v>0</v>
      </c>
      <c r="T320" s="986">
        <f>ROUND(NOMINA!AO296,2)</f>
        <v>0</v>
      </c>
      <c r="U320" s="986">
        <f>ROUND(NOMINA!AQ296,2)</f>
        <v>0</v>
      </c>
      <c r="V320" s="986">
        <f>ROUND(NOMINA!AR296,2)</f>
        <v>0</v>
      </c>
      <c r="W320" s="986">
        <f>ROUND(NOMINA!AS296,2)</f>
        <v>12.5</v>
      </c>
      <c r="X320" s="986">
        <f>ROUND(NOMINA!AW296,2)</f>
        <v>0</v>
      </c>
      <c r="Y320" s="986">
        <f>ROUND(NOMINA!AX296,2)</f>
        <v>0</v>
      </c>
      <c r="Z320" s="986">
        <f>ROUND(NOMINA!BB296,2)+ROUND(NOMINA!BF296,2)</f>
        <v>0</v>
      </c>
      <c r="AA320" s="986">
        <f>ROUND(NOMINA!BK296,2)*0</f>
        <v>0</v>
      </c>
      <c r="AB320" s="986">
        <f>ROUND(NOMINA!BG296,2)</f>
        <v>300</v>
      </c>
      <c r="AC320" s="1000">
        <f t="shared" si="16"/>
        <v>454.75</v>
      </c>
      <c r="AE320" s="634"/>
    </row>
    <row r="321" spans="1:31" s="629" customFormat="1" ht="20.100000000000001" customHeight="1" thickBot="1">
      <c r="A321" s="770"/>
      <c r="B321" s="510">
        <f t="shared" si="17"/>
        <v>255</v>
      </c>
      <c r="C321" s="980">
        <f>NOMINA!C297</f>
        <v>27415888</v>
      </c>
      <c r="D321" s="981" t="str">
        <f>NOMINA!D297</f>
        <v>Perdomo Juarez Jose De Jesus</v>
      </c>
      <c r="E321" s="978" t="s">
        <v>4622</v>
      </c>
      <c r="F321" s="982">
        <v>32351</v>
      </c>
      <c r="G321" s="978" t="s">
        <v>4620</v>
      </c>
      <c r="H321" s="1001">
        <f>NOMINA!H297</f>
        <v>44713</v>
      </c>
      <c r="I321" s="984">
        <f>NOMINA!I297</f>
        <v>2</v>
      </c>
      <c r="J321" s="985">
        <f>NOMINA!J297</f>
        <v>3</v>
      </c>
      <c r="K321" s="984">
        <f t="shared" si="15"/>
        <v>5</v>
      </c>
      <c r="L321" s="985" t="s">
        <v>4932</v>
      </c>
      <c r="M321" s="985"/>
      <c r="N321" s="1002" t="str">
        <f>NOMINA!O297</f>
        <v>Entrenador Deportivo II</v>
      </c>
      <c r="O321" s="985">
        <v>1.02087691000006E+18</v>
      </c>
      <c r="P321" s="999">
        <f>NOMINA!W297</f>
        <v>75</v>
      </c>
      <c r="Q321" s="986">
        <f>NOMINA!AG297</f>
        <v>3.75</v>
      </c>
      <c r="R321" s="986">
        <f>NOMINA!AI297</f>
        <v>65</v>
      </c>
      <c r="S321" s="986">
        <f>NOMINA!AK297</f>
        <v>0</v>
      </c>
      <c r="T321" s="986">
        <f>ROUND(NOMINA!AO297,2)</f>
        <v>0</v>
      </c>
      <c r="U321" s="986">
        <f>ROUND(NOMINA!AQ297,2)</f>
        <v>0</v>
      </c>
      <c r="V321" s="986">
        <f>ROUND(NOMINA!AR297,2)</f>
        <v>0</v>
      </c>
      <c r="W321" s="986">
        <f>ROUND(NOMINA!AS297,2)</f>
        <v>0</v>
      </c>
      <c r="X321" s="986">
        <f>ROUND(NOMINA!AW297,2)</f>
        <v>0</v>
      </c>
      <c r="Y321" s="986">
        <f>ROUND(NOMINA!AX297,2)</f>
        <v>0</v>
      </c>
      <c r="Z321" s="986">
        <f>ROUND(NOMINA!BB297,2)+ROUND(NOMINA!BF297,2)</f>
        <v>0</v>
      </c>
      <c r="AA321" s="986">
        <f>ROUND(NOMINA!BK297,2)*0</f>
        <v>0</v>
      </c>
      <c r="AB321" s="986">
        <f>ROUND(NOMINA!BG297,2)</f>
        <v>300</v>
      </c>
      <c r="AC321" s="1000">
        <f t="shared" si="16"/>
        <v>443.75</v>
      </c>
      <c r="AE321" s="634"/>
    </row>
    <row r="322" spans="1:31" s="629" customFormat="1" ht="20.100000000000001" customHeight="1" thickBot="1">
      <c r="A322" s="770"/>
      <c r="B322" s="510">
        <f t="shared" si="17"/>
        <v>256</v>
      </c>
      <c r="C322" s="980">
        <f>NOMINA!C298</f>
        <v>27628603</v>
      </c>
      <c r="D322" s="981" t="str">
        <f>NOMINA!D298</f>
        <v>Mendoza Mendoza Kelasky Kixuy</v>
      </c>
      <c r="E322" s="978" t="s">
        <v>4622</v>
      </c>
      <c r="F322" s="982">
        <v>32351</v>
      </c>
      <c r="G322" s="978" t="s">
        <v>4620</v>
      </c>
      <c r="H322" s="1001">
        <f>NOMINA!H298</f>
        <v>45139</v>
      </c>
      <c r="I322" s="984">
        <f>NOMINA!I298</f>
        <v>1</v>
      </c>
      <c r="J322" s="985">
        <f>NOMINA!J298</f>
        <v>0</v>
      </c>
      <c r="K322" s="984">
        <f t="shared" si="15"/>
        <v>1</v>
      </c>
      <c r="L322" s="985" t="s">
        <v>4932</v>
      </c>
      <c r="M322" s="985"/>
      <c r="N322" s="1002" t="str">
        <f>NOMINA!O298</f>
        <v>Instructor De Formacion Empresarial</v>
      </c>
      <c r="O322" s="985">
        <v>1.02087691000006E+18</v>
      </c>
      <c r="P322" s="999">
        <f>NOMINA!W298</f>
        <v>65</v>
      </c>
      <c r="Q322" s="986">
        <f>NOMINA!AG298</f>
        <v>0.65</v>
      </c>
      <c r="R322" s="986">
        <f>NOMINA!AI298</f>
        <v>65</v>
      </c>
      <c r="S322" s="986">
        <f>NOMINA!AK298</f>
        <v>0</v>
      </c>
      <c r="T322" s="986">
        <f>ROUND(NOMINA!AO298,2)</f>
        <v>0</v>
      </c>
      <c r="U322" s="986">
        <f>ROUND(NOMINA!AQ298,2)</f>
        <v>0</v>
      </c>
      <c r="V322" s="986">
        <f>ROUND(NOMINA!AR298,2)</f>
        <v>0</v>
      </c>
      <c r="W322" s="986">
        <f>ROUND(NOMINA!AS298,2)</f>
        <v>0</v>
      </c>
      <c r="X322" s="986">
        <f>ROUND(NOMINA!AW298,2)</f>
        <v>0</v>
      </c>
      <c r="Y322" s="986">
        <f>ROUND(NOMINA!AX298,2)</f>
        <v>0</v>
      </c>
      <c r="Z322" s="986">
        <f>ROUND(NOMINA!BB298,2)+ROUND(NOMINA!BF298,2)</f>
        <v>0</v>
      </c>
      <c r="AA322" s="986">
        <f>ROUND(NOMINA!BK298,2)*0</f>
        <v>0</v>
      </c>
      <c r="AB322" s="986">
        <f>ROUND(NOMINA!BG298,2)</f>
        <v>300</v>
      </c>
      <c r="AC322" s="1000">
        <f t="shared" si="16"/>
        <v>430.65</v>
      </c>
      <c r="AE322" s="634"/>
    </row>
    <row r="323" spans="1:31" s="629" customFormat="1" ht="20.100000000000001" customHeight="1" thickBot="1">
      <c r="A323" s="770"/>
      <c r="B323" s="510">
        <f t="shared" si="17"/>
        <v>257</v>
      </c>
      <c r="C323" s="980">
        <f>NOMINA!C299</f>
        <v>27677242</v>
      </c>
      <c r="D323" s="981" t="str">
        <f>NOMINA!D299</f>
        <v>Ramirez Torres Darwin Jose</v>
      </c>
      <c r="E323" s="978" t="s">
        <v>4622</v>
      </c>
      <c r="F323" s="982">
        <v>32351</v>
      </c>
      <c r="G323" s="978" t="s">
        <v>4620</v>
      </c>
      <c r="H323" s="1001">
        <f>NOMINA!H299</f>
        <v>45139</v>
      </c>
      <c r="I323" s="984">
        <f>NOMINA!I299</f>
        <v>1</v>
      </c>
      <c r="J323" s="985">
        <f>NOMINA!J299</f>
        <v>0</v>
      </c>
      <c r="K323" s="984">
        <f t="shared" si="15"/>
        <v>1</v>
      </c>
      <c r="L323" s="985" t="s">
        <v>4932</v>
      </c>
      <c r="M323" s="985"/>
      <c r="N323" s="1002" t="str">
        <f>NOMINA!O299</f>
        <v>Recreador</v>
      </c>
      <c r="O323" s="985">
        <v>1.02087691000006E+18</v>
      </c>
      <c r="P323" s="999">
        <f>NOMINA!W299</f>
        <v>65</v>
      </c>
      <c r="Q323" s="986">
        <f>NOMINA!AG299</f>
        <v>0.65</v>
      </c>
      <c r="R323" s="986">
        <f>NOMINA!AI299</f>
        <v>65</v>
      </c>
      <c r="S323" s="986">
        <f>NOMINA!AK299</f>
        <v>0</v>
      </c>
      <c r="T323" s="986">
        <f>ROUND(NOMINA!AO299,2)</f>
        <v>0</v>
      </c>
      <c r="U323" s="986">
        <f>ROUND(NOMINA!AQ299,2)</f>
        <v>0</v>
      </c>
      <c r="V323" s="986">
        <f>ROUND(NOMINA!AR299,2)</f>
        <v>0</v>
      </c>
      <c r="W323" s="986">
        <f>ROUND(NOMINA!AS299,2)</f>
        <v>0</v>
      </c>
      <c r="X323" s="986">
        <f>ROUND(NOMINA!AW299,2)</f>
        <v>0</v>
      </c>
      <c r="Y323" s="986">
        <f>ROUND(NOMINA!AX299,2)</f>
        <v>0</v>
      </c>
      <c r="Z323" s="986">
        <f>ROUND(NOMINA!BB299,2)+ROUND(NOMINA!BF299,2)</f>
        <v>0</v>
      </c>
      <c r="AA323" s="986">
        <f>ROUND(NOMINA!BK299,2)*0</f>
        <v>0</v>
      </c>
      <c r="AB323" s="986">
        <f>ROUND(NOMINA!BG299,2)</f>
        <v>300</v>
      </c>
      <c r="AC323" s="1000">
        <f t="shared" si="16"/>
        <v>430.65</v>
      </c>
      <c r="AE323" s="634"/>
    </row>
    <row r="324" spans="1:31" s="629" customFormat="1" ht="20.100000000000001" customHeight="1" thickBot="1">
      <c r="A324" s="770"/>
      <c r="B324" s="510">
        <f t="shared" si="17"/>
        <v>258</v>
      </c>
      <c r="C324" s="980">
        <f>NOMINA!C300</f>
        <v>27889180</v>
      </c>
      <c r="D324" s="981" t="str">
        <f>NOMINA!D300</f>
        <v>Moreno Andreina del Valle</v>
      </c>
      <c r="E324" s="978" t="s">
        <v>4622</v>
      </c>
      <c r="F324" s="982">
        <v>32351</v>
      </c>
      <c r="G324" s="978" t="s">
        <v>4620</v>
      </c>
      <c r="H324" s="1001">
        <f>NOMINA!H300</f>
        <v>44393</v>
      </c>
      <c r="I324" s="984">
        <f>NOMINA!I300</f>
        <v>3</v>
      </c>
      <c r="J324" s="985">
        <f>NOMINA!J300</f>
        <v>0</v>
      </c>
      <c r="K324" s="984">
        <f t="shared" ref="K324:K333" si="18">I324+J324</f>
        <v>3</v>
      </c>
      <c r="L324" s="985" t="s">
        <v>4932</v>
      </c>
      <c r="M324" s="985"/>
      <c r="N324" s="1002" t="str">
        <f>NOMINA!O300</f>
        <v>Asistente Administrativo II</v>
      </c>
      <c r="O324" s="985">
        <v>1.02087691000006E+18</v>
      </c>
      <c r="P324" s="999">
        <f>NOMINA!W300</f>
        <v>75</v>
      </c>
      <c r="Q324" s="986">
        <f>NOMINA!AG300</f>
        <v>2.25</v>
      </c>
      <c r="R324" s="986">
        <f>NOMINA!AI300</f>
        <v>65</v>
      </c>
      <c r="S324" s="986">
        <f>NOMINA!AK300</f>
        <v>0</v>
      </c>
      <c r="T324" s="986">
        <f>ROUND(NOMINA!AO300,2)</f>
        <v>0</v>
      </c>
      <c r="U324" s="986">
        <f>ROUND(NOMINA!AQ300,2)</f>
        <v>0</v>
      </c>
      <c r="V324" s="986">
        <f>ROUND(NOMINA!AR300,2)</f>
        <v>0</v>
      </c>
      <c r="W324" s="986">
        <f>ROUND(NOMINA!AS300,2)</f>
        <v>0</v>
      </c>
      <c r="X324" s="986">
        <f>ROUND(NOMINA!AW300,2)</f>
        <v>0</v>
      </c>
      <c r="Y324" s="986">
        <f>ROUND(NOMINA!AX300,2)</f>
        <v>0</v>
      </c>
      <c r="Z324" s="986">
        <f>ROUND(NOMINA!BB300,2)+ROUND(NOMINA!BF300,2)</f>
        <v>0</v>
      </c>
      <c r="AA324" s="986">
        <f>ROUND(NOMINA!BK300,2)*0</f>
        <v>0</v>
      </c>
      <c r="AB324" s="986">
        <f>ROUND(NOMINA!BG300,2)</f>
        <v>300</v>
      </c>
      <c r="AC324" s="1000">
        <f t="shared" ref="AC324:AC333" si="19">+P324+Q324+R324+S324+T324+U324+V324+W324+X324+Y324+Z324+AB324+AA324</f>
        <v>442.25</v>
      </c>
      <c r="AE324" s="634"/>
    </row>
    <row r="325" spans="1:31" s="629" customFormat="1" ht="20.100000000000001" customHeight="1" thickBot="1">
      <c r="A325" s="770"/>
      <c r="B325" s="510">
        <f t="shared" ref="B325:B333" si="20">+B324+1</f>
        <v>259</v>
      </c>
      <c r="C325" s="980">
        <f>NOMINA!C301</f>
        <v>28079765</v>
      </c>
      <c r="D325" s="981" t="str">
        <f>NOMINA!D301</f>
        <v>Mendoza Cardozo Josue Vicensio</v>
      </c>
      <c r="E325" s="978" t="s">
        <v>4622</v>
      </c>
      <c r="F325" s="982">
        <v>32351</v>
      </c>
      <c r="G325" s="978" t="s">
        <v>4620</v>
      </c>
      <c r="H325" s="1001">
        <f>NOMINA!H301</f>
        <v>44348</v>
      </c>
      <c r="I325" s="984">
        <f>NOMINA!I301</f>
        <v>3</v>
      </c>
      <c r="J325" s="985">
        <f>NOMINA!J301</f>
        <v>0</v>
      </c>
      <c r="K325" s="984">
        <f t="shared" si="18"/>
        <v>3</v>
      </c>
      <c r="L325" s="985" t="s">
        <v>4932</v>
      </c>
      <c r="M325" s="985"/>
      <c r="N325" s="1002" t="str">
        <f>NOMINA!O301</f>
        <v>Asistente Administrativo II</v>
      </c>
      <c r="O325" s="985">
        <v>1.02087691000006E+18</v>
      </c>
      <c r="P325" s="999">
        <f>NOMINA!W301</f>
        <v>109.5</v>
      </c>
      <c r="Q325" s="986">
        <f>NOMINA!AG301</f>
        <v>3.28</v>
      </c>
      <c r="R325" s="986">
        <f>NOMINA!AI301</f>
        <v>65</v>
      </c>
      <c r="S325" s="986">
        <f>NOMINA!AK301</f>
        <v>35.549999999999997</v>
      </c>
      <c r="T325" s="986">
        <f>ROUND(NOMINA!AO301,2)</f>
        <v>0</v>
      </c>
      <c r="U325" s="986">
        <f>ROUND(NOMINA!AQ301,2)</f>
        <v>0</v>
      </c>
      <c r="V325" s="986">
        <f>ROUND(NOMINA!AR301,2)</f>
        <v>0</v>
      </c>
      <c r="W325" s="986">
        <f>ROUND(NOMINA!AS301,2)</f>
        <v>0</v>
      </c>
      <c r="X325" s="986">
        <f>ROUND(NOMINA!AW301,2)</f>
        <v>0</v>
      </c>
      <c r="Y325" s="986">
        <f>ROUND(NOMINA!AX301,2)</f>
        <v>0</v>
      </c>
      <c r="Z325" s="986">
        <f>ROUND(NOMINA!BB301,2)+ROUND(NOMINA!BF301,2)</f>
        <v>0</v>
      </c>
      <c r="AA325" s="986">
        <f>ROUND(NOMINA!BK301,2)*0</f>
        <v>0</v>
      </c>
      <c r="AB325" s="986">
        <f>ROUND(NOMINA!BG301,2)</f>
        <v>300</v>
      </c>
      <c r="AC325" s="1000">
        <f t="shared" si="19"/>
        <v>513.32999999999993</v>
      </c>
      <c r="AE325" s="634"/>
    </row>
    <row r="326" spans="1:31" s="629" customFormat="1" ht="20.100000000000001" customHeight="1" thickBot="1">
      <c r="A326" s="770"/>
      <c r="B326" s="510">
        <f t="shared" si="20"/>
        <v>260</v>
      </c>
      <c r="C326" s="980">
        <f>NOMINA!C302</f>
        <v>28096003</v>
      </c>
      <c r="D326" s="981" t="str">
        <f>NOMINA!D302</f>
        <v>Quintero Peña Maria Alejandra</v>
      </c>
      <c r="E326" s="978" t="s">
        <v>4622</v>
      </c>
      <c r="F326" s="982">
        <v>32351</v>
      </c>
      <c r="G326" s="978" t="s">
        <v>4620</v>
      </c>
      <c r="H326" s="1001">
        <f>NOMINA!H302</f>
        <v>44228</v>
      </c>
      <c r="I326" s="984">
        <f>NOMINA!I302</f>
        <v>3</v>
      </c>
      <c r="J326" s="985">
        <f>NOMINA!J302</f>
        <v>0</v>
      </c>
      <c r="K326" s="984">
        <f t="shared" si="18"/>
        <v>3</v>
      </c>
      <c r="L326" s="985" t="s">
        <v>4932</v>
      </c>
      <c r="M326" s="985"/>
      <c r="N326" s="1002" t="str">
        <f>NOMINA!O302</f>
        <v>Guia de Centro I</v>
      </c>
      <c r="O326" s="985">
        <v>1.02087691000006E+18</v>
      </c>
      <c r="P326" s="999">
        <f>NOMINA!W302</f>
        <v>75</v>
      </c>
      <c r="Q326" s="986">
        <f>NOMINA!AG302</f>
        <v>2.25</v>
      </c>
      <c r="R326" s="986">
        <f>NOMINA!AI302</f>
        <v>65</v>
      </c>
      <c r="S326" s="986">
        <f>NOMINA!AK302</f>
        <v>0</v>
      </c>
      <c r="T326" s="986">
        <f>ROUND(NOMINA!AO302,2)</f>
        <v>0</v>
      </c>
      <c r="U326" s="986">
        <f>ROUND(NOMINA!AQ302,2)</f>
        <v>0</v>
      </c>
      <c r="V326" s="986">
        <f>ROUND(NOMINA!AR302,2)</f>
        <v>12.5</v>
      </c>
      <c r="W326" s="986">
        <f>ROUND(NOMINA!AS302,2)</f>
        <v>0</v>
      </c>
      <c r="X326" s="986">
        <f>ROUND(NOMINA!AW302,2)</f>
        <v>85.35</v>
      </c>
      <c r="Y326" s="986">
        <f>ROUND(NOMINA!AX302,2)</f>
        <v>0</v>
      </c>
      <c r="Z326" s="986">
        <f>ROUND(NOMINA!BB302,2)+ROUND(NOMINA!BF302,2)</f>
        <v>55.48</v>
      </c>
      <c r="AA326" s="986">
        <f>ROUND(NOMINA!BK302,2)*0</f>
        <v>0</v>
      </c>
      <c r="AB326" s="986">
        <f>ROUND(NOMINA!BG302,2)</f>
        <v>300</v>
      </c>
      <c r="AC326" s="1000">
        <f t="shared" si="19"/>
        <v>595.57999999999993</v>
      </c>
      <c r="AE326" s="634"/>
    </row>
    <row r="327" spans="1:31" s="629" customFormat="1" ht="20.100000000000001" customHeight="1" thickBot="1">
      <c r="A327" s="770"/>
      <c r="B327" s="510">
        <f t="shared" si="20"/>
        <v>261</v>
      </c>
      <c r="C327" s="980">
        <f>NOMINA!C303</f>
        <v>28096576</v>
      </c>
      <c r="D327" s="981" t="str">
        <f>NOMINA!D303</f>
        <v>Gutierrez Betania Belsally</v>
      </c>
      <c r="E327" s="978" t="s">
        <v>4622</v>
      </c>
      <c r="F327" s="982">
        <v>32351</v>
      </c>
      <c r="G327" s="978" t="s">
        <v>4620</v>
      </c>
      <c r="H327" s="1001">
        <f>NOMINA!H303</f>
        <v>45017</v>
      </c>
      <c r="I327" s="984">
        <f>NOMINA!I303</f>
        <v>1</v>
      </c>
      <c r="J327" s="985">
        <f>NOMINA!J303</f>
        <v>0</v>
      </c>
      <c r="K327" s="984">
        <f t="shared" si="18"/>
        <v>1</v>
      </c>
      <c r="L327" s="985" t="s">
        <v>4932</v>
      </c>
      <c r="M327" s="985"/>
      <c r="N327" s="1002" t="str">
        <f>NOMINA!O303</f>
        <v>Asistente Administrativo I</v>
      </c>
      <c r="O327" s="985">
        <v>1.02087691000006E+18</v>
      </c>
      <c r="P327" s="999">
        <f>NOMINA!W303</f>
        <v>65</v>
      </c>
      <c r="Q327" s="986">
        <f>NOMINA!AG303</f>
        <v>0.65</v>
      </c>
      <c r="R327" s="986">
        <f>NOMINA!AI303</f>
        <v>65</v>
      </c>
      <c r="S327" s="986">
        <f>NOMINA!AK303</f>
        <v>0</v>
      </c>
      <c r="T327" s="986">
        <f>ROUND(NOMINA!AO303,2)</f>
        <v>0</v>
      </c>
      <c r="U327" s="986">
        <f>ROUND(NOMINA!AQ303,2)</f>
        <v>0</v>
      </c>
      <c r="V327" s="986">
        <f>ROUND(NOMINA!AR303,2)</f>
        <v>0</v>
      </c>
      <c r="W327" s="986">
        <f>ROUND(NOMINA!AS303,2)</f>
        <v>0</v>
      </c>
      <c r="X327" s="986">
        <f>ROUND(NOMINA!AW303,2)</f>
        <v>0</v>
      </c>
      <c r="Y327" s="986">
        <f>ROUND(NOMINA!AX303,2)</f>
        <v>0</v>
      </c>
      <c r="Z327" s="986">
        <f>ROUND(NOMINA!BB303,2)+ROUND(NOMINA!BF303,2)</f>
        <v>0</v>
      </c>
      <c r="AA327" s="986">
        <f>ROUND(NOMINA!BK303,2)*0</f>
        <v>0</v>
      </c>
      <c r="AB327" s="986">
        <f>ROUND(NOMINA!BG303,2)</f>
        <v>300</v>
      </c>
      <c r="AC327" s="1000">
        <f t="shared" si="19"/>
        <v>430.65</v>
      </c>
      <c r="AE327" s="634"/>
    </row>
    <row r="328" spans="1:31" s="629" customFormat="1" ht="20.100000000000001" customHeight="1" thickBot="1">
      <c r="A328" s="770"/>
      <c r="B328" s="510">
        <f t="shared" si="20"/>
        <v>262</v>
      </c>
      <c r="C328" s="980">
        <f>NOMINA!C304</f>
        <v>28445465</v>
      </c>
      <c r="D328" s="981" t="str">
        <f>NOMINA!D304</f>
        <v>Castillo Carrizo Katherine Cecilia</v>
      </c>
      <c r="E328" s="978" t="s">
        <v>4622</v>
      </c>
      <c r="F328" s="982">
        <v>32351</v>
      </c>
      <c r="G328" s="978" t="s">
        <v>4620</v>
      </c>
      <c r="H328" s="1001">
        <f>NOMINA!H304</f>
        <v>43770</v>
      </c>
      <c r="I328" s="984">
        <f>NOMINA!I304</f>
        <v>5</v>
      </c>
      <c r="J328" s="985">
        <f>NOMINA!J304</f>
        <v>0</v>
      </c>
      <c r="K328" s="984">
        <f t="shared" si="18"/>
        <v>5</v>
      </c>
      <c r="L328" s="985" t="s">
        <v>4932</v>
      </c>
      <c r="M328" s="985"/>
      <c r="N328" s="1002" t="str">
        <f>NOMINA!O304</f>
        <v>Asistente Administrativo II</v>
      </c>
      <c r="O328" s="985">
        <v>1.02087691000006E+18</v>
      </c>
      <c r="P328" s="999">
        <f>NOMINA!W304</f>
        <v>75</v>
      </c>
      <c r="Q328" s="986">
        <f>NOMINA!AG304</f>
        <v>3.75</v>
      </c>
      <c r="R328" s="986">
        <f>NOMINA!AI304</f>
        <v>65</v>
      </c>
      <c r="S328" s="986">
        <f>NOMINA!AK304</f>
        <v>0</v>
      </c>
      <c r="T328" s="986">
        <f>ROUND(NOMINA!AO304,2)</f>
        <v>0</v>
      </c>
      <c r="U328" s="986">
        <f>ROUND(NOMINA!AQ304,2)</f>
        <v>0</v>
      </c>
      <c r="V328" s="986">
        <f>ROUND(NOMINA!AR304,2)</f>
        <v>12.5</v>
      </c>
      <c r="W328" s="986">
        <f>ROUND(NOMINA!AS304,2)</f>
        <v>0</v>
      </c>
      <c r="X328" s="986">
        <f>ROUND(NOMINA!AW304,2)</f>
        <v>0</v>
      </c>
      <c r="Y328" s="986">
        <f>ROUND(NOMINA!AX304,2)</f>
        <v>0</v>
      </c>
      <c r="Z328" s="986">
        <f>ROUND(NOMINA!BB304,2)+ROUND(NOMINA!BF304,2)</f>
        <v>0</v>
      </c>
      <c r="AA328" s="986">
        <f>ROUND(NOMINA!BK304,2)*0</f>
        <v>0</v>
      </c>
      <c r="AB328" s="986">
        <f>ROUND(NOMINA!BG304,2)</f>
        <v>300</v>
      </c>
      <c r="AC328" s="1000">
        <f t="shared" si="19"/>
        <v>456.25</v>
      </c>
      <c r="AE328" s="634"/>
    </row>
    <row r="329" spans="1:31" s="629" customFormat="1" ht="20.100000000000001" customHeight="1" thickBot="1">
      <c r="A329" s="770"/>
      <c r="B329" s="510">
        <f t="shared" si="20"/>
        <v>263</v>
      </c>
      <c r="C329" s="980">
        <f>NOMINA!C305</f>
        <v>29585477</v>
      </c>
      <c r="D329" s="981" t="str">
        <f>NOMINA!D305</f>
        <v>Gil Ruiz Marianyeli Sarait</v>
      </c>
      <c r="E329" s="978" t="s">
        <v>4622</v>
      </c>
      <c r="F329" s="982">
        <v>32351</v>
      </c>
      <c r="G329" s="978" t="s">
        <v>4620</v>
      </c>
      <c r="H329" s="1001">
        <f>NOMINA!H305</f>
        <v>43512</v>
      </c>
      <c r="I329" s="984">
        <f>NOMINA!I305</f>
        <v>5</v>
      </c>
      <c r="J329" s="985">
        <f>NOMINA!J305</f>
        <v>0</v>
      </c>
      <c r="K329" s="984">
        <f t="shared" si="18"/>
        <v>5</v>
      </c>
      <c r="L329" s="985" t="s">
        <v>4932</v>
      </c>
      <c r="M329" s="985"/>
      <c r="N329" s="1002" t="str">
        <f>NOMINA!O305</f>
        <v>Entrenador Deportivo II</v>
      </c>
      <c r="O329" s="985">
        <v>1.02087691000006E+18</v>
      </c>
      <c r="P329" s="999">
        <f>NOMINA!W305</f>
        <v>75</v>
      </c>
      <c r="Q329" s="986">
        <f>NOMINA!AG305</f>
        <v>3.75</v>
      </c>
      <c r="R329" s="986">
        <f>NOMINA!AI305</f>
        <v>65</v>
      </c>
      <c r="S329" s="986">
        <f>NOMINA!AK305</f>
        <v>0</v>
      </c>
      <c r="T329" s="986">
        <f>ROUND(NOMINA!AO305,2)</f>
        <v>0</v>
      </c>
      <c r="U329" s="986">
        <f>ROUND(NOMINA!AQ305,2)</f>
        <v>0</v>
      </c>
      <c r="V329" s="986">
        <f>ROUND(NOMINA!AR305,2)</f>
        <v>0</v>
      </c>
      <c r="W329" s="986">
        <f>ROUND(NOMINA!AS305,2)</f>
        <v>0</v>
      </c>
      <c r="X329" s="986">
        <f>ROUND(NOMINA!AW305,2)</f>
        <v>0</v>
      </c>
      <c r="Y329" s="986">
        <f>ROUND(NOMINA!AX305,2)</f>
        <v>0</v>
      </c>
      <c r="Z329" s="986">
        <f>ROUND(NOMINA!BB305,2)+ROUND(NOMINA!BF305,2)</f>
        <v>0</v>
      </c>
      <c r="AA329" s="986">
        <f>ROUND(NOMINA!BK305,2)*0</f>
        <v>0</v>
      </c>
      <c r="AB329" s="986">
        <f>ROUND(NOMINA!BG305,2)</f>
        <v>300</v>
      </c>
      <c r="AC329" s="1000">
        <f t="shared" si="19"/>
        <v>443.75</v>
      </c>
      <c r="AE329" s="634"/>
    </row>
    <row r="330" spans="1:31" s="629" customFormat="1" ht="20.100000000000001" customHeight="1" thickBot="1">
      <c r="A330" s="770"/>
      <c r="B330" s="510">
        <f t="shared" si="20"/>
        <v>264</v>
      </c>
      <c r="C330" s="980">
        <f>NOMINA!C306</f>
        <v>29916508</v>
      </c>
      <c r="D330" s="981" t="str">
        <f>NOMINA!D306</f>
        <v>Zambrano Briceño Elio Jesus</v>
      </c>
      <c r="E330" s="978" t="s">
        <v>4622</v>
      </c>
      <c r="F330" s="982">
        <v>32351</v>
      </c>
      <c r="G330" s="978" t="s">
        <v>4620</v>
      </c>
      <c r="H330" s="1001">
        <f>NOMINA!H306</f>
        <v>44378</v>
      </c>
      <c r="I330" s="984">
        <f>NOMINA!I306</f>
        <v>3</v>
      </c>
      <c r="J330" s="985">
        <f>NOMINA!J306</f>
        <v>0</v>
      </c>
      <c r="K330" s="984">
        <f t="shared" si="18"/>
        <v>3</v>
      </c>
      <c r="L330" s="985" t="s">
        <v>4932</v>
      </c>
      <c r="M330" s="985"/>
      <c r="N330" s="1002" t="str">
        <f>NOMINA!O306</f>
        <v>Guia de Centro I</v>
      </c>
      <c r="O330" s="985">
        <v>1.02087691000006E+18</v>
      </c>
      <c r="P330" s="999">
        <f>NOMINA!W306</f>
        <v>75</v>
      </c>
      <c r="Q330" s="986">
        <f>NOMINA!AG306</f>
        <v>2.25</v>
      </c>
      <c r="R330" s="986">
        <f>NOMINA!AI306</f>
        <v>65</v>
      </c>
      <c r="S330" s="986">
        <f>NOMINA!AK306</f>
        <v>0</v>
      </c>
      <c r="T330" s="986">
        <f>ROUND(NOMINA!AO306,2)</f>
        <v>0</v>
      </c>
      <c r="U330" s="986">
        <f>ROUND(NOMINA!AQ306,2)</f>
        <v>0</v>
      </c>
      <c r="V330" s="986">
        <f>ROUND(NOMINA!AR306,2)</f>
        <v>12.5</v>
      </c>
      <c r="W330" s="986">
        <f>ROUND(NOMINA!AS306,2)</f>
        <v>0</v>
      </c>
      <c r="X330" s="986">
        <f>ROUND(NOMINA!AW306,2)</f>
        <v>85.35</v>
      </c>
      <c r="Y330" s="986">
        <f>ROUND(NOMINA!AX306,2)</f>
        <v>0</v>
      </c>
      <c r="Z330" s="986">
        <f>ROUND(NOMINA!BB306,2)+ROUND(NOMINA!BF306,2)</f>
        <v>55.48</v>
      </c>
      <c r="AA330" s="986">
        <f>ROUND(NOMINA!BK306,2)*0</f>
        <v>0</v>
      </c>
      <c r="AB330" s="986">
        <f>ROUND(NOMINA!BG306,2)</f>
        <v>300</v>
      </c>
      <c r="AC330" s="1000">
        <f t="shared" si="19"/>
        <v>595.57999999999993</v>
      </c>
      <c r="AE330" s="634"/>
    </row>
    <row r="331" spans="1:31" s="629" customFormat="1" ht="20.100000000000001" customHeight="1" thickBot="1">
      <c r="A331" s="770"/>
      <c r="B331" s="510">
        <f t="shared" si="20"/>
        <v>265</v>
      </c>
      <c r="C331" s="980">
        <f>NOMINA!C307</f>
        <v>30190238</v>
      </c>
      <c r="D331" s="981" t="str">
        <f>NOMINA!D307</f>
        <v>Mendoza Osuna Zaida Liseth</v>
      </c>
      <c r="E331" s="978" t="s">
        <v>4622</v>
      </c>
      <c r="F331" s="982">
        <v>32351</v>
      </c>
      <c r="G331" s="978" t="s">
        <v>4620</v>
      </c>
      <c r="H331" s="1001">
        <f>NOMINA!H307</f>
        <v>45200</v>
      </c>
      <c r="I331" s="984">
        <f>NOMINA!I307</f>
        <v>1</v>
      </c>
      <c r="J331" s="985">
        <f>NOMINA!J307</f>
        <v>0</v>
      </c>
      <c r="K331" s="984">
        <f t="shared" si="18"/>
        <v>1</v>
      </c>
      <c r="L331" s="985" t="s">
        <v>4932</v>
      </c>
      <c r="M331" s="985"/>
      <c r="N331" s="1002" t="str">
        <f>NOMINA!O307</f>
        <v>Guia de Centro I</v>
      </c>
      <c r="O331" s="985">
        <v>1.02087691000006E+18</v>
      </c>
      <c r="P331" s="999">
        <f>NOMINA!W307</f>
        <v>65</v>
      </c>
      <c r="Q331" s="986">
        <f>NOMINA!AG307</f>
        <v>0.65</v>
      </c>
      <c r="R331" s="986">
        <f>NOMINA!AI307</f>
        <v>65</v>
      </c>
      <c r="S331" s="986">
        <f>NOMINA!AK307</f>
        <v>0</v>
      </c>
      <c r="T331" s="986">
        <f>ROUND(NOMINA!AO307,2)</f>
        <v>0</v>
      </c>
      <c r="U331" s="986">
        <f>ROUND(NOMINA!AQ307,2)</f>
        <v>0</v>
      </c>
      <c r="V331" s="986">
        <f>ROUND(NOMINA!AR307,2)</f>
        <v>0</v>
      </c>
      <c r="W331" s="986">
        <f>ROUND(NOMINA!AS307,2)</f>
        <v>0</v>
      </c>
      <c r="X331" s="986">
        <f>ROUND(NOMINA!AW307,2)</f>
        <v>78.39</v>
      </c>
      <c r="Y331" s="986">
        <f>ROUND(NOMINA!AX307,2)</f>
        <v>0</v>
      </c>
      <c r="Z331" s="986">
        <f>ROUND(NOMINA!BB307,2)+ROUND(NOMINA!BF307,2)</f>
        <v>50.95</v>
      </c>
      <c r="AA331" s="986">
        <f>ROUND(NOMINA!BK307,2)*0</f>
        <v>0</v>
      </c>
      <c r="AB331" s="986">
        <f>ROUND(NOMINA!BG307,2)</f>
        <v>300</v>
      </c>
      <c r="AC331" s="1000">
        <f t="shared" si="19"/>
        <v>559.99</v>
      </c>
      <c r="AE331" s="634"/>
    </row>
    <row r="332" spans="1:31" s="629" customFormat="1" ht="20.100000000000001" customHeight="1" thickBot="1">
      <c r="A332" s="770"/>
      <c r="B332" s="510">
        <f t="shared" si="20"/>
        <v>266</v>
      </c>
      <c r="C332" s="980">
        <f>NOMINA!C308</f>
        <v>30438508</v>
      </c>
      <c r="D332" s="981" t="str">
        <f>NOMINA!D308</f>
        <v xml:space="preserve">Teran Araujo Marihangeli Nicoll </v>
      </c>
      <c r="E332" s="978" t="s">
        <v>4622</v>
      </c>
      <c r="F332" s="982">
        <v>32351</v>
      </c>
      <c r="G332" s="978" t="s">
        <v>4620</v>
      </c>
      <c r="H332" s="1001">
        <f>NOMINA!H308</f>
        <v>45200</v>
      </c>
      <c r="I332" s="984">
        <f>NOMINA!I308</f>
        <v>1</v>
      </c>
      <c r="J332" s="985">
        <f>NOMINA!J308</f>
        <v>4</v>
      </c>
      <c r="K332" s="984">
        <f t="shared" si="18"/>
        <v>5</v>
      </c>
      <c r="L332" s="985" t="s">
        <v>4932</v>
      </c>
      <c r="M332" s="985"/>
      <c r="N332" s="1002" t="str">
        <f>NOMINA!O308</f>
        <v>Asistente Administrativo II</v>
      </c>
      <c r="O332" s="985">
        <v>1.02087691000006E+18</v>
      </c>
      <c r="P332" s="999">
        <f>NOMINA!W308</f>
        <v>75</v>
      </c>
      <c r="Q332" s="986">
        <f>NOMINA!AG308</f>
        <v>3.75</v>
      </c>
      <c r="R332" s="986">
        <f>NOMINA!AI308</f>
        <v>65</v>
      </c>
      <c r="S332" s="986">
        <f>NOMINA!AK308</f>
        <v>0</v>
      </c>
      <c r="T332" s="986">
        <f>ROUND(NOMINA!AO308,2)</f>
        <v>0</v>
      </c>
      <c r="U332" s="986">
        <f>ROUND(NOMINA!AQ308,2)</f>
        <v>0</v>
      </c>
      <c r="V332" s="986">
        <f>ROUND(NOMINA!AR308,2)</f>
        <v>12.5</v>
      </c>
      <c r="W332" s="986">
        <f>ROUND(NOMINA!AS308,2)</f>
        <v>0</v>
      </c>
      <c r="X332" s="986">
        <f>ROUND(NOMINA!AW308,2)</f>
        <v>0</v>
      </c>
      <c r="Y332" s="986">
        <f>ROUND(NOMINA!AX308,2)</f>
        <v>0</v>
      </c>
      <c r="Z332" s="986">
        <f>ROUND(NOMINA!BB308,2)+ROUND(NOMINA!BF308,2)</f>
        <v>0</v>
      </c>
      <c r="AA332" s="986">
        <f>ROUND(NOMINA!BK308,2)*0</f>
        <v>0</v>
      </c>
      <c r="AB332" s="986">
        <f>ROUND(NOMINA!BG308,2)</f>
        <v>300</v>
      </c>
      <c r="AC332" s="1000">
        <f t="shared" si="19"/>
        <v>456.25</v>
      </c>
      <c r="AE332" s="634"/>
    </row>
    <row r="333" spans="1:31" s="629" customFormat="1" ht="20.100000000000001" customHeight="1" thickBot="1">
      <c r="A333" s="770" t="s">
        <v>2846</v>
      </c>
      <c r="B333" s="510">
        <f t="shared" si="20"/>
        <v>267</v>
      </c>
      <c r="C333" s="980">
        <f>NOMINA!C309</f>
        <v>30600641</v>
      </c>
      <c r="D333" s="981" t="str">
        <f>NOMINA!D309</f>
        <v>Gonzalez Justo Jariana Roxanny</v>
      </c>
      <c r="E333" s="978" t="s">
        <v>4622</v>
      </c>
      <c r="F333" s="982">
        <v>32351</v>
      </c>
      <c r="G333" s="978" t="s">
        <v>4620</v>
      </c>
      <c r="H333" s="1001">
        <f>NOMINA!H309</f>
        <v>44455</v>
      </c>
      <c r="I333" s="984">
        <f>NOMINA!I309</f>
        <v>3</v>
      </c>
      <c r="J333" s="985">
        <f>NOMINA!J309</f>
        <v>0</v>
      </c>
      <c r="K333" s="984">
        <f t="shared" si="18"/>
        <v>3</v>
      </c>
      <c r="L333" s="985" t="s">
        <v>4932</v>
      </c>
      <c r="M333" s="985"/>
      <c r="N333" s="1002" t="str">
        <f>NOMINA!O309</f>
        <v>Asistente Administrativo I</v>
      </c>
      <c r="O333" s="985">
        <v>1.02087691000006E+18</v>
      </c>
      <c r="P333" s="999">
        <f>NOMINA!W309</f>
        <v>0</v>
      </c>
      <c r="Q333" s="986">
        <f>NOMINA!AG309</f>
        <v>0</v>
      </c>
      <c r="R333" s="986">
        <f>NOMINA!AI309</f>
        <v>0</v>
      </c>
      <c r="S333" s="986">
        <f>NOMINA!AK309</f>
        <v>0</v>
      </c>
      <c r="T333" s="986">
        <f>ROUND(NOMINA!AO309,2)</f>
        <v>0</v>
      </c>
      <c r="U333" s="986">
        <f>ROUND(NOMINA!AQ309,2)</f>
        <v>0</v>
      </c>
      <c r="V333" s="986">
        <f>ROUND(NOMINA!AR309,2)</f>
        <v>0</v>
      </c>
      <c r="W333" s="986">
        <f>ROUND(NOMINA!AS309,2)</f>
        <v>0</v>
      </c>
      <c r="X333" s="986">
        <f>ROUND(NOMINA!AW309,2)</f>
        <v>0</v>
      </c>
      <c r="Y333" s="986">
        <f>ROUND(NOMINA!AX309,2)</f>
        <v>0</v>
      </c>
      <c r="Z333" s="986">
        <f>ROUND(NOMINA!BB309,2)+ROUND(NOMINA!BF309,2)</f>
        <v>0</v>
      </c>
      <c r="AA333" s="986">
        <f>ROUND(NOMINA!BK309,2)*0</f>
        <v>0</v>
      </c>
      <c r="AB333" s="986">
        <f>ROUND(NOMINA!BG309,2)</f>
        <v>0</v>
      </c>
      <c r="AC333" s="1000">
        <f t="shared" si="19"/>
        <v>0</v>
      </c>
      <c r="AE333" s="634"/>
    </row>
    <row r="334" spans="1:31" s="629" customFormat="1" ht="39.950000000000003" customHeight="1" thickBot="1">
      <c r="A334" s="693"/>
      <c r="B334" s="676"/>
      <c r="C334" s="1135" t="s">
        <v>4562</v>
      </c>
      <c r="D334" s="1104"/>
      <c r="E334" s="1104"/>
      <c r="F334" s="1104"/>
      <c r="G334" s="1104"/>
      <c r="H334" s="1105"/>
      <c r="I334" s="1104"/>
      <c r="J334" s="1104"/>
      <c r="K334" s="1104"/>
      <c r="L334" s="1104"/>
      <c r="M334" s="1104"/>
      <c r="N334" s="1136"/>
      <c r="O334" s="677"/>
      <c r="P334" s="694">
        <f t="shared" ref="P334:AC334" si="21">SUM(P67:P333)</f>
        <v>26285</v>
      </c>
      <c r="Q334" s="694">
        <f t="shared" si="21"/>
        <v>2706.5600000000027</v>
      </c>
      <c r="R334" s="694">
        <f t="shared" si="21"/>
        <v>15990</v>
      </c>
      <c r="S334" s="694">
        <f t="shared" si="21"/>
        <v>7977.57</v>
      </c>
      <c r="T334" s="694">
        <f t="shared" si="21"/>
        <v>1200</v>
      </c>
      <c r="U334" s="694">
        <f t="shared" si="21"/>
        <v>25</v>
      </c>
      <c r="V334" s="694">
        <f t="shared" si="21"/>
        <v>62.5</v>
      </c>
      <c r="W334" s="694">
        <f t="shared" si="21"/>
        <v>12.5</v>
      </c>
      <c r="X334" s="694">
        <f t="shared" si="21"/>
        <v>10562</v>
      </c>
      <c r="Y334" s="694">
        <f t="shared" si="21"/>
        <v>84059.28</v>
      </c>
      <c r="Z334" s="694">
        <f t="shared" si="21"/>
        <v>7387.1900000000023</v>
      </c>
      <c r="AA334" s="694">
        <f t="shared" si="21"/>
        <v>0</v>
      </c>
      <c r="AB334" s="694">
        <f t="shared" si="21"/>
        <v>73800</v>
      </c>
      <c r="AC334" s="696">
        <f t="shared" si="21"/>
        <v>230067.59999999983</v>
      </c>
      <c r="AD334" s="634">
        <f>+NOMINA!CC309</f>
        <v>0</v>
      </c>
      <c r="AE334" s="634">
        <f>+AC334-AD334</f>
        <v>230067.59999999983</v>
      </c>
    </row>
    <row r="335" spans="1:31" s="629" customFormat="1" ht="19.5" customHeight="1">
      <c r="A335" s="708"/>
      <c r="B335" s="778"/>
      <c r="C335" s="814"/>
      <c r="D335" s="814"/>
      <c r="E335" s="814"/>
      <c r="F335" s="814"/>
      <c r="G335" s="814"/>
      <c r="H335" s="815"/>
      <c r="I335" s="814"/>
      <c r="J335" s="814"/>
      <c r="K335" s="786"/>
      <c r="L335" s="814"/>
      <c r="M335" s="814"/>
      <c r="N335" s="814"/>
      <c r="O335" s="814"/>
      <c r="P335" s="816"/>
      <c r="Q335" s="816"/>
      <c r="R335" s="816"/>
      <c r="S335" s="816"/>
      <c r="T335" s="816"/>
      <c r="U335" s="816"/>
      <c r="V335" s="816"/>
      <c r="W335" s="816"/>
      <c r="X335" s="816"/>
      <c r="Y335" s="816"/>
      <c r="Z335" s="816"/>
      <c r="AA335" s="816"/>
      <c r="AB335" s="816"/>
      <c r="AC335" s="816"/>
      <c r="AE335" s="634"/>
    </row>
    <row r="336" spans="1:31" s="629" customFormat="1" ht="19.5" customHeight="1">
      <c r="A336" s="708"/>
      <c r="B336" s="720" t="s">
        <v>4664</v>
      </c>
      <c r="C336" s="700"/>
      <c r="D336" s="700"/>
      <c r="E336" s="700"/>
      <c r="F336" s="700"/>
      <c r="G336" s="700"/>
      <c r="H336" s="820"/>
      <c r="I336" s="700"/>
      <c r="J336" s="700"/>
      <c r="K336" s="611"/>
      <c r="L336" s="700"/>
      <c r="M336" s="700"/>
      <c r="N336" s="700"/>
      <c r="O336" s="700"/>
      <c r="P336" s="817"/>
      <c r="Q336" s="817"/>
      <c r="R336" s="817"/>
      <c r="S336" s="817"/>
      <c r="T336" s="817"/>
      <c r="U336" s="817"/>
      <c r="V336" s="817"/>
      <c r="W336" s="817"/>
      <c r="X336" s="817"/>
      <c r="Y336" s="817"/>
      <c r="Z336" s="817"/>
      <c r="AA336" s="817"/>
      <c r="AB336" s="817"/>
      <c r="AC336" s="817"/>
    </row>
    <row r="337" spans="1:31" s="629" customFormat="1" ht="19.5" customHeight="1">
      <c r="A337" s="708"/>
      <c r="B337" s="720" t="s">
        <v>4665</v>
      </c>
      <c r="C337" s="700"/>
      <c r="D337" s="700"/>
      <c r="E337" s="700"/>
      <c r="F337" s="700"/>
      <c r="G337" s="700"/>
      <c r="H337" s="820"/>
      <c r="I337" s="700"/>
      <c r="J337" s="700"/>
      <c r="K337" s="611"/>
      <c r="L337" s="700"/>
      <c r="M337" s="700"/>
      <c r="N337" s="700"/>
      <c r="O337" s="700"/>
      <c r="P337" s="817"/>
      <c r="Q337" s="817"/>
      <c r="R337" s="817"/>
      <c r="S337" s="817"/>
      <c r="T337" s="817"/>
      <c r="U337" s="817"/>
      <c r="V337" s="817"/>
      <c r="W337" s="817"/>
      <c r="X337" s="817"/>
      <c r="Y337" s="817"/>
      <c r="Z337" s="817"/>
      <c r="AA337" s="817"/>
      <c r="AB337" s="817"/>
      <c r="AC337" s="817"/>
    </row>
    <row r="338" spans="1:31" s="629" customFormat="1" ht="19.5" customHeight="1">
      <c r="A338" s="708"/>
      <c r="B338" s="720"/>
      <c r="C338" s="700"/>
      <c r="D338" s="700"/>
      <c r="E338" s="700"/>
      <c r="F338" s="700"/>
      <c r="G338" s="700"/>
      <c r="H338" s="820"/>
      <c r="I338" s="700"/>
      <c r="J338" s="700"/>
      <c r="K338" s="611"/>
      <c r="L338" s="700"/>
      <c r="M338" s="700"/>
      <c r="N338" s="700"/>
      <c r="O338" s="700"/>
      <c r="P338" s="817"/>
      <c r="Q338" s="817"/>
      <c r="R338" s="817"/>
      <c r="S338" s="817"/>
      <c r="T338" s="817"/>
      <c r="U338" s="817"/>
      <c r="V338" s="817"/>
      <c r="W338" s="817"/>
      <c r="X338" s="817"/>
      <c r="Y338" s="817"/>
      <c r="Z338" s="817"/>
      <c r="AA338" s="817"/>
      <c r="AB338" s="817"/>
      <c r="AC338" s="817"/>
    </row>
    <row r="339" spans="1:31" s="629" customFormat="1" ht="19.5" customHeight="1">
      <c r="A339" s="708"/>
      <c r="B339" s="790"/>
      <c r="C339" s="700"/>
      <c r="D339" s="700"/>
      <c r="E339" s="700"/>
      <c r="F339" s="700"/>
      <c r="G339" s="700"/>
      <c r="H339" s="820"/>
      <c r="I339" s="700"/>
      <c r="J339" s="700"/>
      <c r="K339" s="611"/>
      <c r="L339" s="700"/>
      <c r="M339" s="700"/>
      <c r="N339" s="700"/>
      <c r="O339" s="700"/>
      <c r="P339" s="817"/>
      <c r="Q339" s="817"/>
      <c r="R339" s="817"/>
      <c r="S339" s="817"/>
      <c r="T339" s="817"/>
      <c r="U339" s="817"/>
      <c r="V339" s="817"/>
      <c r="W339" s="817"/>
      <c r="X339" s="817"/>
      <c r="Y339" s="817"/>
      <c r="Z339" s="817"/>
      <c r="AA339" s="817"/>
      <c r="AB339" s="817"/>
      <c r="AC339" s="817"/>
    </row>
    <row r="340" spans="1:31" s="629" customFormat="1" ht="19.5" customHeight="1">
      <c r="A340" s="708"/>
      <c r="B340" s="790"/>
      <c r="C340" s="791"/>
      <c r="D340" s="735" t="s">
        <v>5860</v>
      </c>
      <c r="E340" s="708"/>
      <c r="F340" s="793"/>
      <c r="G340" s="708"/>
      <c r="H340" s="794"/>
      <c r="I340" s="795"/>
      <c r="J340" s="796"/>
      <c r="K340" s="611"/>
      <c r="L340" s="797"/>
      <c r="M340" s="796"/>
      <c r="N340" s="798"/>
      <c r="O340" s="796"/>
      <c r="P340" s="726" t="s">
        <v>5861</v>
      </c>
      <c r="Q340" s="799"/>
      <c r="R340" s="799"/>
      <c r="S340" s="799"/>
      <c r="T340" s="799"/>
      <c r="U340" s="799"/>
      <c r="V340" s="799"/>
      <c r="W340" s="799"/>
      <c r="X340" s="724" t="s">
        <v>5862</v>
      </c>
      <c r="Y340" s="799"/>
      <c r="Z340" s="799"/>
      <c r="AA340" s="799"/>
      <c r="AB340" s="817"/>
      <c r="AC340" s="817"/>
    </row>
    <row r="341" spans="1:31" s="629" customFormat="1" ht="19.5" customHeight="1">
      <c r="A341" s="708"/>
      <c r="B341" s="790"/>
      <c r="C341" s="791"/>
      <c r="D341" s="792"/>
      <c r="E341" s="708"/>
      <c r="F341" s="793"/>
      <c r="G341" s="708"/>
      <c r="H341" s="794"/>
      <c r="I341" s="795"/>
      <c r="J341" s="796"/>
      <c r="K341" s="611"/>
      <c r="L341" s="797"/>
      <c r="M341" s="796"/>
      <c r="N341" s="798"/>
      <c r="O341" s="796"/>
      <c r="P341" s="799"/>
      <c r="Q341" s="799"/>
      <c r="R341" s="799"/>
      <c r="S341" s="799"/>
      <c r="T341" s="799"/>
      <c r="U341" s="799"/>
      <c r="V341" s="799"/>
      <c r="W341" s="799"/>
      <c r="X341" s="799"/>
      <c r="Y341" s="799"/>
      <c r="Z341" s="799"/>
      <c r="AA341" s="799"/>
      <c r="AB341" s="817"/>
      <c r="AC341" s="817"/>
    </row>
    <row r="342" spans="1:31" s="629" customFormat="1" ht="19.5" customHeight="1">
      <c r="A342" s="708"/>
      <c r="B342" s="734" t="s">
        <v>6879</v>
      </c>
      <c r="C342" s="735"/>
      <c r="D342" s="733"/>
      <c r="E342" s="733"/>
      <c r="F342" s="733"/>
      <c r="G342" s="733"/>
      <c r="H342" s="734" t="s">
        <v>6152</v>
      </c>
      <c r="I342" s="734"/>
      <c r="K342" s="611"/>
      <c r="L342" s="797"/>
      <c r="M342" s="796"/>
      <c r="N342" s="798"/>
      <c r="O342" s="796"/>
      <c r="P342" s="736" t="s">
        <v>5863</v>
      </c>
      <c r="Q342" s="799"/>
      <c r="R342" s="799"/>
      <c r="S342" s="799"/>
      <c r="T342" s="799"/>
      <c r="U342" s="799"/>
      <c r="V342" s="799"/>
      <c r="W342" s="799"/>
      <c r="X342" s="724" t="s">
        <v>5874</v>
      </c>
      <c r="Y342" s="799"/>
      <c r="Z342" s="799"/>
      <c r="AA342" s="799"/>
      <c r="AB342" s="817"/>
      <c r="AC342" s="817"/>
    </row>
    <row r="343" spans="1:31" s="629" customFormat="1" ht="19.5" customHeight="1">
      <c r="A343" s="708"/>
      <c r="B343" s="734" t="s">
        <v>6880</v>
      </c>
      <c r="C343" s="735"/>
      <c r="D343" s="733"/>
      <c r="E343" s="733"/>
      <c r="F343" s="733"/>
      <c r="G343" s="733"/>
      <c r="H343" s="734" t="s">
        <v>6153</v>
      </c>
      <c r="I343" s="734"/>
      <c r="K343" s="611"/>
      <c r="L343" s="797"/>
      <c r="M343" s="796"/>
      <c r="N343" s="798"/>
      <c r="O343" s="796"/>
      <c r="P343" s="736" t="s">
        <v>5865</v>
      </c>
      <c r="Q343" s="799"/>
      <c r="R343" s="799"/>
      <c r="S343" s="799"/>
      <c r="T343" s="799"/>
      <c r="U343" s="799"/>
      <c r="V343" s="799"/>
      <c r="W343" s="799"/>
      <c r="X343" s="734" t="s">
        <v>5866</v>
      </c>
      <c r="Y343" s="799"/>
      <c r="Z343" s="799"/>
      <c r="AA343" s="799"/>
      <c r="AB343" s="817"/>
      <c r="AC343" s="817"/>
    </row>
    <row r="344" spans="1:31" s="629" customFormat="1" ht="19.5" customHeight="1">
      <c r="A344" s="708"/>
      <c r="B344" s="734" t="s">
        <v>5244</v>
      </c>
      <c r="C344" s="735"/>
      <c r="D344" s="733"/>
      <c r="E344" s="733"/>
      <c r="F344" s="733"/>
      <c r="G344" s="733"/>
      <c r="H344" s="734" t="s">
        <v>5265</v>
      </c>
      <c r="I344" s="734"/>
      <c r="K344" s="611"/>
      <c r="L344" s="797"/>
      <c r="M344" s="796"/>
      <c r="N344" s="798"/>
      <c r="O344" s="796"/>
      <c r="P344" s="736" t="s">
        <v>5867</v>
      </c>
      <c r="Q344" s="799"/>
      <c r="R344" s="799"/>
      <c r="S344" s="799"/>
      <c r="T344" s="799"/>
      <c r="U344" s="799"/>
      <c r="V344" s="799"/>
      <c r="W344" s="799"/>
      <c r="X344" s="724" t="s">
        <v>5868</v>
      </c>
      <c r="Y344" s="799"/>
      <c r="Z344" s="799"/>
      <c r="AA344" s="799"/>
      <c r="AB344" s="817"/>
      <c r="AC344" s="817"/>
    </row>
    <row r="345" spans="1:31" s="629" customFormat="1" ht="19.5" customHeight="1" thickBot="1">
      <c r="A345" s="708"/>
      <c r="B345" s="700"/>
      <c r="C345" s="700"/>
      <c r="D345" s="700"/>
      <c r="E345" s="700"/>
      <c r="F345" s="700"/>
      <c r="G345" s="700"/>
      <c r="H345" s="820"/>
      <c r="I345" s="700"/>
      <c r="J345" s="700"/>
      <c r="K345" s="700"/>
      <c r="L345" s="700"/>
      <c r="M345" s="700"/>
      <c r="N345" s="821"/>
      <c r="O345" s="700"/>
      <c r="P345" s="799"/>
      <c r="Q345" s="799"/>
      <c r="R345" s="799"/>
      <c r="S345" s="799"/>
      <c r="T345" s="799"/>
      <c r="U345" s="799"/>
      <c r="V345" s="799"/>
      <c r="W345" s="799"/>
      <c r="X345" s="799"/>
      <c r="Y345" s="799"/>
      <c r="Z345" s="799"/>
      <c r="AA345" s="799"/>
      <c r="AB345" s="799"/>
      <c r="AC345" s="799"/>
    </row>
    <row r="346" spans="1:31" s="707" customFormat="1" ht="30" customHeight="1" thickBot="1">
      <c r="A346" s="698" t="s">
        <v>4563</v>
      </c>
      <c r="B346" s="758" t="str">
        <f>+"OBREROS FIJOS_NOMINA_2A_QUINCENA_"&amp;NOMINA!F9&amp;"_"&amp;NOMINA!H9</f>
        <v>OBREROS FIJOS_NOMINA_2A_QUINCENA_ENERO_2025</v>
      </c>
      <c r="C346" s="699"/>
      <c r="D346" s="700"/>
      <c r="E346" s="701"/>
      <c r="F346" s="700"/>
      <c r="G346" s="702"/>
      <c r="H346" s="703"/>
      <c r="I346" s="704"/>
      <c r="J346" s="704"/>
      <c r="K346" s="704"/>
      <c r="L346" s="704"/>
      <c r="M346" s="704"/>
      <c r="N346" s="822"/>
      <c r="O346" s="704"/>
      <c r="P346" s="823"/>
      <c r="Q346" s="705"/>
      <c r="R346" s="705"/>
      <c r="S346" s="705"/>
      <c r="T346" s="824"/>
      <c r="U346" s="824"/>
      <c r="V346" s="824"/>
      <c r="W346" s="824"/>
      <c r="X346" s="823"/>
      <c r="Y346" s="705"/>
      <c r="Z346" s="823"/>
      <c r="AA346" s="823"/>
      <c r="AB346" s="705"/>
      <c r="AC346" s="706"/>
    </row>
    <row r="347" spans="1:31" s="629" customFormat="1" ht="20.100000000000001" customHeight="1" thickBot="1">
      <c r="A347" s="770" t="s">
        <v>2846</v>
      </c>
      <c r="B347" s="510">
        <v>1</v>
      </c>
      <c r="C347" s="980">
        <f>NOMINA!C312</f>
        <v>5505183</v>
      </c>
      <c r="D347" s="981" t="str">
        <f>NOMINA!D312</f>
        <v>Paredes Marquez Eduardo Jesus</v>
      </c>
      <c r="E347" s="978" t="s">
        <v>4622</v>
      </c>
      <c r="F347" s="982">
        <v>32351</v>
      </c>
      <c r="G347" s="978" t="s">
        <v>4620</v>
      </c>
      <c r="H347" s="1001">
        <f>NOMINA!H312</f>
        <v>44562</v>
      </c>
      <c r="I347" s="984">
        <f>NOMINA!I312</f>
        <v>3</v>
      </c>
      <c r="J347" s="985">
        <f>NOMINA!J312</f>
        <v>9</v>
      </c>
      <c r="K347" s="984">
        <f t="shared" ref="K347" si="22">I347+J347</f>
        <v>12</v>
      </c>
      <c r="L347" s="985" t="s">
        <v>4932</v>
      </c>
      <c r="M347" s="985"/>
      <c r="N347" s="1002" t="str">
        <f>NOMINA!O312</f>
        <v>Ayudante de Servicios Generales</v>
      </c>
      <c r="O347" s="985">
        <v>1.02087691000006E+18</v>
      </c>
      <c r="P347" s="999">
        <f>NOMINA!W312</f>
        <v>76</v>
      </c>
      <c r="Q347" s="986">
        <f>NOMINA!AG312</f>
        <v>10.49</v>
      </c>
      <c r="R347" s="986">
        <f>NOMINA!AI312</f>
        <v>65</v>
      </c>
      <c r="S347" s="986">
        <f>NOMINA!AK312</f>
        <v>0</v>
      </c>
      <c r="T347" s="986">
        <f>ROUND(NOMINA!AO312,2)</f>
        <v>0</v>
      </c>
      <c r="U347" s="986">
        <f>ROUND(NOMINA!AQ312,2)</f>
        <v>0</v>
      </c>
      <c r="V347" s="986">
        <f>ROUND(NOMINA!AR312,2)</f>
        <v>0</v>
      </c>
      <c r="W347" s="986">
        <f>ROUND(NOMINA!AS312,2)</f>
        <v>0</v>
      </c>
      <c r="X347" s="986">
        <f>ROUND(NOMINA!AW312,2)</f>
        <v>0</v>
      </c>
      <c r="Y347" s="986">
        <f>ROUND(NOMINA!AX312,2)</f>
        <v>2423.84</v>
      </c>
      <c r="Z347" s="986">
        <f>ROUND(NOMINA!BB312,2)+ROUND(NOMINA!BF312,2)</f>
        <v>0</v>
      </c>
      <c r="AA347" s="986">
        <f>ROUND(NOMINA!BK312,2)</f>
        <v>0</v>
      </c>
      <c r="AB347" s="986">
        <f>ROUND(NOMINA!BG312,2)</f>
        <v>290</v>
      </c>
      <c r="AC347" s="1000">
        <f>+P347+Q347+R347+S347+T347+U347+V347+W347+X347+Y347+Z347+AB347+AA347</f>
        <v>2865.33</v>
      </c>
      <c r="AE347" s="634"/>
    </row>
    <row r="348" spans="1:31" s="629" customFormat="1" ht="20.100000000000001" customHeight="1" thickBot="1">
      <c r="A348" s="770" t="s">
        <v>2846</v>
      </c>
      <c r="B348" s="510">
        <f t="shared" ref="B348:B411" si="23">+B347+1</f>
        <v>2</v>
      </c>
      <c r="C348" s="980">
        <f>NOMINA!C313</f>
        <v>5757455</v>
      </c>
      <c r="D348" s="981" t="str">
        <f>NOMINA!D313</f>
        <v>Ramirez Garcia Maria Perpetua</v>
      </c>
      <c r="E348" s="978" t="s">
        <v>4622</v>
      </c>
      <c r="F348" s="982">
        <v>32351</v>
      </c>
      <c r="G348" s="978" t="s">
        <v>4620</v>
      </c>
      <c r="H348" s="1001">
        <f>NOMINA!H313</f>
        <v>39409</v>
      </c>
      <c r="I348" s="984">
        <f>NOMINA!I313</f>
        <v>17</v>
      </c>
      <c r="J348" s="985">
        <f>NOMINA!J313</f>
        <v>0</v>
      </c>
      <c r="K348" s="984">
        <f t="shared" ref="K348:K411" si="24">I348+J348</f>
        <v>17</v>
      </c>
      <c r="L348" s="985" t="s">
        <v>4932</v>
      </c>
      <c r="M348" s="985"/>
      <c r="N348" s="1002" t="str">
        <f>NOMINA!O313</f>
        <v>Cocinera</v>
      </c>
      <c r="O348" s="985">
        <v>1.02087691000006E+18</v>
      </c>
      <c r="P348" s="999">
        <f>NOMINA!W313</f>
        <v>85.5</v>
      </c>
      <c r="Q348" s="986">
        <f>NOMINA!AG313</f>
        <v>18.12</v>
      </c>
      <c r="R348" s="986">
        <f>NOMINA!AI313</f>
        <v>65</v>
      </c>
      <c r="S348" s="986">
        <f>NOMINA!AK313</f>
        <v>0</v>
      </c>
      <c r="T348" s="986">
        <f>ROUND(NOMINA!AO313,2)</f>
        <v>0</v>
      </c>
      <c r="U348" s="986">
        <f>ROUND(NOMINA!AQ313,2)</f>
        <v>0</v>
      </c>
      <c r="V348" s="986">
        <f>ROUND(NOMINA!AR313,2)</f>
        <v>0</v>
      </c>
      <c r="W348" s="986">
        <f>ROUND(NOMINA!AS313,2)</f>
        <v>0</v>
      </c>
      <c r="X348" s="986">
        <f>ROUND(NOMINA!AW313,2)</f>
        <v>0</v>
      </c>
      <c r="Y348" s="986">
        <f>ROUND(NOMINA!AX313,2)</f>
        <v>0</v>
      </c>
      <c r="Z348" s="986">
        <f>ROUND(NOMINA!BB313,2)+ROUND(NOMINA!BF313,2)</f>
        <v>33.729999999999997</v>
      </c>
      <c r="AA348" s="986">
        <f>ROUND(NOMINA!BK313,2)</f>
        <v>0</v>
      </c>
      <c r="AB348" s="986">
        <f>ROUND(NOMINA!BG313,2)</f>
        <v>290</v>
      </c>
      <c r="AC348" s="1000">
        <f t="shared" ref="AC348:AC411" si="25">+P348+Q348+R348+S348+T348+U348+V348+W348+X348+Y348+Z348+AB348+AA348</f>
        <v>492.35</v>
      </c>
      <c r="AE348" s="634"/>
    </row>
    <row r="349" spans="1:31" s="629" customFormat="1" ht="20.100000000000001" customHeight="1" thickBot="1">
      <c r="A349" s="770" t="s">
        <v>2846</v>
      </c>
      <c r="B349" s="510">
        <f t="shared" si="23"/>
        <v>3</v>
      </c>
      <c r="C349" s="980">
        <f>NOMINA!C314</f>
        <v>5762185</v>
      </c>
      <c r="D349" s="981" t="str">
        <f>NOMINA!D314</f>
        <v>Salas Quintero Jose Gregorio</v>
      </c>
      <c r="E349" s="978" t="s">
        <v>4622</v>
      </c>
      <c r="F349" s="982">
        <v>32351</v>
      </c>
      <c r="G349" s="978" t="s">
        <v>4620</v>
      </c>
      <c r="H349" s="1001">
        <f>NOMINA!H314</f>
        <v>37622</v>
      </c>
      <c r="I349" s="984">
        <f>NOMINA!I314</f>
        <v>22</v>
      </c>
      <c r="J349" s="985">
        <f>NOMINA!J314</f>
        <v>0</v>
      </c>
      <c r="K349" s="984">
        <f t="shared" si="24"/>
        <v>22</v>
      </c>
      <c r="L349" s="985" t="s">
        <v>4932</v>
      </c>
      <c r="M349" s="985"/>
      <c r="N349" s="1002" t="str">
        <f>NOMINA!O314</f>
        <v xml:space="preserve">Vigilante  </v>
      </c>
      <c r="O349" s="985">
        <v>1.02087691000006E+18</v>
      </c>
      <c r="P349" s="999">
        <f>NOMINA!W314</f>
        <v>85.5</v>
      </c>
      <c r="Q349" s="986">
        <f>NOMINA!AG314</f>
        <v>25.31</v>
      </c>
      <c r="R349" s="986">
        <f>NOMINA!AI314</f>
        <v>65</v>
      </c>
      <c r="S349" s="986">
        <f>NOMINA!AK314</f>
        <v>0</v>
      </c>
      <c r="T349" s="986">
        <f>ROUND(NOMINA!AO314,2)</f>
        <v>0</v>
      </c>
      <c r="U349" s="986">
        <f>ROUND(NOMINA!AQ314,2)</f>
        <v>0</v>
      </c>
      <c r="V349" s="986">
        <f>ROUND(NOMINA!AR314,2)</f>
        <v>0</v>
      </c>
      <c r="W349" s="986">
        <f>ROUND(NOMINA!AS314,2)</f>
        <v>0</v>
      </c>
      <c r="X349" s="986">
        <f>ROUND(NOMINA!AW314,2)</f>
        <v>0</v>
      </c>
      <c r="Y349" s="986">
        <f>ROUND(NOMINA!AX314,2)</f>
        <v>2812.96</v>
      </c>
      <c r="Z349" s="986">
        <f>ROUND(NOMINA!BB314,2)+ROUND(NOMINA!BF314,2)</f>
        <v>0</v>
      </c>
      <c r="AA349" s="986">
        <f>ROUND(NOMINA!BK314,2)</f>
        <v>0</v>
      </c>
      <c r="AB349" s="986">
        <f>ROUND(NOMINA!BG314,2)</f>
        <v>290</v>
      </c>
      <c r="AC349" s="1000">
        <f t="shared" si="25"/>
        <v>3278.77</v>
      </c>
      <c r="AE349" s="634"/>
    </row>
    <row r="350" spans="1:31" s="629" customFormat="1" ht="20.100000000000001" customHeight="1" thickBot="1">
      <c r="A350" s="770" t="s">
        <v>2846</v>
      </c>
      <c r="B350" s="510">
        <f t="shared" si="23"/>
        <v>4</v>
      </c>
      <c r="C350" s="980">
        <f>NOMINA!C315</f>
        <v>6332524</v>
      </c>
      <c r="D350" s="981" t="str">
        <f>NOMINA!D315</f>
        <v>Flores Diana Yamilet</v>
      </c>
      <c r="E350" s="978" t="s">
        <v>4622</v>
      </c>
      <c r="F350" s="982">
        <v>32351</v>
      </c>
      <c r="G350" s="978" t="s">
        <v>4620</v>
      </c>
      <c r="H350" s="1001">
        <f>NOMINA!H315</f>
        <v>42948</v>
      </c>
      <c r="I350" s="984">
        <f>NOMINA!I315</f>
        <v>7</v>
      </c>
      <c r="J350" s="985">
        <f>NOMINA!J315</f>
        <v>0</v>
      </c>
      <c r="K350" s="984">
        <f t="shared" si="24"/>
        <v>7</v>
      </c>
      <c r="L350" s="985" t="s">
        <v>4932</v>
      </c>
      <c r="M350" s="985"/>
      <c r="N350" s="1002" t="str">
        <f>NOMINA!O315</f>
        <v>Cocinera</v>
      </c>
      <c r="O350" s="985">
        <v>1.02087691000006E+18</v>
      </c>
      <c r="P350" s="999">
        <f>NOMINA!W315</f>
        <v>85.5</v>
      </c>
      <c r="Q350" s="986">
        <f>NOMINA!AG315</f>
        <v>6.32</v>
      </c>
      <c r="R350" s="986">
        <f>NOMINA!AI315</f>
        <v>65</v>
      </c>
      <c r="S350" s="986">
        <f>NOMINA!AK315</f>
        <v>0</v>
      </c>
      <c r="T350" s="986">
        <f>ROUND(NOMINA!AO315,2)</f>
        <v>0</v>
      </c>
      <c r="U350" s="986">
        <f>ROUND(NOMINA!AQ315,2)</f>
        <v>0</v>
      </c>
      <c r="V350" s="986">
        <f>ROUND(NOMINA!AR315,2)</f>
        <v>0</v>
      </c>
      <c r="W350" s="986">
        <f>ROUND(NOMINA!AS315,2)</f>
        <v>0</v>
      </c>
      <c r="X350" s="986">
        <f>ROUND(NOMINA!AW315,2)</f>
        <v>0</v>
      </c>
      <c r="Y350" s="986">
        <f>ROUND(NOMINA!AX315,2)</f>
        <v>0</v>
      </c>
      <c r="Z350" s="986">
        <f>ROUND(NOMINA!BB315,2)+ROUND(NOMINA!BF315,2)</f>
        <v>31.37</v>
      </c>
      <c r="AA350" s="986">
        <f>ROUND(NOMINA!BK315,2)</f>
        <v>0</v>
      </c>
      <c r="AB350" s="986">
        <f>ROUND(NOMINA!BG315,2)</f>
        <v>290</v>
      </c>
      <c r="AC350" s="1000">
        <f t="shared" si="25"/>
        <v>478.19</v>
      </c>
      <c r="AE350" s="634"/>
    </row>
    <row r="351" spans="1:31" s="629" customFormat="1" ht="20.100000000000001" customHeight="1" thickBot="1">
      <c r="A351" s="770" t="s">
        <v>2846</v>
      </c>
      <c r="B351" s="510">
        <f t="shared" si="23"/>
        <v>5</v>
      </c>
      <c r="C351" s="980">
        <f>NOMINA!C316</f>
        <v>6902701</v>
      </c>
      <c r="D351" s="981" t="str">
        <f>NOMINA!D316</f>
        <v>Santiago Torres Jose Ramon</v>
      </c>
      <c r="E351" s="978" t="s">
        <v>4622</v>
      </c>
      <c r="F351" s="982">
        <v>32351</v>
      </c>
      <c r="G351" s="978" t="s">
        <v>4620</v>
      </c>
      <c r="H351" s="1001">
        <f>NOMINA!H316</f>
        <v>44228</v>
      </c>
      <c r="I351" s="984">
        <f>NOMINA!I316</f>
        <v>3</v>
      </c>
      <c r="J351" s="985">
        <f>NOMINA!J316</f>
        <v>0</v>
      </c>
      <c r="K351" s="984">
        <f t="shared" si="24"/>
        <v>3</v>
      </c>
      <c r="L351" s="985" t="s">
        <v>4932</v>
      </c>
      <c r="M351" s="985"/>
      <c r="N351" s="1002" t="str">
        <f>NOMINA!O316</f>
        <v>Mensajero</v>
      </c>
      <c r="O351" s="985">
        <v>1.02087691000006E+18</v>
      </c>
      <c r="P351" s="999">
        <f>NOMINA!W316</f>
        <v>71</v>
      </c>
      <c r="Q351" s="986">
        <f>NOMINA!AG316</f>
        <v>2.13</v>
      </c>
      <c r="R351" s="986">
        <f>NOMINA!AI316</f>
        <v>65</v>
      </c>
      <c r="S351" s="986">
        <f>NOMINA!AK316</f>
        <v>0</v>
      </c>
      <c r="T351" s="986">
        <f>ROUND(NOMINA!AO316,2)</f>
        <v>0</v>
      </c>
      <c r="U351" s="986">
        <f>ROUND(NOMINA!AQ316,2)</f>
        <v>0</v>
      </c>
      <c r="V351" s="986">
        <f>ROUND(NOMINA!AR316,2)</f>
        <v>0</v>
      </c>
      <c r="W351" s="986">
        <f>ROUND(NOMINA!AS316,2)</f>
        <v>0</v>
      </c>
      <c r="X351" s="986">
        <f>ROUND(NOMINA!AW316,2)</f>
        <v>0</v>
      </c>
      <c r="Y351" s="986">
        <f>ROUND(NOMINA!AX316,2)</f>
        <v>0</v>
      </c>
      <c r="Z351" s="986">
        <f>ROUND(NOMINA!BB316,2)+ROUND(NOMINA!BF316,2)</f>
        <v>14.44</v>
      </c>
      <c r="AA351" s="986">
        <f>ROUND(NOMINA!BK316,2)</f>
        <v>0</v>
      </c>
      <c r="AB351" s="986">
        <f>ROUND(NOMINA!BG316,2)</f>
        <v>290</v>
      </c>
      <c r="AC351" s="1000">
        <f t="shared" si="25"/>
        <v>442.57</v>
      </c>
      <c r="AE351" s="634"/>
    </row>
    <row r="352" spans="1:31" s="629" customFormat="1" ht="20.100000000000001" customHeight="1" thickBot="1">
      <c r="A352" s="770" t="s">
        <v>2846</v>
      </c>
      <c r="B352" s="510">
        <f t="shared" si="23"/>
        <v>6</v>
      </c>
      <c r="C352" s="980">
        <f>NOMINA!C317</f>
        <v>7252065</v>
      </c>
      <c r="D352" s="981" t="str">
        <f>NOMINA!D317</f>
        <v>Rivas Rivas Jose Gerardo</v>
      </c>
      <c r="E352" s="978" t="s">
        <v>4622</v>
      </c>
      <c r="F352" s="982">
        <v>32351</v>
      </c>
      <c r="G352" s="978" t="s">
        <v>4620</v>
      </c>
      <c r="H352" s="1001">
        <f>NOMINA!H317</f>
        <v>43891</v>
      </c>
      <c r="I352" s="984">
        <f>NOMINA!I317</f>
        <v>4</v>
      </c>
      <c r="J352" s="985">
        <f>NOMINA!J317</f>
        <v>0</v>
      </c>
      <c r="K352" s="984">
        <f t="shared" si="24"/>
        <v>4</v>
      </c>
      <c r="L352" s="985" t="s">
        <v>4932</v>
      </c>
      <c r="M352" s="985"/>
      <c r="N352" s="1002" t="str">
        <f>NOMINA!O317</f>
        <v>Ayudante de Servicios Generales</v>
      </c>
      <c r="O352" s="985">
        <v>1.02087691000006E+18</v>
      </c>
      <c r="P352" s="999">
        <f>NOMINA!W317</f>
        <v>76</v>
      </c>
      <c r="Q352" s="986">
        <f>NOMINA!AG317</f>
        <v>3.04</v>
      </c>
      <c r="R352" s="986">
        <f>NOMINA!AI317</f>
        <v>65</v>
      </c>
      <c r="S352" s="986">
        <f>NOMINA!AK317</f>
        <v>0</v>
      </c>
      <c r="T352" s="986">
        <f>ROUND(NOMINA!AO317,2)</f>
        <v>0</v>
      </c>
      <c r="U352" s="986">
        <f>ROUND(NOMINA!AQ317,2)</f>
        <v>0</v>
      </c>
      <c r="V352" s="986">
        <f>ROUND(NOMINA!AR317,2)</f>
        <v>0</v>
      </c>
      <c r="W352" s="986">
        <f>ROUND(NOMINA!AS317,2)</f>
        <v>0</v>
      </c>
      <c r="X352" s="986">
        <f>ROUND(NOMINA!AW317,2)</f>
        <v>86.42</v>
      </c>
      <c r="Y352" s="986">
        <f>ROUND(NOMINA!AX317,2)</f>
        <v>0</v>
      </c>
      <c r="Z352" s="986">
        <f>ROUND(NOMINA!BB317,2)+ROUND(NOMINA!BF317,2)</f>
        <v>0</v>
      </c>
      <c r="AA352" s="986">
        <f>ROUND(NOMINA!BK317,2)</f>
        <v>0</v>
      </c>
      <c r="AB352" s="986">
        <f>ROUND(NOMINA!BG317,2)</f>
        <v>290</v>
      </c>
      <c r="AC352" s="1000">
        <f t="shared" si="25"/>
        <v>520.46</v>
      </c>
      <c r="AE352" s="634"/>
    </row>
    <row r="353" spans="1:31" s="629" customFormat="1" ht="20.100000000000001" customHeight="1" thickBot="1">
      <c r="A353" s="770" t="s">
        <v>2846</v>
      </c>
      <c r="B353" s="510">
        <f t="shared" si="23"/>
        <v>7</v>
      </c>
      <c r="C353" s="980">
        <f>NOMINA!C318</f>
        <v>9008311</v>
      </c>
      <c r="D353" s="981" t="str">
        <f>NOMINA!D318</f>
        <v>Toro Margi Enrique</v>
      </c>
      <c r="E353" s="978" t="s">
        <v>4622</v>
      </c>
      <c r="F353" s="982">
        <v>32351</v>
      </c>
      <c r="G353" s="978" t="s">
        <v>4620</v>
      </c>
      <c r="H353" s="1001">
        <f>NOMINA!H318</f>
        <v>39265</v>
      </c>
      <c r="I353" s="984">
        <f>NOMINA!I318</f>
        <v>17</v>
      </c>
      <c r="J353" s="985">
        <f>NOMINA!J318</f>
        <v>0</v>
      </c>
      <c r="K353" s="984">
        <f t="shared" si="24"/>
        <v>17</v>
      </c>
      <c r="L353" s="985" t="s">
        <v>4932</v>
      </c>
      <c r="M353" s="985"/>
      <c r="N353" s="1002" t="str">
        <f>NOMINA!O318</f>
        <v>Ayudante de Servicios Generales</v>
      </c>
      <c r="O353" s="985">
        <v>1.02087691000006E+18</v>
      </c>
      <c r="P353" s="999">
        <f>NOMINA!W318</f>
        <v>76</v>
      </c>
      <c r="Q353" s="986">
        <f>NOMINA!AG318</f>
        <v>16.11</v>
      </c>
      <c r="R353" s="986">
        <f>NOMINA!AI318</f>
        <v>65</v>
      </c>
      <c r="S353" s="986">
        <f>NOMINA!AK318</f>
        <v>0</v>
      </c>
      <c r="T353" s="986">
        <f>ROUND(NOMINA!AO318,2)</f>
        <v>0</v>
      </c>
      <c r="U353" s="986">
        <f>ROUND(NOMINA!AQ318,2)</f>
        <v>0</v>
      </c>
      <c r="V353" s="986">
        <f>ROUND(NOMINA!AR318,2)</f>
        <v>0</v>
      </c>
      <c r="W353" s="986">
        <f>ROUND(NOMINA!AS318,2)</f>
        <v>0</v>
      </c>
      <c r="X353" s="986">
        <f>ROUND(NOMINA!AW318,2)</f>
        <v>0</v>
      </c>
      <c r="Y353" s="986">
        <f>ROUND(NOMINA!AX318,2)</f>
        <v>0</v>
      </c>
      <c r="Z353" s="986">
        <f>ROUND(NOMINA!BB318,2)+ROUND(NOMINA!BF318,2)</f>
        <v>0</v>
      </c>
      <c r="AA353" s="986">
        <f>ROUND(NOMINA!BK318,2)</f>
        <v>0</v>
      </c>
      <c r="AB353" s="986">
        <f>ROUND(NOMINA!BG318,2)</f>
        <v>290</v>
      </c>
      <c r="AC353" s="1000">
        <f t="shared" si="25"/>
        <v>447.11</v>
      </c>
      <c r="AE353" s="634"/>
    </row>
    <row r="354" spans="1:31" s="629" customFormat="1" ht="20.100000000000001" customHeight="1" thickBot="1">
      <c r="A354" s="770" t="s">
        <v>2846</v>
      </c>
      <c r="B354" s="510">
        <f t="shared" si="23"/>
        <v>8</v>
      </c>
      <c r="C354" s="980">
        <f>NOMINA!C319</f>
        <v>9011963</v>
      </c>
      <c r="D354" s="981" t="str">
        <f>NOMINA!D319</f>
        <v>Alarcon Argenio</v>
      </c>
      <c r="E354" s="978" t="s">
        <v>4622</v>
      </c>
      <c r="F354" s="982">
        <v>32351</v>
      </c>
      <c r="G354" s="978" t="s">
        <v>4620</v>
      </c>
      <c r="H354" s="1001">
        <f>NOMINA!H319</f>
        <v>39820</v>
      </c>
      <c r="I354" s="984">
        <f>NOMINA!I319</f>
        <v>16</v>
      </c>
      <c r="J354" s="985">
        <f>NOMINA!J319</f>
        <v>0</v>
      </c>
      <c r="K354" s="984">
        <f t="shared" si="24"/>
        <v>16</v>
      </c>
      <c r="L354" s="985" t="s">
        <v>4932</v>
      </c>
      <c r="M354" s="985"/>
      <c r="N354" s="1002" t="str">
        <f>NOMINA!O319</f>
        <v>Ayudante de Servicios Generales</v>
      </c>
      <c r="O354" s="985">
        <v>1.02087691000006E+18</v>
      </c>
      <c r="P354" s="999">
        <f>NOMINA!W319</f>
        <v>76</v>
      </c>
      <c r="Q354" s="986">
        <f>NOMINA!AG319</f>
        <v>14.89</v>
      </c>
      <c r="R354" s="986">
        <f>NOMINA!AI319</f>
        <v>65</v>
      </c>
      <c r="S354" s="986">
        <f>NOMINA!AK319</f>
        <v>0</v>
      </c>
      <c r="T354" s="986">
        <f>ROUND(NOMINA!AO319,2)</f>
        <v>0</v>
      </c>
      <c r="U354" s="986">
        <f>ROUND(NOMINA!AQ319,2)</f>
        <v>0</v>
      </c>
      <c r="V354" s="986">
        <f>ROUND(NOMINA!AR319,2)</f>
        <v>0</v>
      </c>
      <c r="W354" s="986">
        <f>ROUND(NOMINA!AS319,2)</f>
        <v>0</v>
      </c>
      <c r="X354" s="986">
        <f>ROUND(NOMINA!AW319,2)</f>
        <v>0</v>
      </c>
      <c r="Y354" s="986">
        <f>ROUND(NOMINA!AX319,2)</f>
        <v>2494.3200000000002</v>
      </c>
      <c r="Z354" s="986">
        <f>ROUND(NOMINA!BB319,2)+ROUND(NOMINA!BF319,2)</f>
        <v>0</v>
      </c>
      <c r="AA354" s="986">
        <f>ROUND(NOMINA!BK319,2)</f>
        <v>0</v>
      </c>
      <c r="AB354" s="986">
        <f>ROUND(NOMINA!BG319,2)</f>
        <v>290</v>
      </c>
      <c r="AC354" s="1000">
        <f t="shared" si="25"/>
        <v>2940.21</v>
      </c>
      <c r="AE354" s="634"/>
    </row>
    <row r="355" spans="1:31" s="629" customFormat="1" ht="20.100000000000001" customHeight="1" thickBot="1">
      <c r="A355" s="770" t="s">
        <v>2846</v>
      </c>
      <c r="B355" s="510">
        <f t="shared" si="23"/>
        <v>9</v>
      </c>
      <c r="C355" s="980">
        <f>NOMINA!C320</f>
        <v>9100500</v>
      </c>
      <c r="D355" s="981" t="str">
        <f>NOMINA!D320</f>
        <v>Hernandez de Villegas Zoraida Elodia</v>
      </c>
      <c r="E355" s="978" t="s">
        <v>4622</v>
      </c>
      <c r="F355" s="982">
        <v>32351</v>
      </c>
      <c r="G355" s="978" t="s">
        <v>4620</v>
      </c>
      <c r="H355" s="1001">
        <f>NOMINA!H320</f>
        <v>39496</v>
      </c>
      <c r="I355" s="984">
        <f>NOMINA!I320</f>
        <v>16</v>
      </c>
      <c r="J355" s="985">
        <f>NOMINA!J320</f>
        <v>0</v>
      </c>
      <c r="K355" s="984">
        <f t="shared" si="24"/>
        <v>16</v>
      </c>
      <c r="L355" s="985" t="s">
        <v>4932</v>
      </c>
      <c r="M355" s="985"/>
      <c r="N355" s="1002" t="str">
        <f>NOMINA!O320</f>
        <v>Aseadora</v>
      </c>
      <c r="O355" s="985">
        <v>1.02087691000006E+18</v>
      </c>
      <c r="P355" s="999">
        <f>NOMINA!W320</f>
        <v>65</v>
      </c>
      <c r="Q355" s="986">
        <f>NOMINA!AG320</f>
        <v>12.74</v>
      </c>
      <c r="R355" s="986">
        <f>NOMINA!AI320</f>
        <v>65</v>
      </c>
      <c r="S355" s="986">
        <f>NOMINA!AK320</f>
        <v>0</v>
      </c>
      <c r="T355" s="986">
        <f>ROUND(NOMINA!AO320,2)</f>
        <v>0</v>
      </c>
      <c r="U355" s="986">
        <f>ROUND(NOMINA!AQ320,2)</f>
        <v>0</v>
      </c>
      <c r="V355" s="986">
        <f>ROUND(NOMINA!AR320,2)</f>
        <v>0</v>
      </c>
      <c r="W355" s="986">
        <f>ROUND(NOMINA!AS320,2)</f>
        <v>0</v>
      </c>
      <c r="X355" s="986">
        <f>ROUND(NOMINA!AW320,2)</f>
        <v>0</v>
      </c>
      <c r="Y355" s="986">
        <f>ROUND(NOMINA!AX320,2)</f>
        <v>0</v>
      </c>
      <c r="Z355" s="986">
        <f>ROUND(NOMINA!BB320,2)+ROUND(NOMINA!BF320,2)</f>
        <v>0</v>
      </c>
      <c r="AA355" s="986">
        <f>ROUND(NOMINA!BK320,2)</f>
        <v>0</v>
      </c>
      <c r="AB355" s="986">
        <f>ROUND(NOMINA!BG320,2)</f>
        <v>290</v>
      </c>
      <c r="AC355" s="1000">
        <f t="shared" si="25"/>
        <v>432.74</v>
      </c>
      <c r="AE355" s="634"/>
    </row>
    <row r="356" spans="1:31" s="629" customFormat="1" ht="20.100000000000001" customHeight="1" thickBot="1">
      <c r="A356" s="770" t="s">
        <v>2846</v>
      </c>
      <c r="B356" s="510">
        <f t="shared" si="23"/>
        <v>10</v>
      </c>
      <c r="C356" s="980">
        <f>NOMINA!C321</f>
        <v>9110498</v>
      </c>
      <c r="D356" s="981" t="str">
        <f>NOMINA!D321</f>
        <v>Ruiz Alberto Jose</v>
      </c>
      <c r="E356" s="978" t="s">
        <v>4622</v>
      </c>
      <c r="F356" s="982">
        <v>32351</v>
      </c>
      <c r="G356" s="978" t="s">
        <v>4620</v>
      </c>
      <c r="H356" s="1001">
        <f>NOMINA!H321</f>
        <v>37508</v>
      </c>
      <c r="I356" s="984">
        <f>NOMINA!I321</f>
        <v>22</v>
      </c>
      <c r="J356" s="985">
        <f>NOMINA!J321</f>
        <v>0</v>
      </c>
      <c r="K356" s="984">
        <f t="shared" si="24"/>
        <v>22</v>
      </c>
      <c r="L356" s="985" t="s">
        <v>4932</v>
      </c>
      <c r="M356" s="985"/>
      <c r="N356" s="1002" t="str">
        <f>NOMINA!O321</f>
        <v>Ayudante de Servicios Generales</v>
      </c>
      <c r="O356" s="985">
        <v>1.02087691000006E+18</v>
      </c>
      <c r="P356" s="999">
        <f>NOMINA!W321</f>
        <v>76</v>
      </c>
      <c r="Q356" s="986">
        <f>NOMINA!AG321</f>
        <v>22.49</v>
      </c>
      <c r="R356" s="986">
        <f>NOMINA!AI321</f>
        <v>65</v>
      </c>
      <c r="S356" s="986">
        <f>NOMINA!AK321</f>
        <v>0</v>
      </c>
      <c r="T356" s="986">
        <f>ROUND(NOMINA!AO321,2)</f>
        <v>0</v>
      </c>
      <c r="U356" s="986">
        <f>ROUND(NOMINA!AQ321,2)</f>
        <v>0</v>
      </c>
      <c r="V356" s="986">
        <f>ROUND(NOMINA!AR321,2)</f>
        <v>0</v>
      </c>
      <c r="W356" s="986">
        <f>ROUND(NOMINA!AS321,2)</f>
        <v>0</v>
      </c>
      <c r="X356" s="986">
        <f>ROUND(NOMINA!AW321,2)</f>
        <v>0</v>
      </c>
      <c r="Y356" s="986">
        <f>ROUND(NOMINA!AX321,2)</f>
        <v>0</v>
      </c>
      <c r="Z356" s="986">
        <f>ROUND(NOMINA!BB321,2)+ROUND(NOMINA!BF321,2)</f>
        <v>0</v>
      </c>
      <c r="AA356" s="986">
        <f>ROUND(NOMINA!BK321,2)</f>
        <v>0</v>
      </c>
      <c r="AB356" s="986">
        <f>ROUND(NOMINA!BG321,2)</f>
        <v>290</v>
      </c>
      <c r="AC356" s="1000">
        <f t="shared" si="25"/>
        <v>453.49</v>
      </c>
      <c r="AE356" s="634"/>
    </row>
    <row r="357" spans="1:31" s="629" customFormat="1" ht="20.100000000000001" customHeight="1" thickBot="1">
      <c r="A357" s="770" t="s">
        <v>2846</v>
      </c>
      <c r="B357" s="510">
        <f t="shared" si="23"/>
        <v>11</v>
      </c>
      <c r="C357" s="980">
        <f>NOMINA!C322</f>
        <v>9163994</v>
      </c>
      <c r="D357" s="981" t="str">
        <f>NOMINA!D322</f>
        <v>Rodriguez Fernandez Carlos Eduardo</v>
      </c>
      <c r="E357" s="978" t="s">
        <v>4622</v>
      </c>
      <c r="F357" s="982">
        <v>32351</v>
      </c>
      <c r="G357" s="978" t="s">
        <v>4620</v>
      </c>
      <c r="H357" s="1001">
        <f>NOMINA!H322</f>
        <v>43770</v>
      </c>
      <c r="I357" s="984">
        <f>NOMINA!I322</f>
        <v>5</v>
      </c>
      <c r="J357" s="985">
        <f>NOMINA!J322</f>
        <v>0</v>
      </c>
      <c r="K357" s="984">
        <f t="shared" si="24"/>
        <v>5</v>
      </c>
      <c r="L357" s="985" t="s">
        <v>4932</v>
      </c>
      <c r="M357" s="985"/>
      <c r="N357" s="1002" t="str">
        <f>NOMINA!O322</f>
        <v>Ayudante de Almacen</v>
      </c>
      <c r="O357" s="985">
        <v>1.02087691000006E+18</v>
      </c>
      <c r="P357" s="999">
        <f>NOMINA!W322</f>
        <v>85.5</v>
      </c>
      <c r="Q357" s="986">
        <f>NOMINA!AG322</f>
        <v>4.2699999999999996</v>
      </c>
      <c r="R357" s="986">
        <f>NOMINA!AI322</f>
        <v>65</v>
      </c>
      <c r="S357" s="986">
        <f>NOMINA!AK322</f>
        <v>0</v>
      </c>
      <c r="T357" s="986">
        <f>ROUND(NOMINA!AO322,2)</f>
        <v>0</v>
      </c>
      <c r="U357" s="986">
        <f>ROUND(NOMINA!AQ322,2)</f>
        <v>0</v>
      </c>
      <c r="V357" s="986">
        <f>ROUND(NOMINA!AR322,2)</f>
        <v>0</v>
      </c>
      <c r="W357" s="986">
        <f>ROUND(NOMINA!AS322,2)</f>
        <v>0</v>
      </c>
      <c r="X357" s="986">
        <f>ROUND(NOMINA!AW322,2)</f>
        <v>0</v>
      </c>
      <c r="Y357" s="986">
        <f>ROUND(NOMINA!AX322,2)</f>
        <v>0</v>
      </c>
      <c r="Z357" s="986">
        <f>ROUND(NOMINA!BB322,2)+ROUND(NOMINA!BF322,2)</f>
        <v>0</v>
      </c>
      <c r="AA357" s="986">
        <f>ROUND(NOMINA!BK322,2)</f>
        <v>0</v>
      </c>
      <c r="AB357" s="986">
        <f>ROUND(NOMINA!BG322,2)</f>
        <v>290</v>
      </c>
      <c r="AC357" s="1000">
        <f t="shared" si="25"/>
        <v>444.77</v>
      </c>
      <c r="AE357" s="634"/>
    </row>
    <row r="358" spans="1:31" s="629" customFormat="1" ht="20.100000000000001" customHeight="1" thickBot="1">
      <c r="A358" s="770" t="s">
        <v>2846</v>
      </c>
      <c r="B358" s="510">
        <f t="shared" si="23"/>
        <v>12</v>
      </c>
      <c r="C358" s="980">
        <f>NOMINA!C323</f>
        <v>9167342</v>
      </c>
      <c r="D358" s="981" t="str">
        <f>NOMINA!D323</f>
        <v>Gutierrez Briceño Jose Justimiano</v>
      </c>
      <c r="E358" s="978" t="s">
        <v>4622</v>
      </c>
      <c r="F358" s="982">
        <v>32351</v>
      </c>
      <c r="G358" s="978" t="s">
        <v>4620</v>
      </c>
      <c r="H358" s="1001">
        <f>NOMINA!H323</f>
        <v>43845</v>
      </c>
      <c r="I358" s="984">
        <f>NOMINA!I323</f>
        <v>5</v>
      </c>
      <c r="J358" s="985">
        <f>NOMINA!J323</f>
        <v>0</v>
      </c>
      <c r="K358" s="984">
        <f t="shared" si="24"/>
        <v>5</v>
      </c>
      <c r="L358" s="985" t="s">
        <v>4932</v>
      </c>
      <c r="M358" s="985"/>
      <c r="N358" s="1002" t="str">
        <f>NOMINA!O323</f>
        <v>Ayudante Agropecuario</v>
      </c>
      <c r="O358" s="985">
        <v>1.02087691000006E+18</v>
      </c>
      <c r="P358" s="999">
        <f>NOMINA!W323</f>
        <v>76</v>
      </c>
      <c r="Q358" s="986">
        <f>NOMINA!AG323</f>
        <v>3.8</v>
      </c>
      <c r="R358" s="986">
        <f>NOMINA!AI323</f>
        <v>65</v>
      </c>
      <c r="S358" s="986">
        <f>NOMINA!AK323</f>
        <v>0</v>
      </c>
      <c r="T358" s="986">
        <f>ROUND(NOMINA!AO323,2)</f>
        <v>0</v>
      </c>
      <c r="U358" s="986">
        <f>ROUND(NOMINA!AQ323,2)</f>
        <v>0</v>
      </c>
      <c r="V358" s="986">
        <f>ROUND(NOMINA!AR323,2)</f>
        <v>0</v>
      </c>
      <c r="W358" s="986">
        <f>ROUND(NOMINA!AS323,2)</f>
        <v>0</v>
      </c>
      <c r="X358" s="986">
        <f>ROUND(NOMINA!AW323,2)</f>
        <v>0</v>
      </c>
      <c r="Y358" s="986">
        <f>ROUND(NOMINA!AX323,2)</f>
        <v>2316.8000000000002</v>
      </c>
      <c r="Z358" s="986">
        <f>ROUND(NOMINA!BB323,2)+ROUND(NOMINA!BF323,2)</f>
        <v>0</v>
      </c>
      <c r="AA358" s="986">
        <f>ROUND(NOMINA!BK323,2)</f>
        <v>0</v>
      </c>
      <c r="AB358" s="986">
        <f>ROUND(NOMINA!BG323,2)</f>
        <v>290</v>
      </c>
      <c r="AC358" s="1000">
        <f t="shared" si="25"/>
        <v>2751.6000000000004</v>
      </c>
      <c r="AE358" s="634"/>
    </row>
    <row r="359" spans="1:31" s="629" customFormat="1" ht="20.100000000000001" customHeight="1" thickBot="1">
      <c r="A359" s="770" t="s">
        <v>2846</v>
      </c>
      <c r="B359" s="510">
        <f t="shared" si="23"/>
        <v>13</v>
      </c>
      <c r="C359" s="980">
        <f>NOMINA!C324</f>
        <v>9310477</v>
      </c>
      <c r="D359" s="981" t="str">
        <f>NOMINA!D324</f>
        <v>Campos Muchacho Rafael Angel</v>
      </c>
      <c r="E359" s="978" t="s">
        <v>4622</v>
      </c>
      <c r="F359" s="982">
        <v>32351</v>
      </c>
      <c r="G359" s="978" t="s">
        <v>4620</v>
      </c>
      <c r="H359" s="1001">
        <f>NOMINA!H324</f>
        <v>44075</v>
      </c>
      <c r="I359" s="984">
        <f>NOMINA!I324</f>
        <v>4</v>
      </c>
      <c r="J359" s="985">
        <f>NOMINA!J324</f>
        <v>0</v>
      </c>
      <c r="K359" s="984">
        <f t="shared" si="24"/>
        <v>4</v>
      </c>
      <c r="L359" s="985" t="s">
        <v>4932</v>
      </c>
      <c r="M359" s="985"/>
      <c r="N359" s="1002" t="str">
        <f>NOMINA!O324</f>
        <v>Ayudante Agropecuario</v>
      </c>
      <c r="O359" s="985">
        <v>1.02087691000006E+18</v>
      </c>
      <c r="P359" s="999">
        <f>NOMINA!W324</f>
        <v>76</v>
      </c>
      <c r="Q359" s="986">
        <f>NOMINA!AG324</f>
        <v>3.04</v>
      </c>
      <c r="R359" s="986">
        <f>NOMINA!AI324</f>
        <v>65</v>
      </c>
      <c r="S359" s="986">
        <f>NOMINA!AK324</f>
        <v>0</v>
      </c>
      <c r="T359" s="986">
        <f>ROUND(NOMINA!AO324,2)</f>
        <v>0</v>
      </c>
      <c r="U359" s="986">
        <f>ROUND(NOMINA!AQ324,2)</f>
        <v>0</v>
      </c>
      <c r="V359" s="986">
        <f>ROUND(NOMINA!AR324,2)</f>
        <v>0</v>
      </c>
      <c r="W359" s="986">
        <f>ROUND(NOMINA!AS324,2)</f>
        <v>0</v>
      </c>
      <c r="X359" s="986">
        <f>ROUND(NOMINA!AW324,2)</f>
        <v>0</v>
      </c>
      <c r="Y359" s="986">
        <f>ROUND(NOMINA!AX324,2)</f>
        <v>0</v>
      </c>
      <c r="Z359" s="986">
        <f>ROUND(NOMINA!BB324,2)+ROUND(NOMINA!BF324,2)</f>
        <v>0</v>
      </c>
      <c r="AA359" s="986">
        <f>ROUND(NOMINA!BK324,2)</f>
        <v>0</v>
      </c>
      <c r="AB359" s="986">
        <f>ROUND(NOMINA!BG324,2)</f>
        <v>290</v>
      </c>
      <c r="AC359" s="1000">
        <f t="shared" si="25"/>
        <v>434.04</v>
      </c>
      <c r="AE359" s="634"/>
    </row>
    <row r="360" spans="1:31" s="629" customFormat="1" ht="20.100000000000001" customHeight="1" thickBot="1">
      <c r="A360" s="770" t="s">
        <v>2846</v>
      </c>
      <c r="B360" s="510">
        <f t="shared" si="23"/>
        <v>14</v>
      </c>
      <c r="C360" s="980">
        <f>NOMINA!C325</f>
        <v>9323739</v>
      </c>
      <c r="D360" s="981" t="str">
        <f>NOMINA!D325</f>
        <v>Vargas Benitez Jose Nerio</v>
      </c>
      <c r="E360" s="978" t="s">
        <v>4622</v>
      </c>
      <c r="F360" s="982">
        <v>32351</v>
      </c>
      <c r="G360" s="978" t="s">
        <v>4620</v>
      </c>
      <c r="H360" s="1001">
        <f>NOMINA!H325</f>
        <v>39300</v>
      </c>
      <c r="I360" s="984">
        <f>NOMINA!I325</f>
        <v>17</v>
      </c>
      <c r="J360" s="985">
        <f>NOMINA!J325</f>
        <v>0</v>
      </c>
      <c r="K360" s="984">
        <f t="shared" si="24"/>
        <v>17</v>
      </c>
      <c r="L360" s="985" t="s">
        <v>4932</v>
      </c>
      <c r="M360" s="985"/>
      <c r="N360" s="1002" t="str">
        <f>NOMINA!O325</f>
        <v>Ayudante de Servicios Generales</v>
      </c>
      <c r="O360" s="985">
        <v>1.02087691000006E+18</v>
      </c>
      <c r="P360" s="999">
        <f>NOMINA!W325</f>
        <v>76</v>
      </c>
      <c r="Q360" s="986">
        <f>NOMINA!AG325</f>
        <v>16.11</v>
      </c>
      <c r="R360" s="986">
        <f>NOMINA!AI325</f>
        <v>65</v>
      </c>
      <c r="S360" s="986">
        <f>NOMINA!AK325</f>
        <v>0</v>
      </c>
      <c r="T360" s="986">
        <f>ROUND(NOMINA!AO325,2)</f>
        <v>0</v>
      </c>
      <c r="U360" s="986">
        <f>ROUND(NOMINA!AQ325,2)</f>
        <v>0</v>
      </c>
      <c r="V360" s="986">
        <f>ROUND(NOMINA!AR325,2)</f>
        <v>0</v>
      </c>
      <c r="W360" s="986">
        <f>ROUND(NOMINA!AS325,2)</f>
        <v>0</v>
      </c>
      <c r="X360" s="986">
        <f>ROUND(NOMINA!AW325,2)</f>
        <v>0</v>
      </c>
      <c r="Y360" s="986">
        <f>ROUND(NOMINA!AX325,2)</f>
        <v>0</v>
      </c>
      <c r="Z360" s="986">
        <f>ROUND(NOMINA!BB325,2)+ROUND(NOMINA!BF325,2)</f>
        <v>0</v>
      </c>
      <c r="AA360" s="986">
        <f>ROUND(NOMINA!BK325,2)</f>
        <v>0</v>
      </c>
      <c r="AB360" s="986">
        <f>ROUND(NOMINA!BG325,2)</f>
        <v>290</v>
      </c>
      <c r="AC360" s="1000">
        <f t="shared" si="25"/>
        <v>447.11</v>
      </c>
      <c r="AE360" s="634"/>
    </row>
    <row r="361" spans="1:31" s="629" customFormat="1" ht="20.100000000000001" customHeight="1" thickBot="1">
      <c r="A361" s="770" t="s">
        <v>2846</v>
      </c>
      <c r="B361" s="510">
        <f t="shared" si="23"/>
        <v>15</v>
      </c>
      <c r="C361" s="980">
        <f>NOMINA!C326</f>
        <v>9325664</v>
      </c>
      <c r="D361" s="981" t="str">
        <f>NOMINA!D326</f>
        <v>Lobo Mendoza Luz Marina</v>
      </c>
      <c r="E361" s="978" t="s">
        <v>4622</v>
      </c>
      <c r="F361" s="982">
        <v>32351</v>
      </c>
      <c r="G361" s="978" t="s">
        <v>4620</v>
      </c>
      <c r="H361" s="1001">
        <f>NOMINA!H326</f>
        <v>42948</v>
      </c>
      <c r="I361" s="984">
        <f>NOMINA!I326</f>
        <v>7</v>
      </c>
      <c r="J361" s="985">
        <f>NOMINA!J326</f>
        <v>0</v>
      </c>
      <c r="K361" s="984">
        <f t="shared" si="24"/>
        <v>7</v>
      </c>
      <c r="L361" s="985" t="s">
        <v>4932</v>
      </c>
      <c r="M361" s="985"/>
      <c r="N361" s="1002" t="str">
        <f>NOMINA!O326</f>
        <v>Ayudante de Servicios Generales</v>
      </c>
      <c r="O361" s="985">
        <v>1.02087691000006E+18</v>
      </c>
      <c r="P361" s="999">
        <f>NOMINA!W326</f>
        <v>76</v>
      </c>
      <c r="Q361" s="986">
        <f>NOMINA!AG326</f>
        <v>5.62</v>
      </c>
      <c r="R361" s="986">
        <f>NOMINA!AI326</f>
        <v>65</v>
      </c>
      <c r="S361" s="986">
        <f>NOMINA!AK326</f>
        <v>0</v>
      </c>
      <c r="T361" s="986">
        <f>ROUND(NOMINA!AO326,2)</f>
        <v>0</v>
      </c>
      <c r="U361" s="986">
        <f>ROUND(NOMINA!AQ326,2)</f>
        <v>0</v>
      </c>
      <c r="V361" s="986">
        <f>ROUND(NOMINA!AR326,2)</f>
        <v>0</v>
      </c>
      <c r="W361" s="986">
        <f>ROUND(NOMINA!AS326,2)</f>
        <v>0</v>
      </c>
      <c r="X361" s="986">
        <f>ROUND(NOMINA!AW326,2)</f>
        <v>0</v>
      </c>
      <c r="Y361" s="986">
        <f>ROUND(NOMINA!AX326,2)</f>
        <v>0</v>
      </c>
      <c r="Z361" s="986">
        <f>ROUND(NOMINA!BB326,2)+ROUND(NOMINA!BF326,2)</f>
        <v>0</v>
      </c>
      <c r="AA361" s="986">
        <f>ROUND(NOMINA!BK326,2)</f>
        <v>0</v>
      </c>
      <c r="AB361" s="986">
        <f>ROUND(NOMINA!BG326,2)</f>
        <v>290</v>
      </c>
      <c r="AC361" s="1000">
        <f t="shared" si="25"/>
        <v>436.62</v>
      </c>
      <c r="AE361" s="634"/>
    </row>
    <row r="362" spans="1:31" s="629" customFormat="1" ht="20.100000000000001" customHeight="1" thickBot="1">
      <c r="A362" s="770" t="s">
        <v>2846</v>
      </c>
      <c r="B362" s="510">
        <f t="shared" si="23"/>
        <v>16</v>
      </c>
      <c r="C362" s="980">
        <f>NOMINA!C327</f>
        <v>9328045</v>
      </c>
      <c r="D362" s="981" t="str">
        <f>NOMINA!D327</f>
        <v>Paredes Quintero Jose Benigno</v>
      </c>
      <c r="E362" s="978" t="s">
        <v>4622</v>
      </c>
      <c r="F362" s="982">
        <v>32351</v>
      </c>
      <c r="G362" s="978" t="s">
        <v>4620</v>
      </c>
      <c r="H362" s="1001">
        <f>NOMINA!H327</f>
        <v>44212</v>
      </c>
      <c r="I362" s="984">
        <f>NOMINA!I327</f>
        <v>4</v>
      </c>
      <c r="J362" s="985">
        <f>NOMINA!J327</f>
        <v>0</v>
      </c>
      <c r="K362" s="984">
        <f t="shared" si="24"/>
        <v>4</v>
      </c>
      <c r="L362" s="985" t="s">
        <v>4932</v>
      </c>
      <c r="M362" s="985"/>
      <c r="N362" s="1002" t="str">
        <f>NOMINA!O327</f>
        <v>Ayudante de Servicios Generales</v>
      </c>
      <c r="O362" s="985">
        <v>1.02087691000006E+18</v>
      </c>
      <c r="P362" s="999">
        <f>NOMINA!W327</f>
        <v>76</v>
      </c>
      <c r="Q362" s="986">
        <f>NOMINA!AG327</f>
        <v>3.04</v>
      </c>
      <c r="R362" s="986">
        <f>NOMINA!AI327</f>
        <v>65</v>
      </c>
      <c r="S362" s="986">
        <f>NOMINA!AK327</f>
        <v>0</v>
      </c>
      <c r="T362" s="986">
        <f>ROUND(NOMINA!AO327,2)</f>
        <v>0</v>
      </c>
      <c r="U362" s="986">
        <f>ROUND(NOMINA!AQ327,2)</f>
        <v>0</v>
      </c>
      <c r="V362" s="986">
        <f>ROUND(NOMINA!AR327,2)</f>
        <v>0</v>
      </c>
      <c r="W362" s="986">
        <f>ROUND(NOMINA!AS327,2)</f>
        <v>0</v>
      </c>
      <c r="X362" s="986">
        <f>ROUND(NOMINA!AW327,2)</f>
        <v>0</v>
      </c>
      <c r="Y362" s="986">
        <f>ROUND(NOMINA!AX327,2)</f>
        <v>2304.64</v>
      </c>
      <c r="Z362" s="986">
        <f>ROUND(NOMINA!BB327,2)+ROUND(NOMINA!BF327,2)</f>
        <v>0</v>
      </c>
      <c r="AA362" s="986">
        <f>ROUND(NOMINA!BK327,2)</f>
        <v>0</v>
      </c>
      <c r="AB362" s="986">
        <f>ROUND(NOMINA!BG327,2)</f>
        <v>290</v>
      </c>
      <c r="AC362" s="1000">
        <f t="shared" si="25"/>
        <v>2738.68</v>
      </c>
      <c r="AE362" s="634"/>
    </row>
    <row r="363" spans="1:31" s="629" customFormat="1" ht="20.100000000000001" customHeight="1" thickBot="1">
      <c r="A363" s="770" t="s">
        <v>2846</v>
      </c>
      <c r="B363" s="510">
        <f t="shared" si="23"/>
        <v>17</v>
      </c>
      <c r="C363" s="980">
        <f>NOMINA!C328</f>
        <v>10178456</v>
      </c>
      <c r="D363" s="981" t="str">
        <f>NOMINA!D328</f>
        <v>Figueroa Roa Yudith Griselda</v>
      </c>
      <c r="E363" s="978" t="s">
        <v>4622</v>
      </c>
      <c r="F363" s="982">
        <v>32351</v>
      </c>
      <c r="G363" s="978" t="s">
        <v>4620</v>
      </c>
      <c r="H363" s="1001">
        <f>NOMINA!H328</f>
        <v>44287</v>
      </c>
      <c r="I363" s="984">
        <f>NOMINA!I328</f>
        <v>3</v>
      </c>
      <c r="J363" s="985">
        <f>NOMINA!J328</f>
        <v>0</v>
      </c>
      <c r="K363" s="984">
        <f t="shared" si="24"/>
        <v>3</v>
      </c>
      <c r="L363" s="985" t="s">
        <v>4932</v>
      </c>
      <c r="M363" s="985"/>
      <c r="N363" s="1002" t="str">
        <f>NOMINA!O328</f>
        <v>Aseadora</v>
      </c>
      <c r="O363" s="985">
        <v>1.02087691000006E+18</v>
      </c>
      <c r="P363" s="999">
        <f>NOMINA!W328</f>
        <v>65</v>
      </c>
      <c r="Q363" s="986">
        <f>NOMINA!AG328</f>
        <v>1.95</v>
      </c>
      <c r="R363" s="986">
        <f>NOMINA!AI328</f>
        <v>65</v>
      </c>
      <c r="S363" s="986">
        <f>NOMINA!AK328</f>
        <v>0</v>
      </c>
      <c r="T363" s="986">
        <f>ROUND(NOMINA!AO328,2)</f>
        <v>0</v>
      </c>
      <c r="U363" s="986">
        <f>ROUND(NOMINA!AQ328,2)</f>
        <v>0</v>
      </c>
      <c r="V363" s="986">
        <f>ROUND(NOMINA!AR328,2)</f>
        <v>0</v>
      </c>
      <c r="W363" s="986">
        <f>ROUND(NOMINA!AS328,2)</f>
        <v>0</v>
      </c>
      <c r="X363" s="986">
        <f>ROUND(NOMINA!AW328,2)</f>
        <v>0</v>
      </c>
      <c r="Y363" s="986">
        <f>ROUND(NOMINA!AX328,2)</f>
        <v>0</v>
      </c>
      <c r="Z363" s="986">
        <f>ROUND(NOMINA!BB328,2)+ROUND(NOMINA!BF328,2)</f>
        <v>0</v>
      </c>
      <c r="AA363" s="986">
        <f>ROUND(NOMINA!BK328,2)</f>
        <v>0</v>
      </c>
      <c r="AB363" s="986">
        <f>ROUND(NOMINA!BG328,2)</f>
        <v>290</v>
      </c>
      <c r="AC363" s="1000">
        <f t="shared" si="25"/>
        <v>421.95</v>
      </c>
      <c r="AE363" s="634"/>
    </row>
    <row r="364" spans="1:31" s="629" customFormat="1" ht="20.100000000000001" customHeight="1" thickBot="1">
      <c r="A364" s="770" t="s">
        <v>2846</v>
      </c>
      <c r="B364" s="510">
        <f t="shared" si="23"/>
        <v>18</v>
      </c>
      <c r="C364" s="980">
        <f>NOMINA!C329</f>
        <v>10317435</v>
      </c>
      <c r="D364" s="981" t="str">
        <f>NOMINA!D329</f>
        <v>Milla Ana Julia</v>
      </c>
      <c r="E364" s="978" t="s">
        <v>4622</v>
      </c>
      <c r="F364" s="982">
        <v>32351</v>
      </c>
      <c r="G364" s="978" t="s">
        <v>4620</v>
      </c>
      <c r="H364" s="1001">
        <f>NOMINA!H329</f>
        <v>39559</v>
      </c>
      <c r="I364" s="984">
        <f>NOMINA!I329</f>
        <v>16</v>
      </c>
      <c r="J364" s="985">
        <f>NOMINA!J329</f>
        <v>0</v>
      </c>
      <c r="K364" s="984">
        <f t="shared" si="24"/>
        <v>16</v>
      </c>
      <c r="L364" s="985" t="s">
        <v>4932</v>
      </c>
      <c r="M364" s="985"/>
      <c r="N364" s="1002" t="str">
        <f>NOMINA!O329</f>
        <v>Aseadora</v>
      </c>
      <c r="O364" s="985">
        <v>1.02087691000006E+18</v>
      </c>
      <c r="P364" s="999">
        <f>NOMINA!W329</f>
        <v>65</v>
      </c>
      <c r="Q364" s="986">
        <f>NOMINA!AG329</f>
        <v>12.74</v>
      </c>
      <c r="R364" s="986">
        <f>NOMINA!AI329</f>
        <v>65</v>
      </c>
      <c r="S364" s="986">
        <f>NOMINA!AK329</f>
        <v>0</v>
      </c>
      <c r="T364" s="986">
        <f>ROUND(NOMINA!AO329,2)</f>
        <v>0</v>
      </c>
      <c r="U364" s="986">
        <f>ROUND(NOMINA!AQ329,2)</f>
        <v>0</v>
      </c>
      <c r="V364" s="986">
        <f>ROUND(NOMINA!AR329,2)</f>
        <v>0</v>
      </c>
      <c r="W364" s="986">
        <f>ROUND(NOMINA!AS329,2)</f>
        <v>0</v>
      </c>
      <c r="X364" s="986">
        <f>ROUND(NOMINA!AW329,2)</f>
        <v>0</v>
      </c>
      <c r="Y364" s="986">
        <f>ROUND(NOMINA!AX329,2)</f>
        <v>0</v>
      </c>
      <c r="Z364" s="986">
        <f>ROUND(NOMINA!BB329,2)+ROUND(NOMINA!BF329,2)</f>
        <v>0</v>
      </c>
      <c r="AA364" s="986">
        <f>ROUND(NOMINA!BK329,2)</f>
        <v>0</v>
      </c>
      <c r="AB364" s="986">
        <f>ROUND(NOMINA!BG329,2)</f>
        <v>290</v>
      </c>
      <c r="AC364" s="1000">
        <f t="shared" si="25"/>
        <v>432.74</v>
      </c>
      <c r="AE364" s="634"/>
    </row>
    <row r="365" spans="1:31" s="629" customFormat="1" ht="20.100000000000001" customHeight="1" thickBot="1">
      <c r="A365" s="770" t="s">
        <v>2846</v>
      </c>
      <c r="B365" s="510">
        <f t="shared" si="23"/>
        <v>19</v>
      </c>
      <c r="C365" s="980">
        <f>NOMINA!C330</f>
        <v>10396367</v>
      </c>
      <c r="D365" s="981" t="str">
        <f>NOMINA!D330</f>
        <v>Hidalgo Linares Gloria Margarita</v>
      </c>
      <c r="E365" s="978" t="s">
        <v>4622</v>
      </c>
      <c r="F365" s="982">
        <v>32351</v>
      </c>
      <c r="G365" s="978" t="s">
        <v>4620</v>
      </c>
      <c r="H365" s="1001">
        <f>NOMINA!H330</f>
        <v>39722</v>
      </c>
      <c r="I365" s="984">
        <f>NOMINA!I330</f>
        <v>16</v>
      </c>
      <c r="J365" s="985">
        <f>NOMINA!J330</f>
        <v>0</v>
      </c>
      <c r="K365" s="984">
        <f t="shared" si="24"/>
        <v>16</v>
      </c>
      <c r="L365" s="985" t="s">
        <v>4932</v>
      </c>
      <c r="M365" s="985"/>
      <c r="N365" s="1002" t="str">
        <f>NOMINA!O330</f>
        <v>Cocinera</v>
      </c>
      <c r="O365" s="985">
        <v>1.02087691000006E+18</v>
      </c>
      <c r="P365" s="999">
        <f>NOMINA!W330</f>
        <v>85.5</v>
      </c>
      <c r="Q365" s="986">
        <f>NOMINA!AG330</f>
        <v>16.760000000000002</v>
      </c>
      <c r="R365" s="986">
        <f>NOMINA!AI330</f>
        <v>65</v>
      </c>
      <c r="S365" s="986">
        <f>NOMINA!AK330</f>
        <v>0</v>
      </c>
      <c r="T365" s="986">
        <f>ROUND(NOMINA!AO330,2)</f>
        <v>0</v>
      </c>
      <c r="U365" s="986">
        <f>ROUND(NOMINA!AQ330,2)</f>
        <v>0</v>
      </c>
      <c r="V365" s="986">
        <f>ROUND(NOMINA!AR330,2)</f>
        <v>0</v>
      </c>
      <c r="W365" s="986">
        <f>ROUND(NOMINA!AS330,2)</f>
        <v>0</v>
      </c>
      <c r="X365" s="986">
        <f>ROUND(NOMINA!AW330,2)</f>
        <v>0</v>
      </c>
      <c r="Y365" s="986">
        <f>ROUND(NOMINA!AX330,2)</f>
        <v>0</v>
      </c>
      <c r="Z365" s="986">
        <f>ROUND(NOMINA!BB330,2)+ROUND(NOMINA!BF330,2)</f>
        <v>33.450000000000003</v>
      </c>
      <c r="AA365" s="986">
        <f>ROUND(NOMINA!BK330,2)</f>
        <v>0</v>
      </c>
      <c r="AB365" s="986">
        <f>ROUND(NOMINA!BG330,2)</f>
        <v>290</v>
      </c>
      <c r="AC365" s="1000">
        <f t="shared" si="25"/>
        <v>490.71</v>
      </c>
      <c r="AE365" s="634"/>
    </row>
    <row r="366" spans="1:31" s="629" customFormat="1" ht="20.100000000000001" customHeight="1" thickBot="1">
      <c r="A366" s="770" t="s">
        <v>2846</v>
      </c>
      <c r="B366" s="510">
        <f t="shared" si="23"/>
        <v>20</v>
      </c>
      <c r="C366" s="980">
        <f>NOMINA!C331</f>
        <v>10399474</v>
      </c>
      <c r="D366" s="981" t="str">
        <f>NOMINA!D331</f>
        <v>Ramirez Araujo Teresa Maria</v>
      </c>
      <c r="E366" s="978" t="s">
        <v>4622</v>
      </c>
      <c r="F366" s="982">
        <v>32351</v>
      </c>
      <c r="G366" s="978" t="s">
        <v>4620</v>
      </c>
      <c r="H366" s="1001">
        <f>NOMINA!H331</f>
        <v>45597</v>
      </c>
      <c r="I366" s="984">
        <f>NOMINA!I331</f>
        <v>0</v>
      </c>
      <c r="J366" s="985">
        <f>NOMINA!J331</f>
        <v>0</v>
      </c>
      <c r="K366" s="984">
        <f t="shared" si="24"/>
        <v>0</v>
      </c>
      <c r="L366" s="985" t="s">
        <v>4932</v>
      </c>
      <c r="M366" s="985"/>
      <c r="N366" s="1002" t="str">
        <f>NOMINA!O331</f>
        <v>Ayudante de Servicios Generales</v>
      </c>
      <c r="O366" s="985">
        <v>1.02087691000006E+18</v>
      </c>
      <c r="P366" s="999">
        <f>NOMINA!W331</f>
        <v>71</v>
      </c>
      <c r="Q366" s="986">
        <f>NOMINA!AG331</f>
        <v>0</v>
      </c>
      <c r="R366" s="986">
        <f>NOMINA!AI331</f>
        <v>65</v>
      </c>
      <c r="S366" s="986">
        <f>NOMINA!AK331</f>
        <v>0</v>
      </c>
      <c r="T366" s="986">
        <f>ROUND(NOMINA!AO331,2)</f>
        <v>0</v>
      </c>
      <c r="U366" s="986">
        <f>ROUND(NOMINA!AQ331,2)</f>
        <v>0</v>
      </c>
      <c r="V366" s="986">
        <f>ROUND(NOMINA!AR331,2)</f>
        <v>0</v>
      </c>
      <c r="W366" s="986">
        <f>ROUND(NOMINA!AS331,2)</f>
        <v>0</v>
      </c>
      <c r="X366" s="986">
        <f>ROUND(NOMINA!AW331,2)</f>
        <v>0</v>
      </c>
      <c r="Y366" s="986">
        <f>ROUND(NOMINA!AX331,2)</f>
        <v>0</v>
      </c>
      <c r="Z366" s="986">
        <f>ROUND(NOMINA!BB331,2)+ROUND(NOMINA!BF331,2)</f>
        <v>54.4</v>
      </c>
      <c r="AA366" s="986">
        <f>ROUND(NOMINA!BK331,2)</f>
        <v>0</v>
      </c>
      <c r="AB366" s="986">
        <f>ROUND(NOMINA!BG331,2)</f>
        <v>290</v>
      </c>
      <c r="AC366" s="1000">
        <f t="shared" si="25"/>
        <v>480.4</v>
      </c>
      <c r="AE366" s="634"/>
    </row>
    <row r="367" spans="1:31" s="629" customFormat="1" ht="20.100000000000001" customHeight="1" thickBot="1">
      <c r="A367" s="770" t="s">
        <v>2846</v>
      </c>
      <c r="B367" s="510">
        <f t="shared" si="23"/>
        <v>21</v>
      </c>
      <c r="C367" s="980">
        <f>NOMINA!C332</f>
        <v>10401329</v>
      </c>
      <c r="D367" s="981" t="str">
        <f>NOMINA!D332</f>
        <v>Gonzalez Torres Orangel Ramon</v>
      </c>
      <c r="E367" s="978" t="s">
        <v>4622</v>
      </c>
      <c r="F367" s="982">
        <v>32351</v>
      </c>
      <c r="G367" s="978" t="s">
        <v>4620</v>
      </c>
      <c r="H367" s="1001">
        <f>NOMINA!H332</f>
        <v>39539</v>
      </c>
      <c r="I367" s="984">
        <f>NOMINA!I332</f>
        <v>16</v>
      </c>
      <c r="J367" s="985">
        <f>NOMINA!J332</f>
        <v>0</v>
      </c>
      <c r="K367" s="984">
        <f t="shared" si="24"/>
        <v>16</v>
      </c>
      <c r="L367" s="985" t="s">
        <v>4932</v>
      </c>
      <c r="M367" s="985"/>
      <c r="N367" s="1002" t="str">
        <f>NOMINA!O332</f>
        <v>Chofer De Transporte</v>
      </c>
      <c r="O367" s="985">
        <v>1.02087691000006E+18</v>
      </c>
      <c r="P367" s="999">
        <f>NOMINA!W332</f>
        <v>85.5</v>
      </c>
      <c r="Q367" s="986">
        <f>NOMINA!AG332</f>
        <v>16.760000000000002</v>
      </c>
      <c r="R367" s="986">
        <f>NOMINA!AI332</f>
        <v>65</v>
      </c>
      <c r="S367" s="986">
        <f>NOMINA!AK332</f>
        <v>0</v>
      </c>
      <c r="T367" s="986">
        <f>ROUND(NOMINA!AO332,2)</f>
        <v>0</v>
      </c>
      <c r="U367" s="986">
        <f>ROUND(NOMINA!AQ332,2)</f>
        <v>0</v>
      </c>
      <c r="V367" s="986">
        <f>ROUND(NOMINA!AR332,2)</f>
        <v>0</v>
      </c>
      <c r="W367" s="986">
        <f>ROUND(NOMINA!AS332,2)</f>
        <v>0</v>
      </c>
      <c r="X367" s="986">
        <f>ROUND(NOMINA!AW332,2)</f>
        <v>100.36</v>
      </c>
      <c r="Y367" s="986">
        <f>ROUND(NOMINA!AX332,2)</f>
        <v>0</v>
      </c>
      <c r="Z367" s="986">
        <f>ROUND(NOMINA!BB332,2)+ROUND(NOMINA!BF332,2)</f>
        <v>43.49</v>
      </c>
      <c r="AA367" s="986">
        <f>ROUND(NOMINA!BK332,2)</f>
        <v>0</v>
      </c>
      <c r="AB367" s="986">
        <f>ROUND(NOMINA!BG332,2)</f>
        <v>290</v>
      </c>
      <c r="AC367" s="1000">
        <f t="shared" si="25"/>
        <v>601.11</v>
      </c>
      <c r="AE367" s="634"/>
    </row>
    <row r="368" spans="1:31" s="629" customFormat="1" ht="20.100000000000001" customHeight="1" thickBot="1">
      <c r="A368" s="770" t="s">
        <v>2846</v>
      </c>
      <c r="B368" s="510">
        <f t="shared" si="23"/>
        <v>22</v>
      </c>
      <c r="C368" s="980">
        <f>NOMINA!C333</f>
        <v>10907687</v>
      </c>
      <c r="D368" s="981" t="str">
        <f>NOMINA!D333</f>
        <v>Viloria Garcia Karina Liseth</v>
      </c>
      <c r="E368" s="978" t="s">
        <v>4622</v>
      </c>
      <c r="F368" s="982">
        <v>32351</v>
      </c>
      <c r="G368" s="978" t="s">
        <v>4620</v>
      </c>
      <c r="H368" s="1001">
        <f>NOMINA!H333</f>
        <v>38749</v>
      </c>
      <c r="I368" s="984">
        <f>NOMINA!I333</f>
        <v>18</v>
      </c>
      <c r="J368" s="985">
        <f>NOMINA!J333</f>
        <v>0</v>
      </c>
      <c r="K368" s="984">
        <f t="shared" si="24"/>
        <v>18</v>
      </c>
      <c r="L368" s="985" t="s">
        <v>4932</v>
      </c>
      <c r="M368" s="985"/>
      <c r="N368" s="1002" t="str">
        <f>NOMINA!O333</f>
        <v>Cocinera</v>
      </c>
      <c r="O368" s="985">
        <v>1.02087691000006E+18</v>
      </c>
      <c r="P368" s="999">
        <f>NOMINA!W333</f>
        <v>85.5</v>
      </c>
      <c r="Q368" s="986">
        <f>NOMINA!AG333</f>
        <v>19.489999999999998</v>
      </c>
      <c r="R368" s="986">
        <f>NOMINA!AI333</f>
        <v>65</v>
      </c>
      <c r="S368" s="986">
        <f>NOMINA!AK333</f>
        <v>0</v>
      </c>
      <c r="T368" s="986">
        <f>ROUND(NOMINA!AO333,2)</f>
        <v>0</v>
      </c>
      <c r="U368" s="986">
        <f>ROUND(NOMINA!AQ333,2)</f>
        <v>0</v>
      </c>
      <c r="V368" s="986">
        <f>ROUND(NOMINA!AR333,2)</f>
        <v>0</v>
      </c>
      <c r="W368" s="986">
        <f>ROUND(NOMINA!AS333,2)</f>
        <v>0</v>
      </c>
      <c r="X368" s="986">
        <f>ROUND(NOMINA!AW333,2)</f>
        <v>0</v>
      </c>
      <c r="Y368" s="986">
        <f>ROUND(NOMINA!AX333,2)</f>
        <v>0</v>
      </c>
      <c r="Z368" s="986">
        <f>ROUND(NOMINA!BB333,2)+ROUND(NOMINA!BF333,2)</f>
        <v>34</v>
      </c>
      <c r="AA368" s="986">
        <f>ROUND(NOMINA!BK333,2)</f>
        <v>0</v>
      </c>
      <c r="AB368" s="986">
        <f>ROUND(NOMINA!BG333,2)</f>
        <v>290</v>
      </c>
      <c r="AC368" s="1000">
        <f t="shared" si="25"/>
        <v>493.99</v>
      </c>
      <c r="AE368" s="634"/>
    </row>
    <row r="369" spans="1:31" s="629" customFormat="1" ht="20.100000000000001" customHeight="1" thickBot="1">
      <c r="A369" s="770" t="s">
        <v>2846</v>
      </c>
      <c r="B369" s="510">
        <f t="shared" si="23"/>
        <v>23</v>
      </c>
      <c r="C369" s="980">
        <f>NOMINA!C334</f>
        <v>10908543</v>
      </c>
      <c r="D369" s="981" t="str">
        <f>NOMINA!D334</f>
        <v>Quintero Eric Ludwig</v>
      </c>
      <c r="E369" s="978" t="s">
        <v>4622</v>
      </c>
      <c r="F369" s="982">
        <v>32351</v>
      </c>
      <c r="G369" s="978" t="s">
        <v>4620</v>
      </c>
      <c r="H369" s="1001">
        <f>NOMINA!H334</f>
        <v>42751</v>
      </c>
      <c r="I369" s="984">
        <f>NOMINA!I334</f>
        <v>8</v>
      </c>
      <c r="J369" s="985">
        <f>NOMINA!J334</f>
        <v>0</v>
      </c>
      <c r="K369" s="984">
        <f t="shared" si="24"/>
        <v>8</v>
      </c>
      <c r="L369" s="985" t="s">
        <v>4932</v>
      </c>
      <c r="M369" s="985"/>
      <c r="N369" s="1002" t="str">
        <f>NOMINA!O334</f>
        <v>Cocinero</v>
      </c>
      <c r="O369" s="985">
        <v>1.02087691000006E+18</v>
      </c>
      <c r="P369" s="999">
        <f>NOMINA!W334</f>
        <v>85.5</v>
      </c>
      <c r="Q369" s="986">
        <f>NOMINA!AG334</f>
        <v>7.35</v>
      </c>
      <c r="R369" s="986">
        <f>NOMINA!AI334</f>
        <v>65</v>
      </c>
      <c r="S369" s="986">
        <f>NOMINA!AK334</f>
        <v>0</v>
      </c>
      <c r="T369" s="986">
        <f>ROUND(NOMINA!AO334,2)</f>
        <v>0</v>
      </c>
      <c r="U369" s="986">
        <f>ROUND(NOMINA!AQ334,2)</f>
        <v>0</v>
      </c>
      <c r="V369" s="986">
        <f>ROUND(NOMINA!AR334,2)</f>
        <v>0</v>
      </c>
      <c r="W369" s="986">
        <f>ROUND(NOMINA!AS334,2)</f>
        <v>0</v>
      </c>
      <c r="X369" s="986">
        <f>ROUND(NOMINA!AW334,2)</f>
        <v>0</v>
      </c>
      <c r="Y369" s="986">
        <f>ROUND(NOMINA!AX334,2)</f>
        <v>2525.6799999999998</v>
      </c>
      <c r="Z369" s="986">
        <f>ROUND(NOMINA!BB334,2)+ROUND(NOMINA!BF334,2)</f>
        <v>15.79</v>
      </c>
      <c r="AA369" s="986">
        <f>ROUND(NOMINA!BK334,2)</f>
        <v>0</v>
      </c>
      <c r="AB369" s="986">
        <f>ROUND(NOMINA!BG334,2)</f>
        <v>290</v>
      </c>
      <c r="AC369" s="1000">
        <f t="shared" si="25"/>
        <v>2989.3199999999997</v>
      </c>
      <c r="AE369" s="634"/>
    </row>
    <row r="370" spans="1:31" s="629" customFormat="1" ht="20.100000000000001" customHeight="1" thickBot="1">
      <c r="A370" s="770" t="s">
        <v>2846</v>
      </c>
      <c r="B370" s="510">
        <f t="shared" si="23"/>
        <v>24</v>
      </c>
      <c r="C370" s="980">
        <f>NOMINA!C335</f>
        <v>10909678</v>
      </c>
      <c r="D370" s="981" t="str">
        <f>NOMINA!D335</f>
        <v>Delgado Jose Argenis</v>
      </c>
      <c r="E370" s="978" t="s">
        <v>4622</v>
      </c>
      <c r="F370" s="982">
        <v>32351</v>
      </c>
      <c r="G370" s="978" t="s">
        <v>4620</v>
      </c>
      <c r="H370" s="1001">
        <f>NOMINA!H335</f>
        <v>43952</v>
      </c>
      <c r="I370" s="984">
        <f>NOMINA!I335</f>
        <v>4</v>
      </c>
      <c r="J370" s="985">
        <f>NOMINA!J335</f>
        <v>0</v>
      </c>
      <c r="K370" s="984">
        <f t="shared" si="24"/>
        <v>4</v>
      </c>
      <c r="L370" s="985" t="s">
        <v>4932</v>
      </c>
      <c r="M370" s="985"/>
      <c r="N370" s="1002" t="str">
        <f>NOMINA!O335</f>
        <v>Aseador</v>
      </c>
      <c r="O370" s="985">
        <v>1.02087691000006E+18</v>
      </c>
      <c r="P370" s="999">
        <f>NOMINA!W335</f>
        <v>65</v>
      </c>
      <c r="Q370" s="986">
        <f>NOMINA!AG335</f>
        <v>2.6</v>
      </c>
      <c r="R370" s="986">
        <f>NOMINA!AI335</f>
        <v>65</v>
      </c>
      <c r="S370" s="986">
        <f>NOMINA!AK335</f>
        <v>0</v>
      </c>
      <c r="T370" s="986">
        <f>ROUND(NOMINA!AO335,2)</f>
        <v>0</v>
      </c>
      <c r="U370" s="986">
        <f>ROUND(NOMINA!AQ335,2)</f>
        <v>0</v>
      </c>
      <c r="V370" s="986">
        <f>ROUND(NOMINA!AR335,2)</f>
        <v>0</v>
      </c>
      <c r="W370" s="986">
        <f>ROUND(NOMINA!AS335,2)</f>
        <v>0</v>
      </c>
      <c r="X370" s="986">
        <f>ROUND(NOMINA!AW335,2)</f>
        <v>0</v>
      </c>
      <c r="Y370" s="986">
        <f>ROUND(NOMINA!AX335,2)</f>
        <v>0</v>
      </c>
      <c r="Z370" s="986">
        <f>ROUND(NOMINA!BB335,2)+ROUND(NOMINA!BF335,2)</f>
        <v>0</v>
      </c>
      <c r="AA370" s="986">
        <f>ROUND(NOMINA!BK335,2)</f>
        <v>0</v>
      </c>
      <c r="AB370" s="986">
        <f>ROUND(NOMINA!BG335,2)</f>
        <v>290</v>
      </c>
      <c r="AC370" s="1000">
        <f t="shared" si="25"/>
        <v>422.6</v>
      </c>
      <c r="AE370" s="634"/>
    </row>
    <row r="371" spans="1:31" s="629" customFormat="1" ht="20.100000000000001" customHeight="1" thickBot="1">
      <c r="A371" s="770" t="s">
        <v>2846</v>
      </c>
      <c r="B371" s="510">
        <f t="shared" si="23"/>
        <v>25</v>
      </c>
      <c r="C371" s="980">
        <f>NOMINA!C336</f>
        <v>10909819</v>
      </c>
      <c r="D371" s="981" t="str">
        <f>NOMINA!D336</f>
        <v>Carrizo Jose Waldo</v>
      </c>
      <c r="E371" s="978" t="s">
        <v>4622</v>
      </c>
      <c r="F371" s="982">
        <v>32351</v>
      </c>
      <c r="G371" s="978" t="s">
        <v>4620</v>
      </c>
      <c r="H371" s="1001">
        <f>NOMINA!H336</f>
        <v>43359</v>
      </c>
      <c r="I371" s="984">
        <f>NOMINA!I336</f>
        <v>6</v>
      </c>
      <c r="J371" s="985">
        <f>NOMINA!J336</f>
        <v>0</v>
      </c>
      <c r="K371" s="984">
        <f t="shared" si="24"/>
        <v>6</v>
      </c>
      <c r="L371" s="985" t="s">
        <v>4932</v>
      </c>
      <c r="M371" s="985"/>
      <c r="N371" s="1002" t="str">
        <f>NOMINA!O336</f>
        <v>Cocinero</v>
      </c>
      <c r="O371" s="985">
        <v>1.02087691000006E+18</v>
      </c>
      <c r="P371" s="999">
        <f>NOMINA!W336</f>
        <v>85.5</v>
      </c>
      <c r="Q371" s="986">
        <f>NOMINA!AG336</f>
        <v>5.3</v>
      </c>
      <c r="R371" s="986">
        <f>NOMINA!AI336</f>
        <v>65</v>
      </c>
      <c r="S371" s="986">
        <f>NOMINA!AK336</f>
        <v>0</v>
      </c>
      <c r="T371" s="986">
        <f>ROUND(NOMINA!AO336,2)</f>
        <v>0</v>
      </c>
      <c r="U371" s="986">
        <f>ROUND(NOMINA!AQ336,2)</f>
        <v>0</v>
      </c>
      <c r="V371" s="986">
        <f>ROUND(NOMINA!AR336,2)</f>
        <v>0</v>
      </c>
      <c r="W371" s="986">
        <f>ROUND(NOMINA!AS336,2)</f>
        <v>0</v>
      </c>
      <c r="X371" s="986">
        <f>ROUND(NOMINA!AW336,2)</f>
        <v>0</v>
      </c>
      <c r="Y371" s="986">
        <f>ROUND(NOMINA!AX336,2)</f>
        <v>0</v>
      </c>
      <c r="Z371" s="986">
        <f>ROUND(NOMINA!BB336,2)+ROUND(NOMINA!BF336,2)</f>
        <v>0</v>
      </c>
      <c r="AA371" s="986">
        <f>ROUND(NOMINA!BK336,2)</f>
        <v>0</v>
      </c>
      <c r="AB371" s="986">
        <f>ROUND(NOMINA!BG336,2)</f>
        <v>290</v>
      </c>
      <c r="AC371" s="1000">
        <f t="shared" si="25"/>
        <v>445.8</v>
      </c>
      <c r="AE371" s="634"/>
    </row>
    <row r="372" spans="1:31" s="629" customFormat="1" ht="20.100000000000001" customHeight="1" thickBot="1">
      <c r="A372" s="770" t="s">
        <v>2846</v>
      </c>
      <c r="B372" s="510">
        <f t="shared" si="23"/>
        <v>26</v>
      </c>
      <c r="C372" s="980">
        <f>NOMINA!C337</f>
        <v>10912635</v>
      </c>
      <c r="D372" s="981" t="str">
        <f>NOMINA!D337</f>
        <v>Gutierrez Briceño Jose Orangel</v>
      </c>
      <c r="E372" s="978" t="s">
        <v>4622</v>
      </c>
      <c r="F372" s="982">
        <v>32351</v>
      </c>
      <c r="G372" s="978" t="s">
        <v>4620</v>
      </c>
      <c r="H372" s="1001">
        <f>NOMINA!H337</f>
        <v>44348</v>
      </c>
      <c r="I372" s="984">
        <f>NOMINA!I337</f>
        <v>3</v>
      </c>
      <c r="J372" s="985">
        <f>NOMINA!J337</f>
        <v>0</v>
      </c>
      <c r="K372" s="984">
        <f t="shared" si="24"/>
        <v>3</v>
      </c>
      <c r="L372" s="985" t="s">
        <v>4932</v>
      </c>
      <c r="M372" s="985"/>
      <c r="N372" s="1002" t="str">
        <f>NOMINA!O337</f>
        <v>Ayudante Agropecuario</v>
      </c>
      <c r="O372" s="985">
        <v>1.02087691000006E+18</v>
      </c>
      <c r="P372" s="999">
        <f>NOMINA!W337</f>
        <v>76</v>
      </c>
      <c r="Q372" s="986">
        <f>NOMINA!AG337</f>
        <v>2.2799999999999998</v>
      </c>
      <c r="R372" s="986">
        <f>NOMINA!AI337</f>
        <v>65</v>
      </c>
      <c r="S372" s="986">
        <f>NOMINA!AK337</f>
        <v>0</v>
      </c>
      <c r="T372" s="986">
        <f>ROUND(NOMINA!AO337,2)</f>
        <v>0</v>
      </c>
      <c r="U372" s="986">
        <f>ROUND(NOMINA!AQ337,2)</f>
        <v>0</v>
      </c>
      <c r="V372" s="986">
        <f>ROUND(NOMINA!AR337,2)</f>
        <v>0</v>
      </c>
      <c r="W372" s="986">
        <f>ROUND(NOMINA!AS337,2)</f>
        <v>0</v>
      </c>
      <c r="X372" s="986">
        <f>ROUND(NOMINA!AW337,2)</f>
        <v>0</v>
      </c>
      <c r="Y372" s="986">
        <f>ROUND(NOMINA!AX337,2)</f>
        <v>0</v>
      </c>
      <c r="Z372" s="986">
        <f>ROUND(NOMINA!BB337,2)+ROUND(NOMINA!BF337,2)</f>
        <v>28.66</v>
      </c>
      <c r="AA372" s="986">
        <f>ROUND(NOMINA!BK337,2)</f>
        <v>0</v>
      </c>
      <c r="AB372" s="986">
        <f>ROUND(NOMINA!BG337,2)</f>
        <v>290</v>
      </c>
      <c r="AC372" s="1000">
        <f t="shared" si="25"/>
        <v>461.94</v>
      </c>
      <c r="AE372" s="634"/>
    </row>
    <row r="373" spans="1:31" s="629" customFormat="1" ht="20.100000000000001" customHeight="1" thickBot="1">
      <c r="A373" s="770" t="s">
        <v>2846</v>
      </c>
      <c r="B373" s="510">
        <f t="shared" si="23"/>
        <v>27</v>
      </c>
      <c r="C373" s="980">
        <f>NOMINA!C338</f>
        <v>10915274</v>
      </c>
      <c r="D373" s="981" t="str">
        <f>NOMINA!D338</f>
        <v>Montilla Vergara Belkys Josefina</v>
      </c>
      <c r="E373" s="978" t="s">
        <v>4622</v>
      </c>
      <c r="F373" s="982">
        <v>32351</v>
      </c>
      <c r="G373" s="978" t="s">
        <v>4620</v>
      </c>
      <c r="H373" s="1001">
        <f>NOMINA!H338</f>
        <v>44635</v>
      </c>
      <c r="I373" s="984">
        <f>NOMINA!I338</f>
        <v>2</v>
      </c>
      <c r="J373" s="985">
        <f>NOMINA!J338</f>
        <v>0</v>
      </c>
      <c r="K373" s="984">
        <f t="shared" si="24"/>
        <v>2</v>
      </c>
      <c r="L373" s="985" t="s">
        <v>4932</v>
      </c>
      <c r="M373" s="985"/>
      <c r="N373" s="1002" t="str">
        <f>NOMINA!O338</f>
        <v>Ayudante de Servicios Generales</v>
      </c>
      <c r="O373" s="985">
        <v>1.02087691000006E+18</v>
      </c>
      <c r="P373" s="999">
        <f>NOMINA!W338</f>
        <v>76</v>
      </c>
      <c r="Q373" s="986">
        <f>NOMINA!AG338</f>
        <v>1.52</v>
      </c>
      <c r="R373" s="986">
        <f>NOMINA!AI338</f>
        <v>65</v>
      </c>
      <c r="S373" s="986">
        <f>NOMINA!AK338</f>
        <v>0</v>
      </c>
      <c r="T373" s="986">
        <f>ROUND(NOMINA!AO338,2)</f>
        <v>0</v>
      </c>
      <c r="U373" s="986">
        <f>ROUND(NOMINA!AQ338,2)</f>
        <v>0</v>
      </c>
      <c r="V373" s="986">
        <f>ROUND(NOMINA!AR338,2)</f>
        <v>0</v>
      </c>
      <c r="W373" s="986">
        <f>ROUND(NOMINA!AS338,2)</f>
        <v>0</v>
      </c>
      <c r="X373" s="986">
        <f>ROUND(NOMINA!AW338,2)</f>
        <v>0</v>
      </c>
      <c r="Y373" s="986">
        <f>ROUND(NOMINA!AX338,2)</f>
        <v>0</v>
      </c>
      <c r="Z373" s="986">
        <f>ROUND(NOMINA!BB338,2)+ROUND(NOMINA!BF338,2)</f>
        <v>57.01</v>
      </c>
      <c r="AA373" s="986">
        <f>ROUND(NOMINA!BK338,2)</f>
        <v>0</v>
      </c>
      <c r="AB373" s="986">
        <f>ROUND(NOMINA!BG338,2)</f>
        <v>290</v>
      </c>
      <c r="AC373" s="1000">
        <f t="shared" si="25"/>
        <v>489.53</v>
      </c>
      <c r="AE373" s="634"/>
    </row>
    <row r="374" spans="1:31" s="629" customFormat="1" ht="20.100000000000001" customHeight="1" thickBot="1">
      <c r="A374" s="770" t="s">
        <v>2846</v>
      </c>
      <c r="B374" s="510">
        <f t="shared" si="23"/>
        <v>28</v>
      </c>
      <c r="C374" s="980">
        <f>NOMINA!C339</f>
        <v>11129355</v>
      </c>
      <c r="D374" s="981" t="str">
        <f>NOMINA!D339</f>
        <v xml:space="preserve">Luque Azuaje Rigoberto </v>
      </c>
      <c r="E374" s="978" t="s">
        <v>4622</v>
      </c>
      <c r="F374" s="982">
        <v>32351</v>
      </c>
      <c r="G374" s="978" t="s">
        <v>4620</v>
      </c>
      <c r="H374" s="1001">
        <f>NOMINA!H339</f>
        <v>39539</v>
      </c>
      <c r="I374" s="984">
        <f>NOMINA!I339</f>
        <v>16</v>
      </c>
      <c r="J374" s="985">
        <f>NOMINA!J339</f>
        <v>0</v>
      </c>
      <c r="K374" s="984">
        <f t="shared" si="24"/>
        <v>16</v>
      </c>
      <c r="L374" s="985" t="s">
        <v>4932</v>
      </c>
      <c r="M374" s="985"/>
      <c r="N374" s="1002" t="str">
        <f>NOMINA!O339</f>
        <v>Ayudante de Servicios Generales</v>
      </c>
      <c r="O374" s="985">
        <v>1.02087691000006E+18</v>
      </c>
      <c r="P374" s="999">
        <f>NOMINA!W339</f>
        <v>76</v>
      </c>
      <c r="Q374" s="986">
        <f>NOMINA!AG339</f>
        <v>14.89</v>
      </c>
      <c r="R374" s="986">
        <f>NOMINA!AI339</f>
        <v>65</v>
      </c>
      <c r="S374" s="986">
        <f>NOMINA!AK339</f>
        <v>0</v>
      </c>
      <c r="T374" s="986">
        <f>ROUND(NOMINA!AO339,2)</f>
        <v>0</v>
      </c>
      <c r="U374" s="986">
        <f>ROUND(NOMINA!AQ339,2)</f>
        <v>0</v>
      </c>
      <c r="V374" s="986">
        <f>ROUND(NOMINA!AR339,2)</f>
        <v>0</v>
      </c>
      <c r="W374" s="986">
        <f>ROUND(NOMINA!AS339,2)</f>
        <v>0</v>
      </c>
      <c r="X374" s="986">
        <f>ROUND(NOMINA!AW339,2)</f>
        <v>93.54</v>
      </c>
      <c r="Y374" s="986">
        <f>ROUND(NOMINA!AX339,2)</f>
        <v>0</v>
      </c>
      <c r="Z374" s="986">
        <f>ROUND(NOMINA!BB339,2)+ROUND(NOMINA!BF339,2)</f>
        <v>0</v>
      </c>
      <c r="AA374" s="986">
        <f>ROUND(NOMINA!BK339,2)</f>
        <v>0</v>
      </c>
      <c r="AB374" s="986">
        <f>ROUND(NOMINA!BG339,2)</f>
        <v>290</v>
      </c>
      <c r="AC374" s="1000">
        <f t="shared" si="25"/>
        <v>539.43000000000006</v>
      </c>
      <c r="AE374" s="634"/>
    </row>
    <row r="375" spans="1:31" s="629" customFormat="1" ht="20.100000000000001" customHeight="1" thickBot="1">
      <c r="A375" s="770" t="s">
        <v>2846</v>
      </c>
      <c r="B375" s="510">
        <f t="shared" si="23"/>
        <v>29</v>
      </c>
      <c r="C375" s="980">
        <f>NOMINA!C340</f>
        <v>11315202</v>
      </c>
      <c r="D375" s="981" t="str">
        <f>NOMINA!D340</f>
        <v>Barreto Maria Ramona</v>
      </c>
      <c r="E375" s="978" t="s">
        <v>4622</v>
      </c>
      <c r="F375" s="982">
        <v>32351</v>
      </c>
      <c r="G375" s="978" t="s">
        <v>4620</v>
      </c>
      <c r="H375" s="1001">
        <f>NOMINA!H340</f>
        <v>39539</v>
      </c>
      <c r="I375" s="984">
        <f>NOMINA!I340</f>
        <v>16</v>
      </c>
      <c r="J375" s="985">
        <f>NOMINA!J340</f>
        <v>0</v>
      </c>
      <c r="K375" s="984">
        <f t="shared" si="24"/>
        <v>16</v>
      </c>
      <c r="L375" s="985" t="s">
        <v>4932</v>
      </c>
      <c r="M375" s="985"/>
      <c r="N375" s="1002" t="str">
        <f>NOMINA!O340</f>
        <v>Cocinera</v>
      </c>
      <c r="O375" s="985">
        <v>1.02087691000006E+18</v>
      </c>
      <c r="P375" s="999">
        <f>NOMINA!W340</f>
        <v>85.5</v>
      </c>
      <c r="Q375" s="986">
        <f>NOMINA!AG340</f>
        <v>16.760000000000002</v>
      </c>
      <c r="R375" s="986">
        <f>NOMINA!AI340</f>
        <v>65</v>
      </c>
      <c r="S375" s="986">
        <f>NOMINA!AK340</f>
        <v>0</v>
      </c>
      <c r="T375" s="986">
        <f>ROUND(NOMINA!AO340,2)</f>
        <v>0</v>
      </c>
      <c r="U375" s="986">
        <f>ROUND(NOMINA!AQ340,2)</f>
        <v>0</v>
      </c>
      <c r="V375" s="986">
        <f>ROUND(NOMINA!AR340,2)</f>
        <v>0</v>
      </c>
      <c r="W375" s="986">
        <f>ROUND(NOMINA!AS340,2)</f>
        <v>0</v>
      </c>
      <c r="X375" s="986">
        <f>ROUND(NOMINA!AW340,2)</f>
        <v>0</v>
      </c>
      <c r="Y375" s="986">
        <f>ROUND(NOMINA!AX340,2)</f>
        <v>0</v>
      </c>
      <c r="Z375" s="986">
        <f>ROUND(NOMINA!BB340,2)+ROUND(NOMINA!BF340,2)</f>
        <v>66.900000000000006</v>
      </c>
      <c r="AA375" s="986">
        <f>ROUND(NOMINA!BK340,2)</f>
        <v>0</v>
      </c>
      <c r="AB375" s="986">
        <f>ROUND(NOMINA!BG340,2)</f>
        <v>290</v>
      </c>
      <c r="AC375" s="1000">
        <f t="shared" si="25"/>
        <v>524.16</v>
      </c>
      <c r="AE375" s="634"/>
    </row>
    <row r="376" spans="1:31" s="629" customFormat="1" ht="20.100000000000001" customHeight="1" thickBot="1">
      <c r="A376" s="770" t="s">
        <v>2846</v>
      </c>
      <c r="B376" s="510">
        <f t="shared" si="23"/>
        <v>30</v>
      </c>
      <c r="C376" s="980">
        <f>NOMINA!C341</f>
        <v>11321681</v>
      </c>
      <c r="D376" s="981" t="str">
        <f>NOMINA!D341</f>
        <v>Bentancourt Rivas Luis Enrique</v>
      </c>
      <c r="E376" s="978" t="s">
        <v>4622</v>
      </c>
      <c r="F376" s="982">
        <v>32351</v>
      </c>
      <c r="G376" s="978" t="s">
        <v>4620</v>
      </c>
      <c r="H376" s="1001">
        <f>NOMINA!H341</f>
        <v>44805</v>
      </c>
      <c r="I376" s="984">
        <f>NOMINA!I341</f>
        <v>2</v>
      </c>
      <c r="J376" s="985">
        <f>NOMINA!J341</f>
        <v>0</v>
      </c>
      <c r="K376" s="984">
        <f t="shared" si="24"/>
        <v>2</v>
      </c>
      <c r="L376" s="985" t="s">
        <v>4932</v>
      </c>
      <c r="M376" s="985"/>
      <c r="N376" s="1002" t="str">
        <f>NOMINA!O341</f>
        <v>Ayudante de Servicios Generales</v>
      </c>
      <c r="O376" s="985">
        <v>1.02087691000006E+18</v>
      </c>
      <c r="P376" s="999">
        <f>NOMINA!W341</f>
        <v>76</v>
      </c>
      <c r="Q376" s="986">
        <f>NOMINA!AG341</f>
        <v>1.52</v>
      </c>
      <c r="R376" s="986">
        <f>NOMINA!AI341</f>
        <v>65</v>
      </c>
      <c r="S376" s="986">
        <f>NOMINA!AK341</f>
        <v>0</v>
      </c>
      <c r="T376" s="986">
        <f>ROUND(NOMINA!AO341,2)</f>
        <v>0</v>
      </c>
      <c r="U376" s="986">
        <f>ROUND(NOMINA!AQ341,2)</f>
        <v>0</v>
      </c>
      <c r="V376" s="986">
        <f>ROUND(NOMINA!AR341,2)</f>
        <v>0</v>
      </c>
      <c r="W376" s="986">
        <f>ROUND(NOMINA!AS341,2)</f>
        <v>0</v>
      </c>
      <c r="X376" s="986">
        <f>ROUND(NOMINA!AW341,2)</f>
        <v>0</v>
      </c>
      <c r="Y376" s="986">
        <f>ROUND(NOMINA!AX341,2)</f>
        <v>0</v>
      </c>
      <c r="Z376" s="986">
        <f>ROUND(NOMINA!BB341,2)+ROUND(NOMINA!BF341,2)</f>
        <v>0</v>
      </c>
      <c r="AA376" s="986">
        <f>ROUND(NOMINA!BK341,2)</f>
        <v>0</v>
      </c>
      <c r="AB376" s="986">
        <f>ROUND(NOMINA!BG341,2)</f>
        <v>290</v>
      </c>
      <c r="AC376" s="1000">
        <f t="shared" si="25"/>
        <v>432.52</v>
      </c>
      <c r="AE376" s="634"/>
    </row>
    <row r="377" spans="1:31" s="629" customFormat="1" ht="20.100000000000001" customHeight="1" thickBot="1">
      <c r="A377" s="770" t="s">
        <v>2846</v>
      </c>
      <c r="B377" s="510">
        <f t="shared" si="23"/>
        <v>31</v>
      </c>
      <c r="C377" s="980">
        <f>NOMINA!C342</f>
        <v>11321782</v>
      </c>
      <c r="D377" s="981" t="str">
        <f>NOMINA!D342</f>
        <v>Flores Camacho Maria Zoraida</v>
      </c>
      <c r="E377" s="978" t="s">
        <v>4622</v>
      </c>
      <c r="F377" s="982">
        <v>32351</v>
      </c>
      <c r="G377" s="978" t="s">
        <v>4620</v>
      </c>
      <c r="H377" s="1001">
        <f>NOMINA!H342</f>
        <v>43815</v>
      </c>
      <c r="I377" s="984">
        <f>NOMINA!I342</f>
        <v>5</v>
      </c>
      <c r="J377" s="985">
        <f>NOMINA!J342</f>
        <v>0</v>
      </c>
      <c r="K377" s="984">
        <f t="shared" si="24"/>
        <v>5</v>
      </c>
      <c r="L377" s="985" t="s">
        <v>4932</v>
      </c>
      <c r="M377" s="985"/>
      <c r="N377" s="1002" t="str">
        <f>NOMINA!O342</f>
        <v>Cocinera</v>
      </c>
      <c r="O377" s="985">
        <v>1.02087691000006E+18</v>
      </c>
      <c r="P377" s="999">
        <f>NOMINA!W342</f>
        <v>85.5</v>
      </c>
      <c r="Q377" s="986">
        <f>NOMINA!AG342</f>
        <v>4.2699999999999996</v>
      </c>
      <c r="R377" s="986">
        <f>NOMINA!AI342</f>
        <v>65</v>
      </c>
      <c r="S377" s="986">
        <f>NOMINA!AK342</f>
        <v>0</v>
      </c>
      <c r="T377" s="986">
        <f>ROUND(NOMINA!AO342,2)</f>
        <v>0</v>
      </c>
      <c r="U377" s="986">
        <f>ROUND(NOMINA!AQ342,2)</f>
        <v>0</v>
      </c>
      <c r="V377" s="986">
        <f>ROUND(NOMINA!AR342,2)</f>
        <v>0</v>
      </c>
      <c r="W377" s="986">
        <f>ROUND(NOMINA!AS342,2)</f>
        <v>0</v>
      </c>
      <c r="X377" s="986">
        <f>ROUND(NOMINA!AW342,2)</f>
        <v>0</v>
      </c>
      <c r="Y377" s="986">
        <f>ROUND(NOMINA!AX342,2)</f>
        <v>0</v>
      </c>
      <c r="Z377" s="986">
        <f>ROUND(NOMINA!BB342,2)+ROUND(NOMINA!BF342,2)</f>
        <v>61.91</v>
      </c>
      <c r="AA377" s="986">
        <f>ROUND(NOMINA!BK342,2)</f>
        <v>0</v>
      </c>
      <c r="AB377" s="986">
        <f>ROUND(NOMINA!BG342,2)</f>
        <v>290</v>
      </c>
      <c r="AC377" s="1000">
        <f t="shared" si="25"/>
        <v>506.67999999999995</v>
      </c>
      <c r="AE377" s="634"/>
    </row>
    <row r="378" spans="1:31" s="629" customFormat="1" ht="20.100000000000001" customHeight="1" thickBot="1">
      <c r="A378" s="770" t="s">
        <v>2846</v>
      </c>
      <c r="B378" s="510">
        <f t="shared" si="23"/>
        <v>32</v>
      </c>
      <c r="C378" s="980">
        <f>NOMINA!C343</f>
        <v>11324931</v>
      </c>
      <c r="D378" s="981" t="str">
        <f>NOMINA!D343</f>
        <v xml:space="preserve">Sulbaran De Araujo Magaly </v>
      </c>
      <c r="E378" s="978" t="s">
        <v>4622</v>
      </c>
      <c r="F378" s="982">
        <v>32351</v>
      </c>
      <c r="G378" s="978" t="s">
        <v>4620</v>
      </c>
      <c r="H378" s="1001">
        <f>NOMINA!H343</f>
        <v>38784</v>
      </c>
      <c r="I378" s="984">
        <f>NOMINA!I343</f>
        <v>18</v>
      </c>
      <c r="J378" s="985">
        <f>NOMINA!J343</f>
        <v>0</v>
      </c>
      <c r="K378" s="984">
        <f t="shared" si="24"/>
        <v>18</v>
      </c>
      <c r="L378" s="985" t="s">
        <v>4932</v>
      </c>
      <c r="M378" s="985"/>
      <c r="N378" s="1002" t="str">
        <f>NOMINA!O343</f>
        <v>Cocinera</v>
      </c>
      <c r="O378" s="985">
        <v>1.02087691000006E+18</v>
      </c>
      <c r="P378" s="999">
        <f>NOMINA!W343</f>
        <v>85.5</v>
      </c>
      <c r="Q378" s="986">
        <f>NOMINA!AG343</f>
        <v>19.489999999999998</v>
      </c>
      <c r="R378" s="986">
        <f>NOMINA!AI343</f>
        <v>65</v>
      </c>
      <c r="S378" s="986">
        <f>NOMINA!AK343</f>
        <v>0</v>
      </c>
      <c r="T378" s="986">
        <f>ROUND(NOMINA!AO343,2)</f>
        <v>0</v>
      </c>
      <c r="U378" s="986">
        <f>ROUND(NOMINA!AQ343,2)</f>
        <v>0</v>
      </c>
      <c r="V378" s="986">
        <f>ROUND(NOMINA!AR343,2)</f>
        <v>0</v>
      </c>
      <c r="W378" s="986">
        <f>ROUND(NOMINA!AS343,2)</f>
        <v>0</v>
      </c>
      <c r="X378" s="986">
        <f>ROUND(NOMINA!AW343,2)</f>
        <v>0</v>
      </c>
      <c r="Y378" s="986">
        <f>ROUND(NOMINA!AX343,2)</f>
        <v>0</v>
      </c>
      <c r="Z378" s="986">
        <f>ROUND(NOMINA!BB343,2)+ROUND(NOMINA!BF343,2)</f>
        <v>0</v>
      </c>
      <c r="AA378" s="986">
        <f>ROUND(NOMINA!BK343,2)</f>
        <v>0</v>
      </c>
      <c r="AB378" s="986">
        <f>ROUND(NOMINA!BG343,2)</f>
        <v>290</v>
      </c>
      <c r="AC378" s="1000">
        <f t="shared" si="25"/>
        <v>459.99</v>
      </c>
      <c r="AE378" s="634"/>
    </row>
    <row r="379" spans="1:31" s="629" customFormat="1" ht="20.100000000000001" customHeight="1" thickBot="1">
      <c r="A379" s="770" t="s">
        <v>2846</v>
      </c>
      <c r="B379" s="510">
        <f t="shared" si="23"/>
        <v>33</v>
      </c>
      <c r="C379" s="980">
        <f>NOMINA!C344</f>
        <v>11894400</v>
      </c>
      <c r="D379" s="981" t="str">
        <f>NOMINA!D344</f>
        <v>Aldana Olivar Maria del Carmen</v>
      </c>
      <c r="E379" s="978" t="s">
        <v>4622</v>
      </c>
      <c r="F379" s="982">
        <v>32351</v>
      </c>
      <c r="G379" s="978" t="s">
        <v>4620</v>
      </c>
      <c r="H379" s="1001">
        <f>NOMINA!H344</f>
        <v>44287</v>
      </c>
      <c r="I379" s="984">
        <f>NOMINA!I344</f>
        <v>3</v>
      </c>
      <c r="J379" s="985">
        <f>NOMINA!J344</f>
        <v>0</v>
      </c>
      <c r="K379" s="984">
        <f t="shared" si="24"/>
        <v>3</v>
      </c>
      <c r="L379" s="985" t="s">
        <v>4932</v>
      </c>
      <c r="M379" s="985"/>
      <c r="N379" s="1002" t="str">
        <f>NOMINA!O344</f>
        <v>Cocinera</v>
      </c>
      <c r="O379" s="985">
        <v>1.02087691000006E+18</v>
      </c>
      <c r="P379" s="999">
        <f>NOMINA!W344</f>
        <v>85.5</v>
      </c>
      <c r="Q379" s="986">
        <f>NOMINA!AG344</f>
        <v>2.56</v>
      </c>
      <c r="R379" s="986">
        <f>NOMINA!AI344</f>
        <v>65</v>
      </c>
      <c r="S379" s="986">
        <f>NOMINA!AK344</f>
        <v>0</v>
      </c>
      <c r="T379" s="986">
        <f>ROUND(NOMINA!AO344,2)</f>
        <v>0</v>
      </c>
      <c r="U379" s="986">
        <f>ROUND(NOMINA!AQ344,2)</f>
        <v>0</v>
      </c>
      <c r="V379" s="986">
        <f>ROUND(NOMINA!AR344,2)</f>
        <v>0</v>
      </c>
      <c r="W379" s="986">
        <f>ROUND(NOMINA!AS344,2)</f>
        <v>0</v>
      </c>
      <c r="X379" s="986">
        <f>ROUND(NOMINA!AW344,2)</f>
        <v>0</v>
      </c>
      <c r="Y379" s="986">
        <f>ROUND(NOMINA!AX344,2)</f>
        <v>0</v>
      </c>
      <c r="Z379" s="986">
        <f>ROUND(NOMINA!BB344,2)+ROUND(NOMINA!BF344,2)</f>
        <v>0</v>
      </c>
      <c r="AA379" s="986">
        <f>ROUND(NOMINA!BK344,2)</f>
        <v>0</v>
      </c>
      <c r="AB379" s="986">
        <f>ROUND(NOMINA!BG344,2)</f>
        <v>290</v>
      </c>
      <c r="AC379" s="1000">
        <f t="shared" si="25"/>
        <v>443.06</v>
      </c>
      <c r="AE379" s="634"/>
    </row>
    <row r="380" spans="1:31" s="629" customFormat="1" ht="20.100000000000001" customHeight="1" thickBot="1">
      <c r="A380" s="770" t="s">
        <v>2846</v>
      </c>
      <c r="B380" s="510">
        <f t="shared" si="23"/>
        <v>34</v>
      </c>
      <c r="C380" s="980">
        <f>NOMINA!C345</f>
        <v>11897863</v>
      </c>
      <c r="D380" s="981" t="str">
        <f>NOMINA!D345</f>
        <v>Rodriguez Maria Ibel</v>
      </c>
      <c r="E380" s="978" t="s">
        <v>4622</v>
      </c>
      <c r="F380" s="982">
        <v>32351</v>
      </c>
      <c r="G380" s="978" t="s">
        <v>4620</v>
      </c>
      <c r="H380" s="1001">
        <f>NOMINA!H345</f>
        <v>41548</v>
      </c>
      <c r="I380" s="984">
        <f>NOMINA!I345</f>
        <v>11</v>
      </c>
      <c r="J380" s="985">
        <f>NOMINA!J345</f>
        <v>0</v>
      </c>
      <c r="K380" s="984">
        <f t="shared" si="24"/>
        <v>11</v>
      </c>
      <c r="L380" s="985" t="s">
        <v>4932</v>
      </c>
      <c r="M380" s="985"/>
      <c r="N380" s="1002" t="str">
        <f>NOMINA!O345</f>
        <v>Aseadora</v>
      </c>
      <c r="O380" s="985">
        <v>1.02087691000006E+18</v>
      </c>
      <c r="P380" s="999">
        <f>NOMINA!W345</f>
        <v>65</v>
      </c>
      <c r="Q380" s="986">
        <f>NOMINA!AG345</f>
        <v>8.06</v>
      </c>
      <c r="R380" s="986">
        <f>NOMINA!AI345</f>
        <v>65</v>
      </c>
      <c r="S380" s="986">
        <f>NOMINA!AK345</f>
        <v>0</v>
      </c>
      <c r="T380" s="986">
        <f>ROUND(NOMINA!AO345,2)</f>
        <v>0</v>
      </c>
      <c r="U380" s="986">
        <f>ROUND(NOMINA!AQ345,2)</f>
        <v>0</v>
      </c>
      <c r="V380" s="986">
        <f>ROUND(NOMINA!AR345,2)</f>
        <v>0</v>
      </c>
      <c r="W380" s="986">
        <f>ROUND(NOMINA!AS345,2)</f>
        <v>0</v>
      </c>
      <c r="X380" s="986">
        <f>ROUND(NOMINA!AW345,2)</f>
        <v>0</v>
      </c>
      <c r="Y380" s="986">
        <f>ROUND(NOMINA!AX345,2)</f>
        <v>0</v>
      </c>
      <c r="Z380" s="986">
        <f>ROUND(NOMINA!BB345,2)+ROUND(NOMINA!BF345,2)</f>
        <v>0</v>
      </c>
      <c r="AA380" s="986">
        <f>ROUND(NOMINA!BK345,2)</f>
        <v>0</v>
      </c>
      <c r="AB380" s="986">
        <f>ROUND(NOMINA!BG345,2)</f>
        <v>290</v>
      </c>
      <c r="AC380" s="1000">
        <f t="shared" si="25"/>
        <v>428.06</v>
      </c>
      <c r="AE380" s="634"/>
    </row>
    <row r="381" spans="1:31" s="629" customFormat="1" ht="20.100000000000001" customHeight="1" thickBot="1">
      <c r="A381" s="770" t="s">
        <v>2846</v>
      </c>
      <c r="B381" s="510">
        <f t="shared" si="23"/>
        <v>35</v>
      </c>
      <c r="C381" s="980">
        <f>NOMINA!C346</f>
        <v>12038359</v>
      </c>
      <c r="D381" s="981" t="str">
        <f>NOMINA!D346</f>
        <v>Amaya Perez Carmen Elena</v>
      </c>
      <c r="E381" s="978" t="s">
        <v>4622</v>
      </c>
      <c r="F381" s="982">
        <v>32351</v>
      </c>
      <c r="G381" s="978" t="s">
        <v>4620</v>
      </c>
      <c r="H381" s="1001">
        <f>NOMINA!H346</f>
        <v>38103</v>
      </c>
      <c r="I381" s="984">
        <f>NOMINA!I346</f>
        <v>20</v>
      </c>
      <c r="J381" s="985">
        <f>NOMINA!J346</f>
        <v>0</v>
      </c>
      <c r="K381" s="984">
        <f t="shared" si="24"/>
        <v>20</v>
      </c>
      <c r="L381" s="985" t="s">
        <v>4932</v>
      </c>
      <c r="M381" s="985"/>
      <c r="N381" s="1002" t="str">
        <f>NOMINA!O346</f>
        <v>Cocinera</v>
      </c>
      <c r="O381" s="985">
        <v>1.02087691000006E+18</v>
      </c>
      <c r="P381" s="999">
        <f>NOMINA!W346</f>
        <v>85.5</v>
      </c>
      <c r="Q381" s="986">
        <f>NOMINA!AG346</f>
        <v>22.23</v>
      </c>
      <c r="R381" s="986">
        <f>NOMINA!AI346</f>
        <v>65</v>
      </c>
      <c r="S381" s="986">
        <f>NOMINA!AK346</f>
        <v>0</v>
      </c>
      <c r="T381" s="986">
        <f>ROUND(NOMINA!AO346,2)</f>
        <v>0</v>
      </c>
      <c r="U381" s="986">
        <f>ROUND(NOMINA!AQ346,2)</f>
        <v>0</v>
      </c>
      <c r="V381" s="986">
        <f>ROUND(NOMINA!AR346,2)</f>
        <v>0</v>
      </c>
      <c r="W381" s="986">
        <f>ROUND(NOMINA!AS346,2)</f>
        <v>0</v>
      </c>
      <c r="X381" s="986">
        <f>ROUND(NOMINA!AW346,2)</f>
        <v>0</v>
      </c>
      <c r="Y381" s="986">
        <f>ROUND(NOMINA!AX346,2)</f>
        <v>0</v>
      </c>
      <c r="Z381" s="986">
        <f>ROUND(NOMINA!BB346,2)+ROUND(NOMINA!BF346,2)</f>
        <v>0</v>
      </c>
      <c r="AA381" s="986">
        <f>ROUND(NOMINA!BK346,2)</f>
        <v>0</v>
      </c>
      <c r="AB381" s="986">
        <f>ROUND(NOMINA!BG346,2)</f>
        <v>290</v>
      </c>
      <c r="AC381" s="1000">
        <f t="shared" si="25"/>
        <v>462.73</v>
      </c>
      <c r="AE381" s="634"/>
    </row>
    <row r="382" spans="1:31" s="629" customFormat="1" ht="20.100000000000001" customHeight="1" thickBot="1">
      <c r="A382" s="770" t="s">
        <v>2846</v>
      </c>
      <c r="B382" s="510">
        <f t="shared" si="23"/>
        <v>36</v>
      </c>
      <c r="C382" s="980">
        <f>NOMINA!C347</f>
        <v>12042930</v>
      </c>
      <c r="D382" s="981" t="str">
        <f>NOMINA!D347</f>
        <v>Barroeta Cardozo Leonid Andrei</v>
      </c>
      <c r="E382" s="978" t="s">
        <v>4622</v>
      </c>
      <c r="F382" s="982">
        <v>32351</v>
      </c>
      <c r="G382" s="978" t="s">
        <v>4620</v>
      </c>
      <c r="H382" s="1001">
        <f>NOMINA!H347</f>
        <v>44986</v>
      </c>
      <c r="I382" s="984">
        <f>NOMINA!I347</f>
        <v>1</v>
      </c>
      <c r="J382" s="985">
        <f>NOMINA!J347</f>
        <v>0</v>
      </c>
      <c r="K382" s="984">
        <f t="shared" si="24"/>
        <v>1</v>
      </c>
      <c r="L382" s="985" t="s">
        <v>4932</v>
      </c>
      <c r="M382" s="985"/>
      <c r="N382" s="1002" t="str">
        <f>NOMINA!O347</f>
        <v>Ayudante de Servicios Generales</v>
      </c>
      <c r="O382" s="985">
        <v>1.02087691000006E+18</v>
      </c>
      <c r="P382" s="999">
        <f>NOMINA!W347</f>
        <v>76</v>
      </c>
      <c r="Q382" s="986">
        <f>NOMINA!AG347</f>
        <v>0.76</v>
      </c>
      <c r="R382" s="986">
        <f>NOMINA!AI347</f>
        <v>65</v>
      </c>
      <c r="S382" s="986">
        <f>NOMINA!AK347</f>
        <v>0</v>
      </c>
      <c r="T382" s="986">
        <f>ROUND(NOMINA!AO347,2)</f>
        <v>0</v>
      </c>
      <c r="U382" s="986">
        <f>ROUND(NOMINA!AQ347,2)</f>
        <v>0</v>
      </c>
      <c r="V382" s="986">
        <f>ROUND(NOMINA!AR347,2)</f>
        <v>0</v>
      </c>
      <c r="W382" s="986">
        <f>ROUND(NOMINA!AS347,2)</f>
        <v>0</v>
      </c>
      <c r="X382" s="986">
        <f>ROUND(NOMINA!AW347,2)</f>
        <v>0</v>
      </c>
      <c r="Y382" s="986">
        <f>ROUND(NOMINA!AX347,2)</f>
        <v>0</v>
      </c>
      <c r="Z382" s="986">
        <f>ROUND(NOMINA!BB347,2)+ROUND(NOMINA!BF347,2)</f>
        <v>14.18</v>
      </c>
      <c r="AA382" s="986">
        <f>ROUND(NOMINA!BK347,2)</f>
        <v>0</v>
      </c>
      <c r="AB382" s="986">
        <f>ROUND(NOMINA!BG347,2)</f>
        <v>290</v>
      </c>
      <c r="AC382" s="1000">
        <f t="shared" si="25"/>
        <v>445.94</v>
      </c>
      <c r="AE382" s="634"/>
    </row>
    <row r="383" spans="1:31" s="629" customFormat="1" ht="20.100000000000001" customHeight="1" thickBot="1">
      <c r="A383" s="770" t="s">
        <v>2846</v>
      </c>
      <c r="B383" s="510">
        <f t="shared" si="23"/>
        <v>37</v>
      </c>
      <c r="C383" s="980">
        <f>NOMINA!C348</f>
        <v>12043135</v>
      </c>
      <c r="D383" s="981" t="str">
        <f>NOMINA!D348</f>
        <v>Avila Salvio Rodolfo</v>
      </c>
      <c r="E383" s="978" t="s">
        <v>4622</v>
      </c>
      <c r="F383" s="982">
        <v>32351</v>
      </c>
      <c r="G383" s="978" t="s">
        <v>4620</v>
      </c>
      <c r="H383" s="1001">
        <f>NOMINA!H348</f>
        <v>43724</v>
      </c>
      <c r="I383" s="984">
        <f>NOMINA!I348</f>
        <v>5</v>
      </c>
      <c r="J383" s="985">
        <f>NOMINA!J348</f>
        <v>0</v>
      </c>
      <c r="K383" s="984">
        <f t="shared" si="24"/>
        <v>5</v>
      </c>
      <c r="L383" s="985" t="s">
        <v>4932</v>
      </c>
      <c r="M383" s="985"/>
      <c r="N383" s="1002" t="str">
        <f>NOMINA!O348</f>
        <v>Cocinero</v>
      </c>
      <c r="O383" s="985">
        <v>1.02087691000006E+18</v>
      </c>
      <c r="P383" s="999">
        <f>NOMINA!W348</f>
        <v>85.5</v>
      </c>
      <c r="Q383" s="986">
        <f>NOMINA!AG348</f>
        <v>4.2699999999999996</v>
      </c>
      <c r="R383" s="986">
        <f>NOMINA!AI348</f>
        <v>65</v>
      </c>
      <c r="S383" s="986">
        <f>NOMINA!AK348</f>
        <v>0</v>
      </c>
      <c r="T383" s="986">
        <f>ROUND(NOMINA!AO348,2)</f>
        <v>0</v>
      </c>
      <c r="U383" s="986">
        <f>ROUND(NOMINA!AQ348,2)</f>
        <v>0</v>
      </c>
      <c r="V383" s="986">
        <f>ROUND(NOMINA!AR348,2)</f>
        <v>0</v>
      </c>
      <c r="W383" s="986">
        <f>ROUND(NOMINA!AS348,2)</f>
        <v>0</v>
      </c>
      <c r="X383" s="986">
        <f>ROUND(NOMINA!AW348,2)</f>
        <v>0</v>
      </c>
      <c r="Y383" s="986">
        <f>ROUND(NOMINA!AX348,2)</f>
        <v>0</v>
      </c>
      <c r="Z383" s="986">
        <f>ROUND(NOMINA!BB348,2)+ROUND(NOMINA!BF348,2)</f>
        <v>61.91</v>
      </c>
      <c r="AA383" s="986">
        <f>ROUND(NOMINA!BK348,2)</f>
        <v>0</v>
      </c>
      <c r="AB383" s="986">
        <f>ROUND(NOMINA!BG348,2)</f>
        <v>290</v>
      </c>
      <c r="AC383" s="1000">
        <f t="shared" si="25"/>
        <v>506.67999999999995</v>
      </c>
      <c r="AE383" s="634"/>
    </row>
    <row r="384" spans="1:31" s="629" customFormat="1" ht="20.100000000000001" customHeight="1" thickBot="1">
      <c r="A384" s="770" t="s">
        <v>2846</v>
      </c>
      <c r="B384" s="510">
        <f t="shared" si="23"/>
        <v>38</v>
      </c>
      <c r="C384" s="980">
        <f>NOMINA!C349</f>
        <v>12044124</v>
      </c>
      <c r="D384" s="981" t="str">
        <f>NOMINA!D349</f>
        <v>Rivas Carlos Luis</v>
      </c>
      <c r="E384" s="978" t="s">
        <v>4622</v>
      </c>
      <c r="F384" s="982">
        <v>32351</v>
      </c>
      <c r="G384" s="978" t="s">
        <v>4620</v>
      </c>
      <c r="H384" s="1001">
        <f>NOMINA!H349</f>
        <v>39539</v>
      </c>
      <c r="I384" s="984">
        <f>NOMINA!I349</f>
        <v>16</v>
      </c>
      <c r="J384" s="985">
        <f>NOMINA!J349</f>
        <v>0</v>
      </c>
      <c r="K384" s="984">
        <f t="shared" si="24"/>
        <v>16</v>
      </c>
      <c r="L384" s="985" t="s">
        <v>4932</v>
      </c>
      <c r="M384" s="985"/>
      <c r="N384" s="1002" t="str">
        <f>NOMINA!O349</f>
        <v>Ayudante de Servicios Generales</v>
      </c>
      <c r="O384" s="985">
        <v>1.02087691000006E+18</v>
      </c>
      <c r="P384" s="999">
        <f>NOMINA!W349</f>
        <v>76</v>
      </c>
      <c r="Q384" s="986">
        <f>NOMINA!AG349</f>
        <v>14.89</v>
      </c>
      <c r="R384" s="986">
        <f>NOMINA!AI349</f>
        <v>65</v>
      </c>
      <c r="S384" s="986">
        <f>NOMINA!AK349</f>
        <v>0</v>
      </c>
      <c r="T384" s="986">
        <f>ROUND(NOMINA!AO349,2)</f>
        <v>0</v>
      </c>
      <c r="U384" s="986">
        <f>ROUND(NOMINA!AQ349,2)</f>
        <v>0</v>
      </c>
      <c r="V384" s="986">
        <f>ROUND(NOMINA!AR349,2)</f>
        <v>0</v>
      </c>
      <c r="W384" s="986">
        <f>ROUND(NOMINA!AS349,2)</f>
        <v>0</v>
      </c>
      <c r="X384" s="986">
        <f>ROUND(NOMINA!AW349,2)</f>
        <v>93.54</v>
      </c>
      <c r="Y384" s="986">
        <f>ROUND(NOMINA!AX349,2)</f>
        <v>0</v>
      </c>
      <c r="Z384" s="986">
        <f>ROUND(NOMINA!BB349,2)+ROUND(NOMINA!BF349,2)</f>
        <v>0</v>
      </c>
      <c r="AA384" s="986">
        <f>ROUND(NOMINA!BK349,2)</f>
        <v>0</v>
      </c>
      <c r="AB384" s="986">
        <f>ROUND(NOMINA!BG349,2)</f>
        <v>290</v>
      </c>
      <c r="AC384" s="1000">
        <f t="shared" si="25"/>
        <v>539.43000000000006</v>
      </c>
      <c r="AE384" s="634"/>
    </row>
    <row r="385" spans="1:31" s="629" customFormat="1" ht="20.100000000000001" customHeight="1" thickBot="1">
      <c r="A385" s="770" t="s">
        <v>2846</v>
      </c>
      <c r="B385" s="510">
        <f t="shared" si="23"/>
        <v>39</v>
      </c>
      <c r="C385" s="980">
        <f>NOMINA!C350</f>
        <v>12044754</v>
      </c>
      <c r="D385" s="981" t="str">
        <f>NOMINA!D350</f>
        <v>Briceño Graterol Oscar Antonio</v>
      </c>
      <c r="E385" s="978" t="s">
        <v>4622</v>
      </c>
      <c r="F385" s="982">
        <v>32351</v>
      </c>
      <c r="G385" s="978" t="s">
        <v>4620</v>
      </c>
      <c r="H385" s="1001">
        <f>NOMINA!H350</f>
        <v>43481</v>
      </c>
      <c r="I385" s="984">
        <f>NOMINA!I350</f>
        <v>6</v>
      </c>
      <c r="J385" s="985">
        <f>NOMINA!J350</f>
        <v>0</v>
      </c>
      <c r="K385" s="984">
        <f t="shared" si="24"/>
        <v>6</v>
      </c>
      <c r="L385" s="985" t="s">
        <v>4932</v>
      </c>
      <c r="M385" s="985"/>
      <c r="N385" s="1002" t="str">
        <f>NOMINA!O350</f>
        <v>Ayudante de Servicios Generales</v>
      </c>
      <c r="O385" s="985">
        <v>1.02087691000006E+18</v>
      </c>
      <c r="P385" s="999">
        <f>NOMINA!W350</f>
        <v>76</v>
      </c>
      <c r="Q385" s="986">
        <f>NOMINA!AG350</f>
        <v>4.71</v>
      </c>
      <c r="R385" s="986">
        <f>NOMINA!AI350</f>
        <v>65</v>
      </c>
      <c r="S385" s="986">
        <f>NOMINA!AK350</f>
        <v>0</v>
      </c>
      <c r="T385" s="986">
        <f>ROUND(NOMINA!AO350,2)</f>
        <v>0</v>
      </c>
      <c r="U385" s="986">
        <f>ROUND(NOMINA!AQ350,2)</f>
        <v>0</v>
      </c>
      <c r="V385" s="986">
        <f>ROUND(NOMINA!AR350,2)</f>
        <v>0</v>
      </c>
      <c r="W385" s="986">
        <f>ROUND(NOMINA!AS350,2)</f>
        <v>0</v>
      </c>
      <c r="X385" s="986">
        <f>ROUND(NOMINA!AW350,2)</f>
        <v>0</v>
      </c>
      <c r="Y385" s="986">
        <f>ROUND(NOMINA!AX350,2)</f>
        <v>2331.36</v>
      </c>
      <c r="Z385" s="986">
        <f>ROUND(NOMINA!BB350,2)+ROUND(NOMINA!BF350,2)</f>
        <v>14.57</v>
      </c>
      <c r="AA385" s="986">
        <f>ROUND(NOMINA!BK350,2)</f>
        <v>0</v>
      </c>
      <c r="AB385" s="986">
        <f>ROUND(NOMINA!BG350,2)</f>
        <v>290</v>
      </c>
      <c r="AC385" s="1000">
        <f t="shared" si="25"/>
        <v>2781.6400000000003</v>
      </c>
      <c r="AE385" s="634"/>
    </row>
    <row r="386" spans="1:31" s="629" customFormat="1" ht="20.100000000000001" customHeight="1" thickBot="1">
      <c r="A386" s="770" t="s">
        <v>2846</v>
      </c>
      <c r="B386" s="510">
        <f t="shared" si="23"/>
        <v>40</v>
      </c>
      <c r="C386" s="980">
        <f>NOMINA!C351</f>
        <v>12046834</v>
      </c>
      <c r="D386" s="981" t="str">
        <f>NOMINA!D351</f>
        <v>Perez Montilla William Jose</v>
      </c>
      <c r="E386" s="978" t="s">
        <v>4622</v>
      </c>
      <c r="F386" s="982">
        <v>32351</v>
      </c>
      <c r="G386" s="978" t="s">
        <v>4620</v>
      </c>
      <c r="H386" s="1001">
        <f>NOMINA!H351</f>
        <v>43313</v>
      </c>
      <c r="I386" s="984">
        <f>NOMINA!I351</f>
        <v>6</v>
      </c>
      <c r="J386" s="985">
        <f>NOMINA!J351</f>
        <v>14</v>
      </c>
      <c r="K386" s="984">
        <f t="shared" si="24"/>
        <v>20</v>
      </c>
      <c r="L386" s="985" t="s">
        <v>4932</v>
      </c>
      <c r="M386" s="985"/>
      <c r="N386" s="1002" t="str">
        <f>NOMINA!O351</f>
        <v>Cocinero</v>
      </c>
      <c r="O386" s="985">
        <v>1.02087691000006E+18</v>
      </c>
      <c r="P386" s="999">
        <f>NOMINA!W351</f>
        <v>85.5</v>
      </c>
      <c r="Q386" s="986">
        <f>NOMINA!AG351</f>
        <v>22.23</v>
      </c>
      <c r="R386" s="986">
        <f>NOMINA!AI351</f>
        <v>65</v>
      </c>
      <c r="S386" s="986">
        <f>NOMINA!AK351</f>
        <v>0</v>
      </c>
      <c r="T386" s="986">
        <f>ROUND(NOMINA!AO351,2)</f>
        <v>12.5</v>
      </c>
      <c r="U386" s="986">
        <f>ROUND(NOMINA!AQ351,2)</f>
        <v>0</v>
      </c>
      <c r="V386" s="986">
        <f>ROUND(NOMINA!AR351,2)</f>
        <v>0</v>
      </c>
      <c r="W386" s="986">
        <f>ROUND(NOMINA!AS351,2)</f>
        <v>0</v>
      </c>
      <c r="X386" s="986">
        <f>ROUND(NOMINA!AW351,2)</f>
        <v>0</v>
      </c>
      <c r="Y386" s="986">
        <f>ROUND(NOMINA!AX351,2)</f>
        <v>0</v>
      </c>
      <c r="Z386" s="986">
        <f>ROUND(NOMINA!BB351,2)+ROUND(NOMINA!BF351,2)</f>
        <v>35.799999999999997</v>
      </c>
      <c r="AA386" s="986">
        <f>ROUND(NOMINA!BK351,2)</f>
        <v>0</v>
      </c>
      <c r="AB386" s="986">
        <f>ROUND(NOMINA!BG351,2)</f>
        <v>290</v>
      </c>
      <c r="AC386" s="1000">
        <f t="shared" si="25"/>
        <v>511.03000000000003</v>
      </c>
      <c r="AE386" s="634"/>
    </row>
    <row r="387" spans="1:31" s="629" customFormat="1" ht="20.100000000000001" customHeight="1" thickBot="1">
      <c r="A387" s="770" t="s">
        <v>2846</v>
      </c>
      <c r="B387" s="510">
        <f t="shared" si="23"/>
        <v>41</v>
      </c>
      <c r="C387" s="980">
        <f>NOMINA!C352</f>
        <v>12047016</v>
      </c>
      <c r="D387" s="981" t="str">
        <f>NOMINA!D352</f>
        <v>Lozada de Estenoz Maria Edicta</v>
      </c>
      <c r="E387" s="978" t="s">
        <v>4622</v>
      </c>
      <c r="F387" s="982">
        <v>32351</v>
      </c>
      <c r="G387" s="978" t="s">
        <v>4620</v>
      </c>
      <c r="H387" s="1001">
        <f>NOMINA!H352</f>
        <v>42948</v>
      </c>
      <c r="I387" s="984">
        <f>NOMINA!I352</f>
        <v>7</v>
      </c>
      <c r="J387" s="985">
        <f>NOMINA!J352</f>
        <v>0</v>
      </c>
      <c r="K387" s="984">
        <f t="shared" si="24"/>
        <v>7</v>
      </c>
      <c r="L387" s="985" t="s">
        <v>4932</v>
      </c>
      <c r="M387" s="985"/>
      <c r="N387" s="1002" t="str">
        <f>NOMINA!O352</f>
        <v>Cocinera</v>
      </c>
      <c r="O387" s="985">
        <v>1.02087691000006E+18</v>
      </c>
      <c r="P387" s="999">
        <f>NOMINA!W352</f>
        <v>85.5</v>
      </c>
      <c r="Q387" s="986">
        <f>NOMINA!AG352</f>
        <v>6.32</v>
      </c>
      <c r="R387" s="986">
        <f>NOMINA!AI352</f>
        <v>65</v>
      </c>
      <c r="S387" s="986">
        <f>NOMINA!AK352</f>
        <v>0</v>
      </c>
      <c r="T387" s="986">
        <f>ROUND(NOMINA!AO352,2)</f>
        <v>0</v>
      </c>
      <c r="U387" s="986">
        <f>ROUND(NOMINA!AQ352,2)</f>
        <v>0</v>
      </c>
      <c r="V387" s="986">
        <f>ROUND(NOMINA!AR352,2)</f>
        <v>0</v>
      </c>
      <c r="W387" s="986">
        <f>ROUND(NOMINA!AS352,2)</f>
        <v>0</v>
      </c>
      <c r="X387" s="986">
        <f>ROUND(NOMINA!AW352,2)</f>
        <v>0</v>
      </c>
      <c r="Y387" s="986">
        <f>ROUND(NOMINA!AX352,2)</f>
        <v>0</v>
      </c>
      <c r="Z387" s="986">
        <f>ROUND(NOMINA!BB352,2)+ROUND(NOMINA!BF352,2)</f>
        <v>0</v>
      </c>
      <c r="AA387" s="986">
        <f>ROUND(NOMINA!BK352,2)</f>
        <v>0</v>
      </c>
      <c r="AB387" s="986">
        <f>ROUND(NOMINA!BG352,2)</f>
        <v>290</v>
      </c>
      <c r="AC387" s="1000">
        <f t="shared" si="25"/>
        <v>446.82</v>
      </c>
      <c r="AE387" s="634"/>
    </row>
    <row r="388" spans="1:31" s="629" customFormat="1" ht="20.100000000000001" customHeight="1" thickBot="1">
      <c r="A388" s="770" t="s">
        <v>2846</v>
      </c>
      <c r="B388" s="510">
        <f t="shared" si="23"/>
        <v>42</v>
      </c>
      <c r="C388" s="980">
        <f>NOMINA!C353</f>
        <v>12797543</v>
      </c>
      <c r="D388" s="981" t="str">
        <f>NOMINA!D353</f>
        <v>Carrizo Blanco Doris Coromoto</v>
      </c>
      <c r="E388" s="978" t="s">
        <v>4622</v>
      </c>
      <c r="F388" s="982">
        <v>32351</v>
      </c>
      <c r="G388" s="978" t="s">
        <v>4620</v>
      </c>
      <c r="H388" s="1001">
        <f>NOMINA!H353</f>
        <v>42948</v>
      </c>
      <c r="I388" s="984">
        <f>NOMINA!I353</f>
        <v>7</v>
      </c>
      <c r="J388" s="985">
        <f>NOMINA!J353</f>
        <v>0</v>
      </c>
      <c r="K388" s="984">
        <f t="shared" si="24"/>
        <v>7</v>
      </c>
      <c r="L388" s="985" t="s">
        <v>4932</v>
      </c>
      <c r="M388" s="985"/>
      <c r="N388" s="1002" t="str">
        <f>NOMINA!O353</f>
        <v>Ayudante de Servicios Generales</v>
      </c>
      <c r="O388" s="985">
        <v>1.02087691000006E+18</v>
      </c>
      <c r="P388" s="999">
        <f>NOMINA!W353</f>
        <v>76</v>
      </c>
      <c r="Q388" s="986">
        <f>NOMINA!AG353</f>
        <v>5.62</v>
      </c>
      <c r="R388" s="986">
        <f>NOMINA!AI353</f>
        <v>65</v>
      </c>
      <c r="S388" s="986">
        <f>NOMINA!AK353</f>
        <v>0</v>
      </c>
      <c r="T388" s="986">
        <f>ROUND(NOMINA!AO353,2)</f>
        <v>0</v>
      </c>
      <c r="U388" s="986">
        <f>ROUND(NOMINA!AQ353,2)</f>
        <v>0</v>
      </c>
      <c r="V388" s="986">
        <f>ROUND(NOMINA!AR353,2)</f>
        <v>0</v>
      </c>
      <c r="W388" s="986">
        <f>ROUND(NOMINA!AS353,2)</f>
        <v>12.5</v>
      </c>
      <c r="X388" s="986">
        <f>ROUND(NOMINA!AW353,2)</f>
        <v>0</v>
      </c>
      <c r="Y388" s="986">
        <f>ROUND(NOMINA!AX353,2)</f>
        <v>0</v>
      </c>
      <c r="Z388" s="986">
        <f>ROUND(NOMINA!BB353,2)+ROUND(NOMINA!BF353,2)</f>
        <v>14.66</v>
      </c>
      <c r="AA388" s="986">
        <f>ROUND(NOMINA!BK353,2)</f>
        <v>0</v>
      </c>
      <c r="AB388" s="986">
        <f>ROUND(NOMINA!BG353,2)</f>
        <v>290</v>
      </c>
      <c r="AC388" s="1000">
        <f t="shared" si="25"/>
        <v>463.78</v>
      </c>
      <c r="AE388" s="634"/>
    </row>
    <row r="389" spans="1:31" s="629" customFormat="1" ht="20.100000000000001" customHeight="1" thickBot="1">
      <c r="A389" s="770" t="s">
        <v>2846</v>
      </c>
      <c r="B389" s="510">
        <f t="shared" si="23"/>
        <v>43</v>
      </c>
      <c r="C389" s="980">
        <f>NOMINA!C354</f>
        <v>12797598</v>
      </c>
      <c r="D389" s="981" t="str">
        <f>NOMINA!D354</f>
        <v>Gutierrez Briceño Jose Gabriel</v>
      </c>
      <c r="E389" s="978" t="s">
        <v>4622</v>
      </c>
      <c r="F389" s="982">
        <v>32351</v>
      </c>
      <c r="G389" s="978" t="s">
        <v>4620</v>
      </c>
      <c r="H389" s="1001">
        <f>NOMINA!H354</f>
        <v>44635</v>
      </c>
      <c r="I389" s="984">
        <f>NOMINA!I354</f>
        <v>2</v>
      </c>
      <c r="J389" s="985">
        <f>NOMINA!J354</f>
        <v>0</v>
      </c>
      <c r="K389" s="984">
        <f t="shared" si="24"/>
        <v>2</v>
      </c>
      <c r="L389" s="985" t="s">
        <v>4932</v>
      </c>
      <c r="M389" s="985"/>
      <c r="N389" s="1002" t="str">
        <f>NOMINA!O354</f>
        <v>Cocinero</v>
      </c>
      <c r="O389" s="985">
        <v>1.02087691000006E+18</v>
      </c>
      <c r="P389" s="999">
        <f>NOMINA!W354</f>
        <v>85.5</v>
      </c>
      <c r="Q389" s="986">
        <f>NOMINA!AG354</f>
        <v>1.71</v>
      </c>
      <c r="R389" s="986">
        <f>NOMINA!AI354</f>
        <v>65</v>
      </c>
      <c r="S389" s="986">
        <f>NOMINA!AK354</f>
        <v>0</v>
      </c>
      <c r="T389" s="986">
        <f>ROUND(NOMINA!AO354,2)</f>
        <v>12.5</v>
      </c>
      <c r="U389" s="986">
        <f>ROUND(NOMINA!AQ354,2)</f>
        <v>0</v>
      </c>
      <c r="V389" s="986">
        <f>ROUND(NOMINA!AR354,2)</f>
        <v>0</v>
      </c>
      <c r="W389" s="986">
        <f>ROUND(NOMINA!AS354,2)</f>
        <v>0</v>
      </c>
      <c r="X389" s="986">
        <f>ROUND(NOMINA!AW354,2)</f>
        <v>0</v>
      </c>
      <c r="Y389" s="986">
        <f>ROUND(NOMINA!AX354,2)</f>
        <v>0</v>
      </c>
      <c r="Z389" s="986">
        <f>ROUND(NOMINA!BB354,2)+ROUND(NOMINA!BF354,2)</f>
        <v>63.38</v>
      </c>
      <c r="AA389" s="986">
        <f>ROUND(NOMINA!BK354,2)</f>
        <v>0</v>
      </c>
      <c r="AB389" s="986">
        <f>ROUND(NOMINA!BG354,2)</f>
        <v>290</v>
      </c>
      <c r="AC389" s="1000">
        <f t="shared" si="25"/>
        <v>518.08999999999992</v>
      </c>
      <c r="AE389" s="634"/>
    </row>
    <row r="390" spans="1:31" s="629" customFormat="1" ht="20.100000000000001" customHeight="1" thickBot="1">
      <c r="A390" s="770" t="s">
        <v>2846</v>
      </c>
      <c r="B390" s="510">
        <f t="shared" si="23"/>
        <v>44</v>
      </c>
      <c r="C390" s="980">
        <f>NOMINA!C355</f>
        <v>13049800</v>
      </c>
      <c r="D390" s="981" t="str">
        <f>NOMINA!D355</f>
        <v>Artigas Sanchez Mereldes Corina</v>
      </c>
      <c r="E390" s="978" t="s">
        <v>4622</v>
      </c>
      <c r="F390" s="982">
        <v>32351</v>
      </c>
      <c r="G390" s="978" t="s">
        <v>4620</v>
      </c>
      <c r="H390" s="1001">
        <f>NOMINA!H355</f>
        <v>42171</v>
      </c>
      <c r="I390" s="984">
        <f>NOMINA!I355</f>
        <v>9</v>
      </c>
      <c r="J390" s="985">
        <f>NOMINA!J355</f>
        <v>0</v>
      </c>
      <c r="K390" s="984">
        <f t="shared" si="24"/>
        <v>9</v>
      </c>
      <c r="L390" s="985" t="s">
        <v>4932</v>
      </c>
      <c r="M390" s="985"/>
      <c r="N390" s="1002" t="str">
        <f>NOMINA!O355</f>
        <v>Aseadora</v>
      </c>
      <c r="O390" s="985">
        <v>1.02087691000006E+18</v>
      </c>
      <c r="P390" s="999">
        <f>NOMINA!W355</f>
        <v>65</v>
      </c>
      <c r="Q390" s="986">
        <f>NOMINA!AG355</f>
        <v>6.37</v>
      </c>
      <c r="R390" s="986">
        <f>NOMINA!AI355</f>
        <v>65</v>
      </c>
      <c r="S390" s="986">
        <f>NOMINA!AK355</f>
        <v>0</v>
      </c>
      <c r="T390" s="986">
        <f>ROUND(NOMINA!AO355,2)</f>
        <v>0</v>
      </c>
      <c r="U390" s="986">
        <f>ROUND(NOMINA!AQ355,2)</f>
        <v>0</v>
      </c>
      <c r="V390" s="986">
        <f>ROUND(NOMINA!AR355,2)</f>
        <v>0</v>
      </c>
      <c r="W390" s="986">
        <f>ROUND(NOMINA!AS355,2)</f>
        <v>0</v>
      </c>
      <c r="X390" s="986">
        <f>ROUND(NOMINA!AW355,2)</f>
        <v>0</v>
      </c>
      <c r="Y390" s="986">
        <f>ROUND(NOMINA!AX355,2)</f>
        <v>0</v>
      </c>
      <c r="Z390" s="986">
        <f>ROUND(NOMINA!BB355,2)+ROUND(NOMINA!BF355,2)</f>
        <v>0</v>
      </c>
      <c r="AA390" s="986">
        <f>ROUND(NOMINA!BK355,2)</f>
        <v>0</v>
      </c>
      <c r="AB390" s="986">
        <f>ROUND(NOMINA!BG355,2)</f>
        <v>290</v>
      </c>
      <c r="AC390" s="1000">
        <f t="shared" si="25"/>
        <v>426.37</v>
      </c>
      <c r="AE390" s="634"/>
    </row>
    <row r="391" spans="1:31" s="629" customFormat="1" ht="20.100000000000001" customHeight="1" thickBot="1">
      <c r="A391" s="770" t="s">
        <v>2846</v>
      </c>
      <c r="B391" s="510">
        <f t="shared" si="23"/>
        <v>45</v>
      </c>
      <c r="C391" s="980">
        <f>NOMINA!C356</f>
        <v>13260758</v>
      </c>
      <c r="D391" s="981" t="str">
        <f>NOMINA!D356</f>
        <v>Zerpa Silva Frank Michael</v>
      </c>
      <c r="E391" s="978" t="s">
        <v>4622</v>
      </c>
      <c r="F391" s="982">
        <v>32351</v>
      </c>
      <c r="G391" s="978" t="s">
        <v>4620</v>
      </c>
      <c r="H391" s="1001">
        <f>NOMINA!H356</f>
        <v>39118</v>
      </c>
      <c r="I391" s="984">
        <f>NOMINA!I356</f>
        <v>17</v>
      </c>
      <c r="J391" s="985">
        <f>NOMINA!J356</f>
        <v>0</v>
      </c>
      <c r="K391" s="984">
        <f t="shared" si="24"/>
        <v>17</v>
      </c>
      <c r="L391" s="985" t="s">
        <v>4932</v>
      </c>
      <c r="M391" s="985"/>
      <c r="N391" s="1002" t="str">
        <f>NOMINA!O356</f>
        <v>Vigilante</v>
      </c>
      <c r="O391" s="985">
        <v>1.02087691000006E+18</v>
      </c>
      <c r="P391" s="999">
        <f>NOMINA!W356</f>
        <v>85.5</v>
      </c>
      <c r="Q391" s="986">
        <f>NOMINA!AG356</f>
        <v>18.12</v>
      </c>
      <c r="R391" s="986">
        <f>NOMINA!AI356</f>
        <v>65</v>
      </c>
      <c r="S391" s="986">
        <f>NOMINA!AK356</f>
        <v>0</v>
      </c>
      <c r="T391" s="986">
        <f>ROUND(NOMINA!AO356,2)</f>
        <v>0</v>
      </c>
      <c r="U391" s="986">
        <f>ROUND(NOMINA!AQ356,2)</f>
        <v>0</v>
      </c>
      <c r="V391" s="986">
        <f>ROUND(NOMINA!AR356,2)</f>
        <v>0</v>
      </c>
      <c r="W391" s="986">
        <f>ROUND(NOMINA!AS356,2)</f>
        <v>0</v>
      </c>
      <c r="X391" s="986">
        <f>ROUND(NOMINA!AW356,2)</f>
        <v>101.18</v>
      </c>
      <c r="Y391" s="986">
        <f>ROUND(NOMINA!AX356,2)</f>
        <v>0</v>
      </c>
      <c r="Z391" s="986">
        <f>ROUND(NOMINA!BB356,2)+ROUND(NOMINA!BF356,2)</f>
        <v>0</v>
      </c>
      <c r="AA391" s="986">
        <f>ROUND(NOMINA!BK356,2)</f>
        <v>0</v>
      </c>
      <c r="AB391" s="986">
        <f>ROUND(NOMINA!BG356,2)</f>
        <v>290</v>
      </c>
      <c r="AC391" s="1000">
        <f t="shared" si="25"/>
        <v>559.79999999999995</v>
      </c>
      <c r="AE391" s="634"/>
    </row>
    <row r="392" spans="1:31" s="629" customFormat="1" ht="20.100000000000001" customHeight="1" thickBot="1">
      <c r="A392" s="770" t="s">
        <v>2846</v>
      </c>
      <c r="B392" s="510">
        <f t="shared" si="23"/>
        <v>46</v>
      </c>
      <c r="C392" s="980">
        <f>NOMINA!C357</f>
        <v>13376729</v>
      </c>
      <c r="D392" s="981" t="str">
        <f>NOMINA!D357</f>
        <v>Briceño Aldana Yhon Mario</v>
      </c>
      <c r="E392" s="978" t="s">
        <v>4622</v>
      </c>
      <c r="F392" s="982">
        <v>32351</v>
      </c>
      <c r="G392" s="978" t="s">
        <v>4620</v>
      </c>
      <c r="H392" s="1001">
        <f>NOMINA!H357</f>
        <v>42948</v>
      </c>
      <c r="I392" s="984">
        <f>NOMINA!I357</f>
        <v>7</v>
      </c>
      <c r="J392" s="985">
        <f>NOMINA!J357</f>
        <v>0</v>
      </c>
      <c r="K392" s="984">
        <f t="shared" si="24"/>
        <v>7</v>
      </c>
      <c r="L392" s="985" t="s">
        <v>4932</v>
      </c>
      <c r="M392" s="985"/>
      <c r="N392" s="1002" t="str">
        <f>NOMINA!O357</f>
        <v>Vigilante</v>
      </c>
      <c r="O392" s="985">
        <v>1.02087691000006E+18</v>
      </c>
      <c r="P392" s="999">
        <f>NOMINA!W357</f>
        <v>85.5</v>
      </c>
      <c r="Q392" s="986">
        <f>NOMINA!AG357</f>
        <v>6.32</v>
      </c>
      <c r="R392" s="986">
        <f>NOMINA!AI357</f>
        <v>65</v>
      </c>
      <c r="S392" s="986">
        <f>NOMINA!AK357</f>
        <v>0</v>
      </c>
      <c r="T392" s="986">
        <f>ROUND(NOMINA!AO357,2)</f>
        <v>0</v>
      </c>
      <c r="U392" s="986">
        <f>ROUND(NOMINA!AQ357,2)</f>
        <v>0</v>
      </c>
      <c r="V392" s="986">
        <f>ROUND(NOMINA!AR357,2)</f>
        <v>0</v>
      </c>
      <c r="W392" s="986">
        <f>ROUND(NOMINA!AS357,2)</f>
        <v>0</v>
      </c>
      <c r="X392" s="986">
        <f>ROUND(NOMINA!AW357,2)</f>
        <v>97.85</v>
      </c>
      <c r="Y392" s="986">
        <f>ROUND(NOMINA!AX357,2)</f>
        <v>0</v>
      </c>
      <c r="Z392" s="986">
        <f>ROUND(NOMINA!BB357,2)+ROUND(NOMINA!BF357,2)</f>
        <v>0</v>
      </c>
      <c r="AA392" s="986">
        <f>ROUND(NOMINA!BK357,2)</f>
        <v>0</v>
      </c>
      <c r="AB392" s="986">
        <f>ROUND(NOMINA!BG357,2)</f>
        <v>290</v>
      </c>
      <c r="AC392" s="1000">
        <f t="shared" si="25"/>
        <v>544.66999999999996</v>
      </c>
      <c r="AE392" s="634"/>
    </row>
    <row r="393" spans="1:31" s="629" customFormat="1" ht="20.100000000000001" customHeight="1" thickBot="1">
      <c r="A393" s="770" t="s">
        <v>2846</v>
      </c>
      <c r="B393" s="510">
        <f t="shared" si="23"/>
        <v>47</v>
      </c>
      <c r="C393" s="980">
        <f>NOMINA!C358</f>
        <v>13404824</v>
      </c>
      <c r="D393" s="981" t="str">
        <f>NOMINA!D358</f>
        <v>Malpica Rivas Julio Enrique</v>
      </c>
      <c r="E393" s="978" t="s">
        <v>4622</v>
      </c>
      <c r="F393" s="982">
        <v>32351</v>
      </c>
      <c r="G393" s="978" t="s">
        <v>4620</v>
      </c>
      <c r="H393" s="1001">
        <f>NOMINA!H358</f>
        <v>45474</v>
      </c>
      <c r="I393" s="984">
        <f>NOMINA!I358</f>
        <v>0</v>
      </c>
      <c r="J393" s="985">
        <f>NOMINA!J358</f>
        <v>0</v>
      </c>
      <c r="K393" s="984">
        <f t="shared" si="24"/>
        <v>0</v>
      </c>
      <c r="L393" s="985" t="s">
        <v>4932</v>
      </c>
      <c r="M393" s="985"/>
      <c r="N393" s="1002" t="str">
        <f>NOMINA!O358</f>
        <v>Ayudante de Servicios Generales</v>
      </c>
      <c r="O393" s="985">
        <v>1.02087691000006E+18</v>
      </c>
      <c r="P393" s="999">
        <f>NOMINA!W358</f>
        <v>76</v>
      </c>
      <c r="Q393" s="986">
        <f>NOMINA!AG358</f>
        <v>0</v>
      </c>
      <c r="R393" s="986">
        <f>NOMINA!AI358</f>
        <v>65</v>
      </c>
      <c r="S393" s="986">
        <f>NOMINA!AK358</f>
        <v>0</v>
      </c>
      <c r="T393" s="986">
        <f>ROUND(NOMINA!AO358,2)</f>
        <v>0</v>
      </c>
      <c r="U393" s="986">
        <f>ROUND(NOMINA!AQ358,2)</f>
        <v>0</v>
      </c>
      <c r="V393" s="986">
        <f>ROUND(NOMINA!AR358,2)</f>
        <v>0</v>
      </c>
      <c r="W393" s="986">
        <f>ROUND(NOMINA!AS358,2)</f>
        <v>0</v>
      </c>
      <c r="X393" s="986">
        <f>ROUND(NOMINA!AW358,2)</f>
        <v>0</v>
      </c>
      <c r="Y393" s="986">
        <f>ROUND(NOMINA!AX358,2)</f>
        <v>0</v>
      </c>
      <c r="Z393" s="986">
        <f>ROUND(NOMINA!BB358,2)+ROUND(NOMINA!BF358,2)</f>
        <v>14.1</v>
      </c>
      <c r="AA393" s="986">
        <f>ROUND(NOMINA!BK358,2)</f>
        <v>0</v>
      </c>
      <c r="AB393" s="986">
        <f>ROUND(NOMINA!BG358,2)</f>
        <v>290</v>
      </c>
      <c r="AC393" s="1000">
        <f t="shared" si="25"/>
        <v>445.1</v>
      </c>
      <c r="AE393" s="634"/>
    </row>
    <row r="394" spans="1:31" s="629" customFormat="1" ht="20.100000000000001" customHeight="1" thickBot="1">
      <c r="A394" s="770" t="s">
        <v>2846</v>
      </c>
      <c r="B394" s="510">
        <f t="shared" si="23"/>
        <v>48</v>
      </c>
      <c r="C394" s="980">
        <f>NOMINA!C359</f>
        <v>13522771</v>
      </c>
      <c r="D394" s="981" t="str">
        <f>NOMINA!D359</f>
        <v>Briceño Leal Ana Edelmira</v>
      </c>
      <c r="E394" s="978" t="s">
        <v>4622</v>
      </c>
      <c r="F394" s="982">
        <v>32351</v>
      </c>
      <c r="G394" s="978" t="s">
        <v>4620</v>
      </c>
      <c r="H394" s="1001">
        <f>NOMINA!H359</f>
        <v>44228</v>
      </c>
      <c r="I394" s="984">
        <f>NOMINA!I359</f>
        <v>3</v>
      </c>
      <c r="J394" s="985">
        <f>NOMINA!J359</f>
        <v>0</v>
      </c>
      <c r="K394" s="984">
        <f t="shared" si="24"/>
        <v>3</v>
      </c>
      <c r="L394" s="985" t="s">
        <v>4932</v>
      </c>
      <c r="M394" s="985"/>
      <c r="N394" s="1002" t="str">
        <f>NOMINA!O359</f>
        <v>Aseadora</v>
      </c>
      <c r="O394" s="985">
        <v>1.02087691000006E+18</v>
      </c>
      <c r="P394" s="999">
        <f>NOMINA!W359</f>
        <v>65</v>
      </c>
      <c r="Q394" s="986">
        <f>NOMINA!AG359</f>
        <v>1.95</v>
      </c>
      <c r="R394" s="986">
        <f>NOMINA!AI359</f>
        <v>65</v>
      </c>
      <c r="S394" s="986">
        <f>NOMINA!AK359</f>
        <v>0</v>
      </c>
      <c r="T394" s="986">
        <f>ROUND(NOMINA!AO359,2)</f>
        <v>0</v>
      </c>
      <c r="U394" s="986">
        <f>ROUND(NOMINA!AQ359,2)</f>
        <v>0</v>
      </c>
      <c r="V394" s="986">
        <f>ROUND(NOMINA!AR359,2)</f>
        <v>0</v>
      </c>
      <c r="W394" s="986">
        <f>ROUND(NOMINA!AS359,2)</f>
        <v>0</v>
      </c>
      <c r="X394" s="986">
        <f>ROUND(NOMINA!AW359,2)</f>
        <v>0</v>
      </c>
      <c r="Y394" s="986">
        <f>ROUND(NOMINA!AX359,2)</f>
        <v>0</v>
      </c>
      <c r="Z394" s="986">
        <f>ROUND(NOMINA!BB359,2)+ROUND(NOMINA!BF359,2)</f>
        <v>0</v>
      </c>
      <c r="AA394" s="986">
        <f>ROUND(NOMINA!BK359,2)</f>
        <v>0</v>
      </c>
      <c r="AB394" s="986">
        <f>ROUND(NOMINA!BG359,2)</f>
        <v>290</v>
      </c>
      <c r="AC394" s="1000">
        <f t="shared" si="25"/>
        <v>421.95</v>
      </c>
      <c r="AE394" s="634"/>
    </row>
    <row r="395" spans="1:31" s="629" customFormat="1" ht="20.100000000000001" customHeight="1" thickBot="1">
      <c r="A395" s="770" t="s">
        <v>2846</v>
      </c>
      <c r="B395" s="510">
        <f t="shared" si="23"/>
        <v>49</v>
      </c>
      <c r="C395" s="980">
        <f>NOMINA!C360</f>
        <v>13745328</v>
      </c>
      <c r="D395" s="981" t="str">
        <f>NOMINA!D360</f>
        <v>Arroyo Williams Jose</v>
      </c>
      <c r="E395" s="978" t="s">
        <v>4622</v>
      </c>
      <c r="F395" s="982">
        <v>32351</v>
      </c>
      <c r="G395" s="978" t="s">
        <v>4620</v>
      </c>
      <c r="H395" s="1001">
        <f>NOMINA!H360</f>
        <v>44805</v>
      </c>
      <c r="I395" s="984">
        <f>NOMINA!I360</f>
        <v>2</v>
      </c>
      <c r="J395" s="985">
        <f>NOMINA!J360</f>
        <v>0</v>
      </c>
      <c r="K395" s="984">
        <f t="shared" si="24"/>
        <v>2</v>
      </c>
      <c r="L395" s="985" t="s">
        <v>4932</v>
      </c>
      <c r="M395" s="985"/>
      <c r="N395" s="1002" t="str">
        <f>NOMINA!O360</f>
        <v>Ayudante de Servicios Generales</v>
      </c>
      <c r="O395" s="985">
        <v>1.02087691000006E+18</v>
      </c>
      <c r="P395" s="999">
        <f>NOMINA!W360</f>
        <v>76</v>
      </c>
      <c r="Q395" s="986">
        <f>NOMINA!AG360</f>
        <v>1.52</v>
      </c>
      <c r="R395" s="986">
        <f>NOMINA!AI360</f>
        <v>65</v>
      </c>
      <c r="S395" s="986">
        <f>NOMINA!AK360</f>
        <v>0</v>
      </c>
      <c r="T395" s="986">
        <f>ROUND(NOMINA!AO360,2)</f>
        <v>0</v>
      </c>
      <c r="U395" s="986">
        <f>ROUND(NOMINA!AQ360,2)</f>
        <v>0</v>
      </c>
      <c r="V395" s="986">
        <f>ROUND(NOMINA!AR360,2)</f>
        <v>0</v>
      </c>
      <c r="W395" s="986">
        <f>ROUND(NOMINA!AS360,2)</f>
        <v>0</v>
      </c>
      <c r="X395" s="986">
        <f>ROUND(NOMINA!AW360,2)</f>
        <v>89.26</v>
      </c>
      <c r="Y395" s="986">
        <f>ROUND(NOMINA!AX360,2)</f>
        <v>0</v>
      </c>
      <c r="Z395" s="986">
        <f>ROUND(NOMINA!BB360,2)+ROUND(NOMINA!BF360,2)</f>
        <v>0</v>
      </c>
      <c r="AA395" s="986">
        <f>ROUND(NOMINA!BK360,2)</f>
        <v>0</v>
      </c>
      <c r="AB395" s="986">
        <f>ROUND(NOMINA!BG360,2)</f>
        <v>290</v>
      </c>
      <c r="AC395" s="1000">
        <f t="shared" si="25"/>
        <v>521.78</v>
      </c>
      <c r="AE395" s="634"/>
    </row>
    <row r="396" spans="1:31" s="629" customFormat="1" ht="20.100000000000001" customHeight="1" thickBot="1">
      <c r="A396" s="770" t="s">
        <v>2846</v>
      </c>
      <c r="B396" s="510">
        <f t="shared" si="23"/>
        <v>50</v>
      </c>
      <c r="C396" s="980">
        <f>NOMINA!C361</f>
        <v>13996661</v>
      </c>
      <c r="D396" s="981" t="str">
        <f>NOMINA!D361</f>
        <v>Perez Montilla Yosmer Alexander</v>
      </c>
      <c r="E396" s="978" t="s">
        <v>4622</v>
      </c>
      <c r="F396" s="982">
        <v>32351</v>
      </c>
      <c r="G396" s="978" t="s">
        <v>4620</v>
      </c>
      <c r="H396" s="1001">
        <f>NOMINA!H361</f>
        <v>44743</v>
      </c>
      <c r="I396" s="984">
        <f>NOMINA!I361</f>
        <v>2</v>
      </c>
      <c r="J396" s="985">
        <f>NOMINA!J361</f>
        <v>0</v>
      </c>
      <c r="K396" s="984">
        <f t="shared" si="24"/>
        <v>2</v>
      </c>
      <c r="L396" s="985" t="s">
        <v>4932</v>
      </c>
      <c r="M396" s="985"/>
      <c r="N396" s="1002" t="str">
        <f>NOMINA!O361</f>
        <v>Chofer</v>
      </c>
      <c r="O396" s="985">
        <v>1.02087691000006E+18</v>
      </c>
      <c r="P396" s="999">
        <f>NOMINA!W361</f>
        <v>80.5</v>
      </c>
      <c r="Q396" s="986">
        <f>NOMINA!AG361</f>
        <v>1.61</v>
      </c>
      <c r="R396" s="986">
        <f>NOMINA!AI361</f>
        <v>65</v>
      </c>
      <c r="S396" s="986">
        <f>NOMINA!AK361</f>
        <v>0</v>
      </c>
      <c r="T396" s="986">
        <f>ROUND(NOMINA!AO361,2)</f>
        <v>12.5</v>
      </c>
      <c r="U396" s="986">
        <f>ROUND(NOMINA!AQ361,2)</f>
        <v>0</v>
      </c>
      <c r="V396" s="986">
        <f>ROUND(NOMINA!AR361,2)</f>
        <v>0</v>
      </c>
      <c r="W396" s="986">
        <f>ROUND(NOMINA!AS361,2)</f>
        <v>0</v>
      </c>
      <c r="X396" s="986">
        <f>ROUND(NOMINA!AW361,2)</f>
        <v>92.02</v>
      </c>
      <c r="Y396" s="986">
        <f>ROUND(NOMINA!AX361,2)</f>
        <v>0</v>
      </c>
      <c r="Z396" s="986">
        <f>ROUND(NOMINA!BB361,2)+ROUND(NOMINA!BF361,2)</f>
        <v>39.869999999999997</v>
      </c>
      <c r="AA396" s="986">
        <f>ROUND(NOMINA!BK361,2)</f>
        <v>0</v>
      </c>
      <c r="AB396" s="986">
        <f>ROUND(NOMINA!BG361,2)</f>
        <v>290</v>
      </c>
      <c r="AC396" s="1000">
        <f t="shared" si="25"/>
        <v>581.5</v>
      </c>
      <c r="AE396" s="634"/>
    </row>
    <row r="397" spans="1:31" s="629" customFormat="1" ht="20.100000000000001" customHeight="1" thickBot="1">
      <c r="A397" s="770" t="s">
        <v>2846</v>
      </c>
      <c r="B397" s="510">
        <f t="shared" si="23"/>
        <v>51</v>
      </c>
      <c r="C397" s="980">
        <f>NOMINA!C362</f>
        <v>13996885</v>
      </c>
      <c r="D397" s="981" t="str">
        <f>NOMINA!D362</f>
        <v>Pulido Rojo Wilmer Jose</v>
      </c>
      <c r="E397" s="978" t="s">
        <v>4622</v>
      </c>
      <c r="F397" s="982">
        <v>32351</v>
      </c>
      <c r="G397" s="978" t="s">
        <v>4620</v>
      </c>
      <c r="H397" s="1001">
        <f>NOMINA!H362</f>
        <v>44363</v>
      </c>
      <c r="I397" s="984">
        <f>NOMINA!I362</f>
        <v>3</v>
      </c>
      <c r="J397" s="985">
        <f>NOMINA!J362</f>
        <v>0</v>
      </c>
      <c r="K397" s="984">
        <f t="shared" si="24"/>
        <v>3</v>
      </c>
      <c r="L397" s="985" t="s">
        <v>4932</v>
      </c>
      <c r="M397" s="985"/>
      <c r="N397" s="1002" t="str">
        <f>NOMINA!O362</f>
        <v>Chofer</v>
      </c>
      <c r="O397" s="985">
        <v>1.02087691000006E+18</v>
      </c>
      <c r="P397" s="999">
        <f>NOMINA!W362</f>
        <v>80.5</v>
      </c>
      <c r="Q397" s="986">
        <f>NOMINA!AG362</f>
        <v>2.41</v>
      </c>
      <c r="R397" s="986">
        <f>NOMINA!AI362</f>
        <v>65</v>
      </c>
      <c r="S397" s="986">
        <f>NOMINA!AK362</f>
        <v>0</v>
      </c>
      <c r="T397" s="986">
        <f>ROUND(NOMINA!AO362,2)</f>
        <v>0</v>
      </c>
      <c r="U397" s="986">
        <f>ROUND(NOMINA!AQ362,2)</f>
        <v>0</v>
      </c>
      <c r="V397" s="986">
        <f>ROUND(NOMINA!AR362,2)</f>
        <v>0</v>
      </c>
      <c r="W397" s="986">
        <f>ROUND(NOMINA!AS362,2)</f>
        <v>0</v>
      </c>
      <c r="X397" s="986">
        <f>ROUND(NOMINA!AW362,2)</f>
        <v>88.75</v>
      </c>
      <c r="Y397" s="986">
        <f>ROUND(NOMINA!AX362,2)</f>
        <v>0</v>
      </c>
      <c r="Z397" s="986">
        <f>ROUND(NOMINA!BB362,2)+ROUND(NOMINA!BF362,2)</f>
        <v>38.46</v>
      </c>
      <c r="AA397" s="986">
        <f>ROUND(NOMINA!BK362,2)</f>
        <v>0</v>
      </c>
      <c r="AB397" s="986">
        <f>ROUND(NOMINA!BG362,2)</f>
        <v>290</v>
      </c>
      <c r="AC397" s="1000">
        <f t="shared" si="25"/>
        <v>565.12</v>
      </c>
      <c r="AE397" s="634"/>
    </row>
    <row r="398" spans="1:31" s="629" customFormat="1" ht="20.100000000000001" customHeight="1" thickBot="1">
      <c r="A398" s="770" t="s">
        <v>2846</v>
      </c>
      <c r="B398" s="510">
        <f t="shared" si="23"/>
        <v>52</v>
      </c>
      <c r="C398" s="980">
        <f>NOMINA!C363</f>
        <v>14149971</v>
      </c>
      <c r="D398" s="981" t="str">
        <f>NOMINA!D363</f>
        <v>Rivera Virginia del Carmen</v>
      </c>
      <c r="E398" s="978" t="s">
        <v>4622</v>
      </c>
      <c r="F398" s="982">
        <v>32351</v>
      </c>
      <c r="G398" s="978" t="s">
        <v>4620</v>
      </c>
      <c r="H398" s="1001">
        <f>NOMINA!H363</f>
        <v>41091</v>
      </c>
      <c r="I398" s="984">
        <f>NOMINA!I363</f>
        <v>12</v>
      </c>
      <c r="J398" s="985">
        <f>NOMINA!J363</f>
        <v>0</v>
      </c>
      <c r="K398" s="984">
        <f t="shared" si="24"/>
        <v>12</v>
      </c>
      <c r="L398" s="985" t="s">
        <v>4932</v>
      </c>
      <c r="M398" s="985"/>
      <c r="N398" s="1002" t="str">
        <f>NOMINA!O363</f>
        <v>Aseadora</v>
      </c>
      <c r="O398" s="985">
        <v>1.02087691000006E+18</v>
      </c>
      <c r="P398" s="999">
        <f>NOMINA!W363</f>
        <v>65</v>
      </c>
      <c r="Q398" s="986">
        <f>NOMINA!AG363</f>
        <v>8.9700000000000006</v>
      </c>
      <c r="R398" s="986">
        <f>NOMINA!AI363</f>
        <v>65</v>
      </c>
      <c r="S398" s="986">
        <f>NOMINA!AK363</f>
        <v>0</v>
      </c>
      <c r="T398" s="986">
        <f>ROUND(NOMINA!AO363,2)</f>
        <v>0</v>
      </c>
      <c r="U398" s="986">
        <f>ROUND(NOMINA!AQ363,2)</f>
        <v>0</v>
      </c>
      <c r="V398" s="986">
        <f>ROUND(NOMINA!AR363,2)</f>
        <v>0</v>
      </c>
      <c r="W398" s="986">
        <f>ROUND(NOMINA!AS363,2)</f>
        <v>0</v>
      </c>
      <c r="X398" s="986">
        <f>ROUND(NOMINA!AW363,2)</f>
        <v>0</v>
      </c>
      <c r="Y398" s="986">
        <f>ROUND(NOMINA!AX363,2)</f>
        <v>0</v>
      </c>
      <c r="Z398" s="986">
        <f>ROUND(NOMINA!BB363,2)+ROUND(NOMINA!BF363,2)</f>
        <v>0</v>
      </c>
      <c r="AA398" s="986">
        <f>ROUND(NOMINA!BK363,2)</f>
        <v>0</v>
      </c>
      <c r="AB398" s="986">
        <f>ROUND(NOMINA!BG363,2)</f>
        <v>290</v>
      </c>
      <c r="AC398" s="1000">
        <f t="shared" si="25"/>
        <v>428.97</v>
      </c>
      <c r="AE398" s="634"/>
    </row>
    <row r="399" spans="1:31" s="629" customFormat="1" ht="20.100000000000001" customHeight="1" thickBot="1">
      <c r="A399" s="770" t="s">
        <v>2846</v>
      </c>
      <c r="B399" s="510">
        <f t="shared" si="23"/>
        <v>53</v>
      </c>
      <c r="C399" s="980">
        <f>NOMINA!C364</f>
        <v>14150495</v>
      </c>
      <c r="D399" s="981" t="str">
        <f>NOMINA!D364</f>
        <v>Umbria de Segovia Alexandra del Carmen</v>
      </c>
      <c r="E399" s="978" t="s">
        <v>4622</v>
      </c>
      <c r="F399" s="982">
        <v>32351</v>
      </c>
      <c r="G399" s="978" t="s">
        <v>4620</v>
      </c>
      <c r="H399" s="1001">
        <f>NOMINA!H364</f>
        <v>44228</v>
      </c>
      <c r="I399" s="984">
        <f>NOMINA!I364</f>
        <v>3</v>
      </c>
      <c r="J399" s="985">
        <f>NOMINA!J364</f>
        <v>0</v>
      </c>
      <c r="K399" s="984">
        <f t="shared" si="24"/>
        <v>3</v>
      </c>
      <c r="L399" s="985" t="s">
        <v>4932</v>
      </c>
      <c r="M399" s="985"/>
      <c r="N399" s="1002" t="str">
        <f>NOMINA!O364</f>
        <v>Ayudante de Almacen</v>
      </c>
      <c r="O399" s="985">
        <v>1.02087691000006E+18</v>
      </c>
      <c r="P399" s="999">
        <f>NOMINA!W364</f>
        <v>85.5</v>
      </c>
      <c r="Q399" s="986">
        <f>NOMINA!AG364</f>
        <v>2.56</v>
      </c>
      <c r="R399" s="986">
        <f>NOMINA!AI364</f>
        <v>65</v>
      </c>
      <c r="S399" s="986">
        <f>NOMINA!AK364</f>
        <v>0</v>
      </c>
      <c r="T399" s="986">
        <f>ROUND(NOMINA!AO364,2)</f>
        <v>0</v>
      </c>
      <c r="U399" s="986">
        <f>ROUND(NOMINA!AQ364,2)</f>
        <v>0</v>
      </c>
      <c r="V399" s="986">
        <f>ROUND(NOMINA!AR364,2)</f>
        <v>0</v>
      </c>
      <c r="W399" s="986">
        <f>ROUND(NOMINA!AS364,2)</f>
        <v>0</v>
      </c>
      <c r="X399" s="986">
        <f>ROUND(NOMINA!AW364,2)</f>
        <v>0</v>
      </c>
      <c r="Y399" s="986">
        <f>ROUND(NOMINA!AX364,2)</f>
        <v>0</v>
      </c>
      <c r="Z399" s="986">
        <f>ROUND(NOMINA!BB364,2)+ROUND(NOMINA!BF364,2)</f>
        <v>0</v>
      </c>
      <c r="AA399" s="986">
        <f>ROUND(NOMINA!BK364,2)</f>
        <v>0</v>
      </c>
      <c r="AB399" s="986">
        <f>ROUND(NOMINA!BG364,2)</f>
        <v>290</v>
      </c>
      <c r="AC399" s="1000">
        <f t="shared" si="25"/>
        <v>443.06</v>
      </c>
      <c r="AE399" s="634"/>
    </row>
    <row r="400" spans="1:31" s="629" customFormat="1" ht="20.100000000000001" customHeight="1" thickBot="1">
      <c r="A400" s="770" t="s">
        <v>2846</v>
      </c>
      <c r="B400" s="510">
        <f t="shared" si="23"/>
        <v>54</v>
      </c>
      <c r="C400" s="980">
        <f>NOMINA!C365</f>
        <v>14599616</v>
      </c>
      <c r="D400" s="981" t="str">
        <f>NOMINA!D365</f>
        <v>Andara Briceño Jean Carlos</v>
      </c>
      <c r="E400" s="978" t="s">
        <v>4622</v>
      </c>
      <c r="F400" s="982">
        <v>32351</v>
      </c>
      <c r="G400" s="978" t="s">
        <v>4620</v>
      </c>
      <c r="H400" s="1001">
        <f>NOMINA!H365</f>
        <v>43525</v>
      </c>
      <c r="I400" s="984">
        <f>NOMINA!I365</f>
        <v>5</v>
      </c>
      <c r="J400" s="985">
        <f>NOMINA!J365</f>
        <v>0</v>
      </c>
      <c r="K400" s="984">
        <f t="shared" si="24"/>
        <v>5</v>
      </c>
      <c r="L400" s="985" t="s">
        <v>4932</v>
      </c>
      <c r="M400" s="985"/>
      <c r="N400" s="1002" t="str">
        <f>NOMINA!O365</f>
        <v>Aseador</v>
      </c>
      <c r="O400" s="985">
        <v>1.02087691000006E+18</v>
      </c>
      <c r="P400" s="999">
        <f>NOMINA!W365</f>
        <v>65</v>
      </c>
      <c r="Q400" s="986">
        <f>NOMINA!AG365</f>
        <v>3.25</v>
      </c>
      <c r="R400" s="986">
        <f>NOMINA!AI365</f>
        <v>65</v>
      </c>
      <c r="S400" s="986">
        <f>NOMINA!AK365</f>
        <v>0</v>
      </c>
      <c r="T400" s="986">
        <f>ROUND(NOMINA!AO365,2)</f>
        <v>0</v>
      </c>
      <c r="U400" s="986">
        <f>ROUND(NOMINA!AQ365,2)</f>
        <v>0</v>
      </c>
      <c r="V400" s="986">
        <f>ROUND(NOMINA!AR365,2)</f>
        <v>0</v>
      </c>
      <c r="W400" s="986">
        <f>ROUND(NOMINA!AS365,2)</f>
        <v>0</v>
      </c>
      <c r="X400" s="986">
        <f>ROUND(NOMINA!AW365,2)</f>
        <v>0</v>
      </c>
      <c r="Y400" s="986">
        <f>ROUND(NOMINA!AX365,2)</f>
        <v>0</v>
      </c>
      <c r="Z400" s="986">
        <f>ROUND(NOMINA!BB365,2)+ROUND(NOMINA!BF365,2)</f>
        <v>0</v>
      </c>
      <c r="AA400" s="986">
        <f>ROUND(NOMINA!BK365,2)</f>
        <v>0</v>
      </c>
      <c r="AB400" s="986">
        <f>ROUND(NOMINA!BG365,2)</f>
        <v>290</v>
      </c>
      <c r="AC400" s="1000">
        <f t="shared" si="25"/>
        <v>423.25</v>
      </c>
      <c r="AE400" s="634"/>
    </row>
    <row r="401" spans="1:31" s="629" customFormat="1" ht="20.100000000000001" customHeight="1" thickBot="1">
      <c r="A401" s="770" t="s">
        <v>2846</v>
      </c>
      <c r="B401" s="510">
        <f t="shared" si="23"/>
        <v>55</v>
      </c>
      <c r="C401" s="980">
        <f>NOMINA!C366</f>
        <v>14718369</v>
      </c>
      <c r="D401" s="981" t="str">
        <f>NOMINA!D366</f>
        <v>Pacheco Yudith Del Valle</v>
      </c>
      <c r="E401" s="978" t="s">
        <v>4622</v>
      </c>
      <c r="F401" s="982">
        <v>32351</v>
      </c>
      <c r="G401" s="978" t="s">
        <v>4620</v>
      </c>
      <c r="H401" s="1001">
        <f>NOMINA!H366</f>
        <v>43147</v>
      </c>
      <c r="I401" s="984">
        <f>NOMINA!I366</f>
        <v>6</v>
      </c>
      <c r="J401" s="985">
        <f>NOMINA!J366</f>
        <v>0</v>
      </c>
      <c r="K401" s="984">
        <f t="shared" si="24"/>
        <v>6</v>
      </c>
      <c r="L401" s="985" t="s">
        <v>4932</v>
      </c>
      <c r="M401" s="985"/>
      <c r="N401" s="1002" t="str">
        <f>NOMINA!O366</f>
        <v>Aseadora</v>
      </c>
      <c r="O401" s="985">
        <v>1.02087691000006E+18</v>
      </c>
      <c r="P401" s="999">
        <f>NOMINA!W366</f>
        <v>65</v>
      </c>
      <c r="Q401" s="986">
        <f>NOMINA!AG366</f>
        <v>4.03</v>
      </c>
      <c r="R401" s="986">
        <f>NOMINA!AI366</f>
        <v>65</v>
      </c>
      <c r="S401" s="986">
        <f>NOMINA!AK366</f>
        <v>0</v>
      </c>
      <c r="T401" s="986">
        <f>ROUND(NOMINA!AO366,2)</f>
        <v>0</v>
      </c>
      <c r="U401" s="986">
        <f>ROUND(NOMINA!AQ366,2)</f>
        <v>0</v>
      </c>
      <c r="V401" s="986">
        <f>ROUND(NOMINA!AR366,2)</f>
        <v>0</v>
      </c>
      <c r="W401" s="986">
        <f>ROUND(NOMINA!AS366,2)</f>
        <v>0</v>
      </c>
      <c r="X401" s="986">
        <f>ROUND(NOMINA!AW366,2)</f>
        <v>0</v>
      </c>
      <c r="Y401" s="986">
        <f>ROUND(NOMINA!AX366,2)</f>
        <v>0</v>
      </c>
      <c r="Z401" s="986">
        <f>ROUND(NOMINA!BB366,2)+ROUND(NOMINA!BF366,2)</f>
        <v>0</v>
      </c>
      <c r="AA401" s="986">
        <f>ROUND(NOMINA!BK366,2)</f>
        <v>0</v>
      </c>
      <c r="AB401" s="986">
        <f>ROUND(NOMINA!BG366,2)</f>
        <v>290</v>
      </c>
      <c r="AC401" s="1000">
        <f t="shared" si="25"/>
        <v>424.03</v>
      </c>
      <c r="AE401" s="634"/>
    </row>
    <row r="402" spans="1:31" s="629" customFormat="1" ht="20.100000000000001" customHeight="1" thickBot="1">
      <c r="A402" s="770" t="s">
        <v>2846</v>
      </c>
      <c r="B402" s="510">
        <f t="shared" si="23"/>
        <v>56</v>
      </c>
      <c r="C402" s="980">
        <f>NOMINA!C367</f>
        <v>14718468</v>
      </c>
      <c r="D402" s="981" t="str">
        <f>NOMINA!D367</f>
        <v>Frias Aldana Yhonny Ramon</v>
      </c>
      <c r="E402" s="978" t="s">
        <v>4622</v>
      </c>
      <c r="F402" s="982">
        <v>32351</v>
      </c>
      <c r="G402" s="978" t="s">
        <v>4620</v>
      </c>
      <c r="H402" s="1001">
        <f>NOMINA!H367</f>
        <v>42948</v>
      </c>
      <c r="I402" s="984">
        <f>NOMINA!I367</f>
        <v>7</v>
      </c>
      <c r="J402" s="985">
        <f>NOMINA!J367</f>
        <v>0</v>
      </c>
      <c r="K402" s="984">
        <f t="shared" si="24"/>
        <v>7</v>
      </c>
      <c r="L402" s="985" t="s">
        <v>4932</v>
      </c>
      <c r="M402" s="985"/>
      <c r="N402" s="1002" t="str">
        <f>NOMINA!O367</f>
        <v>Ayudante De Almacen</v>
      </c>
      <c r="O402" s="985">
        <v>1.02087691000006E+18</v>
      </c>
      <c r="P402" s="999">
        <f>NOMINA!W367</f>
        <v>85.5</v>
      </c>
      <c r="Q402" s="986">
        <f>NOMINA!AG367</f>
        <v>6.32</v>
      </c>
      <c r="R402" s="986">
        <f>NOMINA!AI367</f>
        <v>65</v>
      </c>
      <c r="S402" s="986">
        <f>NOMINA!AK367</f>
        <v>0</v>
      </c>
      <c r="T402" s="986">
        <f>ROUND(NOMINA!AO367,2)</f>
        <v>12.5</v>
      </c>
      <c r="U402" s="986">
        <f>ROUND(NOMINA!AQ367,2)</f>
        <v>0</v>
      </c>
      <c r="V402" s="986">
        <f>ROUND(NOMINA!AR367,2)</f>
        <v>0</v>
      </c>
      <c r="W402" s="986">
        <f>ROUND(NOMINA!AS367,2)</f>
        <v>0</v>
      </c>
      <c r="X402" s="986">
        <f>ROUND(NOMINA!AW367,2)</f>
        <v>0</v>
      </c>
      <c r="Y402" s="986">
        <f>ROUND(NOMINA!AX367,2)</f>
        <v>0</v>
      </c>
      <c r="Z402" s="986">
        <f>ROUND(NOMINA!BB367,2)+ROUND(NOMINA!BF367,2)</f>
        <v>0</v>
      </c>
      <c r="AA402" s="986">
        <f>ROUND(NOMINA!BK367,2)</f>
        <v>0</v>
      </c>
      <c r="AB402" s="986">
        <f>ROUND(NOMINA!BG367,2)</f>
        <v>290</v>
      </c>
      <c r="AC402" s="1000">
        <f t="shared" si="25"/>
        <v>459.32</v>
      </c>
      <c r="AE402" s="634"/>
    </row>
    <row r="403" spans="1:31" s="629" customFormat="1" ht="20.100000000000001" customHeight="1" thickBot="1">
      <c r="A403" s="770" t="s">
        <v>2846</v>
      </c>
      <c r="B403" s="510">
        <f t="shared" si="23"/>
        <v>57</v>
      </c>
      <c r="C403" s="980">
        <f>NOMINA!C368</f>
        <v>14719205</v>
      </c>
      <c r="D403" s="981" t="str">
        <f>NOMINA!D368</f>
        <v>Chinchilla Perez Jean Carlos</v>
      </c>
      <c r="E403" s="978" t="s">
        <v>4622</v>
      </c>
      <c r="F403" s="982">
        <v>32351</v>
      </c>
      <c r="G403" s="978" t="s">
        <v>4620</v>
      </c>
      <c r="H403" s="1001">
        <f>NOMINA!H368</f>
        <v>39861</v>
      </c>
      <c r="I403" s="984">
        <f>NOMINA!I368</f>
        <v>15</v>
      </c>
      <c r="J403" s="985">
        <f>NOMINA!J368</f>
        <v>0</v>
      </c>
      <c r="K403" s="984">
        <f t="shared" si="24"/>
        <v>15</v>
      </c>
      <c r="L403" s="985" t="s">
        <v>4932</v>
      </c>
      <c r="M403" s="985"/>
      <c r="N403" s="1002" t="str">
        <f>NOMINA!O368</f>
        <v>Ayudante de Servicios Generales</v>
      </c>
      <c r="O403" s="985">
        <v>1.02087691000006E+18</v>
      </c>
      <c r="P403" s="999">
        <f>NOMINA!W368</f>
        <v>76</v>
      </c>
      <c r="Q403" s="986">
        <f>NOMINA!AG368</f>
        <v>13.68</v>
      </c>
      <c r="R403" s="986">
        <f>NOMINA!AI368</f>
        <v>65</v>
      </c>
      <c r="S403" s="986">
        <f>NOMINA!AK368</f>
        <v>0</v>
      </c>
      <c r="T403" s="986">
        <f>ROUND(NOMINA!AO368,2)</f>
        <v>0</v>
      </c>
      <c r="U403" s="986">
        <f>ROUND(NOMINA!AQ368,2)</f>
        <v>12.5</v>
      </c>
      <c r="V403" s="986">
        <f>ROUND(NOMINA!AR368,2)</f>
        <v>0</v>
      </c>
      <c r="W403" s="986">
        <f>ROUND(NOMINA!AS368,2)</f>
        <v>0</v>
      </c>
      <c r="X403" s="986">
        <f>ROUND(NOMINA!AW368,2)</f>
        <v>0</v>
      </c>
      <c r="Y403" s="986">
        <f>ROUND(NOMINA!AX368,2)</f>
        <v>0</v>
      </c>
      <c r="Z403" s="986">
        <f>ROUND(NOMINA!BB368,2)+ROUND(NOMINA!BF368,2)</f>
        <v>0</v>
      </c>
      <c r="AA403" s="986">
        <f>ROUND(NOMINA!BK368,2)</f>
        <v>0</v>
      </c>
      <c r="AB403" s="986">
        <f>ROUND(NOMINA!BG368,2)</f>
        <v>290</v>
      </c>
      <c r="AC403" s="1000">
        <f t="shared" si="25"/>
        <v>457.18</v>
      </c>
      <c r="AE403" s="634"/>
    </row>
    <row r="404" spans="1:31" s="629" customFormat="1" ht="20.100000000000001" customHeight="1" thickBot="1">
      <c r="A404" s="770" t="s">
        <v>2846</v>
      </c>
      <c r="B404" s="510">
        <f t="shared" si="23"/>
        <v>58</v>
      </c>
      <c r="C404" s="980">
        <f>NOMINA!C369</f>
        <v>14719356</v>
      </c>
      <c r="D404" s="981" t="str">
        <f>NOMINA!D369</f>
        <v>Linares Montilla Gerardo Enrique</v>
      </c>
      <c r="E404" s="978" t="s">
        <v>4622</v>
      </c>
      <c r="F404" s="982">
        <v>32351</v>
      </c>
      <c r="G404" s="978" t="s">
        <v>4620</v>
      </c>
      <c r="H404" s="1001">
        <f>NOMINA!H369</f>
        <v>44348</v>
      </c>
      <c r="I404" s="984">
        <f>NOMINA!I369</f>
        <v>3</v>
      </c>
      <c r="J404" s="985">
        <f>NOMINA!J369</f>
        <v>0</v>
      </c>
      <c r="K404" s="984">
        <f t="shared" si="24"/>
        <v>3</v>
      </c>
      <c r="L404" s="985" t="s">
        <v>4932</v>
      </c>
      <c r="M404" s="985"/>
      <c r="N404" s="1002" t="str">
        <f>NOMINA!O369</f>
        <v>Ayudante de Servicios Generales</v>
      </c>
      <c r="O404" s="985">
        <v>1.02087691000006E+18</v>
      </c>
      <c r="P404" s="999">
        <f>NOMINA!W369</f>
        <v>76</v>
      </c>
      <c r="Q404" s="986">
        <f>NOMINA!AG369</f>
        <v>2.2799999999999998</v>
      </c>
      <c r="R404" s="986">
        <f>NOMINA!AI369</f>
        <v>65</v>
      </c>
      <c r="S404" s="986">
        <f>NOMINA!AK369</f>
        <v>0</v>
      </c>
      <c r="T404" s="986">
        <f>ROUND(NOMINA!AO369,2)</f>
        <v>0</v>
      </c>
      <c r="U404" s="986">
        <f>ROUND(NOMINA!AQ369,2)</f>
        <v>0</v>
      </c>
      <c r="V404" s="986">
        <f>ROUND(NOMINA!AR369,2)</f>
        <v>0</v>
      </c>
      <c r="W404" s="986">
        <f>ROUND(NOMINA!AS369,2)</f>
        <v>0</v>
      </c>
      <c r="X404" s="986">
        <f>ROUND(NOMINA!AW369,2)</f>
        <v>0</v>
      </c>
      <c r="Y404" s="986">
        <f>ROUND(NOMINA!AX369,2)</f>
        <v>0</v>
      </c>
      <c r="Z404" s="986">
        <f>ROUND(NOMINA!BB369,2)+ROUND(NOMINA!BF369,2)</f>
        <v>0</v>
      </c>
      <c r="AA404" s="986">
        <f>ROUND(NOMINA!BK369,2)</f>
        <v>0</v>
      </c>
      <c r="AB404" s="986">
        <f>ROUND(NOMINA!BG369,2)</f>
        <v>290</v>
      </c>
      <c r="AC404" s="1000">
        <f t="shared" si="25"/>
        <v>433.28</v>
      </c>
      <c r="AE404" s="634"/>
    </row>
    <row r="405" spans="1:31" s="629" customFormat="1" ht="20.100000000000001" customHeight="1" thickBot="1">
      <c r="A405" s="770" t="s">
        <v>2846</v>
      </c>
      <c r="B405" s="510">
        <f t="shared" si="23"/>
        <v>59</v>
      </c>
      <c r="C405" s="980">
        <f>NOMINA!C370</f>
        <v>14780893</v>
      </c>
      <c r="D405" s="981" t="str">
        <f>NOMINA!D370</f>
        <v>Perez Gonzalez Reinaldo Andre</v>
      </c>
      <c r="E405" s="978" t="s">
        <v>4622</v>
      </c>
      <c r="F405" s="982">
        <v>32351</v>
      </c>
      <c r="G405" s="978" t="s">
        <v>4620</v>
      </c>
      <c r="H405" s="1001">
        <f>NOMINA!H370</f>
        <v>41570</v>
      </c>
      <c r="I405" s="984">
        <f>NOMINA!I370</f>
        <v>11</v>
      </c>
      <c r="J405" s="985">
        <f>NOMINA!J370</f>
        <v>0</v>
      </c>
      <c r="K405" s="984">
        <f t="shared" si="24"/>
        <v>11</v>
      </c>
      <c r="L405" s="985" t="s">
        <v>4932</v>
      </c>
      <c r="M405" s="985"/>
      <c r="N405" s="1002" t="str">
        <f>NOMINA!O370</f>
        <v>Ayudante de Servicios Generales</v>
      </c>
      <c r="O405" s="985">
        <v>1.02087691000006E+18</v>
      </c>
      <c r="P405" s="999">
        <f>NOMINA!W370</f>
        <v>76</v>
      </c>
      <c r="Q405" s="986">
        <f>NOMINA!AG370</f>
        <v>9.42</v>
      </c>
      <c r="R405" s="986">
        <f>NOMINA!AI370</f>
        <v>65</v>
      </c>
      <c r="S405" s="986">
        <f>NOMINA!AK370</f>
        <v>0</v>
      </c>
      <c r="T405" s="986">
        <f>ROUND(NOMINA!AO370,2)</f>
        <v>0</v>
      </c>
      <c r="U405" s="986">
        <f>ROUND(NOMINA!AQ370,2)</f>
        <v>0</v>
      </c>
      <c r="V405" s="986">
        <f>ROUND(NOMINA!AR370,2)</f>
        <v>0</v>
      </c>
      <c r="W405" s="986">
        <f>ROUND(NOMINA!AS370,2)</f>
        <v>0</v>
      </c>
      <c r="X405" s="986">
        <f>ROUND(NOMINA!AW370,2)</f>
        <v>0</v>
      </c>
      <c r="Y405" s="986">
        <f>ROUND(NOMINA!AX370,2)</f>
        <v>0</v>
      </c>
      <c r="Z405" s="986">
        <f>ROUND(NOMINA!BB370,2)+ROUND(NOMINA!BF370,2)</f>
        <v>0</v>
      </c>
      <c r="AA405" s="986">
        <f>ROUND(NOMINA!BK370,2)</f>
        <v>0</v>
      </c>
      <c r="AB405" s="986">
        <f>ROUND(NOMINA!BG370,2)</f>
        <v>290</v>
      </c>
      <c r="AC405" s="1000">
        <f t="shared" si="25"/>
        <v>440.42</v>
      </c>
      <c r="AE405" s="634"/>
    </row>
    <row r="406" spans="1:31" s="629" customFormat="1" ht="20.100000000000001" customHeight="1" thickBot="1">
      <c r="A406" s="770" t="s">
        <v>2846</v>
      </c>
      <c r="B406" s="510">
        <f t="shared" si="23"/>
        <v>60</v>
      </c>
      <c r="C406" s="980">
        <f>NOMINA!C371</f>
        <v>14928047</v>
      </c>
      <c r="D406" s="981" t="str">
        <f>NOMINA!D371</f>
        <v>Becerra Teran Maria Alejandra</v>
      </c>
      <c r="E406" s="978" t="s">
        <v>4622</v>
      </c>
      <c r="F406" s="982">
        <v>32351</v>
      </c>
      <c r="G406" s="978" t="s">
        <v>4620</v>
      </c>
      <c r="H406" s="1001">
        <f>NOMINA!H371</f>
        <v>43297</v>
      </c>
      <c r="I406" s="984">
        <f>NOMINA!I371</f>
        <v>6</v>
      </c>
      <c r="J406" s="985">
        <f>NOMINA!J371</f>
        <v>0</v>
      </c>
      <c r="K406" s="984">
        <f t="shared" si="24"/>
        <v>6</v>
      </c>
      <c r="L406" s="985" t="s">
        <v>4932</v>
      </c>
      <c r="M406" s="985"/>
      <c r="N406" s="1002" t="str">
        <f>NOMINA!O371</f>
        <v>Cocinera</v>
      </c>
      <c r="O406" s="985">
        <v>1.02087691000006E+18</v>
      </c>
      <c r="P406" s="999">
        <f>NOMINA!W371</f>
        <v>85.5</v>
      </c>
      <c r="Q406" s="986">
        <f>NOMINA!AG371</f>
        <v>5.3</v>
      </c>
      <c r="R406" s="986">
        <f>NOMINA!AI371</f>
        <v>65</v>
      </c>
      <c r="S406" s="986">
        <f>NOMINA!AK371</f>
        <v>0</v>
      </c>
      <c r="T406" s="986">
        <f>ROUND(NOMINA!AO371,2)</f>
        <v>0</v>
      </c>
      <c r="U406" s="986">
        <f>ROUND(NOMINA!AQ371,2)</f>
        <v>0</v>
      </c>
      <c r="V406" s="986">
        <f>ROUND(NOMINA!AR371,2)</f>
        <v>0</v>
      </c>
      <c r="W406" s="986">
        <f>ROUND(NOMINA!AS371,2)</f>
        <v>0</v>
      </c>
      <c r="X406" s="986">
        <f>ROUND(NOMINA!AW371,2)</f>
        <v>0</v>
      </c>
      <c r="Y406" s="986">
        <f>ROUND(NOMINA!AX371,2)</f>
        <v>0</v>
      </c>
      <c r="Z406" s="986">
        <f>ROUND(NOMINA!BB371,2)+ROUND(NOMINA!BF371,2)</f>
        <v>31.16</v>
      </c>
      <c r="AA406" s="986">
        <f>ROUND(NOMINA!BK371,2)</f>
        <v>0</v>
      </c>
      <c r="AB406" s="986">
        <f>ROUND(NOMINA!BG371,2)</f>
        <v>290</v>
      </c>
      <c r="AC406" s="1000">
        <f t="shared" si="25"/>
        <v>476.96000000000004</v>
      </c>
      <c r="AE406" s="634"/>
    </row>
    <row r="407" spans="1:31" s="629" customFormat="1" ht="20.100000000000001" customHeight="1" thickBot="1">
      <c r="A407" s="770" t="s">
        <v>2846</v>
      </c>
      <c r="B407" s="510">
        <f t="shared" si="23"/>
        <v>61</v>
      </c>
      <c r="C407" s="980">
        <f>NOMINA!C372</f>
        <v>15042683</v>
      </c>
      <c r="D407" s="981" t="str">
        <f>NOMINA!D372</f>
        <v>Rivera Hermes Edixon</v>
      </c>
      <c r="E407" s="978" t="s">
        <v>4622</v>
      </c>
      <c r="F407" s="982">
        <v>32351</v>
      </c>
      <c r="G407" s="978" t="s">
        <v>4620</v>
      </c>
      <c r="H407" s="1001">
        <f>NOMINA!H372</f>
        <v>45292</v>
      </c>
      <c r="I407" s="984">
        <f>NOMINA!I372</f>
        <v>1</v>
      </c>
      <c r="J407" s="985">
        <f>NOMINA!J372</f>
        <v>0</v>
      </c>
      <c r="K407" s="984">
        <f t="shared" si="24"/>
        <v>1</v>
      </c>
      <c r="L407" s="985" t="s">
        <v>4932</v>
      </c>
      <c r="M407" s="985"/>
      <c r="N407" s="1002" t="str">
        <f>NOMINA!O372</f>
        <v>Aseador</v>
      </c>
      <c r="O407" s="985">
        <v>1.02087691000006E+18</v>
      </c>
      <c r="P407" s="999">
        <f>NOMINA!W372</f>
        <v>65</v>
      </c>
      <c r="Q407" s="986">
        <f>NOMINA!AG372</f>
        <v>0.65</v>
      </c>
      <c r="R407" s="986">
        <f>NOMINA!AI372</f>
        <v>65</v>
      </c>
      <c r="S407" s="986">
        <f>NOMINA!AK372</f>
        <v>0</v>
      </c>
      <c r="T407" s="986">
        <f>ROUND(NOMINA!AO372,2)</f>
        <v>12.5</v>
      </c>
      <c r="U407" s="986">
        <f>ROUND(NOMINA!AQ372,2)</f>
        <v>0</v>
      </c>
      <c r="V407" s="986">
        <f>ROUND(NOMINA!AR372,2)</f>
        <v>0</v>
      </c>
      <c r="W407" s="986">
        <f>ROUND(NOMINA!AS372,2)</f>
        <v>0</v>
      </c>
      <c r="X407" s="986">
        <f>ROUND(NOMINA!AW372,2)</f>
        <v>0</v>
      </c>
      <c r="Y407" s="986">
        <f>ROUND(NOMINA!AX372,2)</f>
        <v>2190.4</v>
      </c>
      <c r="Z407" s="986">
        <f>ROUND(NOMINA!BB372,2)+ROUND(NOMINA!BF372,2)</f>
        <v>13.69</v>
      </c>
      <c r="AA407" s="986">
        <f>ROUND(NOMINA!BK372,2)</f>
        <v>0</v>
      </c>
      <c r="AB407" s="986">
        <f>ROUND(NOMINA!BG372,2)</f>
        <v>290</v>
      </c>
      <c r="AC407" s="1000">
        <f t="shared" si="25"/>
        <v>2637.2400000000002</v>
      </c>
      <c r="AE407" s="634"/>
    </row>
    <row r="408" spans="1:31" s="629" customFormat="1" ht="20.100000000000001" customHeight="1" thickBot="1">
      <c r="A408" s="770" t="s">
        <v>2846</v>
      </c>
      <c r="B408" s="510">
        <f t="shared" si="23"/>
        <v>62</v>
      </c>
      <c r="C408" s="980">
        <f>NOMINA!C373</f>
        <v>15583194</v>
      </c>
      <c r="D408" s="981" t="str">
        <f>NOMINA!D373</f>
        <v>Garcia Briceño Wuiston Andres</v>
      </c>
      <c r="E408" s="978" t="s">
        <v>4622</v>
      </c>
      <c r="F408" s="982">
        <v>32351</v>
      </c>
      <c r="G408" s="978" t="s">
        <v>4620</v>
      </c>
      <c r="H408" s="1001">
        <f>NOMINA!H373</f>
        <v>44166</v>
      </c>
      <c r="I408" s="984">
        <f>NOMINA!I373</f>
        <v>4</v>
      </c>
      <c r="J408" s="985">
        <f>NOMINA!J373</f>
        <v>8</v>
      </c>
      <c r="K408" s="984">
        <f t="shared" si="24"/>
        <v>12</v>
      </c>
      <c r="L408" s="985" t="s">
        <v>4932</v>
      </c>
      <c r="M408" s="985"/>
      <c r="N408" s="1002" t="str">
        <f>NOMINA!O373</f>
        <v>Cocinero</v>
      </c>
      <c r="O408" s="985">
        <v>1.02087691000006E+18</v>
      </c>
      <c r="P408" s="999">
        <f>NOMINA!W373</f>
        <v>85.5</v>
      </c>
      <c r="Q408" s="986">
        <f>NOMINA!AG373</f>
        <v>11.8</v>
      </c>
      <c r="R408" s="986">
        <f>NOMINA!AI373</f>
        <v>65</v>
      </c>
      <c r="S408" s="986">
        <f>NOMINA!AK373</f>
        <v>0</v>
      </c>
      <c r="T408" s="986">
        <f>ROUND(NOMINA!AO373,2)</f>
        <v>12.5</v>
      </c>
      <c r="U408" s="986">
        <f>ROUND(NOMINA!AQ373,2)</f>
        <v>0</v>
      </c>
      <c r="V408" s="986">
        <f>ROUND(NOMINA!AR373,2)</f>
        <v>0</v>
      </c>
      <c r="W408" s="986">
        <f>ROUND(NOMINA!AS373,2)</f>
        <v>0</v>
      </c>
      <c r="X408" s="986">
        <f>ROUND(NOMINA!AW373,2)</f>
        <v>0</v>
      </c>
      <c r="Y408" s="986">
        <f>ROUND(NOMINA!AX373,2)</f>
        <v>0</v>
      </c>
      <c r="Z408" s="986">
        <f>ROUND(NOMINA!BB373,2)+ROUND(NOMINA!BF373,2)</f>
        <v>34.96</v>
      </c>
      <c r="AA408" s="986">
        <f>ROUND(NOMINA!BK373,2)</f>
        <v>0</v>
      </c>
      <c r="AB408" s="986">
        <f>ROUND(NOMINA!BG373,2)</f>
        <v>290</v>
      </c>
      <c r="AC408" s="1000">
        <f t="shared" si="25"/>
        <v>499.76</v>
      </c>
      <c r="AE408" s="634"/>
    </row>
    <row r="409" spans="1:31" s="629" customFormat="1" ht="20.100000000000001" customHeight="1" thickBot="1">
      <c r="A409" s="770" t="s">
        <v>2846</v>
      </c>
      <c r="B409" s="510">
        <f t="shared" si="23"/>
        <v>63</v>
      </c>
      <c r="C409" s="980">
        <f>NOMINA!C374</f>
        <v>14928592</v>
      </c>
      <c r="D409" s="981" t="str">
        <f>NOMINA!D374</f>
        <v>Rosales Ruiz Jesus Alberto</v>
      </c>
      <c r="E409" s="978" t="s">
        <v>4622</v>
      </c>
      <c r="F409" s="982">
        <v>32351</v>
      </c>
      <c r="G409" s="978" t="s">
        <v>4620</v>
      </c>
      <c r="H409" s="1001">
        <f>NOMINA!H374</f>
        <v>45017</v>
      </c>
      <c r="I409" s="984">
        <f>NOMINA!I374</f>
        <v>1</v>
      </c>
      <c r="J409" s="985">
        <f>NOMINA!J374</f>
        <v>0</v>
      </c>
      <c r="K409" s="984">
        <f t="shared" si="24"/>
        <v>1</v>
      </c>
      <c r="L409" s="985" t="s">
        <v>4932</v>
      </c>
      <c r="M409" s="985"/>
      <c r="N409" s="1002" t="str">
        <f>NOMINA!O374</f>
        <v>Cocinero</v>
      </c>
      <c r="O409" s="985">
        <v>1.02087691000006E+18</v>
      </c>
      <c r="P409" s="999">
        <f>NOMINA!W374</f>
        <v>85.5</v>
      </c>
      <c r="Q409" s="986">
        <f>NOMINA!AG374</f>
        <v>0.85</v>
      </c>
      <c r="R409" s="986">
        <f>NOMINA!AI374</f>
        <v>65</v>
      </c>
      <c r="S409" s="986">
        <f>NOMINA!AK374</f>
        <v>0</v>
      </c>
      <c r="T409" s="986">
        <f>ROUND(NOMINA!AO374,2)</f>
        <v>0</v>
      </c>
      <c r="U409" s="986">
        <f>ROUND(NOMINA!AQ374,2)</f>
        <v>0</v>
      </c>
      <c r="V409" s="986">
        <f>ROUND(NOMINA!AR374,2)</f>
        <v>0</v>
      </c>
      <c r="W409" s="986">
        <f>ROUND(NOMINA!AS374,2)</f>
        <v>0</v>
      </c>
      <c r="X409" s="986">
        <f>ROUND(NOMINA!AW374,2)</f>
        <v>0</v>
      </c>
      <c r="Y409" s="986">
        <f>ROUND(NOMINA!AX374,2)</f>
        <v>0</v>
      </c>
      <c r="Z409" s="986">
        <f>ROUND(NOMINA!BB374,2)+ROUND(NOMINA!BF374,2)</f>
        <v>60.54</v>
      </c>
      <c r="AA409" s="986">
        <f>ROUND(NOMINA!BK374,2)</f>
        <v>0</v>
      </c>
      <c r="AB409" s="986">
        <f>ROUND(NOMINA!BG374,2)</f>
        <v>290</v>
      </c>
      <c r="AC409" s="1000">
        <f t="shared" si="25"/>
        <v>501.89</v>
      </c>
      <c r="AE409" s="634"/>
    </row>
    <row r="410" spans="1:31" s="629" customFormat="1" ht="20.100000000000001" customHeight="1" thickBot="1">
      <c r="A410" s="770" t="s">
        <v>2846</v>
      </c>
      <c r="B410" s="510">
        <f t="shared" si="23"/>
        <v>64</v>
      </c>
      <c r="C410" s="980">
        <f>NOMINA!C375</f>
        <v>15952512</v>
      </c>
      <c r="D410" s="981" t="str">
        <f>NOMINA!D375</f>
        <v>Graterol Gonzalez Maria Ysela</v>
      </c>
      <c r="E410" s="978" t="s">
        <v>4622</v>
      </c>
      <c r="F410" s="982">
        <v>32351</v>
      </c>
      <c r="G410" s="978" t="s">
        <v>4620</v>
      </c>
      <c r="H410" s="1001">
        <f>NOMINA!H375</f>
        <v>40725</v>
      </c>
      <c r="I410" s="984">
        <f>NOMINA!I375</f>
        <v>13</v>
      </c>
      <c r="J410" s="985">
        <f>NOMINA!J375</f>
        <v>0</v>
      </c>
      <c r="K410" s="984">
        <f t="shared" si="24"/>
        <v>13</v>
      </c>
      <c r="L410" s="985" t="s">
        <v>4932</v>
      </c>
      <c r="M410" s="985"/>
      <c r="N410" s="1002" t="str">
        <f>NOMINA!O375</f>
        <v>Aseadora</v>
      </c>
      <c r="O410" s="985">
        <v>1.02087691000006E+18</v>
      </c>
      <c r="P410" s="999">
        <f>NOMINA!W375</f>
        <v>65</v>
      </c>
      <c r="Q410" s="986">
        <f>NOMINA!AG375</f>
        <v>9.8800000000000008</v>
      </c>
      <c r="R410" s="986">
        <f>NOMINA!AI375</f>
        <v>65</v>
      </c>
      <c r="S410" s="986">
        <f>NOMINA!AK375</f>
        <v>0</v>
      </c>
      <c r="T410" s="986">
        <f>ROUND(NOMINA!AO375,2)</f>
        <v>0</v>
      </c>
      <c r="U410" s="986">
        <f>ROUND(NOMINA!AQ375,2)</f>
        <v>0</v>
      </c>
      <c r="V410" s="986">
        <f>ROUND(NOMINA!AR375,2)</f>
        <v>0</v>
      </c>
      <c r="W410" s="986">
        <f>ROUND(NOMINA!AS375,2)</f>
        <v>0</v>
      </c>
      <c r="X410" s="986">
        <f>ROUND(NOMINA!AW375,2)</f>
        <v>0</v>
      </c>
      <c r="Y410" s="986">
        <f>ROUND(NOMINA!AX375,2)</f>
        <v>0</v>
      </c>
      <c r="Z410" s="986">
        <f>ROUND(NOMINA!BB375,2)+ROUND(NOMINA!BF375,2)</f>
        <v>0</v>
      </c>
      <c r="AA410" s="986">
        <f>ROUND(NOMINA!BK375,2)</f>
        <v>0</v>
      </c>
      <c r="AB410" s="986">
        <f>ROUND(NOMINA!BG375,2)</f>
        <v>290</v>
      </c>
      <c r="AC410" s="1000">
        <f t="shared" si="25"/>
        <v>429.88</v>
      </c>
      <c r="AE410" s="634"/>
    </row>
    <row r="411" spans="1:31" s="629" customFormat="1" ht="20.100000000000001" customHeight="1" thickBot="1">
      <c r="A411" s="770" t="s">
        <v>2846</v>
      </c>
      <c r="B411" s="510">
        <f t="shared" si="23"/>
        <v>65</v>
      </c>
      <c r="C411" s="980">
        <f>NOMINA!C376</f>
        <v>15953703</v>
      </c>
      <c r="D411" s="981" t="str">
        <f>NOMINA!D376</f>
        <v>Briceño Salas Jose Leonardo</v>
      </c>
      <c r="E411" s="978" t="s">
        <v>4622</v>
      </c>
      <c r="F411" s="982">
        <v>32351</v>
      </c>
      <c r="G411" s="978" t="s">
        <v>4620</v>
      </c>
      <c r="H411" s="1001">
        <f>NOMINA!H376</f>
        <v>38718</v>
      </c>
      <c r="I411" s="984">
        <f>NOMINA!I376</f>
        <v>19</v>
      </c>
      <c r="J411" s="985">
        <f>NOMINA!J376</f>
        <v>0</v>
      </c>
      <c r="K411" s="984">
        <f t="shared" si="24"/>
        <v>19</v>
      </c>
      <c r="L411" s="985" t="s">
        <v>4932</v>
      </c>
      <c r="M411" s="985"/>
      <c r="N411" s="1002" t="str">
        <f>NOMINA!O376</f>
        <v>Ayudante de Servicios Generales</v>
      </c>
      <c r="O411" s="985">
        <v>1.02087691000006E+18</v>
      </c>
      <c r="P411" s="999">
        <f>NOMINA!W376</f>
        <v>76</v>
      </c>
      <c r="Q411" s="986">
        <f>NOMINA!AG376</f>
        <v>18.54</v>
      </c>
      <c r="R411" s="986">
        <f>NOMINA!AI376</f>
        <v>65</v>
      </c>
      <c r="S411" s="986">
        <f>NOMINA!AK376</f>
        <v>0</v>
      </c>
      <c r="T411" s="986">
        <f>ROUND(NOMINA!AO376,2)</f>
        <v>0</v>
      </c>
      <c r="U411" s="986">
        <f>ROUND(NOMINA!AQ376,2)</f>
        <v>0</v>
      </c>
      <c r="V411" s="986">
        <f>ROUND(NOMINA!AR376,2)</f>
        <v>0</v>
      </c>
      <c r="W411" s="986">
        <f>ROUND(NOMINA!AS376,2)</f>
        <v>0</v>
      </c>
      <c r="X411" s="986">
        <f>ROUND(NOMINA!AW376,2)</f>
        <v>0</v>
      </c>
      <c r="Y411" s="986">
        <f>ROUND(NOMINA!AX376,2)</f>
        <v>2752.72</v>
      </c>
      <c r="Z411" s="986">
        <f>ROUND(NOMINA!BB376,2)+ROUND(NOMINA!BF376,2)</f>
        <v>0</v>
      </c>
      <c r="AA411" s="986">
        <f>ROUND(NOMINA!BK376,2)</f>
        <v>0</v>
      </c>
      <c r="AB411" s="986">
        <f>ROUND(NOMINA!BG376,2)</f>
        <v>290</v>
      </c>
      <c r="AC411" s="1000">
        <f t="shared" si="25"/>
        <v>3202.2599999999998</v>
      </c>
      <c r="AE411" s="634"/>
    </row>
    <row r="412" spans="1:31" s="629" customFormat="1" ht="20.100000000000001" customHeight="1" thickBot="1">
      <c r="A412" s="770" t="s">
        <v>2846</v>
      </c>
      <c r="B412" s="510">
        <f t="shared" ref="B412:B438" si="26">+B411+1</f>
        <v>66</v>
      </c>
      <c r="C412" s="980">
        <f>NOMINA!C377</f>
        <v>16266801</v>
      </c>
      <c r="D412" s="981" t="str">
        <f>NOMINA!D377</f>
        <v>Briceño Gonzalez Mirla Carolina</v>
      </c>
      <c r="E412" s="978" t="s">
        <v>4622</v>
      </c>
      <c r="F412" s="982">
        <v>32351</v>
      </c>
      <c r="G412" s="978" t="s">
        <v>4620</v>
      </c>
      <c r="H412" s="1001">
        <f>NOMINA!H377</f>
        <v>39496</v>
      </c>
      <c r="I412" s="984">
        <f>NOMINA!I377</f>
        <v>16</v>
      </c>
      <c r="J412" s="985">
        <f>NOMINA!J377</f>
        <v>0</v>
      </c>
      <c r="K412" s="984">
        <f t="shared" ref="K412:K438" si="27">I412+J412</f>
        <v>16</v>
      </c>
      <c r="L412" s="985" t="s">
        <v>4932</v>
      </c>
      <c r="M412" s="985"/>
      <c r="N412" s="1002" t="str">
        <f>NOMINA!O377</f>
        <v>Cocinera</v>
      </c>
      <c r="O412" s="985">
        <v>1.02087691000006E+18</v>
      </c>
      <c r="P412" s="999">
        <f>NOMINA!W377</f>
        <v>85.5</v>
      </c>
      <c r="Q412" s="986">
        <f>NOMINA!AG377</f>
        <v>16.760000000000002</v>
      </c>
      <c r="R412" s="986">
        <f>NOMINA!AI377</f>
        <v>65</v>
      </c>
      <c r="S412" s="986">
        <f>NOMINA!AK377</f>
        <v>0</v>
      </c>
      <c r="T412" s="986">
        <f>ROUND(NOMINA!AO377,2)</f>
        <v>12.5</v>
      </c>
      <c r="U412" s="986">
        <f>ROUND(NOMINA!AQ377,2)</f>
        <v>0</v>
      </c>
      <c r="V412" s="986">
        <f>ROUND(NOMINA!AR377,2)</f>
        <v>0</v>
      </c>
      <c r="W412" s="986">
        <f>ROUND(NOMINA!AS377,2)</f>
        <v>0</v>
      </c>
      <c r="X412" s="986">
        <f>ROUND(NOMINA!AW377,2)</f>
        <v>0</v>
      </c>
      <c r="Y412" s="986">
        <f>ROUND(NOMINA!AX377,2)</f>
        <v>0</v>
      </c>
      <c r="Z412" s="986">
        <f>ROUND(NOMINA!BB377,2)+ROUND(NOMINA!BF377,2)</f>
        <v>0</v>
      </c>
      <c r="AA412" s="986">
        <f>ROUND(NOMINA!BK377,2)</f>
        <v>0</v>
      </c>
      <c r="AB412" s="986">
        <f>ROUND(NOMINA!BG377,2)</f>
        <v>290</v>
      </c>
      <c r="AC412" s="1000">
        <f t="shared" ref="AC412:AC438" si="28">+P412+Q412+R412+S412+T412+U412+V412+W412+X412+Y412+Z412+AB412+AA412</f>
        <v>469.76</v>
      </c>
      <c r="AE412" s="634"/>
    </row>
    <row r="413" spans="1:31" s="629" customFormat="1" ht="20.100000000000001" customHeight="1" thickBot="1">
      <c r="A413" s="770" t="s">
        <v>2846</v>
      </c>
      <c r="B413" s="510">
        <f t="shared" si="26"/>
        <v>67</v>
      </c>
      <c r="C413" s="980">
        <f>NOMINA!C378</f>
        <v>16739958</v>
      </c>
      <c r="D413" s="981" t="str">
        <f>NOMINA!D378</f>
        <v>Ramirez Ramirez Natali Gabriela</v>
      </c>
      <c r="E413" s="978" t="s">
        <v>4622</v>
      </c>
      <c r="F413" s="982">
        <v>32351</v>
      </c>
      <c r="G413" s="978" t="s">
        <v>4620</v>
      </c>
      <c r="H413" s="1001">
        <f>NOMINA!H378</f>
        <v>44866</v>
      </c>
      <c r="I413" s="984">
        <f>NOMINA!I378</f>
        <v>2</v>
      </c>
      <c r="J413" s="985">
        <f>NOMINA!J378</f>
        <v>0</v>
      </c>
      <c r="K413" s="984">
        <f t="shared" si="27"/>
        <v>2</v>
      </c>
      <c r="L413" s="985" t="s">
        <v>4932</v>
      </c>
      <c r="M413" s="985"/>
      <c r="N413" s="1002" t="str">
        <f>NOMINA!O378</f>
        <v>Ayud. Serv. De Cocina</v>
      </c>
      <c r="O413" s="985">
        <v>1.02087691000006E+18</v>
      </c>
      <c r="P413" s="999">
        <f>NOMINA!W378</f>
        <v>71</v>
      </c>
      <c r="Q413" s="986">
        <f>NOMINA!AG378</f>
        <v>1.42</v>
      </c>
      <c r="R413" s="986">
        <f>NOMINA!AI378</f>
        <v>65</v>
      </c>
      <c r="S413" s="986">
        <f>NOMINA!AK378</f>
        <v>0</v>
      </c>
      <c r="T413" s="986">
        <f>ROUND(NOMINA!AO378,2)</f>
        <v>25</v>
      </c>
      <c r="U413" s="986">
        <f>ROUND(NOMINA!AQ378,2)</f>
        <v>0</v>
      </c>
      <c r="V413" s="986">
        <f>ROUND(NOMINA!AR378,2)</f>
        <v>0</v>
      </c>
      <c r="W413" s="986">
        <f>ROUND(NOMINA!AS378,2)</f>
        <v>0</v>
      </c>
      <c r="X413" s="986">
        <f>ROUND(NOMINA!AW378,2)</f>
        <v>0</v>
      </c>
      <c r="Y413" s="986">
        <f>ROUND(NOMINA!AX378,2)</f>
        <v>0</v>
      </c>
      <c r="Z413" s="986">
        <f>ROUND(NOMINA!BB378,2)+ROUND(NOMINA!BF378,2)</f>
        <v>59.97</v>
      </c>
      <c r="AA413" s="986">
        <f>ROUND(NOMINA!BK378,2)</f>
        <v>0</v>
      </c>
      <c r="AB413" s="986">
        <f>ROUND(NOMINA!BG378,2)</f>
        <v>290</v>
      </c>
      <c r="AC413" s="1000">
        <f t="shared" si="28"/>
        <v>512.39</v>
      </c>
      <c r="AE413" s="634"/>
    </row>
    <row r="414" spans="1:31" s="629" customFormat="1" ht="20.100000000000001" customHeight="1" thickBot="1">
      <c r="A414" s="770" t="s">
        <v>2846</v>
      </c>
      <c r="B414" s="510">
        <f t="shared" si="26"/>
        <v>68</v>
      </c>
      <c r="C414" s="980">
        <f>NOMINA!C379</f>
        <v>16881526</v>
      </c>
      <c r="D414" s="981" t="str">
        <f>NOMINA!D379</f>
        <v>Montilla Mendoza Addy Coromoto</v>
      </c>
      <c r="E414" s="978" t="s">
        <v>4622</v>
      </c>
      <c r="F414" s="982">
        <v>32351</v>
      </c>
      <c r="G414" s="978" t="s">
        <v>4620</v>
      </c>
      <c r="H414" s="1001">
        <f>NOMINA!H379</f>
        <v>44470</v>
      </c>
      <c r="I414" s="984">
        <f>NOMINA!I379</f>
        <v>3</v>
      </c>
      <c r="J414" s="985">
        <f>NOMINA!J379</f>
        <v>0</v>
      </c>
      <c r="K414" s="984">
        <f t="shared" si="27"/>
        <v>3</v>
      </c>
      <c r="L414" s="985" t="s">
        <v>4932</v>
      </c>
      <c r="M414" s="985"/>
      <c r="N414" s="1002" t="str">
        <f>NOMINA!O379</f>
        <v>Aseador</v>
      </c>
      <c r="O414" s="985">
        <v>1.02087691000006E+18</v>
      </c>
      <c r="P414" s="999">
        <f>NOMINA!W379</f>
        <v>65</v>
      </c>
      <c r="Q414" s="986">
        <f>NOMINA!AG379</f>
        <v>1.95</v>
      </c>
      <c r="R414" s="986">
        <f>NOMINA!AI379</f>
        <v>65</v>
      </c>
      <c r="S414" s="986">
        <f>NOMINA!AK379</f>
        <v>0</v>
      </c>
      <c r="T414" s="986">
        <f>ROUND(NOMINA!AO379,2)</f>
        <v>12.5</v>
      </c>
      <c r="U414" s="986">
        <f>ROUND(NOMINA!AQ379,2)</f>
        <v>0</v>
      </c>
      <c r="V414" s="986">
        <f>ROUND(NOMINA!AR379,2)</f>
        <v>0</v>
      </c>
      <c r="W414" s="986">
        <f>ROUND(NOMINA!AS379,2)</f>
        <v>0</v>
      </c>
      <c r="X414" s="986">
        <f>ROUND(NOMINA!AW379,2)</f>
        <v>0</v>
      </c>
      <c r="Y414" s="986">
        <f>ROUND(NOMINA!AX379,2)</f>
        <v>0</v>
      </c>
      <c r="Z414" s="986">
        <f>ROUND(NOMINA!BB379,2)+ROUND(NOMINA!BF379,2)</f>
        <v>0</v>
      </c>
      <c r="AA414" s="986">
        <f>ROUND(NOMINA!BK379,2)</f>
        <v>0</v>
      </c>
      <c r="AB414" s="986">
        <f>ROUND(NOMINA!BG379,2)</f>
        <v>290</v>
      </c>
      <c r="AC414" s="1000">
        <f t="shared" si="28"/>
        <v>434.45</v>
      </c>
      <c r="AE414" s="634"/>
    </row>
    <row r="415" spans="1:31" s="629" customFormat="1" ht="20.100000000000001" customHeight="1" thickBot="1">
      <c r="A415" s="770" t="s">
        <v>2846</v>
      </c>
      <c r="B415" s="510">
        <f t="shared" si="26"/>
        <v>69</v>
      </c>
      <c r="C415" s="980">
        <f>NOMINA!C380</f>
        <v>17093567</v>
      </c>
      <c r="D415" s="981" t="str">
        <f>NOMINA!D380</f>
        <v>Torres Villarreal Yenny del Carmen</v>
      </c>
      <c r="E415" s="978" t="s">
        <v>4622</v>
      </c>
      <c r="F415" s="982">
        <v>32351</v>
      </c>
      <c r="G415" s="978" t="s">
        <v>4620</v>
      </c>
      <c r="H415" s="1001">
        <f>NOMINA!H380</f>
        <v>39449</v>
      </c>
      <c r="I415" s="984">
        <f>NOMINA!I380</f>
        <v>17</v>
      </c>
      <c r="J415" s="985">
        <f>NOMINA!J380</f>
        <v>0</v>
      </c>
      <c r="K415" s="984">
        <f t="shared" si="27"/>
        <v>17</v>
      </c>
      <c r="L415" s="985" t="s">
        <v>4932</v>
      </c>
      <c r="M415" s="985"/>
      <c r="N415" s="1002" t="str">
        <f>NOMINA!O380</f>
        <v>Ayudante de Servicios Generales</v>
      </c>
      <c r="O415" s="985">
        <v>1.02087691000006E+18</v>
      </c>
      <c r="P415" s="999">
        <f>NOMINA!W380</f>
        <v>76</v>
      </c>
      <c r="Q415" s="986">
        <f>NOMINA!AG380</f>
        <v>16.11</v>
      </c>
      <c r="R415" s="986">
        <f>NOMINA!AI380</f>
        <v>65</v>
      </c>
      <c r="S415" s="986">
        <f>NOMINA!AK380</f>
        <v>0</v>
      </c>
      <c r="T415" s="986">
        <f>ROUND(NOMINA!AO380,2)</f>
        <v>0</v>
      </c>
      <c r="U415" s="986">
        <f>ROUND(NOMINA!AQ380,2)</f>
        <v>0</v>
      </c>
      <c r="V415" s="986">
        <f>ROUND(NOMINA!AR380,2)</f>
        <v>0</v>
      </c>
      <c r="W415" s="986">
        <f>ROUND(NOMINA!AS380,2)</f>
        <v>0</v>
      </c>
      <c r="X415" s="986">
        <f>ROUND(NOMINA!AW380,2)</f>
        <v>0</v>
      </c>
      <c r="Y415" s="986">
        <f>ROUND(NOMINA!AX380,2)</f>
        <v>2513.7600000000002</v>
      </c>
      <c r="Z415" s="986">
        <f>ROUND(NOMINA!BB380,2)+ROUND(NOMINA!BF380,2)</f>
        <v>0</v>
      </c>
      <c r="AA415" s="986">
        <f>ROUND(NOMINA!BK380,2)</f>
        <v>0</v>
      </c>
      <c r="AB415" s="986">
        <f>ROUND(NOMINA!BG380,2)</f>
        <v>290</v>
      </c>
      <c r="AC415" s="1000">
        <f t="shared" si="28"/>
        <v>2960.8700000000003</v>
      </c>
      <c r="AE415" s="634"/>
    </row>
    <row r="416" spans="1:31" s="629" customFormat="1" ht="20.100000000000001" customHeight="1" thickBot="1">
      <c r="A416" s="770" t="s">
        <v>2846</v>
      </c>
      <c r="B416" s="510">
        <f t="shared" si="26"/>
        <v>70</v>
      </c>
      <c r="C416" s="980">
        <f>NOMINA!C381</f>
        <v>17093846</v>
      </c>
      <c r="D416" s="981" t="str">
        <f>NOMINA!D381</f>
        <v>Bastidas Rivera Junior Antonio</v>
      </c>
      <c r="E416" s="978" t="s">
        <v>4622</v>
      </c>
      <c r="F416" s="982">
        <v>32351</v>
      </c>
      <c r="G416" s="978" t="s">
        <v>4620</v>
      </c>
      <c r="H416" s="1001">
        <f>NOMINA!H381</f>
        <v>45017</v>
      </c>
      <c r="I416" s="984">
        <f>NOMINA!I381</f>
        <v>1</v>
      </c>
      <c r="J416" s="985">
        <f>NOMINA!J381</f>
        <v>0</v>
      </c>
      <c r="K416" s="984">
        <f t="shared" si="27"/>
        <v>1</v>
      </c>
      <c r="L416" s="985" t="s">
        <v>4932</v>
      </c>
      <c r="M416" s="985"/>
      <c r="N416" s="1002" t="str">
        <f>NOMINA!O381</f>
        <v>Ayudante de Servicios Generales</v>
      </c>
      <c r="O416" s="985">
        <v>1.02087691000006E+18</v>
      </c>
      <c r="P416" s="999">
        <f>NOMINA!W381</f>
        <v>76</v>
      </c>
      <c r="Q416" s="986">
        <f>NOMINA!AG381</f>
        <v>0.76</v>
      </c>
      <c r="R416" s="986">
        <f>NOMINA!AI381</f>
        <v>65</v>
      </c>
      <c r="S416" s="986">
        <f>NOMINA!AK381</f>
        <v>0</v>
      </c>
      <c r="T416" s="986">
        <f>ROUND(NOMINA!AO381,2)</f>
        <v>0</v>
      </c>
      <c r="U416" s="986">
        <f>ROUND(NOMINA!AQ381,2)</f>
        <v>0</v>
      </c>
      <c r="V416" s="986">
        <f>ROUND(NOMINA!AR381,2)</f>
        <v>0</v>
      </c>
      <c r="W416" s="986">
        <f>ROUND(NOMINA!AS381,2)</f>
        <v>0</v>
      </c>
      <c r="X416" s="986">
        <f>ROUND(NOMINA!AW381,2)</f>
        <v>0</v>
      </c>
      <c r="Y416" s="986">
        <f>ROUND(NOMINA!AX381,2)</f>
        <v>0</v>
      </c>
      <c r="Z416" s="986">
        <f>ROUND(NOMINA!BB381,2)+ROUND(NOMINA!BF381,2)</f>
        <v>0</v>
      </c>
      <c r="AA416" s="986">
        <f>ROUND(NOMINA!BK381,2)</f>
        <v>0</v>
      </c>
      <c r="AB416" s="986">
        <f>ROUND(NOMINA!BG381,2)</f>
        <v>290</v>
      </c>
      <c r="AC416" s="1000">
        <f t="shared" si="28"/>
        <v>431.76</v>
      </c>
      <c r="AE416" s="634"/>
    </row>
    <row r="417" spans="1:31" s="629" customFormat="1" ht="20.100000000000001" customHeight="1" thickBot="1">
      <c r="A417" s="770" t="s">
        <v>2846</v>
      </c>
      <c r="B417" s="510">
        <f t="shared" si="26"/>
        <v>71</v>
      </c>
      <c r="C417" s="980">
        <f>NOMINA!C382</f>
        <v>17095084</v>
      </c>
      <c r="D417" s="981" t="str">
        <f>NOMINA!D382</f>
        <v>Gonzalez Simancas Yulimar del Valle</v>
      </c>
      <c r="E417" s="978" t="s">
        <v>4622</v>
      </c>
      <c r="F417" s="982">
        <v>32351</v>
      </c>
      <c r="G417" s="978" t="s">
        <v>4620</v>
      </c>
      <c r="H417" s="1001">
        <f>NOMINA!H382</f>
        <v>44317</v>
      </c>
      <c r="I417" s="984">
        <f>NOMINA!I382</f>
        <v>3</v>
      </c>
      <c r="J417" s="985">
        <f>NOMINA!J382</f>
        <v>0</v>
      </c>
      <c r="K417" s="984">
        <f t="shared" si="27"/>
        <v>3</v>
      </c>
      <c r="L417" s="985" t="s">
        <v>4932</v>
      </c>
      <c r="M417" s="985"/>
      <c r="N417" s="1002" t="str">
        <f>NOMINA!O382</f>
        <v>Cocinera</v>
      </c>
      <c r="O417" s="985">
        <v>1.02087691000006E+18</v>
      </c>
      <c r="P417" s="999">
        <f>NOMINA!W382</f>
        <v>85.5</v>
      </c>
      <c r="Q417" s="986">
        <f>NOMINA!AG382</f>
        <v>2.56</v>
      </c>
      <c r="R417" s="986">
        <f>NOMINA!AI382</f>
        <v>65</v>
      </c>
      <c r="S417" s="986">
        <f>NOMINA!AK382</f>
        <v>0</v>
      </c>
      <c r="T417" s="986">
        <f>ROUND(NOMINA!AO382,2)</f>
        <v>0</v>
      </c>
      <c r="U417" s="986">
        <f>ROUND(NOMINA!AQ382,2)</f>
        <v>0</v>
      </c>
      <c r="V417" s="986">
        <f>ROUND(NOMINA!AR382,2)</f>
        <v>0</v>
      </c>
      <c r="W417" s="986">
        <f>ROUND(NOMINA!AS382,2)</f>
        <v>0</v>
      </c>
      <c r="X417" s="986">
        <f>ROUND(NOMINA!AW382,2)</f>
        <v>0</v>
      </c>
      <c r="Y417" s="986">
        <f>ROUND(NOMINA!AX382,2)</f>
        <v>0</v>
      </c>
      <c r="Z417" s="986">
        <f>ROUND(NOMINA!BB382,2)+ROUND(NOMINA!BF382,2)</f>
        <v>33.11</v>
      </c>
      <c r="AA417" s="986">
        <f>ROUND(NOMINA!BK382,2)</f>
        <v>0</v>
      </c>
      <c r="AB417" s="986">
        <f>ROUND(NOMINA!BG382,2)</f>
        <v>290</v>
      </c>
      <c r="AC417" s="1000">
        <f t="shared" si="28"/>
        <v>476.17</v>
      </c>
      <c r="AE417" s="634"/>
    </row>
    <row r="418" spans="1:31" s="629" customFormat="1" ht="20.100000000000001" customHeight="1" thickBot="1">
      <c r="A418" s="770" t="s">
        <v>2846</v>
      </c>
      <c r="B418" s="510">
        <f t="shared" si="26"/>
        <v>72</v>
      </c>
      <c r="C418" s="980">
        <f>NOMINA!C383</f>
        <v>17267173</v>
      </c>
      <c r="D418" s="981" t="str">
        <f>NOMINA!D383</f>
        <v>Torres Alvarez Olga Josefina</v>
      </c>
      <c r="E418" s="978" t="s">
        <v>4622</v>
      </c>
      <c r="F418" s="982">
        <v>32351</v>
      </c>
      <c r="G418" s="978" t="s">
        <v>4620</v>
      </c>
      <c r="H418" s="1001">
        <f>NOMINA!H383</f>
        <v>44317</v>
      </c>
      <c r="I418" s="984">
        <f>NOMINA!I383</f>
        <v>3</v>
      </c>
      <c r="J418" s="985">
        <f>NOMINA!J383</f>
        <v>0</v>
      </c>
      <c r="K418" s="984">
        <f t="shared" si="27"/>
        <v>3</v>
      </c>
      <c r="L418" s="985" t="s">
        <v>4932</v>
      </c>
      <c r="M418" s="985"/>
      <c r="N418" s="1002" t="str">
        <f>NOMINA!O383</f>
        <v>AYUDANTE DE ALMACEN</v>
      </c>
      <c r="O418" s="985">
        <v>1.02087691000006E+18</v>
      </c>
      <c r="P418" s="999">
        <f>NOMINA!W383</f>
        <v>85.5</v>
      </c>
      <c r="Q418" s="986">
        <f>NOMINA!AG383</f>
        <v>2.56</v>
      </c>
      <c r="R418" s="986">
        <f>NOMINA!AI383</f>
        <v>65</v>
      </c>
      <c r="S418" s="986">
        <f>NOMINA!AK383</f>
        <v>0</v>
      </c>
      <c r="T418" s="986">
        <f>ROUND(NOMINA!AO383,2)</f>
        <v>0</v>
      </c>
      <c r="U418" s="986">
        <f>ROUND(NOMINA!AQ383,2)</f>
        <v>0</v>
      </c>
      <c r="V418" s="986">
        <f>ROUND(NOMINA!AR383,2)</f>
        <v>0</v>
      </c>
      <c r="W418" s="986">
        <f>ROUND(NOMINA!AS383,2)</f>
        <v>0</v>
      </c>
      <c r="X418" s="986">
        <f>ROUND(NOMINA!AW383,2)</f>
        <v>0</v>
      </c>
      <c r="Y418" s="986">
        <f>ROUND(NOMINA!AX383,2)</f>
        <v>0</v>
      </c>
      <c r="Z418" s="986">
        <f>ROUND(NOMINA!BB383,2)+ROUND(NOMINA!BF383,2)</f>
        <v>0</v>
      </c>
      <c r="AA418" s="986">
        <f>ROUND(NOMINA!BK383,2)</f>
        <v>0</v>
      </c>
      <c r="AB418" s="986">
        <f>ROUND(NOMINA!BG383,2)</f>
        <v>290</v>
      </c>
      <c r="AC418" s="1000">
        <f t="shared" si="28"/>
        <v>443.06</v>
      </c>
      <c r="AE418" s="634"/>
    </row>
    <row r="419" spans="1:31" s="629" customFormat="1" ht="20.100000000000001" customHeight="1" thickBot="1">
      <c r="A419" s="770" t="s">
        <v>2846</v>
      </c>
      <c r="B419" s="510">
        <f t="shared" si="26"/>
        <v>73</v>
      </c>
      <c r="C419" s="980">
        <f>NOMINA!C384</f>
        <v>17267546</v>
      </c>
      <c r="D419" s="981" t="str">
        <f>NOMINA!D384</f>
        <v>Bastidas Rivera Franklin Enrique</v>
      </c>
      <c r="E419" s="978" t="s">
        <v>4622</v>
      </c>
      <c r="F419" s="982">
        <v>32351</v>
      </c>
      <c r="G419" s="978" t="s">
        <v>4620</v>
      </c>
      <c r="H419" s="1001">
        <f>NOMINA!H384</f>
        <v>39197</v>
      </c>
      <c r="I419" s="984">
        <f>NOMINA!I384</f>
        <v>17</v>
      </c>
      <c r="J419" s="985">
        <f>NOMINA!J384</f>
        <v>0</v>
      </c>
      <c r="K419" s="984">
        <f t="shared" si="27"/>
        <v>17</v>
      </c>
      <c r="L419" s="985" t="s">
        <v>4932</v>
      </c>
      <c r="M419" s="985"/>
      <c r="N419" s="1002" t="str">
        <f>NOMINA!O384</f>
        <v>Ayudante de Servicios Generales</v>
      </c>
      <c r="O419" s="985">
        <v>1.02087691000006E+18</v>
      </c>
      <c r="P419" s="999">
        <f>NOMINA!W384</f>
        <v>76</v>
      </c>
      <c r="Q419" s="986">
        <f>NOMINA!AG384</f>
        <v>16.11</v>
      </c>
      <c r="R419" s="986">
        <f>NOMINA!AI384</f>
        <v>65</v>
      </c>
      <c r="S419" s="986">
        <f>NOMINA!AK384</f>
        <v>0</v>
      </c>
      <c r="T419" s="986">
        <f>ROUND(NOMINA!AO384,2)</f>
        <v>12.5</v>
      </c>
      <c r="U419" s="986">
        <f>ROUND(NOMINA!AQ384,2)</f>
        <v>0</v>
      </c>
      <c r="V419" s="986">
        <f>ROUND(NOMINA!AR384,2)</f>
        <v>0</v>
      </c>
      <c r="W419" s="986">
        <f>ROUND(NOMINA!AS384,2)</f>
        <v>0</v>
      </c>
      <c r="X419" s="986">
        <f>ROUND(NOMINA!AW384,2)</f>
        <v>0</v>
      </c>
      <c r="Y419" s="986">
        <f>ROUND(NOMINA!AX384,2)</f>
        <v>0</v>
      </c>
      <c r="Z419" s="986">
        <f>ROUND(NOMINA!BB384,2)+ROUND(NOMINA!BF384,2)</f>
        <v>0</v>
      </c>
      <c r="AA419" s="986">
        <f>ROUND(NOMINA!BK384,2)</f>
        <v>0</v>
      </c>
      <c r="AB419" s="986">
        <f>ROUND(NOMINA!BG384,2)</f>
        <v>290</v>
      </c>
      <c r="AC419" s="1000">
        <f t="shared" si="28"/>
        <v>459.61</v>
      </c>
      <c r="AE419" s="634"/>
    </row>
    <row r="420" spans="1:31" s="629" customFormat="1" ht="20.100000000000001" customHeight="1" thickBot="1">
      <c r="A420" s="770" t="s">
        <v>2846</v>
      </c>
      <c r="B420" s="510">
        <f t="shared" si="26"/>
        <v>74</v>
      </c>
      <c r="C420" s="980">
        <f>NOMINA!C385</f>
        <v>18096032</v>
      </c>
      <c r="D420" s="981" t="str">
        <f>NOMINA!D385</f>
        <v>Graterol Graterol Isidro Antonio</v>
      </c>
      <c r="E420" s="978" t="s">
        <v>4622</v>
      </c>
      <c r="F420" s="982">
        <v>32351</v>
      </c>
      <c r="G420" s="978" t="s">
        <v>4620</v>
      </c>
      <c r="H420" s="1001">
        <f>NOMINA!H385</f>
        <v>45566</v>
      </c>
      <c r="I420" s="984">
        <f>NOMINA!I385</f>
        <v>0</v>
      </c>
      <c r="J420" s="985">
        <f>NOMINA!J385</f>
        <v>16</v>
      </c>
      <c r="K420" s="984">
        <f t="shared" si="27"/>
        <v>16</v>
      </c>
      <c r="L420" s="985" t="s">
        <v>4932</v>
      </c>
      <c r="M420" s="985"/>
      <c r="N420" s="1002" t="str">
        <f>NOMINA!O385</f>
        <v>Chofer</v>
      </c>
      <c r="O420" s="985">
        <v>1.02087691000006E+18</v>
      </c>
      <c r="P420" s="999">
        <f>NOMINA!W385</f>
        <v>80.5</v>
      </c>
      <c r="Q420" s="986">
        <f>NOMINA!AG385</f>
        <v>15.78</v>
      </c>
      <c r="R420" s="986">
        <f>NOMINA!AI385</f>
        <v>65</v>
      </c>
      <c r="S420" s="986">
        <f>NOMINA!AK385</f>
        <v>0</v>
      </c>
      <c r="T420" s="986">
        <f>ROUND(NOMINA!AO385,2)</f>
        <v>0</v>
      </c>
      <c r="U420" s="986">
        <f>ROUND(NOMINA!AQ385,2)</f>
        <v>0</v>
      </c>
      <c r="V420" s="986">
        <f>ROUND(NOMINA!AR385,2)</f>
        <v>0</v>
      </c>
      <c r="W420" s="986">
        <f>ROUND(NOMINA!AS385,2)</f>
        <v>0</v>
      </c>
      <c r="X420" s="986">
        <f>ROUND(NOMINA!AW385,2)</f>
        <v>104.27</v>
      </c>
      <c r="Y420" s="986">
        <f>ROUND(NOMINA!AX385,2)</f>
        <v>0</v>
      </c>
      <c r="Z420" s="986">
        <f>ROUND(NOMINA!BB385,2)+ROUND(NOMINA!BF385,2)</f>
        <v>45.18</v>
      </c>
      <c r="AA420" s="986">
        <f>ROUND(NOMINA!BK385,2)</f>
        <v>0</v>
      </c>
      <c r="AB420" s="986">
        <f>ROUND(NOMINA!BG385,2)</f>
        <v>290</v>
      </c>
      <c r="AC420" s="1000">
        <f t="shared" si="28"/>
        <v>600.73</v>
      </c>
      <c r="AE420" s="634"/>
    </row>
    <row r="421" spans="1:31" s="629" customFormat="1" ht="20.100000000000001" customHeight="1" thickBot="1">
      <c r="A421" s="770" t="s">
        <v>2846</v>
      </c>
      <c r="B421" s="510">
        <f t="shared" si="26"/>
        <v>75</v>
      </c>
      <c r="C421" s="980">
        <f>NOMINA!C386</f>
        <v>18096338</v>
      </c>
      <c r="D421" s="981" t="str">
        <f>NOMINA!D386</f>
        <v>Ramirez Manzanilla Jose Jesus</v>
      </c>
      <c r="E421" s="978" t="s">
        <v>4622</v>
      </c>
      <c r="F421" s="982">
        <v>32351</v>
      </c>
      <c r="G421" s="978" t="s">
        <v>4620</v>
      </c>
      <c r="H421" s="1001">
        <f>NOMINA!H386</f>
        <v>39463</v>
      </c>
      <c r="I421" s="984">
        <f>NOMINA!I386</f>
        <v>17</v>
      </c>
      <c r="J421" s="985">
        <f>NOMINA!J386</f>
        <v>3</v>
      </c>
      <c r="K421" s="984">
        <f t="shared" si="27"/>
        <v>20</v>
      </c>
      <c r="L421" s="985" t="s">
        <v>4932</v>
      </c>
      <c r="M421" s="985"/>
      <c r="N421" s="1002" t="str">
        <f>NOMINA!O386</f>
        <v>Cocinero</v>
      </c>
      <c r="O421" s="985">
        <v>1.02087691000006E+18</v>
      </c>
      <c r="P421" s="999">
        <f>NOMINA!W386</f>
        <v>85.5</v>
      </c>
      <c r="Q421" s="986">
        <f>NOMINA!AG386</f>
        <v>22.23</v>
      </c>
      <c r="R421" s="986">
        <f>NOMINA!AI386</f>
        <v>65</v>
      </c>
      <c r="S421" s="986">
        <f>NOMINA!AK386</f>
        <v>0</v>
      </c>
      <c r="T421" s="986">
        <f>ROUND(NOMINA!AO386,2)</f>
        <v>0</v>
      </c>
      <c r="U421" s="986">
        <f>ROUND(NOMINA!AQ386,2)</f>
        <v>0</v>
      </c>
      <c r="V421" s="986">
        <f>ROUND(NOMINA!AR386,2)</f>
        <v>0</v>
      </c>
      <c r="W421" s="986">
        <f>ROUND(NOMINA!AS386,2)</f>
        <v>0</v>
      </c>
      <c r="X421" s="986">
        <f>ROUND(NOMINA!AW386,2)</f>
        <v>0</v>
      </c>
      <c r="Y421" s="986">
        <f>ROUND(NOMINA!AX386,2)</f>
        <v>2863.68</v>
      </c>
      <c r="Z421" s="986">
        <f>ROUND(NOMINA!BB386,2)+ROUND(NOMINA!BF386,2)</f>
        <v>0</v>
      </c>
      <c r="AA421" s="986">
        <f>ROUND(NOMINA!BK386,2)</f>
        <v>0</v>
      </c>
      <c r="AB421" s="986">
        <f>ROUND(NOMINA!BG386,2)</f>
        <v>290</v>
      </c>
      <c r="AC421" s="1000">
        <f t="shared" si="28"/>
        <v>3326.41</v>
      </c>
      <c r="AE421" s="634"/>
    </row>
    <row r="422" spans="1:31" s="629" customFormat="1" ht="20.100000000000001" customHeight="1" thickBot="1">
      <c r="A422" s="770" t="s">
        <v>2846</v>
      </c>
      <c r="B422" s="510">
        <f t="shared" si="26"/>
        <v>76</v>
      </c>
      <c r="C422" s="980">
        <f>NOMINA!C387</f>
        <v>18350780</v>
      </c>
      <c r="D422" s="981" t="str">
        <f>NOMINA!D387</f>
        <v>Frias Aldana Giovanny Jacinto</v>
      </c>
      <c r="E422" s="978" t="s">
        <v>4622</v>
      </c>
      <c r="F422" s="982">
        <v>32351</v>
      </c>
      <c r="G422" s="978" t="s">
        <v>4620</v>
      </c>
      <c r="H422" s="1001">
        <f>NOMINA!H387</f>
        <v>43116</v>
      </c>
      <c r="I422" s="984">
        <f>NOMINA!I387</f>
        <v>7</v>
      </c>
      <c r="J422" s="985">
        <f>NOMINA!J387</f>
        <v>0</v>
      </c>
      <c r="K422" s="984">
        <f t="shared" si="27"/>
        <v>7</v>
      </c>
      <c r="L422" s="985" t="s">
        <v>4932</v>
      </c>
      <c r="M422" s="985"/>
      <c r="N422" s="1002" t="str">
        <f>NOMINA!O387</f>
        <v>Vigilante</v>
      </c>
      <c r="O422" s="985">
        <v>1.02087691000006E+18</v>
      </c>
      <c r="P422" s="999">
        <f>NOMINA!W387</f>
        <v>85.5</v>
      </c>
      <c r="Q422" s="986">
        <f>NOMINA!AG387</f>
        <v>6.32</v>
      </c>
      <c r="R422" s="986">
        <f>NOMINA!AI387</f>
        <v>65</v>
      </c>
      <c r="S422" s="986">
        <f>NOMINA!AK387</f>
        <v>0</v>
      </c>
      <c r="T422" s="986">
        <f>ROUND(NOMINA!AO387,2)</f>
        <v>0</v>
      </c>
      <c r="U422" s="986">
        <f>ROUND(NOMINA!AQ387,2)</f>
        <v>0</v>
      </c>
      <c r="V422" s="986">
        <f>ROUND(NOMINA!AR387,2)</f>
        <v>0</v>
      </c>
      <c r="W422" s="986">
        <f>ROUND(NOMINA!AS387,2)</f>
        <v>0</v>
      </c>
      <c r="X422" s="986">
        <f>ROUND(NOMINA!AW387,2)</f>
        <v>97.85</v>
      </c>
      <c r="Y422" s="986">
        <f>ROUND(NOMINA!AX387,2)</f>
        <v>3392</v>
      </c>
      <c r="Z422" s="986">
        <f>ROUND(NOMINA!BB387,2)+ROUND(NOMINA!BF387,2)</f>
        <v>0</v>
      </c>
      <c r="AA422" s="986">
        <f>ROUND(NOMINA!BK387,2)</f>
        <v>0</v>
      </c>
      <c r="AB422" s="986">
        <f>ROUND(NOMINA!BG387,2)</f>
        <v>290</v>
      </c>
      <c r="AC422" s="1000">
        <f t="shared" si="28"/>
        <v>3936.67</v>
      </c>
      <c r="AE422" s="634"/>
    </row>
    <row r="423" spans="1:31" s="629" customFormat="1" ht="20.100000000000001" customHeight="1" thickBot="1">
      <c r="A423" s="770" t="s">
        <v>2846</v>
      </c>
      <c r="B423" s="510">
        <f t="shared" si="26"/>
        <v>77</v>
      </c>
      <c r="C423" s="980">
        <f>NOMINA!C388</f>
        <v>18456167</v>
      </c>
      <c r="D423" s="981" t="str">
        <f>NOMINA!D388</f>
        <v>Olmos Linares Luis Alberto</v>
      </c>
      <c r="E423" s="978" t="s">
        <v>4622</v>
      </c>
      <c r="F423" s="982">
        <v>32351</v>
      </c>
      <c r="G423" s="978" t="s">
        <v>4620</v>
      </c>
      <c r="H423" s="1001">
        <f>NOMINA!H388</f>
        <v>44516</v>
      </c>
      <c r="I423" s="984">
        <f>NOMINA!I388</f>
        <v>3</v>
      </c>
      <c r="J423" s="985">
        <f>NOMINA!J388</f>
        <v>0</v>
      </c>
      <c r="K423" s="984">
        <f t="shared" si="27"/>
        <v>3</v>
      </c>
      <c r="L423" s="985" t="s">
        <v>4932</v>
      </c>
      <c r="M423" s="985"/>
      <c r="N423" s="1002" t="str">
        <f>NOMINA!O388</f>
        <v>Cocinero</v>
      </c>
      <c r="O423" s="985">
        <v>1.02087691000006E+18</v>
      </c>
      <c r="P423" s="999">
        <f>NOMINA!W388</f>
        <v>85.5</v>
      </c>
      <c r="Q423" s="986">
        <f>NOMINA!AG388</f>
        <v>2.56</v>
      </c>
      <c r="R423" s="986">
        <f>NOMINA!AI388</f>
        <v>65</v>
      </c>
      <c r="S423" s="986">
        <f>NOMINA!AK388</f>
        <v>0</v>
      </c>
      <c r="T423" s="986">
        <f>ROUND(NOMINA!AO388,2)</f>
        <v>25</v>
      </c>
      <c r="U423" s="986">
        <f>ROUND(NOMINA!AQ388,2)</f>
        <v>0</v>
      </c>
      <c r="V423" s="986">
        <f>ROUND(NOMINA!AR388,2)</f>
        <v>0</v>
      </c>
      <c r="W423" s="986">
        <f>ROUND(NOMINA!AS388,2)</f>
        <v>0</v>
      </c>
      <c r="X423" s="986">
        <f>ROUND(NOMINA!AW388,2)</f>
        <v>0</v>
      </c>
      <c r="Y423" s="986">
        <f>ROUND(NOMINA!AX388,2)</f>
        <v>0</v>
      </c>
      <c r="Z423" s="986">
        <f>ROUND(NOMINA!BB388,2)+ROUND(NOMINA!BF388,2)</f>
        <v>16.559999999999999</v>
      </c>
      <c r="AA423" s="986">
        <f>ROUND(NOMINA!BK388,2)</f>
        <v>0</v>
      </c>
      <c r="AB423" s="986">
        <f>ROUND(NOMINA!BG388,2)</f>
        <v>290</v>
      </c>
      <c r="AC423" s="1000">
        <f t="shared" si="28"/>
        <v>484.62</v>
      </c>
      <c r="AE423" s="634"/>
    </row>
    <row r="424" spans="1:31" s="629" customFormat="1" ht="20.100000000000001" customHeight="1" thickBot="1">
      <c r="A424" s="770" t="s">
        <v>2846</v>
      </c>
      <c r="B424" s="510">
        <f t="shared" si="26"/>
        <v>78</v>
      </c>
      <c r="C424" s="980">
        <f>NOMINA!C389</f>
        <v>18456576</v>
      </c>
      <c r="D424" s="981" t="str">
        <f>NOMINA!D389</f>
        <v>Quintero Duran Emilio Alfonso</v>
      </c>
      <c r="E424" s="978" t="s">
        <v>4622</v>
      </c>
      <c r="F424" s="982">
        <v>32351</v>
      </c>
      <c r="G424" s="978" t="s">
        <v>4620</v>
      </c>
      <c r="H424" s="1001">
        <f>NOMINA!H389</f>
        <v>44743</v>
      </c>
      <c r="I424" s="984">
        <f>NOMINA!I389</f>
        <v>2</v>
      </c>
      <c r="J424" s="985">
        <f>NOMINA!J389</f>
        <v>0</v>
      </c>
      <c r="K424" s="984">
        <f t="shared" si="27"/>
        <v>2</v>
      </c>
      <c r="L424" s="985" t="s">
        <v>4932</v>
      </c>
      <c r="M424" s="985"/>
      <c r="N424" s="1002" t="str">
        <f>NOMINA!O389</f>
        <v>Chofer</v>
      </c>
      <c r="O424" s="985">
        <v>1.02087691000006E+18</v>
      </c>
      <c r="P424" s="999">
        <f>NOMINA!W389</f>
        <v>80.5</v>
      </c>
      <c r="Q424" s="986">
        <f>NOMINA!AG389</f>
        <v>1.61</v>
      </c>
      <c r="R424" s="986">
        <f>NOMINA!AI389</f>
        <v>65</v>
      </c>
      <c r="S424" s="986">
        <f>NOMINA!AK389</f>
        <v>0</v>
      </c>
      <c r="T424" s="986">
        <f>ROUND(NOMINA!AO389,2)</f>
        <v>0</v>
      </c>
      <c r="U424" s="986">
        <f>ROUND(NOMINA!AQ389,2)</f>
        <v>0</v>
      </c>
      <c r="V424" s="986">
        <f>ROUND(NOMINA!AR389,2)</f>
        <v>0</v>
      </c>
      <c r="W424" s="986">
        <f>ROUND(NOMINA!AS389,2)</f>
        <v>0</v>
      </c>
      <c r="X424" s="986">
        <f>ROUND(NOMINA!AW389,2)</f>
        <v>95.77</v>
      </c>
      <c r="Y424" s="986">
        <f>ROUND(NOMINA!AX389,2)</f>
        <v>0</v>
      </c>
      <c r="Z424" s="986">
        <f>ROUND(NOMINA!BB389,2)+ROUND(NOMINA!BF389,2)</f>
        <v>41.5</v>
      </c>
      <c r="AA424" s="986">
        <f>ROUND(NOMINA!BK389,2)</f>
        <v>0</v>
      </c>
      <c r="AB424" s="986">
        <f>ROUND(NOMINA!BG389,2)</f>
        <v>290</v>
      </c>
      <c r="AC424" s="1000">
        <f t="shared" si="28"/>
        <v>574.38</v>
      </c>
      <c r="AE424" s="634"/>
    </row>
    <row r="425" spans="1:31" s="629" customFormat="1" ht="20.100000000000001" customHeight="1" thickBot="1">
      <c r="A425" s="770" t="s">
        <v>2846</v>
      </c>
      <c r="B425" s="510">
        <f t="shared" si="26"/>
        <v>79</v>
      </c>
      <c r="C425" s="980">
        <f>NOMINA!C390</f>
        <v>20039961</v>
      </c>
      <c r="D425" s="981" t="str">
        <f>NOMINA!D390</f>
        <v>Torres Villarreal Lisbeth Carolina</v>
      </c>
      <c r="E425" s="978" t="s">
        <v>4622</v>
      </c>
      <c r="F425" s="982">
        <v>32351</v>
      </c>
      <c r="G425" s="978" t="s">
        <v>4620</v>
      </c>
      <c r="H425" s="1001">
        <f>NOMINA!H390</f>
        <v>38412</v>
      </c>
      <c r="I425" s="984">
        <f>NOMINA!I390</f>
        <v>19</v>
      </c>
      <c r="J425" s="985">
        <f>NOMINA!J390</f>
        <v>0</v>
      </c>
      <c r="K425" s="984">
        <f t="shared" si="27"/>
        <v>19</v>
      </c>
      <c r="L425" s="985" t="s">
        <v>4932</v>
      </c>
      <c r="M425" s="985"/>
      <c r="N425" s="1002" t="str">
        <f>NOMINA!O390</f>
        <v>Aseadora</v>
      </c>
      <c r="O425" s="985">
        <v>1.02087691000006E+18</v>
      </c>
      <c r="P425" s="999">
        <f>NOMINA!W390</f>
        <v>65</v>
      </c>
      <c r="Q425" s="986">
        <f>NOMINA!AG390</f>
        <v>15.86</v>
      </c>
      <c r="R425" s="986">
        <f>NOMINA!AI390</f>
        <v>65</v>
      </c>
      <c r="S425" s="986">
        <f>NOMINA!AK390</f>
        <v>0</v>
      </c>
      <c r="T425" s="986">
        <f>ROUND(NOMINA!AO390,2)</f>
        <v>0</v>
      </c>
      <c r="U425" s="986">
        <f>ROUND(NOMINA!AQ390,2)</f>
        <v>0</v>
      </c>
      <c r="V425" s="986">
        <f>ROUND(NOMINA!AR390,2)</f>
        <v>0</v>
      </c>
      <c r="W425" s="986">
        <f>ROUND(NOMINA!AS390,2)</f>
        <v>0</v>
      </c>
      <c r="X425" s="986">
        <f>ROUND(NOMINA!AW390,2)</f>
        <v>0</v>
      </c>
      <c r="Y425" s="986">
        <f>ROUND(NOMINA!AX390,2)</f>
        <v>0</v>
      </c>
      <c r="Z425" s="986">
        <f>ROUND(NOMINA!BB390,2)+ROUND(NOMINA!BF390,2)</f>
        <v>0</v>
      </c>
      <c r="AA425" s="986">
        <f>ROUND(NOMINA!BK390,2)</f>
        <v>0</v>
      </c>
      <c r="AB425" s="986">
        <f>ROUND(NOMINA!BG390,2)</f>
        <v>290</v>
      </c>
      <c r="AC425" s="1000">
        <f t="shared" si="28"/>
        <v>435.86</v>
      </c>
      <c r="AE425" s="634"/>
    </row>
    <row r="426" spans="1:31" s="629" customFormat="1" ht="20.100000000000001" customHeight="1" thickBot="1">
      <c r="A426" s="770" t="s">
        <v>2846</v>
      </c>
      <c r="B426" s="510">
        <f t="shared" si="26"/>
        <v>80</v>
      </c>
      <c r="C426" s="980">
        <f>NOMINA!C391</f>
        <v>20040649</v>
      </c>
      <c r="D426" s="981" t="str">
        <f>NOMINA!D391</f>
        <v>Isarra Materan Jose de La Paz</v>
      </c>
      <c r="E426" s="978" t="s">
        <v>4622</v>
      </c>
      <c r="F426" s="982">
        <v>32351</v>
      </c>
      <c r="G426" s="978" t="s">
        <v>4620</v>
      </c>
      <c r="H426" s="1001">
        <f>NOMINA!H391</f>
        <v>44743</v>
      </c>
      <c r="I426" s="984">
        <f>NOMINA!I391</f>
        <v>2</v>
      </c>
      <c r="J426" s="985">
        <f>NOMINA!J391</f>
        <v>0</v>
      </c>
      <c r="K426" s="984">
        <f t="shared" si="27"/>
        <v>2</v>
      </c>
      <c r="L426" s="985" t="s">
        <v>4932</v>
      </c>
      <c r="M426" s="985"/>
      <c r="N426" s="1002" t="str">
        <f>NOMINA!O391</f>
        <v>Chofer</v>
      </c>
      <c r="O426" s="985">
        <v>1.02087691000006E+18</v>
      </c>
      <c r="P426" s="999">
        <f>NOMINA!W391</f>
        <v>80.5</v>
      </c>
      <c r="Q426" s="986">
        <f>NOMINA!AG391</f>
        <v>1.61</v>
      </c>
      <c r="R426" s="986">
        <f>NOMINA!AI391</f>
        <v>65</v>
      </c>
      <c r="S426" s="986">
        <f>NOMINA!AK391</f>
        <v>0</v>
      </c>
      <c r="T426" s="986">
        <f>ROUND(NOMINA!AO391,2)</f>
        <v>0</v>
      </c>
      <c r="U426" s="986">
        <f>ROUND(NOMINA!AQ391,2)</f>
        <v>0</v>
      </c>
      <c r="V426" s="986">
        <f>ROUND(NOMINA!AR391,2)</f>
        <v>0</v>
      </c>
      <c r="W426" s="986">
        <f>ROUND(NOMINA!AS391,2)</f>
        <v>0</v>
      </c>
      <c r="X426" s="986">
        <f>ROUND(NOMINA!AW391,2)</f>
        <v>95.77</v>
      </c>
      <c r="Y426" s="986">
        <f>ROUND(NOMINA!AX391,2)</f>
        <v>0</v>
      </c>
      <c r="Z426" s="986">
        <f>ROUND(NOMINA!BB391,2)+ROUND(NOMINA!BF391,2)</f>
        <v>41.5</v>
      </c>
      <c r="AA426" s="986">
        <f>ROUND(NOMINA!BK391,2)</f>
        <v>0</v>
      </c>
      <c r="AB426" s="986">
        <f>ROUND(NOMINA!BG391,2)</f>
        <v>290</v>
      </c>
      <c r="AC426" s="1000">
        <f t="shared" si="28"/>
        <v>574.38</v>
      </c>
      <c r="AE426" s="634"/>
    </row>
    <row r="427" spans="1:31" s="629" customFormat="1" ht="20.100000000000001" customHeight="1" thickBot="1">
      <c r="A427" s="770" t="s">
        <v>2846</v>
      </c>
      <c r="B427" s="510">
        <f t="shared" si="26"/>
        <v>81</v>
      </c>
      <c r="C427" s="980">
        <f>NOMINA!C392</f>
        <v>21366579</v>
      </c>
      <c r="D427" s="981" t="str">
        <f>NOMINA!D392</f>
        <v>Azuaje Espinoza Erick Enrique</v>
      </c>
      <c r="E427" s="978" t="s">
        <v>4622</v>
      </c>
      <c r="F427" s="982">
        <v>32351</v>
      </c>
      <c r="G427" s="978" t="s">
        <v>4620</v>
      </c>
      <c r="H427" s="1001">
        <f>NOMINA!H392</f>
        <v>44774</v>
      </c>
      <c r="I427" s="984">
        <f>NOMINA!I392</f>
        <v>2</v>
      </c>
      <c r="J427" s="985">
        <f>NOMINA!J392</f>
        <v>0</v>
      </c>
      <c r="K427" s="984">
        <f t="shared" si="27"/>
        <v>2</v>
      </c>
      <c r="L427" s="985" t="s">
        <v>4932</v>
      </c>
      <c r="M427" s="985"/>
      <c r="N427" s="1002" t="str">
        <f>NOMINA!O392</f>
        <v>Mensajero</v>
      </c>
      <c r="O427" s="985">
        <v>1.02087691000006E+18</v>
      </c>
      <c r="P427" s="999">
        <f>NOMINA!W392</f>
        <v>71</v>
      </c>
      <c r="Q427" s="986">
        <f>NOMINA!AG392</f>
        <v>1.42</v>
      </c>
      <c r="R427" s="986">
        <f>NOMINA!AI392</f>
        <v>65</v>
      </c>
      <c r="S427" s="986">
        <f>NOMINA!AK392</f>
        <v>0</v>
      </c>
      <c r="T427" s="986">
        <f>ROUND(NOMINA!AO392,2)</f>
        <v>12.5</v>
      </c>
      <c r="U427" s="986">
        <f>ROUND(NOMINA!AQ392,2)</f>
        <v>0</v>
      </c>
      <c r="V427" s="986">
        <f>ROUND(NOMINA!AR392,2)</f>
        <v>0</v>
      </c>
      <c r="W427" s="986">
        <f>ROUND(NOMINA!AS392,2)</f>
        <v>0</v>
      </c>
      <c r="X427" s="986">
        <f>ROUND(NOMINA!AW392,2)</f>
        <v>0</v>
      </c>
      <c r="Y427" s="986">
        <f>ROUND(NOMINA!AX392,2)</f>
        <v>0</v>
      </c>
      <c r="Z427" s="986">
        <f>ROUND(NOMINA!BB392,2)+ROUND(NOMINA!BF392,2)</f>
        <v>0</v>
      </c>
      <c r="AA427" s="986">
        <f>ROUND(NOMINA!BK392,2)</f>
        <v>0</v>
      </c>
      <c r="AB427" s="986">
        <f>ROUND(NOMINA!BG392,2)</f>
        <v>290</v>
      </c>
      <c r="AC427" s="1000">
        <f t="shared" si="28"/>
        <v>439.92</v>
      </c>
      <c r="AE427" s="634"/>
    </row>
    <row r="428" spans="1:31" s="629" customFormat="1" ht="20.100000000000001" customHeight="1" thickBot="1">
      <c r="A428" s="770" t="s">
        <v>2846</v>
      </c>
      <c r="B428" s="510">
        <f t="shared" si="26"/>
        <v>82</v>
      </c>
      <c r="C428" s="980">
        <f>NOMINA!C393</f>
        <v>23594381</v>
      </c>
      <c r="D428" s="981" t="str">
        <f>NOMINA!D393</f>
        <v>Albornoz Montilla Daniel Enrique</v>
      </c>
      <c r="E428" s="978" t="s">
        <v>4622</v>
      </c>
      <c r="F428" s="982">
        <v>32351</v>
      </c>
      <c r="G428" s="978" t="s">
        <v>4620</v>
      </c>
      <c r="H428" s="1001">
        <f>NOMINA!H393</f>
        <v>45597</v>
      </c>
      <c r="I428" s="984">
        <f>NOMINA!I393</f>
        <v>0</v>
      </c>
      <c r="J428" s="985">
        <f>NOMINA!J393</f>
        <v>0</v>
      </c>
      <c r="K428" s="984">
        <f t="shared" si="27"/>
        <v>0</v>
      </c>
      <c r="L428" s="985" t="s">
        <v>4932</v>
      </c>
      <c r="M428" s="985"/>
      <c r="N428" s="1002" t="str">
        <f>NOMINA!O393</f>
        <v>Ayudante de Servicios Generales</v>
      </c>
      <c r="O428" s="985">
        <v>1.02087691000006E+18</v>
      </c>
      <c r="P428" s="999">
        <f>NOMINA!W393</f>
        <v>71</v>
      </c>
      <c r="Q428" s="986">
        <f>NOMINA!AG393</f>
        <v>0</v>
      </c>
      <c r="R428" s="986">
        <f>NOMINA!AI393</f>
        <v>65</v>
      </c>
      <c r="S428" s="986">
        <f>NOMINA!AK393</f>
        <v>0</v>
      </c>
      <c r="T428" s="986">
        <f>ROUND(NOMINA!AO393,2)</f>
        <v>0</v>
      </c>
      <c r="U428" s="986">
        <f>ROUND(NOMINA!AQ393,2)</f>
        <v>0</v>
      </c>
      <c r="V428" s="986">
        <f>ROUND(NOMINA!AR393,2)</f>
        <v>0</v>
      </c>
      <c r="W428" s="986">
        <f>ROUND(NOMINA!AS393,2)</f>
        <v>0</v>
      </c>
      <c r="X428" s="986">
        <f>ROUND(NOMINA!AW393,2)</f>
        <v>0</v>
      </c>
      <c r="Y428" s="986">
        <f>ROUND(NOMINA!AX393,2)</f>
        <v>0</v>
      </c>
      <c r="Z428" s="986">
        <f>ROUND(NOMINA!BB393,2)+ROUND(NOMINA!BF393,2)</f>
        <v>14.23</v>
      </c>
      <c r="AA428" s="986">
        <f>ROUND(NOMINA!BK393,2)</f>
        <v>0</v>
      </c>
      <c r="AB428" s="986">
        <f>ROUND(NOMINA!BG393,2)</f>
        <v>290</v>
      </c>
      <c r="AC428" s="1000">
        <f t="shared" si="28"/>
        <v>440.23</v>
      </c>
      <c r="AE428" s="634"/>
    </row>
    <row r="429" spans="1:31" s="629" customFormat="1" ht="20.100000000000001" customHeight="1" thickBot="1">
      <c r="A429" s="770" t="s">
        <v>2846</v>
      </c>
      <c r="B429" s="510">
        <f t="shared" si="26"/>
        <v>83</v>
      </c>
      <c r="C429" s="980">
        <f>NOMINA!C394</f>
        <v>25173228</v>
      </c>
      <c r="D429" s="981" t="str">
        <f>NOMINA!D394</f>
        <v>Davila Sanchez Eduar Alexander</v>
      </c>
      <c r="E429" s="978" t="s">
        <v>4622</v>
      </c>
      <c r="F429" s="982">
        <v>32351</v>
      </c>
      <c r="G429" s="978" t="s">
        <v>4620</v>
      </c>
      <c r="H429" s="1001">
        <f>NOMINA!H394</f>
        <v>44531</v>
      </c>
      <c r="I429" s="984">
        <f>NOMINA!I394</f>
        <v>3</v>
      </c>
      <c r="J429" s="985">
        <f>NOMINA!J394</f>
        <v>0</v>
      </c>
      <c r="K429" s="984">
        <f t="shared" si="27"/>
        <v>3</v>
      </c>
      <c r="L429" s="985" t="s">
        <v>4932</v>
      </c>
      <c r="M429" s="985"/>
      <c r="N429" s="1002" t="str">
        <f>NOMINA!O394</f>
        <v>Ayudante de Servicios Generales</v>
      </c>
      <c r="O429" s="985">
        <v>1.02087691000006E+18</v>
      </c>
      <c r="P429" s="999">
        <f>NOMINA!W394</f>
        <v>76</v>
      </c>
      <c r="Q429" s="986">
        <f>NOMINA!AG394</f>
        <v>2.2799999999999998</v>
      </c>
      <c r="R429" s="986">
        <f>NOMINA!AI394</f>
        <v>65</v>
      </c>
      <c r="S429" s="986">
        <f>NOMINA!AK394</f>
        <v>0</v>
      </c>
      <c r="T429" s="986">
        <f>ROUND(NOMINA!AO394,2)</f>
        <v>25</v>
      </c>
      <c r="U429" s="986">
        <f>ROUND(NOMINA!AQ394,2)</f>
        <v>0</v>
      </c>
      <c r="V429" s="986">
        <f>ROUND(NOMINA!AR394,2)</f>
        <v>0</v>
      </c>
      <c r="W429" s="986">
        <f>ROUND(NOMINA!AS394,2)</f>
        <v>0</v>
      </c>
      <c r="X429" s="986">
        <f>ROUND(NOMINA!AW394,2)</f>
        <v>93.47</v>
      </c>
      <c r="Y429" s="986">
        <f>ROUND(NOMINA!AX394,2)</f>
        <v>0</v>
      </c>
      <c r="Z429" s="986">
        <f>ROUND(NOMINA!BB394,2)+ROUND(NOMINA!BF394,2)</f>
        <v>0</v>
      </c>
      <c r="AA429" s="986">
        <f>ROUND(NOMINA!BK394,2)</f>
        <v>0</v>
      </c>
      <c r="AB429" s="986">
        <f>ROUND(NOMINA!BG394,2)</f>
        <v>290</v>
      </c>
      <c r="AC429" s="1000">
        <f t="shared" si="28"/>
        <v>551.75</v>
      </c>
      <c r="AE429" s="634"/>
    </row>
    <row r="430" spans="1:31" s="629" customFormat="1" ht="20.100000000000001" customHeight="1" thickBot="1">
      <c r="A430" s="770" t="s">
        <v>2846</v>
      </c>
      <c r="B430" s="510">
        <f t="shared" si="26"/>
        <v>84</v>
      </c>
      <c r="C430" s="980">
        <f>NOMINA!C395</f>
        <v>25631811</v>
      </c>
      <c r="D430" s="981" t="str">
        <f>NOMINA!D395</f>
        <v>Barrios Briceño Christian Xavier</v>
      </c>
      <c r="E430" s="978" t="s">
        <v>4622</v>
      </c>
      <c r="F430" s="982">
        <v>32351</v>
      </c>
      <c r="G430" s="978" t="s">
        <v>4620</v>
      </c>
      <c r="H430" s="1001">
        <f>NOMINA!H395</f>
        <v>44440</v>
      </c>
      <c r="I430" s="984">
        <f>NOMINA!I395</f>
        <v>3</v>
      </c>
      <c r="J430" s="985">
        <f>NOMINA!J395</f>
        <v>0</v>
      </c>
      <c r="K430" s="984">
        <f t="shared" si="27"/>
        <v>3</v>
      </c>
      <c r="L430" s="985" t="s">
        <v>4932</v>
      </c>
      <c r="M430" s="985"/>
      <c r="N430" s="1002" t="str">
        <f>NOMINA!O395</f>
        <v>Cocinero</v>
      </c>
      <c r="O430" s="985">
        <v>1.02087691000006E+18</v>
      </c>
      <c r="P430" s="999">
        <f>NOMINA!W395</f>
        <v>85.5</v>
      </c>
      <c r="Q430" s="986">
        <f>NOMINA!AG395</f>
        <v>2.56</v>
      </c>
      <c r="R430" s="986">
        <f>NOMINA!AI395</f>
        <v>65</v>
      </c>
      <c r="S430" s="986">
        <f>NOMINA!AK395</f>
        <v>0</v>
      </c>
      <c r="T430" s="986">
        <f>ROUND(NOMINA!AO395,2)</f>
        <v>0</v>
      </c>
      <c r="U430" s="986">
        <f>ROUND(NOMINA!AQ395,2)</f>
        <v>0</v>
      </c>
      <c r="V430" s="986">
        <f>ROUND(NOMINA!AR395,2)</f>
        <v>0</v>
      </c>
      <c r="W430" s="986">
        <f>ROUND(NOMINA!AS395,2)</f>
        <v>0</v>
      </c>
      <c r="X430" s="986">
        <f>ROUND(NOMINA!AW395,2)</f>
        <v>0</v>
      </c>
      <c r="Y430" s="986">
        <f>ROUND(NOMINA!AX395,2)</f>
        <v>0</v>
      </c>
      <c r="Z430" s="986">
        <f>ROUND(NOMINA!BB395,2)+ROUND(NOMINA!BF395,2)</f>
        <v>61.23</v>
      </c>
      <c r="AA430" s="986">
        <f>ROUND(NOMINA!BK395,2)</f>
        <v>0</v>
      </c>
      <c r="AB430" s="986">
        <f>ROUND(NOMINA!BG395,2)</f>
        <v>290</v>
      </c>
      <c r="AC430" s="1000">
        <f t="shared" si="28"/>
        <v>504.28999999999996</v>
      </c>
      <c r="AE430" s="634"/>
    </row>
    <row r="431" spans="1:31" s="629" customFormat="1" ht="20.100000000000001" customHeight="1" thickBot="1">
      <c r="A431" s="770"/>
      <c r="B431" s="510">
        <f t="shared" si="26"/>
        <v>85</v>
      </c>
      <c r="C431" s="980">
        <f>NOMINA!C396</f>
        <v>25919888</v>
      </c>
      <c r="D431" s="981" t="str">
        <f>NOMINA!D396</f>
        <v>Rivero Lamus Ninoska del Valle</v>
      </c>
      <c r="E431" s="978" t="s">
        <v>4622</v>
      </c>
      <c r="F431" s="982">
        <v>32351</v>
      </c>
      <c r="G431" s="978" t="s">
        <v>4620</v>
      </c>
      <c r="H431" s="1001">
        <f>NOMINA!H396</f>
        <v>44805</v>
      </c>
      <c r="I431" s="984">
        <f>NOMINA!I396</f>
        <v>2</v>
      </c>
      <c r="J431" s="985">
        <f>NOMINA!J396</f>
        <v>0</v>
      </c>
      <c r="K431" s="984">
        <f t="shared" si="27"/>
        <v>2</v>
      </c>
      <c r="L431" s="985" t="s">
        <v>4932</v>
      </c>
      <c r="M431" s="985"/>
      <c r="N431" s="1002" t="str">
        <f>NOMINA!O396</f>
        <v>Aseadora</v>
      </c>
      <c r="O431" s="985">
        <v>1.02087691000006E+18</v>
      </c>
      <c r="P431" s="999">
        <f>NOMINA!W396</f>
        <v>65</v>
      </c>
      <c r="Q431" s="986">
        <f>NOMINA!AG396</f>
        <v>1.3</v>
      </c>
      <c r="R431" s="986">
        <f>NOMINA!AI396</f>
        <v>65</v>
      </c>
      <c r="S431" s="986">
        <f>NOMINA!AK396</f>
        <v>0</v>
      </c>
      <c r="T431" s="986">
        <f>ROUND(NOMINA!AO396,2)</f>
        <v>0</v>
      </c>
      <c r="U431" s="986">
        <f>ROUND(NOMINA!AQ396,2)</f>
        <v>0</v>
      </c>
      <c r="V431" s="986">
        <f>ROUND(NOMINA!AR396,2)</f>
        <v>0</v>
      </c>
      <c r="W431" s="986">
        <f>ROUND(NOMINA!AS396,2)</f>
        <v>0</v>
      </c>
      <c r="X431" s="986">
        <f>ROUND(NOMINA!AW396,2)</f>
        <v>0</v>
      </c>
      <c r="Y431" s="986">
        <f>ROUND(NOMINA!AX396,2)</f>
        <v>0</v>
      </c>
      <c r="Z431" s="986">
        <f>ROUND(NOMINA!BB396,2)+ROUND(NOMINA!BF396,2)</f>
        <v>0</v>
      </c>
      <c r="AA431" s="986">
        <f>ROUND(NOMINA!BK396,2)</f>
        <v>0</v>
      </c>
      <c r="AB431" s="986">
        <f>ROUND(NOMINA!BG396,2)</f>
        <v>290</v>
      </c>
      <c r="AC431" s="1000">
        <f t="shared" si="28"/>
        <v>421.3</v>
      </c>
      <c r="AE431" s="634"/>
    </row>
    <row r="432" spans="1:31" s="629" customFormat="1" ht="20.100000000000001" customHeight="1" thickBot="1">
      <c r="A432" s="770"/>
      <c r="B432" s="510">
        <f t="shared" si="26"/>
        <v>86</v>
      </c>
      <c r="C432" s="980">
        <f>NOMINA!C397</f>
        <v>26235670</v>
      </c>
      <c r="D432" s="981" t="str">
        <f>NOMINA!D397</f>
        <v>Viloria Garcia Kieny Keyvit</v>
      </c>
      <c r="E432" s="978" t="s">
        <v>4622</v>
      </c>
      <c r="F432" s="982">
        <v>32351</v>
      </c>
      <c r="G432" s="978" t="s">
        <v>4620</v>
      </c>
      <c r="H432" s="1001">
        <f>NOMINA!H397</f>
        <v>45597</v>
      </c>
      <c r="I432" s="984">
        <f>NOMINA!I397</f>
        <v>0</v>
      </c>
      <c r="J432" s="985">
        <f>NOMINA!J397</f>
        <v>0</v>
      </c>
      <c r="K432" s="984">
        <f t="shared" si="27"/>
        <v>0</v>
      </c>
      <c r="L432" s="985" t="s">
        <v>4932</v>
      </c>
      <c r="M432" s="985"/>
      <c r="N432" s="1002" t="str">
        <f>NOMINA!O397</f>
        <v>Ayudante de Servicios Generales</v>
      </c>
      <c r="O432" s="985">
        <v>1.02087691000006E+18</v>
      </c>
      <c r="P432" s="999">
        <f>NOMINA!W397</f>
        <v>71</v>
      </c>
      <c r="Q432" s="986">
        <f>NOMINA!AG397</f>
        <v>0</v>
      </c>
      <c r="R432" s="986">
        <f>NOMINA!AI397</f>
        <v>65</v>
      </c>
      <c r="S432" s="986">
        <f>NOMINA!AK397</f>
        <v>0</v>
      </c>
      <c r="T432" s="986">
        <f>ROUND(NOMINA!AO397,2)</f>
        <v>0</v>
      </c>
      <c r="U432" s="986">
        <f>ROUND(NOMINA!AQ397,2)</f>
        <v>0</v>
      </c>
      <c r="V432" s="986">
        <f>ROUND(NOMINA!AR397,2)</f>
        <v>0</v>
      </c>
      <c r="W432" s="986">
        <f>ROUND(NOMINA!AS397,2)</f>
        <v>0</v>
      </c>
      <c r="X432" s="986">
        <f>ROUND(NOMINA!AW397,2)</f>
        <v>0</v>
      </c>
      <c r="Y432" s="986">
        <f>ROUND(NOMINA!AX397,2)</f>
        <v>0</v>
      </c>
      <c r="Z432" s="986">
        <f>ROUND(NOMINA!BB397,2)+ROUND(NOMINA!BF397,2)</f>
        <v>0</v>
      </c>
      <c r="AA432" s="986">
        <f>ROUND(NOMINA!BK397,2)</f>
        <v>0</v>
      </c>
      <c r="AB432" s="986">
        <f>ROUND(NOMINA!BG397,2)</f>
        <v>290</v>
      </c>
      <c r="AC432" s="1000">
        <f t="shared" si="28"/>
        <v>426</v>
      </c>
      <c r="AE432" s="634"/>
    </row>
    <row r="433" spans="1:31" s="629" customFormat="1" ht="20.100000000000001" customHeight="1" thickBot="1">
      <c r="A433" s="770"/>
      <c r="B433" s="510">
        <f t="shared" si="26"/>
        <v>87</v>
      </c>
      <c r="C433" s="980">
        <f>NOMINA!C398</f>
        <v>26482867</v>
      </c>
      <c r="D433" s="981" t="str">
        <f>NOMINA!D398</f>
        <v>Valecillos Duran Brando Jose</v>
      </c>
      <c r="E433" s="978" t="s">
        <v>4622</v>
      </c>
      <c r="F433" s="982">
        <v>32351</v>
      </c>
      <c r="G433" s="978" t="s">
        <v>4620</v>
      </c>
      <c r="H433" s="1001">
        <f>NOMINA!H398</f>
        <v>45078</v>
      </c>
      <c r="I433" s="984">
        <f>NOMINA!I398</f>
        <v>1</v>
      </c>
      <c r="J433" s="985">
        <f>NOMINA!J398</f>
        <v>0</v>
      </c>
      <c r="K433" s="984">
        <f t="shared" si="27"/>
        <v>1</v>
      </c>
      <c r="L433" s="985" t="s">
        <v>4932</v>
      </c>
      <c r="M433" s="985"/>
      <c r="N433" s="1002" t="str">
        <f>NOMINA!O398</f>
        <v>Ayudante de Servicios Generales</v>
      </c>
      <c r="O433" s="985">
        <v>1.02087691000006E+18</v>
      </c>
      <c r="P433" s="999">
        <f>NOMINA!W398</f>
        <v>76</v>
      </c>
      <c r="Q433" s="986">
        <f>NOMINA!AG398</f>
        <v>0.76</v>
      </c>
      <c r="R433" s="986">
        <f>NOMINA!AI398</f>
        <v>65</v>
      </c>
      <c r="S433" s="986">
        <f>NOMINA!AK398</f>
        <v>0</v>
      </c>
      <c r="T433" s="986">
        <f>ROUND(NOMINA!AO398,2)</f>
        <v>0</v>
      </c>
      <c r="U433" s="986">
        <f>ROUND(NOMINA!AQ398,2)</f>
        <v>0</v>
      </c>
      <c r="V433" s="986">
        <f>ROUND(NOMINA!AR398,2)</f>
        <v>0</v>
      </c>
      <c r="W433" s="986">
        <f>ROUND(NOMINA!AS398,2)</f>
        <v>0</v>
      </c>
      <c r="X433" s="986">
        <f>ROUND(NOMINA!AW398,2)</f>
        <v>0</v>
      </c>
      <c r="Y433" s="986">
        <f>ROUND(NOMINA!AX398,2)</f>
        <v>0</v>
      </c>
      <c r="Z433" s="986">
        <f>ROUND(NOMINA!BB398,2)+ROUND(NOMINA!BF398,2)</f>
        <v>0</v>
      </c>
      <c r="AA433" s="986">
        <f>ROUND(NOMINA!BK398,2)</f>
        <v>0</v>
      </c>
      <c r="AB433" s="986">
        <f>ROUND(NOMINA!BG398,2)</f>
        <v>290</v>
      </c>
      <c r="AC433" s="1000">
        <f t="shared" si="28"/>
        <v>431.76</v>
      </c>
      <c r="AE433" s="634"/>
    </row>
    <row r="434" spans="1:31" s="629" customFormat="1" ht="20.100000000000001" customHeight="1" thickBot="1">
      <c r="A434" s="770"/>
      <c r="B434" s="510">
        <f t="shared" si="26"/>
        <v>88</v>
      </c>
      <c r="C434" s="980">
        <f>NOMINA!C399</f>
        <v>27415509</v>
      </c>
      <c r="D434" s="981" t="str">
        <f>NOMINA!D399</f>
        <v>Barreto Rivero Luis Diego</v>
      </c>
      <c r="E434" s="978" t="s">
        <v>4622</v>
      </c>
      <c r="F434" s="982">
        <v>32351</v>
      </c>
      <c r="G434" s="978" t="s">
        <v>4620</v>
      </c>
      <c r="H434" s="1001">
        <f>NOMINA!H399</f>
        <v>43678</v>
      </c>
      <c r="I434" s="984">
        <f>NOMINA!I399</f>
        <v>5</v>
      </c>
      <c r="J434" s="985">
        <f>NOMINA!J399</f>
        <v>0</v>
      </c>
      <c r="K434" s="984">
        <f t="shared" si="27"/>
        <v>5</v>
      </c>
      <c r="L434" s="985" t="s">
        <v>4932</v>
      </c>
      <c r="M434" s="985"/>
      <c r="N434" s="1002" t="str">
        <f>NOMINA!O399</f>
        <v>Ayudante de Servicios Generales</v>
      </c>
      <c r="O434" s="985">
        <v>1.02087691000006E+18</v>
      </c>
      <c r="P434" s="999">
        <f>NOMINA!W399</f>
        <v>76</v>
      </c>
      <c r="Q434" s="986">
        <f>NOMINA!AG399</f>
        <v>3.8</v>
      </c>
      <c r="R434" s="986">
        <f>NOMINA!AI399</f>
        <v>65</v>
      </c>
      <c r="S434" s="986">
        <f>NOMINA!AK399</f>
        <v>0</v>
      </c>
      <c r="T434" s="986">
        <f>ROUND(NOMINA!AO399,2)</f>
        <v>0</v>
      </c>
      <c r="U434" s="986">
        <f>ROUND(NOMINA!AQ399,2)</f>
        <v>0</v>
      </c>
      <c r="V434" s="986">
        <f>ROUND(NOMINA!AR399,2)</f>
        <v>0</v>
      </c>
      <c r="W434" s="986">
        <f>ROUND(NOMINA!AS399,2)</f>
        <v>0</v>
      </c>
      <c r="X434" s="986">
        <f>ROUND(NOMINA!AW399,2)</f>
        <v>0</v>
      </c>
      <c r="Y434" s="986">
        <f>ROUND(NOMINA!AX399,2)</f>
        <v>0</v>
      </c>
      <c r="Z434" s="986">
        <f>ROUND(NOMINA!BB399,2)+ROUND(NOMINA!BF399,2)</f>
        <v>0</v>
      </c>
      <c r="AA434" s="986">
        <f>ROUND(NOMINA!BK399,2)</f>
        <v>0</v>
      </c>
      <c r="AB434" s="986">
        <f>ROUND(NOMINA!BG399,2)</f>
        <v>290</v>
      </c>
      <c r="AC434" s="1000">
        <f t="shared" si="28"/>
        <v>434.8</v>
      </c>
      <c r="AE434" s="634"/>
    </row>
    <row r="435" spans="1:31" s="629" customFormat="1" ht="20.100000000000001" customHeight="1" thickBot="1">
      <c r="A435" s="770"/>
      <c r="B435" s="510">
        <f t="shared" si="26"/>
        <v>89</v>
      </c>
      <c r="C435" s="980">
        <f>NOMINA!C400</f>
        <v>27470077</v>
      </c>
      <c r="D435" s="981" t="str">
        <f>NOMINA!D400</f>
        <v>Gonzalez Castellanos Yusberly Yohandri</v>
      </c>
      <c r="E435" s="978" t="s">
        <v>4622</v>
      </c>
      <c r="F435" s="982">
        <v>32351</v>
      </c>
      <c r="G435" s="978" t="s">
        <v>4620</v>
      </c>
      <c r="H435" s="1001">
        <f>NOMINA!H400</f>
        <v>44743</v>
      </c>
      <c r="I435" s="984">
        <f>NOMINA!I400</f>
        <v>2</v>
      </c>
      <c r="J435" s="985">
        <f>NOMINA!J400</f>
        <v>0</v>
      </c>
      <c r="K435" s="984">
        <f t="shared" si="27"/>
        <v>2</v>
      </c>
      <c r="L435" s="985" t="s">
        <v>4932</v>
      </c>
      <c r="M435" s="985"/>
      <c r="N435" s="1002" t="str">
        <f>NOMINA!O400</f>
        <v>Aseadora</v>
      </c>
      <c r="O435" s="985">
        <v>1.02087691000006E+18</v>
      </c>
      <c r="P435" s="999">
        <f>NOMINA!W400</f>
        <v>65</v>
      </c>
      <c r="Q435" s="986">
        <f>NOMINA!AG400</f>
        <v>1.3</v>
      </c>
      <c r="R435" s="986">
        <f>NOMINA!AI400</f>
        <v>65</v>
      </c>
      <c r="S435" s="986">
        <f>NOMINA!AK400</f>
        <v>0</v>
      </c>
      <c r="T435" s="986">
        <f>ROUND(NOMINA!AO400,2)</f>
        <v>0</v>
      </c>
      <c r="U435" s="986">
        <f>ROUND(NOMINA!AQ400,2)</f>
        <v>0</v>
      </c>
      <c r="V435" s="986">
        <f>ROUND(NOMINA!AR400,2)</f>
        <v>0</v>
      </c>
      <c r="W435" s="986">
        <f>ROUND(NOMINA!AS400,2)</f>
        <v>0</v>
      </c>
      <c r="X435" s="986">
        <f>ROUND(NOMINA!AW400,2)</f>
        <v>0</v>
      </c>
      <c r="Y435" s="986">
        <f>ROUND(NOMINA!AX400,2)</f>
        <v>0</v>
      </c>
      <c r="Z435" s="986">
        <f>ROUND(NOMINA!BB400,2)+ROUND(NOMINA!BF400,2)</f>
        <v>0</v>
      </c>
      <c r="AA435" s="986">
        <f>ROUND(NOMINA!BK400,2)</f>
        <v>0</v>
      </c>
      <c r="AB435" s="986">
        <f>ROUND(NOMINA!BG400,2)</f>
        <v>290</v>
      </c>
      <c r="AC435" s="1000">
        <f t="shared" si="28"/>
        <v>421.3</v>
      </c>
      <c r="AE435" s="634"/>
    </row>
    <row r="436" spans="1:31" s="629" customFormat="1" ht="20.100000000000001" customHeight="1" thickBot="1">
      <c r="A436" s="770"/>
      <c r="B436" s="510">
        <f t="shared" si="26"/>
        <v>90</v>
      </c>
      <c r="C436" s="980">
        <f>NOMINA!C401</f>
        <v>29539270</v>
      </c>
      <c r="D436" s="981" t="str">
        <f>NOMINA!D401</f>
        <v>Rojas Carrillo Laureano Augusto</v>
      </c>
      <c r="E436" s="978" t="s">
        <v>4622</v>
      </c>
      <c r="F436" s="982">
        <v>32351</v>
      </c>
      <c r="G436" s="978" t="s">
        <v>4620</v>
      </c>
      <c r="H436" s="1001">
        <f>NOMINA!H401</f>
        <v>44287</v>
      </c>
      <c r="I436" s="984">
        <f>NOMINA!I401</f>
        <v>3</v>
      </c>
      <c r="J436" s="985">
        <f>NOMINA!J401</f>
        <v>0</v>
      </c>
      <c r="K436" s="984">
        <f t="shared" si="27"/>
        <v>3</v>
      </c>
      <c r="L436" s="985" t="s">
        <v>4932</v>
      </c>
      <c r="M436" s="985"/>
      <c r="N436" s="1002" t="str">
        <f>NOMINA!O401</f>
        <v>Ayudante de Servicios Generales</v>
      </c>
      <c r="O436" s="985">
        <v>1.02087691000006E+18</v>
      </c>
      <c r="P436" s="999">
        <f>NOMINA!W401</f>
        <v>76</v>
      </c>
      <c r="Q436" s="986">
        <f>NOMINA!AG401</f>
        <v>2.2799999999999998</v>
      </c>
      <c r="R436" s="986">
        <f>NOMINA!AI401</f>
        <v>65</v>
      </c>
      <c r="S436" s="986">
        <f>NOMINA!AK401</f>
        <v>0</v>
      </c>
      <c r="T436" s="986">
        <f>ROUND(NOMINA!AO401,2)</f>
        <v>0</v>
      </c>
      <c r="U436" s="986">
        <f>ROUND(NOMINA!AQ401,2)</f>
        <v>0</v>
      </c>
      <c r="V436" s="986">
        <f>ROUND(NOMINA!AR401,2)</f>
        <v>0</v>
      </c>
      <c r="W436" s="986">
        <f>ROUND(NOMINA!AS401,2)</f>
        <v>0</v>
      </c>
      <c r="X436" s="986">
        <f>ROUND(NOMINA!AW401,2)</f>
        <v>0</v>
      </c>
      <c r="Y436" s="986">
        <f>ROUND(NOMINA!AX401,2)</f>
        <v>0</v>
      </c>
      <c r="Z436" s="986">
        <f>ROUND(NOMINA!BB401,2)+ROUND(NOMINA!BF401,2)</f>
        <v>0</v>
      </c>
      <c r="AA436" s="986">
        <f>ROUND(NOMINA!BK401,2)</f>
        <v>0</v>
      </c>
      <c r="AB436" s="986">
        <f>ROUND(NOMINA!BG401,2)</f>
        <v>290</v>
      </c>
      <c r="AC436" s="1000">
        <f t="shared" si="28"/>
        <v>433.28</v>
      </c>
      <c r="AE436" s="634"/>
    </row>
    <row r="437" spans="1:31" s="629" customFormat="1" ht="20.100000000000001" customHeight="1" thickBot="1">
      <c r="A437" s="770"/>
      <c r="B437" s="510">
        <f t="shared" si="26"/>
        <v>91</v>
      </c>
      <c r="C437" s="980">
        <f>NOMINA!C402</f>
        <v>29994277</v>
      </c>
      <c r="D437" s="981" t="str">
        <f>NOMINA!D402</f>
        <v>Quintero Rangel Jose Arsenio</v>
      </c>
      <c r="E437" s="978" t="s">
        <v>4622</v>
      </c>
      <c r="F437" s="982">
        <v>32351</v>
      </c>
      <c r="G437" s="978" t="s">
        <v>4620</v>
      </c>
      <c r="H437" s="1001">
        <f>NOMINA!H402</f>
        <v>44562</v>
      </c>
      <c r="I437" s="984">
        <f>NOMINA!I402</f>
        <v>3</v>
      </c>
      <c r="J437" s="985">
        <f>NOMINA!J402</f>
        <v>0</v>
      </c>
      <c r="K437" s="984">
        <f t="shared" si="27"/>
        <v>3</v>
      </c>
      <c r="L437" s="985" t="s">
        <v>4932</v>
      </c>
      <c r="M437" s="985"/>
      <c r="N437" s="1002" t="str">
        <f>NOMINA!O402</f>
        <v>Ayudante de Servicios Generales</v>
      </c>
      <c r="O437" s="985">
        <v>1.02087691000006E+18</v>
      </c>
      <c r="P437" s="999">
        <f>NOMINA!W402</f>
        <v>76</v>
      </c>
      <c r="Q437" s="986">
        <f>NOMINA!AG402</f>
        <v>2.2799999999999998</v>
      </c>
      <c r="R437" s="986">
        <f>NOMINA!AI402</f>
        <v>65</v>
      </c>
      <c r="S437" s="986">
        <f>NOMINA!AK402</f>
        <v>0</v>
      </c>
      <c r="T437" s="986">
        <f>ROUND(NOMINA!AO402,2)</f>
        <v>0</v>
      </c>
      <c r="U437" s="986">
        <f>ROUND(NOMINA!AQ402,2)</f>
        <v>0</v>
      </c>
      <c r="V437" s="986">
        <f>ROUND(NOMINA!AR402,2)</f>
        <v>0</v>
      </c>
      <c r="W437" s="986">
        <f>ROUND(NOMINA!AS402,2)</f>
        <v>0</v>
      </c>
      <c r="X437" s="986">
        <f>ROUND(NOMINA!AW402,2)</f>
        <v>0</v>
      </c>
      <c r="Y437" s="986">
        <f>ROUND(NOMINA!AX402,2)</f>
        <v>2292.48</v>
      </c>
      <c r="Z437" s="986">
        <f>ROUND(NOMINA!BB402,2)+ROUND(NOMINA!BF402,2)</f>
        <v>28.66</v>
      </c>
      <c r="AA437" s="986">
        <f>ROUND(NOMINA!BK402,2)</f>
        <v>0</v>
      </c>
      <c r="AB437" s="986">
        <f>ROUND(NOMINA!BG402,2)</f>
        <v>290</v>
      </c>
      <c r="AC437" s="1000">
        <f t="shared" si="28"/>
        <v>2754.42</v>
      </c>
      <c r="AE437" s="634"/>
    </row>
    <row r="438" spans="1:31" s="629" customFormat="1" ht="20.100000000000001" customHeight="1" thickBot="1">
      <c r="A438" s="770" t="s">
        <v>2846</v>
      </c>
      <c r="B438" s="510">
        <f t="shared" si="26"/>
        <v>92</v>
      </c>
      <c r="C438" s="980">
        <f>NOMINA!C403</f>
        <v>32084560</v>
      </c>
      <c r="D438" s="981" t="str">
        <f>NOMINA!D403</f>
        <v>Hernandez Gomez Carmen Elena</v>
      </c>
      <c r="E438" s="978" t="s">
        <v>4622</v>
      </c>
      <c r="F438" s="982">
        <v>32351</v>
      </c>
      <c r="G438" s="978" t="s">
        <v>4620</v>
      </c>
      <c r="H438" s="1001">
        <f>NOMINA!H403</f>
        <v>44348</v>
      </c>
      <c r="I438" s="984">
        <f>NOMINA!I403</f>
        <v>3</v>
      </c>
      <c r="J438" s="985">
        <f>NOMINA!J403</f>
        <v>0</v>
      </c>
      <c r="K438" s="984">
        <f t="shared" si="27"/>
        <v>3</v>
      </c>
      <c r="L438" s="985" t="s">
        <v>4932</v>
      </c>
      <c r="M438" s="985"/>
      <c r="N438" s="1002" t="str">
        <f>NOMINA!O403</f>
        <v xml:space="preserve">Cocinera </v>
      </c>
      <c r="O438" s="985">
        <v>1.02087691000006E+18</v>
      </c>
      <c r="P438" s="999">
        <f>NOMINA!W403</f>
        <v>85.5</v>
      </c>
      <c r="Q438" s="986">
        <f>NOMINA!AG403</f>
        <v>2.56</v>
      </c>
      <c r="R438" s="986">
        <f>NOMINA!AI403</f>
        <v>65</v>
      </c>
      <c r="S438" s="986">
        <f>NOMINA!AK403</f>
        <v>0</v>
      </c>
      <c r="T438" s="986">
        <f>ROUND(NOMINA!AO403,2)</f>
        <v>0</v>
      </c>
      <c r="U438" s="986">
        <f>ROUND(NOMINA!AQ403,2)</f>
        <v>0</v>
      </c>
      <c r="V438" s="986">
        <f>ROUND(NOMINA!AR403,2)</f>
        <v>0</v>
      </c>
      <c r="W438" s="986">
        <f>ROUND(NOMINA!AS403,2)</f>
        <v>0</v>
      </c>
      <c r="X438" s="986">
        <f>ROUND(NOMINA!AW403,2)</f>
        <v>0</v>
      </c>
      <c r="Y438" s="986">
        <f>ROUND(NOMINA!AX403,2)</f>
        <v>0</v>
      </c>
      <c r="Z438" s="986">
        <f>ROUND(NOMINA!BB403,2)+ROUND(NOMINA!BF403,2)</f>
        <v>15.31</v>
      </c>
      <c r="AA438" s="986">
        <f>ROUND(NOMINA!BK403,2)</f>
        <v>0</v>
      </c>
      <c r="AB438" s="986">
        <f>ROUND(NOMINA!BG403,2)</f>
        <v>290</v>
      </c>
      <c r="AC438" s="1000">
        <f t="shared" si="28"/>
        <v>458.37</v>
      </c>
      <c r="AE438" s="634"/>
    </row>
    <row r="439" spans="1:31" s="629" customFormat="1" ht="39.950000000000003" customHeight="1" thickBot="1">
      <c r="A439" s="708"/>
      <c r="B439" s="676"/>
      <c r="C439" s="1126" t="s">
        <v>4493</v>
      </c>
      <c r="D439" s="1104"/>
      <c r="E439" s="1104"/>
      <c r="F439" s="1104"/>
      <c r="G439" s="1104"/>
      <c r="H439" s="1105"/>
      <c r="I439" s="1104"/>
      <c r="J439" s="1104"/>
      <c r="K439" s="1104"/>
      <c r="L439" s="1104"/>
      <c r="M439" s="1104"/>
      <c r="N439" s="1134"/>
      <c r="O439" s="677"/>
      <c r="P439" s="679">
        <f t="shared" ref="P439:AC439" si="29">SUM(P347:P438)</f>
        <v>7122</v>
      </c>
      <c r="Q439" s="679">
        <f t="shared" si="29"/>
        <v>685.12999999999954</v>
      </c>
      <c r="R439" s="679">
        <f t="shared" si="29"/>
        <v>5980</v>
      </c>
      <c r="S439" s="679">
        <f t="shared" si="29"/>
        <v>0</v>
      </c>
      <c r="T439" s="679">
        <f t="shared" si="29"/>
        <v>200</v>
      </c>
      <c r="U439" s="679">
        <f t="shared" si="29"/>
        <v>12.5</v>
      </c>
      <c r="V439" s="679">
        <f t="shared" si="29"/>
        <v>0</v>
      </c>
      <c r="W439" s="679">
        <f t="shared" si="29"/>
        <v>12.5</v>
      </c>
      <c r="X439" s="679">
        <f t="shared" si="29"/>
        <v>1330.05</v>
      </c>
      <c r="Y439" s="679">
        <f t="shared" si="29"/>
        <v>33214.640000000007</v>
      </c>
      <c r="Z439" s="679">
        <f t="shared" si="29"/>
        <v>1269.68</v>
      </c>
      <c r="AA439" s="679">
        <f t="shared" si="29"/>
        <v>0</v>
      </c>
      <c r="AB439" s="679">
        <f t="shared" si="29"/>
        <v>26680</v>
      </c>
      <c r="AC439" s="709">
        <f t="shared" si="29"/>
        <v>76506.499999999985</v>
      </c>
      <c r="AD439" s="634">
        <f>+NOMINA!CC395</f>
        <v>504.29</v>
      </c>
      <c r="AE439" s="634">
        <f>+AC439-AD439</f>
        <v>76002.209999999992</v>
      </c>
    </row>
    <row r="440" spans="1:31" s="629" customFormat="1">
      <c r="A440" s="941"/>
      <c r="B440" s="628"/>
      <c r="D440" s="631"/>
      <c r="F440" s="631"/>
      <c r="G440" s="941"/>
      <c r="H440" s="710"/>
      <c r="P440" s="628"/>
      <c r="Q440" s="628"/>
      <c r="R440" s="628"/>
      <c r="S440" s="628"/>
      <c r="T440" s="741"/>
      <c r="U440" s="741"/>
      <c r="V440" s="741"/>
      <c r="W440" s="741"/>
      <c r="X440" s="628"/>
      <c r="Y440" s="628"/>
      <c r="Z440" s="628"/>
      <c r="AA440" s="628"/>
      <c r="AB440" s="628"/>
      <c r="AE440" s="634"/>
    </row>
    <row r="441" spans="1:31" s="629" customFormat="1" ht="15.75" customHeight="1" thickBot="1">
      <c r="A441" s="941"/>
      <c r="B441" s="628"/>
      <c r="D441" s="631"/>
      <c r="F441" s="631"/>
      <c r="G441" s="941"/>
      <c r="H441" s="710"/>
      <c r="P441" s="628"/>
      <c r="Q441" s="628"/>
      <c r="R441" s="628"/>
      <c r="S441" s="628"/>
      <c r="T441" s="741"/>
      <c r="U441" s="741"/>
      <c r="V441" s="741"/>
      <c r="W441" s="741"/>
      <c r="X441" s="628"/>
      <c r="Y441" s="628"/>
      <c r="Z441" s="628"/>
      <c r="AA441" s="628"/>
      <c r="AB441" s="628"/>
    </row>
    <row r="442" spans="1:31" s="711" customFormat="1" ht="39.950000000000003" customHeight="1" thickBot="1">
      <c r="B442" s="1138">
        <f>+B438+B333+B56+B14</f>
        <v>385</v>
      </c>
      <c r="C442" s="1137" t="s">
        <v>2875</v>
      </c>
      <c r="D442" s="714"/>
      <c r="E442" s="715"/>
      <c r="F442" s="714"/>
      <c r="G442" s="715"/>
      <c r="H442" s="1003"/>
      <c r="I442" s="715"/>
      <c r="J442" s="715"/>
      <c r="K442" s="715"/>
      <c r="L442" s="715"/>
      <c r="M442" s="715"/>
      <c r="N442" s="825"/>
      <c r="O442" s="715"/>
      <c r="P442" s="717">
        <f t="shared" ref="P442:AC442" si="30">P15+P57+P334+P439</f>
        <v>37654.5</v>
      </c>
      <c r="Q442" s="717">
        <f t="shared" si="30"/>
        <v>4083.1600000000026</v>
      </c>
      <c r="R442" s="717">
        <f t="shared" si="30"/>
        <v>23530</v>
      </c>
      <c r="S442" s="717">
        <f t="shared" si="30"/>
        <v>9178.77</v>
      </c>
      <c r="T442" s="717">
        <f t="shared" si="30"/>
        <v>1487.5</v>
      </c>
      <c r="U442" s="717">
        <f t="shared" si="30"/>
        <v>37.5</v>
      </c>
      <c r="V442" s="717">
        <f t="shared" si="30"/>
        <v>62.5</v>
      </c>
      <c r="W442" s="717">
        <f t="shared" si="30"/>
        <v>25</v>
      </c>
      <c r="X442" s="717">
        <f t="shared" si="30"/>
        <v>11892.05</v>
      </c>
      <c r="Y442" s="717">
        <f t="shared" si="30"/>
        <v>141068.64000000001</v>
      </c>
      <c r="Z442" s="717">
        <f t="shared" si="30"/>
        <v>8656.8700000000026</v>
      </c>
      <c r="AA442" s="717">
        <f t="shared" si="30"/>
        <v>0</v>
      </c>
      <c r="AB442" s="717">
        <f t="shared" si="30"/>
        <v>107980</v>
      </c>
      <c r="AC442" s="717">
        <f t="shared" si="30"/>
        <v>345656.48999999982</v>
      </c>
      <c r="AD442" s="634">
        <f>+NOMINA!CC399</f>
        <v>434.8</v>
      </c>
      <c r="AE442" s="634">
        <f>+AC442-AD442</f>
        <v>345221.68999999983</v>
      </c>
    </row>
    <row r="443" spans="1:31" s="629" customFormat="1" ht="21.75" customHeight="1">
      <c r="A443" s="941"/>
      <c r="B443" s="628"/>
      <c r="D443" s="631"/>
      <c r="F443" s="631"/>
      <c r="G443" s="941"/>
      <c r="H443" s="632"/>
      <c r="I443" s="941"/>
      <c r="J443" s="941"/>
      <c r="K443" s="941"/>
      <c r="L443" s="941"/>
      <c r="M443" s="941"/>
      <c r="O443" s="941"/>
      <c r="P443" s="633"/>
      <c r="Q443" s="633"/>
      <c r="R443" s="633"/>
      <c r="S443" s="633"/>
      <c r="T443" s="741"/>
      <c r="U443" s="741"/>
      <c r="V443" s="741"/>
      <c r="W443" s="741"/>
      <c r="X443" s="633"/>
      <c r="Y443" s="633"/>
      <c r="Z443" s="633"/>
      <c r="AA443" s="633"/>
      <c r="AB443" s="633"/>
      <c r="AC443" s="634"/>
    </row>
    <row r="444" spans="1:31" s="629" customFormat="1">
      <c r="A444" s="941"/>
      <c r="C444" s="723"/>
      <c r="D444" s="735" t="s">
        <v>5860</v>
      </c>
      <c r="E444" s="725"/>
      <c r="F444" s="725"/>
      <c r="G444" s="725"/>
      <c r="I444" s="724"/>
      <c r="L444" s="725"/>
      <c r="M444" s="725"/>
      <c r="N444" s="725"/>
      <c r="O444" s="725"/>
      <c r="P444" s="726" t="s">
        <v>5861</v>
      </c>
      <c r="Q444" s="725"/>
      <c r="R444" s="725"/>
      <c r="S444" s="826"/>
      <c r="T444" s="725"/>
      <c r="U444" s="725"/>
      <c r="V444" s="725"/>
      <c r="W444" s="728"/>
      <c r="X444" s="724" t="s">
        <v>5862</v>
      </c>
      <c r="Z444" s="725"/>
      <c r="AA444" s="725"/>
      <c r="AB444" s="827"/>
      <c r="AC444" s="634"/>
    </row>
    <row r="445" spans="1:31" s="629" customFormat="1">
      <c r="A445" s="941"/>
      <c r="B445" s="723"/>
      <c r="C445" s="723"/>
      <c r="D445" s="727"/>
      <c r="E445" s="725"/>
      <c r="F445" s="725"/>
      <c r="G445" s="725"/>
      <c r="I445" s="723"/>
      <c r="L445" s="725"/>
      <c r="M445" s="725"/>
      <c r="N445" s="728"/>
      <c r="O445" s="725"/>
      <c r="P445" s="728"/>
      <c r="Q445" s="725"/>
      <c r="R445" s="725"/>
      <c r="S445" s="728"/>
      <c r="T445" s="725"/>
      <c r="U445" s="725"/>
      <c r="V445" s="728"/>
      <c r="W445" s="728"/>
      <c r="X445" s="729"/>
      <c r="Z445" s="725"/>
      <c r="AA445" s="725"/>
      <c r="AB445" s="728"/>
      <c r="AC445" s="634"/>
    </row>
    <row r="446" spans="1:31" s="629" customFormat="1">
      <c r="A446" s="941"/>
      <c r="B446" s="730"/>
      <c r="C446" s="731"/>
      <c r="D446" s="732"/>
      <c r="E446" s="733"/>
      <c r="F446" s="733"/>
      <c r="G446" s="733"/>
      <c r="I446" s="730"/>
      <c r="L446" s="733"/>
      <c r="M446" s="733"/>
      <c r="N446" s="826"/>
      <c r="O446" s="733"/>
      <c r="P446" s="731"/>
      <c r="Q446" s="733"/>
      <c r="R446" s="733"/>
      <c r="S446" s="733"/>
      <c r="T446" s="733"/>
      <c r="U446" s="733"/>
      <c r="V446" s="828"/>
      <c r="W446" s="733"/>
      <c r="X446" s="724"/>
      <c r="Z446" s="733"/>
      <c r="AA446" s="733"/>
      <c r="AB446" s="733"/>
      <c r="AC446" s="634"/>
    </row>
    <row r="447" spans="1:31" s="629" customFormat="1">
      <c r="A447" s="941"/>
      <c r="B447" s="734" t="s">
        <v>6879</v>
      </c>
      <c r="C447" s="735"/>
      <c r="D447" s="733"/>
      <c r="E447" s="733"/>
      <c r="F447" s="733"/>
      <c r="G447" s="733"/>
      <c r="H447" s="734" t="s">
        <v>6152</v>
      </c>
      <c r="I447" s="734"/>
      <c r="K447" s="611"/>
      <c r="L447" s="797"/>
      <c r="M447" s="796"/>
      <c r="N447" s="798"/>
      <c r="O447" s="733"/>
      <c r="P447" s="736" t="s">
        <v>5863</v>
      </c>
      <c r="Q447" s="733"/>
      <c r="R447" s="733"/>
      <c r="S447" s="733"/>
      <c r="T447" s="733"/>
      <c r="U447" s="733"/>
      <c r="V447" s="733"/>
      <c r="W447" s="733"/>
      <c r="X447" s="724" t="s">
        <v>5874</v>
      </c>
      <c r="Z447" s="733"/>
      <c r="AA447" s="733"/>
      <c r="AB447" s="733"/>
      <c r="AC447" s="634"/>
    </row>
    <row r="448" spans="1:31" s="629" customFormat="1">
      <c r="A448" s="941"/>
      <c r="B448" s="734" t="s">
        <v>6880</v>
      </c>
      <c r="C448" s="735"/>
      <c r="D448" s="733"/>
      <c r="E448" s="733"/>
      <c r="F448" s="733"/>
      <c r="G448" s="733"/>
      <c r="H448" s="734" t="s">
        <v>6153</v>
      </c>
      <c r="I448" s="734"/>
      <c r="K448" s="611"/>
      <c r="L448" s="797"/>
      <c r="M448" s="796"/>
      <c r="N448" s="798"/>
      <c r="O448" s="733"/>
      <c r="P448" s="736" t="s">
        <v>5865</v>
      </c>
      <c r="Q448" s="733"/>
      <c r="R448" s="733"/>
      <c r="S448" s="733"/>
      <c r="T448" s="733"/>
      <c r="U448" s="733"/>
      <c r="V448" s="733"/>
      <c r="W448" s="733"/>
      <c r="X448" s="734" t="s">
        <v>5866</v>
      </c>
      <c r="Z448" s="733"/>
      <c r="AA448" s="733"/>
      <c r="AB448" s="826"/>
      <c r="AC448" s="634"/>
    </row>
    <row r="449" spans="1:29" s="629" customFormat="1">
      <c r="A449" s="941"/>
      <c r="B449" s="734" t="s">
        <v>5244</v>
      </c>
      <c r="C449" s="735"/>
      <c r="D449" s="733"/>
      <c r="E449" s="733"/>
      <c r="F449" s="733"/>
      <c r="G449" s="733"/>
      <c r="H449" s="734" t="s">
        <v>5265</v>
      </c>
      <c r="I449" s="734"/>
      <c r="K449" s="611"/>
      <c r="L449" s="797"/>
      <c r="M449" s="796"/>
      <c r="N449" s="798"/>
      <c r="O449" s="733"/>
      <c r="P449" s="736" t="s">
        <v>5867</v>
      </c>
      <c r="Q449" s="733"/>
      <c r="R449" s="733"/>
      <c r="S449" s="733"/>
      <c r="T449" s="733"/>
      <c r="U449" s="733"/>
      <c r="V449" s="733"/>
      <c r="W449" s="733"/>
      <c r="X449" s="724" t="s">
        <v>5868</v>
      </c>
      <c r="Z449" s="733"/>
      <c r="AA449" s="733"/>
      <c r="AB449" s="733"/>
      <c r="AC449" s="634"/>
    </row>
    <row r="450" spans="1:29" s="629" customFormat="1">
      <c r="A450" s="941"/>
      <c r="B450" s="628"/>
      <c r="D450" s="631"/>
      <c r="F450" s="631"/>
      <c r="G450" s="941"/>
      <c r="H450" s="632"/>
      <c r="I450" s="1724"/>
      <c r="J450" s="1724"/>
      <c r="K450" s="941"/>
      <c r="L450" s="941"/>
      <c r="M450" s="941"/>
      <c r="P450" s="633"/>
      <c r="Q450" s="633"/>
      <c r="R450" s="633"/>
      <c r="S450" s="633"/>
      <c r="T450" s="741"/>
      <c r="U450" s="741"/>
      <c r="V450" s="741"/>
      <c r="W450" s="741"/>
      <c r="X450" s="628"/>
      <c r="Y450" s="633"/>
      <c r="Z450" s="628"/>
      <c r="AA450" s="628"/>
      <c r="AB450" s="633"/>
      <c r="AC450" s="634"/>
    </row>
    <row r="451" spans="1:29" s="629" customFormat="1">
      <c r="A451" s="941"/>
      <c r="B451" s="628"/>
      <c r="D451" s="631"/>
      <c r="F451" s="631"/>
      <c r="G451" s="941"/>
      <c r="H451" s="632"/>
      <c r="I451" s="1724"/>
      <c r="J451" s="1724"/>
      <c r="K451" s="941"/>
      <c r="L451" s="941"/>
      <c r="M451" s="941"/>
      <c r="P451" s="633"/>
      <c r="Q451" s="633"/>
      <c r="R451" s="633"/>
      <c r="S451" s="633"/>
      <c r="T451" s="741"/>
      <c r="U451" s="741"/>
      <c r="V451" s="741"/>
      <c r="W451" s="741"/>
      <c r="X451" s="628"/>
      <c r="Y451" s="633"/>
      <c r="Z451" s="628"/>
      <c r="AA451" s="628"/>
      <c r="AB451" s="633"/>
      <c r="AC451" s="634"/>
    </row>
    <row r="452" spans="1:29" ht="12">
      <c r="A452" s="265"/>
      <c r="B452" s="265"/>
      <c r="D452" s="265"/>
      <c r="F452" s="265"/>
      <c r="G452" s="265"/>
      <c r="H452" s="265"/>
      <c r="I452" s="265"/>
      <c r="J452" s="265"/>
      <c r="K452" s="265"/>
      <c r="L452" s="265"/>
      <c r="M452" s="265"/>
      <c r="P452" s="739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</row>
    <row r="453" spans="1:29" ht="12">
      <c r="A453" s="265"/>
      <c r="B453" s="265"/>
      <c r="D453" s="265"/>
      <c r="F453" s="265"/>
      <c r="G453" s="265"/>
      <c r="H453" s="265"/>
      <c r="I453" s="265"/>
      <c r="J453" s="265"/>
      <c r="K453" s="265"/>
      <c r="L453" s="265"/>
      <c r="M453" s="265"/>
      <c r="P453" s="739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</row>
    <row r="454" spans="1:29" ht="12">
      <c r="A454" s="265"/>
      <c r="B454" s="265"/>
      <c r="D454" s="265"/>
      <c r="F454" s="265"/>
      <c r="G454" s="265"/>
      <c r="H454" s="265"/>
      <c r="I454" s="265"/>
      <c r="J454" s="265"/>
      <c r="K454" s="265"/>
      <c r="L454" s="265"/>
      <c r="M454" s="265"/>
      <c r="P454" s="739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</row>
    <row r="455" spans="1:29" ht="12">
      <c r="A455" s="265"/>
      <c r="B455" s="265"/>
      <c r="D455" s="265"/>
      <c r="F455" s="265"/>
      <c r="G455" s="265"/>
      <c r="H455" s="265"/>
      <c r="I455" s="265"/>
      <c r="J455" s="265"/>
      <c r="K455" s="265"/>
      <c r="L455" s="265"/>
      <c r="M455" s="265"/>
      <c r="P455" s="739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</row>
    <row r="456" spans="1:29" ht="12">
      <c r="A456" s="265"/>
      <c r="B456" s="265"/>
      <c r="D456" s="265"/>
      <c r="F456" s="265"/>
      <c r="G456" s="265"/>
      <c r="H456" s="265"/>
      <c r="I456" s="265"/>
      <c r="J456" s="265"/>
      <c r="K456" s="265"/>
      <c r="L456" s="265"/>
      <c r="M456" s="265"/>
      <c r="P456" s="739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</row>
    <row r="457" spans="1:29" ht="12">
      <c r="A457" s="265"/>
      <c r="B457" s="265"/>
      <c r="D457" s="265"/>
      <c r="F457" s="265"/>
      <c r="G457" s="265"/>
      <c r="H457" s="265"/>
      <c r="I457" s="265"/>
      <c r="J457" s="265"/>
      <c r="K457" s="265"/>
      <c r="L457" s="265"/>
      <c r="M457" s="265"/>
      <c r="P457" s="739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</row>
    <row r="458" spans="1:29" ht="12">
      <c r="A458" s="265"/>
      <c r="B458" s="265"/>
      <c r="D458" s="265"/>
      <c r="F458" s="265"/>
      <c r="G458" s="265"/>
      <c r="H458" s="265"/>
      <c r="I458" s="265"/>
      <c r="J458" s="265"/>
      <c r="K458" s="265"/>
      <c r="L458" s="265"/>
      <c r="M458" s="265"/>
      <c r="P458" s="739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</row>
    <row r="459" spans="1:29" ht="12">
      <c r="A459" s="265"/>
      <c r="B459" s="265"/>
      <c r="D459" s="265"/>
      <c r="F459" s="265"/>
      <c r="G459" s="265"/>
      <c r="H459" s="265"/>
      <c r="I459" s="265"/>
      <c r="J459" s="265"/>
      <c r="K459" s="265"/>
      <c r="L459" s="265"/>
      <c r="M459" s="265"/>
      <c r="P459" s="739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</row>
    <row r="460" spans="1:29" ht="12">
      <c r="A460" s="265"/>
      <c r="B460" s="265"/>
      <c r="D460" s="265"/>
      <c r="F460" s="265"/>
      <c r="G460" s="265"/>
      <c r="H460" s="265"/>
      <c r="I460" s="265"/>
      <c r="J460" s="265"/>
      <c r="K460" s="265"/>
      <c r="L460" s="265"/>
      <c r="M460" s="265"/>
      <c r="P460" s="739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</row>
    <row r="461" spans="1:29" ht="12">
      <c r="A461" s="265"/>
      <c r="B461" s="265"/>
      <c r="D461" s="265"/>
      <c r="F461" s="265"/>
      <c r="G461" s="265"/>
      <c r="H461" s="265"/>
      <c r="I461" s="265"/>
      <c r="J461" s="265"/>
      <c r="K461" s="265"/>
      <c r="L461" s="265"/>
      <c r="M461" s="265"/>
      <c r="P461" s="739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</row>
    <row r="462" spans="1:29" ht="12">
      <c r="A462" s="265"/>
      <c r="B462" s="265"/>
      <c r="D462" s="265"/>
      <c r="F462" s="265"/>
      <c r="G462" s="265"/>
      <c r="H462" s="265"/>
      <c r="I462" s="265"/>
      <c r="J462" s="265"/>
      <c r="K462" s="265"/>
      <c r="L462" s="265"/>
      <c r="M462" s="265"/>
      <c r="P462" s="739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</row>
    <row r="463" spans="1:29" ht="12">
      <c r="A463" s="265"/>
      <c r="B463" s="265"/>
      <c r="D463" s="265"/>
      <c r="F463" s="265"/>
      <c r="G463" s="265"/>
      <c r="H463" s="265"/>
      <c r="I463" s="265"/>
      <c r="J463" s="265"/>
      <c r="K463" s="265"/>
      <c r="L463" s="265"/>
      <c r="M463" s="265"/>
      <c r="P463" s="739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</row>
    <row r="464" spans="1:29" ht="12">
      <c r="A464" s="265"/>
      <c r="B464" s="265"/>
      <c r="D464" s="265"/>
      <c r="F464" s="265"/>
      <c r="G464" s="265"/>
      <c r="H464" s="265"/>
      <c r="I464" s="265"/>
      <c r="J464" s="265"/>
      <c r="K464" s="265"/>
      <c r="L464" s="265"/>
      <c r="M464" s="265"/>
      <c r="P464" s="739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</row>
  </sheetData>
  <sheetProtection formatCells="0" formatColumns="0" formatRows="0" insertColumns="0" insertRows="0" deleteColumns="0" deleteRows="0" sort="0" autoFilter="0"/>
  <dataConsolidate/>
  <mergeCells count="4">
    <mergeCell ref="L10:M10"/>
    <mergeCell ref="Q10:R10"/>
    <mergeCell ref="I450:J450"/>
    <mergeCell ref="I451:J451"/>
  </mergeCells>
  <pageMargins left="0.39370078740157483" right="0" top="0.59055118110236227" bottom="0.59055118110236227" header="0.31496062992125984" footer="0.31496062992125984"/>
  <pageSetup paperSize="14" scale="48" orientation="landscape" r:id="rId1"/>
  <rowBreaks count="4" manualBreakCount="4">
    <brk id="31" min="1" max="45" man="1"/>
    <brk id="65" min="1" max="45" man="1"/>
    <brk id="345" min="1" max="45" man="1"/>
    <brk id="397" min="1" max="28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1">
    <tabColor rgb="FFFF0000"/>
  </sheetPr>
  <dimension ref="A1:AP421"/>
  <sheetViews>
    <sheetView view="pageBreakPreview" topLeftCell="A11" zoomScale="90" zoomScaleNormal="60" zoomScaleSheetLayoutView="90" workbookViewId="0">
      <pane ySplit="1680" activePane="bottomLeft"/>
      <selection sqref="A1:F1"/>
      <selection pane="bottomLeft" activeCell="C5" sqref="C5"/>
    </sheetView>
  </sheetViews>
  <sheetFormatPr baseColWidth="10" defaultRowHeight="15"/>
  <cols>
    <col min="1" max="1" width="7.5703125" style="263" customWidth="1"/>
    <col min="2" max="2" width="13.85546875" style="265" customWidth="1"/>
    <col min="3" max="3" width="42.28515625" style="737" customWidth="1"/>
    <col min="4" max="4" width="13.42578125" style="265" hidden="1" customWidth="1"/>
    <col min="5" max="5" width="17" style="737" hidden="1" customWidth="1"/>
    <col min="6" max="6" width="8.7109375" style="603" hidden="1" customWidth="1"/>
    <col min="7" max="7" width="14.28515625" style="849" customWidth="1"/>
    <col min="8" max="8" width="9" style="603" bestFit="1" customWidth="1"/>
    <col min="9" max="9" width="10.140625" style="603" bestFit="1" customWidth="1"/>
    <col min="10" max="15" width="13.85546875" style="263" customWidth="1"/>
    <col min="16" max="17" width="12.28515625" style="739" customWidth="1"/>
    <col min="18" max="18" width="12.7109375" style="739" customWidth="1"/>
    <col min="19" max="19" width="15.85546875" style="739" customWidth="1"/>
    <col min="20" max="20" width="18.140625" style="739" customWidth="1"/>
    <col min="21" max="21" width="13" style="739" hidden="1" customWidth="1"/>
    <col min="22" max="22" width="15.140625" style="740" hidden="1" customWidth="1"/>
    <col min="23" max="23" width="12.85546875" style="740" hidden="1" customWidth="1"/>
    <col min="24" max="26" width="13.5703125" style="740" hidden="1" customWidth="1"/>
    <col min="27" max="27" width="16.140625" style="740" hidden="1" customWidth="1"/>
    <col min="28" max="33" width="14.28515625" style="740" hidden="1" customWidth="1"/>
    <col min="34" max="35" width="20.7109375" style="740" hidden="1" customWidth="1"/>
    <col min="36" max="36" width="19" style="740" hidden="1" customWidth="1"/>
    <col min="37" max="37" width="17.7109375" style="740" hidden="1" customWidth="1"/>
    <col min="38" max="39" width="14.28515625" style="740" hidden="1" customWidth="1"/>
    <col min="40" max="40" width="13.5703125" style="740" hidden="1" customWidth="1"/>
    <col min="41" max="41" width="14.5703125" style="265" customWidth="1"/>
    <col min="42" max="42" width="13.5703125" style="740" customWidth="1"/>
    <col min="43" max="16384" width="11.42578125" style="265"/>
  </cols>
  <sheetData>
    <row r="1" spans="1:42" s="629" customFormat="1" ht="22.5" customHeight="1">
      <c r="A1" s="628"/>
      <c r="C1" s="630">
        <f>E9</f>
        <v>0</v>
      </c>
      <c r="E1" s="631"/>
      <c r="F1" s="941"/>
      <c r="G1" s="830"/>
      <c r="H1" s="941"/>
      <c r="I1" s="941"/>
      <c r="J1" s="628"/>
      <c r="K1" s="628"/>
      <c r="L1" s="628"/>
      <c r="M1" s="628"/>
      <c r="N1" s="628"/>
      <c r="O1" s="628"/>
      <c r="P1" s="633"/>
      <c r="Q1" s="633"/>
      <c r="R1" s="633"/>
      <c r="S1" s="633"/>
      <c r="T1" s="633"/>
      <c r="U1" s="633"/>
      <c r="V1" s="634"/>
      <c r="W1" s="634"/>
      <c r="X1" s="634"/>
      <c r="Y1" s="634"/>
      <c r="Z1" s="634"/>
      <c r="AA1" s="634"/>
      <c r="AB1" s="634"/>
      <c r="AC1" s="634"/>
      <c r="AD1" s="634"/>
      <c r="AE1" s="634"/>
      <c r="AF1" s="634"/>
      <c r="AG1" s="634"/>
      <c r="AH1" s="634"/>
      <c r="AI1" s="634"/>
      <c r="AJ1" s="634"/>
      <c r="AK1" s="634"/>
      <c r="AL1" s="634"/>
      <c r="AM1" s="634"/>
      <c r="AN1" s="634"/>
      <c r="AP1" s="634"/>
    </row>
    <row r="2" spans="1:42" s="629" customFormat="1" hidden="1">
      <c r="A2" s="628"/>
      <c r="C2" s="631"/>
      <c r="E2" s="631"/>
      <c r="F2" s="941"/>
      <c r="G2" s="830"/>
      <c r="H2" s="941"/>
      <c r="I2" s="941"/>
      <c r="J2" s="628"/>
      <c r="K2" s="628"/>
      <c r="L2" s="628"/>
      <c r="M2" s="628"/>
      <c r="N2" s="628"/>
      <c r="O2" s="628"/>
      <c r="P2" s="633"/>
      <c r="Q2" s="633"/>
      <c r="R2" s="633"/>
      <c r="S2" s="633"/>
      <c r="T2" s="633"/>
      <c r="U2" s="633"/>
      <c r="V2" s="634"/>
      <c r="W2" s="634"/>
      <c r="X2" s="634"/>
      <c r="Y2" s="634"/>
      <c r="Z2" s="634"/>
      <c r="AA2" s="634"/>
      <c r="AB2" s="634"/>
      <c r="AC2" s="634"/>
      <c r="AD2" s="634"/>
      <c r="AE2" s="634"/>
      <c r="AF2" s="634"/>
      <c r="AG2" s="634"/>
      <c r="AH2" s="634"/>
      <c r="AI2" s="634"/>
      <c r="AJ2" s="634"/>
      <c r="AK2" s="634"/>
      <c r="AL2" s="634"/>
      <c r="AM2" s="634"/>
      <c r="AN2" s="634"/>
      <c r="AP2" s="634"/>
    </row>
    <row r="3" spans="1:42" s="629" customFormat="1" hidden="1">
      <c r="A3" s="628"/>
      <c r="C3" s="631"/>
      <c r="E3" s="631"/>
      <c r="F3" s="941"/>
      <c r="G3" s="830"/>
      <c r="H3" s="941"/>
      <c r="I3" s="941"/>
      <c r="J3" s="628"/>
      <c r="K3" s="628"/>
      <c r="L3" s="628"/>
      <c r="M3" s="628"/>
      <c r="N3" s="628"/>
      <c r="O3" s="628"/>
      <c r="P3" s="633"/>
      <c r="Q3" s="633"/>
      <c r="R3" s="633"/>
      <c r="S3" s="633"/>
      <c r="T3" s="633"/>
      <c r="U3" s="633"/>
      <c r="V3" s="634"/>
      <c r="W3" s="634"/>
      <c r="X3" s="634"/>
      <c r="Y3" s="634"/>
      <c r="Z3" s="634"/>
      <c r="AA3" s="634"/>
      <c r="AB3" s="634"/>
      <c r="AC3" s="634"/>
      <c r="AD3" s="634"/>
      <c r="AE3" s="634"/>
      <c r="AF3" s="634"/>
      <c r="AG3" s="634"/>
      <c r="AH3" s="634"/>
      <c r="AI3" s="634"/>
      <c r="AJ3" s="634"/>
      <c r="AK3" s="634"/>
      <c r="AL3" s="634"/>
      <c r="AM3" s="634"/>
      <c r="AN3" s="634"/>
      <c r="AP3" s="634"/>
    </row>
    <row r="4" spans="1:42" s="629" customFormat="1" hidden="1">
      <c r="A4" s="628"/>
      <c r="C4" s="631"/>
      <c r="E4" s="631"/>
      <c r="F4" s="941"/>
      <c r="G4" s="830"/>
      <c r="H4" s="941"/>
      <c r="I4" s="941"/>
      <c r="J4" s="628"/>
      <c r="K4" s="628"/>
      <c r="L4" s="628"/>
      <c r="M4" s="628"/>
      <c r="N4" s="628"/>
      <c r="O4" s="628"/>
      <c r="P4" s="633"/>
      <c r="Q4" s="633"/>
      <c r="R4" s="633"/>
      <c r="S4" s="633"/>
      <c r="T4" s="633"/>
      <c r="U4" s="633"/>
      <c r="V4" s="634"/>
      <c r="W4" s="634"/>
      <c r="X4" s="634"/>
      <c r="Y4" s="634"/>
      <c r="Z4" s="634"/>
      <c r="AA4" s="634"/>
      <c r="AB4" s="634"/>
      <c r="AC4" s="634"/>
      <c r="AD4" s="634"/>
      <c r="AE4" s="634"/>
      <c r="AF4" s="634"/>
      <c r="AG4" s="634"/>
      <c r="AH4" s="634"/>
      <c r="AI4" s="634"/>
      <c r="AJ4" s="634"/>
      <c r="AK4" s="634"/>
      <c r="AL4" s="634"/>
      <c r="AM4" s="634"/>
      <c r="AN4" s="634"/>
      <c r="AP4" s="634"/>
    </row>
    <row r="5" spans="1:42" s="629" customFormat="1">
      <c r="A5" s="628"/>
      <c r="C5" s="631"/>
      <c r="E5" s="631"/>
      <c r="F5" s="941"/>
      <c r="G5" s="830"/>
      <c r="H5" s="941"/>
      <c r="I5" s="941"/>
      <c r="J5" s="628"/>
      <c r="K5" s="628"/>
      <c r="L5" s="628"/>
      <c r="M5" s="628"/>
      <c r="N5" s="628"/>
      <c r="O5" s="628"/>
      <c r="P5" s="633"/>
      <c r="Q5" s="633"/>
      <c r="R5" s="633"/>
      <c r="S5" s="633"/>
      <c r="T5" s="633"/>
      <c r="U5" s="633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F5" s="634"/>
      <c r="AG5" s="634"/>
      <c r="AH5" s="634"/>
      <c r="AI5" s="634"/>
      <c r="AJ5" s="634"/>
      <c r="AK5" s="634"/>
      <c r="AL5" s="634"/>
      <c r="AM5" s="634"/>
      <c r="AN5" s="634"/>
      <c r="AP5" s="634"/>
    </row>
    <row r="6" spans="1:42" s="629" customFormat="1">
      <c r="A6" s="628"/>
      <c r="C6" s="631"/>
      <c r="E6" s="631"/>
      <c r="F6" s="941"/>
      <c r="G6" s="830"/>
      <c r="H6" s="941"/>
      <c r="I6" s="941"/>
      <c r="J6" s="628"/>
      <c r="K6" s="628"/>
      <c r="L6" s="628"/>
      <c r="M6" s="628"/>
      <c r="N6" s="628"/>
      <c r="O6" s="628"/>
      <c r="P6" s="633"/>
      <c r="Q6" s="633"/>
      <c r="R6" s="633"/>
      <c r="S6" s="633"/>
      <c r="T6" s="633"/>
      <c r="U6" s="633"/>
      <c r="V6" s="634"/>
      <c r="W6" s="634"/>
      <c r="X6" s="634"/>
      <c r="Y6" s="634"/>
      <c r="Z6" s="634"/>
      <c r="AA6" s="634"/>
      <c r="AB6" s="634"/>
      <c r="AC6" s="634"/>
      <c r="AD6" s="634"/>
      <c r="AE6" s="634"/>
      <c r="AF6" s="634"/>
      <c r="AG6" s="634"/>
      <c r="AH6" s="634"/>
      <c r="AI6" s="634"/>
      <c r="AJ6" s="634"/>
      <c r="AK6" s="634"/>
      <c r="AL6" s="634"/>
      <c r="AM6" s="634"/>
      <c r="AN6" s="634"/>
      <c r="AP6" s="634"/>
    </row>
    <row r="7" spans="1:42" s="629" customFormat="1" ht="37.5" customHeight="1">
      <c r="A7" s="628"/>
      <c r="C7" s="631"/>
      <c r="E7" s="631"/>
      <c r="F7" s="941"/>
      <c r="G7" s="830"/>
      <c r="H7" s="941"/>
      <c r="I7" s="941"/>
      <c r="J7" s="628"/>
      <c r="K7" s="628"/>
      <c r="L7" s="628"/>
      <c r="M7" s="628"/>
      <c r="N7" s="628"/>
      <c r="O7" s="628"/>
      <c r="P7" s="831" t="s">
        <v>4567</v>
      </c>
      <c r="Q7" s="831" t="s">
        <v>4618</v>
      </c>
      <c r="R7" s="832">
        <v>2023</v>
      </c>
      <c r="S7" s="633"/>
      <c r="T7" s="633"/>
      <c r="U7" s="633"/>
      <c r="V7" s="634"/>
      <c r="W7" s="634"/>
      <c r="X7" s="634"/>
      <c r="Y7" s="634"/>
      <c r="Z7" s="634"/>
      <c r="AA7" s="634"/>
      <c r="AB7" s="634"/>
      <c r="AC7" s="634"/>
      <c r="AD7" s="634"/>
      <c r="AE7" s="634"/>
      <c r="AF7" s="634"/>
      <c r="AG7" s="634"/>
      <c r="AH7" s="634"/>
      <c r="AI7" s="634"/>
      <c r="AJ7" s="634"/>
      <c r="AK7" s="634"/>
      <c r="AL7" s="634"/>
      <c r="AM7" s="634"/>
      <c r="AN7" s="634"/>
      <c r="AP7" s="634"/>
    </row>
    <row r="8" spans="1:42" s="629" customFormat="1" ht="21" customHeight="1">
      <c r="A8" s="628"/>
      <c r="C8" s="631"/>
      <c r="E8" s="631"/>
      <c r="F8" s="941"/>
      <c r="G8" s="830"/>
      <c r="H8" s="941"/>
      <c r="I8" s="941"/>
      <c r="J8" s="628"/>
      <c r="K8" s="628"/>
      <c r="L8" s="628"/>
      <c r="M8" s="628"/>
      <c r="N8" s="628"/>
      <c r="O8" s="628"/>
      <c r="P8" s="833"/>
      <c r="Q8" s="833"/>
      <c r="R8" s="834"/>
      <c r="S8" s="633"/>
      <c r="T8" s="633"/>
      <c r="U8" s="633"/>
      <c r="V8" s="634"/>
      <c r="W8" s="634"/>
      <c r="X8" s="634"/>
      <c r="Y8" s="634"/>
      <c r="Z8" s="634"/>
      <c r="AA8" s="634"/>
      <c r="AB8" s="634"/>
      <c r="AC8" s="634"/>
      <c r="AD8" s="634"/>
      <c r="AE8" s="634"/>
      <c r="AF8" s="634"/>
      <c r="AG8" s="634"/>
      <c r="AH8" s="634"/>
      <c r="AI8" s="634"/>
      <c r="AJ8" s="634"/>
      <c r="AK8" s="634"/>
      <c r="AL8" s="634"/>
      <c r="AM8" s="634"/>
      <c r="AN8" s="634"/>
      <c r="AP8" s="634"/>
    </row>
    <row r="9" spans="1:42" s="629" customFormat="1" ht="29.25" customHeight="1" thickBot="1">
      <c r="A9" s="628"/>
      <c r="B9" s="1732" t="str">
        <f>+"MES DE "&amp;NOMINA!F9&amp;" "&amp;NOMINA!H9&amp;" - RETENCIONES Y APORTES"</f>
        <v>MES DE ENERO 2025 - RETENCIONES Y APORTES</v>
      </c>
      <c r="C9" s="1733"/>
      <c r="D9" s="1733"/>
      <c r="E9" s="1733"/>
      <c r="F9" s="1733"/>
      <c r="G9" s="1734"/>
      <c r="H9" s="639"/>
      <c r="I9" s="639"/>
      <c r="J9" s="628"/>
      <c r="K9" s="628"/>
      <c r="L9" s="628"/>
      <c r="M9" s="628"/>
      <c r="N9" s="628"/>
      <c r="O9" s="628"/>
      <c r="P9" s="633"/>
      <c r="Q9" s="633"/>
      <c r="R9" s="633"/>
      <c r="S9" s="633"/>
      <c r="T9" s="633"/>
      <c r="U9" s="633"/>
      <c r="V9" s="634"/>
      <c r="W9" s="634"/>
      <c r="X9" s="634"/>
      <c r="Y9" s="634"/>
      <c r="Z9" s="634"/>
      <c r="AA9" s="1725" t="s">
        <v>5515</v>
      </c>
      <c r="AB9" s="1726"/>
      <c r="AC9" s="1726"/>
      <c r="AD9" s="1726"/>
      <c r="AE9" s="1726"/>
      <c r="AF9" s="1727"/>
      <c r="AG9" s="640"/>
      <c r="AH9" s="640"/>
      <c r="AI9" s="640"/>
      <c r="AJ9" s="640"/>
      <c r="AK9" s="640"/>
      <c r="AL9" s="640"/>
      <c r="AM9" s="640"/>
      <c r="AN9" s="634"/>
      <c r="AP9" s="634"/>
    </row>
    <row r="10" spans="1:42" s="642" customFormat="1" ht="27.75" customHeight="1" thickBot="1">
      <c r="A10" s="641"/>
      <c r="C10" s="643"/>
      <c r="E10" s="643"/>
      <c r="F10" s="641"/>
      <c r="G10" s="835"/>
      <c r="H10" s="641"/>
      <c r="I10" s="641"/>
      <c r="J10" s="1735" t="s">
        <v>4575</v>
      </c>
      <c r="K10" s="1736"/>
      <c r="L10" s="1736"/>
      <c r="M10" s="1736"/>
      <c r="N10" s="1737"/>
      <c r="O10" s="628"/>
      <c r="P10" s="942"/>
      <c r="Q10" s="943" t="s">
        <v>14</v>
      </c>
      <c r="R10" s="944"/>
      <c r="S10" s="633"/>
      <c r="T10" s="750">
        <v>1</v>
      </c>
      <c r="U10" s="881">
        <v>2</v>
      </c>
      <c r="V10" s="646">
        <v>3</v>
      </c>
      <c r="W10" s="647">
        <v>4</v>
      </c>
      <c r="AA10" s="974" t="s">
        <v>5504</v>
      </c>
      <c r="AB10" s="648"/>
      <c r="AC10" s="974" t="s">
        <v>5504</v>
      </c>
      <c r="AD10" s="974" t="s">
        <v>5504</v>
      </c>
      <c r="AE10" s="974"/>
      <c r="AF10" s="974" t="s">
        <v>5504</v>
      </c>
      <c r="AG10" s="974" t="s">
        <v>5504</v>
      </c>
      <c r="AH10" s="974" t="s">
        <v>5504</v>
      </c>
      <c r="AI10" s="649"/>
      <c r="AJ10" s="649" t="s">
        <v>5504</v>
      </c>
      <c r="AK10" s="1728" t="s">
        <v>5505</v>
      </c>
      <c r="AL10" s="1728"/>
      <c r="AM10" s="650"/>
    </row>
    <row r="11" spans="1:42" s="629" customFormat="1" ht="78.75" customHeight="1" thickBot="1">
      <c r="A11" s="653" t="s">
        <v>0</v>
      </c>
      <c r="B11" s="654" t="s">
        <v>2</v>
      </c>
      <c r="C11" s="655" t="s">
        <v>3</v>
      </c>
      <c r="D11" s="654" t="s">
        <v>4619</v>
      </c>
      <c r="E11" s="656" t="s">
        <v>4580</v>
      </c>
      <c r="F11" s="654" t="s">
        <v>4623</v>
      </c>
      <c r="G11" s="654" t="s">
        <v>4</v>
      </c>
      <c r="H11" s="654" t="s">
        <v>4625</v>
      </c>
      <c r="I11" s="654" t="s">
        <v>4624</v>
      </c>
      <c r="J11" s="836" t="s">
        <v>4577</v>
      </c>
      <c r="K11" s="837" t="s">
        <v>4578</v>
      </c>
      <c r="L11" s="837" t="s">
        <v>4579</v>
      </c>
      <c r="M11" s="837" t="s">
        <v>5101</v>
      </c>
      <c r="N11" s="837" t="s">
        <v>5100</v>
      </c>
      <c r="O11" s="756" t="s">
        <v>4576</v>
      </c>
      <c r="P11" s="838" t="s">
        <v>4581</v>
      </c>
      <c r="Q11" s="837" t="s">
        <v>4582</v>
      </c>
      <c r="R11" s="837" t="s">
        <v>4583</v>
      </c>
      <c r="S11" s="839" t="s">
        <v>4635</v>
      </c>
      <c r="T11" s="658" t="s">
        <v>4662</v>
      </c>
      <c r="U11" s="658" t="s">
        <v>4661</v>
      </c>
      <c r="V11" s="658" t="s">
        <v>4568</v>
      </c>
      <c r="W11" s="657" t="s">
        <v>4569</v>
      </c>
      <c r="AA11" s="659" t="s">
        <v>5506</v>
      </c>
      <c r="AB11" s="660" t="s">
        <v>4637</v>
      </c>
      <c r="AC11" s="659" t="s">
        <v>5507</v>
      </c>
      <c r="AD11" s="659" t="s">
        <v>5508</v>
      </c>
      <c r="AE11" s="659" t="s">
        <v>5857</v>
      </c>
      <c r="AF11" s="659" t="s">
        <v>5510</v>
      </c>
      <c r="AG11" s="659" t="s">
        <v>5858</v>
      </c>
      <c r="AH11" s="661" t="s">
        <v>5511</v>
      </c>
      <c r="AI11" s="662" t="s">
        <v>5859</v>
      </c>
      <c r="AJ11" s="659" t="s">
        <v>5512</v>
      </c>
      <c r="AK11" s="663" t="s">
        <v>5507</v>
      </c>
      <c r="AL11" s="663" t="s">
        <v>5513</v>
      </c>
      <c r="AM11" s="659" t="s">
        <v>5514</v>
      </c>
      <c r="AN11" s="634"/>
    </row>
    <row r="12" spans="1:42" s="629" customFormat="1" ht="21.75" customHeight="1">
      <c r="A12" s="665" t="str">
        <f>+"PERSONAL EN COMISION DE SERVICIO_"&amp;NOMINA!F9&amp;"_"&amp;NOMINA!H9</f>
        <v>PERSONAL EN COMISION DE SERVICIO_ENERO_2025</v>
      </c>
      <c r="B12" s="759"/>
      <c r="C12" s="760"/>
      <c r="D12" s="759"/>
      <c r="E12" s="760"/>
      <c r="F12" s="761"/>
      <c r="G12" s="840"/>
      <c r="H12" s="763"/>
      <c r="I12" s="763"/>
      <c r="J12" s="765"/>
      <c r="K12" s="765"/>
      <c r="L12" s="765"/>
      <c r="M12" s="765"/>
      <c r="N12" s="765"/>
      <c r="O12" s="765"/>
      <c r="P12" s="766"/>
      <c r="Q12" s="766"/>
      <c r="R12" s="766"/>
      <c r="S12" s="766"/>
      <c r="T12" s="766"/>
      <c r="U12" s="766"/>
      <c r="V12" s="841"/>
      <c r="AN12" s="634"/>
    </row>
    <row r="13" spans="1:42" s="629" customFormat="1" ht="20.100000000000001" customHeight="1">
      <c r="A13" s="771">
        <v>1</v>
      </c>
      <c r="B13" s="980">
        <f>+NOMINA!C13</f>
        <v>19591141</v>
      </c>
      <c r="C13" s="981" t="str">
        <f>+NOMINA!D13</f>
        <v>Almazan Barragan Maria de los Angeles</v>
      </c>
      <c r="D13" s="978" t="s">
        <v>4622</v>
      </c>
      <c r="E13" s="982">
        <v>32351</v>
      </c>
      <c r="F13" s="978" t="s">
        <v>4620</v>
      </c>
      <c r="G13" s="1004">
        <f>+NOMINA!H13</f>
        <v>44537</v>
      </c>
      <c r="H13" s="984">
        <f>IF(AND(YEAR(G13)&lt;2023,MONTH(G13)&gt;$P$8),2023-YEAR(G13)-1,IF(OR(G13="",YEAR(G13)&gt;2023),0,2023-YEAR(G13)))</f>
        <v>1</v>
      </c>
      <c r="I13" s="985">
        <v>0</v>
      </c>
      <c r="J13" s="999">
        <f>+NOMINA!BL13</f>
        <v>0</v>
      </c>
      <c r="K13" s="999">
        <f>+NOMINA!BM13</f>
        <v>0</v>
      </c>
      <c r="L13" s="999">
        <f>+NOMINA!BN13</f>
        <v>0</v>
      </c>
      <c r="M13" s="999">
        <f>++NOMINA!BO13</f>
        <v>0</v>
      </c>
      <c r="N13" s="999">
        <f>+NOMINA!BP13</f>
        <v>0</v>
      </c>
      <c r="O13" s="986">
        <f>ROUND(SUM(J13:N13),2)</f>
        <v>0</v>
      </c>
      <c r="P13" s="999">
        <f>+NOMINA!BR13</f>
        <v>0</v>
      </c>
      <c r="Q13" s="999">
        <f>+NOMINA!BS13</f>
        <v>0</v>
      </c>
      <c r="R13" s="999">
        <f>+NOMINA!BT13</f>
        <v>0</v>
      </c>
      <c r="S13" s="986">
        <f>ROUND(SUM(P13:R13),2)</f>
        <v>0</v>
      </c>
      <c r="T13" s="986">
        <f>O13+S13</f>
        <v>0</v>
      </c>
      <c r="U13" s="1005">
        <v>0</v>
      </c>
      <c r="V13" s="443" t="e">
        <f>#REF!+#REF!-O13</f>
        <v>#REF!</v>
      </c>
      <c r="W13" s="975" t="e">
        <f>ROUND((#REF!+#REF!+#REF!+#REF!+#REF!+#REF!+#REF!+#REF!+#REF!),2)</f>
        <v>#REF!</v>
      </c>
      <c r="AA13" s="976" t="e">
        <f>#REF!+#REF!-O13</f>
        <v>#REF!</v>
      </c>
      <c r="AB13" s="977" t="e">
        <f>#REF!</f>
        <v>#REF!</v>
      </c>
      <c r="AC13" s="976" t="e">
        <f>#REF!+#REF!</f>
        <v>#REF!</v>
      </c>
      <c r="AD13" s="977" t="e">
        <f>#REF!</f>
        <v>#REF!</v>
      </c>
      <c r="AE13" s="978">
        <v>0</v>
      </c>
      <c r="AF13" s="977" t="e">
        <f>#REF!</f>
        <v>#REF!</v>
      </c>
      <c r="AG13" s="979" t="e">
        <f>#REF!+#REF!</f>
        <v>#REF!</v>
      </c>
      <c r="AH13" s="979" t="e">
        <f>#REF!+#REF!</f>
        <v>#REF!</v>
      </c>
      <c r="AI13" s="979"/>
      <c r="AJ13" s="977" t="e">
        <f>#REF!</f>
        <v>#REF!</v>
      </c>
      <c r="AK13" s="977" t="e">
        <f>SUM(AC13:AJ13)</f>
        <v>#REF!</v>
      </c>
      <c r="AL13" s="977">
        <f>O13+S13</f>
        <v>0</v>
      </c>
      <c r="AM13" s="977">
        <f>U13</f>
        <v>0</v>
      </c>
      <c r="AN13" s="634"/>
    </row>
    <row r="14" spans="1:42" s="629" customFormat="1" ht="20.100000000000001" customHeight="1" thickBot="1">
      <c r="A14" s="771">
        <v>2</v>
      </c>
      <c r="B14" s="1145">
        <f>+NOMINA!C14</f>
        <v>15827671</v>
      </c>
      <c r="C14" s="1146" t="str">
        <f>+NOMINA!D14</f>
        <v>Montilla Macias Lucy Margarita</v>
      </c>
      <c r="D14" s="1147" t="s">
        <v>4622</v>
      </c>
      <c r="E14" s="1153">
        <v>32351</v>
      </c>
      <c r="F14" s="1147" t="s">
        <v>4620</v>
      </c>
      <c r="G14" s="1154">
        <f>+NOMINA!H14</f>
        <v>44545</v>
      </c>
      <c r="H14" s="1148">
        <f t="shared" ref="H14" si="0">IF(AND(YEAR(G14)&lt;2023,MONTH(G14)&gt;$P$8),2023-YEAR(G14)-1,IF(OR(G14="",YEAR(G14)&gt;2023),0,2023-YEAR(G14)))</f>
        <v>1</v>
      </c>
      <c r="I14" s="1149">
        <v>0</v>
      </c>
      <c r="J14" s="1150">
        <f>+NOMINA!BL14</f>
        <v>0</v>
      </c>
      <c r="K14" s="1150">
        <f>+NOMINA!BM14</f>
        <v>0</v>
      </c>
      <c r="L14" s="1150">
        <f>+NOMINA!BN14</f>
        <v>0</v>
      </c>
      <c r="M14" s="1150">
        <f>++NOMINA!BO14</f>
        <v>0</v>
      </c>
      <c r="N14" s="1150">
        <f>+NOMINA!BP14</f>
        <v>0</v>
      </c>
      <c r="O14" s="1151">
        <f t="shared" ref="O14" si="1">ROUND(SUM(J14:N14),2)</f>
        <v>0</v>
      </c>
      <c r="P14" s="1150">
        <f>+NOMINA!BR14</f>
        <v>0</v>
      </c>
      <c r="Q14" s="1150">
        <f>+NOMINA!BS14</f>
        <v>0</v>
      </c>
      <c r="R14" s="1150">
        <f>+NOMINA!BT14</f>
        <v>0</v>
      </c>
      <c r="S14" s="1151">
        <f t="shared" ref="S14" si="2">ROUND(SUM(P14:R14),2)</f>
        <v>0</v>
      </c>
      <c r="T14" s="1151">
        <f t="shared" ref="T14" si="3">O14+S14</f>
        <v>0</v>
      </c>
      <c r="U14" s="1155"/>
      <c r="V14" s="1156"/>
      <c r="W14" s="1157"/>
      <c r="AA14" s="1115"/>
      <c r="AB14" s="1158"/>
      <c r="AC14" s="1115"/>
      <c r="AD14" s="1158"/>
      <c r="AE14" s="1147"/>
      <c r="AF14" s="1158"/>
      <c r="AG14" s="1159"/>
      <c r="AH14" s="1159"/>
      <c r="AI14" s="1159"/>
      <c r="AJ14" s="1158"/>
      <c r="AK14" s="1158"/>
      <c r="AL14" s="1158"/>
      <c r="AM14" s="1158"/>
      <c r="AN14" s="634"/>
    </row>
    <row r="15" spans="1:42" s="629" customFormat="1" ht="18.95" customHeight="1" thickBot="1">
      <c r="A15" s="676"/>
      <c r="B15" s="772"/>
      <c r="C15" s="773"/>
      <c r="D15" s="774"/>
      <c r="E15" s="775"/>
      <c r="F15" s="774"/>
      <c r="G15" s="842"/>
      <c r="H15" s="776"/>
      <c r="I15" s="777"/>
      <c r="J15" s="694">
        <f t="shared" ref="J15:W15" si="4">SUM(J13:J14)</f>
        <v>0</v>
      </c>
      <c r="K15" s="694">
        <f t="shared" si="4"/>
        <v>0</v>
      </c>
      <c r="L15" s="694">
        <f t="shared" si="4"/>
        <v>0</v>
      </c>
      <c r="M15" s="694">
        <f t="shared" si="4"/>
        <v>0</v>
      </c>
      <c r="N15" s="694">
        <f t="shared" si="4"/>
        <v>0</v>
      </c>
      <c r="O15" s="694">
        <f t="shared" si="4"/>
        <v>0</v>
      </c>
      <c r="P15" s="694">
        <f t="shared" si="4"/>
        <v>0</v>
      </c>
      <c r="Q15" s="694">
        <f t="shared" si="4"/>
        <v>0</v>
      </c>
      <c r="R15" s="694">
        <f t="shared" si="4"/>
        <v>0</v>
      </c>
      <c r="S15" s="694">
        <f t="shared" si="4"/>
        <v>0</v>
      </c>
      <c r="T15" s="694">
        <f t="shared" si="4"/>
        <v>0</v>
      </c>
      <c r="U15" s="694">
        <f t="shared" si="4"/>
        <v>0</v>
      </c>
      <c r="V15" s="695" t="e">
        <f t="shared" si="4"/>
        <v>#REF!</v>
      </c>
      <c r="W15" s="694" t="e">
        <f t="shared" si="4"/>
        <v>#REF!</v>
      </c>
      <c r="Z15" s="634"/>
      <c r="AA15" s="976"/>
      <c r="AB15" s="977"/>
      <c r="AC15" s="976"/>
      <c r="AD15" s="977"/>
      <c r="AE15" s="978"/>
      <c r="AF15" s="977"/>
      <c r="AG15" s="979"/>
      <c r="AH15" s="979"/>
      <c r="AI15" s="979"/>
      <c r="AJ15" s="977"/>
      <c r="AK15" s="977"/>
      <c r="AL15" s="977"/>
      <c r="AM15" s="977"/>
      <c r="AN15" s="634"/>
      <c r="AO15" s="634">
        <v>0</v>
      </c>
      <c r="AP15" s="634">
        <f>+T15-AO15</f>
        <v>0</v>
      </c>
    </row>
    <row r="16" spans="1:42" s="629" customFormat="1" ht="18.95" customHeight="1">
      <c r="A16" s="665" t="str">
        <f>+"ALTO NIVEL Y DIRECCION_"&amp;NOMINA!F9&amp;"_"&amp;NOMINA!H9</f>
        <v>ALTO NIVEL Y DIRECCION_ENERO_2025</v>
      </c>
      <c r="B16" s="666"/>
      <c r="C16" s="667"/>
      <c r="D16" s="668"/>
      <c r="E16" s="669"/>
      <c r="F16" s="668"/>
      <c r="G16" s="843"/>
      <c r="H16" s="671"/>
      <c r="I16" s="672"/>
      <c r="J16" s="844"/>
      <c r="K16" s="844"/>
      <c r="L16" s="844"/>
      <c r="M16" s="844"/>
      <c r="N16" s="844"/>
      <c r="O16" s="343"/>
      <c r="P16" s="844"/>
      <c r="Q16" s="844"/>
      <c r="R16" s="844"/>
      <c r="S16" s="343"/>
      <c r="T16" s="673"/>
      <c r="U16" s="673"/>
      <c r="V16" s="674"/>
      <c r="W16" s="975"/>
      <c r="Z16" s="634"/>
      <c r="AA16" s="976"/>
      <c r="AB16" s="977"/>
      <c r="AC16" s="976"/>
      <c r="AD16" s="977"/>
      <c r="AE16" s="978"/>
      <c r="AF16" s="977"/>
      <c r="AG16" s="979"/>
      <c r="AH16" s="979"/>
      <c r="AI16" s="979"/>
      <c r="AJ16" s="977"/>
      <c r="AK16" s="977"/>
      <c r="AL16" s="977"/>
      <c r="AM16" s="977"/>
      <c r="AN16" s="634"/>
    </row>
    <row r="17" spans="1:40" s="629" customFormat="1" ht="20.100000000000001" customHeight="1">
      <c r="A17" s="771">
        <v>1</v>
      </c>
      <c r="B17" s="980">
        <f>+NOMINA!C17</f>
        <v>11894534</v>
      </c>
      <c r="C17" s="981" t="str">
        <f>+NOMINA!D17</f>
        <v>Olmos Rodriguez Eberto de Jesus</v>
      </c>
      <c r="D17" s="978" t="s">
        <v>4622</v>
      </c>
      <c r="E17" s="982">
        <v>32351</v>
      </c>
      <c r="F17" s="978" t="s">
        <v>4620</v>
      </c>
      <c r="G17" s="1001">
        <f>+NOMINA!H17</f>
        <v>40909</v>
      </c>
      <c r="H17" s="984">
        <f t="shared" ref="H17" si="5">IF(AND(YEAR(G17)&lt;2023,MONTH(G17)&gt;$P$8),2023-YEAR(G17)-1,IF(OR(G17="",YEAR(G17)&gt;2023),0,2023-YEAR(G17)))</f>
        <v>10</v>
      </c>
      <c r="I17" s="985">
        <v>0</v>
      </c>
      <c r="J17" s="999">
        <f>+NOMINA!BL17</f>
        <v>27.78</v>
      </c>
      <c r="K17" s="999">
        <f>+NOMINA!BM17</f>
        <v>3.47</v>
      </c>
      <c r="L17" s="999">
        <f>+NOMINA!BN17</f>
        <v>7.52</v>
      </c>
      <c r="M17" s="999">
        <f>++NOMINA!BO17</f>
        <v>0</v>
      </c>
      <c r="N17" s="999">
        <f>+NOMINA!BP17</f>
        <v>0</v>
      </c>
      <c r="O17" s="986">
        <f>ROUND(SUM(J17:N17),2)</f>
        <v>38.770000000000003</v>
      </c>
      <c r="P17" s="999">
        <f>+NOMINA!BR17</f>
        <v>62.51</v>
      </c>
      <c r="Q17" s="999">
        <f>+NOMINA!BS17</f>
        <v>13.89</v>
      </c>
      <c r="R17" s="999">
        <f>+NOMINA!BT17</f>
        <v>15.04</v>
      </c>
      <c r="S17" s="986">
        <f>ROUND(SUM(P17:R17),2)</f>
        <v>91.44</v>
      </c>
      <c r="T17" s="986">
        <f>O17+S17</f>
        <v>130.21</v>
      </c>
      <c r="U17" s="1005">
        <v>0</v>
      </c>
      <c r="V17" s="443" t="e">
        <f>#REF!+#REF!-O17</f>
        <v>#REF!</v>
      </c>
      <c r="W17" s="975" t="e">
        <f>ROUND((#REF!+#REF!+#REF!+#REF!+#REF!+#REF!+#REF!+#REF!+#REF!),2)</f>
        <v>#REF!</v>
      </c>
      <c r="AA17" s="976" t="e">
        <f>#REF!+#REF!-O17</f>
        <v>#REF!</v>
      </c>
      <c r="AB17" s="977" t="e">
        <f>#REF!</f>
        <v>#REF!</v>
      </c>
      <c r="AC17" s="976" t="e">
        <f>#REF!+#REF!</f>
        <v>#REF!</v>
      </c>
      <c r="AD17" s="977" t="e">
        <f>#REF!</f>
        <v>#REF!</v>
      </c>
      <c r="AE17" s="978">
        <v>0</v>
      </c>
      <c r="AF17" s="977" t="e">
        <f>#REF!</f>
        <v>#REF!</v>
      </c>
      <c r="AG17" s="979" t="e">
        <f>#REF!+#REF!</f>
        <v>#REF!</v>
      </c>
      <c r="AH17" s="979" t="e">
        <f>#REF!+#REF!</f>
        <v>#REF!</v>
      </c>
      <c r="AI17" s="979"/>
      <c r="AJ17" s="977" t="e">
        <f>#REF!</f>
        <v>#REF!</v>
      </c>
      <c r="AK17" s="977" t="e">
        <f>SUM(AC17:AJ17)</f>
        <v>#REF!</v>
      </c>
      <c r="AL17" s="977">
        <f t="shared" ref="AL17:AL40" si="6">O17+S17</f>
        <v>130.21</v>
      </c>
      <c r="AM17" s="977">
        <f>U17</f>
        <v>0</v>
      </c>
      <c r="AN17" s="634"/>
    </row>
    <row r="18" spans="1:40" s="629" customFormat="1" ht="20.100000000000001" customHeight="1">
      <c r="A18" s="771">
        <f>A17+1</f>
        <v>2</v>
      </c>
      <c r="B18" s="980">
        <f>+NOMINA!C18</f>
        <v>12458942</v>
      </c>
      <c r="C18" s="981" t="str">
        <f>+NOMINA!D18</f>
        <v>Mendoza Mendoza Mirian del Milagro</v>
      </c>
      <c r="D18" s="978" t="s">
        <v>4622</v>
      </c>
      <c r="E18" s="982">
        <v>32351</v>
      </c>
      <c r="F18" s="978" t="s">
        <v>4620</v>
      </c>
      <c r="G18" s="1001">
        <f>+NOMINA!H18</f>
        <v>44424</v>
      </c>
      <c r="H18" s="984">
        <f t="shared" ref="H18:H40" si="7">IF(AND(YEAR(G18)&lt;2023,MONTH(G18)&gt;$P$8),2023-YEAR(G18)-1,IF(OR(G18="",YEAR(G18)&gt;2023),0,2023-YEAR(G18)))</f>
        <v>1</v>
      </c>
      <c r="I18" s="985">
        <v>0</v>
      </c>
      <c r="J18" s="999">
        <f>+NOMINA!BL18</f>
        <v>28.82</v>
      </c>
      <c r="K18" s="999">
        <f>+NOMINA!BM18</f>
        <v>3.6</v>
      </c>
      <c r="L18" s="999">
        <f>+NOMINA!BN18</f>
        <v>7.81</v>
      </c>
      <c r="M18" s="999">
        <f>++NOMINA!BO18</f>
        <v>0</v>
      </c>
      <c r="N18" s="999">
        <f>+NOMINA!BP18</f>
        <v>0</v>
      </c>
      <c r="O18" s="986">
        <f t="shared" ref="O18:O40" si="8">ROUND(SUM(J18:N18),2)</f>
        <v>40.229999999999997</v>
      </c>
      <c r="P18" s="999">
        <f>+NOMINA!BR18</f>
        <v>64.849999999999994</v>
      </c>
      <c r="Q18" s="999">
        <f>+NOMINA!BS18</f>
        <v>14.41</v>
      </c>
      <c r="R18" s="999">
        <f>+NOMINA!BT18</f>
        <v>15.62</v>
      </c>
      <c r="S18" s="986">
        <f t="shared" ref="S18:S40" si="9">ROUND(SUM(P18:R18),2)</f>
        <v>94.88</v>
      </c>
      <c r="T18" s="986">
        <f t="shared" ref="T18:T40" si="10">O18+S18</f>
        <v>135.10999999999999</v>
      </c>
      <c r="U18" s="1005">
        <v>0</v>
      </c>
      <c r="V18" s="443" t="e">
        <f>#REF!+#REF!-O18</f>
        <v>#REF!</v>
      </c>
      <c r="W18" s="975" t="e">
        <f>ROUND((#REF!+#REF!+#REF!+#REF!+#REF!+#REF!+#REF!+#REF!+#REF!),2)</f>
        <v>#REF!</v>
      </c>
      <c r="AA18" s="976" t="e">
        <f>#REF!+#REF!-O18</f>
        <v>#REF!</v>
      </c>
      <c r="AB18" s="977" t="e">
        <f>#REF!</f>
        <v>#REF!</v>
      </c>
      <c r="AC18" s="976" t="e">
        <f>#REF!+#REF!</f>
        <v>#REF!</v>
      </c>
      <c r="AD18" s="977" t="e">
        <f>#REF!</f>
        <v>#REF!</v>
      </c>
      <c r="AE18" s="978">
        <v>0</v>
      </c>
      <c r="AF18" s="977" t="e">
        <f>#REF!</f>
        <v>#REF!</v>
      </c>
      <c r="AG18" s="979" t="e">
        <f>#REF!+#REF!</f>
        <v>#REF!</v>
      </c>
      <c r="AH18" s="979" t="e">
        <f>#REF!+#REF!</f>
        <v>#REF!</v>
      </c>
      <c r="AI18" s="979"/>
      <c r="AJ18" s="977" t="e">
        <f>#REF!</f>
        <v>#REF!</v>
      </c>
      <c r="AK18" s="977" t="e">
        <f t="shared" ref="AK18:AK40" si="11">SUM(AC18:AJ18)</f>
        <v>#REF!</v>
      </c>
      <c r="AL18" s="977">
        <f t="shared" si="6"/>
        <v>135.10999999999999</v>
      </c>
      <c r="AM18" s="977">
        <f t="shared" ref="AM18:AM40" si="12">U18</f>
        <v>0</v>
      </c>
      <c r="AN18" s="634"/>
    </row>
    <row r="19" spans="1:40" s="629" customFormat="1" ht="20.100000000000001" customHeight="1">
      <c r="A19" s="771">
        <f t="shared" ref="A19:A40" si="13">A18+1</f>
        <v>3</v>
      </c>
      <c r="B19" s="980">
        <f>+NOMINA!C19</f>
        <v>8719807</v>
      </c>
      <c r="C19" s="981" t="str">
        <f>+NOMINA!D19</f>
        <v>Perez Saavedra Isabel Teresa</v>
      </c>
      <c r="D19" s="978" t="s">
        <v>4622</v>
      </c>
      <c r="E19" s="982">
        <v>32351</v>
      </c>
      <c r="F19" s="978" t="s">
        <v>4620</v>
      </c>
      <c r="G19" s="1001">
        <f>+NOMINA!H19</f>
        <v>39874</v>
      </c>
      <c r="H19" s="984">
        <f t="shared" si="7"/>
        <v>13</v>
      </c>
      <c r="I19" s="985">
        <v>0</v>
      </c>
      <c r="J19" s="999">
        <f>+NOMINA!BL19</f>
        <v>26.84</v>
      </c>
      <c r="K19" s="999">
        <f>+NOMINA!BM19</f>
        <v>3.36</v>
      </c>
      <c r="L19" s="999">
        <f>+NOMINA!BN19</f>
        <v>7.27</v>
      </c>
      <c r="M19" s="999">
        <f>++NOMINA!BO19</f>
        <v>0</v>
      </c>
      <c r="N19" s="999">
        <f>+NOMINA!BP19</f>
        <v>0</v>
      </c>
      <c r="O19" s="986">
        <f t="shared" si="8"/>
        <v>37.47</v>
      </c>
      <c r="P19" s="999">
        <f>+NOMINA!BR19</f>
        <v>60.39</v>
      </c>
      <c r="Q19" s="999">
        <f>+NOMINA!BS19</f>
        <v>13.42</v>
      </c>
      <c r="R19" s="999">
        <f>+NOMINA!BT19</f>
        <v>14.54</v>
      </c>
      <c r="S19" s="986">
        <f t="shared" si="9"/>
        <v>88.35</v>
      </c>
      <c r="T19" s="986">
        <f t="shared" si="10"/>
        <v>125.82</v>
      </c>
      <c r="U19" s="1005">
        <v>0</v>
      </c>
      <c r="V19" s="443" t="e">
        <f>#REF!+#REF!-O19</f>
        <v>#REF!</v>
      </c>
      <c r="W19" s="975" t="e">
        <f>ROUND((#REF!+#REF!+#REF!+#REF!+#REF!+#REF!+#REF!+#REF!+#REF!),2)</f>
        <v>#REF!</v>
      </c>
      <c r="AA19" s="976" t="e">
        <f>#REF!+#REF!-O19</f>
        <v>#REF!</v>
      </c>
      <c r="AB19" s="977" t="e">
        <f>#REF!</f>
        <v>#REF!</v>
      </c>
      <c r="AC19" s="976" t="e">
        <f>#REF!+#REF!</f>
        <v>#REF!</v>
      </c>
      <c r="AD19" s="977" t="e">
        <f>#REF!</f>
        <v>#REF!</v>
      </c>
      <c r="AE19" s="978">
        <v>0</v>
      </c>
      <c r="AF19" s="977" t="e">
        <f>#REF!</f>
        <v>#REF!</v>
      </c>
      <c r="AG19" s="979" t="e">
        <f>#REF!+#REF!</f>
        <v>#REF!</v>
      </c>
      <c r="AH19" s="979" t="e">
        <f>#REF!+#REF!</f>
        <v>#REF!</v>
      </c>
      <c r="AI19" s="979"/>
      <c r="AJ19" s="977" t="e">
        <f>#REF!</f>
        <v>#REF!</v>
      </c>
      <c r="AK19" s="977" t="e">
        <f t="shared" si="11"/>
        <v>#REF!</v>
      </c>
      <c r="AL19" s="977">
        <f t="shared" si="6"/>
        <v>125.82</v>
      </c>
      <c r="AM19" s="977">
        <f t="shared" si="12"/>
        <v>0</v>
      </c>
      <c r="AN19" s="634"/>
    </row>
    <row r="20" spans="1:40" s="629" customFormat="1" ht="20.100000000000001" customHeight="1">
      <c r="A20" s="771">
        <f t="shared" si="13"/>
        <v>4</v>
      </c>
      <c r="B20" s="980">
        <f>+NOMINA!C20</f>
        <v>10404528</v>
      </c>
      <c r="C20" s="981" t="str">
        <f>+NOMINA!D20</f>
        <v>Perez Castellano Javier Horacio</v>
      </c>
      <c r="D20" s="978" t="s">
        <v>4622</v>
      </c>
      <c r="E20" s="982">
        <v>32351</v>
      </c>
      <c r="F20" s="978" t="s">
        <v>4620</v>
      </c>
      <c r="G20" s="1001">
        <f>+NOMINA!H20</f>
        <v>37622</v>
      </c>
      <c r="H20" s="984">
        <f t="shared" si="7"/>
        <v>19</v>
      </c>
      <c r="I20" s="985">
        <v>0</v>
      </c>
      <c r="J20" s="999">
        <f>+NOMINA!BL20</f>
        <v>28.29</v>
      </c>
      <c r="K20" s="999">
        <f>+NOMINA!BM20</f>
        <v>3.54</v>
      </c>
      <c r="L20" s="999">
        <f>+NOMINA!BN20</f>
        <v>7.66</v>
      </c>
      <c r="M20" s="999">
        <f>++NOMINA!BO20</f>
        <v>0</v>
      </c>
      <c r="N20" s="999">
        <f>+NOMINA!BP20</f>
        <v>0</v>
      </c>
      <c r="O20" s="986">
        <f t="shared" si="8"/>
        <v>39.49</v>
      </c>
      <c r="P20" s="999">
        <f>+NOMINA!BR20</f>
        <v>63.65</v>
      </c>
      <c r="Q20" s="999">
        <f>+NOMINA!BS20</f>
        <v>14.15</v>
      </c>
      <c r="R20" s="999">
        <f>+NOMINA!BT20</f>
        <v>15.32</v>
      </c>
      <c r="S20" s="986">
        <f t="shared" si="9"/>
        <v>93.12</v>
      </c>
      <c r="T20" s="986">
        <f t="shared" si="10"/>
        <v>132.61000000000001</v>
      </c>
      <c r="U20" s="1005">
        <v>0</v>
      </c>
      <c r="V20" s="443" t="e">
        <f>#REF!+#REF!-O20</f>
        <v>#REF!</v>
      </c>
      <c r="W20" s="975" t="e">
        <f>ROUND((#REF!+#REF!+#REF!+#REF!+#REF!+#REF!+#REF!+#REF!+#REF!),2)</f>
        <v>#REF!</v>
      </c>
      <c r="AA20" s="976" t="e">
        <f>#REF!+#REF!-O20</f>
        <v>#REF!</v>
      </c>
      <c r="AB20" s="977" t="e">
        <f>#REF!</f>
        <v>#REF!</v>
      </c>
      <c r="AC20" s="976" t="e">
        <f>#REF!+#REF!</f>
        <v>#REF!</v>
      </c>
      <c r="AD20" s="977" t="e">
        <f>#REF!</f>
        <v>#REF!</v>
      </c>
      <c r="AE20" s="978">
        <v>0</v>
      </c>
      <c r="AF20" s="977" t="e">
        <f>#REF!</f>
        <v>#REF!</v>
      </c>
      <c r="AG20" s="979" t="e">
        <f>#REF!+#REF!</f>
        <v>#REF!</v>
      </c>
      <c r="AH20" s="979" t="e">
        <f>#REF!+#REF!</f>
        <v>#REF!</v>
      </c>
      <c r="AI20" s="979"/>
      <c r="AJ20" s="977" t="e">
        <f>#REF!</f>
        <v>#REF!</v>
      </c>
      <c r="AK20" s="977" t="e">
        <f t="shared" si="11"/>
        <v>#REF!</v>
      </c>
      <c r="AL20" s="977">
        <f t="shared" si="6"/>
        <v>132.61000000000001</v>
      </c>
      <c r="AM20" s="977">
        <f t="shared" si="12"/>
        <v>0</v>
      </c>
      <c r="AN20" s="634"/>
    </row>
    <row r="21" spans="1:40" s="629" customFormat="1" ht="20.100000000000001" customHeight="1">
      <c r="A21" s="771">
        <f t="shared" si="13"/>
        <v>5</v>
      </c>
      <c r="B21" s="980">
        <f>+NOMINA!C21</f>
        <v>9311822</v>
      </c>
      <c r="C21" s="981" t="str">
        <f>+NOMINA!D21</f>
        <v>Rojo Sanchez Alexis O.</v>
      </c>
      <c r="D21" s="978" t="s">
        <v>4622</v>
      </c>
      <c r="E21" s="982">
        <v>32351</v>
      </c>
      <c r="F21" s="978" t="s">
        <v>4620</v>
      </c>
      <c r="G21" s="1001">
        <f>+NOMINA!H21</f>
        <v>37662</v>
      </c>
      <c r="H21" s="984">
        <f t="shared" si="7"/>
        <v>19</v>
      </c>
      <c r="I21" s="985">
        <v>0</v>
      </c>
      <c r="J21" s="999">
        <f>+NOMINA!BL21</f>
        <v>21.93</v>
      </c>
      <c r="K21" s="999">
        <f>+NOMINA!BM21</f>
        <v>2.74</v>
      </c>
      <c r="L21" s="999">
        <f>+NOMINA!BN21</f>
        <v>5.94</v>
      </c>
      <c r="M21" s="999">
        <f>++NOMINA!BO21</f>
        <v>0</v>
      </c>
      <c r="N21" s="999">
        <f>+NOMINA!BP21</f>
        <v>0</v>
      </c>
      <c r="O21" s="986">
        <f t="shared" si="8"/>
        <v>30.61</v>
      </c>
      <c r="P21" s="999">
        <f>+NOMINA!BR21</f>
        <v>49.34</v>
      </c>
      <c r="Q21" s="999">
        <f>+NOMINA!BS21</f>
        <v>10.96</v>
      </c>
      <c r="R21" s="999">
        <f>+NOMINA!BT21</f>
        <v>11.88</v>
      </c>
      <c r="S21" s="986">
        <f t="shared" si="9"/>
        <v>72.180000000000007</v>
      </c>
      <c r="T21" s="986">
        <f t="shared" si="10"/>
        <v>102.79</v>
      </c>
      <c r="U21" s="1005">
        <v>0</v>
      </c>
      <c r="V21" s="443" t="e">
        <f>#REF!+#REF!-O21</f>
        <v>#REF!</v>
      </c>
      <c r="W21" s="975" t="e">
        <f>ROUND((#REF!+#REF!+#REF!+#REF!+#REF!+#REF!+#REF!+#REF!+#REF!),2)</f>
        <v>#REF!</v>
      </c>
      <c r="AA21" s="976" t="e">
        <f>#REF!+#REF!-O21</f>
        <v>#REF!</v>
      </c>
      <c r="AB21" s="977" t="e">
        <f>#REF!</f>
        <v>#REF!</v>
      </c>
      <c r="AC21" s="976" t="e">
        <f>#REF!+#REF!</f>
        <v>#REF!</v>
      </c>
      <c r="AD21" s="977" t="e">
        <f>#REF!</f>
        <v>#REF!</v>
      </c>
      <c r="AE21" s="978">
        <v>0</v>
      </c>
      <c r="AF21" s="977" t="e">
        <f>#REF!</f>
        <v>#REF!</v>
      </c>
      <c r="AG21" s="979" t="e">
        <f>#REF!+#REF!</f>
        <v>#REF!</v>
      </c>
      <c r="AH21" s="979" t="e">
        <f>#REF!+#REF!</f>
        <v>#REF!</v>
      </c>
      <c r="AI21" s="979"/>
      <c r="AJ21" s="977" t="e">
        <f>#REF!</f>
        <v>#REF!</v>
      </c>
      <c r="AK21" s="977" t="e">
        <f t="shared" si="11"/>
        <v>#REF!</v>
      </c>
      <c r="AL21" s="977">
        <f t="shared" si="6"/>
        <v>102.79</v>
      </c>
      <c r="AM21" s="977">
        <f t="shared" si="12"/>
        <v>0</v>
      </c>
      <c r="AN21" s="634"/>
    </row>
    <row r="22" spans="1:40" s="629" customFormat="1" ht="20.100000000000001" customHeight="1">
      <c r="A22" s="771">
        <f t="shared" si="13"/>
        <v>6</v>
      </c>
      <c r="B22" s="980">
        <f>+NOMINA!C22</f>
        <v>21592108</v>
      </c>
      <c r="C22" s="981" t="str">
        <f>+NOMINA!D22</f>
        <v>Coy Andara Darlin Gabriela</v>
      </c>
      <c r="D22" s="978" t="s">
        <v>4622</v>
      </c>
      <c r="E22" s="982">
        <v>32351</v>
      </c>
      <c r="F22" s="978" t="s">
        <v>4620</v>
      </c>
      <c r="G22" s="1001">
        <f>+NOMINA!H22</f>
        <v>43024</v>
      </c>
      <c r="H22" s="984">
        <f t="shared" si="7"/>
        <v>5</v>
      </c>
      <c r="I22" s="985">
        <v>0</v>
      </c>
      <c r="J22" s="999">
        <f>+NOMINA!BL22</f>
        <v>23.59</v>
      </c>
      <c r="K22" s="999">
        <f>+NOMINA!BM22</f>
        <v>2.95</v>
      </c>
      <c r="L22" s="999">
        <f>+NOMINA!BN22</f>
        <v>6.39</v>
      </c>
      <c r="M22" s="999">
        <f>++NOMINA!BO22</f>
        <v>0</v>
      </c>
      <c r="N22" s="999">
        <f>+NOMINA!BP22</f>
        <v>0</v>
      </c>
      <c r="O22" s="986">
        <f t="shared" si="8"/>
        <v>32.93</v>
      </c>
      <c r="P22" s="999">
        <f>+NOMINA!BR22</f>
        <v>53.07</v>
      </c>
      <c r="Q22" s="999">
        <f>+NOMINA!BS22</f>
        <v>11.79</v>
      </c>
      <c r="R22" s="999">
        <f>+NOMINA!BT22</f>
        <v>12.78</v>
      </c>
      <c r="S22" s="986">
        <f t="shared" si="9"/>
        <v>77.64</v>
      </c>
      <c r="T22" s="986">
        <f t="shared" si="10"/>
        <v>110.57</v>
      </c>
      <c r="U22" s="1005">
        <v>0</v>
      </c>
      <c r="V22" s="443" t="e">
        <f>#REF!+#REF!-O22</f>
        <v>#REF!</v>
      </c>
      <c r="W22" s="975" t="e">
        <f>ROUND((#REF!+#REF!+#REF!+#REF!+#REF!+#REF!+#REF!+#REF!+#REF!),2)</f>
        <v>#REF!</v>
      </c>
      <c r="AA22" s="976" t="e">
        <f>#REF!+#REF!-O22</f>
        <v>#REF!</v>
      </c>
      <c r="AB22" s="977" t="e">
        <f>#REF!</f>
        <v>#REF!</v>
      </c>
      <c r="AC22" s="976" t="e">
        <f>#REF!+#REF!</f>
        <v>#REF!</v>
      </c>
      <c r="AD22" s="977" t="e">
        <f>#REF!</f>
        <v>#REF!</v>
      </c>
      <c r="AE22" s="978">
        <v>0</v>
      </c>
      <c r="AF22" s="977" t="e">
        <f>#REF!</f>
        <v>#REF!</v>
      </c>
      <c r="AG22" s="979" t="e">
        <f>#REF!+#REF!</f>
        <v>#REF!</v>
      </c>
      <c r="AH22" s="979" t="e">
        <f>#REF!+#REF!</f>
        <v>#REF!</v>
      </c>
      <c r="AI22" s="979"/>
      <c r="AJ22" s="977" t="e">
        <f>#REF!</f>
        <v>#REF!</v>
      </c>
      <c r="AK22" s="977" t="e">
        <f t="shared" si="11"/>
        <v>#REF!</v>
      </c>
      <c r="AL22" s="977">
        <f t="shared" si="6"/>
        <v>110.57</v>
      </c>
      <c r="AM22" s="977">
        <f t="shared" si="12"/>
        <v>0</v>
      </c>
      <c r="AN22" s="634"/>
    </row>
    <row r="23" spans="1:40" s="629" customFormat="1" ht="20.100000000000001" customHeight="1">
      <c r="A23" s="771">
        <f t="shared" si="13"/>
        <v>7</v>
      </c>
      <c r="B23" s="980">
        <f>+NOMINA!C23</f>
        <v>13206767</v>
      </c>
      <c r="C23" s="981" t="str">
        <f>+NOMINA!D23</f>
        <v>Bastidas Guerra Soralis del Valle</v>
      </c>
      <c r="D23" s="978" t="s">
        <v>4622</v>
      </c>
      <c r="E23" s="982">
        <v>32351</v>
      </c>
      <c r="F23" s="978" t="s">
        <v>4620</v>
      </c>
      <c r="G23" s="1001">
        <f>+NOMINA!H23</f>
        <v>44713</v>
      </c>
      <c r="H23" s="984">
        <f t="shared" si="7"/>
        <v>0</v>
      </c>
      <c r="I23" s="985">
        <v>0</v>
      </c>
      <c r="J23" s="999">
        <f>+NOMINA!BL23</f>
        <v>22.38</v>
      </c>
      <c r="K23" s="999">
        <f>+NOMINA!BM23</f>
        <v>2.8</v>
      </c>
      <c r="L23" s="999">
        <f>+NOMINA!BN23</f>
        <v>6.06</v>
      </c>
      <c r="M23" s="999">
        <f>++NOMINA!BO23</f>
        <v>0</v>
      </c>
      <c r="N23" s="999">
        <f>+NOMINA!BP23</f>
        <v>0</v>
      </c>
      <c r="O23" s="986">
        <f t="shared" si="8"/>
        <v>31.24</v>
      </c>
      <c r="P23" s="999">
        <f>+NOMINA!BR23</f>
        <v>50.36</v>
      </c>
      <c r="Q23" s="999">
        <f>+NOMINA!BS23</f>
        <v>11.19</v>
      </c>
      <c r="R23" s="999">
        <f>+NOMINA!BT23</f>
        <v>12.12</v>
      </c>
      <c r="S23" s="986">
        <f t="shared" si="9"/>
        <v>73.67</v>
      </c>
      <c r="T23" s="986">
        <f t="shared" si="10"/>
        <v>104.91</v>
      </c>
      <c r="U23" s="1005">
        <v>0</v>
      </c>
      <c r="V23" s="443" t="e">
        <f>#REF!+#REF!-O23</f>
        <v>#REF!</v>
      </c>
      <c r="W23" s="975" t="e">
        <f>ROUND((#REF!+#REF!+#REF!+#REF!+#REF!+#REF!+#REF!+#REF!+#REF!),2)</f>
        <v>#REF!</v>
      </c>
      <c r="AA23" s="976" t="e">
        <f>#REF!+#REF!-O23</f>
        <v>#REF!</v>
      </c>
      <c r="AB23" s="977" t="e">
        <f>#REF!</f>
        <v>#REF!</v>
      </c>
      <c r="AC23" s="976" t="e">
        <f>#REF!+#REF!</f>
        <v>#REF!</v>
      </c>
      <c r="AD23" s="977" t="e">
        <f>#REF!</f>
        <v>#REF!</v>
      </c>
      <c r="AE23" s="978">
        <v>0</v>
      </c>
      <c r="AF23" s="977" t="e">
        <f>#REF!</f>
        <v>#REF!</v>
      </c>
      <c r="AG23" s="979" t="e">
        <f>#REF!+#REF!</f>
        <v>#REF!</v>
      </c>
      <c r="AH23" s="979" t="e">
        <f>#REF!+#REF!</f>
        <v>#REF!</v>
      </c>
      <c r="AI23" s="979"/>
      <c r="AJ23" s="977" t="e">
        <f>#REF!</f>
        <v>#REF!</v>
      </c>
      <c r="AK23" s="977" t="e">
        <f t="shared" si="11"/>
        <v>#REF!</v>
      </c>
      <c r="AL23" s="977">
        <f t="shared" si="6"/>
        <v>104.91</v>
      </c>
      <c r="AM23" s="977">
        <f t="shared" si="12"/>
        <v>0</v>
      </c>
      <c r="AN23" s="634"/>
    </row>
    <row r="24" spans="1:40" s="629" customFormat="1" ht="20.100000000000001" customHeight="1">
      <c r="A24" s="771">
        <f t="shared" si="13"/>
        <v>8</v>
      </c>
      <c r="B24" s="980">
        <f>+NOMINA!C24</f>
        <v>13462933</v>
      </c>
      <c r="C24" s="981" t="str">
        <f>+NOMINA!D24</f>
        <v>Frias Aldana Maria Yaritza</v>
      </c>
      <c r="D24" s="978" t="s">
        <v>4622</v>
      </c>
      <c r="E24" s="982">
        <v>32351</v>
      </c>
      <c r="F24" s="978" t="s">
        <v>4620</v>
      </c>
      <c r="G24" s="1001">
        <f>+NOMINA!H24</f>
        <v>39454</v>
      </c>
      <c r="H24" s="984">
        <f t="shared" si="7"/>
        <v>14</v>
      </c>
      <c r="I24" s="985">
        <v>0</v>
      </c>
      <c r="J24" s="999">
        <f>+NOMINA!BL24</f>
        <v>26.36</v>
      </c>
      <c r="K24" s="999">
        <f>+NOMINA!BM24</f>
        <v>3.29</v>
      </c>
      <c r="L24" s="999">
        <f>+NOMINA!BN24</f>
        <v>7.14</v>
      </c>
      <c r="M24" s="999">
        <f>++NOMINA!BO24</f>
        <v>0</v>
      </c>
      <c r="N24" s="999">
        <f>+NOMINA!BP24</f>
        <v>0</v>
      </c>
      <c r="O24" s="986">
        <f t="shared" si="8"/>
        <v>36.79</v>
      </c>
      <c r="P24" s="999">
        <f>+NOMINA!BR24</f>
        <v>59.31</v>
      </c>
      <c r="Q24" s="999">
        <f>+NOMINA!BS24</f>
        <v>13.18</v>
      </c>
      <c r="R24" s="999">
        <f>+NOMINA!BT24</f>
        <v>14.28</v>
      </c>
      <c r="S24" s="986">
        <f t="shared" si="9"/>
        <v>86.77</v>
      </c>
      <c r="T24" s="986">
        <f t="shared" si="10"/>
        <v>123.56</v>
      </c>
      <c r="U24" s="1005">
        <v>0</v>
      </c>
      <c r="V24" s="443" t="e">
        <f>#REF!+#REF!-O24</f>
        <v>#REF!</v>
      </c>
      <c r="W24" s="975" t="e">
        <f>ROUND((#REF!+#REF!+#REF!+#REF!+#REF!+#REF!+#REF!+#REF!+#REF!),2)</f>
        <v>#REF!</v>
      </c>
      <c r="AA24" s="976" t="e">
        <f>#REF!+#REF!-O24</f>
        <v>#REF!</v>
      </c>
      <c r="AB24" s="977" t="e">
        <f>#REF!</f>
        <v>#REF!</v>
      </c>
      <c r="AC24" s="976" t="e">
        <f>#REF!+#REF!</f>
        <v>#REF!</v>
      </c>
      <c r="AD24" s="977" t="e">
        <f>#REF!</f>
        <v>#REF!</v>
      </c>
      <c r="AE24" s="978">
        <v>0</v>
      </c>
      <c r="AF24" s="977" t="e">
        <f>#REF!</f>
        <v>#REF!</v>
      </c>
      <c r="AG24" s="979" t="e">
        <f>#REF!+#REF!</f>
        <v>#REF!</v>
      </c>
      <c r="AH24" s="979" t="e">
        <f>#REF!+#REF!</f>
        <v>#REF!</v>
      </c>
      <c r="AI24" s="979"/>
      <c r="AJ24" s="977" t="e">
        <f>#REF!</f>
        <v>#REF!</v>
      </c>
      <c r="AK24" s="977" t="e">
        <f t="shared" si="11"/>
        <v>#REF!</v>
      </c>
      <c r="AL24" s="977">
        <f t="shared" si="6"/>
        <v>123.56</v>
      </c>
      <c r="AM24" s="977">
        <f t="shared" si="12"/>
        <v>0</v>
      </c>
      <c r="AN24" s="634"/>
    </row>
    <row r="25" spans="1:40" s="629" customFormat="1" ht="20.100000000000001" customHeight="1">
      <c r="A25" s="771">
        <f t="shared" si="13"/>
        <v>9</v>
      </c>
      <c r="B25" s="980">
        <f>+NOMINA!C25</f>
        <v>11315315</v>
      </c>
      <c r="C25" s="981" t="str">
        <f>+NOMINA!D25</f>
        <v>Guillen Mendoza Edgar Daniel</v>
      </c>
      <c r="D25" s="978" t="s">
        <v>4622</v>
      </c>
      <c r="E25" s="982">
        <v>32351</v>
      </c>
      <c r="F25" s="978" t="s">
        <v>4620</v>
      </c>
      <c r="G25" s="1001">
        <f>+NOMINA!H25</f>
        <v>45505</v>
      </c>
      <c r="H25" s="984">
        <f t="shared" si="7"/>
        <v>0</v>
      </c>
      <c r="I25" s="985">
        <v>0</v>
      </c>
      <c r="J25" s="999">
        <f>+NOMINA!BL25</f>
        <v>17.649999999999999</v>
      </c>
      <c r="K25" s="999">
        <f>+NOMINA!BM25</f>
        <v>2.21</v>
      </c>
      <c r="L25" s="999">
        <f>+NOMINA!BN25</f>
        <v>4.78</v>
      </c>
      <c r="M25" s="999">
        <f>++NOMINA!BO25</f>
        <v>0</v>
      </c>
      <c r="N25" s="999">
        <f>+NOMINA!BP25</f>
        <v>0</v>
      </c>
      <c r="O25" s="986">
        <f t="shared" si="8"/>
        <v>24.64</v>
      </c>
      <c r="P25" s="999">
        <f>+NOMINA!BR25</f>
        <v>39.71</v>
      </c>
      <c r="Q25" s="999">
        <f>+NOMINA!BS25</f>
        <v>8.82</v>
      </c>
      <c r="R25" s="999">
        <f>+NOMINA!BT25</f>
        <v>9.56</v>
      </c>
      <c r="S25" s="986">
        <f t="shared" si="9"/>
        <v>58.09</v>
      </c>
      <c r="T25" s="986">
        <f t="shared" si="10"/>
        <v>82.73</v>
      </c>
      <c r="U25" s="1005">
        <v>0</v>
      </c>
      <c r="V25" s="443" t="e">
        <f>#REF!+#REF!-O25</f>
        <v>#REF!</v>
      </c>
      <c r="W25" s="975" t="e">
        <f>ROUND((#REF!+#REF!+#REF!+#REF!+#REF!+#REF!+#REF!+#REF!+#REF!),2)</f>
        <v>#REF!</v>
      </c>
      <c r="AA25" s="976" t="e">
        <f>#REF!+#REF!-O25</f>
        <v>#REF!</v>
      </c>
      <c r="AB25" s="977" t="e">
        <f>#REF!</f>
        <v>#REF!</v>
      </c>
      <c r="AC25" s="976" t="e">
        <f>#REF!+#REF!</f>
        <v>#REF!</v>
      </c>
      <c r="AD25" s="977" t="e">
        <f>#REF!</f>
        <v>#REF!</v>
      </c>
      <c r="AE25" s="978">
        <v>0</v>
      </c>
      <c r="AF25" s="977" t="e">
        <f>#REF!</f>
        <v>#REF!</v>
      </c>
      <c r="AG25" s="979" t="e">
        <f>#REF!+#REF!</f>
        <v>#REF!</v>
      </c>
      <c r="AH25" s="979" t="e">
        <f>#REF!+#REF!</f>
        <v>#REF!</v>
      </c>
      <c r="AI25" s="979"/>
      <c r="AJ25" s="977" t="e">
        <f>#REF!</f>
        <v>#REF!</v>
      </c>
      <c r="AK25" s="977" t="e">
        <f t="shared" si="11"/>
        <v>#REF!</v>
      </c>
      <c r="AL25" s="977">
        <f t="shared" si="6"/>
        <v>82.73</v>
      </c>
      <c r="AM25" s="977">
        <f t="shared" si="12"/>
        <v>0</v>
      </c>
      <c r="AN25" s="634"/>
    </row>
    <row r="26" spans="1:40" s="629" customFormat="1" ht="20.100000000000001" customHeight="1">
      <c r="A26" s="771">
        <f t="shared" si="13"/>
        <v>10</v>
      </c>
      <c r="B26" s="980">
        <f>+NOMINA!C26</f>
        <v>12542413</v>
      </c>
      <c r="C26" s="981" t="str">
        <f>+NOMINA!D26</f>
        <v>Aponte Matheus Richard Alexander</v>
      </c>
      <c r="D26" s="978" t="s">
        <v>4622</v>
      </c>
      <c r="E26" s="982">
        <v>32351</v>
      </c>
      <c r="F26" s="978" t="s">
        <v>4620</v>
      </c>
      <c r="G26" s="1001">
        <f>+NOMINA!H26</f>
        <v>36434</v>
      </c>
      <c r="H26" s="984">
        <f t="shared" si="7"/>
        <v>23</v>
      </c>
      <c r="I26" s="985">
        <v>0</v>
      </c>
      <c r="J26" s="999">
        <f>+NOMINA!BL26</f>
        <v>21.5</v>
      </c>
      <c r="K26" s="999">
        <f>+NOMINA!BM26</f>
        <v>2.69</v>
      </c>
      <c r="L26" s="999">
        <f>+NOMINA!BN26</f>
        <v>5.82</v>
      </c>
      <c r="M26" s="999">
        <f>++NOMINA!BO26</f>
        <v>0</v>
      </c>
      <c r="N26" s="999">
        <f>+NOMINA!BP26</f>
        <v>0</v>
      </c>
      <c r="O26" s="986">
        <f t="shared" si="8"/>
        <v>30.01</v>
      </c>
      <c r="P26" s="999">
        <f>+NOMINA!BR26</f>
        <v>48.38</v>
      </c>
      <c r="Q26" s="999">
        <f>+NOMINA!BS26</f>
        <v>10.75</v>
      </c>
      <c r="R26" s="999">
        <f>+NOMINA!BT26</f>
        <v>11.64</v>
      </c>
      <c r="S26" s="986">
        <f t="shared" si="9"/>
        <v>70.77</v>
      </c>
      <c r="T26" s="986">
        <f t="shared" si="10"/>
        <v>100.78</v>
      </c>
      <c r="U26" s="1005">
        <v>0</v>
      </c>
      <c r="V26" s="443" t="e">
        <f>#REF!+#REF!-O26</f>
        <v>#REF!</v>
      </c>
      <c r="W26" s="975" t="e">
        <f>ROUND((#REF!+#REF!+#REF!+#REF!+#REF!+#REF!+#REF!+#REF!+#REF!),2)</f>
        <v>#REF!</v>
      </c>
      <c r="AA26" s="976" t="e">
        <f>#REF!+#REF!-O26</f>
        <v>#REF!</v>
      </c>
      <c r="AB26" s="977" t="e">
        <f>#REF!</f>
        <v>#REF!</v>
      </c>
      <c r="AC26" s="976" t="e">
        <f>#REF!+#REF!</f>
        <v>#REF!</v>
      </c>
      <c r="AD26" s="977" t="e">
        <f>#REF!</f>
        <v>#REF!</v>
      </c>
      <c r="AE26" s="978">
        <v>0</v>
      </c>
      <c r="AF26" s="977" t="e">
        <f>#REF!</f>
        <v>#REF!</v>
      </c>
      <c r="AG26" s="979" t="e">
        <f>#REF!+#REF!</f>
        <v>#REF!</v>
      </c>
      <c r="AH26" s="979" t="e">
        <f>#REF!+#REF!</f>
        <v>#REF!</v>
      </c>
      <c r="AI26" s="979"/>
      <c r="AJ26" s="977" t="e">
        <f>#REF!</f>
        <v>#REF!</v>
      </c>
      <c r="AK26" s="977" t="e">
        <f t="shared" si="11"/>
        <v>#REF!</v>
      </c>
      <c r="AL26" s="977">
        <f t="shared" si="6"/>
        <v>100.78</v>
      </c>
      <c r="AM26" s="977">
        <f t="shared" si="12"/>
        <v>0</v>
      </c>
      <c r="AN26" s="634"/>
    </row>
    <row r="27" spans="1:40" s="629" customFormat="1" ht="20.100000000000001" customHeight="1">
      <c r="A27" s="771">
        <f t="shared" si="13"/>
        <v>11</v>
      </c>
      <c r="B27" s="980">
        <f>+NOMINA!C27</f>
        <v>18457406</v>
      </c>
      <c r="C27" s="981" t="str">
        <f>+NOMINA!D27</f>
        <v>Rivero Zambrano Herluis Jose</v>
      </c>
      <c r="D27" s="978" t="s">
        <v>4622</v>
      </c>
      <c r="E27" s="982">
        <v>32351</v>
      </c>
      <c r="F27" s="978" t="s">
        <v>4620</v>
      </c>
      <c r="G27" s="1001">
        <f>+NOMINA!H27</f>
        <v>41548</v>
      </c>
      <c r="H27" s="984">
        <f t="shared" si="7"/>
        <v>9</v>
      </c>
      <c r="I27" s="985">
        <v>0</v>
      </c>
      <c r="J27" s="999">
        <f>+NOMINA!BL27</f>
        <v>24.63</v>
      </c>
      <c r="K27" s="999">
        <f>+NOMINA!BM27</f>
        <v>3.08</v>
      </c>
      <c r="L27" s="999">
        <f>+NOMINA!BN27</f>
        <v>6.67</v>
      </c>
      <c r="M27" s="999">
        <f>++NOMINA!BO27</f>
        <v>0</v>
      </c>
      <c r="N27" s="999">
        <f>+NOMINA!BP27</f>
        <v>0</v>
      </c>
      <c r="O27" s="986">
        <f t="shared" si="8"/>
        <v>34.380000000000003</v>
      </c>
      <c r="P27" s="999">
        <f>+NOMINA!BR27</f>
        <v>55.42</v>
      </c>
      <c r="Q27" s="999">
        <f>+NOMINA!BS27</f>
        <v>12.31</v>
      </c>
      <c r="R27" s="999">
        <f>+NOMINA!BT27</f>
        <v>13.34</v>
      </c>
      <c r="S27" s="986">
        <f t="shared" si="9"/>
        <v>81.069999999999993</v>
      </c>
      <c r="T27" s="986">
        <f t="shared" si="10"/>
        <v>115.44999999999999</v>
      </c>
      <c r="U27" s="1005">
        <v>0</v>
      </c>
      <c r="V27" s="443" t="e">
        <f>#REF!+#REF!-O27</f>
        <v>#REF!</v>
      </c>
      <c r="W27" s="975" t="e">
        <f>ROUND((#REF!+#REF!+#REF!+#REF!+#REF!+#REF!+#REF!+#REF!+#REF!),2)</f>
        <v>#REF!</v>
      </c>
      <c r="AA27" s="976" t="e">
        <f>#REF!+#REF!-O27</f>
        <v>#REF!</v>
      </c>
      <c r="AB27" s="977" t="e">
        <f>#REF!</f>
        <v>#REF!</v>
      </c>
      <c r="AC27" s="976" t="e">
        <f>#REF!+#REF!</f>
        <v>#REF!</v>
      </c>
      <c r="AD27" s="977" t="e">
        <f>#REF!</f>
        <v>#REF!</v>
      </c>
      <c r="AE27" s="978">
        <v>0</v>
      </c>
      <c r="AF27" s="977" t="e">
        <f>#REF!</f>
        <v>#REF!</v>
      </c>
      <c r="AG27" s="979" t="e">
        <f>#REF!+#REF!</f>
        <v>#REF!</v>
      </c>
      <c r="AH27" s="979" t="e">
        <f>#REF!+#REF!</f>
        <v>#REF!</v>
      </c>
      <c r="AI27" s="979"/>
      <c r="AJ27" s="977" t="e">
        <f>#REF!</f>
        <v>#REF!</v>
      </c>
      <c r="AK27" s="977" t="e">
        <f t="shared" si="11"/>
        <v>#REF!</v>
      </c>
      <c r="AL27" s="977">
        <f t="shared" si="6"/>
        <v>115.44999999999999</v>
      </c>
      <c r="AM27" s="977">
        <f t="shared" si="12"/>
        <v>0</v>
      </c>
      <c r="AN27" s="634"/>
    </row>
    <row r="28" spans="1:40" s="629" customFormat="1" ht="20.100000000000001" customHeight="1">
      <c r="A28" s="771">
        <f t="shared" si="13"/>
        <v>12</v>
      </c>
      <c r="B28" s="980">
        <f>+NOMINA!C28</f>
        <v>11895772</v>
      </c>
      <c r="C28" s="981" t="str">
        <f>+NOMINA!D28</f>
        <v>Rangel Rivas Ildemaro</v>
      </c>
      <c r="D28" s="978" t="s">
        <v>4622</v>
      </c>
      <c r="E28" s="982">
        <v>32351</v>
      </c>
      <c r="F28" s="978" t="s">
        <v>4620</v>
      </c>
      <c r="G28" s="1001">
        <f>+NOMINA!H28</f>
        <v>44743</v>
      </c>
      <c r="H28" s="984">
        <f t="shared" si="7"/>
        <v>0</v>
      </c>
      <c r="I28" s="985">
        <v>0</v>
      </c>
      <c r="J28" s="999">
        <f>+NOMINA!BL28</f>
        <v>22.04</v>
      </c>
      <c r="K28" s="999">
        <f>+NOMINA!BM28</f>
        <v>2.76</v>
      </c>
      <c r="L28" s="999">
        <f>+NOMINA!BN28</f>
        <v>5.97</v>
      </c>
      <c r="M28" s="999">
        <f>++NOMINA!BO28</f>
        <v>0</v>
      </c>
      <c r="N28" s="999">
        <f>+NOMINA!BP28</f>
        <v>0</v>
      </c>
      <c r="O28" s="986">
        <f t="shared" si="8"/>
        <v>30.77</v>
      </c>
      <c r="P28" s="999">
        <f>+NOMINA!BR28</f>
        <v>49.59</v>
      </c>
      <c r="Q28" s="999">
        <f>+NOMINA!BS28</f>
        <v>11.02</v>
      </c>
      <c r="R28" s="999">
        <f>+NOMINA!BT28</f>
        <v>11.94</v>
      </c>
      <c r="S28" s="986">
        <f t="shared" si="9"/>
        <v>72.55</v>
      </c>
      <c r="T28" s="986">
        <f t="shared" si="10"/>
        <v>103.32</v>
      </c>
      <c r="U28" s="1005">
        <v>0</v>
      </c>
      <c r="V28" s="443" t="e">
        <f>#REF!+#REF!-O28</f>
        <v>#REF!</v>
      </c>
      <c r="W28" s="975" t="e">
        <f>ROUND((#REF!+#REF!+#REF!+#REF!+#REF!+#REF!+#REF!+#REF!+#REF!),2)</f>
        <v>#REF!</v>
      </c>
      <c r="AA28" s="976" t="e">
        <f>#REF!+#REF!-O28</f>
        <v>#REF!</v>
      </c>
      <c r="AB28" s="977" t="e">
        <f>#REF!</f>
        <v>#REF!</v>
      </c>
      <c r="AC28" s="976" t="e">
        <f>#REF!+#REF!</f>
        <v>#REF!</v>
      </c>
      <c r="AD28" s="977" t="e">
        <f>#REF!</f>
        <v>#REF!</v>
      </c>
      <c r="AE28" s="978">
        <v>0</v>
      </c>
      <c r="AF28" s="977" t="e">
        <f>#REF!</f>
        <v>#REF!</v>
      </c>
      <c r="AG28" s="979" t="e">
        <f>#REF!+#REF!</f>
        <v>#REF!</v>
      </c>
      <c r="AH28" s="979" t="e">
        <f>#REF!+#REF!</f>
        <v>#REF!</v>
      </c>
      <c r="AI28" s="979"/>
      <c r="AJ28" s="977" t="e">
        <f>#REF!</f>
        <v>#REF!</v>
      </c>
      <c r="AK28" s="977" t="e">
        <f t="shared" si="11"/>
        <v>#REF!</v>
      </c>
      <c r="AL28" s="977">
        <f t="shared" si="6"/>
        <v>103.32</v>
      </c>
      <c r="AM28" s="977">
        <f t="shared" si="12"/>
        <v>0</v>
      </c>
      <c r="AN28" s="634"/>
    </row>
    <row r="29" spans="1:40" s="629" customFormat="1" ht="20.100000000000001" customHeight="1">
      <c r="A29" s="771">
        <f t="shared" si="13"/>
        <v>13</v>
      </c>
      <c r="B29" s="980">
        <f>+NOMINA!C29</f>
        <v>9495661</v>
      </c>
      <c r="C29" s="981" t="str">
        <f>+NOMINA!D29</f>
        <v>Aguial Carrillo Gregoria Coromoto</v>
      </c>
      <c r="D29" s="978" t="s">
        <v>4622</v>
      </c>
      <c r="E29" s="982">
        <v>32351</v>
      </c>
      <c r="F29" s="978" t="s">
        <v>4620</v>
      </c>
      <c r="G29" s="1001">
        <f>+NOMINA!H29</f>
        <v>39692</v>
      </c>
      <c r="H29" s="984">
        <f t="shared" si="7"/>
        <v>14</v>
      </c>
      <c r="I29" s="985">
        <v>0</v>
      </c>
      <c r="J29" s="999">
        <f>+NOMINA!BL29</f>
        <v>20.170000000000002</v>
      </c>
      <c r="K29" s="999">
        <f>+NOMINA!BM29</f>
        <v>2.52</v>
      </c>
      <c r="L29" s="999">
        <f>+NOMINA!BN29</f>
        <v>5.46</v>
      </c>
      <c r="M29" s="999">
        <f>++NOMINA!BO29</f>
        <v>0</v>
      </c>
      <c r="N29" s="999">
        <f>+NOMINA!BP29</f>
        <v>0</v>
      </c>
      <c r="O29" s="986">
        <f t="shared" si="8"/>
        <v>28.15</v>
      </c>
      <c r="P29" s="999">
        <f>+NOMINA!BR29</f>
        <v>45.38</v>
      </c>
      <c r="Q29" s="999">
        <f>+NOMINA!BS29</f>
        <v>10.08</v>
      </c>
      <c r="R29" s="999">
        <f>+NOMINA!BT29</f>
        <v>10.92</v>
      </c>
      <c r="S29" s="986">
        <f t="shared" si="9"/>
        <v>66.38</v>
      </c>
      <c r="T29" s="986">
        <f t="shared" si="10"/>
        <v>94.53</v>
      </c>
      <c r="U29" s="1005">
        <v>0</v>
      </c>
      <c r="V29" s="443" t="e">
        <f>#REF!+#REF!-O29</f>
        <v>#REF!</v>
      </c>
      <c r="W29" s="975" t="e">
        <f>ROUND((#REF!+#REF!+#REF!+#REF!+#REF!+#REF!+#REF!+#REF!+#REF!),2)</f>
        <v>#REF!</v>
      </c>
      <c r="AA29" s="976" t="e">
        <f>#REF!+#REF!-O29</f>
        <v>#REF!</v>
      </c>
      <c r="AB29" s="977" t="e">
        <f>#REF!</f>
        <v>#REF!</v>
      </c>
      <c r="AC29" s="976" t="e">
        <f>#REF!+#REF!</f>
        <v>#REF!</v>
      </c>
      <c r="AD29" s="977" t="e">
        <f>#REF!</f>
        <v>#REF!</v>
      </c>
      <c r="AE29" s="978">
        <v>0</v>
      </c>
      <c r="AF29" s="977" t="e">
        <f>#REF!</f>
        <v>#REF!</v>
      </c>
      <c r="AG29" s="979" t="e">
        <f>#REF!+#REF!</f>
        <v>#REF!</v>
      </c>
      <c r="AH29" s="979" t="e">
        <f>#REF!+#REF!</f>
        <v>#REF!</v>
      </c>
      <c r="AI29" s="979"/>
      <c r="AJ29" s="977" t="e">
        <f>#REF!</f>
        <v>#REF!</v>
      </c>
      <c r="AK29" s="977" t="e">
        <f t="shared" si="11"/>
        <v>#REF!</v>
      </c>
      <c r="AL29" s="977">
        <f t="shared" si="6"/>
        <v>94.53</v>
      </c>
      <c r="AM29" s="977">
        <f t="shared" si="12"/>
        <v>0</v>
      </c>
      <c r="AN29" s="634"/>
    </row>
    <row r="30" spans="1:40" s="629" customFormat="1" ht="20.100000000000001" customHeight="1">
      <c r="A30" s="771">
        <f t="shared" si="13"/>
        <v>14</v>
      </c>
      <c r="B30" s="980">
        <f>+NOMINA!C30</f>
        <v>5348397</v>
      </c>
      <c r="C30" s="981" t="str">
        <f>+NOMINA!D30</f>
        <v>Araujo Manzanilla Carlos Antonio</v>
      </c>
      <c r="D30" s="978" t="s">
        <v>4622</v>
      </c>
      <c r="E30" s="982">
        <v>32351</v>
      </c>
      <c r="F30" s="978" t="s">
        <v>4620</v>
      </c>
      <c r="G30" s="1001">
        <f>+NOMINA!H30</f>
        <v>43359</v>
      </c>
      <c r="H30" s="984">
        <f t="shared" si="7"/>
        <v>4</v>
      </c>
      <c r="I30" s="985">
        <v>0</v>
      </c>
      <c r="J30" s="999">
        <f>+NOMINA!BL30</f>
        <v>25.53</v>
      </c>
      <c r="K30" s="999">
        <f>+NOMINA!BM30</f>
        <v>3.19</v>
      </c>
      <c r="L30" s="999">
        <f>+NOMINA!BN30</f>
        <v>6.91</v>
      </c>
      <c r="M30" s="999">
        <f>++NOMINA!BO30</f>
        <v>0</v>
      </c>
      <c r="N30" s="999">
        <f>+NOMINA!BP30</f>
        <v>0</v>
      </c>
      <c r="O30" s="986">
        <f t="shared" si="8"/>
        <v>35.630000000000003</v>
      </c>
      <c r="P30" s="999">
        <f>+NOMINA!BR30</f>
        <v>57.43</v>
      </c>
      <c r="Q30" s="999">
        <f>+NOMINA!BS30</f>
        <v>12.76</v>
      </c>
      <c r="R30" s="999">
        <f>+NOMINA!BT30</f>
        <v>13.82</v>
      </c>
      <c r="S30" s="986">
        <f t="shared" si="9"/>
        <v>84.01</v>
      </c>
      <c r="T30" s="986">
        <f t="shared" si="10"/>
        <v>119.64000000000001</v>
      </c>
      <c r="U30" s="1005">
        <v>0</v>
      </c>
      <c r="V30" s="443" t="e">
        <f>#REF!+#REF!-O30</f>
        <v>#REF!</v>
      </c>
      <c r="W30" s="975" t="e">
        <f>ROUND((#REF!+#REF!+#REF!+#REF!+#REF!+#REF!+#REF!+#REF!+#REF!),2)</f>
        <v>#REF!</v>
      </c>
      <c r="AA30" s="976" t="e">
        <f>#REF!+#REF!-O30</f>
        <v>#REF!</v>
      </c>
      <c r="AB30" s="977" t="e">
        <f>#REF!</f>
        <v>#REF!</v>
      </c>
      <c r="AC30" s="976" t="e">
        <f>#REF!+#REF!</f>
        <v>#REF!</v>
      </c>
      <c r="AD30" s="977" t="e">
        <f>#REF!</f>
        <v>#REF!</v>
      </c>
      <c r="AE30" s="978">
        <v>0</v>
      </c>
      <c r="AF30" s="977" t="e">
        <f>#REF!</f>
        <v>#REF!</v>
      </c>
      <c r="AG30" s="979" t="e">
        <f>#REF!+#REF!</f>
        <v>#REF!</v>
      </c>
      <c r="AH30" s="979" t="e">
        <f>#REF!+#REF!</f>
        <v>#REF!</v>
      </c>
      <c r="AI30" s="979"/>
      <c r="AJ30" s="977" t="e">
        <f>#REF!</f>
        <v>#REF!</v>
      </c>
      <c r="AK30" s="977" t="e">
        <f t="shared" si="11"/>
        <v>#REF!</v>
      </c>
      <c r="AL30" s="977">
        <f t="shared" si="6"/>
        <v>119.64000000000001</v>
      </c>
      <c r="AM30" s="977">
        <f t="shared" si="12"/>
        <v>0</v>
      </c>
      <c r="AN30" s="634"/>
    </row>
    <row r="31" spans="1:40" s="629" customFormat="1" ht="20.100000000000001" customHeight="1">
      <c r="A31" s="771">
        <f t="shared" si="13"/>
        <v>15</v>
      </c>
      <c r="B31" s="980">
        <f>+NOMINA!C31</f>
        <v>9314132</v>
      </c>
      <c r="C31" s="981" t="str">
        <f>+NOMINA!D31</f>
        <v>Viloria Montilla Gerardo</v>
      </c>
      <c r="D31" s="978" t="s">
        <v>4622</v>
      </c>
      <c r="E31" s="982">
        <v>32351</v>
      </c>
      <c r="F31" s="978" t="s">
        <v>4620</v>
      </c>
      <c r="G31" s="1001">
        <f>+NOMINA!H31</f>
        <v>44348</v>
      </c>
      <c r="H31" s="984">
        <f t="shared" si="7"/>
        <v>1</v>
      </c>
      <c r="I31" s="985">
        <v>0</v>
      </c>
      <c r="J31" s="999">
        <f>+NOMINA!BL31</f>
        <v>24.35</v>
      </c>
      <c r="K31" s="999">
        <f>+NOMINA!BM31</f>
        <v>3.04</v>
      </c>
      <c r="L31" s="999">
        <f>+NOMINA!BN31</f>
        <v>6.59</v>
      </c>
      <c r="M31" s="999">
        <f>++NOMINA!BO31</f>
        <v>0</v>
      </c>
      <c r="N31" s="999">
        <f>+NOMINA!BP31</f>
        <v>0</v>
      </c>
      <c r="O31" s="986">
        <f t="shared" si="8"/>
        <v>33.979999999999997</v>
      </c>
      <c r="P31" s="999">
        <f>+NOMINA!BR31</f>
        <v>54.78</v>
      </c>
      <c r="Q31" s="999">
        <f>+NOMINA!BS31</f>
        <v>12.17</v>
      </c>
      <c r="R31" s="999">
        <f>+NOMINA!BT31</f>
        <v>13.18</v>
      </c>
      <c r="S31" s="986">
        <f t="shared" si="9"/>
        <v>80.13</v>
      </c>
      <c r="T31" s="986">
        <f t="shared" si="10"/>
        <v>114.10999999999999</v>
      </c>
      <c r="U31" s="1005">
        <v>0</v>
      </c>
      <c r="V31" s="443" t="e">
        <f>#REF!+#REF!-O31</f>
        <v>#REF!</v>
      </c>
      <c r="W31" s="975" t="e">
        <f>ROUND((#REF!+#REF!+#REF!+#REF!+#REF!+#REF!+#REF!+#REF!+#REF!),2)</f>
        <v>#REF!</v>
      </c>
      <c r="AA31" s="976" t="e">
        <f>#REF!+#REF!-O31</f>
        <v>#REF!</v>
      </c>
      <c r="AB31" s="977" t="e">
        <f>#REF!</f>
        <v>#REF!</v>
      </c>
      <c r="AC31" s="976" t="e">
        <f>#REF!+#REF!</f>
        <v>#REF!</v>
      </c>
      <c r="AD31" s="977" t="e">
        <f>#REF!</f>
        <v>#REF!</v>
      </c>
      <c r="AE31" s="978">
        <v>0</v>
      </c>
      <c r="AF31" s="977" t="e">
        <f>#REF!</f>
        <v>#REF!</v>
      </c>
      <c r="AG31" s="979" t="e">
        <f>#REF!+#REF!</f>
        <v>#REF!</v>
      </c>
      <c r="AH31" s="979" t="e">
        <f>#REF!+#REF!</f>
        <v>#REF!</v>
      </c>
      <c r="AI31" s="979"/>
      <c r="AJ31" s="977" t="e">
        <f>#REF!</f>
        <v>#REF!</v>
      </c>
      <c r="AK31" s="977" t="e">
        <f t="shared" si="11"/>
        <v>#REF!</v>
      </c>
      <c r="AL31" s="977">
        <f t="shared" si="6"/>
        <v>114.10999999999999</v>
      </c>
      <c r="AM31" s="977">
        <f t="shared" si="12"/>
        <v>0</v>
      </c>
      <c r="AN31" s="634"/>
    </row>
    <row r="32" spans="1:40" s="629" customFormat="1" ht="20.100000000000001" customHeight="1">
      <c r="A32" s="771">
        <f t="shared" si="13"/>
        <v>16</v>
      </c>
      <c r="B32" s="980">
        <f>+NOMINA!C32</f>
        <v>11320533</v>
      </c>
      <c r="C32" s="981" t="str">
        <f>+NOMINA!D32</f>
        <v>Suarez Chiquin Yaritza Josefina</v>
      </c>
      <c r="D32" s="978" t="s">
        <v>4622</v>
      </c>
      <c r="E32" s="982">
        <v>32351</v>
      </c>
      <c r="F32" s="978" t="s">
        <v>4620</v>
      </c>
      <c r="G32" s="1001">
        <f>+NOMINA!H32</f>
        <v>37629</v>
      </c>
      <c r="H32" s="984">
        <f t="shared" si="7"/>
        <v>19</v>
      </c>
      <c r="I32" s="985">
        <v>0</v>
      </c>
      <c r="J32" s="999">
        <f>+NOMINA!BL32</f>
        <v>27.39</v>
      </c>
      <c r="K32" s="999">
        <f>+NOMINA!BM32</f>
        <v>3.42</v>
      </c>
      <c r="L32" s="999">
        <f>+NOMINA!BN32</f>
        <v>7.42</v>
      </c>
      <c r="M32" s="999">
        <f>++NOMINA!BO32</f>
        <v>0</v>
      </c>
      <c r="N32" s="999">
        <f>+NOMINA!BP32</f>
        <v>1.44</v>
      </c>
      <c r="O32" s="986">
        <f t="shared" si="8"/>
        <v>39.67</v>
      </c>
      <c r="P32" s="999">
        <f>+NOMINA!BR32</f>
        <v>61.63</v>
      </c>
      <c r="Q32" s="999">
        <f>+NOMINA!BS32</f>
        <v>13.7</v>
      </c>
      <c r="R32" s="999">
        <f>+NOMINA!BT32</f>
        <v>14.84</v>
      </c>
      <c r="S32" s="986">
        <f t="shared" si="9"/>
        <v>90.17</v>
      </c>
      <c r="T32" s="986">
        <f t="shared" si="10"/>
        <v>129.84</v>
      </c>
      <c r="U32" s="1005">
        <v>0</v>
      </c>
      <c r="V32" s="443" t="e">
        <f>#REF!+#REF!-O32</f>
        <v>#REF!</v>
      </c>
      <c r="W32" s="975" t="e">
        <f>ROUND((#REF!+#REF!+#REF!+#REF!+#REF!+#REF!+#REF!+#REF!+#REF!),2)</f>
        <v>#REF!</v>
      </c>
      <c r="AA32" s="976" t="e">
        <f>#REF!+#REF!-O32</f>
        <v>#REF!</v>
      </c>
      <c r="AB32" s="977" t="e">
        <f>#REF!</f>
        <v>#REF!</v>
      </c>
      <c r="AC32" s="976" t="e">
        <f>#REF!+#REF!</f>
        <v>#REF!</v>
      </c>
      <c r="AD32" s="977" t="e">
        <f>#REF!</f>
        <v>#REF!</v>
      </c>
      <c r="AE32" s="978">
        <v>0</v>
      </c>
      <c r="AF32" s="977" t="e">
        <f>#REF!</f>
        <v>#REF!</v>
      </c>
      <c r="AG32" s="979" t="e">
        <f>#REF!+#REF!</f>
        <v>#REF!</v>
      </c>
      <c r="AH32" s="979" t="e">
        <f>#REF!+#REF!</f>
        <v>#REF!</v>
      </c>
      <c r="AI32" s="979"/>
      <c r="AJ32" s="977" t="e">
        <f>#REF!</f>
        <v>#REF!</v>
      </c>
      <c r="AK32" s="977" t="e">
        <f t="shared" si="11"/>
        <v>#REF!</v>
      </c>
      <c r="AL32" s="977">
        <f t="shared" si="6"/>
        <v>129.84</v>
      </c>
      <c r="AM32" s="977">
        <f t="shared" si="12"/>
        <v>0</v>
      </c>
      <c r="AN32" s="634"/>
    </row>
    <row r="33" spans="1:42" s="629" customFormat="1" ht="20.100000000000001" customHeight="1">
      <c r="A33" s="771">
        <f t="shared" si="13"/>
        <v>17</v>
      </c>
      <c r="B33" s="980">
        <f>+NOMINA!C33</f>
        <v>10912595</v>
      </c>
      <c r="C33" s="981" t="str">
        <f>+NOMINA!D33</f>
        <v>Delfin Bustos Jose Hercilio</v>
      </c>
      <c r="D33" s="978" t="s">
        <v>4622</v>
      </c>
      <c r="E33" s="982">
        <v>32351</v>
      </c>
      <c r="F33" s="978" t="s">
        <v>4620</v>
      </c>
      <c r="G33" s="1001">
        <f>+NOMINA!H33</f>
        <v>36039</v>
      </c>
      <c r="H33" s="984">
        <f t="shared" si="7"/>
        <v>24</v>
      </c>
      <c r="I33" s="985">
        <v>0</v>
      </c>
      <c r="J33" s="999">
        <f>+NOMINA!BL33</f>
        <v>21.5</v>
      </c>
      <c r="K33" s="999">
        <f>+NOMINA!BM33</f>
        <v>2.69</v>
      </c>
      <c r="L33" s="999">
        <f>+NOMINA!BN33</f>
        <v>5.82</v>
      </c>
      <c r="M33" s="999">
        <f>++NOMINA!BO33</f>
        <v>0</v>
      </c>
      <c r="N33" s="999">
        <f>+NOMINA!BP33</f>
        <v>0</v>
      </c>
      <c r="O33" s="986">
        <f t="shared" si="8"/>
        <v>30.01</v>
      </c>
      <c r="P33" s="999">
        <f>+NOMINA!BR33</f>
        <v>48.38</v>
      </c>
      <c r="Q33" s="999">
        <f>+NOMINA!BS33</f>
        <v>10.75</v>
      </c>
      <c r="R33" s="999">
        <f>+NOMINA!BT33</f>
        <v>11.64</v>
      </c>
      <c r="S33" s="986">
        <f t="shared" si="9"/>
        <v>70.77</v>
      </c>
      <c r="T33" s="986">
        <f t="shared" si="10"/>
        <v>100.78</v>
      </c>
      <c r="U33" s="1005">
        <v>0</v>
      </c>
      <c r="V33" s="443" t="e">
        <f>#REF!+#REF!-O33</f>
        <v>#REF!</v>
      </c>
      <c r="W33" s="975" t="e">
        <f>ROUND((#REF!+#REF!+#REF!+#REF!+#REF!+#REF!+#REF!+#REF!+#REF!),2)</f>
        <v>#REF!</v>
      </c>
      <c r="AA33" s="976" t="e">
        <f>#REF!+#REF!-O33</f>
        <v>#REF!</v>
      </c>
      <c r="AB33" s="977" t="e">
        <f>#REF!</f>
        <v>#REF!</v>
      </c>
      <c r="AC33" s="976" t="e">
        <f>#REF!+#REF!</f>
        <v>#REF!</v>
      </c>
      <c r="AD33" s="977" t="e">
        <f>#REF!</f>
        <v>#REF!</v>
      </c>
      <c r="AE33" s="978">
        <v>0</v>
      </c>
      <c r="AF33" s="977" t="e">
        <f>#REF!</f>
        <v>#REF!</v>
      </c>
      <c r="AG33" s="979" t="e">
        <f>#REF!+#REF!</f>
        <v>#REF!</v>
      </c>
      <c r="AH33" s="979" t="e">
        <f>#REF!+#REF!</f>
        <v>#REF!</v>
      </c>
      <c r="AI33" s="979"/>
      <c r="AJ33" s="977" t="e">
        <f>#REF!</f>
        <v>#REF!</v>
      </c>
      <c r="AK33" s="977" t="e">
        <f t="shared" si="11"/>
        <v>#REF!</v>
      </c>
      <c r="AL33" s="977">
        <f t="shared" si="6"/>
        <v>100.78</v>
      </c>
      <c r="AM33" s="977">
        <f t="shared" si="12"/>
        <v>0</v>
      </c>
      <c r="AN33" s="634"/>
    </row>
    <row r="34" spans="1:42" s="629" customFormat="1" ht="20.100000000000001" customHeight="1">
      <c r="A34" s="771">
        <f t="shared" si="13"/>
        <v>18</v>
      </c>
      <c r="B34" s="980">
        <f>+NOMINA!C34</f>
        <v>4306476</v>
      </c>
      <c r="C34" s="981" t="str">
        <f>+NOMINA!D34</f>
        <v xml:space="preserve">Triviño De Bastidas Dioni De La Coromoto </v>
      </c>
      <c r="D34" s="978" t="s">
        <v>4622</v>
      </c>
      <c r="E34" s="982">
        <v>32351</v>
      </c>
      <c r="F34" s="978" t="s">
        <v>4620</v>
      </c>
      <c r="G34" s="1001">
        <f>+NOMINA!H34</f>
        <v>44409</v>
      </c>
      <c r="H34" s="984">
        <f t="shared" si="7"/>
        <v>1</v>
      </c>
      <c r="I34" s="985">
        <v>0</v>
      </c>
      <c r="J34" s="999">
        <f>+NOMINA!BL34</f>
        <v>29.03</v>
      </c>
      <c r="K34" s="999">
        <f>+NOMINA!BM34</f>
        <v>3.63</v>
      </c>
      <c r="L34" s="999">
        <f>+NOMINA!BN34</f>
        <v>7.86</v>
      </c>
      <c r="M34" s="999">
        <f>++NOMINA!BO34</f>
        <v>0</v>
      </c>
      <c r="N34" s="999">
        <f>+NOMINA!BP34</f>
        <v>0</v>
      </c>
      <c r="O34" s="986">
        <f t="shared" si="8"/>
        <v>40.520000000000003</v>
      </c>
      <c r="P34" s="999">
        <f>+NOMINA!BR34</f>
        <v>65.319999999999993</v>
      </c>
      <c r="Q34" s="999">
        <f>+NOMINA!BS34</f>
        <v>14.52</v>
      </c>
      <c r="R34" s="999">
        <f>+NOMINA!BT34</f>
        <v>15.72</v>
      </c>
      <c r="S34" s="986">
        <f t="shared" si="9"/>
        <v>95.56</v>
      </c>
      <c r="T34" s="986">
        <f t="shared" si="10"/>
        <v>136.08000000000001</v>
      </c>
      <c r="U34" s="1005">
        <v>0</v>
      </c>
      <c r="V34" s="443" t="e">
        <f>#REF!+#REF!-O34</f>
        <v>#REF!</v>
      </c>
      <c r="W34" s="975" t="e">
        <f>ROUND((#REF!+#REF!+#REF!+#REF!+#REF!+#REF!+#REF!+#REF!+#REF!),2)</f>
        <v>#REF!</v>
      </c>
      <c r="AA34" s="976" t="e">
        <f>#REF!+#REF!-O34</f>
        <v>#REF!</v>
      </c>
      <c r="AB34" s="977" t="e">
        <f>#REF!</f>
        <v>#REF!</v>
      </c>
      <c r="AC34" s="976" t="e">
        <f>#REF!+#REF!</f>
        <v>#REF!</v>
      </c>
      <c r="AD34" s="977" t="e">
        <f>#REF!</f>
        <v>#REF!</v>
      </c>
      <c r="AE34" s="978">
        <v>0</v>
      </c>
      <c r="AF34" s="977" t="e">
        <f>#REF!</f>
        <v>#REF!</v>
      </c>
      <c r="AG34" s="979" t="e">
        <f>#REF!+#REF!</f>
        <v>#REF!</v>
      </c>
      <c r="AH34" s="979" t="e">
        <f>#REF!+#REF!</f>
        <v>#REF!</v>
      </c>
      <c r="AI34" s="979"/>
      <c r="AJ34" s="977" t="e">
        <f>#REF!</f>
        <v>#REF!</v>
      </c>
      <c r="AK34" s="977" t="e">
        <f t="shared" si="11"/>
        <v>#REF!</v>
      </c>
      <c r="AL34" s="977">
        <f t="shared" si="6"/>
        <v>136.08000000000001</v>
      </c>
      <c r="AM34" s="977">
        <f t="shared" si="12"/>
        <v>0</v>
      </c>
      <c r="AN34" s="634"/>
    </row>
    <row r="35" spans="1:42" s="629" customFormat="1" ht="20.100000000000001" customHeight="1">
      <c r="A35" s="771">
        <f t="shared" si="13"/>
        <v>19</v>
      </c>
      <c r="B35" s="980">
        <f>+NOMINA!C35</f>
        <v>13568733</v>
      </c>
      <c r="C35" s="981" t="str">
        <f>+NOMINA!D35</f>
        <v>Campos de Velazquez Nilda Carolina</v>
      </c>
      <c r="D35" s="978" t="s">
        <v>4622</v>
      </c>
      <c r="E35" s="982">
        <v>32351</v>
      </c>
      <c r="F35" s="978" t="s">
        <v>4620</v>
      </c>
      <c r="G35" s="1001">
        <f>+NOMINA!H35</f>
        <v>44805</v>
      </c>
      <c r="H35" s="984">
        <f t="shared" si="7"/>
        <v>0</v>
      </c>
      <c r="I35" s="985">
        <v>0</v>
      </c>
      <c r="J35" s="999">
        <f>+NOMINA!BL35</f>
        <v>22.96</v>
      </c>
      <c r="K35" s="999">
        <f>+NOMINA!BM35</f>
        <v>2.87</v>
      </c>
      <c r="L35" s="999">
        <f>+NOMINA!BN35</f>
        <v>6.22</v>
      </c>
      <c r="M35" s="999">
        <f>++NOMINA!BO35</f>
        <v>0</v>
      </c>
      <c r="N35" s="999">
        <f>+NOMINA!BP35</f>
        <v>0</v>
      </c>
      <c r="O35" s="986">
        <f t="shared" si="8"/>
        <v>32.049999999999997</v>
      </c>
      <c r="P35" s="999">
        <f>+NOMINA!BR35</f>
        <v>51.66</v>
      </c>
      <c r="Q35" s="999">
        <f>+NOMINA!BS35</f>
        <v>11.48</v>
      </c>
      <c r="R35" s="999">
        <f>+NOMINA!BT35</f>
        <v>12.44</v>
      </c>
      <c r="S35" s="986">
        <f t="shared" si="9"/>
        <v>75.58</v>
      </c>
      <c r="T35" s="986">
        <f t="shared" si="10"/>
        <v>107.63</v>
      </c>
      <c r="U35" s="1005">
        <v>0</v>
      </c>
      <c r="V35" s="443" t="e">
        <f>#REF!+#REF!-O35</f>
        <v>#REF!</v>
      </c>
      <c r="W35" s="975" t="e">
        <f>ROUND((#REF!+#REF!+#REF!+#REF!+#REF!+#REF!+#REF!+#REF!+#REF!),2)</f>
        <v>#REF!</v>
      </c>
      <c r="AA35" s="976" t="e">
        <f>#REF!+#REF!-O35</f>
        <v>#REF!</v>
      </c>
      <c r="AB35" s="977" t="e">
        <f>#REF!</f>
        <v>#REF!</v>
      </c>
      <c r="AC35" s="976" t="e">
        <f>#REF!+#REF!</f>
        <v>#REF!</v>
      </c>
      <c r="AD35" s="977" t="e">
        <f>#REF!</f>
        <v>#REF!</v>
      </c>
      <c r="AE35" s="978">
        <v>0</v>
      </c>
      <c r="AF35" s="977" t="e">
        <f>#REF!</f>
        <v>#REF!</v>
      </c>
      <c r="AG35" s="979" t="e">
        <f>#REF!+#REF!</f>
        <v>#REF!</v>
      </c>
      <c r="AH35" s="979" t="e">
        <f>#REF!+#REF!</f>
        <v>#REF!</v>
      </c>
      <c r="AI35" s="979"/>
      <c r="AJ35" s="977" t="e">
        <f>#REF!</f>
        <v>#REF!</v>
      </c>
      <c r="AK35" s="977" t="e">
        <f t="shared" si="11"/>
        <v>#REF!</v>
      </c>
      <c r="AL35" s="977">
        <f t="shared" si="6"/>
        <v>107.63</v>
      </c>
      <c r="AM35" s="977">
        <f t="shared" si="12"/>
        <v>0</v>
      </c>
      <c r="AN35" s="634"/>
    </row>
    <row r="36" spans="1:42" s="629" customFormat="1" ht="20.100000000000001" customHeight="1">
      <c r="A36" s="771">
        <f t="shared" si="13"/>
        <v>20</v>
      </c>
      <c r="B36" s="980">
        <f>+NOMINA!C36</f>
        <v>20790947</v>
      </c>
      <c r="C36" s="981" t="str">
        <f>+NOMINA!D36</f>
        <v>Urbina Cuellar Tannessy Lenery</v>
      </c>
      <c r="D36" s="978" t="s">
        <v>4622</v>
      </c>
      <c r="E36" s="982">
        <v>32351</v>
      </c>
      <c r="F36" s="978" t="s">
        <v>4620</v>
      </c>
      <c r="G36" s="1001">
        <f>+NOMINA!H36</f>
        <v>43967</v>
      </c>
      <c r="H36" s="984">
        <f t="shared" si="7"/>
        <v>2</v>
      </c>
      <c r="I36" s="985">
        <v>0</v>
      </c>
      <c r="J36" s="999">
        <f>+NOMINA!BL36</f>
        <v>23.28</v>
      </c>
      <c r="K36" s="999">
        <f>+NOMINA!BM36</f>
        <v>2.91</v>
      </c>
      <c r="L36" s="999">
        <f>+NOMINA!BN36</f>
        <v>6.31</v>
      </c>
      <c r="M36" s="999">
        <f>++NOMINA!BO36</f>
        <v>0</v>
      </c>
      <c r="N36" s="999">
        <f>+NOMINA!BP36</f>
        <v>0</v>
      </c>
      <c r="O36" s="986">
        <f t="shared" si="8"/>
        <v>32.5</v>
      </c>
      <c r="P36" s="999">
        <f>+NOMINA!BR36</f>
        <v>52.38</v>
      </c>
      <c r="Q36" s="999">
        <f>+NOMINA!BS36</f>
        <v>11.64</v>
      </c>
      <c r="R36" s="999">
        <f>+NOMINA!BT36</f>
        <v>12.62</v>
      </c>
      <c r="S36" s="986">
        <f t="shared" si="9"/>
        <v>76.64</v>
      </c>
      <c r="T36" s="986">
        <f t="shared" si="10"/>
        <v>109.14</v>
      </c>
      <c r="U36" s="1005">
        <v>0</v>
      </c>
      <c r="V36" s="443" t="e">
        <f>#REF!+#REF!-O36</f>
        <v>#REF!</v>
      </c>
      <c r="W36" s="975" t="e">
        <f>ROUND((#REF!+#REF!+#REF!+#REF!+#REF!+#REF!+#REF!+#REF!+#REF!),2)</f>
        <v>#REF!</v>
      </c>
      <c r="AA36" s="976" t="e">
        <f>#REF!+#REF!-O36</f>
        <v>#REF!</v>
      </c>
      <c r="AB36" s="977" t="e">
        <f>#REF!</f>
        <v>#REF!</v>
      </c>
      <c r="AC36" s="976" t="e">
        <f>#REF!+#REF!</f>
        <v>#REF!</v>
      </c>
      <c r="AD36" s="977" t="e">
        <f>#REF!</f>
        <v>#REF!</v>
      </c>
      <c r="AE36" s="978">
        <v>0</v>
      </c>
      <c r="AF36" s="977" t="e">
        <f>#REF!</f>
        <v>#REF!</v>
      </c>
      <c r="AG36" s="979" t="e">
        <f>#REF!+#REF!</f>
        <v>#REF!</v>
      </c>
      <c r="AH36" s="979" t="e">
        <f>#REF!+#REF!</f>
        <v>#REF!</v>
      </c>
      <c r="AI36" s="979"/>
      <c r="AJ36" s="977" t="e">
        <f>#REF!</f>
        <v>#REF!</v>
      </c>
      <c r="AK36" s="977" t="e">
        <f t="shared" si="11"/>
        <v>#REF!</v>
      </c>
      <c r="AL36" s="977">
        <f t="shared" si="6"/>
        <v>109.14</v>
      </c>
      <c r="AM36" s="977">
        <f t="shared" si="12"/>
        <v>0</v>
      </c>
      <c r="AN36" s="634"/>
    </row>
    <row r="37" spans="1:42" s="629" customFormat="1" ht="20.100000000000001" customHeight="1">
      <c r="A37" s="771">
        <f t="shared" si="13"/>
        <v>21</v>
      </c>
      <c r="B37" s="980">
        <f>+NOMINA!C37</f>
        <v>15752183</v>
      </c>
      <c r="C37" s="981" t="str">
        <f>+NOMINA!D37</f>
        <v>Delduca Adriana Del Valle</v>
      </c>
      <c r="D37" s="978" t="s">
        <v>4622</v>
      </c>
      <c r="E37" s="982">
        <v>32351</v>
      </c>
      <c r="F37" s="978" t="s">
        <v>4620</v>
      </c>
      <c r="G37" s="1001">
        <f>+NOMINA!H37</f>
        <v>38930</v>
      </c>
      <c r="H37" s="984">
        <f t="shared" si="7"/>
        <v>16</v>
      </c>
      <c r="I37" s="985">
        <v>0</v>
      </c>
      <c r="J37" s="999">
        <f>+NOMINA!BL37</f>
        <v>21.5</v>
      </c>
      <c r="K37" s="999">
        <f>+NOMINA!BM37</f>
        <v>2.69</v>
      </c>
      <c r="L37" s="999">
        <f>+NOMINA!BN37</f>
        <v>5.82</v>
      </c>
      <c r="M37" s="999">
        <f>++NOMINA!BO37</f>
        <v>0</v>
      </c>
      <c r="N37" s="999">
        <f>+NOMINA!BP37</f>
        <v>0</v>
      </c>
      <c r="O37" s="986">
        <f t="shared" si="8"/>
        <v>30.01</v>
      </c>
      <c r="P37" s="999">
        <f>+NOMINA!BR37</f>
        <v>48.38</v>
      </c>
      <c r="Q37" s="999">
        <f>+NOMINA!BS37</f>
        <v>10.75</v>
      </c>
      <c r="R37" s="999">
        <f>+NOMINA!BT37</f>
        <v>11.64</v>
      </c>
      <c r="S37" s="986">
        <f t="shared" si="9"/>
        <v>70.77</v>
      </c>
      <c r="T37" s="986">
        <f t="shared" si="10"/>
        <v>100.78</v>
      </c>
      <c r="U37" s="1005">
        <v>0</v>
      </c>
      <c r="V37" s="443" t="e">
        <f>#REF!+#REF!-O37</f>
        <v>#REF!</v>
      </c>
      <c r="W37" s="975" t="e">
        <f>ROUND((#REF!+#REF!+#REF!+#REF!+#REF!+#REF!+#REF!+#REF!+#REF!),2)</f>
        <v>#REF!</v>
      </c>
      <c r="AA37" s="976" t="e">
        <f>#REF!+#REF!-O37</f>
        <v>#REF!</v>
      </c>
      <c r="AB37" s="977" t="e">
        <f>#REF!</f>
        <v>#REF!</v>
      </c>
      <c r="AC37" s="976" t="e">
        <f>#REF!+#REF!</f>
        <v>#REF!</v>
      </c>
      <c r="AD37" s="977" t="e">
        <f>#REF!</f>
        <v>#REF!</v>
      </c>
      <c r="AE37" s="978">
        <v>0</v>
      </c>
      <c r="AF37" s="977" t="e">
        <f>#REF!</f>
        <v>#REF!</v>
      </c>
      <c r="AG37" s="979" t="e">
        <f>#REF!+#REF!</f>
        <v>#REF!</v>
      </c>
      <c r="AH37" s="979" t="e">
        <f>#REF!+#REF!</f>
        <v>#REF!</v>
      </c>
      <c r="AI37" s="979"/>
      <c r="AJ37" s="977" t="e">
        <f>#REF!</f>
        <v>#REF!</v>
      </c>
      <c r="AK37" s="977" t="e">
        <f t="shared" si="11"/>
        <v>#REF!</v>
      </c>
      <c r="AL37" s="977">
        <f t="shared" si="6"/>
        <v>100.78</v>
      </c>
      <c r="AM37" s="977">
        <f t="shared" si="12"/>
        <v>0</v>
      </c>
      <c r="AN37" s="634"/>
    </row>
    <row r="38" spans="1:42" s="629" customFormat="1" ht="20.100000000000001" customHeight="1">
      <c r="A38" s="771">
        <f t="shared" si="13"/>
        <v>22</v>
      </c>
      <c r="B38" s="980">
        <f>+NOMINA!C38</f>
        <v>16739081</v>
      </c>
      <c r="C38" s="981" t="str">
        <f>+NOMINA!D38</f>
        <v>Albarran Araujo Yely Coromoto</v>
      </c>
      <c r="D38" s="978" t="s">
        <v>4622</v>
      </c>
      <c r="E38" s="982">
        <v>32351</v>
      </c>
      <c r="F38" s="978" t="s">
        <v>4620</v>
      </c>
      <c r="G38" s="1001">
        <f>+NOMINA!H38</f>
        <v>42948</v>
      </c>
      <c r="H38" s="984">
        <f t="shared" si="7"/>
        <v>5</v>
      </c>
      <c r="I38" s="985">
        <v>0</v>
      </c>
      <c r="J38" s="999">
        <f>+NOMINA!BL38</f>
        <v>23.43</v>
      </c>
      <c r="K38" s="999">
        <f>+NOMINA!BM38</f>
        <v>2.93</v>
      </c>
      <c r="L38" s="999">
        <f>+NOMINA!BN38</f>
        <v>6.35</v>
      </c>
      <c r="M38" s="999">
        <f>++NOMINA!BO38</f>
        <v>0</v>
      </c>
      <c r="N38" s="999">
        <f>+NOMINA!BP38</f>
        <v>0</v>
      </c>
      <c r="O38" s="986">
        <f t="shared" si="8"/>
        <v>32.71</v>
      </c>
      <c r="P38" s="999">
        <f>+NOMINA!BR38</f>
        <v>52.71</v>
      </c>
      <c r="Q38" s="999">
        <f>+NOMINA!BS38</f>
        <v>11.71</v>
      </c>
      <c r="R38" s="999">
        <f>+NOMINA!BT38</f>
        <v>12.7</v>
      </c>
      <c r="S38" s="986">
        <f t="shared" si="9"/>
        <v>77.12</v>
      </c>
      <c r="T38" s="986">
        <f t="shared" si="10"/>
        <v>109.83000000000001</v>
      </c>
      <c r="U38" s="1005">
        <v>0</v>
      </c>
      <c r="V38" s="443" t="e">
        <f>#REF!+#REF!-O38</f>
        <v>#REF!</v>
      </c>
      <c r="W38" s="975" t="e">
        <f>ROUND((#REF!+#REF!+#REF!+#REF!+#REF!+#REF!+#REF!+#REF!+#REF!),2)</f>
        <v>#REF!</v>
      </c>
      <c r="AA38" s="976" t="e">
        <f>#REF!+#REF!-O38</f>
        <v>#REF!</v>
      </c>
      <c r="AB38" s="977" t="e">
        <f>#REF!</f>
        <v>#REF!</v>
      </c>
      <c r="AC38" s="976" t="e">
        <f>#REF!+#REF!</f>
        <v>#REF!</v>
      </c>
      <c r="AD38" s="977" t="e">
        <f>#REF!</f>
        <v>#REF!</v>
      </c>
      <c r="AE38" s="978">
        <v>0</v>
      </c>
      <c r="AF38" s="977" t="e">
        <f>#REF!</f>
        <v>#REF!</v>
      </c>
      <c r="AG38" s="979" t="e">
        <f>#REF!+#REF!</f>
        <v>#REF!</v>
      </c>
      <c r="AH38" s="979" t="e">
        <f>#REF!+#REF!</f>
        <v>#REF!</v>
      </c>
      <c r="AI38" s="979"/>
      <c r="AJ38" s="977" t="e">
        <f>#REF!</f>
        <v>#REF!</v>
      </c>
      <c r="AK38" s="977" t="e">
        <f t="shared" si="11"/>
        <v>#REF!</v>
      </c>
      <c r="AL38" s="977">
        <f t="shared" si="6"/>
        <v>109.83000000000001</v>
      </c>
      <c r="AM38" s="977">
        <f t="shared" si="12"/>
        <v>0</v>
      </c>
      <c r="AN38" s="634"/>
    </row>
    <row r="39" spans="1:42" s="629" customFormat="1" ht="20.100000000000001" customHeight="1">
      <c r="A39" s="771">
        <f t="shared" si="13"/>
        <v>23</v>
      </c>
      <c r="B39" s="980">
        <f>+NOMINA!C39</f>
        <v>12781930</v>
      </c>
      <c r="C39" s="981" t="str">
        <f>+NOMINA!D39</f>
        <v>Berrios Gomez Neida Marina</v>
      </c>
      <c r="D39" s="978" t="s">
        <v>4622</v>
      </c>
      <c r="E39" s="982">
        <v>32351</v>
      </c>
      <c r="F39" s="978" t="s">
        <v>4620</v>
      </c>
      <c r="G39" s="1001">
        <f>+NOMINA!H39</f>
        <v>44652</v>
      </c>
      <c r="H39" s="984">
        <f t="shared" si="7"/>
        <v>0</v>
      </c>
      <c r="I39" s="985">
        <v>0</v>
      </c>
      <c r="J39" s="999">
        <f>+NOMINA!BL39</f>
        <v>22.38</v>
      </c>
      <c r="K39" s="999">
        <f>+NOMINA!BM39</f>
        <v>2.8</v>
      </c>
      <c r="L39" s="999">
        <f>+NOMINA!BN39</f>
        <v>6.06</v>
      </c>
      <c r="M39" s="999">
        <f>++NOMINA!BO39</f>
        <v>0</v>
      </c>
      <c r="N39" s="999">
        <f>+NOMINA!BP39</f>
        <v>0</v>
      </c>
      <c r="O39" s="986">
        <f t="shared" si="8"/>
        <v>31.24</v>
      </c>
      <c r="P39" s="999">
        <f>+NOMINA!BR39</f>
        <v>50.36</v>
      </c>
      <c r="Q39" s="999">
        <f>+NOMINA!BS39</f>
        <v>11.19</v>
      </c>
      <c r="R39" s="999">
        <f>+NOMINA!BT39</f>
        <v>12.12</v>
      </c>
      <c r="S39" s="986">
        <f t="shared" si="9"/>
        <v>73.67</v>
      </c>
      <c r="T39" s="986">
        <f t="shared" si="10"/>
        <v>104.91</v>
      </c>
      <c r="U39" s="1005"/>
      <c r="V39" s="443"/>
      <c r="W39" s="975"/>
      <c r="AA39" s="976"/>
      <c r="AB39" s="977"/>
      <c r="AC39" s="976"/>
      <c r="AD39" s="977"/>
      <c r="AE39" s="978"/>
      <c r="AF39" s="977"/>
      <c r="AG39" s="979"/>
      <c r="AH39" s="979"/>
      <c r="AI39" s="979"/>
      <c r="AJ39" s="977"/>
      <c r="AK39" s="977"/>
      <c r="AL39" s="977"/>
      <c r="AM39" s="977"/>
      <c r="AN39" s="634"/>
    </row>
    <row r="40" spans="1:42" s="629" customFormat="1" ht="20.100000000000001" customHeight="1" thickBot="1">
      <c r="A40" s="771">
        <f t="shared" si="13"/>
        <v>24</v>
      </c>
      <c r="B40" s="980">
        <f>+NOMINA!C40</f>
        <v>13896239</v>
      </c>
      <c r="C40" s="981" t="str">
        <f>+NOMINA!D40</f>
        <v>Sulbaran Campos Yusneida Ayarith</v>
      </c>
      <c r="D40" s="978" t="s">
        <v>4622</v>
      </c>
      <c r="E40" s="982">
        <v>32351</v>
      </c>
      <c r="F40" s="978" t="s">
        <v>4620</v>
      </c>
      <c r="G40" s="1001">
        <f>+NOMINA!H40</f>
        <v>42416</v>
      </c>
      <c r="H40" s="984">
        <f t="shared" si="7"/>
        <v>6</v>
      </c>
      <c r="I40" s="985">
        <v>0</v>
      </c>
      <c r="J40" s="999">
        <f>+NOMINA!BL40</f>
        <v>19.22</v>
      </c>
      <c r="K40" s="999">
        <f>+NOMINA!BM40</f>
        <v>2.4</v>
      </c>
      <c r="L40" s="999">
        <f>+NOMINA!BN40</f>
        <v>5.2</v>
      </c>
      <c r="M40" s="999">
        <f>++NOMINA!BO40</f>
        <v>0</v>
      </c>
      <c r="N40" s="999">
        <f>+NOMINA!BP40</f>
        <v>0</v>
      </c>
      <c r="O40" s="986">
        <f t="shared" si="8"/>
        <v>26.82</v>
      </c>
      <c r="P40" s="999">
        <f>+NOMINA!BR40</f>
        <v>43.24</v>
      </c>
      <c r="Q40" s="999">
        <f>+NOMINA!BS40</f>
        <v>9.61</v>
      </c>
      <c r="R40" s="999">
        <f>+NOMINA!BT40</f>
        <v>10.4</v>
      </c>
      <c r="S40" s="986">
        <f t="shared" si="9"/>
        <v>63.25</v>
      </c>
      <c r="T40" s="986">
        <f t="shared" si="10"/>
        <v>90.07</v>
      </c>
      <c r="U40" s="1005">
        <v>0</v>
      </c>
      <c r="V40" s="443" t="e">
        <f>#REF!+#REF!-O40</f>
        <v>#REF!</v>
      </c>
      <c r="W40" s="975" t="e">
        <f>ROUND((#REF!+#REF!+#REF!+#REF!+#REF!+#REF!+#REF!+#REF!+#REF!),2)</f>
        <v>#REF!</v>
      </c>
      <c r="AA40" s="976" t="e">
        <f>#REF!+#REF!-O40</f>
        <v>#REF!</v>
      </c>
      <c r="AB40" s="977" t="e">
        <f>#REF!</f>
        <v>#REF!</v>
      </c>
      <c r="AC40" s="976" t="e">
        <f>#REF!+#REF!</f>
        <v>#REF!</v>
      </c>
      <c r="AD40" s="977" t="e">
        <f>#REF!</f>
        <v>#REF!</v>
      </c>
      <c r="AE40" s="978">
        <v>0</v>
      </c>
      <c r="AF40" s="977" t="e">
        <f>#REF!</f>
        <v>#REF!</v>
      </c>
      <c r="AG40" s="979" t="e">
        <f>#REF!+#REF!</f>
        <v>#REF!</v>
      </c>
      <c r="AH40" s="979" t="e">
        <f>#REF!+#REF!</f>
        <v>#REF!</v>
      </c>
      <c r="AI40" s="979"/>
      <c r="AJ40" s="977" t="e">
        <f>#REF!</f>
        <v>#REF!</v>
      </c>
      <c r="AK40" s="977" t="e">
        <f t="shared" si="11"/>
        <v>#REF!</v>
      </c>
      <c r="AL40" s="977">
        <f t="shared" si="6"/>
        <v>90.07</v>
      </c>
      <c r="AM40" s="977">
        <f t="shared" si="12"/>
        <v>0</v>
      </c>
      <c r="AN40" s="634"/>
    </row>
    <row r="41" spans="1:42" s="629" customFormat="1" ht="18.95" customHeight="1" thickBot="1">
      <c r="A41" s="676"/>
      <c r="B41" s="677" t="s">
        <v>5997</v>
      </c>
      <c r="C41" s="677"/>
      <c r="D41" s="677"/>
      <c r="E41" s="677"/>
      <c r="F41" s="677"/>
      <c r="G41" s="677"/>
      <c r="H41" s="677"/>
      <c r="I41" s="677"/>
      <c r="J41" s="679">
        <f t="shared" ref="J41:W41" si="14">SUM(J17:J40)</f>
        <v>572.55000000000007</v>
      </c>
      <c r="K41" s="679">
        <f t="shared" si="14"/>
        <v>71.580000000000013</v>
      </c>
      <c r="L41" s="679">
        <f t="shared" si="14"/>
        <v>155.04999999999995</v>
      </c>
      <c r="M41" s="679">
        <f t="shared" si="14"/>
        <v>0</v>
      </c>
      <c r="N41" s="679">
        <f t="shared" si="14"/>
        <v>1.44</v>
      </c>
      <c r="O41" s="679">
        <f t="shared" si="14"/>
        <v>800.62</v>
      </c>
      <c r="P41" s="679">
        <f t="shared" si="14"/>
        <v>1288.2300000000002</v>
      </c>
      <c r="Q41" s="679">
        <f t="shared" si="14"/>
        <v>286.25</v>
      </c>
      <c r="R41" s="679">
        <f t="shared" si="14"/>
        <v>310.09999999999991</v>
      </c>
      <c r="S41" s="679">
        <f t="shared" si="14"/>
        <v>1884.58</v>
      </c>
      <c r="T41" s="679">
        <f t="shared" si="14"/>
        <v>2685.2</v>
      </c>
      <c r="U41" s="679">
        <f t="shared" si="14"/>
        <v>0</v>
      </c>
      <c r="V41" s="680" t="e">
        <f t="shared" si="14"/>
        <v>#REF!</v>
      </c>
      <c r="W41" s="681" t="e">
        <f t="shared" si="14"/>
        <v>#REF!</v>
      </c>
      <c r="X41" s="682"/>
      <c r="Y41" s="682" t="e">
        <f>AA41-#REF!</f>
        <v>#REF!</v>
      </c>
      <c r="Z41" s="682"/>
      <c r="AA41" s="987" t="e">
        <f t="shared" ref="AA41:AH41" si="15">SUM(AA13:AA40)</f>
        <v>#REF!</v>
      </c>
      <c r="AB41" s="987" t="e">
        <f t="shared" si="15"/>
        <v>#REF!</v>
      </c>
      <c r="AC41" s="988" t="e">
        <f t="shared" si="15"/>
        <v>#REF!</v>
      </c>
      <c r="AD41" s="988" t="e">
        <f t="shared" si="15"/>
        <v>#REF!</v>
      </c>
      <c r="AE41" s="987">
        <f t="shared" si="15"/>
        <v>0</v>
      </c>
      <c r="AF41" s="987" t="e">
        <f t="shared" si="15"/>
        <v>#REF!</v>
      </c>
      <c r="AG41" s="987" t="e">
        <f t="shared" si="15"/>
        <v>#REF!</v>
      </c>
      <c r="AH41" s="987" t="e">
        <f t="shared" si="15"/>
        <v>#REF!</v>
      </c>
      <c r="AI41" s="987"/>
      <c r="AJ41" s="987" t="e">
        <f>SUM(AJ13:AJ40)</f>
        <v>#REF!</v>
      </c>
      <c r="AK41" s="987" t="e">
        <f>SUM(AK13:AK40)</f>
        <v>#REF!</v>
      </c>
      <c r="AL41" s="987">
        <f>SUM(AL13:AL40)</f>
        <v>2580.29</v>
      </c>
      <c r="AM41" s="987">
        <f>SUM(AM13:AM40)</f>
        <v>0</v>
      </c>
      <c r="AN41" s="634"/>
      <c r="AO41" s="634">
        <f>+NOMINA!BW41</f>
        <v>2685.2</v>
      </c>
      <c r="AP41" s="634">
        <f>+T41-AO41</f>
        <v>0</v>
      </c>
    </row>
    <row r="42" spans="1:42" s="629" customFormat="1" ht="18.95" customHeight="1" thickBot="1">
      <c r="A42" s="1122"/>
      <c r="B42" s="1104"/>
      <c r="C42" s="1104"/>
      <c r="D42" s="1104"/>
      <c r="E42" s="1104"/>
      <c r="F42" s="1104"/>
      <c r="G42" s="1104"/>
      <c r="H42" s="1104"/>
      <c r="I42" s="1104"/>
      <c r="J42" s="1123"/>
      <c r="K42" s="1123"/>
      <c r="L42" s="1123"/>
      <c r="M42" s="1123"/>
      <c r="N42" s="1123"/>
      <c r="O42" s="1123"/>
      <c r="P42" s="1123"/>
      <c r="Q42" s="1123"/>
      <c r="R42" s="1123"/>
      <c r="S42" s="1123"/>
      <c r="T42" s="681"/>
      <c r="U42" s="1118"/>
      <c r="V42" s="1119"/>
      <c r="W42" s="817"/>
      <c r="X42" s="682"/>
      <c r="Y42" s="682"/>
      <c r="Z42" s="682"/>
      <c r="AA42" s="1120"/>
      <c r="AB42" s="1120"/>
      <c r="AC42" s="1121"/>
      <c r="AD42" s="1121"/>
      <c r="AE42" s="1120"/>
      <c r="AF42" s="1120"/>
      <c r="AG42" s="1120"/>
      <c r="AH42" s="1120"/>
      <c r="AI42" s="1120"/>
      <c r="AJ42" s="1120"/>
      <c r="AK42" s="1120"/>
      <c r="AL42" s="1120"/>
      <c r="AM42" s="1120"/>
      <c r="AN42" s="634"/>
      <c r="AO42" s="634"/>
      <c r="AP42" s="634"/>
    </row>
    <row r="43" spans="1:42" s="692" customFormat="1" ht="18.95" customHeight="1">
      <c r="A43" s="665" t="str">
        <f>+"EMPLEADOS FIJOS_"&amp;NOMINA!F9&amp;"_"&amp;NOMINA!H9</f>
        <v>EMPLEADOS FIJOS_ENERO_2025</v>
      </c>
      <c r="B43" s="684"/>
      <c r="C43" s="685"/>
      <c r="D43" s="684"/>
      <c r="E43" s="685"/>
      <c r="F43" s="686"/>
      <c r="G43" s="845"/>
      <c r="H43" s="688"/>
      <c r="I43" s="688"/>
      <c r="J43" s="688"/>
      <c r="K43" s="688"/>
      <c r="L43" s="688"/>
      <c r="M43" s="688"/>
      <c r="N43" s="688"/>
      <c r="O43" s="688"/>
      <c r="P43" s="689"/>
      <c r="Q43" s="689"/>
      <c r="R43" s="689"/>
      <c r="S43" s="689"/>
      <c r="T43" s="689"/>
      <c r="U43" s="689"/>
      <c r="V43" s="690"/>
      <c r="W43" s="691"/>
      <c r="X43" s="691"/>
      <c r="Y43" s="691"/>
      <c r="Z43" s="691"/>
      <c r="AA43" s="691"/>
      <c r="AB43" s="691"/>
      <c r="AC43" s="691"/>
      <c r="AD43" s="691"/>
      <c r="AE43" s="691"/>
      <c r="AF43" s="691"/>
      <c r="AG43" s="691"/>
      <c r="AH43" s="691"/>
      <c r="AI43" s="691"/>
      <c r="AJ43" s="691"/>
      <c r="AK43" s="691"/>
      <c r="AL43" s="691"/>
      <c r="AM43" s="691"/>
      <c r="AN43" s="691"/>
      <c r="AP43" s="691"/>
    </row>
    <row r="44" spans="1:42" s="629" customFormat="1" ht="20.100000000000001" customHeight="1">
      <c r="A44" s="771">
        <v>1</v>
      </c>
      <c r="B44" s="980">
        <f>+NOMINA!C43</f>
        <v>4324055</v>
      </c>
      <c r="C44" s="981" t="str">
        <f>+NOMINA!D43</f>
        <v>Mejia Linares Alexis de Jesus</v>
      </c>
      <c r="D44" s="978" t="s">
        <v>4622</v>
      </c>
      <c r="E44" s="982">
        <v>32351</v>
      </c>
      <c r="F44" s="978" t="s">
        <v>4620</v>
      </c>
      <c r="G44" s="1004">
        <f>+NOMINA!H43</f>
        <v>44470</v>
      </c>
      <c r="H44" s="984">
        <f>IF(AND(YEAR(G44)&lt;2023,MONTH(G44)&gt;$P$8),2023-YEAR(G44)-1,IF(OR(G44="",YEAR(G44)&gt;2023),0,2023-YEAR(G44)))</f>
        <v>1</v>
      </c>
      <c r="I44" s="985">
        <v>0</v>
      </c>
      <c r="J44" s="999">
        <f>+NOMINA!BL43</f>
        <v>19.170000000000002</v>
      </c>
      <c r="K44" s="999">
        <f>+NOMINA!BM43</f>
        <v>2.4</v>
      </c>
      <c r="L44" s="999">
        <f>+NOMINA!BN43</f>
        <v>5.19</v>
      </c>
      <c r="M44" s="999">
        <f>++NOMINA!BO43</f>
        <v>0</v>
      </c>
      <c r="N44" s="999">
        <f>+NOMINA!BP43</f>
        <v>0</v>
      </c>
      <c r="O44" s="986">
        <f t="shared" ref="O44" si="16">ROUND(SUM(J44:N44),2)</f>
        <v>26.76</v>
      </c>
      <c r="P44" s="999">
        <f>+NOMINA!BR43</f>
        <v>43.13</v>
      </c>
      <c r="Q44" s="999">
        <f>+NOMINA!BS43</f>
        <v>9.58</v>
      </c>
      <c r="R44" s="999">
        <f>+NOMINA!BT43</f>
        <v>10.38</v>
      </c>
      <c r="S44" s="986">
        <f t="shared" ref="S44" si="17">ROUND(SUM(P44:R44),2)</f>
        <v>63.09</v>
      </c>
      <c r="T44" s="986">
        <f t="shared" ref="T44" si="18">O44+S44</f>
        <v>89.850000000000009</v>
      </c>
      <c r="U44" s="1005">
        <v>0</v>
      </c>
      <c r="V44" s="443" t="e">
        <f>#REF!+#REF!-O44</f>
        <v>#REF!</v>
      </c>
      <c r="W44" s="975" t="e">
        <f>ROUND((#REF!+#REF!+#REF!+#REF!+#REF!+#REF!+#REF!+#REF!+#REF!),2)</f>
        <v>#REF!</v>
      </c>
      <c r="AA44" s="976" t="e">
        <f>#REF!+#REF!-O44</f>
        <v>#REF!</v>
      </c>
      <c r="AB44" s="977" t="e">
        <f>#REF!</f>
        <v>#REF!</v>
      </c>
      <c r="AC44" s="976" t="e">
        <f>#REF!+#REF!</f>
        <v>#REF!</v>
      </c>
      <c r="AD44" s="977" t="e">
        <f>#REF!</f>
        <v>#REF!</v>
      </c>
      <c r="AE44" s="978">
        <v>0</v>
      </c>
      <c r="AF44" s="977" t="e">
        <f>#REF!</f>
        <v>#REF!</v>
      </c>
      <c r="AG44" s="979" t="e">
        <f>#REF!+#REF!</f>
        <v>#REF!</v>
      </c>
      <c r="AH44" s="979" t="e">
        <f>#REF!+#REF!</f>
        <v>#REF!</v>
      </c>
      <c r="AI44" s="979"/>
      <c r="AJ44" s="977" t="e">
        <f>#REF!</f>
        <v>#REF!</v>
      </c>
      <c r="AK44" s="977" t="e">
        <f t="shared" ref="AK44:AK107" si="19">SUM(AC44:AJ44)</f>
        <v>#REF!</v>
      </c>
      <c r="AL44" s="977">
        <f t="shared" ref="AL44:AL107" si="20">O44+S44</f>
        <v>89.850000000000009</v>
      </c>
      <c r="AM44" s="977">
        <f t="shared" ref="AM44:AM107" si="21">U44</f>
        <v>0</v>
      </c>
      <c r="AN44" s="634"/>
    </row>
    <row r="45" spans="1:42" s="629" customFormat="1" ht="20.100000000000001" customHeight="1">
      <c r="A45" s="771">
        <f>A44+1</f>
        <v>2</v>
      </c>
      <c r="B45" s="980">
        <f>+NOMINA!C44</f>
        <v>4657974</v>
      </c>
      <c r="C45" s="981" t="str">
        <f>+NOMINA!D44</f>
        <v>Balestrini Nuñez Ulises Ramon</v>
      </c>
      <c r="D45" s="978" t="s">
        <v>4622</v>
      </c>
      <c r="E45" s="982">
        <v>32351</v>
      </c>
      <c r="F45" s="978" t="s">
        <v>4620</v>
      </c>
      <c r="G45" s="1004">
        <f>+NOMINA!H44</f>
        <v>39463</v>
      </c>
      <c r="H45" s="984">
        <f t="shared" ref="H45:H108" si="22">IF(AND(YEAR(G45)&lt;2023,MONTH(G45)&gt;$P$8),2023-YEAR(G45)-1,IF(OR(G45="",YEAR(G45)&gt;2023),0,2023-YEAR(G45)))</f>
        <v>14</v>
      </c>
      <c r="I45" s="985">
        <v>0</v>
      </c>
      <c r="J45" s="999">
        <f>+NOMINA!BL44</f>
        <v>12.68</v>
      </c>
      <c r="K45" s="999">
        <f>+NOMINA!BM44</f>
        <v>1.58</v>
      </c>
      <c r="L45" s="999">
        <f>+NOMINA!BN44</f>
        <v>3.43</v>
      </c>
      <c r="M45" s="999">
        <f>++NOMINA!BO44</f>
        <v>0</v>
      </c>
      <c r="N45" s="999">
        <f>+NOMINA!BP44</f>
        <v>0</v>
      </c>
      <c r="O45" s="986">
        <f t="shared" ref="O45:O108" si="23">ROUND(SUM(J45:N45),2)</f>
        <v>17.690000000000001</v>
      </c>
      <c r="P45" s="999">
        <f>+NOMINA!BR44</f>
        <v>28.52</v>
      </c>
      <c r="Q45" s="999">
        <f>+NOMINA!BS44</f>
        <v>6.34</v>
      </c>
      <c r="R45" s="999">
        <f>+NOMINA!BT44</f>
        <v>6.86</v>
      </c>
      <c r="S45" s="986">
        <f t="shared" ref="S45:S108" si="24">ROUND(SUM(P45:R45),2)</f>
        <v>41.72</v>
      </c>
      <c r="T45" s="986">
        <f t="shared" ref="T45:T108" si="25">O45+S45</f>
        <v>59.41</v>
      </c>
      <c r="U45" s="1005">
        <v>0</v>
      </c>
      <c r="V45" s="443" t="e">
        <f>#REF!+#REF!-O45</f>
        <v>#REF!</v>
      </c>
      <c r="W45" s="975" t="e">
        <f>ROUND((#REF!+#REF!+#REF!+#REF!+#REF!+#REF!+#REF!+#REF!+#REF!),2)</f>
        <v>#REF!</v>
      </c>
      <c r="AA45" s="976" t="e">
        <f>#REF!+#REF!-O45</f>
        <v>#REF!</v>
      </c>
      <c r="AB45" s="977" t="e">
        <f>#REF!</f>
        <v>#REF!</v>
      </c>
      <c r="AC45" s="976" t="e">
        <f>#REF!+#REF!</f>
        <v>#REF!</v>
      </c>
      <c r="AD45" s="977" t="e">
        <f>#REF!</f>
        <v>#REF!</v>
      </c>
      <c r="AE45" s="978">
        <v>0</v>
      </c>
      <c r="AF45" s="977" t="e">
        <f>#REF!</f>
        <v>#REF!</v>
      </c>
      <c r="AG45" s="979" t="e">
        <f>#REF!+#REF!</f>
        <v>#REF!</v>
      </c>
      <c r="AH45" s="979" t="e">
        <f>#REF!+#REF!</f>
        <v>#REF!</v>
      </c>
      <c r="AI45" s="979"/>
      <c r="AJ45" s="977" t="e">
        <f>#REF!</f>
        <v>#REF!</v>
      </c>
      <c r="AK45" s="977" t="e">
        <f t="shared" si="19"/>
        <v>#REF!</v>
      </c>
      <c r="AL45" s="977">
        <f t="shared" si="20"/>
        <v>59.41</v>
      </c>
      <c r="AM45" s="977">
        <f t="shared" si="21"/>
        <v>0</v>
      </c>
      <c r="AN45" s="634"/>
    </row>
    <row r="46" spans="1:42" s="629" customFormat="1" ht="20.100000000000001" customHeight="1">
      <c r="A46" s="771">
        <f t="shared" ref="A46:A109" si="26">A45+1</f>
        <v>3</v>
      </c>
      <c r="B46" s="980">
        <f>+NOMINA!C45</f>
        <v>5762861</v>
      </c>
      <c r="C46" s="981" t="str">
        <f>+NOMINA!D45</f>
        <v>Aldana Duran Delia Mercedes</v>
      </c>
      <c r="D46" s="978" t="s">
        <v>4622</v>
      </c>
      <c r="E46" s="982">
        <v>32351</v>
      </c>
      <c r="F46" s="978" t="s">
        <v>4620</v>
      </c>
      <c r="G46" s="1004">
        <f>+NOMINA!H45</f>
        <v>37851</v>
      </c>
      <c r="H46" s="984">
        <f t="shared" si="22"/>
        <v>19</v>
      </c>
      <c r="I46" s="985">
        <v>0</v>
      </c>
      <c r="J46" s="999">
        <f>+NOMINA!BL45</f>
        <v>0</v>
      </c>
      <c r="K46" s="999">
        <f>+NOMINA!BM45</f>
        <v>0</v>
      </c>
      <c r="L46" s="999">
        <f>+NOMINA!BN45</f>
        <v>6.29</v>
      </c>
      <c r="M46" s="999">
        <f>++NOMINA!BO45</f>
        <v>0</v>
      </c>
      <c r="N46" s="999">
        <f>+NOMINA!BP45</f>
        <v>0</v>
      </c>
      <c r="O46" s="986">
        <f t="shared" si="23"/>
        <v>6.29</v>
      </c>
      <c r="P46" s="999">
        <f>+NOMINA!BR45</f>
        <v>0</v>
      </c>
      <c r="Q46" s="999">
        <f>+NOMINA!BS45</f>
        <v>0</v>
      </c>
      <c r="R46" s="999">
        <f>+NOMINA!BT45</f>
        <v>12.58</v>
      </c>
      <c r="S46" s="986">
        <f t="shared" si="24"/>
        <v>12.58</v>
      </c>
      <c r="T46" s="986">
        <f t="shared" si="25"/>
        <v>18.87</v>
      </c>
      <c r="U46" s="1005">
        <v>0</v>
      </c>
      <c r="V46" s="443" t="e">
        <f>#REF!+#REF!-O46</f>
        <v>#REF!</v>
      </c>
      <c r="W46" s="975" t="e">
        <f>ROUND((#REF!+#REF!+#REF!+#REF!+#REF!+#REF!+#REF!+#REF!+#REF!),2)</f>
        <v>#REF!</v>
      </c>
      <c r="AA46" s="976" t="e">
        <f>#REF!+#REF!-O46</f>
        <v>#REF!</v>
      </c>
      <c r="AB46" s="977" t="e">
        <f>#REF!</f>
        <v>#REF!</v>
      </c>
      <c r="AC46" s="976" t="e">
        <f>#REF!+#REF!</f>
        <v>#REF!</v>
      </c>
      <c r="AD46" s="977" t="e">
        <f>#REF!</f>
        <v>#REF!</v>
      </c>
      <c r="AE46" s="978">
        <v>0</v>
      </c>
      <c r="AF46" s="977" t="e">
        <f>#REF!</f>
        <v>#REF!</v>
      </c>
      <c r="AG46" s="979" t="e">
        <f>#REF!+#REF!</f>
        <v>#REF!</v>
      </c>
      <c r="AH46" s="979" t="e">
        <f>#REF!+#REF!</f>
        <v>#REF!</v>
      </c>
      <c r="AI46" s="979"/>
      <c r="AJ46" s="977" t="e">
        <f>#REF!</f>
        <v>#REF!</v>
      </c>
      <c r="AK46" s="977" t="e">
        <f t="shared" si="19"/>
        <v>#REF!</v>
      </c>
      <c r="AL46" s="977">
        <f t="shared" si="20"/>
        <v>18.87</v>
      </c>
      <c r="AM46" s="977">
        <f t="shared" si="21"/>
        <v>0</v>
      </c>
      <c r="AN46" s="634"/>
    </row>
    <row r="47" spans="1:42" s="629" customFormat="1" ht="20.100000000000001" customHeight="1">
      <c r="A47" s="771">
        <f t="shared" si="26"/>
        <v>4</v>
      </c>
      <c r="B47" s="980">
        <f>+NOMINA!C46</f>
        <v>5782060</v>
      </c>
      <c r="C47" s="981" t="str">
        <f>+NOMINA!D46</f>
        <v>Linares Araujo Adolfo Jose</v>
      </c>
      <c r="D47" s="978" t="s">
        <v>4622</v>
      </c>
      <c r="E47" s="982">
        <v>32351</v>
      </c>
      <c r="F47" s="978" t="s">
        <v>4620</v>
      </c>
      <c r="G47" s="1004">
        <f>+NOMINA!H46</f>
        <v>39539</v>
      </c>
      <c r="H47" s="984">
        <f t="shared" si="22"/>
        <v>14</v>
      </c>
      <c r="I47" s="985">
        <v>0</v>
      </c>
      <c r="J47" s="999">
        <f>+NOMINA!BL46</f>
        <v>17.739999999999998</v>
      </c>
      <c r="K47" s="999">
        <f>+NOMINA!BM46</f>
        <v>2.2200000000000002</v>
      </c>
      <c r="L47" s="999">
        <f>+NOMINA!BN46</f>
        <v>4.8</v>
      </c>
      <c r="M47" s="999">
        <f>++NOMINA!BO46</f>
        <v>0</v>
      </c>
      <c r="N47" s="999">
        <f>+NOMINA!BP46</f>
        <v>0</v>
      </c>
      <c r="O47" s="986">
        <f t="shared" si="23"/>
        <v>24.76</v>
      </c>
      <c r="P47" s="999">
        <f>+NOMINA!BR46</f>
        <v>39.909999999999997</v>
      </c>
      <c r="Q47" s="999">
        <f>+NOMINA!BS46</f>
        <v>8.8699999999999992</v>
      </c>
      <c r="R47" s="999">
        <f>+NOMINA!BT46</f>
        <v>9.6</v>
      </c>
      <c r="S47" s="986">
        <f t="shared" si="24"/>
        <v>58.38</v>
      </c>
      <c r="T47" s="986">
        <f t="shared" si="25"/>
        <v>83.14</v>
      </c>
      <c r="U47" s="1005">
        <v>0</v>
      </c>
      <c r="V47" s="443" t="e">
        <f>#REF!+#REF!-O47</f>
        <v>#REF!</v>
      </c>
      <c r="W47" s="975" t="e">
        <f>ROUND((#REF!+#REF!+#REF!+#REF!+#REF!+#REF!+#REF!+#REF!+#REF!),2)</f>
        <v>#REF!</v>
      </c>
      <c r="AA47" s="976" t="e">
        <f>#REF!+#REF!-O47</f>
        <v>#REF!</v>
      </c>
      <c r="AB47" s="977" t="e">
        <f>#REF!</f>
        <v>#REF!</v>
      </c>
      <c r="AC47" s="976" t="e">
        <f>#REF!+#REF!</f>
        <v>#REF!</v>
      </c>
      <c r="AD47" s="977" t="e">
        <f>#REF!</f>
        <v>#REF!</v>
      </c>
      <c r="AE47" s="978">
        <v>0</v>
      </c>
      <c r="AF47" s="977" t="e">
        <f>#REF!</f>
        <v>#REF!</v>
      </c>
      <c r="AG47" s="979" t="e">
        <f>#REF!+#REF!</f>
        <v>#REF!</v>
      </c>
      <c r="AH47" s="979" t="e">
        <f>#REF!+#REF!</f>
        <v>#REF!</v>
      </c>
      <c r="AI47" s="979"/>
      <c r="AJ47" s="977" t="e">
        <f>#REF!</f>
        <v>#REF!</v>
      </c>
      <c r="AK47" s="977" t="e">
        <f t="shared" si="19"/>
        <v>#REF!</v>
      </c>
      <c r="AL47" s="977">
        <f t="shared" si="20"/>
        <v>83.14</v>
      </c>
      <c r="AM47" s="977">
        <f t="shared" si="21"/>
        <v>0</v>
      </c>
      <c r="AN47" s="634"/>
    </row>
    <row r="48" spans="1:42" s="629" customFormat="1" ht="20.100000000000001" customHeight="1">
      <c r="A48" s="771">
        <f t="shared" si="26"/>
        <v>5</v>
      </c>
      <c r="B48" s="980">
        <f>+NOMINA!C47</f>
        <v>5790501</v>
      </c>
      <c r="C48" s="981" t="str">
        <f>+NOMINA!D47</f>
        <v>Castellanos de Araujo Maria Eustoquia</v>
      </c>
      <c r="D48" s="978" t="s">
        <v>4622</v>
      </c>
      <c r="E48" s="982">
        <v>32351</v>
      </c>
      <c r="F48" s="978" t="s">
        <v>4620</v>
      </c>
      <c r="G48" s="1004">
        <f>+NOMINA!H47</f>
        <v>39707</v>
      </c>
      <c r="H48" s="984">
        <f t="shared" si="22"/>
        <v>14</v>
      </c>
      <c r="I48" s="985">
        <v>0</v>
      </c>
      <c r="J48" s="999">
        <f>+NOMINA!BL47</f>
        <v>19.09</v>
      </c>
      <c r="K48" s="999">
        <f>+NOMINA!BM47</f>
        <v>2.39</v>
      </c>
      <c r="L48" s="999">
        <f>+NOMINA!BN47</f>
        <v>5.17</v>
      </c>
      <c r="M48" s="999">
        <f>++NOMINA!BO47</f>
        <v>0</v>
      </c>
      <c r="N48" s="999">
        <f>+NOMINA!BP47</f>
        <v>0</v>
      </c>
      <c r="O48" s="986">
        <f t="shared" si="23"/>
        <v>26.65</v>
      </c>
      <c r="P48" s="999">
        <f>+NOMINA!BR47</f>
        <v>42.95</v>
      </c>
      <c r="Q48" s="999">
        <f>+NOMINA!BS47</f>
        <v>9.5500000000000007</v>
      </c>
      <c r="R48" s="999">
        <f>+NOMINA!BT47</f>
        <v>10.34</v>
      </c>
      <c r="S48" s="986">
        <f t="shared" si="24"/>
        <v>62.84</v>
      </c>
      <c r="T48" s="986">
        <f t="shared" si="25"/>
        <v>89.490000000000009</v>
      </c>
      <c r="U48" s="1005">
        <v>0</v>
      </c>
      <c r="V48" s="443" t="e">
        <f>#REF!+#REF!-O48</f>
        <v>#REF!</v>
      </c>
      <c r="W48" s="975" t="e">
        <f>ROUND((#REF!+#REF!+#REF!+#REF!+#REF!+#REF!+#REF!+#REF!+#REF!),2)</f>
        <v>#REF!</v>
      </c>
      <c r="AA48" s="976" t="e">
        <f>#REF!+#REF!-O48</f>
        <v>#REF!</v>
      </c>
      <c r="AB48" s="977" t="e">
        <f>#REF!</f>
        <v>#REF!</v>
      </c>
      <c r="AC48" s="976" t="e">
        <f>#REF!+#REF!</f>
        <v>#REF!</v>
      </c>
      <c r="AD48" s="977" t="e">
        <f>#REF!</f>
        <v>#REF!</v>
      </c>
      <c r="AE48" s="978">
        <v>0</v>
      </c>
      <c r="AF48" s="977" t="e">
        <f>#REF!</f>
        <v>#REF!</v>
      </c>
      <c r="AG48" s="979" t="e">
        <f>#REF!+#REF!</f>
        <v>#REF!</v>
      </c>
      <c r="AH48" s="979" t="e">
        <f>#REF!+#REF!</f>
        <v>#REF!</v>
      </c>
      <c r="AI48" s="979"/>
      <c r="AJ48" s="977" t="e">
        <f>#REF!</f>
        <v>#REF!</v>
      </c>
      <c r="AK48" s="977" t="e">
        <f t="shared" si="19"/>
        <v>#REF!</v>
      </c>
      <c r="AL48" s="977">
        <f t="shared" si="20"/>
        <v>89.490000000000009</v>
      </c>
      <c r="AM48" s="977">
        <f t="shared" si="21"/>
        <v>0</v>
      </c>
      <c r="AN48" s="634"/>
    </row>
    <row r="49" spans="1:40" s="629" customFormat="1" ht="20.100000000000001" customHeight="1">
      <c r="A49" s="771">
        <f t="shared" si="26"/>
        <v>6</v>
      </c>
      <c r="B49" s="980">
        <f>+NOMINA!C48</f>
        <v>7744688</v>
      </c>
      <c r="C49" s="981" t="str">
        <f>+NOMINA!D48</f>
        <v>Aguilera Carroz Gerardo Raul</v>
      </c>
      <c r="D49" s="978" t="s">
        <v>4622</v>
      </c>
      <c r="E49" s="982">
        <v>32351</v>
      </c>
      <c r="F49" s="978" t="s">
        <v>4620</v>
      </c>
      <c r="G49" s="1004">
        <f>+NOMINA!H48</f>
        <v>44713</v>
      </c>
      <c r="H49" s="984">
        <f t="shared" si="22"/>
        <v>0</v>
      </c>
      <c r="I49" s="985">
        <v>0</v>
      </c>
      <c r="J49" s="999">
        <f>+NOMINA!BL48</f>
        <v>14.44</v>
      </c>
      <c r="K49" s="999">
        <f>+NOMINA!BM48</f>
        <v>1.8</v>
      </c>
      <c r="L49" s="999">
        <f>+NOMINA!BN48</f>
        <v>3.91</v>
      </c>
      <c r="M49" s="999">
        <f>++NOMINA!BO48</f>
        <v>0</v>
      </c>
      <c r="N49" s="999">
        <f>+NOMINA!BP48</f>
        <v>0</v>
      </c>
      <c r="O49" s="986">
        <f t="shared" si="23"/>
        <v>20.149999999999999</v>
      </c>
      <c r="P49" s="999">
        <f>+NOMINA!BR48</f>
        <v>32.479999999999997</v>
      </c>
      <c r="Q49" s="999">
        <f>+NOMINA!BS48</f>
        <v>7.22</v>
      </c>
      <c r="R49" s="999">
        <f>+NOMINA!BT48</f>
        <v>7.82</v>
      </c>
      <c r="S49" s="986">
        <f t="shared" si="24"/>
        <v>47.52</v>
      </c>
      <c r="T49" s="986">
        <f t="shared" si="25"/>
        <v>67.67</v>
      </c>
      <c r="U49" s="1005">
        <v>0</v>
      </c>
      <c r="V49" s="443" t="e">
        <f>#REF!+#REF!-O49</f>
        <v>#REF!</v>
      </c>
      <c r="W49" s="975" t="e">
        <f>ROUND((#REF!+#REF!+#REF!+#REF!+#REF!+#REF!+#REF!+#REF!+#REF!),2)</f>
        <v>#REF!</v>
      </c>
      <c r="AA49" s="976" t="e">
        <f>#REF!+#REF!-O49</f>
        <v>#REF!</v>
      </c>
      <c r="AB49" s="977" t="e">
        <f>#REF!</f>
        <v>#REF!</v>
      </c>
      <c r="AC49" s="976" t="e">
        <f>#REF!+#REF!</f>
        <v>#REF!</v>
      </c>
      <c r="AD49" s="977" t="e">
        <f>#REF!</f>
        <v>#REF!</v>
      </c>
      <c r="AE49" s="978">
        <v>0</v>
      </c>
      <c r="AF49" s="977" t="e">
        <f>#REF!</f>
        <v>#REF!</v>
      </c>
      <c r="AG49" s="979" t="e">
        <f>#REF!+#REF!</f>
        <v>#REF!</v>
      </c>
      <c r="AH49" s="979" t="e">
        <f>#REF!+#REF!</f>
        <v>#REF!</v>
      </c>
      <c r="AI49" s="979"/>
      <c r="AJ49" s="977" t="e">
        <f>#REF!</f>
        <v>#REF!</v>
      </c>
      <c r="AK49" s="977" t="e">
        <f t="shared" si="19"/>
        <v>#REF!</v>
      </c>
      <c r="AL49" s="977">
        <f t="shared" si="20"/>
        <v>67.67</v>
      </c>
      <c r="AM49" s="977">
        <f t="shared" si="21"/>
        <v>0</v>
      </c>
      <c r="AN49" s="634"/>
    </row>
    <row r="50" spans="1:40" s="629" customFormat="1" ht="20.100000000000001" customHeight="1">
      <c r="A50" s="771">
        <f t="shared" si="26"/>
        <v>7</v>
      </c>
      <c r="B50" s="980">
        <f>+NOMINA!C49</f>
        <v>7890070</v>
      </c>
      <c r="C50" s="981" t="str">
        <f>+NOMINA!D49</f>
        <v>Pacheco Bermudez Bebsabeth Coromoto</v>
      </c>
      <c r="D50" s="978" t="s">
        <v>4622</v>
      </c>
      <c r="E50" s="982">
        <v>32351</v>
      </c>
      <c r="F50" s="978" t="s">
        <v>4620</v>
      </c>
      <c r="G50" s="1004">
        <f>+NOMINA!H49</f>
        <v>38930</v>
      </c>
      <c r="H50" s="984">
        <f t="shared" si="22"/>
        <v>16</v>
      </c>
      <c r="I50" s="985">
        <v>0</v>
      </c>
      <c r="J50" s="999">
        <f>+NOMINA!BL49</f>
        <v>13.3</v>
      </c>
      <c r="K50" s="999">
        <f>+NOMINA!BM49</f>
        <v>1.66</v>
      </c>
      <c r="L50" s="999">
        <f>+NOMINA!BN49</f>
        <v>3.6</v>
      </c>
      <c r="M50" s="999">
        <f>++NOMINA!BO49</f>
        <v>0</v>
      </c>
      <c r="N50" s="999">
        <f>+NOMINA!BP49</f>
        <v>0</v>
      </c>
      <c r="O50" s="986">
        <f t="shared" si="23"/>
        <v>18.559999999999999</v>
      </c>
      <c r="P50" s="999">
        <f>+NOMINA!BR49</f>
        <v>29.92</v>
      </c>
      <c r="Q50" s="999">
        <f>+NOMINA!BS49</f>
        <v>6.65</v>
      </c>
      <c r="R50" s="999">
        <f>+NOMINA!BT49</f>
        <v>7.2</v>
      </c>
      <c r="S50" s="986">
        <f t="shared" si="24"/>
        <v>43.77</v>
      </c>
      <c r="T50" s="986">
        <f t="shared" si="25"/>
        <v>62.33</v>
      </c>
      <c r="U50" s="1005">
        <v>0</v>
      </c>
      <c r="V50" s="443" t="e">
        <f>#REF!+#REF!-O50</f>
        <v>#REF!</v>
      </c>
      <c r="W50" s="975" t="e">
        <f>ROUND((#REF!+#REF!+#REF!+#REF!+#REF!+#REF!+#REF!+#REF!+#REF!),2)</f>
        <v>#REF!</v>
      </c>
      <c r="AA50" s="976" t="e">
        <f>#REF!+#REF!-O50</f>
        <v>#REF!</v>
      </c>
      <c r="AB50" s="977" t="e">
        <f>#REF!</f>
        <v>#REF!</v>
      </c>
      <c r="AC50" s="976" t="e">
        <f>#REF!+#REF!</f>
        <v>#REF!</v>
      </c>
      <c r="AD50" s="977" t="e">
        <f>#REF!</f>
        <v>#REF!</v>
      </c>
      <c r="AE50" s="978">
        <v>0</v>
      </c>
      <c r="AF50" s="977" t="e">
        <f>#REF!</f>
        <v>#REF!</v>
      </c>
      <c r="AG50" s="979" t="e">
        <f>#REF!+#REF!</f>
        <v>#REF!</v>
      </c>
      <c r="AH50" s="979" t="e">
        <f>#REF!+#REF!</f>
        <v>#REF!</v>
      </c>
      <c r="AI50" s="979"/>
      <c r="AJ50" s="977" t="e">
        <f>#REF!</f>
        <v>#REF!</v>
      </c>
      <c r="AK50" s="977" t="e">
        <f t="shared" si="19"/>
        <v>#REF!</v>
      </c>
      <c r="AL50" s="977">
        <f t="shared" si="20"/>
        <v>62.33</v>
      </c>
      <c r="AM50" s="977">
        <f t="shared" si="21"/>
        <v>0</v>
      </c>
      <c r="AN50" s="634"/>
    </row>
    <row r="51" spans="1:40" s="629" customFormat="1" ht="20.100000000000001" customHeight="1">
      <c r="A51" s="771">
        <f t="shared" si="26"/>
        <v>8</v>
      </c>
      <c r="B51" s="980">
        <f>+NOMINA!C50</f>
        <v>8719807</v>
      </c>
      <c r="C51" s="981" t="str">
        <f>+NOMINA!D50</f>
        <v>Perez Saavedra Isabel Teresa</v>
      </c>
      <c r="D51" s="978" t="s">
        <v>4622</v>
      </c>
      <c r="E51" s="982">
        <v>32351</v>
      </c>
      <c r="F51" s="978" t="s">
        <v>4620</v>
      </c>
      <c r="G51" s="1004">
        <f>+NOMINA!H50</f>
        <v>39874</v>
      </c>
      <c r="H51" s="984">
        <f t="shared" si="22"/>
        <v>13</v>
      </c>
      <c r="I51" s="985">
        <v>0</v>
      </c>
      <c r="J51" s="999">
        <f>+NOMINA!BL50</f>
        <v>0</v>
      </c>
      <c r="K51" s="999">
        <f>+NOMINA!BM50</f>
        <v>0</v>
      </c>
      <c r="L51" s="999">
        <f>+NOMINA!BN50</f>
        <v>0</v>
      </c>
      <c r="M51" s="999">
        <f>++NOMINA!BO50</f>
        <v>0</v>
      </c>
      <c r="N51" s="999">
        <f>+NOMINA!BP50</f>
        <v>0</v>
      </c>
      <c r="O51" s="986">
        <f t="shared" si="23"/>
        <v>0</v>
      </c>
      <c r="P51" s="999">
        <f>+NOMINA!BR50</f>
        <v>0</v>
      </c>
      <c r="Q51" s="999">
        <f>+NOMINA!BS50</f>
        <v>0</v>
      </c>
      <c r="R51" s="999">
        <f>+NOMINA!BT50</f>
        <v>0</v>
      </c>
      <c r="S51" s="986">
        <f t="shared" si="24"/>
        <v>0</v>
      </c>
      <c r="T51" s="986">
        <f t="shared" si="25"/>
        <v>0</v>
      </c>
      <c r="U51" s="1005">
        <v>0</v>
      </c>
      <c r="V51" s="443" t="e">
        <f>#REF!+#REF!-O51</f>
        <v>#REF!</v>
      </c>
      <c r="W51" s="975" t="e">
        <f>ROUND((#REF!+#REF!+#REF!+#REF!+#REF!+#REF!+#REF!+#REF!+#REF!),2)</f>
        <v>#REF!</v>
      </c>
      <c r="AA51" s="976" t="e">
        <f>#REF!+#REF!-O51</f>
        <v>#REF!</v>
      </c>
      <c r="AB51" s="977" t="e">
        <f>#REF!</f>
        <v>#REF!</v>
      </c>
      <c r="AC51" s="976" t="e">
        <f>#REF!+#REF!</f>
        <v>#REF!</v>
      </c>
      <c r="AD51" s="977" t="e">
        <f>#REF!</f>
        <v>#REF!</v>
      </c>
      <c r="AE51" s="978">
        <v>0</v>
      </c>
      <c r="AF51" s="977" t="e">
        <f>#REF!</f>
        <v>#REF!</v>
      </c>
      <c r="AG51" s="979" t="e">
        <f>#REF!+#REF!</f>
        <v>#REF!</v>
      </c>
      <c r="AH51" s="979" t="e">
        <f>#REF!+#REF!</f>
        <v>#REF!</v>
      </c>
      <c r="AI51" s="979"/>
      <c r="AJ51" s="977" t="e">
        <f>#REF!</f>
        <v>#REF!</v>
      </c>
      <c r="AK51" s="977" t="e">
        <f t="shared" si="19"/>
        <v>#REF!</v>
      </c>
      <c r="AL51" s="977">
        <f t="shared" si="20"/>
        <v>0</v>
      </c>
      <c r="AM51" s="977">
        <f t="shared" si="21"/>
        <v>0</v>
      </c>
      <c r="AN51" s="634"/>
    </row>
    <row r="52" spans="1:40" s="629" customFormat="1" ht="20.100000000000001" customHeight="1">
      <c r="A52" s="771">
        <f t="shared" si="26"/>
        <v>9</v>
      </c>
      <c r="B52" s="980">
        <f>+NOMINA!C51</f>
        <v>8266170</v>
      </c>
      <c r="C52" s="981" t="str">
        <f>+NOMINA!D51</f>
        <v>Aguana Sanchez Yraida Josefina</v>
      </c>
      <c r="D52" s="978" t="s">
        <v>4622</v>
      </c>
      <c r="E52" s="982">
        <v>32351</v>
      </c>
      <c r="F52" s="978" t="s">
        <v>4620</v>
      </c>
      <c r="G52" s="1004">
        <f>+NOMINA!H51</f>
        <v>45323</v>
      </c>
      <c r="H52" s="984">
        <f t="shared" si="22"/>
        <v>0</v>
      </c>
      <c r="I52" s="985">
        <v>0</v>
      </c>
      <c r="J52" s="999">
        <f>+NOMINA!BL51</f>
        <v>20.65</v>
      </c>
      <c r="K52" s="999">
        <f>+NOMINA!BM51</f>
        <v>2.58</v>
      </c>
      <c r="L52" s="999">
        <f>+NOMINA!BN51</f>
        <v>5.59</v>
      </c>
      <c r="M52" s="999">
        <f>++NOMINA!BO51</f>
        <v>0</v>
      </c>
      <c r="N52" s="999">
        <f>+NOMINA!BP51</f>
        <v>0</v>
      </c>
      <c r="O52" s="986">
        <f t="shared" si="23"/>
        <v>28.82</v>
      </c>
      <c r="P52" s="999">
        <f>+NOMINA!BR51</f>
        <v>46.45</v>
      </c>
      <c r="Q52" s="999">
        <f>+NOMINA!BS51</f>
        <v>10.32</v>
      </c>
      <c r="R52" s="999">
        <f>+NOMINA!BT51</f>
        <v>11.18</v>
      </c>
      <c r="S52" s="986">
        <f t="shared" si="24"/>
        <v>67.95</v>
      </c>
      <c r="T52" s="986">
        <f t="shared" si="25"/>
        <v>96.77000000000001</v>
      </c>
      <c r="U52" s="1005">
        <v>0</v>
      </c>
      <c r="V52" s="443" t="e">
        <f>#REF!+#REF!-O52</f>
        <v>#REF!</v>
      </c>
      <c r="W52" s="975" t="e">
        <f>ROUND((#REF!+#REF!+#REF!+#REF!+#REF!+#REF!+#REF!+#REF!+#REF!),2)</f>
        <v>#REF!</v>
      </c>
      <c r="AA52" s="976" t="e">
        <f>#REF!+#REF!-O52</f>
        <v>#REF!</v>
      </c>
      <c r="AB52" s="977" t="e">
        <f>#REF!</f>
        <v>#REF!</v>
      </c>
      <c r="AC52" s="976" t="e">
        <f>#REF!+#REF!</f>
        <v>#REF!</v>
      </c>
      <c r="AD52" s="977" t="e">
        <f>#REF!</f>
        <v>#REF!</v>
      </c>
      <c r="AE52" s="978">
        <v>0</v>
      </c>
      <c r="AF52" s="977" t="e">
        <f>#REF!</f>
        <v>#REF!</v>
      </c>
      <c r="AG52" s="979" t="e">
        <f>#REF!+#REF!</f>
        <v>#REF!</v>
      </c>
      <c r="AH52" s="979" t="e">
        <f>#REF!+#REF!</f>
        <v>#REF!</v>
      </c>
      <c r="AI52" s="979"/>
      <c r="AJ52" s="977" t="e">
        <f>#REF!</f>
        <v>#REF!</v>
      </c>
      <c r="AK52" s="977" t="e">
        <f t="shared" si="19"/>
        <v>#REF!</v>
      </c>
      <c r="AL52" s="977">
        <f t="shared" si="20"/>
        <v>96.77000000000001</v>
      </c>
      <c r="AM52" s="977">
        <f t="shared" si="21"/>
        <v>0</v>
      </c>
      <c r="AN52" s="634"/>
    </row>
    <row r="53" spans="1:40" s="629" customFormat="1" ht="20.100000000000001" customHeight="1">
      <c r="A53" s="771">
        <f t="shared" si="26"/>
        <v>10</v>
      </c>
      <c r="B53" s="980">
        <f>+NOMINA!C52</f>
        <v>9162178</v>
      </c>
      <c r="C53" s="981" t="str">
        <f>+NOMINA!D52</f>
        <v>Duarte de Bastidas Gladys Margarita</v>
      </c>
      <c r="D53" s="978" t="s">
        <v>4622</v>
      </c>
      <c r="E53" s="982">
        <v>32351</v>
      </c>
      <c r="F53" s="978" t="s">
        <v>4620</v>
      </c>
      <c r="G53" s="1004">
        <f>+NOMINA!H52</f>
        <v>39566</v>
      </c>
      <c r="H53" s="984">
        <f t="shared" si="22"/>
        <v>14</v>
      </c>
      <c r="I53" s="985">
        <v>0</v>
      </c>
      <c r="J53" s="999">
        <f>+NOMINA!BL52</f>
        <v>16.95</v>
      </c>
      <c r="K53" s="999">
        <f>+NOMINA!BM52</f>
        <v>2.12</v>
      </c>
      <c r="L53" s="999">
        <f>+NOMINA!BN52</f>
        <v>4.59</v>
      </c>
      <c r="M53" s="999">
        <f>++NOMINA!BO52</f>
        <v>0</v>
      </c>
      <c r="N53" s="999">
        <f>+NOMINA!BP52</f>
        <v>0</v>
      </c>
      <c r="O53" s="986">
        <f t="shared" si="23"/>
        <v>23.66</v>
      </c>
      <c r="P53" s="999">
        <f>+NOMINA!BR52</f>
        <v>38.130000000000003</v>
      </c>
      <c r="Q53" s="999">
        <f>+NOMINA!BS52</f>
        <v>8.4700000000000006</v>
      </c>
      <c r="R53" s="999">
        <f>+NOMINA!BT52</f>
        <v>9.18</v>
      </c>
      <c r="S53" s="986">
        <f t="shared" si="24"/>
        <v>55.78</v>
      </c>
      <c r="T53" s="986">
        <f t="shared" si="25"/>
        <v>79.44</v>
      </c>
      <c r="U53" s="1005">
        <v>0</v>
      </c>
      <c r="V53" s="443" t="e">
        <f>#REF!+#REF!-O53</f>
        <v>#REF!</v>
      </c>
      <c r="W53" s="975" t="e">
        <f>ROUND((#REF!+#REF!+#REF!+#REF!+#REF!+#REF!+#REF!+#REF!+#REF!),2)</f>
        <v>#REF!</v>
      </c>
      <c r="AA53" s="976" t="e">
        <f>#REF!+#REF!-O53</f>
        <v>#REF!</v>
      </c>
      <c r="AB53" s="977" t="e">
        <f>#REF!</f>
        <v>#REF!</v>
      </c>
      <c r="AC53" s="976" t="e">
        <f>#REF!+#REF!</f>
        <v>#REF!</v>
      </c>
      <c r="AD53" s="977" t="e">
        <f>#REF!</f>
        <v>#REF!</v>
      </c>
      <c r="AE53" s="978">
        <v>0</v>
      </c>
      <c r="AF53" s="977" t="e">
        <f>#REF!</f>
        <v>#REF!</v>
      </c>
      <c r="AG53" s="979" t="e">
        <f>#REF!+#REF!</f>
        <v>#REF!</v>
      </c>
      <c r="AH53" s="979" t="e">
        <f>#REF!+#REF!</f>
        <v>#REF!</v>
      </c>
      <c r="AI53" s="979"/>
      <c r="AJ53" s="977" t="e">
        <f>#REF!</f>
        <v>#REF!</v>
      </c>
      <c r="AK53" s="977" t="e">
        <f t="shared" si="19"/>
        <v>#REF!</v>
      </c>
      <c r="AL53" s="977">
        <f t="shared" si="20"/>
        <v>79.44</v>
      </c>
      <c r="AM53" s="977">
        <f t="shared" si="21"/>
        <v>0</v>
      </c>
      <c r="AN53" s="634"/>
    </row>
    <row r="54" spans="1:40" s="629" customFormat="1" ht="20.100000000000001" customHeight="1">
      <c r="A54" s="771">
        <f t="shared" si="26"/>
        <v>11</v>
      </c>
      <c r="B54" s="980">
        <f>+NOMINA!C53</f>
        <v>9162243</v>
      </c>
      <c r="C54" s="981" t="str">
        <f>+NOMINA!D53</f>
        <v>Valera Borrero Marcos Tulio</v>
      </c>
      <c r="D54" s="978" t="s">
        <v>4622</v>
      </c>
      <c r="E54" s="982">
        <v>32351</v>
      </c>
      <c r="F54" s="978" t="s">
        <v>4620</v>
      </c>
      <c r="G54" s="1004">
        <f>+NOMINA!H53</f>
        <v>35535</v>
      </c>
      <c r="H54" s="984">
        <f t="shared" si="22"/>
        <v>25</v>
      </c>
      <c r="I54" s="985">
        <v>0</v>
      </c>
      <c r="J54" s="999">
        <f>+NOMINA!BL53</f>
        <v>13.3</v>
      </c>
      <c r="K54" s="999">
        <f>+NOMINA!BM53</f>
        <v>1.66</v>
      </c>
      <c r="L54" s="999">
        <f>+NOMINA!BN53</f>
        <v>3.6</v>
      </c>
      <c r="M54" s="999">
        <f>++NOMINA!BO53</f>
        <v>0</v>
      </c>
      <c r="N54" s="999">
        <f>+NOMINA!BP53</f>
        <v>0</v>
      </c>
      <c r="O54" s="986">
        <f t="shared" si="23"/>
        <v>18.559999999999999</v>
      </c>
      <c r="P54" s="999">
        <f>+NOMINA!BR53</f>
        <v>29.92</v>
      </c>
      <c r="Q54" s="999">
        <f>+NOMINA!BS53</f>
        <v>6.65</v>
      </c>
      <c r="R54" s="999">
        <f>+NOMINA!BT53</f>
        <v>7.2</v>
      </c>
      <c r="S54" s="986">
        <f t="shared" si="24"/>
        <v>43.77</v>
      </c>
      <c r="T54" s="986">
        <f t="shared" si="25"/>
        <v>62.33</v>
      </c>
      <c r="U54" s="1005">
        <v>0</v>
      </c>
      <c r="V54" s="443" t="e">
        <f>#REF!+#REF!-O54</f>
        <v>#REF!</v>
      </c>
      <c r="W54" s="975" t="e">
        <f>ROUND((#REF!+#REF!+#REF!+#REF!+#REF!+#REF!+#REF!+#REF!+#REF!),2)</f>
        <v>#REF!</v>
      </c>
      <c r="AA54" s="976" t="e">
        <f>#REF!+#REF!-O54</f>
        <v>#REF!</v>
      </c>
      <c r="AB54" s="977" t="e">
        <f>#REF!</f>
        <v>#REF!</v>
      </c>
      <c r="AC54" s="976" t="e">
        <f>#REF!+#REF!</f>
        <v>#REF!</v>
      </c>
      <c r="AD54" s="977" t="e">
        <f>#REF!</f>
        <v>#REF!</v>
      </c>
      <c r="AE54" s="978">
        <v>0</v>
      </c>
      <c r="AF54" s="977" t="e">
        <f>#REF!</f>
        <v>#REF!</v>
      </c>
      <c r="AG54" s="979" t="e">
        <f>#REF!+#REF!</f>
        <v>#REF!</v>
      </c>
      <c r="AH54" s="979" t="e">
        <f>#REF!+#REF!</f>
        <v>#REF!</v>
      </c>
      <c r="AI54" s="979"/>
      <c r="AJ54" s="977" t="e">
        <f>#REF!</f>
        <v>#REF!</v>
      </c>
      <c r="AK54" s="977" t="e">
        <f t="shared" si="19"/>
        <v>#REF!</v>
      </c>
      <c r="AL54" s="977">
        <f t="shared" si="20"/>
        <v>62.33</v>
      </c>
      <c r="AM54" s="977">
        <f t="shared" si="21"/>
        <v>0</v>
      </c>
      <c r="AN54" s="634"/>
    </row>
    <row r="55" spans="1:40" s="629" customFormat="1" ht="20.100000000000001" customHeight="1">
      <c r="A55" s="771">
        <f t="shared" si="26"/>
        <v>12</v>
      </c>
      <c r="B55" s="980">
        <f>+NOMINA!C54</f>
        <v>9170647</v>
      </c>
      <c r="C55" s="981" t="str">
        <f>+NOMINA!D54</f>
        <v>Torres Gonzalez Meris Del Carmen</v>
      </c>
      <c r="D55" s="978" t="s">
        <v>4622</v>
      </c>
      <c r="E55" s="982">
        <v>32351</v>
      </c>
      <c r="F55" s="978" t="s">
        <v>4620</v>
      </c>
      <c r="G55" s="1004">
        <f>+NOMINA!H54</f>
        <v>39238</v>
      </c>
      <c r="H55" s="984">
        <f t="shared" si="22"/>
        <v>15</v>
      </c>
      <c r="I55" s="985">
        <v>0</v>
      </c>
      <c r="J55" s="999">
        <f>+NOMINA!BL54</f>
        <v>23.27</v>
      </c>
      <c r="K55" s="999">
        <f>+NOMINA!BM54</f>
        <v>2.91</v>
      </c>
      <c r="L55" s="999">
        <f>+NOMINA!BN54</f>
        <v>6.3</v>
      </c>
      <c r="M55" s="999">
        <f>++NOMINA!BO54</f>
        <v>0</v>
      </c>
      <c r="N55" s="999">
        <f>+NOMINA!BP54</f>
        <v>0</v>
      </c>
      <c r="O55" s="986">
        <f t="shared" si="23"/>
        <v>32.479999999999997</v>
      </c>
      <c r="P55" s="999">
        <f>+NOMINA!BR54</f>
        <v>52.35</v>
      </c>
      <c r="Q55" s="999">
        <f>+NOMINA!BS54</f>
        <v>11.63</v>
      </c>
      <c r="R55" s="999">
        <f>+NOMINA!BT54</f>
        <v>12.6</v>
      </c>
      <c r="S55" s="986">
        <f t="shared" si="24"/>
        <v>76.58</v>
      </c>
      <c r="T55" s="986">
        <f t="shared" si="25"/>
        <v>109.06</v>
      </c>
      <c r="U55" s="1005">
        <v>0</v>
      </c>
      <c r="V55" s="443" t="e">
        <f>#REF!+#REF!-O55</f>
        <v>#REF!</v>
      </c>
      <c r="W55" s="975" t="e">
        <f>ROUND((#REF!+#REF!+#REF!+#REF!+#REF!+#REF!+#REF!+#REF!+#REF!),2)</f>
        <v>#REF!</v>
      </c>
      <c r="AA55" s="976" t="e">
        <f>#REF!+#REF!-O55</f>
        <v>#REF!</v>
      </c>
      <c r="AB55" s="977" t="e">
        <f>#REF!</f>
        <v>#REF!</v>
      </c>
      <c r="AC55" s="976" t="e">
        <f>#REF!+#REF!</f>
        <v>#REF!</v>
      </c>
      <c r="AD55" s="977" t="e">
        <f>#REF!</f>
        <v>#REF!</v>
      </c>
      <c r="AE55" s="978">
        <v>0</v>
      </c>
      <c r="AF55" s="977" t="e">
        <f>#REF!</f>
        <v>#REF!</v>
      </c>
      <c r="AG55" s="979" t="e">
        <f>#REF!+#REF!</f>
        <v>#REF!</v>
      </c>
      <c r="AH55" s="979" t="e">
        <f>#REF!+#REF!</f>
        <v>#REF!</v>
      </c>
      <c r="AI55" s="979"/>
      <c r="AJ55" s="977" t="e">
        <f>#REF!</f>
        <v>#REF!</v>
      </c>
      <c r="AK55" s="977" t="e">
        <f t="shared" si="19"/>
        <v>#REF!</v>
      </c>
      <c r="AL55" s="977">
        <f t="shared" si="20"/>
        <v>109.06</v>
      </c>
      <c r="AM55" s="977">
        <f t="shared" si="21"/>
        <v>0</v>
      </c>
      <c r="AN55" s="634"/>
    </row>
    <row r="56" spans="1:40" s="629" customFormat="1" ht="20.100000000000001" customHeight="1">
      <c r="A56" s="771">
        <f t="shared" si="26"/>
        <v>13</v>
      </c>
      <c r="B56" s="980">
        <f>+NOMINA!C55</f>
        <v>9177323</v>
      </c>
      <c r="C56" s="981" t="str">
        <f>+NOMINA!D55</f>
        <v>Simancas De Mendoza Alix Josefina</v>
      </c>
      <c r="D56" s="978" t="s">
        <v>4622</v>
      </c>
      <c r="E56" s="982">
        <v>32351</v>
      </c>
      <c r="F56" s="978" t="s">
        <v>4620</v>
      </c>
      <c r="G56" s="1004">
        <f>+NOMINA!H55</f>
        <v>37879</v>
      </c>
      <c r="H56" s="984">
        <f t="shared" si="22"/>
        <v>19</v>
      </c>
      <c r="I56" s="985">
        <v>0</v>
      </c>
      <c r="J56" s="999">
        <f>+NOMINA!BL55</f>
        <v>0</v>
      </c>
      <c r="K56" s="999">
        <f>+NOMINA!BM55</f>
        <v>0</v>
      </c>
      <c r="L56" s="999">
        <f>+NOMINA!BN55</f>
        <v>3.56</v>
      </c>
      <c r="M56" s="999">
        <f>++NOMINA!BO55</f>
        <v>0</v>
      </c>
      <c r="N56" s="999">
        <f>+NOMINA!BP55</f>
        <v>0</v>
      </c>
      <c r="O56" s="986">
        <f t="shared" si="23"/>
        <v>3.56</v>
      </c>
      <c r="P56" s="999">
        <f>+NOMINA!BR55</f>
        <v>0</v>
      </c>
      <c r="Q56" s="999">
        <f>+NOMINA!BS55</f>
        <v>0</v>
      </c>
      <c r="R56" s="999">
        <f>+NOMINA!BT55</f>
        <v>7.12</v>
      </c>
      <c r="S56" s="986">
        <f t="shared" si="24"/>
        <v>7.12</v>
      </c>
      <c r="T56" s="986">
        <f t="shared" si="25"/>
        <v>10.68</v>
      </c>
      <c r="U56" s="1005">
        <v>0</v>
      </c>
      <c r="V56" s="443" t="e">
        <f>#REF!+#REF!-O56</f>
        <v>#REF!</v>
      </c>
      <c r="W56" s="975" t="e">
        <f>ROUND((#REF!+#REF!+#REF!+#REF!+#REF!+#REF!+#REF!+#REF!+#REF!),2)</f>
        <v>#REF!</v>
      </c>
      <c r="AA56" s="976" t="e">
        <f>#REF!+#REF!-O56</f>
        <v>#REF!</v>
      </c>
      <c r="AB56" s="977" t="e">
        <f>#REF!</f>
        <v>#REF!</v>
      </c>
      <c r="AC56" s="976" t="e">
        <f>#REF!+#REF!</f>
        <v>#REF!</v>
      </c>
      <c r="AD56" s="977" t="e">
        <f>#REF!</f>
        <v>#REF!</v>
      </c>
      <c r="AE56" s="978">
        <v>0</v>
      </c>
      <c r="AF56" s="977" t="e">
        <f>#REF!</f>
        <v>#REF!</v>
      </c>
      <c r="AG56" s="979" t="e">
        <f>#REF!+#REF!</f>
        <v>#REF!</v>
      </c>
      <c r="AH56" s="979" t="e">
        <f>#REF!+#REF!</f>
        <v>#REF!</v>
      </c>
      <c r="AI56" s="979"/>
      <c r="AJ56" s="977" t="e">
        <f>#REF!</f>
        <v>#REF!</v>
      </c>
      <c r="AK56" s="977" t="e">
        <f t="shared" si="19"/>
        <v>#REF!</v>
      </c>
      <c r="AL56" s="977">
        <f t="shared" si="20"/>
        <v>10.68</v>
      </c>
      <c r="AM56" s="977">
        <f t="shared" si="21"/>
        <v>0</v>
      </c>
      <c r="AN56" s="634"/>
    </row>
    <row r="57" spans="1:40" s="629" customFormat="1" ht="20.100000000000001" customHeight="1">
      <c r="A57" s="771">
        <f t="shared" si="26"/>
        <v>14</v>
      </c>
      <c r="B57" s="980">
        <f>+NOMINA!C56</f>
        <v>9178087</v>
      </c>
      <c r="C57" s="981" t="str">
        <f>+NOMINA!D56</f>
        <v>Saavedra Juan Jose</v>
      </c>
      <c r="D57" s="978" t="s">
        <v>4622</v>
      </c>
      <c r="E57" s="982">
        <v>32351</v>
      </c>
      <c r="F57" s="978" t="s">
        <v>4620</v>
      </c>
      <c r="G57" s="1004">
        <f>+NOMINA!H56</f>
        <v>37622</v>
      </c>
      <c r="H57" s="984">
        <f t="shared" si="22"/>
        <v>19</v>
      </c>
      <c r="I57" s="985">
        <v>0</v>
      </c>
      <c r="J57" s="999">
        <f>+NOMINA!BL56</f>
        <v>13.27</v>
      </c>
      <c r="K57" s="999">
        <f>+NOMINA!BM56</f>
        <v>1.66</v>
      </c>
      <c r="L57" s="999">
        <f>+NOMINA!BN56</f>
        <v>3.59</v>
      </c>
      <c r="M57" s="999">
        <f>++NOMINA!BO56</f>
        <v>0</v>
      </c>
      <c r="N57" s="999">
        <f>+NOMINA!BP56</f>
        <v>0</v>
      </c>
      <c r="O57" s="986">
        <f t="shared" si="23"/>
        <v>18.52</v>
      </c>
      <c r="P57" s="999">
        <f>+NOMINA!BR56</f>
        <v>29.86</v>
      </c>
      <c r="Q57" s="999">
        <f>+NOMINA!BS56</f>
        <v>6.63</v>
      </c>
      <c r="R57" s="999">
        <f>+NOMINA!BT56</f>
        <v>7.18</v>
      </c>
      <c r="S57" s="986">
        <f t="shared" si="24"/>
        <v>43.67</v>
      </c>
      <c r="T57" s="986">
        <f t="shared" si="25"/>
        <v>62.19</v>
      </c>
      <c r="U57" s="1005">
        <v>0</v>
      </c>
      <c r="V57" s="443" t="e">
        <f>#REF!+#REF!-O57</f>
        <v>#REF!</v>
      </c>
      <c r="W57" s="975" t="e">
        <f>ROUND((#REF!+#REF!+#REF!+#REF!+#REF!+#REF!+#REF!+#REF!+#REF!),2)</f>
        <v>#REF!</v>
      </c>
      <c r="AA57" s="976" t="e">
        <f>#REF!+#REF!-O57</f>
        <v>#REF!</v>
      </c>
      <c r="AB57" s="977" t="e">
        <f>#REF!</f>
        <v>#REF!</v>
      </c>
      <c r="AC57" s="976" t="e">
        <f>#REF!+#REF!</f>
        <v>#REF!</v>
      </c>
      <c r="AD57" s="977" t="e">
        <f>#REF!</f>
        <v>#REF!</v>
      </c>
      <c r="AE57" s="978">
        <v>0</v>
      </c>
      <c r="AF57" s="977" t="e">
        <f>#REF!</f>
        <v>#REF!</v>
      </c>
      <c r="AG57" s="979" t="e">
        <f>#REF!+#REF!</f>
        <v>#REF!</v>
      </c>
      <c r="AH57" s="979" t="e">
        <f>#REF!+#REF!</f>
        <v>#REF!</v>
      </c>
      <c r="AI57" s="979"/>
      <c r="AJ57" s="977" t="e">
        <f>#REF!</f>
        <v>#REF!</v>
      </c>
      <c r="AK57" s="977" t="e">
        <f t="shared" si="19"/>
        <v>#REF!</v>
      </c>
      <c r="AL57" s="977">
        <f t="shared" si="20"/>
        <v>62.19</v>
      </c>
      <c r="AM57" s="977">
        <f t="shared" si="21"/>
        <v>0</v>
      </c>
      <c r="AN57" s="634"/>
    </row>
    <row r="58" spans="1:40" s="629" customFormat="1" ht="20.100000000000001" customHeight="1">
      <c r="A58" s="771">
        <f t="shared" si="26"/>
        <v>15</v>
      </c>
      <c r="B58" s="980">
        <f>+NOMINA!C57</f>
        <v>9179981</v>
      </c>
      <c r="C58" s="981" t="str">
        <f>+NOMINA!D57</f>
        <v>Manzanilla Molina Alfredo Jose</v>
      </c>
      <c r="D58" s="978" t="s">
        <v>4622</v>
      </c>
      <c r="E58" s="982">
        <v>32351</v>
      </c>
      <c r="F58" s="978" t="s">
        <v>4620</v>
      </c>
      <c r="G58" s="1004">
        <f>+NOMINA!H57</f>
        <v>45597</v>
      </c>
      <c r="H58" s="984">
        <f t="shared" si="22"/>
        <v>0</v>
      </c>
      <c r="I58" s="985">
        <v>0</v>
      </c>
      <c r="J58" s="999">
        <f>+NOMINA!BL57</f>
        <v>16.61</v>
      </c>
      <c r="K58" s="999">
        <f>+NOMINA!BM57</f>
        <v>2.08</v>
      </c>
      <c r="L58" s="999">
        <f>+NOMINA!BN57</f>
        <v>4.5</v>
      </c>
      <c r="M58" s="999">
        <f>++NOMINA!BO57</f>
        <v>0</v>
      </c>
      <c r="N58" s="999">
        <f>+NOMINA!BP57</f>
        <v>0</v>
      </c>
      <c r="O58" s="986">
        <f t="shared" si="23"/>
        <v>23.19</v>
      </c>
      <c r="P58" s="999">
        <f>+NOMINA!BR57</f>
        <v>37.369999999999997</v>
      </c>
      <c r="Q58" s="999">
        <f>+NOMINA!BS57</f>
        <v>8.3000000000000007</v>
      </c>
      <c r="R58" s="999">
        <f>+NOMINA!BT57</f>
        <v>9</v>
      </c>
      <c r="S58" s="986">
        <f t="shared" si="24"/>
        <v>54.67</v>
      </c>
      <c r="T58" s="986">
        <f t="shared" si="25"/>
        <v>77.86</v>
      </c>
      <c r="U58" s="1005">
        <v>0</v>
      </c>
      <c r="V58" s="443" t="e">
        <f>#REF!+#REF!-O58</f>
        <v>#REF!</v>
      </c>
      <c r="W58" s="975" t="e">
        <f>ROUND((#REF!+#REF!+#REF!+#REF!+#REF!+#REF!+#REF!+#REF!+#REF!),2)</f>
        <v>#REF!</v>
      </c>
      <c r="AA58" s="976" t="e">
        <f>#REF!+#REF!-O58</f>
        <v>#REF!</v>
      </c>
      <c r="AB58" s="977" t="e">
        <f>#REF!</f>
        <v>#REF!</v>
      </c>
      <c r="AC58" s="976" t="e">
        <f>#REF!+#REF!</f>
        <v>#REF!</v>
      </c>
      <c r="AD58" s="977" t="e">
        <f>#REF!</f>
        <v>#REF!</v>
      </c>
      <c r="AE58" s="978">
        <v>0</v>
      </c>
      <c r="AF58" s="977" t="e">
        <f>#REF!</f>
        <v>#REF!</v>
      </c>
      <c r="AG58" s="979" t="e">
        <f>#REF!+#REF!</f>
        <v>#REF!</v>
      </c>
      <c r="AH58" s="979" t="e">
        <f>#REF!+#REF!</f>
        <v>#REF!</v>
      </c>
      <c r="AI58" s="979"/>
      <c r="AJ58" s="977" t="e">
        <f>#REF!</f>
        <v>#REF!</v>
      </c>
      <c r="AK58" s="977" t="e">
        <f t="shared" si="19"/>
        <v>#REF!</v>
      </c>
      <c r="AL58" s="977">
        <f t="shared" si="20"/>
        <v>77.86</v>
      </c>
      <c r="AM58" s="977">
        <f t="shared" si="21"/>
        <v>0</v>
      </c>
      <c r="AN58" s="634"/>
    </row>
    <row r="59" spans="1:40" s="629" customFormat="1" ht="20.100000000000001" customHeight="1">
      <c r="A59" s="771">
        <f t="shared" si="26"/>
        <v>16</v>
      </c>
      <c r="B59" s="980">
        <f>+NOMINA!C58</f>
        <v>9311822</v>
      </c>
      <c r="C59" s="981" t="str">
        <f>+NOMINA!D58</f>
        <v>Rojo Sanchez Alexis O.</v>
      </c>
      <c r="D59" s="978" t="s">
        <v>4622</v>
      </c>
      <c r="E59" s="982">
        <v>32351</v>
      </c>
      <c r="F59" s="978" t="s">
        <v>4620</v>
      </c>
      <c r="G59" s="1004">
        <f>+NOMINA!H58</f>
        <v>37662</v>
      </c>
      <c r="H59" s="984">
        <f t="shared" si="22"/>
        <v>19</v>
      </c>
      <c r="I59" s="985">
        <v>0</v>
      </c>
      <c r="J59" s="999">
        <f>+NOMINA!BL58</f>
        <v>0</v>
      </c>
      <c r="K59" s="999">
        <f>+NOMINA!BM58</f>
        <v>0</v>
      </c>
      <c r="L59" s="999">
        <f>+NOMINA!BN58</f>
        <v>0</v>
      </c>
      <c r="M59" s="999">
        <f>++NOMINA!BO58</f>
        <v>0</v>
      </c>
      <c r="N59" s="999">
        <f>+NOMINA!BP58</f>
        <v>0</v>
      </c>
      <c r="O59" s="986">
        <f t="shared" si="23"/>
        <v>0</v>
      </c>
      <c r="P59" s="999">
        <f>+NOMINA!BR58</f>
        <v>0</v>
      </c>
      <c r="Q59" s="999">
        <f>+NOMINA!BS58</f>
        <v>0</v>
      </c>
      <c r="R59" s="999">
        <f>+NOMINA!BT58</f>
        <v>0</v>
      </c>
      <c r="S59" s="986">
        <f t="shared" si="24"/>
        <v>0</v>
      </c>
      <c r="T59" s="986">
        <f t="shared" si="25"/>
        <v>0</v>
      </c>
      <c r="U59" s="1005">
        <v>0</v>
      </c>
      <c r="V59" s="443" t="e">
        <f>#REF!+#REF!-O59</f>
        <v>#REF!</v>
      </c>
      <c r="W59" s="975" t="e">
        <f>ROUND((#REF!+#REF!+#REF!+#REF!+#REF!+#REF!+#REF!+#REF!+#REF!),2)</f>
        <v>#REF!</v>
      </c>
      <c r="AA59" s="976" t="e">
        <f>#REF!+#REF!-O59</f>
        <v>#REF!</v>
      </c>
      <c r="AB59" s="977" t="e">
        <f>#REF!</f>
        <v>#REF!</v>
      </c>
      <c r="AC59" s="976" t="e">
        <f>#REF!+#REF!</f>
        <v>#REF!</v>
      </c>
      <c r="AD59" s="977" t="e">
        <f>#REF!</f>
        <v>#REF!</v>
      </c>
      <c r="AE59" s="978">
        <v>0</v>
      </c>
      <c r="AF59" s="977" t="e">
        <f>#REF!</f>
        <v>#REF!</v>
      </c>
      <c r="AG59" s="979" t="e">
        <f>#REF!+#REF!</f>
        <v>#REF!</v>
      </c>
      <c r="AH59" s="979" t="e">
        <f>#REF!+#REF!</f>
        <v>#REF!</v>
      </c>
      <c r="AI59" s="979"/>
      <c r="AJ59" s="977" t="e">
        <f>#REF!</f>
        <v>#REF!</v>
      </c>
      <c r="AK59" s="977" t="e">
        <f t="shared" si="19"/>
        <v>#REF!</v>
      </c>
      <c r="AL59" s="977">
        <f t="shared" si="20"/>
        <v>0</v>
      </c>
      <c r="AM59" s="977">
        <f t="shared" si="21"/>
        <v>0</v>
      </c>
      <c r="AN59" s="634"/>
    </row>
    <row r="60" spans="1:40" s="629" customFormat="1" ht="20.100000000000001" customHeight="1">
      <c r="A60" s="771">
        <f t="shared" si="26"/>
        <v>17</v>
      </c>
      <c r="B60" s="980">
        <f>+NOMINA!C59</f>
        <v>9315117</v>
      </c>
      <c r="C60" s="981" t="str">
        <f>+NOMINA!D59</f>
        <v>Palma de Briceño Sonia Josefina</v>
      </c>
      <c r="D60" s="978" t="s">
        <v>4622</v>
      </c>
      <c r="E60" s="982">
        <v>32351</v>
      </c>
      <c r="F60" s="978" t="s">
        <v>4620</v>
      </c>
      <c r="G60" s="1004">
        <f>+NOMINA!H59</f>
        <v>38412</v>
      </c>
      <c r="H60" s="984">
        <f t="shared" si="22"/>
        <v>17</v>
      </c>
      <c r="I60" s="985">
        <v>0</v>
      </c>
      <c r="J60" s="999">
        <f>+NOMINA!BL59</f>
        <v>22.48</v>
      </c>
      <c r="K60" s="999">
        <f>+NOMINA!BM59</f>
        <v>2.81</v>
      </c>
      <c r="L60" s="999">
        <f>+NOMINA!BN59</f>
        <v>6.09</v>
      </c>
      <c r="M60" s="999">
        <f>++NOMINA!BO59</f>
        <v>0</v>
      </c>
      <c r="N60" s="999">
        <f>+NOMINA!BP59</f>
        <v>0</v>
      </c>
      <c r="O60" s="986">
        <f t="shared" si="23"/>
        <v>31.38</v>
      </c>
      <c r="P60" s="999">
        <f>+NOMINA!BR59</f>
        <v>50.58</v>
      </c>
      <c r="Q60" s="999">
        <f>+NOMINA!BS59</f>
        <v>11.24</v>
      </c>
      <c r="R60" s="999">
        <f>+NOMINA!BT59</f>
        <v>12.18</v>
      </c>
      <c r="S60" s="986">
        <f t="shared" si="24"/>
        <v>74</v>
      </c>
      <c r="T60" s="986">
        <f t="shared" si="25"/>
        <v>105.38</v>
      </c>
      <c r="U60" s="1005">
        <v>0</v>
      </c>
      <c r="V60" s="443" t="e">
        <f>#REF!+#REF!-O60</f>
        <v>#REF!</v>
      </c>
      <c r="W60" s="975" t="e">
        <f>ROUND((#REF!+#REF!+#REF!+#REF!+#REF!+#REF!+#REF!+#REF!+#REF!),2)</f>
        <v>#REF!</v>
      </c>
      <c r="AA60" s="976" t="e">
        <f>#REF!+#REF!-O60</f>
        <v>#REF!</v>
      </c>
      <c r="AB60" s="977" t="e">
        <f>#REF!</f>
        <v>#REF!</v>
      </c>
      <c r="AC60" s="976" t="e">
        <f>#REF!+#REF!</f>
        <v>#REF!</v>
      </c>
      <c r="AD60" s="977" t="e">
        <f>#REF!</f>
        <v>#REF!</v>
      </c>
      <c r="AE60" s="978">
        <v>0</v>
      </c>
      <c r="AF60" s="977" t="e">
        <f>#REF!</f>
        <v>#REF!</v>
      </c>
      <c r="AG60" s="979" t="e">
        <f>#REF!+#REF!</f>
        <v>#REF!</v>
      </c>
      <c r="AH60" s="979" t="e">
        <f>#REF!+#REF!</f>
        <v>#REF!</v>
      </c>
      <c r="AI60" s="979"/>
      <c r="AJ60" s="977" t="e">
        <f>#REF!</f>
        <v>#REF!</v>
      </c>
      <c r="AK60" s="977" t="e">
        <f t="shared" si="19"/>
        <v>#REF!</v>
      </c>
      <c r="AL60" s="977">
        <f t="shared" si="20"/>
        <v>105.38</v>
      </c>
      <c r="AM60" s="977">
        <f t="shared" si="21"/>
        <v>0</v>
      </c>
      <c r="AN60" s="634"/>
    </row>
    <row r="61" spans="1:40" s="629" customFormat="1" ht="20.100000000000001" customHeight="1">
      <c r="A61" s="771">
        <f t="shared" si="26"/>
        <v>18</v>
      </c>
      <c r="B61" s="980">
        <f>+NOMINA!C60</f>
        <v>9315325</v>
      </c>
      <c r="C61" s="981" t="str">
        <f>+NOMINA!D60</f>
        <v>Gonzalez Hernandez Marianela</v>
      </c>
      <c r="D61" s="978" t="s">
        <v>4622</v>
      </c>
      <c r="E61" s="982">
        <v>32351</v>
      </c>
      <c r="F61" s="978" t="s">
        <v>4620</v>
      </c>
      <c r="G61" s="1004">
        <f>+NOMINA!H60</f>
        <v>39678</v>
      </c>
      <c r="H61" s="984">
        <f t="shared" si="22"/>
        <v>14</v>
      </c>
      <c r="I61" s="985">
        <v>0</v>
      </c>
      <c r="J61" s="999">
        <f>+NOMINA!BL60</f>
        <v>18.170000000000002</v>
      </c>
      <c r="K61" s="999">
        <f>+NOMINA!BM60</f>
        <v>2.27</v>
      </c>
      <c r="L61" s="999">
        <f>+NOMINA!BN60</f>
        <v>4.92</v>
      </c>
      <c r="M61" s="999">
        <f>++NOMINA!BO60</f>
        <v>0</v>
      </c>
      <c r="N61" s="999">
        <f>+NOMINA!BP60</f>
        <v>0</v>
      </c>
      <c r="O61" s="986">
        <f t="shared" si="23"/>
        <v>25.36</v>
      </c>
      <c r="P61" s="999">
        <f>+NOMINA!BR60</f>
        <v>40.869999999999997</v>
      </c>
      <c r="Q61" s="999">
        <f>+NOMINA!BS60</f>
        <v>9.08</v>
      </c>
      <c r="R61" s="999">
        <f>+NOMINA!BT60</f>
        <v>9.84</v>
      </c>
      <c r="S61" s="986">
        <f t="shared" si="24"/>
        <v>59.79</v>
      </c>
      <c r="T61" s="986">
        <f t="shared" si="25"/>
        <v>85.15</v>
      </c>
      <c r="U61" s="1005">
        <v>0</v>
      </c>
      <c r="V61" s="443" t="e">
        <f>#REF!+#REF!-O61</f>
        <v>#REF!</v>
      </c>
      <c r="W61" s="975" t="e">
        <f>ROUND((#REF!+#REF!+#REF!+#REF!+#REF!+#REF!+#REF!+#REF!+#REF!),2)</f>
        <v>#REF!</v>
      </c>
      <c r="AA61" s="976" t="e">
        <f>#REF!+#REF!-O61</f>
        <v>#REF!</v>
      </c>
      <c r="AB61" s="977" t="e">
        <f>#REF!</f>
        <v>#REF!</v>
      </c>
      <c r="AC61" s="976" t="e">
        <f>#REF!+#REF!</f>
        <v>#REF!</v>
      </c>
      <c r="AD61" s="977" t="e">
        <f>#REF!</f>
        <v>#REF!</v>
      </c>
      <c r="AE61" s="978">
        <v>0</v>
      </c>
      <c r="AF61" s="977" t="e">
        <f>#REF!</f>
        <v>#REF!</v>
      </c>
      <c r="AG61" s="979" t="e">
        <f>#REF!+#REF!</f>
        <v>#REF!</v>
      </c>
      <c r="AH61" s="979" t="e">
        <f>#REF!+#REF!</f>
        <v>#REF!</v>
      </c>
      <c r="AI61" s="979"/>
      <c r="AJ61" s="977" t="e">
        <f>#REF!</f>
        <v>#REF!</v>
      </c>
      <c r="AK61" s="977" t="e">
        <f t="shared" si="19"/>
        <v>#REF!</v>
      </c>
      <c r="AL61" s="977">
        <f t="shared" si="20"/>
        <v>85.15</v>
      </c>
      <c r="AM61" s="977">
        <f t="shared" si="21"/>
        <v>0</v>
      </c>
      <c r="AN61" s="634"/>
    </row>
    <row r="62" spans="1:40" s="629" customFormat="1" ht="20.100000000000001" customHeight="1">
      <c r="A62" s="771">
        <f t="shared" si="26"/>
        <v>19</v>
      </c>
      <c r="B62" s="980">
        <f>+NOMINA!C61</f>
        <v>9316224</v>
      </c>
      <c r="C62" s="981" t="str">
        <f>+NOMINA!D61</f>
        <v>Sanchez Barrios Magalis del Carmen</v>
      </c>
      <c r="D62" s="978" t="s">
        <v>4622</v>
      </c>
      <c r="E62" s="982">
        <v>32351</v>
      </c>
      <c r="F62" s="978" t="s">
        <v>4620</v>
      </c>
      <c r="G62" s="1004">
        <f>+NOMINA!H61</f>
        <v>44317</v>
      </c>
      <c r="H62" s="984">
        <f t="shared" si="22"/>
        <v>1</v>
      </c>
      <c r="I62" s="985">
        <v>0</v>
      </c>
      <c r="J62" s="999">
        <f>+NOMINA!BL61</f>
        <v>15.75</v>
      </c>
      <c r="K62" s="999">
        <f>+NOMINA!BM61</f>
        <v>1.97</v>
      </c>
      <c r="L62" s="999">
        <f>+NOMINA!BN61</f>
        <v>4.2699999999999996</v>
      </c>
      <c r="M62" s="999">
        <f>++NOMINA!BO61</f>
        <v>0</v>
      </c>
      <c r="N62" s="999">
        <f>+NOMINA!BP61</f>
        <v>0</v>
      </c>
      <c r="O62" s="986">
        <f t="shared" si="23"/>
        <v>21.99</v>
      </c>
      <c r="P62" s="999">
        <f>+NOMINA!BR61</f>
        <v>35.450000000000003</v>
      </c>
      <c r="Q62" s="999">
        <f>+NOMINA!BS61</f>
        <v>7.88</v>
      </c>
      <c r="R62" s="999">
        <f>+NOMINA!BT61</f>
        <v>8.5399999999999991</v>
      </c>
      <c r="S62" s="986">
        <f t="shared" si="24"/>
        <v>51.87</v>
      </c>
      <c r="T62" s="986">
        <f t="shared" si="25"/>
        <v>73.86</v>
      </c>
      <c r="U62" s="1005">
        <v>0</v>
      </c>
      <c r="V62" s="443" t="e">
        <f>#REF!+#REF!-O62</f>
        <v>#REF!</v>
      </c>
      <c r="W62" s="975" t="e">
        <f>ROUND((#REF!+#REF!+#REF!+#REF!+#REF!+#REF!+#REF!+#REF!+#REF!),2)</f>
        <v>#REF!</v>
      </c>
      <c r="AA62" s="976" t="e">
        <f>#REF!+#REF!-O62</f>
        <v>#REF!</v>
      </c>
      <c r="AB62" s="977" t="e">
        <f>#REF!</f>
        <v>#REF!</v>
      </c>
      <c r="AC62" s="976" t="e">
        <f>#REF!+#REF!</f>
        <v>#REF!</v>
      </c>
      <c r="AD62" s="977" t="e">
        <f>#REF!</f>
        <v>#REF!</v>
      </c>
      <c r="AE62" s="978">
        <v>0</v>
      </c>
      <c r="AF62" s="977" t="e">
        <f>#REF!</f>
        <v>#REF!</v>
      </c>
      <c r="AG62" s="979" t="e">
        <f>#REF!+#REF!</f>
        <v>#REF!</v>
      </c>
      <c r="AH62" s="979" t="e">
        <f>#REF!+#REF!</f>
        <v>#REF!</v>
      </c>
      <c r="AI62" s="979"/>
      <c r="AJ62" s="977" t="e">
        <f>#REF!</f>
        <v>#REF!</v>
      </c>
      <c r="AK62" s="977" t="e">
        <f t="shared" si="19"/>
        <v>#REF!</v>
      </c>
      <c r="AL62" s="977">
        <f t="shared" si="20"/>
        <v>73.86</v>
      </c>
      <c r="AM62" s="977">
        <f t="shared" si="21"/>
        <v>0</v>
      </c>
      <c r="AN62" s="634"/>
    </row>
    <row r="63" spans="1:40" s="629" customFormat="1" ht="20.100000000000001" customHeight="1">
      <c r="A63" s="771">
        <f t="shared" si="26"/>
        <v>20</v>
      </c>
      <c r="B63" s="980">
        <f>+NOMINA!C62</f>
        <v>9323927</v>
      </c>
      <c r="C63" s="981" t="str">
        <f>+NOMINA!D62</f>
        <v>Cardozo Garcia Jorge Antonio</v>
      </c>
      <c r="D63" s="978" t="s">
        <v>4622</v>
      </c>
      <c r="E63" s="982">
        <v>32351</v>
      </c>
      <c r="F63" s="978" t="s">
        <v>4620</v>
      </c>
      <c r="G63" s="1004">
        <f>+NOMINA!H62</f>
        <v>35704</v>
      </c>
      <c r="H63" s="984">
        <f t="shared" si="22"/>
        <v>25</v>
      </c>
      <c r="I63" s="985">
        <v>0</v>
      </c>
      <c r="J63" s="999">
        <f>+NOMINA!BL62</f>
        <v>13.3</v>
      </c>
      <c r="K63" s="999">
        <f>+NOMINA!BM62</f>
        <v>1.66</v>
      </c>
      <c r="L63" s="999">
        <f>+NOMINA!BN62</f>
        <v>3.6</v>
      </c>
      <c r="M63" s="999">
        <f>++NOMINA!BO62</f>
        <v>0</v>
      </c>
      <c r="N63" s="999">
        <f>+NOMINA!BP62</f>
        <v>0</v>
      </c>
      <c r="O63" s="986">
        <f t="shared" si="23"/>
        <v>18.559999999999999</v>
      </c>
      <c r="P63" s="999">
        <f>+NOMINA!BR62</f>
        <v>29.92</v>
      </c>
      <c r="Q63" s="999">
        <f>+NOMINA!BS62</f>
        <v>6.65</v>
      </c>
      <c r="R63" s="999">
        <f>+NOMINA!BT62</f>
        <v>7.2</v>
      </c>
      <c r="S63" s="986">
        <f t="shared" si="24"/>
        <v>43.77</v>
      </c>
      <c r="T63" s="986">
        <f t="shared" si="25"/>
        <v>62.33</v>
      </c>
      <c r="U63" s="1005">
        <v>0</v>
      </c>
      <c r="V63" s="443" t="e">
        <f>#REF!+#REF!-O63</f>
        <v>#REF!</v>
      </c>
      <c r="W63" s="975" t="e">
        <f>ROUND((#REF!+#REF!+#REF!+#REF!+#REF!+#REF!+#REF!+#REF!+#REF!),2)</f>
        <v>#REF!</v>
      </c>
      <c r="AA63" s="976" t="e">
        <f>#REF!+#REF!-O63</f>
        <v>#REF!</v>
      </c>
      <c r="AB63" s="977" t="e">
        <f>#REF!</f>
        <v>#REF!</v>
      </c>
      <c r="AC63" s="976" t="e">
        <f>#REF!+#REF!</f>
        <v>#REF!</v>
      </c>
      <c r="AD63" s="977" t="e">
        <f>#REF!</f>
        <v>#REF!</v>
      </c>
      <c r="AE63" s="978">
        <v>0</v>
      </c>
      <c r="AF63" s="977" t="e">
        <f>#REF!</f>
        <v>#REF!</v>
      </c>
      <c r="AG63" s="979" t="e">
        <f>#REF!+#REF!</f>
        <v>#REF!</v>
      </c>
      <c r="AH63" s="979" t="e">
        <f>#REF!+#REF!</f>
        <v>#REF!</v>
      </c>
      <c r="AI63" s="979"/>
      <c r="AJ63" s="977" t="e">
        <f>#REF!</f>
        <v>#REF!</v>
      </c>
      <c r="AK63" s="977" t="e">
        <f t="shared" si="19"/>
        <v>#REF!</v>
      </c>
      <c r="AL63" s="977">
        <f t="shared" si="20"/>
        <v>62.33</v>
      </c>
      <c r="AM63" s="977">
        <f t="shared" si="21"/>
        <v>0</v>
      </c>
      <c r="AN63" s="634"/>
    </row>
    <row r="64" spans="1:40" s="629" customFormat="1" ht="20.100000000000001" customHeight="1">
      <c r="A64" s="771">
        <f t="shared" si="26"/>
        <v>21</v>
      </c>
      <c r="B64" s="980">
        <f>+NOMINA!C63</f>
        <v>9327253</v>
      </c>
      <c r="C64" s="981" t="str">
        <f>+NOMINA!D63</f>
        <v>Garcia Araujo Jose Domingo</v>
      </c>
      <c r="D64" s="978" t="s">
        <v>4622</v>
      </c>
      <c r="E64" s="982">
        <v>32351</v>
      </c>
      <c r="F64" s="978" t="s">
        <v>4620</v>
      </c>
      <c r="G64" s="1004">
        <f>+NOMINA!H63</f>
        <v>38930</v>
      </c>
      <c r="H64" s="984">
        <f t="shared" si="22"/>
        <v>16</v>
      </c>
      <c r="I64" s="985">
        <v>0</v>
      </c>
      <c r="J64" s="999">
        <f>+NOMINA!BL63</f>
        <v>18.27</v>
      </c>
      <c r="K64" s="999">
        <f>+NOMINA!BM63</f>
        <v>2.2799999999999998</v>
      </c>
      <c r="L64" s="999">
        <f>+NOMINA!BN63</f>
        <v>4.95</v>
      </c>
      <c r="M64" s="999">
        <f>++NOMINA!BO63</f>
        <v>0</v>
      </c>
      <c r="N64" s="999">
        <f>+NOMINA!BP63</f>
        <v>0</v>
      </c>
      <c r="O64" s="986">
        <f t="shared" si="23"/>
        <v>25.5</v>
      </c>
      <c r="P64" s="999">
        <f>+NOMINA!BR63</f>
        <v>41.12</v>
      </c>
      <c r="Q64" s="999">
        <f>+NOMINA!BS63</f>
        <v>9.14</v>
      </c>
      <c r="R64" s="999">
        <f>+NOMINA!BT63</f>
        <v>9.9</v>
      </c>
      <c r="S64" s="986">
        <f t="shared" si="24"/>
        <v>60.16</v>
      </c>
      <c r="T64" s="986">
        <f t="shared" si="25"/>
        <v>85.66</v>
      </c>
      <c r="U64" s="1005">
        <v>0</v>
      </c>
      <c r="V64" s="443" t="e">
        <f>#REF!+#REF!-O64</f>
        <v>#REF!</v>
      </c>
      <c r="W64" s="975" t="e">
        <f>ROUND((#REF!+#REF!+#REF!+#REF!+#REF!+#REF!+#REF!+#REF!+#REF!),2)</f>
        <v>#REF!</v>
      </c>
      <c r="AA64" s="976" t="e">
        <f>#REF!+#REF!-O64</f>
        <v>#REF!</v>
      </c>
      <c r="AB64" s="977" t="e">
        <f>#REF!</f>
        <v>#REF!</v>
      </c>
      <c r="AC64" s="976" t="e">
        <f>#REF!+#REF!</f>
        <v>#REF!</v>
      </c>
      <c r="AD64" s="977" t="e">
        <f>#REF!</f>
        <v>#REF!</v>
      </c>
      <c r="AE64" s="978">
        <v>0</v>
      </c>
      <c r="AF64" s="977" t="e">
        <f>#REF!</f>
        <v>#REF!</v>
      </c>
      <c r="AG64" s="979" t="e">
        <f>#REF!+#REF!</f>
        <v>#REF!</v>
      </c>
      <c r="AH64" s="979" t="e">
        <f>#REF!+#REF!</f>
        <v>#REF!</v>
      </c>
      <c r="AI64" s="979"/>
      <c r="AJ64" s="977" t="e">
        <f>#REF!</f>
        <v>#REF!</v>
      </c>
      <c r="AK64" s="977" t="e">
        <f t="shared" si="19"/>
        <v>#REF!</v>
      </c>
      <c r="AL64" s="977">
        <f t="shared" si="20"/>
        <v>85.66</v>
      </c>
      <c r="AM64" s="977">
        <f t="shared" si="21"/>
        <v>0</v>
      </c>
      <c r="AN64" s="634"/>
    </row>
    <row r="65" spans="1:40" s="629" customFormat="1" ht="20.100000000000001" customHeight="1">
      <c r="A65" s="771">
        <f t="shared" si="26"/>
        <v>22</v>
      </c>
      <c r="B65" s="980">
        <f>+NOMINA!C64</f>
        <v>9328157</v>
      </c>
      <c r="C65" s="981" t="str">
        <f>+NOMINA!D64</f>
        <v>Perez Salas Olga Margarita</v>
      </c>
      <c r="D65" s="978" t="s">
        <v>4622</v>
      </c>
      <c r="E65" s="982">
        <v>32351</v>
      </c>
      <c r="F65" s="978" t="s">
        <v>4620</v>
      </c>
      <c r="G65" s="1004">
        <f>+NOMINA!H64</f>
        <v>41153</v>
      </c>
      <c r="H65" s="984">
        <f t="shared" si="22"/>
        <v>10</v>
      </c>
      <c r="I65" s="985">
        <v>0</v>
      </c>
      <c r="J65" s="999">
        <f>+NOMINA!BL64</f>
        <v>12.11</v>
      </c>
      <c r="K65" s="999">
        <f>+NOMINA!BM64</f>
        <v>1.51</v>
      </c>
      <c r="L65" s="999">
        <f>+NOMINA!BN64</f>
        <v>3.28</v>
      </c>
      <c r="M65" s="999">
        <f>++NOMINA!BO64</f>
        <v>0</v>
      </c>
      <c r="N65" s="999">
        <f>+NOMINA!BP64</f>
        <v>0</v>
      </c>
      <c r="O65" s="986">
        <f t="shared" si="23"/>
        <v>16.899999999999999</v>
      </c>
      <c r="P65" s="999">
        <f>+NOMINA!BR64</f>
        <v>27.25</v>
      </c>
      <c r="Q65" s="999">
        <f>+NOMINA!BS64</f>
        <v>6.06</v>
      </c>
      <c r="R65" s="999">
        <f>+NOMINA!BT64</f>
        <v>6.56</v>
      </c>
      <c r="S65" s="986">
        <f t="shared" si="24"/>
        <v>39.869999999999997</v>
      </c>
      <c r="T65" s="986">
        <f t="shared" si="25"/>
        <v>56.769999999999996</v>
      </c>
      <c r="U65" s="1005">
        <v>0</v>
      </c>
      <c r="V65" s="443" t="e">
        <f>#REF!+#REF!-O65</f>
        <v>#REF!</v>
      </c>
      <c r="W65" s="975" t="e">
        <f>ROUND((#REF!+#REF!+#REF!+#REF!+#REF!+#REF!+#REF!+#REF!+#REF!),2)</f>
        <v>#REF!</v>
      </c>
      <c r="AA65" s="976" t="e">
        <f>#REF!+#REF!-O65</f>
        <v>#REF!</v>
      </c>
      <c r="AB65" s="977" t="e">
        <f>#REF!</f>
        <v>#REF!</v>
      </c>
      <c r="AC65" s="976" t="e">
        <f>#REF!+#REF!</f>
        <v>#REF!</v>
      </c>
      <c r="AD65" s="977" t="e">
        <f>#REF!</f>
        <v>#REF!</v>
      </c>
      <c r="AE65" s="978">
        <v>0</v>
      </c>
      <c r="AF65" s="977" t="e">
        <f>#REF!</f>
        <v>#REF!</v>
      </c>
      <c r="AG65" s="979" t="e">
        <f>#REF!+#REF!</f>
        <v>#REF!</v>
      </c>
      <c r="AH65" s="979" t="e">
        <f>#REF!+#REF!</f>
        <v>#REF!</v>
      </c>
      <c r="AI65" s="979"/>
      <c r="AJ65" s="977" t="e">
        <f>#REF!</f>
        <v>#REF!</v>
      </c>
      <c r="AK65" s="977" t="e">
        <f t="shared" si="19"/>
        <v>#REF!</v>
      </c>
      <c r="AL65" s="977">
        <f t="shared" si="20"/>
        <v>56.769999999999996</v>
      </c>
      <c r="AM65" s="977">
        <f t="shared" si="21"/>
        <v>0</v>
      </c>
      <c r="AN65" s="634"/>
    </row>
    <row r="66" spans="1:40" s="629" customFormat="1" ht="20.100000000000001" customHeight="1">
      <c r="A66" s="771">
        <f t="shared" si="26"/>
        <v>23</v>
      </c>
      <c r="B66" s="980">
        <f>+NOMINA!C65</f>
        <v>9328224</v>
      </c>
      <c r="C66" s="981" t="str">
        <f>+NOMINA!D65</f>
        <v>Abreu Araujo Omar Antonio</v>
      </c>
      <c r="D66" s="978" t="s">
        <v>4622</v>
      </c>
      <c r="E66" s="982">
        <v>32351</v>
      </c>
      <c r="F66" s="978" t="s">
        <v>4620</v>
      </c>
      <c r="G66" s="1004">
        <f>+NOMINA!H65</f>
        <v>39356</v>
      </c>
      <c r="H66" s="984">
        <f t="shared" si="22"/>
        <v>15</v>
      </c>
      <c r="I66" s="985">
        <v>0</v>
      </c>
      <c r="J66" s="999">
        <f>+NOMINA!BL65</f>
        <v>15.27</v>
      </c>
      <c r="K66" s="999">
        <f>+NOMINA!BM65</f>
        <v>1.91</v>
      </c>
      <c r="L66" s="999">
        <f>+NOMINA!BN65</f>
        <v>4.1399999999999997</v>
      </c>
      <c r="M66" s="999">
        <f>++NOMINA!BO65</f>
        <v>0</v>
      </c>
      <c r="N66" s="999">
        <f>+NOMINA!BP65</f>
        <v>1.1299999999999999</v>
      </c>
      <c r="O66" s="986">
        <f t="shared" si="23"/>
        <v>22.45</v>
      </c>
      <c r="P66" s="999">
        <f>+NOMINA!BR65</f>
        <v>34.36</v>
      </c>
      <c r="Q66" s="999">
        <f>+NOMINA!BS65</f>
        <v>7.64</v>
      </c>
      <c r="R66" s="999">
        <f>+NOMINA!BT65</f>
        <v>8.2799999999999994</v>
      </c>
      <c r="S66" s="986">
        <f t="shared" si="24"/>
        <v>50.28</v>
      </c>
      <c r="T66" s="986">
        <f t="shared" si="25"/>
        <v>72.73</v>
      </c>
      <c r="U66" s="1005">
        <v>0</v>
      </c>
      <c r="V66" s="443" t="e">
        <f>#REF!+#REF!-O66</f>
        <v>#REF!</v>
      </c>
      <c r="W66" s="975" t="e">
        <f>ROUND((#REF!+#REF!+#REF!+#REF!+#REF!+#REF!+#REF!+#REF!+#REF!),2)</f>
        <v>#REF!</v>
      </c>
      <c r="AA66" s="976" t="e">
        <f>#REF!+#REF!-O66</f>
        <v>#REF!</v>
      </c>
      <c r="AB66" s="977" t="e">
        <f>#REF!</f>
        <v>#REF!</v>
      </c>
      <c r="AC66" s="976" t="e">
        <f>#REF!+#REF!</f>
        <v>#REF!</v>
      </c>
      <c r="AD66" s="977" t="e">
        <f>#REF!</f>
        <v>#REF!</v>
      </c>
      <c r="AE66" s="978">
        <v>0</v>
      </c>
      <c r="AF66" s="977" t="e">
        <f>#REF!</f>
        <v>#REF!</v>
      </c>
      <c r="AG66" s="979" t="e">
        <f>#REF!+#REF!</f>
        <v>#REF!</v>
      </c>
      <c r="AH66" s="979" t="e">
        <f>#REF!+#REF!</f>
        <v>#REF!</v>
      </c>
      <c r="AI66" s="979"/>
      <c r="AJ66" s="977" t="e">
        <f>#REF!</f>
        <v>#REF!</v>
      </c>
      <c r="AK66" s="977" t="e">
        <f t="shared" si="19"/>
        <v>#REF!</v>
      </c>
      <c r="AL66" s="977">
        <f t="shared" si="20"/>
        <v>72.73</v>
      </c>
      <c r="AM66" s="977">
        <f t="shared" si="21"/>
        <v>0</v>
      </c>
      <c r="AN66" s="634"/>
    </row>
    <row r="67" spans="1:40" s="629" customFormat="1" ht="20.100000000000001" customHeight="1">
      <c r="A67" s="771">
        <f t="shared" si="26"/>
        <v>24</v>
      </c>
      <c r="B67" s="980">
        <f>+NOMINA!C66</f>
        <v>9495661</v>
      </c>
      <c r="C67" s="981" t="str">
        <f>+NOMINA!D66</f>
        <v>Aguial Carrillo Gregoria Coromoto</v>
      </c>
      <c r="D67" s="978" t="s">
        <v>4622</v>
      </c>
      <c r="E67" s="982">
        <v>32351</v>
      </c>
      <c r="F67" s="978" t="s">
        <v>4620</v>
      </c>
      <c r="G67" s="1004">
        <f>+NOMINA!H66</f>
        <v>39692</v>
      </c>
      <c r="H67" s="984">
        <f t="shared" si="22"/>
        <v>14</v>
      </c>
      <c r="I67" s="985">
        <v>0</v>
      </c>
      <c r="J67" s="999">
        <f>+NOMINA!BL66</f>
        <v>0</v>
      </c>
      <c r="K67" s="999">
        <f>+NOMINA!BM66</f>
        <v>0</v>
      </c>
      <c r="L67" s="999">
        <f>+NOMINA!BN66</f>
        <v>0</v>
      </c>
      <c r="M67" s="999">
        <f>++NOMINA!BO66</f>
        <v>0</v>
      </c>
      <c r="N67" s="999">
        <f>+NOMINA!BP66</f>
        <v>0</v>
      </c>
      <c r="O67" s="986">
        <f t="shared" si="23"/>
        <v>0</v>
      </c>
      <c r="P67" s="999">
        <f>+NOMINA!BR66</f>
        <v>0</v>
      </c>
      <c r="Q67" s="999">
        <f>+NOMINA!BS66</f>
        <v>0</v>
      </c>
      <c r="R67" s="999">
        <f>+NOMINA!BT66</f>
        <v>0</v>
      </c>
      <c r="S67" s="986">
        <f t="shared" si="24"/>
        <v>0</v>
      </c>
      <c r="T67" s="986">
        <f t="shared" si="25"/>
        <v>0</v>
      </c>
      <c r="U67" s="1005">
        <v>0</v>
      </c>
      <c r="V67" s="443" t="e">
        <f>#REF!+#REF!-O67</f>
        <v>#REF!</v>
      </c>
      <c r="W67" s="975" t="e">
        <f>ROUND((#REF!+#REF!+#REF!+#REF!+#REF!+#REF!+#REF!+#REF!+#REF!),2)</f>
        <v>#REF!</v>
      </c>
      <c r="AA67" s="976" t="e">
        <f>#REF!+#REF!-O67</f>
        <v>#REF!</v>
      </c>
      <c r="AB67" s="977" t="e">
        <f>#REF!</f>
        <v>#REF!</v>
      </c>
      <c r="AC67" s="976" t="e">
        <f>#REF!+#REF!</f>
        <v>#REF!</v>
      </c>
      <c r="AD67" s="977" t="e">
        <f>#REF!</f>
        <v>#REF!</v>
      </c>
      <c r="AE67" s="978">
        <v>0</v>
      </c>
      <c r="AF67" s="977" t="e">
        <f>#REF!</f>
        <v>#REF!</v>
      </c>
      <c r="AG67" s="979" t="e">
        <f>#REF!+#REF!</f>
        <v>#REF!</v>
      </c>
      <c r="AH67" s="979" t="e">
        <f>#REF!+#REF!</f>
        <v>#REF!</v>
      </c>
      <c r="AI67" s="979"/>
      <c r="AJ67" s="977" t="e">
        <f>#REF!</f>
        <v>#REF!</v>
      </c>
      <c r="AK67" s="977" t="e">
        <f t="shared" si="19"/>
        <v>#REF!</v>
      </c>
      <c r="AL67" s="977">
        <f t="shared" si="20"/>
        <v>0</v>
      </c>
      <c r="AM67" s="977">
        <f t="shared" si="21"/>
        <v>0</v>
      </c>
      <c r="AN67" s="634"/>
    </row>
    <row r="68" spans="1:40" s="629" customFormat="1" ht="20.100000000000001" customHeight="1">
      <c r="A68" s="771">
        <f t="shared" si="26"/>
        <v>25</v>
      </c>
      <c r="B68" s="980">
        <f>+NOMINA!C67</f>
        <v>9496860</v>
      </c>
      <c r="C68" s="981" t="str">
        <f>+NOMINA!D67</f>
        <v>Hernandez Valero Jose Alfredo</v>
      </c>
      <c r="D68" s="978" t="s">
        <v>4622</v>
      </c>
      <c r="E68" s="982">
        <v>32351</v>
      </c>
      <c r="F68" s="978" t="s">
        <v>4620</v>
      </c>
      <c r="G68" s="1004">
        <f>+NOMINA!H67</f>
        <v>43877</v>
      </c>
      <c r="H68" s="984">
        <f t="shared" si="22"/>
        <v>2</v>
      </c>
      <c r="I68" s="985">
        <v>0</v>
      </c>
      <c r="J68" s="999">
        <f>+NOMINA!BL67</f>
        <v>21.05</v>
      </c>
      <c r="K68" s="999">
        <f>+NOMINA!BM67</f>
        <v>2.63</v>
      </c>
      <c r="L68" s="999">
        <f>+NOMINA!BN67</f>
        <v>5.7</v>
      </c>
      <c r="M68" s="999">
        <f>++NOMINA!BO67</f>
        <v>0</v>
      </c>
      <c r="N68" s="999">
        <f>+NOMINA!BP67</f>
        <v>0</v>
      </c>
      <c r="O68" s="986">
        <f t="shared" si="23"/>
        <v>29.38</v>
      </c>
      <c r="P68" s="999">
        <f>+NOMINA!BR67</f>
        <v>47.36</v>
      </c>
      <c r="Q68" s="999">
        <f>+NOMINA!BS67</f>
        <v>10.52</v>
      </c>
      <c r="R68" s="999">
        <f>+NOMINA!BT67</f>
        <v>11.4</v>
      </c>
      <c r="S68" s="986">
        <f t="shared" si="24"/>
        <v>69.28</v>
      </c>
      <c r="T68" s="986">
        <f t="shared" si="25"/>
        <v>98.66</v>
      </c>
      <c r="U68" s="1005">
        <v>0</v>
      </c>
      <c r="V68" s="443" t="e">
        <f>#REF!+#REF!-O68</f>
        <v>#REF!</v>
      </c>
      <c r="W68" s="975" t="e">
        <f>ROUND((#REF!+#REF!+#REF!+#REF!+#REF!+#REF!+#REF!+#REF!+#REF!),2)</f>
        <v>#REF!</v>
      </c>
      <c r="AA68" s="976" t="e">
        <f>#REF!+#REF!-O68</f>
        <v>#REF!</v>
      </c>
      <c r="AB68" s="977" t="e">
        <f>#REF!</f>
        <v>#REF!</v>
      </c>
      <c r="AC68" s="976" t="e">
        <f>#REF!+#REF!</f>
        <v>#REF!</v>
      </c>
      <c r="AD68" s="977" t="e">
        <f>#REF!</f>
        <v>#REF!</v>
      </c>
      <c r="AE68" s="978">
        <v>0</v>
      </c>
      <c r="AF68" s="977" t="e">
        <f>#REF!</f>
        <v>#REF!</v>
      </c>
      <c r="AG68" s="979" t="e">
        <f>#REF!+#REF!</f>
        <v>#REF!</v>
      </c>
      <c r="AH68" s="979" t="e">
        <f>#REF!+#REF!</f>
        <v>#REF!</v>
      </c>
      <c r="AI68" s="979"/>
      <c r="AJ68" s="977" t="e">
        <f>#REF!</f>
        <v>#REF!</v>
      </c>
      <c r="AK68" s="977" t="e">
        <f t="shared" si="19"/>
        <v>#REF!</v>
      </c>
      <c r="AL68" s="977">
        <f t="shared" si="20"/>
        <v>98.66</v>
      </c>
      <c r="AM68" s="977">
        <f t="shared" si="21"/>
        <v>0</v>
      </c>
      <c r="AN68" s="634"/>
    </row>
    <row r="69" spans="1:40" s="629" customFormat="1" ht="20.100000000000001" customHeight="1">
      <c r="A69" s="771">
        <f t="shared" si="26"/>
        <v>26</v>
      </c>
      <c r="B69" s="980">
        <f>+NOMINA!C68</f>
        <v>9497151</v>
      </c>
      <c r="C69" s="981" t="str">
        <f>+NOMINA!D68</f>
        <v>Mendoza Vieras Pedro Luis</v>
      </c>
      <c r="D69" s="978" t="s">
        <v>4622</v>
      </c>
      <c r="E69" s="982">
        <v>32351</v>
      </c>
      <c r="F69" s="978" t="s">
        <v>4620</v>
      </c>
      <c r="G69" s="1004">
        <f>+NOMINA!H68</f>
        <v>36770</v>
      </c>
      <c r="H69" s="984">
        <f t="shared" si="22"/>
        <v>22</v>
      </c>
      <c r="I69" s="985">
        <v>0</v>
      </c>
      <c r="J69" s="999">
        <f>+NOMINA!BL68</f>
        <v>23.22</v>
      </c>
      <c r="K69" s="999">
        <f>+NOMINA!BM68</f>
        <v>2.9</v>
      </c>
      <c r="L69" s="999">
        <f>+NOMINA!BN68</f>
        <v>6.29</v>
      </c>
      <c r="M69" s="999">
        <f>++NOMINA!BO68</f>
        <v>0</v>
      </c>
      <c r="N69" s="999">
        <f>+NOMINA!BP68</f>
        <v>0</v>
      </c>
      <c r="O69" s="986">
        <f t="shared" si="23"/>
        <v>32.409999999999997</v>
      </c>
      <c r="P69" s="999">
        <f>+NOMINA!BR68</f>
        <v>52.25</v>
      </c>
      <c r="Q69" s="999">
        <f>+NOMINA!BS68</f>
        <v>11.61</v>
      </c>
      <c r="R69" s="999">
        <f>+NOMINA!BT68</f>
        <v>12.58</v>
      </c>
      <c r="S69" s="986">
        <f t="shared" si="24"/>
        <v>76.44</v>
      </c>
      <c r="T69" s="986">
        <f t="shared" si="25"/>
        <v>108.85</v>
      </c>
      <c r="U69" s="1005">
        <v>0</v>
      </c>
      <c r="V69" s="443" t="e">
        <f>#REF!+#REF!-O69</f>
        <v>#REF!</v>
      </c>
      <c r="W69" s="975" t="e">
        <f>ROUND((#REF!+#REF!+#REF!+#REF!+#REF!+#REF!+#REF!+#REF!+#REF!),2)</f>
        <v>#REF!</v>
      </c>
      <c r="AA69" s="976" t="e">
        <f>#REF!+#REF!-O69</f>
        <v>#REF!</v>
      </c>
      <c r="AB69" s="977" t="e">
        <f>#REF!</f>
        <v>#REF!</v>
      </c>
      <c r="AC69" s="976" t="e">
        <f>#REF!+#REF!</f>
        <v>#REF!</v>
      </c>
      <c r="AD69" s="977" t="e">
        <f>#REF!</f>
        <v>#REF!</v>
      </c>
      <c r="AE69" s="978">
        <v>0</v>
      </c>
      <c r="AF69" s="977" t="e">
        <f>#REF!</f>
        <v>#REF!</v>
      </c>
      <c r="AG69" s="979" t="e">
        <f>#REF!+#REF!</f>
        <v>#REF!</v>
      </c>
      <c r="AH69" s="979" t="e">
        <f>#REF!+#REF!</f>
        <v>#REF!</v>
      </c>
      <c r="AI69" s="979"/>
      <c r="AJ69" s="977" t="e">
        <f>#REF!</f>
        <v>#REF!</v>
      </c>
      <c r="AK69" s="977" t="e">
        <f t="shared" si="19"/>
        <v>#REF!</v>
      </c>
      <c r="AL69" s="977">
        <f t="shared" si="20"/>
        <v>108.85</v>
      </c>
      <c r="AM69" s="977">
        <f t="shared" si="21"/>
        <v>0</v>
      </c>
      <c r="AN69" s="634"/>
    </row>
    <row r="70" spans="1:40" s="629" customFormat="1" ht="20.100000000000001" customHeight="1">
      <c r="A70" s="771">
        <f t="shared" si="26"/>
        <v>27</v>
      </c>
      <c r="B70" s="980">
        <f>+NOMINA!C69</f>
        <v>10033119</v>
      </c>
      <c r="C70" s="981" t="str">
        <f>+NOMINA!D69</f>
        <v>Artigas de Hernandez Ana Maria</v>
      </c>
      <c r="D70" s="978" t="s">
        <v>4622</v>
      </c>
      <c r="E70" s="982">
        <v>32351</v>
      </c>
      <c r="F70" s="978" t="s">
        <v>4620</v>
      </c>
      <c r="G70" s="1004">
        <f>+NOMINA!H69</f>
        <v>43359</v>
      </c>
      <c r="H70" s="984">
        <f t="shared" si="22"/>
        <v>4</v>
      </c>
      <c r="I70" s="985">
        <v>0</v>
      </c>
      <c r="J70" s="999">
        <f>+NOMINA!BL69</f>
        <v>19.68</v>
      </c>
      <c r="K70" s="999">
        <f>+NOMINA!BM69</f>
        <v>2.46</v>
      </c>
      <c r="L70" s="999">
        <f>+NOMINA!BN69</f>
        <v>5.33</v>
      </c>
      <c r="M70" s="999">
        <f>++NOMINA!BO69</f>
        <v>0</v>
      </c>
      <c r="N70" s="999">
        <f>+NOMINA!BP69</f>
        <v>0</v>
      </c>
      <c r="O70" s="986">
        <f t="shared" si="23"/>
        <v>27.47</v>
      </c>
      <c r="P70" s="999">
        <f>+NOMINA!BR69</f>
        <v>44.27</v>
      </c>
      <c r="Q70" s="999">
        <f>+NOMINA!BS69</f>
        <v>9.84</v>
      </c>
      <c r="R70" s="999">
        <f>+NOMINA!BT69</f>
        <v>10.66</v>
      </c>
      <c r="S70" s="986">
        <f t="shared" si="24"/>
        <v>64.77</v>
      </c>
      <c r="T70" s="986">
        <f t="shared" si="25"/>
        <v>92.24</v>
      </c>
      <c r="U70" s="1005">
        <v>0</v>
      </c>
      <c r="V70" s="443" t="e">
        <f>#REF!+#REF!-O70</f>
        <v>#REF!</v>
      </c>
      <c r="W70" s="975" t="e">
        <f>ROUND((#REF!+#REF!+#REF!+#REF!+#REF!+#REF!+#REF!+#REF!+#REF!),2)</f>
        <v>#REF!</v>
      </c>
      <c r="AA70" s="976" t="e">
        <f>#REF!+#REF!-O70</f>
        <v>#REF!</v>
      </c>
      <c r="AB70" s="977" t="e">
        <f>#REF!</f>
        <v>#REF!</v>
      </c>
      <c r="AC70" s="976" t="e">
        <f>#REF!+#REF!</f>
        <v>#REF!</v>
      </c>
      <c r="AD70" s="977" t="e">
        <f>#REF!</f>
        <v>#REF!</v>
      </c>
      <c r="AE70" s="978">
        <v>0</v>
      </c>
      <c r="AF70" s="977" t="e">
        <f>#REF!</f>
        <v>#REF!</v>
      </c>
      <c r="AG70" s="979" t="e">
        <f>#REF!+#REF!</f>
        <v>#REF!</v>
      </c>
      <c r="AH70" s="979" t="e">
        <f>#REF!+#REF!</f>
        <v>#REF!</v>
      </c>
      <c r="AI70" s="979"/>
      <c r="AJ70" s="977" t="e">
        <f>#REF!</f>
        <v>#REF!</v>
      </c>
      <c r="AK70" s="977" t="e">
        <f t="shared" si="19"/>
        <v>#REF!</v>
      </c>
      <c r="AL70" s="977">
        <f t="shared" si="20"/>
        <v>92.24</v>
      </c>
      <c r="AM70" s="977">
        <f t="shared" si="21"/>
        <v>0</v>
      </c>
      <c r="AN70" s="634"/>
    </row>
    <row r="71" spans="1:40" s="629" customFormat="1" ht="20.100000000000001" customHeight="1">
      <c r="A71" s="771">
        <f t="shared" si="26"/>
        <v>28</v>
      </c>
      <c r="B71" s="980">
        <f>+NOMINA!C70</f>
        <v>10035540</v>
      </c>
      <c r="C71" s="981" t="str">
        <f>+NOMINA!D70</f>
        <v xml:space="preserve">Linares Linares Emma Teresa </v>
      </c>
      <c r="D71" s="978" t="s">
        <v>4622</v>
      </c>
      <c r="E71" s="982">
        <v>32351</v>
      </c>
      <c r="F71" s="978" t="s">
        <v>4620</v>
      </c>
      <c r="G71" s="1004">
        <f>+NOMINA!H70</f>
        <v>43236</v>
      </c>
      <c r="H71" s="984">
        <f t="shared" si="22"/>
        <v>4</v>
      </c>
      <c r="I71" s="985">
        <v>0</v>
      </c>
      <c r="J71" s="999">
        <f>+NOMINA!BL70</f>
        <v>16.829999999999998</v>
      </c>
      <c r="K71" s="999">
        <f>+NOMINA!BM70</f>
        <v>2.1</v>
      </c>
      <c r="L71" s="999">
        <f>+NOMINA!BN70</f>
        <v>4.5599999999999996</v>
      </c>
      <c r="M71" s="999">
        <f>++NOMINA!BO70</f>
        <v>0</v>
      </c>
      <c r="N71" s="999">
        <f>+NOMINA!BP70</f>
        <v>0</v>
      </c>
      <c r="O71" s="986">
        <f t="shared" si="23"/>
        <v>23.49</v>
      </c>
      <c r="P71" s="999">
        <f>+NOMINA!BR70</f>
        <v>37.869999999999997</v>
      </c>
      <c r="Q71" s="999">
        <f>+NOMINA!BS70</f>
        <v>8.42</v>
      </c>
      <c r="R71" s="999">
        <f>+NOMINA!BT70</f>
        <v>9.1199999999999992</v>
      </c>
      <c r="S71" s="986">
        <f t="shared" si="24"/>
        <v>55.41</v>
      </c>
      <c r="T71" s="986">
        <f t="shared" si="25"/>
        <v>78.899999999999991</v>
      </c>
      <c r="U71" s="1005">
        <v>0</v>
      </c>
      <c r="V71" s="443" t="e">
        <f>#REF!+#REF!-O71</f>
        <v>#REF!</v>
      </c>
      <c r="W71" s="975" t="e">
        <f>ROUND((#REF!+#REF!+#REF!+#REF!+#REF!+#REF!+#REF!+#REF!+#REF!),2)</f>
        <v>#REF!</v>
      </c>
      <c r="AA71" s="976" t="e">
        <f>#REF!+#REF!-O71</f>
        <v>#REF!</v>
      </c>
      <c r="AB71" s="977" t="e">
        <f>#REF!</f>
        <v>#REF!</v>
      </c>
      <c r="AC71" s="976" t="e">
        <f>#REF!+#REF!</f>
        <v>#REF!</v>
      </c>
      <c r="AD71" s="977" t="e">
        <f>#REF!</f>
        <v>#REF!</v>
      </c>
      <c r="AE71" s="978">
        <v>0</v>
      </c>
      <c r="AF71" s="977" t="e">
        <f>#REF!</f>
        <v>#REF!</v>
      </c>
      <c r="AG71" s="979" t="e">
        <f>#REF!+#REF!</f>
        <v>#REF!</v>
      </c>
      <c r="AH71" s="979" t="e">
        <f>#REF!+#REF!</f>
        <v>#REF!</v>
      </c>
      <c r="AI71" s="979"/>
      <c r="AJ71" s="977" t="e">
        <f>#REF!</f>
        <v>#REF!</v>
      </c>
      <c r="AK71" s="977" t="e">
        <f t="shared" si="19"/>
        <v>#REF!</v>
      </c>
      <c r="AL71" s="977">
        <f t="shared" si="20"/>
        <v>78.899999999999991</v>
      </c>
      <c r="AM71" s="977">
        <f t="shared" si="21"/>
        <v>0</v>
      </c>
      <c r="AN71" s="634"/>
    </row>
    <row r="72" spans="1:40" s="629" customFormat="1" ht="20.100000000000001" customHeight="1">
      <c r="A72" s="771">
        <f t="shared" si="26"/>
        <v>29</v>
      </c>
      <c r="B72" s="980">
        <f>+NOMINA!C71</f>
        <v>10037054</v>
      </c>
      <c r="C72" s="981" t="str">
        <f>+NOMINA!D71</f>
        <v>Aguial Carrillo Deris Margarita</v>
      </c>
      <c r="D72" s="978" t="s">
        <v>4622</v>
      </c>
      <c r="E72" s="982">
        <v>32351</v>
      </c>
      <c r="F72" s="978" t="s">
        <v>4620</v>
      </c>
      <c r="G72" s="1004">
        <f>+NOMINA!H71</f>
        <v>39820</v>
      </c>
      <c r="H72" s="984">
        <f t="shared" si="22"/>
        <v>13</v>
      </c>
      <c r="I72" s="985">
        <v>0</v>
      </c>
      <c r="J72" s="999">
        <f>+NOMINA!BL71</f>
        <v>16.34</v>
      </c>
      <c r="K72" s="999">
        <f>+NOMINA!BM71</f>
        <v>2.04</v>
      </c>
      <c r="L72" s="999">
        <f>+NOMINA!BN71</f>
        <v>4.43</v>
      </c>
      <c r="M72" s="999">
        <f>++NOMINA!BO71</f>
        <v>0</v>
      </c>
      <c r="N72" s="999">
        <f>+NOMINA!BP71</f>
        <v>0</v>
      </c>
      <c r="O72" s="986">
        <f t="shared" si="23"/>
        <v>22.81</v>
      </c>
      <c r="P72" s="999">
        <f>+NOMINA!BR71</f>
        <v>36.770000000000003</v>
      </c>
      <c r="Q72" s="999">
        <f>+NOMINA!BS71</f>
        <v>8.17</v>
      </c>
      <c r="R72" s="999">
        <f>+NOMINA!BT71</f>
        <v>8.86</v>
      </c>
      <c r="S72" s="986">
        <f t="shared" si="24"/>
        <v>53.8</v>
      </c>
      <c r="T72" s="986">
        <f t="shared" si="25"/>
        <v>76.61</v>
      </c>
      <c r="U72" s="1005">
        <v>0</v>
      </c>
      <c r="V72" s="443" t="e">
        <f>#REF!+#REF!-O72</f>
        <v>#REF!</v>
      </c>
      <c r="W72" s="975" t="e">
        <f>ROUND((#REF!+#REF!+#REF!+#REF!+#REF!+#REF!+#REF!+#REF!+#REF!),2)</f>
        <v>#REF!</v>
      </c>
      <c r="AA72" s="976" t="e">
        <f>#REF!+#REF!-O72</f>
        <v>#REF!</v>
      </c>
      <c r="AB72" s="977" t="e">
        <f>#REF!</f>
        <v>#REF!</v>
      </c>
      <c r="AC72" s="976" t="e">
        <f>#REF!+#REF!</f>
        <v>#REF!</v>
      </c>
      <c r="AD72" s="977" t="e">
        <f>#REF!</f>
        <v>#REF!</v>
      </c>
      <c r="AE72" s="978">
        <v>0</v>
      </c>
      <c r="AF72" s="977" t="e">
        <f>#REF!</f>
        <v>#REF!</v>
      </c>
      <c r="AG72" s="979" t="e">
        <f>#REF!+#REF!</f>
        <v>#REF!</v>
      </c>
      <c r="AH72" s="979" t="e">
        <f>#REF!+#REF!</f>
        <v>#REF!</v>
      </c>
      <c r="AI72" s="979"/>
      <c r="AJ72" s="977" t="e">
        <f>#REF!</f>
        <v>#REF!</v>
      </c>
      <c r="AK72" s="977" t="e">
        <f t="shared" si="19"/>
        <v>#REF!</v>
      </c>
      <c r="AL72" s="977">
        <f t="shared" si="20"/>
        <v>76.61</v>
      </c>
      <c r="AM72" s="977">
        <f t="shared" si="21"/>
        <v>0</v>
      </c>
      <c r="AN72" s="634"/>
    </row>
    <row r="73" spans="1:40" s="629" customFormat="1" ht="20.100000000000001" customHeight="1">
      <c r="A73" s="771">
        <f t="shared" si="26"/>
        <v>30</v>
      </c>
      <c r="B73" s="980">
        <f>+NOMINA!C72</f>
        <v>10175616</v>
      </c>
      <c r="C73" s="981" t="str">
        <f>+NOMINA!D72</f>
        <v>Carrillo Prato Blanca Isabel</v>
      </c>
      <c r="D73" s="978" t="s">
        <v>4622</v>
      </c>
      <c r="E73" s="982">
        <v>32351</v>
      </c>
      <c r="F73" s="978" t="s">
        <v>4620</v>
      </c>
      <c r="G73" s="1004">
        <f>+NOMINA!H72</f>
        <v>44228</v>
      </c>
      <c r="H73" s="984">
        <f t="shared" si="22"/>
        <v>1</v>
      </c>
      <c r="I73" s="985">
        <v>0</v>
      </c>
      <c r="J73" s="999">
        <f>+NOMINA!BL72</f>
        <v>21.42</v>
      </c>
      <c r="K73" s="999">
        <f>+NOMINA!BM72</f>
        <v>2.68</v>
      </c>
      <c r="L73" s="999">
        <f>+NOMINA!BN72</f>
        <v>5.8</v>
      </c>
      <c r="M73" s="999">
        <f>++NOMINA!BO72</f>
        <v>0</v>
      </c>
      <c r="N73" s="999">
        <f>+NOMINA!BP72</f>
        <v>0</v>
      </c>
      <c r="O73" s="986">
        <f t="shared" si="23"/>
        <v>29.9</v>
      </c>
      <c r="P73" s="999">
        <f>+NOMINA!BR72</f>
        <v>48.19</v>
      </c>
      <c r="Q73" s="999">
        <f>+NOMINA!BS72</f>
        <v>10.71</v>
      </c>
      <c r="R73" s="999">
        <f>+NOMINA!BT72</f>
        <v>11.6</v>
      </c>
      <c r="S73" s="986">
        <f t="shared" si="24"/>
        <v>70.5</v>
      </c>
      <c r="T73" s="986">
        <f t="shared" si="25"/>
        <v>100.4</v>
      </c>
      <c r="U73" s="1005">
        <v>0</v>
      </c>
      <c r="V73" s="443" t="e">
        <f>#REF!+#REF!-O73</f>
        <v>#REF!</v>
      </c>
      <c r="W73" s="975" t="e">
        <f>ROUND((#REF!+#REF!+#REF!+#REF!+#REF!+#REF!+#REF!+#REF!+#REF!),2)</f>
        <v>#REF!</v>
      </c>
      <c r="AA73" s="976" t="e">
        <f>#REF!+#REF!-O73</f>
        <v>#REF!</v>
      </c>
      <c r="AB73" s="977" t="e">
        <f>#REF!</f>
        <v>#REF!</v>
      </c>
      <c r="AC73" s="976" t="e">
        <f>#REF!+#REF!</f>
        <v>#REF!</v>
      </c>
      <c r="AD73" s="977" t="e">
        <f>#REF!</f>
        <v>#REF!</v>
      </c>
      <c r="AE73" s="978">
        <v>0</v>
      </c>
      <c r="AF73" s="977" t="e">
        <f>#REF!</f>
        <v>#REF!</v>
      </c>
      <c r="AG73" s="979" t="e">
        <f>#REF!+#REF!</f>
        <v>#REF!</v>
      </c>
      <c r="AH73" s="979" t="e">
        <f>#REF!+#REF!</f>
        <v>#REF!</v>
      </c>
      <c r="AI73" s="979"/>
      <c r="AJ73" s="977" t="e">
        <f>#REF!</f>
        <v>#REF!</v>
      </c>
      <c r="AK73" s="977" t="e">
        <f t="shared" si="19"/>
        <v>#REF!</v>
      </c>
      <c r="AL73" s="977">
        <f t="shared" si="20"/>
        <v>100.4</v>
      </c>
      <c r="AM73" s="977">
        <f t="shared" si="21"/>
        <v>0</v>
      </c>
      <c r="AN73" s="634"/>
    </row>
    <row r="74" spans="1:40" s="629" customFormat="1" ht="20.100000000000001" customHeight="1">
      <c r="A74" s="771">
        <f t="shared" si="26"/>
        <v>31</v>
      </c>
      <c r="B74" s="980">
        <f>+NOMINA!C73</f>
        <v>10257016</v>
      </c>
      <c r="C74" s="981" t="str">
        <f>+NOMINA!D73</f>
        <v>Torres Dulma Ramona</v>
      </c>
      <c r="D74" s="978" t="s">
        <v>4622</v>
      </c>
      <c r="E74" s="982">
        <v>32351</v>
      </c>
      <c r="F74" s="978" t="s">
        <v>4620</v>
      </c>
      <c r="G74" s="1004">
        <f>+NOMINA!H73</f>
        <v>35947</v>
      </c>
      <c r="H74" s="984">
        <f t="shared" si="22"/>
        <v>24</v>
      </c>
      <c r="I74" s="985">
        <v>0</v>
      </c>
      <c r="J74" s="999">
        <f>+NOMINA!BL73</f>
        <v>23.22</v>
      </c>
      <c r="K74" s="999">
        <f>+NOMINA!BM73</f>
        <v>2.9</v>
      </c>
      <c r="L74" s="999">
        <f>+NOMINA!BN73</f>
        <v>6.29</v>
      </c>
      <c r="M74" s="999">
        <f>++NOMINA!BO73</f>
        <v>0</v>
      </c>
      <c r="N74" s="999">
        <f>+NOMINA!BP73</f>
        <v>0</v>
      </c>
      <c r="O74" s="986">
        <f t="shared" si="23"/>
        <v>32.409999999999997</v>
      </c>
      <c r="P74" s="999">
        <f>+NOMINA!BR73</f>
        <v>52.25</v>
      </c>
      <c r="Q74" s="999">
        <f>+NOMINA!BS73</f>
        <v>11.61</v>
      </c>
      <c r="R74" s="999">
        <f>+NOMINA!BT73</f>
        <v>12.58</v>
      </c>
      <c r="S74" s="986">
        <f t="shared" si="24"/>
        <v>76.44</v>
      </c>
      <c r="T74" s="986">
        <f t="shared" si="25"/>
        <v>108.85</v>
      </c>
      <c r="U74" s="1005">
        <v>0</v>
      </c>
      <c r="V74" s="443" t="e">
        <f>#REF!+#REF!-O74</f>
        <v>#REF!</v>
      </c>
      <c r="W74" s="975" t="e">
        <f>ROUND((#REF!+#REF!+#REF!+#REF!+#REF!+#REF!+#REF!+#REF!+#REF!),2)</f>
        <v>#REF!</v>
      </c>
      <c r="AA74" s="976" t="e">
        <f>#REF!+#REF!-O74</f>
        <v>#REF!</v>
      </c>
      <c r="AB74" s="977" t="e">
        <f>#REF!</f>
        <v>#REF!</v>
      </c>
      <c r="AC74" s="976" t="e">
        <f>#REF!+#REF!</f>
        <v>#REF!</v>
      </c>
      <c r="AD74" s="977" t="e">
        <f>#REF!</f>
        <v>#REF!</v>
      </c>
      <c r="AE74" s="978">
        <v>0</v>
      </c>
      <c r="AF74" s="977" t="e">
        <f>#REF!</f>
        <v>#REF!</v>
      </c>
      <c r="AG74" s="979" t="e">
        <f>#REF!+#REF!</f>
        <v>#REF!</v>
      </c>
      <c r="AH74" s="979" t="e">
        <f>#REF!+#REF!</f>
        <v>#REF!</v>
      </c>
      <c r="AI74" s="979"/>
      <c r="AJ74" s="977" t="e">
        <f>#REF!</f>
        <v>#REF!</v>
      </c>
      <c r="AK74" s="977" t="e">
        <f t="shared" si="19"/>
        <v>#REF!</v>
      </c>
      <c r="AL74" s="977">
        <f t="shared" si="20"/>
        <v>108.85</v>
      </c>
      <c r="AM74" s="977">
        <f t="shared" si="21"/>
        <v>0</v>
      </c>
      <c r="AN74" s="634"/>
    </row>
    <row r="75" spans="1:40" s="629" customFormat="1" ht="20.100000000000001" customHeight="1">
      <c r="A75" s="771">
        <f t="shared" si="26"/>
        <v>32</v>
      </c>
      <c r="B75" s="980">
        <f>+NOMINA!C74</f>
        <v>10315803</v>
      </c>
      <c r="C75" s="981" t="str">
        <f>+NOMINA!D74</f>
        <v>Frias Jacson Daniel</v>
      </c>
      <c r="D75" s="978" t="s">
        <v>4622</v>
      </c>
      <c r="E75" s="982">
        <v>32351</v>
      </c>
      <c r="F75" s="978" t="s">
        <v>4620</v>
      </c>
      <c r="G75" s="1004">
        <f>+NOMINA!H74</f>
        <v>35415</v>
      </c>
      <c r="H75" s="984">
        <f t="shared" si="22"/>
        <v>26</v>
      </c>
      <c r="I75" s="985">
        <v>0</v>
      </c>
      <c r="J75" s="999">
        <f>+NOMINA!BL74</f>
        <v>17.28</v>
      </c>
      <c r="K75" s="999">
        <f>+NOMINA!BM74</f>
        <v>2.16</v>
      </c>
      <c r="L75" s="999">
        <f>+NOMINA!BN74</f>
        <v>4.68</v>
      </c>
      <c r="M75" s="999">
        <f>++NOMINA!BO74</f>
        <v>0</v>
      </c>
      <c r="N75" s="999">
        <f>+NOMINA!BP74</f>
        <v>0</v>
      </c>
      <c r="O75" s="986">
        <f t="shared" si="23"/>
        <v>24.12</v>
      </c>
      <c r="P75" s="999">
        <f>+NOMINA!BR74</f>
        <v>38.89</v>
      </c>
      <c r="Q75" s="999">
        <f>+NOMINA!BS74</f>
        <v>8.64</v>
      </c>
      <c r="R75" s="999">
        <f>+NOMINA!BT74</f>
        <v>9.36</v>
      </c>
      <c r="S75" s="986">
        <f t="shared" si="24"/>
        <v>56.89</v>
      </c>
      <c r="T75" s="986">
        <f t="shared" si="25"/>
        <v>81.010000000000005</v>
      </c>
      <c r="U75" s="1005">
        <v>0</v>
      </c>
      <c r="V75" s="443" t="e">
        <f>#REF!+#REF!-O75</f>
        <v>#REF!</v>
      </c>
      <c r="W75" s="975" t="e">
        <f>ROUND((#REF!+#REF!+#REF!+#REF!+#REF!+#REF!+#REF!+#REF!+#REF!),2)</f>
        <v>#REF!</v>
      </c>
      <c r="AA75" s="976" t="e">
        <f>#REF!+#REF!-O75</f>
        <v>#REF!</v>
      </c>
      <c r="AB75" s="977" t="e">
        <f>#REF!</f>
        <v>#REF!</v>
      </c>
      <c r="AC75" s="976" t="e">
        <f>#REF!+#REF!</f>
        <v>#REF!</v>
      </c>
      <c r="AD75" s="977" t="e">
        <f>#REF!</f>
        <v>#REF!</v>
      </c>
      <c r="AE75" s="978">
        <v>0</v>
      </c>
      <c r="AF75" s="977" t="e">
        <f>#REF!</f>
        <v>#REF!</v>
      </c>
      <c r="AG75" s="979" t="e">
        <f>#REF!+#REF!</f>
        <v>#REF!</v>
      </c>
      <c r="AH75" s="979" t="e">
        <f>#REF!+#REF!</f>
        <v>#REF!</v>
      </c>
      <c r="AI75" s="979"/>
      <c r="AJ75" s="977" t="e">
        <f>#REF!</f>
        <v>#REF!</v>
      </c>
      <c r="AK75" s="977" t="e">
        <f t="shared" si="19"/>
        <v>#REF!</v>
      </c>
      <c r="AL75" s="977">
        <f t="shared" si="20"/>
        <v>81.010000000000005</v>
      </c>
      <c r="AM75" s="977">
        <f t="shared" si="21"/>
        <v>0</v>
      </c>
      <c r="AN75" s="634"/>
    </row>
    <row r="76" spans="1:40" s="629" customFormat="1" ht="20.100000000000001" customHeight="1">
      <c r="A76" s="771">
        <f t="shared" si="26"/>
        <v>33</v>
      </c>
      <c r="B76" s="980">
        <f>+NOMINA!C75</f>
        <v>10319457</v>
      </c>
      <c r="C76" s="981" t="str">
        <f>+NOMINA!D75</f>
        <v>Marquez Marquez Maribel del Valle</v>
      </c>
      <c r="D76" s="978" t="s">
        <v>4622</v>
      </c>
      <c r="E76" s="982">
        <v>32351</v>
      </c>
      <c r="F76" s="978" t="s">
        <v>4620</v>
      </c>
      <c r="G76" s="1004">
        <f>+NOMINA!H75</f>
        <v>38831</v>
      </c>
      <c r="H76" s="984">
        <f t="shared" si="22"/>
        <v>16</v>
      </c>
      <c r="I76" s="985">
        <v>0</v>
      </c>
      <c r="J76" s="999">
        <f>+NOMINA!BL75</f>
        <v>13.29</v>
      </c>
      <c r="K76" s="999">
        <f>+NOMINA!BM75</f>
        <v>1.66</v>
      </c>
      <c r="L76" s="999">
        <f>+NOMINA!BN75</f>
        <v>3.6</v>
      </c>
      <c r="M76" s="999">
        <f>++NOMINA!BO75</f>
        <v>0</v>
      </c>
      <c r="N76" s="999">
        <f>+NOMINA!BP75</f>
        <v>0</v>
      </c>
      <c r="O76" s="986">
        <f t="shared" si="23"/>
        <v>18.55</v>
      </c>
      <c r="P76" s="999">
        <f>+NOMINA!BR75</f>
        <v>29.9</v>
      </c>
      <c r="Q76" s="999">
        <f>+NOMINA!BS75</f>
        <v>6.64</v>
      </c>
      <c r="R76" s="999">
        <f>+NOMINA!BT75</f>
        <v>7.2</v>
      </c>
      <c r="S76" s="986">
        <f t="shared" si="24"/>
        <v>43.74</v>
      </c>
      <c r="T76" s="986">
        <f t="shared" si="25"/>
        <v>62.290000000000006</v>
      </c>
      <c r="U76" s="1005">
        <v>0</v>
      </c>
      <c r="V76" s="443" t="e">
        <f>#REF!+#REF!-O76</f>
        <v>#REF!</v>
      </c>
      <c r="W76" s="975" t="e">
        <f>ROUND((#REF!+#REF!+#REF!+#REF!+#REF!+#REF!+#REF!+#REF!+#REF!),2)</f>
        <v>#REF!</v>
      </c>
      <c r="AA76" s="976" t="e">
        <f>#REF!+#REF!-O76</f>
        <v>#REF!</v>
      </c>
      <c r="AB76" s="977" t="e">
        <f>#REF!</f>
        <v>#REF!</v>
      </c>
      <c r="AC76" s="976" t="e">
        <f>#REF!+#REF!</f>
        <v>#REF!</v>
      </c>
      <c r="AD76" s="977" t="e">
        <f>#REF!</f>
        <v>#REF!</v>
      </c>
      <c r="AE76" s="978">
        <v>0</v>
      </c>
      <c r="AF76" s="977" t="e">
        <f>#REF!</f>
        <v>#REF!</v>
      </c>
      <c r="AG76" s="979" t="e">
        <f>#REF!+#REF!</f>
        <v>#REF!</v>
      </c>
      <c r="AH76" s="979" t="e">
        <f>#REF!+#REF!</f>
        <v>#REF!</v>
      </c>
      <c r="AI76" s="979"/>
      <c r="AJ76" s="977" t="e">
        <f>#REF!</f>
        <v>#REF!</v>
      </c>
      <c r="AK76" s="977" t="e">
        <f t="shared" si="19"/>
        <v>#REF!</v>
      </c>
      <c r="AL76" s="977">
        <f t="shared" si="20"/>
        <v>62.290000000000006</v>
      </c>
      <c r="AM76" s="977">
        <f t="shared" si="21"/>
        <v>0</v>
      </c>
      <c r="AN76" s="634"/>
    </row>
    <row r="77" spans="1:40" s="629" customFormat="1" ht="20.100000000000001" customHeight="1">
      <c r="A77" s="771">
        <f t="shared" si="26"/>
        <v>34</v>
      </c>
      <c r="B77" s="980">
        <f>+NOMINA!C76</f>
        <v>10396379</v>
      </c>
      <c r="C77" s="981" t="str">
        <f>+NOMINA!D76</f>
        <v>Ruiz Luis Alfonzo</v>
      </c>
      <c r="D77" s="978" t="s">
        <v>4622</v>
      </c>
      <c r="E77" s="982">
        <v>32351</v>
      </c>
      <c r="F77" s="978" t="s">
        <v>4620</v>
      </c>
      <c r="G77" s="1004">
        <f>+NOMINA!H76</f>
        <v>44743</v>
      </c>
      <c r="H77" s="984">
        <f t="shared" si="22"/>
        <v>0</v>
      </c>
      <c r="I77" s="985">
        <v>0</v>
      </c>
      <c r="J77" s="999">
        <f>+NOMINA!BL76</f>
        <v>9.6999999999999993</v>
      </c>
      <c r="K77" s="999">
        <f>+NOMINA!BM76</f>
        <v>1.21</v>
      </c>
      <c r="L77" s="999">
        <f>+NOMINA!BN76</f>
        <v>2.63</v>
      </c>
      <c r="M77" s="999">
        <f>++NOMINA!BO76</f>
        <v>0</v>
      </c>
      <c r="N77" s="999">
        <f>+NOMINA!BP76</f>
        <v>0</v>
      </c>
      <c r="O77" s="986">
        <f t="shared" si="23"/>
        <v>13.54</v>
      </c>
      <c r="P77" s="999">
        <f>+NOMINA!BR76</f>
        <v>21.82</v>
      </c>
      <c r="Q77" s="999">
        <f>+NOMINA!BS76</f>
        <v>4.8499999999999996</v>
      </c>
      <c r="R77" s="999">
        <f>+NOMINA!BT76</f>
        <v>5.26</v>
      </c>
      <c r="S77" s="986">
        <f t="shared" si="24"/>
        <v>31.93</v>
      </c>
      <c r="T77" s="986">
        <f t="shared" si="25"/>
        <v>45.47</v>
      </c>
      <c r="U77" s="1005">
        <v>0</v>
      </c>
      <c r="V77" s="443" t="e">
        <f>#REF!+#REF!-O77</f>
        <v>#REF!</v>
      </c>
      <c r="W77" s="975" t="e">
        <f>ROUND((#REF!+#REF!+#REF!+#REF!+#REF!+#REF!+#REF!+#REF!+#REF!),2)</f>
        <v>#REF!</v>
      </c>
      <c r="AA77" s="976" t="e">
        <f>#REF!+#REF!-O77</f>
        <v>#REF!</v>
      </c>
      <c r="AB77" s="977" t="e">
        <f>#REF!</f>
        <v>#REF!</v>
      </c>
      <c r="AC77" s="976" t="e">
        <f>#REF!+#REF!</f>
        <v>#REF!</v>
      </c>
      <c r="AD77" s="977" t="e">
        <f>#REF!</f>
        <v>#REF!</v>
      </c>
      <c r="AE77" s="978">
        <v>0</v>
      </c>
      <c r="AF77" s="977" t="e">
        <f>#REF!</f>
        <v>#REF!</v>
      </c>
      <c r="AG77" s="979" t="e">
        <f>#REF!+#REF!</f>
        <v>#REF!</v>
      </c>
      <c r="AH77" s="979" t="e">
        <f>#REF!+#REF!</f>
        <v>#REF!</v>
      </c>
      <c r="AI77" s="979"/>
      <c r="AJ77" s="977" t="e">
        <f>#REF!</f>
        <v>#REF!</v>
      </c>
      <c r="AK77" s="977" t="e">
        <f t="shared" si="19"/>
        <v>#REF!</v>
      </c>
      <c r="AL77" s="977">
        <f t="shared" si="20"/>
        <v>45.47</v>
      </c>
      <c r="AM77" s="977">
        <f t="shared" si="21"/>
        <v>0</v>
      </c>
      <c r="AN77" s="634"/>
    </row>
    <row r="78" spans="1:40" s="629" customFormat="1" ht="20.100000000000001" customHeight="1">
      <c r="A78" s="771">
        <f t="shared" si="26"/>
        <v>35</v>
      </c>
      <c r="B78" s="980">
        <f>+NOMINA!C77</f>
        <v>10398694</v>
      </c>
      <c r="C78" s="981" t="str">
        <f>+NOMINA!D77</f>
        <v>Santana Briceño Jose Gregorio</v>
      </c>
      <c r="D78" s="978" t="s">
        <v>4622</v>
      </c>
      <c r="E78" s="982">
        <v>32351</v>
      </c>
      <c r="F78" s="978" t="s">
        <v>4620</v>
      </c>
      <c r="G78" s="1004">
        <f>+NOMINA!H77</f>
        <v>44743</v>
      </c>
      <c r="H78" s="984">
        <f t="shared" si="22"/>
        <v>0</v>
      </c>
      <c r="I78" s="985">
        <v>0</v>
      </c>
      <c r="J78" s="999">
        <f>+NOMINA!BL77</f>
        <v>24.56</v>
      </c>
      <c r="K78" s="999">
        <f>+NOMINA!BM77</f>
        <v>3.07</v>
      </c>
      <c r="L78" s="999">
        <f>+NOMINA!BN77</f>
        <v>6.65</v>
      </c>
      <c r="M78" s="999">
        <f>++NOMINA!BO77</f>
        <v>0</v>
      </c>
      <c r="N78" s="999">
        <f>+NOMINA!BP77</f>
        <v>0</v>
      </c>
      <c r="O78" s="986">
        <f t="shared" si="23"/>
        <v>34.28</v>
      </c>
      <c r="P78" s="999">
        <f>+NOMINA!BR77</f>
        <v>55.26</v>
      </c>
      <c r="Q78" s="999">
        <f>+NOMINA!BS77</f>
        <v>12.28</v>
      </c>
      <c r="R78" s="999">
        <f>+NOMINA!BT77</f>
        <v>13.3</v>
      </c>
      <c r="S78" s="986">
        <f t="shared" si="24"/>
        <v>80.84</v>
      </c>
      <c r="T78" s="986">
        <f t="shared" si="25"/>
        <v>115.12</v>
      </c>
      <c r="U78" s="1005">
        <v>0</v>
      </c>
      <c r="V78" s="443" t="e">
        <f>#REF!+#REF!-O78</f>
        <v>#REF!</v>
      </c>
      <c r="W78" s="975" t="e">
        <f>ROUND((#REF!+#REF!+#REF!+#REF!+#REF!+#REF!+#REF!+#REF!+#REF!),2)</f>
        <v>#REF!</v>
      </c>
      <c r="AA78" s="976" t="e">
        <f>#REF!+#REF!-O78</f>
        <v>#REF!</v>
      </c>
      <c r="AB78" s="977" t="e">
        <f>#REF!</f>
        <v>#REF!</v>
      </c>
      <c r="AC78" s="976" t="e">
        <f>#REF!+#REF!</f>
        <v>#REF!</v>
      </c>
      <c r="AD78" s="977" t="e">
        <f>#REF!</f>
        <v>#REF!</v>
      </c>
      <c r="AE78" s="978">
        <v>0</v>
      </c>
      <c r="AF78" s="977" t="e">
        <f>#REF!</f>
        <v>#REF!</v>
      </c>
      <c r="AG78" s="979" t="e">
        <f>#REF!+#REF!</f>
        <v>#REF!</v>
      </c>
      <c r="AH78" s="979" t="e">
        <f>#REF!+#REF!</f>
        <v>#REF!</v>
      </c>
      <c r="AI78" s="979"/>
      <c r="AJ78" s="977" t="e">
        <f>#REF!</f>
        <v>#REF!</v>
      </c>
      <c r="AK78" s="977" t="e">
        <f t="shared" si="19"/>
        <v>#REF!</v>
      </c>
      <c r="AL78" s="977">
        <f t="shared" si="20"/>
        <v>115.12</v>
      </c>
      <c r="AM78" s="977">
        <f t="shared" si="21"/>
        <v>0</v>
      </c>
      <c r="AN78" s="634"/>
    </row>
    <row r="79" spans="1:40" s="629" customFormat="1" ht="20.100000000000001" customHeight="1">
      <c r="A79" s="771">
        <f t="shared" si="26"/>
        <v>36</v>
      </c>
      <c r="B79" s="980">
        <f>+NOMINA!C78</f>
        <v>10399064</v>
      </c>
      <c r="C79" s="981" t="str">
        <f>+NOMINA!D78</f>
        <v>Perdomo Perdomo Angela Aurora</v>
      </c>
      <c r="D79" s="978" t="s">
        <v>4622</v>
      </c>
      <c r="E79" s="982">
        <v>32351</v>
      </c>
      <c r="F79" s="978" t="s">
        <v>4620</v>
      </c>
      <c r="G79" s="1004">
        <f>+NOMINA!H78</f>
        <v>39328</v>
      </c>
      <c r="H79" s="984">
        <f t="shared" si="22"/>
        <v>15</v>
      </c>
      <c r="I79" s="985">
        <v>0</v>
      </c>
      <c r="J79" s="999">
        <f>+NOMINA!BL78</f>
        <v>23.27</v>
      </c>
      <c r="K79" s="999">
        <f>+NOMINA!BM78</f>
        <v>2.91</v>
      </c>
      <c r="L79" s="999">
        <f>+NOMINA!BN78</f>
        <v>6.3</v>
      </c>
      <c r="M79" s="999">
        <f>++NOMINA!BO78</f>
        <v>0</v>
      </c>
      <c r="N79" s="999">
        <f>+NOMINA!BP78</f>
        <v>0</v>
      </c>
      <c r="O79" s="986">
        <f t="shared" si="23"/>
        <v>32.479999999999997</v>
      </c>
      <c r="P79" s="999">
        <f>+NOMINA!BR78</f>
        <v>52.35</v>
      </c>
      <c r="Q79" s="999">
        <f>+NOMINA!BS78</f>
        <v>11.63</v>
      </c>
      <c r="R79" s="999">
        <f>+NOMINA!BT78</f>
        <v>12.6</v>
      </c>
      <c r="S79" s="986">
        <f t="shared" si="24"/>
        <v>76.58</v>
      </c>
      <c r="T79" s="986">
        <f t="shared" si="25"/>
        <v>109.06</v>
      </c>
      <c r="U79" s="1005">
        <v>0</v>
      </c>
      <c r="V79" s="443" t="e">
        <f>#REF!+#REF!-O79</f>
        <v>#REF!</v>
      </c>
      <c r="W79" s="975" t="e">
        <f>ROUND((#REF!+#REF!+#REF!+#REF!+#REF!+#REF!+#REF!+#REF!+#REF!),2)</f>
        <v>#REF!</v>
      </c>
      <c r="AA79" s="976" t="e">
        <f>#REF!+#REF!-O79</f>
        <v>#REF!</v>
      </c>
      <c r="AB79" s="977" t="e">
        <f>#REF!</f>
        <v>#REF!</v>
      </c>
      <c r="AC79" s="976" t="e">
        <f>#REF!+#REF!</f>
        <v>#REF!</v>
      </c>
      <c r="AD79" s="977" t="e">
        <f>#REF!</f>
        <v>#REF!</v>
      </c>
      <c r="AE79" s="978">
        <v>0</v>
      </c>
      <c r="AF79" s="977" t="e">
        <f>#REF!</f>
        <v>#REF!</v>
      </c>
      <c r="AG79" s="979" t="e">
        <f>#REF!+#REF!</f>
        <v>#REF!</v>
      </c>
      <c r="AH79" s="979" t="e">
        <f>#REF!+#REF!</f>
        <v>#REF!</v>
      </c>
      <c r="AI79" s="979"/>
      <c r="AJ79" s="977" t="e">
        <f>#REF!</f>
        <v>#REF!</v>
      </c>
      <c r="AK79" s="977" t="e">
        <f t="shared" si="19"/>
        <v>#REF!</v>
      </c>
      <c r="AL79" s="977">
        <f t="shared" si="20"/>
        <v>109.06</v>
      </c>
      <c r="AM79" s="977">
        <f t="shared" si="21"/>
        <v>0</v>
      </c>
      <c r="AN79" s="634"/>
    </row>
    <row r="80" spans="1:40" s="629" customFormat="1" ht="20.100000000000001" customHeight="1">
      <c r="A80" s="771">
        <f t="shared" si="26"/>
        <v>37</v>
      </c>
      <c r="B80" s="980">
        <f>+NOMINA!C79</f>
        <v>10400214</v>
      </c>
      <c r="C80" s="981" t="str">
        <f>+NOMINA!D79</f>
        <v>Bastidas Yanitza Del Valle</v>
      </c>
      <c r="D80" s="978" t="s">
        <v>4622</v>
      </c>
      <c r="E80" s="982">
        <v>32351</v>
      </c>
      <c r="F80" s="978" t="s">
        <v>4620</v>
      </c>
      <c r="G80" s="1004">
        <f>+NOMINA!H79</f>
        <v>41153</v>
      </c>
      <c r="H80" s="984">
        <f t="shared" si="22"/>
        <v>10</v>
      </c>
      <c r="I80" s="985">
        <v>0</v>
      </c>
      <c r="J80" s="999">
        <f>+NOMINA!BL79</f>
        <v>22.24</v>
      </c>
      <c r="K80" s="999">
        <f>+NOMINA!BM79</f>
        <v>2.78</v>
      </c>
      <c r="L80" s="999">
        <f>+NOMINA!BN79</f>
        <v>6.02</v>
      </c>
      <c r="M80" s="999">
        <f>++NOMINA!BO79</f>
        <v>0</v>
      </c>
      <c r="N80" s="999">
        <f>+NOMINA!BP79</f>
        <v>0</v>
      </c>
      <c r="O80" s="986">
        <f t="shared" si="23"/>
        <v>31.04</v>
      </c>
      <c r="P80" s="999">
        <f>+NOMINA!BR79</f>
        <v>50.03</v>
      </c>
      <c r="Q80" s="999">
        <f>+NOMINA!BS79</f>
        <v>11.12</v>
      </c>
      <c r="R80" s="999">
        <f>+NOMINA!BT79</f>
        <v>12.04</v>
      </c>
      <c r="S80" s="986">
        <f t="shared" si="24"/>
        <v>73.19</v>
      </c>
      <c r="T80" s="986">
        <f t="shared" si="25"/>
        <v>104.22999999999999</v>
      </c>
      <c r="U80" s="1005">
        <v>0</v>
      </c>
      <c r="V80" s="443" t="e">
        <f>#REF!+#REF!-O80</f>
        <v>#REF!</v>
      </c>
      <c r="W80" s="975" t="e">
        <f>ROUND((#REF!+#REF!+#REF!+#REF!+#REF!+#REF!+#REF!+#REF!+#REF!),2)</f>
        <v>#REF!</v>
      </c>
      <c r="AA80" s="976" t="e">
        <f>#REF!+#REF!-O80</f>
        <v>#REF!</v>
      </c>
      <c r="AB80" s="977" t="e">
        <f>#REF!</f>
        <v>#REF!</v>
      </c>
      <c r="AC80" s="976" t="e">
        <f>#REF!+#REF!</f>
        <v>#REF!</v>
      </c>
      <c r="AD80" s="977" t="e">
        <f>#REF!</f>
        <v>#REF!</v>
      </c>
      <c r="AE80" s="978">
        <v>0</v>
      </c>
      <c r="AF80" s="977" t="e">
        <f>#REF!</f>
        <v>#REF!</v>
      </c>
      <c r="AG80" s="979" t="e">
        <f>#REF!+#REF!</f>
        <v>#REF!</v>
      </c>
      <c r="AH80" s="979" t="e">
        <f>#REF!+#REF!</f>
        <v>#REF!</v>
      </c>
      <c r="AI80" s="979"/>
      <c r="AJ80" s="977" t="e">
        <f>#REF!</f>
        <v>#REF!</v>
      </c>
      <c r="AK80" s="977" t="e">
        <f t="shared" si="19"/>
        <v>#REF!</v>
      </c>
      <c r="AL80" s="977">
        <f t="shared" si="20"/>
        <v>104.22999999999999</v>
      </c>
      <c r="AM80" s="977">
        <f t="shared" si="21"/>
        <v>0</v>
      </c>
      <c r="AN80" s="634"/>
    </row>
    <row r="81" spans="1:40" s="629" customFormat="1" ht="20.100000000000001" customHeight="1">
      <c r="A81" s="771">
        <f t="shared" si="26"/>
        <v>38</v>
      </c>
      <c r="B81" s="980">
        <f>+NOMINA!C80</f>
        <v>10400365</v>
      </c>
      <c r="C81" s="981" t="str">
        <f>+NOMINA!D80</f>
        <v>Briceño Ruiz Sara Josefina</v>
      </c>
      <c r="D81" s="978" t="s">
        <v>4622</v>
      </c>
      <c r="E81" s="982">
        <v>32351</v>
      </c>
      <c r="F81" s="978" t="s">
        <v>4620</v>
      </c>
      <c r="G81" s="1004">
        <f>+NOMINA!H80</f>
        <v>39328</v>
      </c>
      <c r="H81" s="984">
        <f t="shared" si="22"/>
        <v>15</v>
      </c>
      <c r="I81" s="985">
        <v>0</v>
      </c>
      <c r="J81" s="999">
        <f>+NOMINA!BL80</f>
        <v>17.899999999999999</v>
      </c>
      <c r="K81" s="999">
        <f>+NOMINA!BM80</f>
        <v>2.2400000000000002</v>
      </c>
      <c r="L81" s="999">
        <f>+NOMINA!BN80</f>
        <v>4.8499999999999996</v>
      </c>
      <c r="M81" s="999">
        <f>++NOMINA!BO80</f>
        <v>0</v>
      </c>
      <c r="N81" s="999">
        <f>+NOMINA!BP80</f>
        <v>0</v>
      </c>
      <c r="O81" s="986">
        <f t="shared" si="23"/>
        <v>24.99</v>
      </c>
      <c r="P81" s="999">
        <f>+NOMINA!BR80</f>
        <v>40.270000000000003</v>
      </c>
      <c r="Q81" s="999">
        <f>+NOMINA!BS80</f>
        <v>8.9499999999999993</v>
      </c>
      <c r="R81" s="999">
        <f>+NOMINA!BT80</f>
        <v>9.6999999999999993</v>
      </c>
      <c r="S81" s="986">
        <f t="shared" si="24"/>
        <v>58.92</v>
      </c>
      <c r="T81" s="986">
        <f t="shared" si="25"/>
        <v>83.91</v>
      </c>
      <c r="U81" s="1005">
        <v>0</v>
      </c>
      <c r="V81" s="443" t="e">
        <f>#REF!+#REF!-O81</f>
        <v>#REF!</v>
      </c>
      <c r="W81" s="975" t="e">
        <f>ROUND((#REF!+#REF!+#REF!+#REF!+#REF!+#REF!+#REF!+#REF!+#REF!),2)</f>
        <v>#REF!</v>
      </c>
      <c r="AA81" s="976" t="e">
        <f>#REF!+#REF!-O81</f>
        <v>#REF!</v>
      </c>
      <c r="AB81" s="977" t="e">
        <f>#REF!</f>
        <v>#REF!</v>
      </c>
      <c r="AC81" s="976" t="e">
        <f>#REF!+#REF!</f>
        <v>#REF!</v>
      </c>
      <c r="AD81" s="977" t="e">
        <f>#REF!</f>
        <v>#REF!</v>
      </c>
      <c r="AE81" s="978">
        <v>0</v>
      </c>
      <c r="AF81" s="977" t="e">
        <f>#REF!</f>
        <v>#REF!</v>
      </c>
      <c r="AG81" s="979" t="e">
        <f>#REF!+#REF!</f>
        <v>#REF!</v>
      </c>
      <c r="AH81" s="979" t="e">
        <f>#REF!+#REF!</f>
        <v>#REF!</v>
      </c>
      <c r="AI81" s="979"/>
      <c r="AJ81" s="977" t="e">
        <f>#REF!</f>
        <v>#REF!</v>
      </c>
      <c r="AK81" s="977" t="e">
        <f t="shared" si="19"/>
        <v>#REF!</v>
      </c>
      <c r="AL81" s="977">
        <f t="shared" si="20"/>
        <v>83.91</v>
      </c>
      <c r="AM81" s="977">
        <f t="shared" si="21"/>
        <v>0</v>
      </c>
      <c r="AN81" s="634"/>
    </row>
    <row r="82" spans="1:40" s="629" customFormat="1" ht="20.100000000000001" customHeight="1">
      <c r="A82" s="771">
        <f t="shared" si="26"/>
        <v>39</v>
      </c>
      <c r="B82" s="980">
        <f>+NOMINA!C81</f>
        <v>10400876</v>
      </c>
      <c r="C82" s="981" t="str">
        <f>+NOMINA!D81</f>
        <v>Ramirez Vergara Graciela De Jesus</v>
      </c>
      <c r="D82" s="978" t="s">
        <v>4622</v>
      </c>
      <c r="E82" s="982">
        <v>32351</v>
      </c>
      <c r="F82" s="978" t="s">
        <v>4620</v>
      </c>
      <c r="G82" s="1004">
        <f>+NOMINA!H81</f>
        <v>43556</v>
      </c>
      <c r="H82" s="984">
        <f t="shared" si="22"/>
        <v>3</v>
      </c>
      <c r="I82" s="985">
        <v>0</v>
      </c>
      <c r="J82" s="999">
        <f>+NOMINA!BL81</f>
        <v>17.579999999999998</v>
      </c>
      <c r="K82" s="999">
        <f>+NOMINA!BM81</f>
        <v>2.2000000000000002</v>
      </c>
      <c r="L82" s="999">
        <f>+NOMINA!BN81</f>
        <v>4.76</v>
      </c>
      <c r="M82" s="999">
        <f>++NOMINA!BO81</f>
        <v>0</v>
      </c>
      <c r="N82" s="999">
        <f>+NOMINA!BP81</f>
        <v>0</v>
      </c>
      <c r="O82" s="986">
        <f t="shared" si="23"/>
        <v>24.54</v>
      </c>
      <c r="P82" s="999">
        <f>+NOMINA!BR81</f>
        <v>39.549999999999997</v>
      </c>
      <c r="Q82" s="999">
        <f>+NOMINA!BS81</f>
        <v>8.7899999999999991</v>
      </c>
      <c r="R82" s="999">
        <f>+NOMINA!BT81</f>
        <v>9.52</v>
      </c>
      <c r="S82" s="986">
        <f t="shared" si="24"/>
        <v>57.86</v>
      </c>
      <c r="T82" s="986">
        <f t="shared" si="25"/>
        <v>82.4</v>
      </c>
      <c r="U82" s="1005">
        <v>0</v>
      </c>
      <c r="V82" s="443" t="e">
        <f>#REF!+#REF!-O82</f>
        <v>#REF!</v>
      </c>
      <c r="W82" s="975" t="e">
        <f>ROUND((#REF!+#REF!+#REF!+#REF!+#REF!+#REF!+#REF!+#REF!+#REF!),2)</f>
        <v>#REF!</v>
      </c>
      <c r="AA82" s="976" t="e">
        <f>#REF!+#REF!-O82</f>
        <v>#REF!</v>
      </c>
      <c r="AB82" s="977" t="e">
        <f>#REF!</f>
        <v>#REF!</v>
      </c>
      <c r="AC82" s="976" t="e">
        <f>#REF!+#REF!</f>
        <v>#REF!</v>
      </c>
      <c r="AD82" s="977" t="e">
        <f>#REF!</f>
        <v>#REF!</v>
      </c>
      <c r="AE82" s="978">
        <v>0</v>
      </c>
      <c r="AF82" s="977" t="e">
        <f>#REF!</f>
        <v>#REF!</v>
      </c>
      <c r="AG82" s="979" t="e">
        <f>#REF!+#REF!</f>
        <v>#REF!</v>
      </c>
      <c r="AH82" s="979" t="e">
        <f>#REF!+#REF!</f>
        <v>#REF!</v>
      </c>
      <c r="AI82" s="979"/>
      <c r="AJ82" s="977" t="e">
        <f>#REF!</f>
        <v>#REF!</v>
      </c>
      <c r="AK82" s="977" t="e">
        <f t="shared" si="19"/>
        <v>#REF!</v>
      </c>
      <c r="AL82" s="977">
        <f t="shared" si="20"/>
        <v>82.4</v>
      </c>
      <c r="AM82" s="977">
        <f t="shared" si="21"/>
        <v>0</v>
      </c>
      <c r="AN82" s="634"/>
    </row>
    <row r="83" spans="1:40" s="629" customFormat="1" ht="20.100000000000001" customHeight="1">
      <c r="A83" s="771">
        <f t="shared" si="26"/>
        <v>40</v>
      </c>
      <c r="B83" s="980">
        <f>+NOMINA!C82</f>
        <v>10404528</v>
      </c>
      <c r="C83" s="981" t="str">
        <f>+NOMINA!D82</f>
        <v>Perez Castellano Javier Horacio</v>
      </c>
      <c r="D83" s="978" t="s">
        <v>4622</v>
      </c>
      <c r="E83" s="982">
        <v>32351</v>
      </c>
      <c r="F83" s="978" t="s">
        <v>4620</v>
      </c>
      <c r="G83" s="1004">
        <f>+NOMINA!H82</f>
        <v>37622</v>
      </c>
      <c r="H83" s="984">
        <f t="shared" si="22"/>
        <v>19</v>
      </c>
      <c r="I83" s="985">
        <v>0</v>
      </c>
      <c r="J83" s="999">
        <f>+NOMINA!BL82</f>
        <v>0</v>
      </c>
      <c r="K83" s="999">
        <f>+NOMINA!BM82</f>
        <v>0</v>
      </c>
      <c r="L83" s="999">
        <f>+NOMINA!BN82</f>
        <v>0</v>
      </c>
      <c r="M83" s="999">
        <f>++NOMINA!BO82</f>
        <v>0</v>
      </c>
      <c r="N83" s="999">
        <f>+NOMINA!BP82</f>
        <v>0</v>
      </c>
      <c r="O83" s="986">
        <f t="shared" si="23"/>
        <v>0</v>
      </c>
      <c r="P83" s="999">
        <f>+NOMINA!BR82</f>
        <v>0</v>
      </c>
      <c r="Q83" s="999">
        <f>+NOMINA!BS82</f>
        <v>0</v>
      </c>
      <c r="R83" s="999">
        <f>+NOMINA!BT82</f>
        <v>0</v>
      </c>
      <c r="S83" s="986">
        <f t="shared" si="24"/>
        <v>0</v>
      </c>
      <c r="T83" s="986">
        <f t="shared" si="25"/>
        <v>0</v>
      </c>
      <c r="U83" s="1005">
        <v>0</v>
      </c>
      <c r="V83" s="443" t="e">
        <f>#REF!+#REF!-O83</f>
        <v>#REF!</v>
      </c>
      <c r="W83" s="975" t="e">
        <f>ROUND((#REF!+#REF!+#REF!+#REF!+#REF!+#REF!+#REF!+#REF!+#REF!),2)</f>
        <v>#REF!</v>
      </c>
      <c r="AA83" s="976" t="e">
        <f>#REF!+#REF!-O83</f>
        <v>#REF!</v>
      </c>
      <c r="AB83" s="977" t="e">
        <f>#REF!</f>
        <v>#REF!</v>
      </c>
      <c r="AC83" s="976" t="e">
        <f>#REF!+#REF!</f>
        <v>#REF!</v>
      </c>
      <c r="AD83" s="977" t="e">
        <f>#REF!</f>
        <v>#REF!</v>
      </c>
      <c r="AE83" s="978">
        <v>0</v>
      </c>
      <c r="AF83" s="977" t="e">
        <f>#REF!</f>
        <v>#REF!</v>
      </c>
      <c r="AG83" s="979" t="e">
        <f>#REF!+#REF!</f>
        <v>#REF!</v>
      </c>
      <c r="AH83" s="979" t="e">
        <f>#REF!+#REF!</f>
        <v>#REF!</v>
      </c>
      <c r="AI83" s="979"/>
      <c r="AJ83" s="977" t="e">
        <f>#REF!</f>
        <v>#REF!</v>
      </c>
      <c r="AK83" s="977" t="e">
        <f t="shared" si="19"/>
        <v>#REF!</v>
      </c>
      <c r="AL83" s="977">
        <f t="shared" si="20"/>
        <v>0</v>
      </c>
      <c r="AM83" s="977">
        <f t="shared" si="21"/>
        <v>0</v>
      </c>
      <c r="AN83" s="634"/>
    </row>
    <row r="84" spans="1:40" s="629" customFormat="1" ht="20.100000000000001" customHeight="1">
      <c r="A84" s="771">
        <f t="shared" si="26"/>
        <v>41</v>
      </c>
      <c r="B84" s="980">
        <f>+NOMINA!C83</f>
        <v>10906110</v>
      </c>
      <c r="C84" s="981" t="str">
        <f>+NOMINA!D83</f>
        <v>Linares Prato Yraima Gregoria</v>
      </c>
      <c r="D84" s="978" t="s">
        <v>4622</v>
      </c>
      <c r="E84" s="982">
        <v>32351</v>
      </c>
      <c r="F84" s="978" t="s">
        <v>4620</v>
      </c>
      <c r="G84" s="1004">
        <f>+NOMINA!H83</f>
        <v>45292</v>
      </c>
      <c r="H84" s="984">
        <f t="shared" si="22"/>
        <v>0</v>
      </c>
      <c r="I84" s="985">
        <v>0</v>
      </c>
      <c r="J84" s="999">
        <f>+NOMINA!BL83</f>
        <v>12.54</v>
      </c>
      <c r="K84" s="999">
        <f>+NOMINA!BM83</f>
        <v>1.57</v>
      </c>
      <c r="L84" s="999">
        <f>+NOMINA!BN83</f>
        <v>3.4</v>
      </c>
      <c r="M84" s="999">
        <f>++NOMINA!BO83</f>
        <v>0</v>
      </c>
      <c r="N84" s="999">
        <f>+NOMINA!BP83</f>
        <v>0</v>
      </c>
      <c r="O84" s="986">
        <f t="shared" si="23"/>
        <v>17.510000000000002</v>
      </c>
      <c r="P84" s="999">
        <f>+NOMINA!BR83</f>
        <v>28.22</v>
      </c>
      <c r="Q84" s="999">
        <f>+NOMINA!BS83</f>
        <v>6.27</v>
      </c>
      <c r="R84" s="999">
        <f>+NOMINA!BT83</f>
        <v>6.8</v>
      </c>
      <c r="S84" s="986">
        <f t="shared" si="24"/>
        <v>41.29</v>
      </c>
      <c r="T84" s="986">
        <f t="shared" si="25"/>
        <v>58.8</v>
      </c>
      <c r="U84" s="1005">
        <v>0</v>
      </c>
      <c r="V84" s="443" t="e">
        <f>#REF!+#REF!-O84</f>
        <v>#REF!</v>
      </c>
      <c r="W84" s="975" t="e">
        <f>ROUND((#REF!+#REF!+#REF!+#REF!+#REF!+#REF!+#REF!+#REF!+#REF!),2)</f>
        <v>#REF!</v>
      </c>
      <c r="AA84" s="976" t="e">
        <f>#REF!+#REF!-O84</f>
        <v>#REF!</v>
      </c>
      <c r="AB84" s="977" t="e">
        <f>#REF!</f>
        <v>#REF!</v>
      </c>
      <c r="AC84" s="976" t="e">
        <f>#REF!+#REF!</f>
        <v>#REF!</v>
      </c>
      <c r="AD84" s="977" t="e">
        <f>#REF!</f>
        <v>#REF!</v>
      </c>
      <c r="AE84" s="978">
        <v>0</v>
      </c>
      <c r="AF84" s="977" t="e">
        <f>#REF!</f>
        <v>#REF!</v>
      </c>
      <c r="AG84" s="979" t="e">
        <f>#REF!+#REF!</f>
        <v>#REF!</v>
      </c>
      <c r="AH84" s="979" t="e">
        <f>#REF!+#REF!</f>
        <v>#REF!</v>
      </c>
      <c r="AI84" s="979"/>
      <c r="AJ84" s="977" t="e">
        <f>#REF!</f>
        <v>#REF!</v>
      </c>
      <c r="AK84" s="977" t="e">
        <f t="shared" si="19"/>
        <v>#REF!</v>
      </c>
      <c r="AL84" s="977">
        <f t="shared" si="20"/>
        <v>58.8</v>
      </c>
      <c r="AM84" s="977">
        <f t="shared" si="21"/>
        <v>0</v>
      </c>
      <c r="AN84" s="634"/>
    </row>
    <row r="85" spans="1:40" s="629" customFormat="1" ht="20.100000000000001" customHeight="1">
      <c r="A85" s="771">
        <f t="shared" si="26"/>
        <v>42</v>
      </c>
      <c r="B85" s="980">
        <f>+NOMINA!C84</f>
        <v>10906923</v>
      </c>
      <c r="C85" s="981" t="str">
        <f>+NOMINA!D84</f>
        <v>Cruz de Rodriguez Yanet Coromoto</v>
      </c>
      <c r="D85" s="978" t="s">
        <v>4622</v>
      </c>
      <c r="E85" s="982">
        <v>32351</v>
      </c>
      <c r="F85" s="978" t="s">
        <v>4620</v>
      </c>
      <c r="G85" s="1004">
        <f>+NOMINA!H84</f>
        <v>44636</v>
      </c>
      <c r="H85" s="984">
        <f t="shared" si="22"/>
        <v>0</v>
      </c>
      <c r="I85" s="985">
        <v>0</v>
      </c>
      <c r="J85" s="999">
        <f>+NOMINA!BL84</f>
        <v>14.99</v>
      </c>
      <c r="K85" s="999">
        <f>+NOMINA!BM84</f>
        <v>1.87</v>
      </c>
      <c r="L85" s="999">
        <f>+NOMINA!BN84</f>
        <v>4.0599999999999996</v>
      </c>
      <c r="M85" s="999">
        <f>++NOMINA!BO84</f>
        <v>0</v>
      </c>
      <c r="N85" s="999">
        <f>+NOMINA!BP84</f>
        <v>0</v>
      </c>
      <c r="O85" s="986">
        <f t="shared" si="23"/>
        <v>20.92</v>
      </c>
      <c r="P85" s="999">
        <f>+NOMINA!BR84</f>
        <v>33.729999999999997</v>
      </c>
      <c r="Q85" s="999">
        <f>+NOMINA!BS84</f>
        <v>7.5</v>
      </c>
      <c r="R85" s="999">
        <f>+NOMINA!BT84</f>
        <v>8.1199999999999992</v>
      </c>
      <c r="S85" s="986">
        <f t="shared" si="24"/>
        <v>49.35</v>
      </c>
      <c r="T85" s="986">
        <f t="shared" si="25"/>
        <v>70.27000000000001</v>
      </c>
      <c r="U85" s="1005">
        <v>0</v>
      </c>
      <c r="V85" s="443" t="e">
        <f>#REF!+#REF!-O85</f>
        <v>#REF!</v>
      </c>
      <c r="W85" s="975" t="e">
        <f>ROUND((#REF!+#REF!+#REF!+#REF!+#REF!+#REF!+#REF!+#REF!+#REF!),2)</f>
        <v>#REF!</v>
      </c>
      <c r="AA85" s="976" t="e">
        <f>#REF!+#REF!-O85</f>
        <v>#REF!</v>
      </c>
      <c r="AB85" s="977" t="e">
        <f>#REF!</f>
        <v>#REF!</v>
      </c>
      <c r="AC85" s="976" t="e">
        <f>#REF!+#REF!</f>
        <v>#REF!</v>
      </c>
      <c r="AD85" s="977" t="e">
        <f>#REF!</f>
        <v>#REF!</v>
      </c>
      <c r="AE85" s="978">
        <v>0</v>
      </c>
      <c r="AF85" s="977" t="e">
        <f>#REF!</f>
        <v>#REF!</v>
      </c>
      <c r="AG85" s="979" t="e">
        <f>#REF!+#REF!</f>
        <v>#REF!</v>
      </c>
      <c r="AH85" s="979" t="e">
        <f>#REF!+#REF!</f>
        <v>#REF!</v>
      </c>
      <c r="AI85" s="979"/>
      <c r="AJ85" s="977" t="e">
        <f>#REF!</f>
        <v>#REF!</v>
      </c>
      <c r="AK85" s="977" t="e">
        <f t="shared" si="19"/>
        <v>#REF!</v>
      </c>
      <c r="AL85" s="977">
        <f t="shared" si="20"/>
        <v>70.27000000000001</v>
      </c>
      <c r="AM85" s="977">
        <f t="shared" si="21"/>
        <v>0</v>
      </c>
      <c r="AN85" s="634"/>
    </row>
    <row r="86" spans="1:40" s="629" customFormat="1" ht="20.100000000000001" customHeight="1">
      <c r="A86" s="771">
        <f t="shared" si="26"/>
        <v>43</v>
      </c>
      <c r="B86" s="980">
        <f>+NOMINA!C85</f>
        <v>10908510</v>
      </c>
      <c r="C86" s="981" t="str">
        <f>+NOMINA!D85</f>
        <v>Castro de Vielma Yanira Rosa</v>
      </c>
      <c r="D86" s="978" t="s">
        <v>4622</v>
      </c>
      <c r="E86" s="982">
        <v>32351</v>
      </c>
      <c r="F86" s="978" t="s">
        <v>4620</v>
      </c>
      <c r="G86" s="1004">
        <f>+NOMINA!H85</f>
        <v>39874</v>
      </c>
      <c r="H86" s="984">
        <f t="shared" si="22"/>
        <v>13</v>
      </c>
      <c r="I86" s="985">
        <v>0</v>
      </c>
      <c r="J86" s="999">
        <f>+NOMINA!BL85</f>
        <v>22.93</v>
      </c>
      <c r="K86" s="999">
        <f>+NOMINA!BM85</f>
        <v>2.87</v>
      </c>
      <c r="L86" s="999">
        <f>+NOMINA!BN85</f>
        <v>6.21</v>
      </c>
      <c r="M86" s="999">
        <f>++NOMINA!BO85</f>
        <v>0</v>
      </c>
      <c r="N86" s="999">
        <f>+NOMINA!BP85</f>
        <v>0</v>
      </c>
      <c r="O86" s="986">
        <f t="shared" si="23"/>
        <v>32.01</v>
      </c>
      <c r="P86" s="999">
        <f>+NOMINA!BR85</f>
        <v>51.59</v>
      </c>
      <c r="Q86" s="999">
        <f>+NOMINA!BS85</f>
        <v>11.46</v>
      </c>
      <c r="R86" s="999">
        <f>+NOMINA!BT85</f>
        <v>12.42</v>
      </c>
      <c r="S86" s="986">
        <f t="shared" si="24"/>
        <v>75.47</v>
      </c>
      <c r="T86" s="986">
        <f t="shared" si="25"/>
        <v>107.47999999999999</v>
      </c>
      <c r="U86" s="1005">
        <v>0</v>
      </c>
      <c r="V86" s="443" t="e">
        <f>#REF!+#REF!-O86</f>
        <v>#REF!</v>
      </c>
      <c r="W86" s="975" t="e">
        <f>ROUND((#REF!+#REF!+#REF!+#REF!+#REF!+#REF!+#REF!+#REF!+#REF!),2)</f>
        <v>#REF!</v>
      </c>
      <c r="AA86" s="976" t="e">
        <f>#REF!+#REF!-O86</f>
        <v>#REF!</v>
      </c>
      <c r="AB86" s="977" t="e">
        <f>#REF!</f>
        <v>#REF!</v>
      </c>
      <c r="AC86" s="976" t="e">
        <f>#REF!+#REF!</f>
        <v>#REF!</v>
      </c>
      <c r="AD86" s="977" t="e">
        <f>#REF!</f>
        <v>#REF!</v>
      </c>
      <c r="AE86" s="978">
        <v>0</v>
      </c>
      <c r="AF86" s="977" t="e">
        <f>#REF!</f>
        <v>#REF!</v>
      </c>
      <c r="AG86" s="979" t="e">
        <f>#REF!+#REF!</f>
        <v>#REF!</v>
      </c>
      <c r="AH86" s="979" t="e">
        <f>#REF!+#REF!</f>
        <v>#REF!</v>
      </c>
      <c r="AI86" s="979"/>
      <c r="AJ86" s="977" t="e">
        <f>#REF!</f>
        <v>#REF!</v>
      </c>
      <c r="AK86" s="977" t="e">
        <f t="shared" si="19"/>
        <v>#REF!</v>
      </c>
      <c r="AL86" s="977">
        <f t="shared" si="20"/>
        <v>107.47999999999999</v>
      </c>
      <c r="AM86" s="977">
        <f t="shared" si="21"/>
        <v>0</v>
      </c>
      <c r="AN86" s="634"/>
    </row>
    <row r="87" spans="1:40" s="629" customFormat="1" ht="20.100000000000001" customHeight="1">
      <c r="A87" s="771">
        <f t="shared" si="26"/>
        <v>44</v>
      </c>
      <c r="B87" s="980">
        <f>+NOMINA!C86</f>
        <v>10909245</v>
      </c>
      <c r="C87" s="981" t="str">
        <f>+NOMINA!D86</f>
        <v>Delduca Moreno Luisa</v>
      </c>
      <c r="D87" s="978" t="s">
        <v>4622</v>
      </c>
      <c r="E87" s="982">
        <v>32351</v>
      </c>
      <c r="F87" s="978" t="s">
        <v>4620</v>
      </c>
      <c r="G87" s="1004">
        <f>+NOMINA!H86</f>
        <v>36054</v>
      </c>
      <c r="H87" s="984">
        <f t="shared" si="22"/>
        <v>24</v>
      </c>
      <c r="I87" s="985">
        <v>0</v>
      </c>
      <c r="J87" s="999">
        <f>+NOMINA!BL86</f>
        <v>24.56</v>
      </c>
      <c r="K87" s="999">
        <f>+NOMINA!BM86</f>
        <v>3.07</v>
      </c>
      <c r="L87" s="999">
        <f>+NOMINA!BN86</f>
        <v>6.65</v>
      </c>
      <c r="M87" s="999">
        <f>++NOMINA!BO86</f>
        <v>0</v>
      </c>
      <c r="N87" s="999">
        <f>+NOMINA!BP86</f>
        <v>0</v>
      </c>
      <c r="O87" s="986">
        <f t="shared" si="23"/>
        <v>34.28</v>
      </c>
      <c r="P87" s="999">
        <f>+NOMINA!BR86</f>
        <v>55.26</v>
      </c>
      <c r="Q87" s="999">
        <f>+NOMINA!BS86</f>
        <v>12.28</v>
      </c>
      <c r="R87" s="999">
        <f>+NOMINA!BT86</f>
        <v>13.3</v>
      </c>
      <c r="S87" s="986">
        <f t="shared" si="24"/>
        <v>80.84</v>
      </c>
      <c r="T87" s="986">
        <f t="shared" si="25"/>
        <v>115.12</v>
      </c>
      <c r="U87" s="1005">
        <v>0</v>
      </c>
      <c r="V87" s="443" t="e">
        <f>#REF!+#REF!-O87</f>
        <v>#REF!</v>
      </c>
      <c r="W87" s="975" t="e">
        <f>ROUND((#REF!+#REF!+#REF!+#REF!+#REF!+#REF!+#REF!+#REF!+#REF!),2)</f>
        <v>#REF!</v>
      </c>
      <c r="AA87" s="976" t="e">
        <f>#REF!+#REF!-O87</f>
        <v>#REF!</v>
      </c>
      <c r="AB87" s="977" t="e">
        <f>#REF!</f>
        <v>#REF!</v>
      </c>
      <c r="AC87" s="976" t="e">
        <f>#REF!+#REF!</f>
        <v>#REF!</v>
      </c>
      <c r="AD87" s="977" t="e">
        <f>#REF!</f>
        <v>#REF!</v>
      </c>
      <c r="AE87" s="978">
        <v>0</v>
      </c>
      <c r="AF87" s="977" t="e">
        <f>#REF!</f>
        <v>#REF!</v>
      </c>
      <c r="AG87" s="979" t="e">
        <f>#REF!+#REF!</f>
        <v>#REF!</v>
      </c>
      <c r="AH87" s="979" t="e">
        <f>#REF!+#REF!</f>
        <v>#REF!</v>
      </c>
      <c r="AI87" s="979"/>
      <c r="AJ87" s="977" t="e">
        <f>#REF!</f>
        <v>#REF!</v>
      </c>
      <c r="AK87" s="977" t="e">
        <f t="shared" si="19"/>
        <v>#REF!</v>
      </c>
      <c r="AL87" s="977">
        <f t="shared" si="20"/>
        <v>115.12</v>
      </c>
      <c r="AM87" s="977">
        <f t="shared" si="21"/>
        <v>0</v>
      </c>
      <c r="AN87" s="634"/>
    </row>
    <row r="88" spans="1:40" s="629" customFormat="1" ht="20.100000000000001" customHeight="1">
      <c r="A88" s="771">
        <f t="shared" si="26"/>
        <v>45</v>
      </c>
      <c r="B88" s="980">
        <f>+NOMINA!C87</f>
        <v>10910698</v>
      </c>
      <c r="C88" s="981" t="str">
        <f>+NOMINA!D87</f>
        <v>Rangel Briceño Marcial Segundo</v>
      </c>
      <c r="D88" s="978" t="s">
        <v>4622</v>
      </c>
      <c r="E88" s="982">
        <v>32351</v>
      </c>
      <c r="F88" s="978" t="s">
        <v>4620</v>
      </c>
      <c r="G88" s="1004">
        <f>+NOMINA!H87</f>
        <v>43891</v>
      </c>
      <c r="H88" s="984">
        <f t="shared" si="22"/>
        <v>2</v>
      </c>
      <c r="I88" s="985">
        <v>0</v>
      </c>
      <c r="J88" s="999">
        <f>+NOMINA!BL87</f>
        <v>10.56</v>
      </c>
      <c r="K88" s="999">
        <f>+NOMINA!BM87</f>
        <v>1.32</v>
      </c>
      <c r="L88" s="999">
        <f>+NOMINA!BN87</f>
        <v>2.86</v>
      </c>
      <c r="M88" s="999">
        <f>++NOMINA!BO87</f>
        <v>0</v>
      </c>
      <c r="N88" s="999">
        <f>+NOMINA!BP87</f>
        <v>0</v>
      </c>
      <c r="O88" s="986">
        <f t="shared" si="23"/>
        <v>14.74</v>
      </c>
      <c r="P88" s="999">
        <f>+NOMINA!BR87</f>
        <v>23.76</v>
      </c>
      <c r="Q88" s="999">
        <f>+NOMINA!BS87</f>
        <v>5.28</v>
      </c>
      <c r="R88" s="999">
        <f>+NOMINA!BT87</f>
        <v>5.72</v>
      </c>
      <c r="S88" s="986">
        <f t="shared" si="24"/>
        <v>34.76</v>
      </c>
      <c r="T88" s="986">
        <f t="shared" si="25"/>
        <v>49.5</v>
      </c>
      <c r="U88" s="1005">
        <v>0</v>
      </c>
      <c r="V88" s="443" t="e">
        <f>#REF!+#REF!-O88</f>
        <v>#REF!</v>
      </c>
      <c r="W88" s="975" t="e">
        <f>ROUND((#REF!+#REF!+#REF!+#REF!+#REF!+#REF!+#REF!+#REF!+#REF!),2)</f>
        <v>#REF!</v>
      </c>
      <c r="AA88" s="976" t="e">
        <f>#REF!+#REF!-O88</f>
        <v>#REF!</v>
      </c>
      <c r="AB88" s="977" t="e">
        <f>#REF!</f>
        <v>#REF!</v>
      </c>
      <c r="AC88" s="976" t="e">
        <f>#REF!+#REF!</f>
        <v>#REF!</v>
      </c>
      <c r="AD88" s="977" t="e">
        <f>#REF!</f>
        <v>#REF!</v>
      </c>
      <c r="AE88" s="978">
        <v>0</v>
      </c>
      <c r="AF88" s="977" t="e">
        <f>#REF!</f>
        <v>#REF!</v>
      </c>
      <c r="AG88" s="979" t="e">
        <f>#REF!+#REF!</f>
        <v>#REF!</v>
      </c>
      <c r="AH88" s="979" t="e">
        <f>#REF!+#REF!</f>
        <v>#REF!</v>
      </c>
      <c r="AI88" s="979"/>
      <c r="AJ88" s="977" t="e">
        <f>#REF!</f>
        <v>#REF!</v>
      </c>
      <c r="AK88" s="977" t="e">
        <f t="shared" si="19"/>
        <v>#REF!</v>
      </c>
      <c r="AL88" s="977">
        <f t="shared" si="20"/>
        <v>49.5</v>
      </c>
      <c r="AM88" s="977">
        <f t="shared" si="21"/>
        <v>0</v>
      </c>
      <c r="AN88" s="634"/>
    </row>
    <row r="89" spans="1:40" s="629" customFormat="1" ht="20.100000000000001" customHeight="1">
      <c r="A89" s="771">
        <f t="shared" si="26"/>
        <v>46</v>
      </c>
      <c r="B89" s="980">
        <f>+NOMINA!C88</f>
        <v>10912595</v>
      </c>
      <c r="C89" s="981" t="str">
        <f>+NOMINA!D88</f>
        <v>Delfin Bustos Jose Hercilio</v>
      </c>
      <c r="D89" s="978" t="s">
        <v>4622</v>
      </c>
      <c r="E89" s="982">
        <v>32351</v>
      </c>
      <c r="F89" s="978" t="s">
        <v>4620</v>
      </c>
      <c r="G89" s="1004">
        <f>+NOMINA!H88</f>
        <v>36039</v>
      </c>
      <c r="H89" s="984">
        <f t="shared" si="22"/>
        <v>24</v>
      </c>
      <c r="I89" s="985">
        <v>0</v>
      </c>
      <c r="J89" s="999">
        <f>+NOMINA!BL88</f>
        <v>0</v>
      </c>
      <c r="K89" s="999">
        <f>+NOMINA!BM88</f>
        <v>0</v>
      </c>
      <c r="L89" s="999">
        <f>+NOMINA!BN88</f>
        <v>0</v>
      </c>
      <c r="M89" s="999">
        <f>++NOMINA!BO88</f>
        <v>0</v>
      </c>
      <c r="N89" s="999">
        <f>+NOMINA!BP88</f>
        <v>0</v>
      </c>
      <c r="O89" s="986">
        <f t="shared" si="23"/>
        <v>0</v>
      </c>
      <c r="P89" s="999">
        <f>+NOMINA!BR88</f>
        <v>0</v>
      </c>
      <c r="Q89" s="999">
        <f>+NOMINA!BS88</f>
        <v>0</v>
      </c>
      <c r="R89" s="999">
        <f>+NOMINA!BT88</f>
        <v>0</v>
      </c>
      <c r="S89" s="986">
        <f t="shared" si="24"/>
        <v>0</v>
      </c>
      <c r="T89" s="986">
        <f t="shared" si="25"/>
        <v>0</v>
      </c>
      <c r="U89" s="1005">
        <v>0</v>
      </c>
      <c r="V89" s="443" t="e">
        <f>#REF!+#REF!-O89</f>
        <v>#REF!</v>
      </c>
      <c r="W89" s="975" t="e">
        <f>ROUND((#REF!+#REF!+#REF!+#REF!+#REF!+#REF!+#REF!+#REF!+#REF!),2)</f>
        <v>#REF!</v>
      </c>
      <c r="AA89" s="976" t="e">
        <f>#REF!+#REF!-O89</f>
        <v>#REF!</v>
      </c>
      <c r="AB89" s="977" t="e">
        <f>#REF!</f>
        <v>#REF!</v>
      </c>
      <c r="AC89" s="976" t="e">
        <f>#REF!+#REF!</f>
        <v>#REF!</v>
      </c>
      <c r="AD89" s="977" t="e">
        <f>#REF!</f>
        <v>#REF!</v>
      </c>
      <c r="AE89" s="978">
        <v>0</v>
      </c>
      <c r="AF89" s="977" t="e">
        <f>#REF!</f>
        <v>#REF!</v>
      </c>
      <c r="AG89" s="979" t="e">
        <f>#REF!+#REF!</f>
        <v>#REF!</v>
      </c>
      <c r="AH89" s="979" t="e">
        <f>#REF!+#REF!</f>
        <v>#REF!</v>
      </c>
      <c r="AI89" s="979"/>
      <c r="AJ89" s="977" t="e">
        <f>#REF!</f>
        <v>#REF!</v>
      </c>
      <c r="AK89" s="977" t="e">
        <f t="shared" si="19"/>
        <v>#REF!</v>
      </c>
      <c r="AL89" s="977">
        <f t="shared" si="20"/>
        <v>0</v>
      </c>
      <c r="AM89" s="977">
        <f t="shared" si="21"/>
        <v>0</v>
      </c>
      <c r="AN89" s="634"/>
    </row>
    <row r="90" spans="1:40" s="629" customFormat="1" ht="20.100000000000001" customHeight="1">
      <c r="A90" s="771">
        <f t="shared" si="26"/>
        <v>47</v>
      </c>
      <c r="B90" s="980">
        <f>+NOMINA!C89</f>
        <v>10913178</v>
      </c>
      <c r="C90" s="981" t="str">
        <f>+NOMINA!D89</f>
        <v>Garcia Moreno Iris Josefina</v>
      </c>
      <c r="D90" s="978" t="s">
        <v>4622</v>
      </c>
      <c r="E90" s="982">
        <v>32351</v>
      </c>
      <c r="F90" s="978" t="s">
        <v>4620</v>
      </c>
      <c r="G90" s="1004">
        <f>+NOMINA!H89</f>
        <v>44805</v>
      </c>
      <c r="H90" s="984">
        <f t="shared" si="22"/>
        <v>0</v>
      </c>
      <c r="I90" s="985">
        <v>0</v>
      </c>
      <c r="J90" s="999">
        <f>+NOMINA!BL89</f>
        <v>11.94</v>
      </c>
      <c r="K90" s="999">
        <f>+NOMINA!BM89</f>
        <v>1.49</v>
      </c>
      <c r="L90" s="999">
        <f>+NOMINA!BN89</f>
        <v>3.23</v>
      </c>
      <c r="M90" s="999">
        <f>++NOMINA!BO89</f>
        <v>0</v>
      </c>
      <c r="N90" s="999">
        <f>+NOMINA!BP89</f>
        <v>0</v>
      </c>
      <c r="O90" s="986">
        <f t="shared" si="23"/>
        <v>16.66</v>
      </c>
      <c r="P90" s="999">
        <f>+NOMINA!BR89</f>
        <v>26.86</v>
      </c>
      <c r="Q90" s="999">
        <f>+NOMINA!BS89</f>
        <v>5.97</v>
      </c>
      <c r="R90" s="999">
        <f>+NOMINA!BT89</f>
        <v>6.46</v>
      </c>
      <c r="S90" s="986">
        <f t="shared" si="24"/>
        <v>39.29</v>
      </c>
      <c r="T90" s="986">
        <f t="shared" si="25"/>
        <v>55.95</v>
      </c>
      <c r="U90" s="1005">
        <v>0</v>
      </c>
      <c r="V90" s="443" t="e">
        <f>#REF!+#REF!-O90</f>
        <v>#REF!</v>
      </c>
      <c r="W90" s="975" t="e">
        <f>ROUND((#REF!+#REF!+#REF!+#REF!+#REF!+#REF!+#REF!+#REF!+#REF!),2)</f>
        <v>#REF!</v>
      </c>
      <c r="AA90" s="976" t="e">
        <f>#REF!+#REF!-O90</f>
        <v>#REF!</v>
      </c>
      <c r="AB90" s="977" t="e">
        <f>#REF!</f>
        <v>#REF!</v>
      </c>
      <c r="AC90" s="976" t="e">
        <f>#REF!+#REF!</f>
        <v>#REF!</v>
      </c>
      <c r="AD90" s="977" t="e">
        <f>#REF!</f>
        <v>#REF!</v>
      </c>
      <c r="AE90" s="978">
        <v>0</v>
      </c>
      <c r="AF90" s="977" t="e">
        <f>#REF!</f>
        <v>#REF!</v>
      </c>
      <c r="AG90" s="979" t="e">
        <f>#REF!+#REF!</f>
        <v>#REF!</v>
      </c>
      <c r="AH90" s="979" t="e">
        <f>#REF!+#REF!</f>
        <v>#REF!</v>
      </c>
      <c r="AI90" s="979"/>
      <c r="AJ90" s="977" t="e">
        <f>#REF!</f>
        <v>#REF!</v>
      </c>
      <c r="AK90" s="977" t="e">
        <f t="shared" si="19"/>
        <v>#REF!</v>
      </c>
      <c r="AL90" s="977">
        <f t="shared" si="20"/>
        <v>55.95</v>
      </c>
      <c r="AM90" s="977">
        <f t="shared" si="21"/>
        <v>0</v>
      </c>
      <c r="AN90" s="634"/>
    </row>
    <row r="91" spans="1:40" s="629" customFormat="1" ht="20.100000000000001" customHeight="1">
      <c r="A91" s="771">
        <f t="shared" si="26"/>
        <v>48</v>
      </c>
      <c r="B91" s="980">
        <f>+NOMINA!C90</f>
        <v>10913637</v>
      </c>
      <c r="C91" s="981" t="str">
        <f>+NOMINA!D90</f>
        <v>Angarita Hernandez Ana Del Carmen</v>
      </c>
      <c r="D91" s="978" t="s">
        <v>4622</v>
      </c>
      <c r="E91" s="982">
        <v>32351</v>
      </c>
      <c r="F91" s="978" t="s">
        <v>4620</v>
      </c>
      <c r="G91" s="1004">
        <f>+NOMINA!H90</f>
        <v>40664</v>
      </c>
      <c r="H91" s="984">
        <f t="shared" si="22"/>
        <v>11</v>
      </c>
      <c r="I91" s="985">
        <v>0</v>
      </c>
      <c r="J91" s="999">
        <f>+NOMINA!BL90</f>
        <v>27.36</v>
      </c>
      <c r="K91" s="999">
        <f>+NOMINA!BM90</f>
        <v>3.42</v>
      </c>
      <c r="L91" s="999">
        <f>+NOMINA!BN90</f>
        <v>7.41</v>
      </c>
      <c r="M91" s="999">
        <f>++NOMINA!BO90</f>
        <v>0</v>
      </c>
      <c r="N91" s="999">
        <f>+NOMINA!BP90</f>
        <v>0</v>
      </c>
      <c r="O91" s="986">
        <f t="shared" si="23"/>
        <v>38.19</v>
      </c>
      <c r="P91" s="999">
        <f>+NOMINA!BR90</f>
        <v>61.56</v>
      </c>
      <c r="Q91" s="999">
        <f>+NOMINA!BS90</f>
        <v>13.68</v>
      </c>
      <c r="R91" s="999">
        <f>+NOMINA!BT90</f>
        <v>14.82</v>
      </c>
      <c r="S91" s="986">
        <f t="shared" si="24"/>
        <v>90.06</v>
      </c>
      <c r="T91" s="986">
        <f t="shared" si="25"/>
        <v>128.25</v>
      </c>
      <c r="U91" s="1005">
        <v>0</v>
      </c>
      <c r="V91" s="443" t="e">
        <f>#REF!+#REF!-O91</f>
        <v>#REF!</v>
      </c>
      <c r="W91" s="975" t="e">
        <f>ROUND((#REF!+#REF!+#REF!+#REF!+#REF!+#REF!+#REF!+#REF!+#REF!),2)</f>
        <v>#REF!</v>
      </c>
      <c r="AA91" s="976" t="e">
        <f>#REF!+#REF!-O91</f>
        <v>#REF!</v>
      </c>
      <c r="AB91" s="977" t="e">
        <f>#REF!</f>
        <v>#REF!</v>
      </c>
      <c r="AC91" s="976" t="e">
        <f>#REF!+#REF!</f>
        <v>#REF!</v>
      </c>
      <c r="AD91" s="977" t="e">
        <f>#REF!</f>
        <v>#REF!</v>
      </c>
      <c r="AE91" s="978">
        <v>0</v>
      </c>
      <c r="AF91" s="977" t="e">
        <f>#REF!</f>
        <v>#REF!</v>
      </c>
      <c r="AG91" s="979" t="e">
        <f>#REF!+#REF!</f>
        <v>#REF!</v>
      </c>
      <c r="AH91" s="979" t="e">
        <f>#REF!+#REF!</f>
        <v>#REF!</v>
      </c>
      <c r="AI91" s="979"/>
      <c r="AJ91" s="977" t="e">
        <f>#REF!</f>
        <v>#REF!</v>
      </c>
      <c r="AK91" s="977" t="e">
        <f t="shared" si="19"/>
        <v>#REF!</v>
      </c>
      <c r="AL91" s="977">
        <f t="shared" si="20"/>
        <v>128.25</v>
      </c>
      <c r="AM91" s="977">
        <f t="shared" si="21"/>
        <v>0</v>
      </c>
      <c r="AN91" s="634"/>
    </row>
    <row r="92" spans="1:40" s="629" customFormat="1" ht="20.100000000000001" customHeight="1">
      <c r="A92" s="771">
        <f t="shared" si="26"/>
        <v>49</v>
      </c>
      <c r="B92" s="980">
        <f>+NOMINA!C91</f>
        <v>10915223</v>
      </c>
      <c r="C92" s="981" t="str">
        <f>+NOMINA!D91</f>
        <v>Contreras Rojo Gerardo Alexander</v>
      </c>
      <c r="D92" s="978" t="s">
        <v>4622</v>
      </c>
      <c r="E92" s="982">
        <v>32351</v>
      </c>
      <c r="F92" s="978" t="s">
        <v>4620</v>
      </c>
      <c r="G92" s="1004">
        <f>+NOMINA!H91</f>
        <v>35339</v>
      </c>
      <c r="H92" s="984">
        <f t="shared" si="22"/>
        <v>26</v>
      </c>
      <c r="I92" s="985">
        <v>0</v>
      </c>
      <c r="J92" s="999">
        <f>+NOMINA!BL91</f>
        <v>26.96</v>
      </c>
      <c r="K92" s="999">
        <f>+NOMINA!BM91</f>
        <v>3.37</v>
      </c>
      <c r="L92" s="999">
        <f>+NOMINA!BN91</f>
        <v>7.3</v>
      </c>
      <c r="M92" s="999">
        <f>++NOMINA!BO91</f>
        <v>0</v>
      </c>
      <c r="N92" s="999">
        <f>+NOMINA!BP91</f>
        <v>0</v>
      </c>
      <c r="O92" s="986">
        <f t="shared" si="23"/>
        <v>37.630000000000003</v>
      </c>
      <c r="P92" s="999">
        <f>+NOMINA!BR91</f>
        <v>60.65</v>
      </c>
      <c r="Q92" s="999">
        <f>+NOMINA!BS91</f>
        <v>13.48</v>
      </c>
      <c r="R92" s="999">
        <f>+NOMINA!BT91</f>
        <v>14.6</v>
      </c>
      <c r="S92" s="986">
        <f t="shared" si="24"/>
        <v>88.73</v>
      </c>
      <c r="T92" s="986">
        <f t="shared" si="25"/>
        <v>126.36000000000001</v>
      </c>
      <c r="U92" s="1005">
        <v>0</v>
      </c>
      <c r="V92" s="443" t="e">
        <f>#REF!+#REF!-O92</f>
        <v>#REF!</v>
      </c>
      <c r="W92" s="975" t="e">
        <f>ROUND((#REF!+#REF!+#REF!+#REF!+#REF!+#REF!+#REF!+#REF!+#REF!),2)</f>
        <v>#REF!</v>
      </c>
      <c r="AA92" s="976" t="e">
        <f>#REF!+#REF!-O92</f>
        <v>#REF!</v>
      </c>
      <c r="AB92" s="977" t="e">
        <f>#REF!</f>
        <v>#REF!</v>
      </c>
      <c r="AC92" s="976" t="e">
        <f>#REF!+#REF!</f>
        <v>#REF!</v>
      </c>
      <c r="AD92" s="977" t="e">
        <f>#REF!</f>
        <v>#REF!</v>
      </c>
      <c r="AE92" s="978">
        <v>0</v>
      </c>
      <c r="AF92" s="977" t="e">
        <f>#REF!</f>
        <v>#REF!</v>
      </c>
      <c r="AG92" s="979" t="e">
        <f>#REF!+#REF!</f>
        <v>#REF!</v>
      </c>
      <c r="AH92" s="979" t="e">
        <f>#REF!+#REF!</f>
        <v>#REF!</v>
      </c>
      <c r="AI92" s="979"/>
      <c r="AJ92" s="977" t="e">
        <f>#REF!</f>
        <v>#REF!</v>
      </c>
      <c r="AK92" s="977" t="e">
        <f t="shared" si="19"/>
        <v>#REF!</v>
      </c>
      <c r="AL92" s="977">
        <f t="shared" si="20"/>
        <v>126.36000000000001</v>
      </c>
      <c r="AM92" s="977">
        <f t="shared" si="21"/>
        <v>0</v>
      </c>
      <c r="AN92" s="634"/>
    </row>
    <row r="93" spans="1:40" s="629" customFormat="1" ht="20.100000000000001" customHeight="1">
      <c r="A93" s="771">
        <f t="shared" si="26"/>
        <v>50</v>
      </c>
      <c r="B93" s="980">
        <f>+NOMINA!C92</f>
        <v>10915384</v>
      </c>
      <c r="C93" s="981" t="str">
        <f>+NOMINA!D92</f>
        <v>Rojas Hernandez Morela Del Carmen</v>
      </c>
      <c r="D93" s="978" t="s">
        <v>4622</v>
      </c>
      <c r="E93" s="982">
        <v>32351</v>
      </c>
      <c r="F93" s="978" t="s">
        <v>4620</v>
      </c>
      <c r="G93" s="1004">
        <f>+NOMINA!H92</f>
        <v>43147</v>
      </c>
      <c r="H93" s="984">
        <f t="shared" si="22"/>
        <v>4</v>
      </c>
      <c r="I93" s="985">
        <v>0</v>
      </c>
      <c r="J93" s="999">
        <f>+NOMINA!BL92</f>
        <v>21.01</v>
      </c>
      <c r="K93" s="999">
        <f>+NOMINA!BM92</f>
        <v>2.63</v>
      </c>
      <c r="L93" s="999">
        <f>+NOMINA!BN92</f>
        <v>5.69</v>
      </c>
      <c r="M93" s="999">
        <f>++NOMINA!BO92</f>
        <v>0</v>
      </c>
      <c r="N93" s="999">
        <f>+NOMINA!BP92</f>
        <v>0</v>
      </c>
      <c r="O93" s="986">
        <f t="shared" si="23"/>
        <v>29.33</v>
      </c>
      <c r="P93" s="999">
        <f>+NOMINA!BR92</f>
        <v>47.26</v>
      </c>
      <c r="Q93" s="999">
        <f>+NOMINA!BS92</f>
        <v>10.5</v>
      </c>
      <c r="R93" s="999">
        <f>+NOMINA!BT92</f>
        <v>11.38</v>
      </c>
      <c r="S93" s="986">
        <f t="shared" si="24"/>
        <v>69.14</v>
      </c>
      <c r="T93" s="986">
        <f t="shared" si="25"/>
        <v>98.47</v>
      </c>
      <c r="U93" s="1005">
        <v>0</v>
      </c>
      <c r="V93" s="443" t="e">
        <f>#REF!+#REF!-O93</f>
        <v>#REF!</v>
      </c>
      <c r="W93" s="975" t="e">
        <f>ROUND((#REF!+#REF!+#REF!+#REF!+#REF!+#REF!+#REF!+#REF!+#REF!),2)</f>
        <v>#REF!</v>
      </c>
      <c r="AA93" s="976" t="e">
        <f>#REF!+#REF!-O93</f>
        <v>#REF!</v>
      </c>
      <c r="AB93" s="977" t="e">
        <f>#REF!</f>
        <v>#REF!</v>
      </c>
      <c r="AC93" s="976" t="e">
        <f>#REF!+#REF!</f>
        <v>#REF!</v>
      </c>
      <c r="AD93" s="977" t="e">
        <f>#REF!</f>
        <v>#REF!</v>
      </c>
      <c r="AE93" s="978">
        <v>0</v>
      </c>
      <c r="AF93" s="977" t="e">
        <f>#REF!</f>
        <v>#REF!</v>
      </c>
      <c r="AG93" s="979" t="e">
        <f>#REF!+#REF!</f>
        <v>#REF!</v>
      </c>
      <c r="AH93" s="979" t="e">
        <f>#REF!+#REF!</f>
        <v>#REF!</v>
      </c>
      <c r="AI93" s="979"/>
      <c r="AJ93" s="977" t="e">
        <f>#REF!</f>
        <v>#REF!</v>
      </c>
      <c r="AK93" s="977" t="e">
        <f t="shared" si="19"/>
        <v>#REF!</v>
      </c>
      <c r="AL93" s="977">
        <f t="shared" si="20"/>
        <v>98.47</v>
      </c>
      <c r="AM93" s="977">
        <f t="shared" si="21"/>
        <v>0</v>
      </c>
      <c r="AN93" s="634"/>
    </row>
    <row r="94" spans="1:40" s="629" customFormat="1" ht="20.100000000000001" customHeight="1">
      <c r="A94" s="771">
        <f t="shared" si="26"/>
        <v>51</v>
      </c>
      <c r="B94" s="980">
        <f>+NOMINA!C93</f>
        <v>10915597</v>
      </c>
      <c r="C94" s="981" t="str">
        <f>+NOMINA!D93</f>
        <v>Carrillo Altuve Maria Mercedes</v>
      </c>
      <c r="D94" s="978" t="s">
        <v>4622</v>
      </c>
      <c r="E94" s="982">
        <v>32351</v>
      </c>
      <c r="F94" s="978" t="s">
        <v>4620</v>
      </c>
      <c r="G94" s="1004">
        <f>+NOMINA!H93</f>
        <v>44501</v>
      </c>
      <c r="H94" s="984">
        <f t="shared" si="22"/>
        <v>1</v>
      </c>
      <c r="I94" s="985">
        <v>0</v>
      </c>
      <c r="J94" s="999">
        <f>+NOMINA!BL93</f>
        <v>23.89</v>
      </c>
      <c r="K94" s="999">
        <f>+NOMINA!BM93</f>
        <v>2.99</v>
      </c>
      <c r="L94" s="999">
        <f>+NOMINA!BN93</f>
        <v>6.47</v>
      </c>
      <c r="M94" s="999">
        <f>++NOMINA!BO93</f>
        <v>0</v>
      </c>
      <c r="N94" s="999">
        <f>+NOMINA!BP93</f>
        <v>0</v>
      </c>
      <c r="O94" s="986">
        <f t="shared" si="23"/>
        <v>33.35</v>
      </c>
      <c r="P94" s="999">
        <f>+NOMINA!BR93</f>
        <v>53.76</v>
      </c>
      <c r="Q94" s="999">
        <f>+NOMINA!BS93</f>
        <v>11.95</v>
      </c>
      <c r="R94" s="999">
        <f>+NOMINA!BT93</f>
        <v>12.94</v>
      </c>
      <c r="S94" s="986">
        <f t="shared" si="24"/>
        <v>78.650000000000006</v>
      </c>
      <c r="T94" s="986">
        <f t="shared" si="25"/>
        <v>112</v>
      </c>
      <c r="U94" s="1005">
        <v>0</v>
      </c>
      <c r="V94" s="443" t="e">
        <f>#REF!+#REF!-O94</f>
        <v>#REF!</v>
      </c>
      <c r="W94" s="975" t="e">
        <f>ROUND((#REF!+#REF!+#REF!+#REF!+#REF!+#REF!+#REF!+#REF!+#REF!),2)</f>
        <v>#REF!</v>
      </c>
      <c r="AA94" s="976" t="e">
        <f>#REF!+#REF!-O94</f>
        <v>#REF!</v>
      </c>
      <c r="AB94" s="977" t="e">
        <f>#REF!</f>
        <v>#REF!</v>
      </c>
      <c r="AC94" s="976" t="e">
        <f>#REF!+#REF!</f>
        <v>#REF!</v>
      </c>
      <c r="AD94" s="977" t="e">
        <f>#REF!</f>
        <v>#REF!</v>
      </c>
      <c r="AE94" s="978">
        <v>0</v>
      </c>
      <c r="AF94" s="977" t="e">
        <f>#REF!</f>
        <v>#REF!</v>
      </c>
      <c r="AG94" s="979" t="e">
        <f>#REF!+#REF!</f>
        <v>#REF!</v>
      </c>
      <c r="AH94" s="979" t="e">
        <f>#REF!+#REF!</f>
        <v>#REF!</v>
      </c>
      <c r="AI94" s="979"/>
      <c r="AJ94" s="977" t="e">
        <f>#REF!</f>
        <v>#REF!</v>
      </c>
      <c r="AK94" s="977" t="e">
        <f t="shared" si="19"/>
        <v>#REF!</v>
      </c>
      <c r="AL94" s="977">
        <f t="shared" si="20"/>
        <v>112</v>
      </c>
      <c r="AM94" s="977">
        <f t="shared" si="21"/>
        <v>0</v>
      </c>
      <c r="AN94" s="634"/>
    </row>
    <row r="95" spans="1:40" s="629" customFormat="1" ht="20.100000000000001" customHeight="1">
      <c r="A95" s="771">
        <f t="shared" si="26"/>
        <v>52</v>
      </c>
      <c r="B95" s="980">
        <f>+NOMINA!C94</f>
        <v>11128954</v>
      </c>
      <c r="C95" s="981" t="str">
        <f>+NOMINA!D94</f>
        <v>Soto Lopez Rafael Maria</v>
      </c>
      <c r="D95" s="978" t="s">
        <v>4622</v>
      </c>
      <c r="E95" s="982">
        <v>32351</v>
      </c>
      <c r="F95" s="978" t="s">
        <v>4620</v>
      </c>
      <c r="G95" s="1004">
        <f>+NOMINA!H94</f>
        <v>45170</v>
      </c>
      <c r="H95" s="984">
        <f t="shared" si="22"/>
        <v>0</v>
      </c>
      <c r="I95" s="985">
        <v>0</v>
      </c>
      <c r="J95" s="999">
        <f>+NOMINA!BL94</f>
        <v>25.28</v>
      </c>
      <c r="K95" s="999">
        <f>+NOMINA!BM94</f>
        <v>3.16</v>
      </c>
      <c r="L95" s="999">
        <f>+NOMINA!BN94</f>
        <v>6.85</v>
      </c>
      <c r="M95" s="999">
        <f>++NOMINA!BO94</f>
        <v>0</v>
      </c>
      <c r="N95" s="999">
        <f>+NOMINA!BP94</f>
        <v>0</v>
      </c>
      <c r="O95" s="986">
        <f t="shared" si="23"/>
        <v>35.29</v>
      </c>
      <c r="P95" s="999">
        <f>+NOMINA!BR94</f>
        <v>56.88</v>
      </c>
      <c r="Q95" s="999">
        <f>+NOMINA!BS94</f>
        <v>12.64</v>
      </c>
      <c r="R95" s="999">
        <f>+NOMINA!BT94</f>
        <v>13.7</v>
      </c>
      <c r="S95" s="986">
        <f t="shared" si="24"/>
        <v>83.22</v>
      </c>
      <c r="T95" s="986">
        <f t="shared" si="25"/>
        <v>118.50999999999999</v>
      </c>
      <c r="U95" s="1005">
        <v>0</v>
      </c>
      <c r="V95" s="443" t="e">
        <f>#REF!+#REF!-O95</f>
        <v>#REF!</v>
      </c>
      <c r="W95" s="975" t="e">
        <f>ROUND((#REF!+#REF!+#REF!+#REF!+#REF!+#REF!+#REF!+#REF!+#REF!),2)</f>
        <v>#REF!</v>
      </c>
      <c r="AA95" s="976" t="e">
        <f>#REF!+#REF!-O95</f>
        <v>#REF!</v>
      </c>
      <c r="AB95" s="977" t="e">
        <f>#REF!</f>
        <v>#REF!</v>
      </c>
      <c r="AC95" s="976" t="e">
        <f>#REF!+#REF!</f>
        <v>#REF!</v>
      </c>
      <c r="AD95" s="977" t="e">
        <f>#REF!</f>
        <v>#REF!</v>
      </c>
      <c r="AE95" s="978">
        <v>0</v>
      </c>
      <c r="AF95" s="977" t="e">
        <f>#REF!</f>
        <v>#REF!</v>
      </c>
      <c r="AG95" s="979" t="e">
        <f>#REF!+#REF!</f>
        <v>#REF!</v>
      </c>
      <c r="AH95" s="979" t="e">
        <f>#REF!+#REF!</f>
        <v>#REF!</v>
      </c>
      <c r="AI95" s="979"/>
      <c r="AJ95" s="977" t="e">
        <f>#REF!</f>
        <v>#REF!</v>
      </c>
      <c r="AK95" s="977" t="e">
        <f t="shared" si="19"/>
        <v>#REF!</v>
      </c>
      <c r="AL95" s="977">
        <f t="shared" si="20"/>
        <v>118.50999999999999</v>
      </c>
      <c r="AM95" s="977">
        <f t="shared" si="21"/>
        <v>0</v>
      </c>
      <c r="AN95" s="634"/>
    </row>
    <row r="96" spans="1:40" s="629" customFormat="1" ht="20.100000000000001" customHeight="1">
      <c r="A96" s="771">
        <f t="shared" si="26"/>
        <v>53</v>
      </c>
      <c r="B96" s="980">
        <f>+NOMINA!C95</f>
        <v>11132900</v>
      </c>
      <c r="C96" s="981" t="str">
        <f>+NOMINA!D95</f>
        <v>Morillo Valero Ender Ramon</v>
      </c>
      <c r="D96" s="978" t="s">
        <v>4622</v>
      </c>
      <c r="E96" s="982">
        <v>32351</v>
      </c>
      <c r="F96" s="978" t="s">
        <v>4620</v>
      </c>
      <c r="G96" s="1004">
        <f>+NOMINA!H95</f>
        <v>44866</v>
      </c>
      <c r="H96" s="984">
        <f t="shared" si="22"/>
        <v>0</v>
      </c>
      <c r="I96" s="985">
        <v>0</v>
      </c>
      <c r="J96" s="999">
        <f>+NOMINA!BL95</f>
        <v>18.77</v>
      </c>
      <c r="K96" s="999">
        <f>+NOMINA!BM95</f>
        <v>2.35</v>
      </c>
      <c r="L96" s="999">
        <f>+NOMINA!BN95</f>
        <v>5.08</v>
      </c>
      <c r="M96" s="999">
        <f>++NOMINA!BO95</f>
        <v>0</v>
      </c>
      <c r="N96" s="999">
        <f>+NOMINA!BP95</f>
        <v>0</v>
      </c>
      <c r="O96" s="986">
        <f t="shared" si="23"/>
        <v>26.2</v>
      </c>
      <c r="P96" s="999">
        <f>+NOMINA!BR95</f>
        <v>42.23</v>
      </c>
      <c r="Q96" s="999">
        <f>+NOMINA!BS95</f>
        <v>9.3800000000000008</v>
      </c>
      <c r="R96" s="999">
        <f>+NOMINA!BT95</f>
        <v>10.16</v>
      </c>
      <c r="S96" s="986">
        <f t="shared" si="24"/>
        <v>61.77</v>
      </c>
      <c r="T96" s="986">
        <f t="shared" si="25"/>
        <v>87.97</v>
      </c>
      <c r="U96" s="1005">
        <v>0</v>
      </c>
      <c r="V96" s="443" t="e">
        <f>#REF!+#REF!-O96</f>
        <v>#REF!</v>
      </c>
      <c r="W96" s="975" t="e">
        <f>ROUND((#REF!+#REF!+#REF!+#REF!+#REF!+#REF!+#REF!+#REF!+#REF!),2)</f>
        <v>#REF!</v>
      </c>
      <c r="AA96" s="976" t="e">
        <f>#REF!+#REF!-O96</f>
        <v>#REF!</v>
      </c>
      <c r="AB96" s="977" t="e">
        <f>#REF!</f>
        <v>#REF!</v>
      </c>
      <c r="AC96" s="976" t="e">
        <f>#REF!+#REF!</f>
        <v>#REF!</v>
      </c>
      <c r="AD96" s="977" t="e">
        <f>#REF!</f>
        <v>#REF!</v>
      </c>
      <c r="AE96" s="978">
        <v>0</v>
      </c>
      <c r="AF96" s="977" t="e">
        <f>#REF!</f>
        <v>#REF!</v>
      </c>
      <c r="AG96" s="979" t="e">
        <f>#REF!+#REF!</f>
        <v>#REF!</v>
      </c>
      <c r="AH96" s="979" t="e">
        <f>#REF!+#REF!</f>
        <v>#REF!</v>
      </c>
      <c r="AI96" s="979"/>
      <c r="AJ96" s="977" t="e">
        <f>#REF!</f>
        <v>#REF!</v>
      </c>
      <c r="AK96" s="977" t="e">
        <f t="shared" si="19"/>
        <v>#REF!</v>
      </c>
      <c r="AL96" s="977">
        <f t="shared" si="20"/>
        <v>87.97</v>
      </c>
      <c r="AM96" s="977">
        <f t="shared" si="21"/>
        <v>0</v>
      </c>
      <c r="AN96" s="634"/>
    </row>
    <row r="97" spans="1:40" s="629" customFormat="1" ht="20.100000000000001" customHeight="1">
      <c r="A97" s="771">
        <f t="shared" si="26"/>
        <v>54</v>
      </c>
      <c r="B97" s="980">
        <f>+NOMINA!C96</f>
        <v>11132943</v>
      </c>
      <c r="C97" s="981" t="str">
        <f>+NOMINA!D96</f>
        <v>Materano Delgado Yoleida Josefina</v>
      </c>
      <c r="D97" s="978" t="s">
        <v>4622</v>
      </c>
      <c r="E97" s="982">
        <v>32351</v>
      </c>
      <c r="F97" s="978" t="s">
        <v>4620</v>
      </c>
      <c r="G97" s="1004">
        <f>+NOMINA!H96</f>
        <v>39738</v>
      </c>
      <c r="H97" s="984">
        <f t="shared" si="22"/>
        <v>14</v>
      </c>
      <c r="I97" s="985">
        <v>0</v>
      </c>
      <c r="J97" s="999">
        <f>+NOMINA!BL96</f>
        <v>12.57</v>
      </c>
      <c r="K97" s="999">
        <f>+NOMINA!BM96</f>
        <v>1.57</v>
      </c>
      <c r="L97" s="999">
        <f>+NOMINA!BN96</f>
        <v>3.41</v>
      </c>
      <c r="M97" s="999">
        <f>++NOMINA!BO96</f>
        <v>0</v>
      </c>
      <c r="N97" s="999">
        <f>+NOMINA!BP96</f>
        <v>0</v>
      </c>
      <c r="O97" s="986">
        <f t="shared" si="23"/>
        <v>17.55</v>
      </c>
      <c r="P97" s="999">
        <f>+NOMINA!BR96</f>
        <v>28.29</v>
      </c>
      <c r="Q97" s="999">
        <f>+NOMINA!BS96</f>
        <v>6.29</v>
      </c>
      <c r="R97" s="999">
        <f>+NOMINA!BT96</f>
        <v>6.82</v>
      </c>
      <c r="S97" s="986">
        <f t="shared" si="24"/>
        <v>41.4</v>
      </c>
      <c r="T97" s="986">
        <f t="shared" si="25"/>
        <v>58.95</v>
      </c>
      <c r="U97" s="1005">
        <v>0</v>
      </c>
      <c r="V97" s="443" t="e">
        <f>#REF!+#REF!-O97</f>
        <v>#REF!</v>
      </c>
      <c r="W97" s="975" t="e">
        <f>ROUND((#REF!+#REF!+#REF!+#REF!+#REF!+#REF!+#REF!+#REF!+#REF!),2)</f>
        <v>#REF!</v>
      </c>
      <c r="AA97" s="976" t="e">
        <f>#REF!+#REF!-O97</f>
        <v>#REF!</v>
      </c>
      <c r="AB97" s="977" t="e">
        <f>#REF!</f>
        <v>#REF!</v>
      </c>
      <c r="AC97" s="976" t="e">
        <f>#REF!+#REF!</f>
        <v>#REF!</v>
      </c>
      <c r="AD97" s="977" t="e">
        <f>#REF!</f>
        <v>#REF!</v>
      </c>
      <c r="AE97" s="978">
        <v>0</v>
      </c>
      <c r="AF97" s="977" t="e">
        <f>#REF!</f>
        <v>#REF!</v>
      </c>
      <c r="AG97" s="979" t="e">
        <f>#REF!+#REF!</f>
        <v>#REF!</v>
      </c>
      <c r="AH97" s="979" t="e">
        <f>#REF!+#REF!</f>
        <v>#REF!</v>
      </c>
      <c r="AI97" s="979"/>
      <c r="AJ97" s="977" t="e">
        <f>#REF!</f>
        <v>#REF!</v>
      </c>
      <c r="AK97" s="977" t="e">
        <f t="shared" si="19"/>
        <v>#REF!</v>
      </c>
      <c r="AL97" s="977">
        <f t="shared" si="20"/>
        <v>58.95</v>
      </c>
      <c r="AM97" s="977">
        <f t="shared" si="21"/>
        <v>0</v>
      </c>
      <c r="AN97" s="634"/>
    </row>
    <row r="98" spans="1:40" s="629" customFormat="1" ht="20.100000000000001" customHeight="1">
      <c r="A98" s="771">
        <f t="shared" si="26"/>
        <v>55</v>
      </c>
      <c r="B98" s="980">
        <f>+NOMINA!C97</f>
        <v>11132979</v>
      </c>
      <c r="C98" s="981" t="str">
        <f>+NOMINA!D97</f>
        <v>Olivar Santana Maria Valbina</v>
      </c>
      <c r="D98" s="978" t="s">
        <v>4622</v>
      </c>
      <c r="E98" s="982">
        <v>32351</v>
      </c>
      <c r="F98" s="978" t="s">
        <v>4620</v>
      </c>
      <c r="G98" s="1004">
        <f>+NOMINA!H97</f>
        <v>44348</v>
      </c>
      <c r="H98" s="984">
        <f t="shared" si="22"/>
        <v>1</v>
      </c>
      <c r="I98" s="985">
        <v>0</v>
      </c>
      <c r="J98" s="999">
        <f>+NOMINA!BL97</f>
        <v>28.73</v>
      </c>
      <c r="K98" s="999">
        <f>+NOMINA!BM97</f>
        <v>3.59</v>
      </c>
      <c r="L98" s="999">
        <f>+NOMINA!BN97</f>
        <v>7.78</v>
      </c>
      <c r="M98" s="999">
        <f>++NOMINA!BO97</f>
        <v>0</v>
      </c>
      <c r="N98" s="999">
        <f>+NOMINA!BP97</f>
        <v>0</v>
      </c>
      <c r="O98" s="986">
        <f t="shared" si="23"/>
        <v>40.1</v>
      </c>
      <c r="P98" s="999">
        <f>+NOMINA!BR97</f>
        <v>64.64</v>
      </c>
      <c r="Q98" s="999">
        <f>+NOMINA!BS97</f>
        <v>14.36</v>
      </c>
      <c r="R98" s="999">
        <f>+NOMINA!BT97</f>
        <v>15.56</v>
      </c>
      <c r="S98" s="986">
        <f t="shared" si="24"/>
        <v>94.56</v>
      </c>
      <c r="T98" s="986">
        <f t="shared" si="25"/>
        <v>134.66</v>
      </c>
      <c r="U98" s="1005">
        <v>0</v>
      </c>
      <c r="V98" s="443" t="e">
        <f>#REF!+#REF!-O98</f>
        <v>#REF!</v>
      </c>
      <c r="W98" s="975" t="e">
        <f>ROUND((#REF!+#REF!+#REF!+#REF!+#REF!+#REF!+#REF!+#REF!+#REF!),2)</f>
        <v>#REF!</v>
      </c>
      <c r="AA98" s="976" t="e">
        <f>#REF!+#REF!-O98</f>
        <v>#REF!</v>
      </c>
      <c r="AB98" s="977" t="e">
        <f>#REF!</f>
        <v>#REF!</v>
      </c>
      <c r="AC98" s="976" t="e">
        <f>#REF!+#REF!</f>
        <v>#REF!</v>
      </c>
      <c r="AD98" s="977" t="e">
        <f>#REF!</f>
        <v>#REF!</v>
      </c>
      <c r="AE98" s="978">
        <v>0</v>
      </c>
      <c r="AF98" s="977" t="e">
        <f>#REF!</f>
        <v>#REF!</v>
      </c>
      <c r="AG98" s="979" t="e">
        <f>#REF!+#REF!</f>
        <v>#REF!</v>
      </c>
      <c r="AH98" s="979" t="e">
        <f>#REF!+#REF!</f>
        <v>#REF!</v>
      </c>
      <c r="AI98" s="979"/>
      <c r="AJ98" s="977" t="e">
        <f>#REF!</f>
        <v>#REF!</v>
      </c>
      <c r="AK98" s="977" t="e">
        <f t="shared" si="19"/>
        <v>#REF!</v>
      </c>
      <c r="AL98" s="977">
        <f t="shared" si="20"/>
        <v>134.66</v>
      </c>
      <c r="AM98" s="977">
        <f t="shared" si="21"/>
        <v>0</v>
      </c>
      <c r="AN98" s="634"/>
    </row>
    <row r="99" spans="1:40" s="629" customFormat="1" ht="20.100000000000001" customHeight="1">
      <c r="A99" s="771">
        <f t="shared" si="26"/>
        <v>56</v>
      </c>
      <c r="B99" s="980">
        <f>+NOMINA!C98</f>
        <v>11257247</v>
      </c>
      <c r="C99" s="981" t="str">
        <f>+NOMINA!D98</f>
        <v>Chacin Sanchez Eduard Fabian</v>
      </c>
      <c r="D99" s="978" t="s">
        <v>4622</v>
      </c>
      <c r="E99" s="982">
        <v>32351</v>
      </c>
      <c r="F99" s="978" t="s">
        <v>4620</v>
      </c>
      <c r="G99" s="1004">
        <f>+NOMINA!H98</f>
        <v>42492</v>
      </c>
      <c r="H99" s="984">
        <f t="shared" si="22"/>
        <v>6</v>
      </c>
      <c r="I99" s="985">
        <v>0</v>
      </c>
      <c r="J99" s="999">
        <f>+NOMINA!BL98</f>
        <v>20.56</v>
      </c>
      <c r="K99" s="999">
        <f>+NOMINA!BM98</f>
        <v>2.57</v>
      </c>
      <c r="L99" s="999">
        <f>+NOMINA!BN98</f>
        <v>5.57</v>
      </c>
      <c r="M99" s="999">
        <f>++NOMINA!BO98</f>
        <v>0</v>
      </c>
      <c r="N99" s="999">
        <f>+NOMINA!BP98</f>
        <v>0</v>
      </c>
      <c r="O99" s="986">
        <f t="shared" si="23"/>
        <v>28.7</v>
      </c>
      <c r="P99" s="999">
        <f>+NOMINA!BR98</f>
        <v>46.26</v>
      </c>
      <c r="Q99" s="999">
        <f>+NOMINA!BS98</f>
        <v>10.28</v>
      </c>
      <c r="R99" s="999">
        <f>+NOMINA!BT98</f>
        <v>11.14</v>
      </c>
      <c r="S99" s="986">
        <f t="shared" si="24"/>
        <v>67.680000000000007</v>
      </c>
      <c r="T99" s="986">
        <f t="shared" si="25"/>
        <v>96.38000000000001</v>
      </c>
      <c r="U99" s="1005">
        <v>0</v>
      </c>
      <c r="V99" s="443" t="e">
        <f>#REF!+#REF!-O99</f>
        <v>#REF!</v>
      </c>
      <c r="W99" s="975" t="e">
        <f>ROUND((#REF!+#REF!+#REF!+#REF!+#REF!+#REF!+#REF!+#REF!+#REF!),2)</f>
        <v>#REF!</v>
      </c>
      <c r="AA99" s="976" t="e">
        <f>#REF!+#REF!-O99</f>
        <v>#REF!</v>
      </c>
      <c r="AB99" s="977" t="e">
        <f>#REF!</f>
        <v>#REF!</v>
      </c>
      <c r="AC99" s="976" t="e">
        <f>#REF!+#REF!</f>
        <v>#REF!</v>
      </c>
      <c r="AD99" s="977" t="e">
        <f>#REF!</f>
        <v>#REF!</v>
      </c>
      <c r="AE99" s="978">
        <v>0</v>
      </c>
      <c r="AF99" s="977" t="e">
        <f>#REF!</f>
        <v>#REF!</v>
      </c>
      <c r="AG99" s="979" t="e">
        <f>#REF!+#REF!</f>
        <v>#REF!</v>
      </c>
      <c r="AH99" s="979" t="e">
        <f>#REF!+#REF!</f>
        <v>#REF!</v>
      </c>
      <c r="AI99" s="979"/>
      <c r="AJ99" s="977" t="e">
        <f>#REF!</f>
        <v>#REF!</v>
      </c>
      <c r="AK99" s="977" t="e">
        <f t="shared" si="19"/>
        <v>#REF!</v>
      </c>
      <c r="AL99" s="977">
        <f t="shared" si="20"/>
        <v>96.38000000000001</v>
      </c>
      <c r="AM99" s="977">
        <f t="shared" si="21"/>
        <v>0</v>
      </c>
      <c r="AN99" s="634"/>
    </row>
    <row r="100" spans="1:40" s="629" customFormat="1" ht="20.100000000000001" customHeight="1">
      <c r="A100" s="771">
        <f t="shared" si="26"/>
        <v>57</v>
      </c>
      <c r="B100" s="980">
        <f>+NOMINA!C99</f>
        <v>11318142</v>
      </c>
      <c r="C100" s="981" t="str">
        <f>+NOMINA!D99</f>
        <v>Perdomo Rosales Modesto Ramon</v>
      </c>
      <c r="D100" s="978" t="s">
        <v>4622</v>
      </c>
      <c r="E100" s="982">
        <v>32351</v>
      </c>
      <c r="F100" s="978" t="s">
        <v>4620</v>
      </c>
      <c r="G100" s="1004">
        <f>+NOMINA!H99</f>
        <v>43983</v>
      </c>
      <c r="H100" s="984">
        <f t="shared" si="22"/>
        <v>2</v>
      </c>
      <c r="I100" s="985">
        <v>0</v>
      </c>
      <c r="J100" s="999">
        <f>+NOMINA!BL99</f>
        <v>10.56</v>
      </c>
      <c r="K100" s="999">
        <f>+NOMINA!BM99</f>
        <v>1.32</v>
      </c>
      <c r="L100" s="999">
        <f>+NOMINA!BN99</f>
        <v>2.86</v>
      </c>
      <c r="M100" s="999">
        <f>++NOMINA!BO99</f>
        <v>0</v>
      </c>
      <c r="N100" s="999">
        <f>+NOMINA!BP99</f>
        <v>0</v>
      </c>
      <c r="O100" s="986">
        <f t="shared" si="23"/>
        <v>14.74</v>
      </c>
      <c r="P100" s="999">
        <f>+NOMINA!BR99</f>
        <v>23.76</v>
      </c>
      <c r="Q100" s="999">
        <f>+NOMINA!BS99</f>
        <v>5.28</v>
      </c>
      <c r="R100" s="999">
        <f>+NOMINA!BT99</f>
        <v>5.72</v>
      </c>
      <c r="S100" s="986">
        <f t="shared" si="24"/>
        <v>34.76</v>
      </c>
      <c r="T100" s="986">
        <f t="shared" si="25"/>
        <v>49.5</v>
      </c>
      <c r="U100" s="1005">
        <v>0</v>
      </c>
      <c r="V100" s="443" t="e">
        <f>#REF!+#REF!-O100</f>
        <v>#REF!</v>
      </c>
      <c r="W100" s="975" t="e">
        <f>ROUND((#REF!+#REF!+#REF!+#REF!+#REF!+#REF!+#REF!+#REF!+#REF!),2)</f>
        <v>#REF!</v>
      </c>
      <c r="AA100" s="976" t="e">
        <f>#REF!+#REF!-O100</f>
        <v>#REF!</v>
      </c>
      <c r="AB100" s="977" t="e">
        <f>#REF!</f>
        <v>#REF!</v>
      </c>
      <c r="AC100" s="976" t="e">
        <f>#REF!+#REF!</f>
        <v>#REF!</v>
      </c>
      <c r="AD100" s="977" t="e">
        <f>#REF!</f>
        <v>#REF!</v>
      </c>
      <c r="AE100" s="978">
        <v>0</v>
      </c>
      <c r="AF100" s="977" t="e">
        <f>#REF!</f>
        <v>#REF!</v>
      </c>
      <c r="AG100" s="979" t="e">
        <f>#REF!+#REF!</f>
        <v>#REF!</v>
      </c>
      <c r="AH100" s="979" t="e">
        <f>#REF!+#REF!</f>
        <v>#REF!</v>
      </c>
      <c r="AI100" s="979"/>
      <c r="AJ100" s="977" t="e">
        <f>#REF!</f>
        <v>#REF!</v>
      </c>
      <c r="AK100" s="977" t="e">
        <f t="shared" si="19"/>
        <v>#REF!</v>
      </c>
      <c r="AL100" s="977">
        <f t="shared" si="20"/>
        <v>49.5</v>
      </c>
      <c r="AM100" s="977">
        <f t="shared" si="21"/>
        <v>0</v>
      </c>
      <c r="AN100" s="634"/>
    </row>
    <row r="101" spans="1:40" s="629" customFormat="1" ht="20.100000000000001" customHeight="1">
      <c r="A101" s="771">
        <f t="shared" si="26"/>
        <v>58</v>
      </c>
      <c r="B101" s="980">
        <f>+NOMINA!C100</f>
        <v>11318697</v>
      </c>
      <c r="C101" s="981" t="str">
        <f>+NOMINA!D100</f>
        <v>Sardi Hernandez Gladis Josefina</v>
      </c>
      <c r="D101" s="978" t="s">
        <v>4622</v>
      </c>
      <c r="E101" s="982">
        <v>32351</v>
      </c>
      <c r="F101" s="978" t="s">
        <v>4620</v>
      </c>
      <c r="G101" s="1004">
        <f>+NOMINA!H100</f>
        <v>39539</v>
      </c>
      <c r="H101" s="984">
        <f t="shared" si="22"/>
        <v>14</v>
      </c>
      <c r="I101" s="985">
        <v>0</v>
      </c>
      <c r="J101" s="999">
        <f>+NOMINA!BL100</f>
        <v>12.57</v>
      </c>
      <c r="K101" s="999">
        <f>+NOMINA!BM100</f>
        <v>1.57</v>
      </c>
      <c r="L101" s="999">
        <f>+NOMINA!BN100</f>
        <v>3.41</v>
      </c>
      <c r="M101" s="999">
        <f>++NOMINA!BO100</f>
        <v>0</v>
      </c>
      <c r="N101" s="999">
        <f>+NOMINA!BP100</f>
        <v>0</v>
      </c>
      <c r="O101" s="986">
        <f t="shared" si="23"/>
        <v>17.55</v>
      </c>
      <c r="P101" s="999">
        <f>+NOMINA!BR100</f>
        <v>28.29</v>
      </c>
      <c r="Q101" s="999">
        <f>+NOMINA!BS100</f>
        <v>6.29</v>
      </c>
      <c r="R101" s="999">
        <f>+NOMINA!BT100</f>
        <v>6.82</v>
      </c>
      <c r="S101" s="986">
        <f t="shared" si="24"/>
        <v>41.4</v>
      </c>
      <c r="T101" s="986">
        <f t="shared" si="25"/>
        <v>58.95</v>
      </c>
      <c r="U101" s="1005">
        <v>0</v>
      </c>
      <c r="V101" s="443" t="e">
        <f>#REF!+#REF!-O101</f>
        <v>#REF!</v>
      </c>
      <c r="W101" s="975" t="e">
        <f>ROUND((#REF!+#REF!+#REF!+#REF!+#REF!+#REF!+#REF!+#REF!+#REF!),2)</f>
        <v>#REF!</v>
      </c>
      <c r="AA101" s="976" t="e">
        <f>#REF!+#REF!-O101</f>
        <v>#REF!</v>
      </c>
      <c r="AB101" s="977" t="e">
        <f>#REF!</f>
        <v>#REF!</v>
      </c>
      <c r="AC101" s="976" t="e">
        <f>#REF!+#REF!</f>
        <v>#REF!</v>
      </c>
      <c r="AD101" s="977" t="e">
        <f>#REF!</f>
        <v>#REF!</v>
      </c>
      <c r="AE101" s="978">
        <v>0</v>
      </c>
      <c r="AF101" s="977" t="e">
        <f>#REF!</f>
        <v>#REF!</v>
      </c>
      <c r="AG101" s="979" t="e">
        <f>#REF!+#REF!</f>
        <v>#REF!</v>
      </c>
      <c r="AH101" s="979" t="e">
        <f>#REF!+#REF!</f>
        <v>#REF!</v>
      </c>
      <c r="AI101" s="979"/>
      <c r="AJ101" s="977" t="e">
        <f>#REF!</f>
        <v>#REF!</v>
      </c>
      <c r="AK101" s="977" t="e">
        <f t="shared" si="19"/>
        <v>#REF!</v>
      </c>
      <c r="AL101" s="977">
        <f t="shared" si="20"/>
        <v>58.95</v>
      </c>
      <c r="AM101" s="977">
        <f t="shared" si="21"/>
        <v>0</v>
      </c>
      <c r="AN101" s="634"/>
    </row>
    <row r="102" spans="1:40" s="629" customFormat="1" ht="20.100000000000001" customHeight="1">
      <c r="A102" s="771">
        <f t="shared" si="26"/>
        <v>59</v>
      </c>
      <c r="B102" s="980">
        <f>+NOMINA!C101</f>
        <v>11319154</v>
      </c>
      <c r="C102" s="981" t="str">
        <f>+NOMINA!D101</f>
        <v>Peña Villegas Lisette Carolina</v>
      </c>
      <c r="D102" s="978" t="s">
        <v>4622</v>
      </c>
      <c r="E102" s="982">
        <v>32351</v>
      </c>
      <c r="F102" s="978" t="s">
        <v>4620</v>
      </c>
      <c r="G102" s="1004">
        <f>+NOMINA!H101</f>
        <v>34428</v>
      </c>
      <c r="H102" s="984">
        <f t="shared" si="22"/>
        <v>28</v>
      </c>
      <c r="I102" s="985">
        <v>0</v>
      </c>
      <c r="J102" s="999">
        <f>+NOMINA!BL101</f>
        <v>26.96</v>
      </c>
      <c r="K102" s="999">
        <f>+NOMINA!BM101</f>
        <v>3.37</v>
      </c>
      <c r="L102" s="999">
        <f>+NOMINA!BN101</f>
        <v>7.3</v>
      </c>
      <c r="M102" s="999">
        <f>++NOMINA!BO101</f>
        <v>0</v>
      </c>
      <c r="N102" s="999">
        <f>+NOMINA!BP101</f>
        <v>0</v>
      </c>
      <c r="O102" s="986">
        <f t="shared" si="23"/>
        <v>37.630000000000003</v>
      </c>
      <c r="P102" s="999">
        <f>+NOMINA!BR101</f>
        <v>60.65</v>
      </c>
      <c r="Q102" s="999">
        <f>+NOMINA!BS101</f>
        <v>13.48</v>
      </c>
      <c r="R102" s="999">
        <f>+NOMINA!BT101</f>
        <v>14.6</v>
      </c>
      <c r="S102" s="986">
        <f t="shared" si="24"/>
        <v>88.73</v>
      </c>
      <c r="T102" s="986">
        <f t="shared" si="25"/>
        <v>126.36000000000001</v>
      </c>
      <c r="U102" s="1005">
        <v>0</v>
      </c>
      <c r="V102" s="443" t="e">
        <f>#REF!+#REF!-O102</f>
        <v>#REF!</v>
      </c>
      <c r="W102" s="975" t="e">
        <f>ROUND((#REF!+#REF!+#REF!+#REF!+#REF!+#REF!+#REF!+#REF!+#REF!),2)</f>
        <v>#REF!</v>
      </c>
      <c r="AA102" s="976" t="e">
        <f>#REF!+#REF!-O102</f>
        <v>#REF!</v>
      </c>
      <c r="AB102" s="977" t="e">
        <f>#REF!</f>
        <v>#REF!</v>
      </c>
      <c r="AC102" s="976" t="e">
        <f>#REF!+#REF!</f>
        <v>#REF!</v>
      </c>
      <c r="AD102" s="977" t="e">
        <f>#REF!</f>
        <v>#REF!</v>
      </c>
      <c r="AE102" s="978">
        <v>0</v>
      </c>
      <c r="AF102" s="977" t="e">
        <f>#REF!</f>
        <v>#REF!</v>
      </c>
      <c r="AG102" s="979" t="e">
        <f>#REF!+#REF!</f>
        <v>#REF!</v>
      </c>
      <c r="AH102" s="979" t="e">
        <f>#REF!+#REF!</f>
        <v>#REF!</v>
      </c>
      <c r="AI102" s="979"/>
      <c r="AJ102" s="977" t="e">
        <f>#REF!</f>
        <v>#REF!</v>
      </c>
      <c r="AK102" s="977" t="e">
        <f t="shared" si="19"/>
        <v>#REF!</v>
      </c>
      <c r="AL102" s="977">
        <f t="shared" si="20"/>
        <v>126.36000000000001</v>
      </c>
      <c r="AM102" s="977">
        <f t="shared" si="21"/>
        <v>0</v>
      </c>
      <c r="AN102" s="634"/>
    </row>
    <row r="103" spans="1:40" s="629" customFormat="1" ht="20.100000000000001" customHeight="1">
      <c r="A103" s="771">
        <f t="shared" si="26"/>
        <v>60</v>
      </c>
      <c r="B103" s="980">
        <f>+NOMINA!C102</f>
        <v>11320533</v>
      </c>
      <c r="C103" s="981" t="str">
        <f>+NOMINA!D102</f>
        <v>Suarez Chiquin Yaritza Josefina</v>
      </c>
      <c r="D103" s="978" t="s">
        <v>4622</v>
      </c>
      <c r="E103" s="982">
        <v>32351</v>
      </c>
      <c r="F103" s="978" t="s">
        <v>4620</v>
      </c>
      <c r="G103" s="1004">
        <f>+NOMINA!H102</f>
        <v>37629</v>
      </c>
      <c r="H103" s="984">
        <f t="shared" si="22"/>
        <v>19</v>
      </c>
      <c r="I103" s="985">
        <v>0</v>
      </c>
      <c r="J103" s="999">
        <f>+NOMINA!BL102</f>
        <v>0</v>
      </c>
      <c r="K103" s="999">
        <f>+NOMINA!BM102</f>
        <v>0</v>
      </c>
      <c r="L103" s="999">
        <f>+NOMINA!BN102</f>
        <v>0</v>
      </c>
      <c r="M103" s="999">
        <f>++NOMINA!BO102</f>
        <v>0</v>
      </c>
      <c r="N103" s="999">
        <f>+NOMINA!BP102</f>
        <v>0</v>
      </c>
      <c r="O103" s="986">
        <f t="shared" si="23"/>
        <v>0</v>
      </c>
      <c r="P103" s="999">
        <f>+NOMINA!BR102</f>
        <v>0</v>
      </c>
      <c r="Q103" s="999">
        <f>+NOMINA!BS102</f>
        <v>0</v>
      </c>
      <c r="R103" s="999">
        <f>+NOMINA!BT102</f>
        <v>0</v>
      </c>
      <c r="S103" s="986">
        <f t="shared" si="24"/>
        <v>0</v>
      </c>
      <c r="T103" s="986">
        <f t="shared" si="25"/>
        <v>0</v>
      </c>
      <c r="U103" s="1005">
        <v>0</v>
      </c>
      <c r="V103" s="443" t="e">
        <f>#REF!+#REF!-O103</f>
        <v>#REF!</v>
      </c>
      <c r="W103" s="975" t="e">
        <f>ROUND((#REF!+#REF!+#REF!+#REF!+#REF!+#REF!+#REF!+#REF!+#REF!),2)</f>
        <v>#REF!</v>
      </c>
      <c r="AA103" s="976" t="e">
        <f>#REF!+#REF!-O103</f>
        <v>#REF!</v>
      </c>
      <c r="AB103" s="977" t="e">
        <f>#REF!</f>
        <v>#REF!</v>
      </c>
      <c r="AC103" s="976" t="e">
        <f>#REF!+#REF!</f>
        <v>#REF!</v>
      </c>
      <c r="AD103" s="977" t="e">
        <f>#REF!</f>
        <v>#REF!</v>
      </c>
      <c r="AE103" s="978">
        <v>0</v>
      </c>
      <c r="AF103" s="977" t="e">
        <f>#REF!</f>
        <v>#REF!</v>
      </c>
      <c r="AG103" s="979" t="e">
        <f>#REF!+#REF!</f>
        <v>#REF!</v>
      </c>
      <c r="AH103" s="979" t="e">
        <f>#REF!+#REF!</f>
        <v>#REF!</v>
      </c>
      <c r="AI103" s="979"/>
      <c r="AJ103" s="977" t="e">
        <f>#REF!</f>
        <v>#REF!</v>
      </c>
      <c r="AK103" s="977" t="e">
        <f t="shared" si="19"/>
        <v>#REF!</v>
      </c>
      <c r="AL103" s="977">
        <f t="shared" si="20"/>
        <v>0</v>
      </c>
      <c r="AM103" s="977">
        <f t="shared" si="21"/>
        <v>0</v>
      </c>
      <c r="AN103" s="634"/>
    </row>
    <row r="104" spans="1:40" s="629" customFormat="1" ht="20.100000000000001" customHeight="1">
      <c r="A104" s="771">
        <f t="shared" si="26"/>
        <v>61</v>
      </c>
      <c r="B104" s="980">
        <f>+NOMINA!C103</f>
        <v>11322871</v>
      </c>
      <c r="C104" s="981" t="str">
        <f>+NOMINA!D103</f>
        <v>Rivas Albarran Martin Antonio</v>
      </c>
      <c r="D104" s="978" t="s">
        <v>4622</v>
      </c>
      <c r="E104" s="982">
        <v>32351</v>
      </c>
      <c r="F104" s="978" t="s">
        <v>4620</v>
      </c>
      <c r="G104" s="1004">
        <f>+NOMINA!H103</f>
        <v>38718</v>
      </c>
      <c r="H104" s="984">
        <f t="shared" si="22"/>
        <v>16</v>
      </c>
      <c r="I104" s="985">
        <v>0</v>
      </c>
      <c r="J104" s="999">
        <f>+NOMINA!BL103</f>
        <v>22.48</v>
      </c>
      <c r="K104" s="999">
        <f>+NOMINA!BM103</f>
        <v>2.81</v>
      </c>
      <c r="L104" s="999">
        <f>+NOMINA!BN103</f>
        <v>6.09</v>
      </c>
      <c r="M104" s="999">
        <f>++NOMINA!BO103</f>
        <v>0</v>
      </c>
      <c r="N104" s="999">
        <f>+NOMINA!BP103</f>
        <v>0</v>
      </c>
      <c r="O104" s="986">
        <f t="shared" si="23"/>
        <v>31.38</v>
      </c>
      <c r="P104" s="999">
        <f>+NOMINA!BR103</f>
        <v>50.58</v>
      </c>
      <c r="Q104" s="999">
        <f>+NOMINA!BS103</f>
        <v>11.24</v>
      </c>
      <c r="R104" s="999">
        <f>+NOMINA!BT103</f>
        <v>12.18</v>
      </c>
      <c r="S104" s="986">
        <f t="shared" si="24"/>
        <v>74</v>
      </c>
      <c r="T104" s="986">
        <f t="shared" si="25"/>
        <v>105.38</v>
      </c>
      <c r="U104" s="1005">
        <v>0</v>
      </c>
      <c r="V104" s="443" t="e">
        <f>#REF!+#REF!-O104</f>
        <v>#REF!</v>
      </c>
      <c r="W104" s="975" t="e">
        <f>ROUND((#REF!+#REF!+#REF!+#REF!+#REF!+#REF!+#REF!+#REF!+#REF!),2)</f>
        <v>#REF!</v>
      </c>
      <c r="AA104" s="976" t="e">
        <f>#REF!+#REF!-O104</f>
        <v>#REF!</v>
      </c>
      <c r="AB104" s="977" t="e">
        <f>#REF!</f>
        <v>#REF!</v>
      </c>
      <c r="AC104" s="976" t="e">
        <f>#REF!+#REF!</f>
        <v>#REF!</v>
      </c>
      <c r="AD104" s="977" t="e">
        <f>#REF!</f>
        <v>#REF!</v>
      </c>
      <c r="AE104" s="978">
        <v>0</v>
      </c>
      <c r="AF104" s="977" t="e">
        <f>#REF!</f>
        <v>#REF!</v>
      </c>
      <c r="AG104" s="979" t="e">
        <f>#REF!+#REF!</f>
        <v>#REF!</v>
      </c>
      <c r="AH104" s="979" t="e">
        <f>#REF!+#REF!</f>
        <v>#REF!</v>
      </c>
      <c r="AI104" s="979"/>
      <c r="AJ104" s="977" t="e">
        <f>#REF!</f>
        <v>#REF!</v>
      </c>
      <c r="AK104" s="977" t="e">
        <f t="shared" si="19"/>
        <v>#REF!</v>
      </c>
      <c r="AL104" s="977">
        <f t="shared" si="20"/>
        <v>105.38</v>
      </c>
      <c r="AM104" s="977">
        <f t="shared" si="21"/>
        <v>0</v>
      </c>
      <c r="AN104" s="634"/>
    </row>
    <row r="105" spans="1:40" s="629" customFormat="1" ht="20.100000000000001" customHeight="1">
      <c r="A105" s="771">
        <f t="shared" si="26"/>
        <v>62</v>
      </c>
      <c r="B105" s="980">
        <f>+NOMINA!C104</f>
        <v>11616673</v>
      </c>
      <c r="C105" s="981" t="str">
        <f>+NOMINA!D104</f>
        <v>Perdomo Orlando Jose</v>
      </c>
      <c r="D105" s="978" t="s">
        <v>4622</v>
      </c>
      <c r="E105" s="982">
        <v>32351</v>
      </c>
      <c r="F105" s="978" t="s">
        <v>4620</v>
      </c>
      <c r="G105" s="1004">
        <f>+NOMINA!H104</f>
        <v>35066</v>
      </c>
      <c r="H105" s="984">
        <f t="shared" si="22"/>
        <v>26</v>
      </c>
      <c r="I105" s="985">
        <v>0</v>
      </c>
      <c r="J105" s="999">
        <f>+NOMINA!BL104</f>
        <v>23.22</v>
      </c>
      <c r="K105" s="999">
        <f>+NOMINA!BM104</f>
        <v>2.9</v>
      </c>
      <c r="L105" s="999">
        <f>+NOMINA!BN104</f>
        <v>6.29</v>
      </c>
      <c r="M105" s="999">
        <f>++NOMINA!BO104</f>
        <v>0</v>
      </c>
      <c r="N105" s="999">
        <f>+NOMINA!BP104</f>
        <v>0</v>
      </c>
      <c r="O105" s="986">
        <f t="shared" si="23"/>
        <v>32.409999999999997</v>
      </c>
      <c r="P105" s="999">
        <f>+NOMINA!BR104</f>
        <v>52.25</v>
      </c>
      <c r="Q105" s="999">
        <f>+NOMINA!BS104</f>
        <v>11.61</v>
      </c>
      <c r="R105" s="999">
        <f>+NOMINA!BT104</f>
        <v>12.58</v>
      </c>
      <c r="S105" s="986">
        <f t="shared" si="24"/>
        <v>76.44</v>
      </c>
      <c r="T105" s="986">
        <f t="shared" si="25"/>
        <v>108.85</v>
      </c>
      <c r="U105" s="1005">
        <v>0</v>
      </c>
      <c r="V105" s="443" t="e">
        <f>#REF!+#REF!-O105</f>
        <v>#REF!</v>
      </c>
      <c r="W105" s="975" t="e">
        <f>ROUND((#REF!+#REF!+#REF!+#REF!+#REF!+#REF!+#REF!+#REF!+#REF!),2)</f>
        <v>#REF!</v>
      </c>
      <c r="AA105" s="976" t="e">
        <f>#REF!+#REF!-O105</f>
        <v>#REF!</v>
      </c>
      <c r="AB105" s="977" t="e">
        <f>#REF!</f>
        <v>#REF!</v>
      </c>
      <c r="AC105" s="976" t="e">
        <f>#REF!+#REF!</f>
        <v>#REF!</v>
      </c>
      <c r="AD105" s="977" t="e">
        <f>#REF!</f>
        <v>#REF!</v>
      </c>
      <c r="AE105" s="978">
        <v>0</v>
      </c>
      <c r="AF105" s="977" t="e">
        <f>#REF!</f>
        <v>#REF!</v>
      </c>
      <c r="AG105" s="979" t="e">
        <f>#REF!+#REF!</f>
        <v>#REF!</v>
      </c>
      <c r="AH105" s="979" t="e">
        <f>#REF!+#REF!</f>
        <v>#REF!</v>
      </c>
      <c r="AI105" s="979"/>
      <c r="AJ105" s="977" t="e">
        <f>#REF!</f>
        <v>#REF!</v>
      </c>
      <c r="AK105" s="977" t="e">
        <f t="shared" si="19"/>
        <v>#REF!</v>
      </c>
      <c r="AL105" s="977">
        <f t="shared" si="20"/>
        <v>108.85</v>
      </c>
      <c r="AM105" s="977">
        <f t="shared" si="21"/>
        <v>0</v>
      </c>
      <c r="AN105" s="634"/>
    </row>
    <row r="106" spans="1:40" s="629" customFormat="1" ht="20.100000000000001" customHeight="1">
      <c r="A106" s="771">
        <f t="shared" si="26"/>
        <v>63</v>
      </c>
      <c r="B106" s="980">
        <f>+NOMINA!C105</f>
        <v>11734553</v>
      </c>
      <c r="C106" s="981" t="str">
        <f>+NOMINA!D105</f>
        <v>Teran Torres Olga del Carmen</v>
      </c>
      <c r="D106" s="978" t="s">
        <v>4622</v>
      </c>
      <c r="E106" s="982">
        <v>32351</v>
      </c>
      <c r="F106" s="978" t="s">
        <v>4620</v>
      </c>
      <c r="G106" s="1004">
        <f>+NOMINA!H105</f>
        <v>43206</v>
      </c>
      <c r="H106" s="984">
        <f t="shared" si="22"/>
        <v>4</v>
      </c>
      <c r="I106" s="985">
        <v>0</v>
      </c>
      <c r="J106" s="999">
        <f>+NOMINA!BL105</f>
        <v>22.78</v>
      </c>
      <c r="K106" s="999">
        <f>+NOMINA!BM105</f>
        <v>2.85</v>
      </c>
      <c r="L106" s="999">
        <f>+NOMINA!BN105</f>
        <v>6.17</v>
      </c>
      <c r="M106" s="999">
        <f>++NOMINA!BO105</f>
        <v>0</v>
      </c>
      <c r="N106" s="999">
        <f>+NOMINA!BP105</f>
        <v>0</v>
      </c>
      <c r="O106" s="986">
        <f t="shared" si="23"/>
        <v>31.8</v>
      </c>
      <c r="P106" s="999">
        <f>+NOMINA!BR105</f>
        <v>51.27</v>
      </c>
      <c r="Q106" s="999">
        <f>+NOMINA!BS105</f>
        <v>11.39</v>
      </c>
      <c r="R106" s="999">
        <f>+NOMINA!BT105</f>
        <v>12.34</v>
      </c>
      <c r="S106" s="986">
        <f t="shared" si="24"/>
        <v>75</v>
      </c>
      <c r="T106" s="986">
        <f t="shared" si="25"/>
        <v>106.8</v>
      </c>
      <c r="U106" s="1005">
        <v>0</v>
      </c>
      <c r="V106" s="443" t="e">
        <f>#REF!+#REF!-O106</f>
        <v>#REF!</v>
      </c>
      <c r="W106" s="975" t="e">
        <f>ROUND((#REF!+#REF!+#REF!+#REF!+#REF!+#REF!+#REF!+#REF!+#REF!),2)</f>
        <v>#REF!</v>
      </c>
      <c r="AA106" s="976" t="e">
        <f>#REF!+#REF!-O106</f>
        <v>#REF!</v>
      </c>
      <c r="AB106" s="977" t="e">
        <f>#REF!</f>
        <v>#REF!</v>
      </c>
      <c r="AC106" s="976" t="e">
        <f>#REF!+#REF!</f>
        <v>#REF!</v>
      </c>
      <c r="AD106" s="977" t="e">
        <f>#REF!</f>
        <v>#REF!</v>
      </c>
      <c r="AE106" s="978">
        <v>0</v>
      </c>
      <c r="AF106" s="977" t="e">
        <f>#REF!</f>
        <v>#REF!</v>
      </c>
      <c r="AG106" s="979" t="e">
        <f>#REF!+#REF!</f>
        <v>#REF!</v>
      </c>
      <c r="AH106" s="979" t="e">
        <f>#REF!+#REF!</f>
        <v>#REF!</v>
      </c>
      <c r="AI106" s="979"/>
      <c r="AJ106" s="977" t="e">
        <f>#REF!</f>
        <v>#REF!</v>
      </c>
      <c r="AK106" s="977" t="e">
        <f t="shared" si="19"/>
        <v>#REF!</v>
      </c>
      <c r="AL106" s="977">
        <f t="shared" si="20"/>
        <v>106.8</v>
      </c>
      <c r="AM106" s="977">
        <f t="shared" si="21"/>
        <v>0</v>
      </c>
      <c r="AN106" s="634"/>
    </row>
    <row r="107" spans="1:40" s="629" customFormat="1" ht="20.100000000000001" customHeight="1">
      <c r="A107" s="771">
        <f t="shared" si="26"/>
        <v>64</v>
      </c>
      <c r="B107" s="980">
        <f>+NOMINA!C106</f>
        <v>11894534</v>
      </c>
      <c r="C107" s="981" t="str">
        <f>+NOMINA!D106</f>
        <v>Olmos Rodriguez Eberto de Jesus</v>
      </c>
      <c r="D107" s="978" t="s">
        <v>4622</v>
      </c>
      <c r="E107" s="982">
        <v>32351</v>
      </c>
      <c r="F107" s="978" t="s">
        <v>4620</v>
      </c>
      <c r="G107" s="1004">
        <f>+NOMINA!H106</f>
        <v>40909</v>
      </c>
      <c r="H107" s="984">
        <f t="shared" si="22"/>
        <v>10</v>
      </c>
      <c r="I107" s="985">
        <v>0</v>
      </c>
      <c r="J107" s="999">
        <f>+NOMINA!BL106</f>
        <v>0</v>
      </c>
      <c r="K107" s="999">
        <f>+NOMINA!BM106</f>
        <v>0</v>
      </c>
      <c r="L107" s="999">
        <f>+NOMINA!BN106</f>
        <v>0</v>
      </c>
      <c r="M107" s="999">
        <f>++NOMINA!BO106</f>
        <v>0</v>
      </c>
      <c r="N107" s="999">
        <f>+NOMINA!BP106</f>
        <v>0</v>
      </c>
      <c r="O107" s="986">
        <f t="shared" si="23"/>
        <v>0</v>
      </c>
      <c r="P107" s="999">
        <f>+NOMINA!BR106</f>
        <v>0</v>
      </c>
      <c r="Q107" s="999">
        <f>+NOMINA!BS106</f>
        <v>0</v>
      </c>
      <c r="R107" s="999">
        <f>+NOMINA!BT106</f>
        <v>0</v>
      </c>
      <c r="S107" s="986">
        <f t="shared" si="24"/>
        <v>0</v>
      </c>
      <c r="T107" s="986">
        <f t="shared" si="25"/>
        <v>0</v>
      </c>
      <c r="U107" s="1005">
        <v>0</v>
      </c>
      <c r="V107" s="443" t="e">
        <f>#REF!+#REF!-O107</f>
        <v>#REF!</v>
      </c>
      <c r="W107" s="975" t="e">
        <f>ROUND((#REF!+#REF!+#REF!+#REF!+#REF!+#REF!+#REF!+#REF!+#REF!),2)</f>
        <v>#REF!</v>
      </c>
      <c r="AA107" s="976" t="e">
        <f>#REF!+#REF!-O107</f>
        <v>#REF!</v>
      </c>
      <c r="AB107" s="977" t="e">
        <f>#REF!</f>
        <v>#REF!</v>
      </c>
      <c r="AC107" s="976" t="e">
        <f>#REF!+#REF!</f>
        <v>#REF!</v>
      </c>
      <c r="AD107" s="977" t="e">
        <f>#REF!</f>
        <v>#REF!</v>
      </c>
      <c r="AE107" s="978">
        <v>0</v>
      </c>
      <c r="AF107" s="977" t="e">
        <f>#REF!</f>
        <v>#REF!</v>
      </c>
      <c r="AG107" s="979" t="e">
        <f>#REF!+#REF!</f>
        <v>#REF!</v>
      </c>
      <c r="AH107" s="979" t="e">
        <f>#REF!+#REF!</f>
        <v>#REF!</v>
      </c>
      <c r="AI107" s="979"/>
      <c r="AJ107" s="977" t="e">
        <f>#REF!</f>
        <v>#REF!</v>
      </c>
      <c r="AK107" s="977" t="e">
        <f t="shared" si="19"/>
        <v>#REF!</v>
      </c>
      <c r="AL107" s="977">
        <f t="shared" si="20"/>
        <v>0</v>
      </c>
      <c r="AM107" s="977">
        <f t="shared" si="21"/>
        <v>0</v>
      </c>
      <c r="AN107" s="634"/>
    </row>
    <row r="108" spans="1:40" s="629" customFormat="1" ht="20.100000000000001" customHeight="1">
      <c r="A108" s="771">
        <f t="shared" si="26"/>
        <v>65</v>
      </c>
      <c r="B108" s="980">
        <f>+NOMINA!C107</f>
        <v>11895772</v>
      </c>
      <c r="C108" s="981" t="str">
        <f>+NOMINA!D107</f>
        <v>Rangel Rivas Ildemaro</v>
      </c>
      <c r="D108" s="978" t="s">
        <v>4622</v>
      </c>
      <c r="E108" s="982">
        <v>32351</v>
      </c>
      <c r="F108" s="978" t="s">
        <v>4620</v>
      </c>
      <c r="G108" s="1004">
        <f>+NOMINA!H107</f>
        <v>44743</v>
      </c>
      <c r="H108" s="984">
        <f t="shared" si="22"/>
        <v>0</v>
      </c>
      <c r="I108" s="985">
        <v>0</v>
      </c>
      <c r="J108" s="999">
        <f>+NOMINA!BL107</f>
        <v>0</v>
      </c>
      <c r="K108" s="999">
        <f>+NOMINA!BM107</f>
        <v>0</v>
      </c>
      <c r="L108" s="999">
        <f>+NOMINA!BN107</f>
        <v>0</v>
      </c>
      <c r="M108" s="999">
        <f>++NOMINA!BO107</f>
        <v>0</v>
      </c>
      <c r="N108" s="999">
        <f>+NOMINA!BP107</f>
        <v>0</v>
      </c>
      <c r="O108" s="986">
        <f t="shared" si="23"/>
        <v>0</v>
      </c>
      <c r="P108" s="999">
        <f>+NOMINA!BR107</f>
        <v>0</v>
      </c>
      <c r="Q108" s="999">
        <f>+NOMINA!BS107</f>
        <v>0</v>
      </c>
      <c r="R108" s="999">
        <f>+NOMINA!BT107</f>
        <v>0</v>
      </c>
      <c r="S108" s="986">
        <f t="shared" si="24"/>
        <v>0</v>
      </c>
      <c r="T108" s="986">
        <f t="shared" si="25"/>
        <v>0</v>
      </c>
      <c r="U108" s="1005">
        <v>0</v>
      </c>
      <c r="V108" s="443" t="e">
        <f>#REF!+#REF!-O108</f>
        <v>#REF!</v>
      </c>
      <c r="W108" s="975" t="e">
        <f>ROUND((#REF!+#REF!+#REF!+#REF!+#REF!+#REF!+#REF!+#REF!+#REF!),2)</f>
        <v>#REF!</v>
      </c>
      <c r="AA108" s="976" t="e">
        <f>#REF!+#REF!-O108</f>
        <v>#REF!</v>
      </c>
      <c r="AB108" s="977" t="e">
        <f>#REF!</f>
        <v>#REF!</v>
      </c>
      <c r="AC108" s="976" t="e">
        <f>#REF!+#REF!</f>
        <v>#REF!</v>
      </c>
      <c r="AD108" s="977" t="e">
        <f>#REF!</f>
        <v>#REF!</v>
      </c>
      <c r="AE108" s="978">
        <v>0</v>
      </c>
      <c r="AF108" s="977" t="e">
        <f>#REF!</f>
        <v>#REF!</v>
      </c>
      <c r="AG108" s="979" t="e">
        <f>#REF!+#REF!</f>
        <v>#REF!</v>
      </c>
      <c r="AH108" s="979" t="e">
        <f>#REF!+#REF!</f>
        <v>#REF!</v>
      </c>
      <c r="AI108" s="979"/>
      <c r="AJ108" s="977" t="e">
        <f>#REF!</f>
        <v>#REF!</v>
      </c>
      <c r="AK108" s="977" t="e">
        <f t="shared" ref="AK108:AK170" si="27">SUM(AC108:AJ108)</f>
        <v>#REF!</v>
      </c>
      <c r="AL108" s="977">
        <f t="shared" ref="AL108:AL170" si="28">O108+S108</f>
        <v>0</v>
      </c>
      <c r="AM108" s="977">
        <f t="shared" ref="AM108:AM170" si="29">U108</f>
        <v>0</v>
      </c>
      <c r="AN108" s="634"/>
    </row>
    <row r="109" spans="1:40" s="629" customFormat="1" ht="20.100000000000001" customHeight="1">
      <c r="A109" s="771">
        <f t="shared" si="26"/>
        <v>66</v>
      </c>
      <c r="B109" s="980">
        <f>+NOMINA!C108</f>
        <v>11896941</v>
      </c>
      <c r="C109" s="981" t="str">
        <f>+NOMINA!D108</f>
        <v>Justo Angel Jannessy</v>
      </c>
      <c r="D109" s="978" t="s">
        <v>4622</v>
      </c>
      <c r="E109" s="982">
        <v>32351</v>
      </c>
      <c r="F109" s="978" t="s">
        <v>4620</v>
      </c>
      <c r="G109" s="1004">
        <f>+NOMINA!H108</f>
        <v>38698</v>
      </c>
      <c r="H109" s="984">
        <f t="shared" ref="H109:H172" si="30">IF(AND(YEAR(G109)&lt;2023,MONTH(G109)&gt;$P$8),2023-YEAR(G109)-1,IF(OR(G109="",YEAR(G109)&gt;2023),0,2023-YEAR(G109)))</f>
        <v>17</v>
      </c>
      <c r="I109" s="985">
        <v>0</v>
      </c>
      <c r="J109" s="999">
        <f>+NOMINA!BL108</f>
        <v>0</v>
      </c>
      <c r="K109" s="999">
        <f>+NOMINA!BM108</f>
        <v>0</v>
      </c>
      <c r="L109" s="999">
        <f>+NOMINA!BN108</f>
        <v>0</v>
      </c>
      <c r="M109" s="999">
        <f>++NOMINA!BO108</f>
        <v>0</v>
      </c>
      <c r="N109" s="999">
        <f>+NOMINA!BP108</f>
        <v>0</v>
      </c>
      <c r="O109" s="986">
        <f t="shared" ref="O109:O172" si="31">ROUND(SUM(J109:N109),2)</f>
        <v>0</v>
      </c>
      <c r="P109" s="999">
        <f>+NOMINA!BR108</f>
        <v>0</v>
      </c>
      <c r="Q109" s="999">
        <f>+NOMINA!BS108</f>
        <v>0</v>
      </c>
      <c r="R109" s="999">
        <f>+NOMINA!BT108</f>
        <v>0</v>
      </c>
      <c r="S109" s="986">
        <f t="shared" ref="S109:S172" si="32">ROUND(SUM(P109:R109),2)</f>
        <v>0</v>
      </c>
      <c r="T109" s="986">
        <f t="shared" ref="T109:T172" si="33">O109+S109</f>
        <v>0</v>
      </c>
      <c r="U109" s="1005">
        <v>0</v>
      </c>
      <c r="V109" s="443" t="e">
        <f>#REF!+#REF!-O109</f>
        <v>#REF!</v>
      </c>
      <c r="W109" s="975" t="e">
        <f>ROUND((#REF!+#REF!+#REF!+#REF!+#REF!+#REF!+#REF!+#REF!+#REF!),2)</f>
        <v>#REF!</v>
      </c>
      <c r="AA109" s="976" t="e">
        <f>#REF!+#REF!-O109</f>
        <v>#REF!</v>
      </c>
      <c r="AB109" s="977" t="e">
        <f>#REF!</f>
        <v>#REF!</v>
      </c>
      <c r="AC109" s="976" t="e">
        <f>#REF!+#REF!</f>
        <v>#REF!</v>
      </c>
      <c r="AD109" s="977" t="e">
        <f>#REF!</f>
        <v>#REF!</v>
      </c>
      <c r="AE109" s="978">
        <v>0</v>
      </c>
      <c r="AF109" s="977" t="e">
        <f>#REF!</f>
        <v>#REF!</v>
      </c>
      <c r="AG109" s="979" t="e">
        <f>#REF!+#REF!</f>
        <v>#REF!</v>
      </c>
      <c r="AH109" s="979" t="e">
        <f>#REF!+#REF!</f>
        <v>#REF!</v>
      </c>
      <c r="AI109" s="979"/>
      <c r="AJ109" s="977" t="e">
        <f>#REF!</f>
        <v>#REF!</v>
      </c>
      <c r="AK109" s="977" t="e">
        <f t="shared" si="27"/>
        <v>#REF!</v>
      </c>
      <c r="AL109" s="977">
        <f t="shared" si="28"/>
        <v>0</v>
      </c>
      <c r="AM109" s="977">
        <f t="shared" si="29"/>
        <v>0</v>
      </c>
      <c r="AN109" s="634"/>
    </row>
    <row r="110" spans="1:40" s="629" customFormat="1" ht="20.100000000000001" customHeight="1">
      <c r="A110" s="771">
        <f t="shared" ref="A110:A172" si="34">A109+1</f>
        <v>67</v>
      </c>
      <c r="B110" s="980">
        <f>+NOMINA!C109</f>
        <v>11898486</v>
      </c>
      <c r="C110" s="981" t="str">
        <f>+NOMINA!D109</f>
        <v>Linares Hernandez Thaiz Yoconda</v>
      </c>
      <c r="D110" s="978" t="s">
        <v>4622</v>
      </c>
      <c r="E110" s="982">
        <v>32351</v>
      </c>
      <c r="F110" s="978" t="s">
        <v>4620</v>
      </c>
      <c r="G110" s="1004">
        <f>+NOMINA!H109</f>
        <v>40065</v>
      </c>
      <c r="H110" s="984">
        <f t="shared" si="30"/>
        <v>13</v>
      </c>
      <c r="I110" s="985">
        <v>0</v>
      </c>
      <c r="J110" s="999">
        <f>+NOMINA!BL109</f>
        <v>17.579999999999998</v>
      </c>
      <c r="K110" s="999">
        <f>+NOMINA!BM109</f>
        <v>2.2000000000000002</v>
      </c>
      <c r="L110" s="999">
        <f>+NOMINA!BN109</f>
        <v>4.76</v>
      </c>
      <c r="M110" s="999">
        <f>++NOMINA!BO109</f>
        <v>0</v>
      </c>
      <c r="N110" s="999">
        <f>+NOMINA!BP109</f>
        <v>0</v>
      </c>
      <c r="O110" s="986">
        <f t="shared" si="31"/>
        <v>24.54</v>
      </c>
      <c r="P110" s="999">
        <f>+NOMINA!BR109</f>
        <v>39.549999999999997</v>
      </c>
      <c r="Q110" s="999">
        <f>+NOMINA!BS109</f>
        <v>8.7899999999999991</v>
      </c>
      <c r="R110" s="999">
        <f>+NOMINA!BT109</f>
        <v>9.52</v>
      </c>
      <c r="S110" s="986">
        <f t="shared" si="32"/>
        <v>57.86</v>
      </c>
      <c r="T110" s="986">
        <f t="shared" si="33"/>
        <v>82.4</v>
      </c>
      <c r="U110" s="1005">
        <v>0</v>
      </c>
      <c r="V110" s="443" t="e">
        <f>#REF!+#REF!-O110</f>
        <v>#REF!</v>
      </c>
      <c r="W110" s="975" t="e">
        <f>ROUND((#REF!+#REF!+#REF!+#REF!+#REF!+#REF!+#REF!+#REF!+#REF!),2)</f>
        <v>#REF!</v>
      </c>
      <c r="AA110" s="976" t="e">
        <f>#REF!+#REF!-O110</f>
        <v>#REF!</v>
      </c>
      <c r="AB110" s="977" t="e">
        <f>#REF!</f>
        <v>#REF!</v>
      </c>
      <c r="AC110" s="976" t="e">
        <f>#REF!+#REF!</f>
        <v>#REF!</v>
      </c>
      <c r="AD110" s="977" t="e">
        <f>#REF!</f>
        <v>#REF!</v>
      </c>
      <c r="AE110" s="978">
        <v>0</v>
      </c>
      <c r="AF110" s="977" t="e">
        <f>#REF!</f>
        <v>#REF!</v>
      </c>
      <c r="AG110" s="979" t="e">
        <f>#REF!+#REF!</f>
        <v>#REF!</v>
      </c>
      <c r="AH110" s="979" t="e">
        <f>#REF!+#REF!</f>
        <v>#REF!</v>
      </c>
      <c r="AI110" s="979"/>
      <c r="AJ110" s="977" t="e">
        <f>#REF!</f>
        <v>#REF!</v>
      </c>
      <c r="AK110" s="977" t="e">
        <f t="shared" si="27"/>
        <v>#REF!</v>
      </c>
      <c r="AL110" s="977">
        <f t="shared" si="28"/>
        <v>82.4</v>
      </c>
      <c r="AM110" s="977">
        <f t="shared" si="29"/>
        <v>0</v>
      </c>
      <c r="AN110" s="634"/>
    </row>
    <row r="111" spans="1:40" s="629" customFormat="1" ht="20.100000000000001" customHeight="1">
      <c r="A111" s="771">
        <f t="shared" si="34"/>
        <v>68</v>
      </c>
      <c r="B111" s="980">
        <f>+NOMINA!C110</f>
        <v>12040792</v>
      </c>
      <c r="C111" s="981" t="str">
        <f>+NOMINA!D110</f>
        <v>Sulbaran Campos Jesus Alberto</v>
      </c>
      <c r="D111" s="978" t="s">
        <v>4622</v>
      </c>
      <c r="E111" s="982">
        <v>32351</v>
      </c>
      <c r="F111" s="978" t="s">
        <v>4620</v>
      </c>
      <c r="G111" s="1004">
        <f>+NOMINA!H110</f>
        <v>43236</v>
      </c>
      <c r="H111" s="984">
        <f t="shared" si="30"/>
        <v>4</v>
      </c>
      <c r="I111" s="985">
        <v>0</v>
      </c>
      <c r="J111" s="999">
        <f>+NOMINA!BL110</f>
        <v>13.93</v>
      </c>
      <c r="K111" s="999">
        <f>+NOMINA!BM110</f>
        <v>1.74</v>
      </c>
      <c r="L111" s="999">
        <f>+NOMINA!BN110</f>
        <v>3.77</v>
      </c>
      <c r="M111" s="999">
        <f>++NOMINA!BO110</f>
        <v>0</v>
      </c>
      <c r="N111" s="999">
        <f>+NOMINA!BP110</f>
        <v>0</v>
      </c>
      <c r="O111" s="986">
        <f t="shared" si="31"/>
        <v>19.440000000000001</v>
      </c>
      <c r="P111" s="999">
        <f>+NOMINA!BR110</f>
        <v>31.34</v>
      </c>
      <c r="Q111" s="999">
        <f>+NOMINA!BS110</f>
        <v>6.96</v>
      </c>
      <c r="R111" s="999">
        <f>+NOMINA!BT110</f>
        <v>7.54</v>
      </c>
      <c r="S111" s="986">
        <f t="shared" si="32"/>
        <v>45.84</v>
      </c>
      <c r="T111" s="986">
        <f t="shared" si="33"/>
        <v>65.28</v>
      </c>
      <c r="U111" s="1005">
        <v>0</v>
      </c>
      <c r="V111" s="443" t="e">
        <f>#REF!+#REF!-O111</f>
        <v>#REF!</v>
      </c>
      <c r="W111" s="975" t="e">
        <f>ROUND((#REF!+#REF!+#REF!+#REF!+#REF!+#REF!+#REF!+#REF!+#REF!),2)</f>
        <v>#REF!</v>
      </c>
      <c r="AA111" s="976" t="e">
        <f>#REF!+#REF!-O111</f>
        <v>#REF!</v>
      </c>
      <c r="AB111" s="977" t="e">
        <f>#REF!</f>
        <v>#REF!</v>
      </c>
      <c r="AC111" s="976" t="e">
        <f>#REF!+#REF!</f>
        <v>#REF!</v>
      </c>
      <c r="AD111" s="977" t="e">
        <f>#REF!</f>
        <v>#REF!</v>
      </c>
      <c r="AE111" s="978">
        <v>0</v>
      </c>
      <c r="AF111" s="977" t="e">
        <f>#REF!</f>
        <v>#REF!</v>
      </c>
      <c r="AG111" s="979" t="e">
        <f>#REF!+#REF!</f>
        <v>#REF!</v>
      </c>
      <c r="AH111" s="979" t="e">
        <f>#REF!+#REF!</f>
        <v>#REF!</v>
      </c>
      <c r="AI111" s="979"/>
      <c r="AJ111" s="977" t="e">
        <f>#REF!</f>
        <v>#REF!</v>
      </c>
      <c r="AK111" s="977" t="e">
        <f t="shared" si="27"/>
        <v>#REF!</v>
      </c>
      <c r="AL111" s="977">
        <f t="shared" si="28"/>
        <v>65.28</v>
      </c>
      <c r="AM111" s="977">
        <f t="shared" si="29"/>
        <v>0</v>
      </c>
      <c r="AN111" s="634"/>
    </row>
    <row r="112" spans="1:40" s="629" customFormat="1" ht="20.100000000000001" customHeight="1">
      <c r="A112" s="771">
        <f t="shared" si="34"/>
        <v>69</v>
      </c>
      <c r="B112" s="980">
        <f>+NOMINA!C111</f>
        <v>12042855</v>
      </c>
      <c r="C112" s="981" t="str">
        <f>+NOMINA!D111</f>
        <v>Alburguez  Manzanilla Neira Josefina</v>
      </c>
      <c r="D112" s="978" t="s">
        <v>4622</v>
      </c>
      <c r="E112" s="982">
        <v>32351</v>
      </c>
      <c r="F112" s="978" t="s">
        <v>4620</v>
      </c>
      <c r="G112" s="1004">
        <f>+NOMINA!H111</f>
        <v>44028</v>
      </c>
      <c r="H112" s="984">
        <f t="shared" si="30"/>
        <v>2</v>
      </c>
      <c r="I112" s="985">
        <v>0</v>
      </c>
      <c r="J112" s="999">
        <f>+NOMINA!BL111</f>
        <v>16.510000000000002</v>
      </c>
      <c r="K112" s="999">
        <f>+NOMINA!BM111</f>
        <v>2.06</v>
      </c>
      <c r="L112" s="999">
        <f>+NOMINA!BN111</f>
        <v>4.47</v>
      </c>
      <c r="M112" s="999">
        <f>++NOMINA!BO111</f>
        <v>0</v>
      </c>
      <c r="N112" s="999">
        <f>+NOMINA!BP111</f>
        <v>0</v>
      </c>
      <c r="O112" s="986">
        <f t="shared" si="31"/>
        <v>23.04</v>
      </c>
      <c r="P112" s="999">
        <f>+NOMINA!BR111</f>
        <v>37.15</v>
      </c>
      <c r="Q112" s="999">
        <f>+NOMINA!BS111</f>
        <v>8.26</v>
      </c>
      <c r="R112" s="999">
        <f>+NOMINA!BT111</f>
        <v>8.94</v>
      </c>
      <c r="S112" s="986">
        <f t="shared" si="32"/>
        <v>54.35</v>
      </c>
      <c r="T112" s="986">
        <f t="shared" si="33"/>
        <v>77.39</v>
      </c>
      <c r="U112" s="1005">
        <v>0</v>
      </c>
      <c r="V112" s="443" t="e">
        <f>#REF!+#REF!-O112</f>
        <v>#REF!</v>
      </c>
      <c r="W112" s="975" t="e">
        <f>ROUND((#REF!+#REF!+#REF!+#REF!+#REF!+#REF!+#REF!+#REF!+#REF!),2)</f>
        <v>#REF!</v>
      </c>
      <c r="AA112" s="976" t="e">
        <f>#REF!+#REF!-O112</f>
        <v>#REF!</v>
      </c>
      <c r="AB112" s="977" t="e">
        <f>#REF!</f>
        <v>#REF!</v>
      </c>
      <c r="AC112" s="976" t="e">
        <f>#REF!+#REF!</f>
        <v>#REF!</v>
      </c>
      <c r="AD112" s="977" t="e">
        <f>#REF!</f>
        <v>#REF!</v>
      </c>
      <c r="AE112" s="978">
        <v>0</v>
      </c>
      <c r="AF112" s="977" t="e">
        <f>#REF!</f>
        <v>#REF!</v>
      </c>
      <c r="AG112" s="979" t="e">
        <f>#REF!+#REF!</f>
        <v>#REF!</v>
      </c>
      <c r="AH112" s="979" t="e">
        <f>#REF!+#REF!</f>
        <v>#REF!</v>
      </c>
      <c r="AI112" s="979"/>
      <c r="AJ112" s="977" t="e">
        <f>#REF!</f>
        <v>#REF!</v>
      </c>
      <c r="AK112" s="977" t="e">
        <f t="shared" si="27"/>
        <v>#REF!</v>
      </c>
      <c r="AL112" s="977">
        <f t="shared" si="28"/>
        <v>77.39</v>
      </c>
      <c r="AM112" s="977">
        <f t="shared" si="29"/>
        <v>0</v>
      </c>
      <c r="AN112" s="634"/>
    </row>
    <row r="113" spans="1:40" s="629" customFormat="1" ht="20.100000000000001" customHeight="1">
      <c r="A113" s="771">
        <f t="shared" si="34"/>
        <v>70</v>
      </c>
      <c r="B113" s="980">
        <f>+NOMINA!C112</f>
        <v>12045335</v>
      </c>
      <c r="C113" s="981" t="str">
        <f>+NOMINA!D112</f>
        <v>Gonzalez De Briceño Yasmin Coromoto</v>
      </c>
      <c r="D113" s="978" t="s">
        <v>4622</v>
      </c>
      <c r="E113" s="982">
        <v>32351</v>
      </c>
      <c r="F113" s="978" t="s">
        <v>4620</v>
      </c>
      <c r="G113" s="1004">
        <f>+NOMINA!H112</f>
        <v>45505</v>
      </c>
      <c r="H113" s="984">
        <f t="shared" si="30"/>
        <v>0</v>
      </c>
      <c r="I113" s="985">
        <v>0</v>
      </c>
      <c r="J113" s="999">
        <f>+NOMINA!BL112</f>
        <v>22.56</v>
      </c>
      <c r="K113" s="999">
        <f>+NOMINA!BM112</f>
        <v>2.82</v>
      </c>
      <c r="L113" s="999">
        <f>+NOMINA!BN112</f>
        <v>6.11</v>
      </c>
      <c r="M113" s="999">
        <f>++NOMINA!BO112</f>
        <v>0</v>
      </c>
      <c r="N113" s="999">
        <f>+NOMINA!BP112</f>
        <v>0</v>
      </c>
      <c r="O113" s="986">
        <f t="shared" si="31"/>
        <v>31.49</v>
      </c>
      <c r="P113" s="999">
        <f>+NOMINA!BR112</f>
        <v>50.76</v>
      </c>
      <c r="Q113" s="999">
        <f>+NOMINA!BS112</f>
        <v>11.28</v>
      </c>
      <c r="R113" s="999">
        <f>+NOMINA!BT112</f>
        <v>12.22</v>
      </c>
      <c r="S113" s="986">
        <f t="shared" si="32"/>
        <v>74.260000000000005</v>
      </c>
      <c r="T113" s="986">
        <f t="shared" si="33"/>
        <v>105.75</v>
      </c>
      <c r="U113" s="1005">
        <v>0</v>
      </c>
      <c r="V113" s="443" t="e">
        <f>#REF!+#REF!-O113</f>
        <v>#REF!</v>
      </c>
      <c r="W113" s="975" t="e">
        <f>ROUND((#REF!+#REF!+#REF!+#REF!+#REF!+#REF!+#REF!+#REF!+#REF!),2)</f>
        <v>#REF!</v>
      </c>
      <c r="AA113" s="976" t="e">
        <f>#REF!+#REF!-O113</f>
        <v>#REF!</v>
      </c>
      <c r="AB113" s="977" t="e">
        <f>#REF!</f>
        <v>#REF!</v>
      </c>
      <c r="AC113" s="976" t="e">
        <f>#REF!+#REF!</f>
        <v>#REF!</v>
      </c>
      <c r="AD113" s="977" t="e">
        <f>#REF!</f>
        <v>#REF!</v>
      </c>
      <c r="AE113" s="978">
        <v>0</v>
      </c>
      <c r="AF113" s="977" t="e">
        <f>#REF!</f>
        <v>#REF!</v>
      </c>
      <c r="AG113" s="979" t="e">
        <f>#REF!+#REF!</f>
        <v>#REF!</v>
      </c>
      <c r="AH113" s="979" t="e">
        <f>#REF!+#REF!</f>
        <v>#REF!</v>
      </c>
      <c r="AI113" s="979"/>
      <c r="AJ113" s="977" t="e">
        <f>#REF!</f>
        <v>#REF!</v>
      </c>
      <c r="AK113" s="977" t="e">
        <f t="shared" si="27"/>
        <v>#REF!</v>
      </c>
      <c r="AL113" s="977">
        <f t="shared" si="28"/>
        <v>105.75</v>
      </c>
      <c r="AM113" s="977">
        <f t="shared" si="29"/>
        <v>0</v>
      </c>
      <c r="AN113" s="634"/>
    </row>
    <row r="114" spans="1:40" s="629" customFormat="1" ht="20.100000000000001" customHeight="1">
      <c r="A114" s="771">
        <f t="shared" si="34"/>
        <v>71</v>
      </c>
      <c r="B114" s="980">
        <f>+NOMINA!C113</f>
        <v>12045360</v>
      </c>
      <c r="C114" s="981" t="str">
        <f>+NOMINA!D113</f>
        <v>Montilla Lamus Ana Cristina</v>
      </c>
      <c r="D114" s="978" t="s">
        <v>4622</v>
      </c>
      <c r="E114" s="982">
        <v>32351</v>
      </c>
      <c r="F114" s="978" t="s">
        <v>4620</v>
      </c>
      <c r="G114" s="1004">
        <f>+NOMINA!H113</f>
        <v>39238</v>
      </c>
      <c r="H114" s="984">
        <f t="shared" si="30"/>
        <v>15</v>
      </c>
      <c r="I114" s="985">
        <v>0</v>
      </c>
      <c r="J114" s="999">
        <f>+NOMINA!BL113</f>
        <v>13.14</v>
      </c>
      <c r="K114" s="999">
        <f>+NOMINA!BM113</f>
        <v>1.64</v>
      </c>
      <c r="L114" s="999">
        <f>+NOMINA!BN113</f>
        <v>3.56</v>
      </c>
      <c r="M114" s="999">
        <f>++NOMINA!BO113</f>
        <v>0</v>
      </c>
      <c r="N114" s="999">
        <f>+NOMINA!BP113</f>
        <v>0</v>
      </c>
      <c r="O114" s="986">
        <f t="shared" si="31"/>
        <v>18.34</v>
      </c>
      <c r="P114" s="999">
        <f>+NOMINA!BR113</f>
        <v>29.56</v>
      </c>
      <c r="Q114" s="999">
        <f>+NOMINA!BS113</f>
        <v>6.57</v>
      </c>
      <c r="R114" s="999">
        <f>+NOMINA!BT113</f>
        <v>7.12</v>
      </c>
      <c r="S114" s="986">
        <f t="shared" si="32"/>
        <v>43.25</v>
      </c>
      <c r="T114" s="986">
        <f t="shared" si="33"/>
        <v>61.59</v>
      </c>
      <c r="U114" s="1005">
        <v>0</v>
      </c>
      <c r="V114" s="443" t="e">
        <f>#REF!+#REF!-O114</f>
        <v>#REF!</v>
      </c>
      <c r="W114" s="975" t="e">
        <f>ROUND((#REF!+#REF!+#REF!+#REF!+#REF!+#REF!+#REF!+#REF!+#REF!),2)</f>
        <v>#REF!</v>
      </c>
      <c r="AA114" s="976" t="e">
        <f>#REF!+#REF!-O114</f>
        <v>#REF!</v>
      </c>
      <c r="AB114" s="977" t="e">
        <f>#REF!</f>
        <v>#REF!</v>
      </c>
      <c r="AC114" s="976" t="e">
        <f>#REF!+#REF!</f>
        <v>#REF!</v>
      </c>
      <c r="AD114" s="977" t="e">
        <f>#REF!</f>
        <v>#REF!</v>
      </c>
      <c r="AE114" s="978">
        <v>0</v>
      </c>
      <c r="AF114" s="977" t="e">
        <f>#REF!</f>
        <v>#REF!</v>
      </c>
      <c r="AG114" s="979" t="e">
        <f>#REF!+#REF!</f>
        <v>#REF!</v>
      </c>
      <c r="AH114" s="979" t="e">
        <f>#REF!+#REF!</f>
        <v>#REF!</v>
      </c>
      <c r="AI114" s="979"/>
      <c r="AJ114" s="977" t="e">
        <f>#REF!</f>
        <v>#REF!</v>
      </c>
      <c r="AK114" s="977" t="e">
        <f t="shared" si="27"/>
        <v>#REF!</v>
      </c>
      <c r="AL114" s="977">
        <f t="shared" si="28"/>
        <v>61.59</v>
      </c>
      <c r="AM114" s="977">
        <f t="shared" si="29"/>
        <v>0</v>
      </c>
      <c r="AN114" s="634"/>
    </row>
    <row r="115" spans="1:40" s="629" customFormat="1" ht="20.100000000000001" customHeight="1">
      <c r="A115" s="771">
        <f t="shared" si="34"/>
        <v>72</v>
      </c>
      <c r="B115" s="980">
        <f>+NOMINA!C114</f>
        <v>12045504</v>
      </c>
      <c r="C115" s="981" t="str">
        <f>+NOMINA!D114</f>
        <v>Sanchez Olivar Denis Josefina</v>
      </c>
      <c r="D115" s="978" t="s">
        <v>4622</v>
      </c>
      <c r="E115" s="982">
        <v>32351</v>
      </c>
      <c r="F115" s="978" t="s">
        <v>4620</v>
      </c>
      <c r="G115" s="1004">
        <f>+NOMINA!H114</f>
        <v>43862</v>
      </c>
      <c r="H115" s="984">
        <f t="shared" si="30"/>
        <v>2</v>
      </c>
      <c r="I115" s="985">
        <v>0</v>
      </c>
      <c r="J115" s="999">
        <f>+NOMINA!BL114</f>
        <v>11.48</v>
      </c>
      <c r="K115" s="999">
        <f>+NOMINA!BM114</f>
        <v>1.44</v>
      </c>
      <c r="L115" s="999">
        <f>+NOMINA!BN114</f>
        <v>3.11</v>
      </c>
      <c r="M115" s="999">
        <f>++NOMINA!BO114</f>
        <v>0</v>
      </c>
      <c r="N115" s="999">
        <f>+NOMINA!BP114</f>
        <v>0</v>
      </c>
      <c r="O115" s="986">
        <f t="shared" si="31"/>
        <v>16.03</v>
      </c>
      <c r="P115" s="999">
        <f>+NOMINA!BR114</f>
        <v>25.84</v>
      </c>
      <c r="Q115" s="999">
        <f>+NOMINA!BS114</f>
        <v>5.74</v>
      </c>
      <c r="R115" s="999">
        <f>+NOMINA!BT114</f>
        <v>6.22</v>
      </c>
      <c r="S115" s="986">
        <f t="shared" si="32"/>
        <v>37.799999999999997</v>
      </c>
      <c r="T115" s="986">
        <f t="shared" si="33"/>
        <v>53.83</v>
      </c>
      <c r="U115" s="1005">
        <v>0</v>
      </c>
      <c r="V115" s="443" t="e">
        <f>#REF!+#REF!-O115</f>
        <v>#REF!</v>
      </c>
      <c r="W115" s="975" t="e">
        <f>ROUND((#REF!+#REF!+#REF!+#REF!+#REF!+#REF!+#REF!+#REF!+#REF!),2)</f>
        <v>#REF!</v>
      </c>
      <c r="AA115" s="976" t="e">
        <f>#REF!+#REF!-O115</f>
        <v>#REF!</v>
      </c>
      <c r="AB115" s="977" t="e">
        <f>#REF!</f>
        <v>#REF!</v>
      </c>
      <c r="AC115" s="976" t="e">
        <f>#REF!+#REF!</f>
        <v>#REF!</v>
      </c>
      <c r="AD115" s="977" t="e">
        <f>#REF!</f>
        <v>#REF!</v>
      </c>
      <c r="AE115" s="978">
        <v>0</v>
      </c>
      <c r="AF115" s="977" t="e">
        <f>#REF!</f>
        <v>#REF!</v>
      </c>
      <c r="AG115" s="979" t="e">
        <f>#REF!+#REF!</f>
        <v>#REF!</v>
      </c>
      <c r="AH115" s="979" t="e">
        <f>#REF!+#REF!</f>
        <v>#REF!</v>
      </c>
      <c r="AI115" s="979"/>
      <c r="AJ115" s="977" t="e">
        <f>#REF!</f>
        <v>#REF!</v>
      </c>
      <c r="AK115" s="977" t="e">
        <f t="shared" si="27"/>
        <v>#REF!</v>
      </c>
      <c r="AL115" s="977">
        <f t="shared" si="28"/>
        <v>53.83</v>
      </c>
      <c r="AM115" s="977">
        <f t="shared" si="29"/>
        <v>0</v>
      </c>
      <c r="AN115" s="634"/>
    </row>
    <row r="116" spans="1:40" s="629" customFormat="1" ht="20.100000000000001" customHeight="1">
      <c r="A116" s="771">
        <f t="shared" si="34"/>
        <v>73</v>
      </c>
      <c r="B116" s="980">
        <f>+NOMINA!C115</f>
        <v>12045934</v>
      </c>
      <c r="C116" s="981" t="str">
        <f>+NOMINA!D115</f>
        <v>Mendez Olmos Tulio Enrique</v>
      </c>
      <c r="D116" s="978" t="s">
        <v>4622</v>
      </c>
      <c r="E116" s="982">
        <v>32351</v>
      </c>
      <c r="F116" s="978" t="s">
        <v>4620</v>
      </c>
      <c r="G116" s="1004">
        <f>+NOMINA!H115</f>
        <v>36342</v>
      </c>
      <c r="H116" s="984">
        <f t="shared" si="30"/>
        <v>23</v>
      </c>
      <c r="I116" s="985">
        <v>0</v>
      </c>
      <c r="J116" s="999">
        <f>+NOMINA!BL115</f>
        <v>23.22</v>
      </c>
      <c r="K116" s="999">
        <f>+NOMINA!BM115</f>
        <v>2.9</v>
      </c>
      <c r="L116" s="999">
        <f>+NOMINA!BN115</f>
        <v>6.29</v>
      </c>
      <c r="M116" s="999">
        <f>++NOMINA!BO115</f>
        <v>0</v>
      </c>
      <c r="N116" s="999">
        <f>+NOMINA!BP115</f>
        <v>0</v>
      </c>
      <c r="O116" s="986">
        <f t="shared" si="31"/>
        <v>32.409999999999997</v>
      </c>
      <c r="P116" s="999">
        <f>+NOMINA!BR115</f>
        <v>52.25</v>
      </c>
      <c r="Q116" s="999">
        <f>+NOMINA!BS115</f>
        <v>11.61</v>
      </c>
      <c r="R116" s="999">
        <f>+NOMINA!BT115</f>
        <v>12.58</v>
      </c>
      <c r="S116" s="986">
        <f t="shared" si="32"/>
        <v>76.44</v>
      </c>
      <c r="T116" s="986">
        <f t="shared" si="33"/>
        <v>108.85</v>
      </c>
      <c r="U116" s="1005">
        <v>0</v>
      </c>
      <c r="V116" s="443" t="e">
        <f>#REF!+#REF!-O116</f>
        <v>#REF!</v>
      </c>
      <c r="W116" s="975" t="e">
        <f>ROUND((#REF!+#REF!+#REF!+#REF!+#REF!+#REF!+#REF!+#REF!+#REF!),2)</f>
        <v>#REF!</v>
      </c>
      <c r="AA116" s="976" t="e">
        <f>#REF!+#REF!-O116</f>
        <v>#REF!</v>
      </c>
      <c r="AB116" s="977" t="e">
        <f>#REF!</f>
        <v>#REF!</v>
      </c>
      <c r="AC116" s="976" t="e">
        <f>#REF!+#REF!</f>
        <v>#REF!</v>
      </c>
      <c r="AD116" s="977" t="e">
        <f>#REF!</f>
        <v>#REF!</v>
      </c>
      <c r="AE116" s="978">
        <v>0</v>
      </c>
      <c r="AF116" s="977" t="e">
        <f>#REF!</f>
        <v>#REF!</v>
      </c>
      <c r="AG116" s="979" t="e">
        <f>#REF!+#REF!</f>
        <v>#REF!</v>
      </c>
      <c r="AH116" s="979" t="e">
        <f>#REF!+#REF!</f>
        <v>#REF!</v>
      </c>
      <c r="AI116" s="979"/>
      <c r="AJ116" s="977" t="e">
        <f>#REF!</f>
        <v>#REF!</v>
      </c>
      <c r="AK116" s="977" t="e">
        <f t="shared" si="27"/>
        <v>#REF!</v>
      </c>
      <c r="AL116" s="977">
        <f t="shared" si="28"/>
        <v>108.85</v>
      </c>
      <c r="AM116" s="977">
        <f t="shared" si="29"/>
        <v>0</v>
      </c>
      <c r="AN116" s="634"/>
    </row>
    <row r="117" spans="1:40" s="629" customFormat="1" ht="20.100000000000001" customHeight="1">
      <c r="A117" s="771">
        <f t="shared" si="34"/>
        <v>74</v>
      </c>
      <c r="B117" s="980">
        <f>+NOMINA!C116</f>
        <v>12457981</v>
      </c>
      <c r="C117" s="981" t="str">
        <f>+NOMINA!D116</f>
        <v>Escalona Ruiz Luis Alberto</v>
      </c>
      <c r="D117" s="978" t="s">
        <v>4622</v>
      </c>
      <c r="E117" s="982">
        <v>32351</v>
      </c>
      <c r="F117" s="978" t="s">
        <v>4620</v>
      </c>
      <c r="G117" s="1004">
        <f>+NOMINA!H116</f>
        <v>44348</v>
      </c>
      <c r="H117" s="984">
        <f t="shared" si="30"/>
        <v>1</v>
      </c>
      <c r="I117" s="985">
        <v>0</v>
      </c>
      <c r="J117" s="999">
        <f>+NOMINA!BL116</f>
        <v>16.329999999999998</v>
      </c>
      <c r="K117" s="999">
        <f>+NOMINA!BM116</f>
        <v>2.04</v>
      </c>
      <c r="L117" s="999">
        <f>+NOMINA!BN116</f>
        <v>4.42</v>
      </c>
      <c r="M117" s="999">
        <f>++NOMINA!BO116</f>
        <v>0</v>
      </c>
      <c r="N117" s="999">
        <f>+NOMINA!BP116</f>
        <v>0</v>
      </c>
      <c r="O117" s="986">
        <f t="shared" si="31"/>
        <v>22.79</v>
      </c>
      <c r="P117" s="999">
        <f>+NOMINA!BR116</f>
        <v>36.729999999999997</v>
      </c>
      <c r="Q117" s="999">
        <f>+NOMINA!BS116</f>
        <v>8.16</v>
      </c>
      <c r="R117" s="999">
        <f>+NOMINA!BT116</f>
        <v>8.84</v>
      </c>
      <c r="S117" s="986">
        <f t="shared" si="32"/>
        <v>53.73</v>
      </c>
      <c r="T117" s="986">
        <f t="shared" si="33"/>
        <v>76.52</v>
      </c>
      <c r="U117" s="1005">
        <v>0</v>
      </c>
      <c r="V117" s="443" t="e">
        <f>#REF!+#REF!-O117</f>
        <v>#REF!</v>
      </c>
      <c r="W117" s="975" t="e">
        <f>ROUND((#REF!+#REF!+#REF!+#REF!+#REF!+#REF!+#REF!+#REF!+#REF!),2)</f>
        <v>#REF!</v>
      </c>
      <c r="AA117" s="976" t="e">
        <f>#REF!+#REF!-O117</f>
        <v>#REF!</v>
      </c>
      <c r="AB117" s="977" t="e">
        <f>#REF!</f>
        <v>#REF!</v>
      </c>
      <c r="AC117" s="976" t="e">
        <f>#REF!+#REF!</f>
        <v>#REF!</v>
      </c>
      <c r="AD117" s="977" t="e">
        <f>#REF!</f>
        <v>#REF!</v>
      </c>
      <c r="AE117" s="978">
        <v>0</v>
      </c>
      <c r="AF117" s="977" t="e">
        <f>#REF!</f>
        <v>#REF!</v>
      </c>
      <c r="AG117" s="979" t="e">
        <f>#REF!+#REF!</f>
        <v>#REF!</v>
      </c>
      <c r="AH117" s="979" t="e">
        <f>#REF!+#REF!</f>
        <v>#REF!</v>
      </c>
      <c r="AI117" s="979"/>
      <c r="AJ117" s="977" t="e">
        <f>#REF!</f>
        <v>#REF!</v>
      </c>
      <c r="AK117" s="977" t="e">
        <f t="shared" si="27"/>
        <v>#REF!</v>
      </c>
      <c r="AL117" s="977">
        <f t="shared" si="28"/>
        <v>76.52</v>
      </c>
      <c r="AM117" s="977">
        <f t="shared" si="29"/>
        <v>0</v>
      </c>
      <c r="AN117" s="634"/>
    </row>
    <row r="118" spans="1:40" s="629" customFormat="1" ht="20.100000000000001" customHeight="1">
      <c r="A118" s="771">
        <f t="shared" si="34"/>
        <v>75</v>
      </c>
      <c r="B118" s="980">
        <f>+NOMINA!C117</f>
        <v>12458811</v>
      </c>
      <c r="C118" s="981" t="str">
        <f>+NOMINA!D117</f>
        <v>Segovia Rondon Milagros Del Valle</v>
      </c>
      <c r="D118" s="978" t="s">
        <v>4622</v>
      </c>
      <c r="E118" s="982">
        <v>32351</v>
      </c>
      <c r="F118" s="978" t="s">
        <v>4620</v>
      </c>
      <c r="G118" s="1004">
        <f>+NOMINA!H117</f>
        <v>39514</v>
      </c>
      <c r="H118" s="984">
        <f t="shared" si="30"/>
        <v>14</v>
      </c>
      <c r="I118" s="985">
        <v>0</v>
      </c>
      <c r="J118" s="999">
        <f>+NOMINA!BL117</f>
        <v>26.56</v>
      </c>
      <c r="K118" s="999">
        <f>+NOMINA!BM117</f>
        <v>3.32</v>
      </c>
      <c r="L118" s="999">
        <f>+NOMINA!BN117</f>
        <v>7.19</v>
      </c>
      <c r="M118" s="999">
        <f>++NOMINA!BO117</f>
        <v>0</v>
      </c>
      <c r="N118" s="999">
        <f>+NOMINA!BP117</f>
        <v>0</v>
      </c>
      <c r="O118" s="986">
        <f t="shared" si="31"/>
        <v>37.07</v>
      </c>
      <c r="P118" s="999">
        <f>+NOMINA!BR117</f>
        <v>59.76</v>
      </c>
      <c r="Q118" s="999">
        <f>+NOMINA!BS117</f>
        <v>13.28</v>
      </c>
      <c r="R118" s="999">
        <f>+NOMINA!BT117</f>
        <v>14.38</v>
      </c>
      <c r="S118" s="986">
        <f t="shared" si="32"/>
        <v>87.42</v>
      </c>
      <c r="T118" s="986">
        <f t="shared" si="33"/>
        <v>124.49000000000001</v>
      </c>
      <c r="U118" s="1005">
        <v>0</v>
      </c>
      <c r="V118" s="443" t="e">
        <f>#REF!+#REF!-O118</f>
        <v>#REF!</v>
      </c>
      <c r="W118" s="975" t="e">
        <f>ROUND((#REF!+#REF!+#REF!+#REF!+#REF!+#REF!+#REF!+#REF!+#REF!),2)</f>
        <v>#REF!</v>
      </c>
      <c r="AA118" s="976" t="e">
        <f>#REF!+#REF!-O118</f>
        <v>#REF!</v>
      </c>
      <c r="AB118" s="977" t="e">
        <f>#REF!</f>
        <v>#REF!</v>
      </c>
      <c r="AC118" s="976" t="e">
        <f>#REF!+#REF!</f>
        <v>#REF!</v>
      </c>
      <c r="AD118" s="977" t="e">
        <f>#REF!</f>
        <v>#REF!</v>
      </c>
      <c r="AE118" s="978">
        <v>0</v>
      </c>
      <c r="AF118" s="977" t="e">
        <f>#REF!</f>
        <v>#REF!</v>
      </c>
      <c r="AG118" s="979" t="e">
        <f>#REF!+#REF!</f>
        <v>#REF!</v>
      </c>
      <c r="AH118" s="979" t="e">
        <f>#REF!+#REF!</f>
        <v>#REF!</v>
      </c>
      <c r="AI118" s="979"/>
      <c r="AJ118" s="977" t="e">
        <f>#REF!</f>
        <v>#REF!</v>
      </c>
      <c r="AK118" s="977" t="e">
        <f t="shared" si="27"/>
        <v>#REF!</v>
      </c>
      <c r="AL118" s="977">
        <f t="shared" si="28"/>
        <v>124.49000000000001</v>
      </c>
      <c r="AM118" s="977">
        <f t="shared" si="29"/>
        <v>0</v>
      </c>
      <c r="AN118" s="634"/>
    </row>
    <row r="119" spans="1:40" s="629" customFormat="1" ht="20.100000000000001" customHeight="1">
      <c r="A119" s="771">
        <f t="shared" si="34"/>
        <v>76</v>
      </c>
      <c r="B119" s="980">
        <f>+NOMINA!C118</f>
        <v>12458942</v>
      </c>
      <c r="C119" s="981" t="str">
        <f>+NOMINA!D118</f>
        <v>Mendoza Mendoza Mirian Del Milagro</v>
      </c>
      <c r="D119" s="978" t="s">
        <v>4622</v>
      </c>
      <c r="E119" s="982">
        <v>32351</v>
      </c>
      <c r="F119" s="978" t="s">
        <v>4620</v>
      </c>
      <c r="G119" s="1004">
        <f>+NOMINA!H118</f>
        <v>44424</v>
      </c>
      <c r="H119" s="984">
        <f t="shared" si="30"/>
        <v>1</v>
      </c>
      <c r="I119" s="985">
        <v>0</v>
      </c>
      <c r="J119" s="999">
        <f>+NOMINA!BL118</f>
        <v>0</v>
      </c>
      <c r="K119" s="999">
        <f>+NOMINA!BM118</f>
        <v>0</v>
      </c>
      <c r="L119" s="999">
        <f>+NOMINA!BN118</f>
        <v>0</v>
      </c>
      <c r="M119" s="999">
        <f>++NOMINA!BO118</f>
        <v>0</v>
      </c>
      <c r="N119" s="999">
        <f>+NOMINA!BP118</f>
        <v>0</v>
      </c>
      <c r="O119" s="986">
        <f t="shared" si="31"/>
        <v>0</v>
      </c>
      <c r="P119" s="999">
        <f>+NOMINA!BR118</f>
        <v>0</v>
      </c>
      <c r="Q119" s="999">
        <f>+NOMINA!BS118</f>
        <v>0</v>
      </c>
      <c r="R119" s="999">
        <f>+NOMINA!BT118</f>
        <v>0</v>
      </c>
      <c r="S119" s="986">
        <f t="shared" si="32"/>
        <v>0</v>
      </c>
      <c r="T119" s="986">
        <f t="shared" si="33"/>
        <v>0</v>
      </c>
      <c r="U119" s="1005">
        <v>0</v>
      </c>
      <c r="V119" s="443" t="e">
        <f>#REF!+#REF!-O119</f>
        <v>#REF!</v>
      </c>
      <c r="W119" s="975" t="e">
        <f>ROUND((#REF!+#REF!+#REF!+#REF!+#REF!+#REF!+#REF!+#REF!+#REF!),2)</f>
        <v>#REF!</v>
      </c>
      <c r="AA119" s="976" t="e">
        <f>#REF!+#REF!-O119</f>
        <v>#REF!</v>
      </c>
      <c r="AB119" s="977" t="e">
        <f>#REF!</f>
        <v>#REF!</v>
      </c>
      <c r="AC119" s="976" t="e">
        <f>#REF!+#REF!</f>
        <v>#REF!</v>
      </c>
      <c r="AD119" s="977" t="e">
        <f>#REF!</f>
        <v>#REF!</v>
      </c>
      <c r="AE119" s="978">
        <v>0</v>
      </c>
      <c r="AF119" s="977" t="e">
        <f>#REF!</f>
        <v>#REF!</v>
      </c>
      <c r="AG119" s="979" t="e">
        <f>#REF!+#REF!</f>
        <v>#REF!</v>
      </c>
      <c r="AH119" s="979" t="e">
        <f>#REF!+#REF!</f>
        <v>#REF!</v>
      </c>
      <c r="AI119" s="979"/>
      <c r="AJ119" s="977" t="e">
        <f>#REF!</f>
        <v>#REF!</v>
      </c>
      <c r="AK119" s="977" t="e">
        <f t="shared" si="27"/>
        <v>#REF!</v>
      </c>
      <c r="AL119" s="977">
        <f t="shared" si="28"/>
        <v>0</v>
      </c>
      <c r="AM119" s="977">
        <f t="shared" si="29"/>
        <v>0</v>
      </c>
      <c r="AN119" s="634"/>
    </row>
    <row r="120" spans="1:40" s="629" customFormat="1" ht="20.100000000000001" customHeight="1">
      <c r="A120" s="771">
        <f t="shared" si="34"/>
        <v>77</v>
      </c>
      <c r="B120" s="980">
        <f>+NOMINA!C119</f>
        <v>12541044</v>
      </c>
      <c r="C120" s="981" t="str">
        <f>+NOMINA!D119</f>
        <v>Rojas Telles Lisbeth Josefina</v>
      </c>
      <c r="D120" s="978" t="s">
        <v>4622</v>
      </c>
      <c r="E120" s="982">
        <v>32351</v>
      </c>
      <c r="F120" s="978" t="s">
        <v>4620</v>
      </c>
      <c r="G120" s="1004">
        <f>+NOMINA!H119</f>
        <v>45597</v>
      </c>
      <c r="H120" s="984">
        <f t="shared" si="30"/>
        <v>0</v>
      </c>
      <c r="I120" s="985">
        <v>0</v>
      </c>
      <c r="J120" s="999">
        <f>+NOMINA!BL119</f>
        <v>17.93</v>
      </c>
      <c r="K120" s="999">
        <f>+NOMINA!BM119</f>
        <v>2.2400000000000002</v>
      </c>
      <c r="L120" s="999">
        <f>+NOMINA!BN119</f>
        <v>4.8600000000000003</v>
      </c>
      <c r="M120" s="999">
        <f>++NOMINA!BO119</f>
        <v>0</v>
      </c>
      <c r="N120" s="999">
        <f>+NOMINA!BP119</f>
        <v>0</v>
      </c>
      <c r="O120" s="986">
        <f t="shared" si="31"/>
        <v>25.03</v>
      </c>
      <c r="P120" s="999">
        <f>+NOMINA!BR119</f>
        <v>40.340000000000003</v>
      </c>
      <c r="Q120" s="999">
        <f>+NOMINA!BS119</f>
        <v>8.9700000000000006</v>
      </c>
      <c r="R120" s="999">
        <f>+NOMINA!BT119</f>
        <v>9.7200000000000006</v>
      </c>
      <c r="S120" s="986">
        <f t="shared" si="32"/>
        <v>59.03</v>
      </c>
      <c r="T120" s="986">
        <f t="shared" si="33"/>
        <v>84.06</v>
      </c>
      <c r="U120" s="1005">
        <v>0</v>
      </c>
      <c r="V120" s="443" t="e">
        <f>#REF!+#REF!-O120</f>
        <v>#REF!</v>
      </c>
      <c r="W120" s="975" t="e">
        <f>ROUND((#REF!+#REF!+#REF!+#REF!+#REF!+#REF!+#REF!+#REF!+#REF!),2)</f>
        <v>#REF!</v>
      </c>
      <c r="AA120" s="976" t="e">
        <f>#REF!+#REF!-O120</f>
        <v>#REF!</v>
      </c>
      <c r="AB120" s="977" t="e">
        <f>#REF!</f>
        <v>#REF!</v>
      </c>
      <c r="AC120" s="976" t="e">
        <f>#REF!+#REF!</f>
        <v>#REF!</v>
      </c>
      <c r="AD120" s="977" t="e">
        <f>#REF!</f>
        <v>#REF!</v>
      </c>
      <c r="AE120" s="978">
        <v>0</v>
      </c>
      <c r="AF120" s="977" t="e">
        <f>#REF!</f>
        <v>#REF!</v>
      </c>
      <c r="AG120" s="979" t="e">
        <f>#REF!+#REF!</f>
        <v>#REF!</v>
      </c>
      <c r="AH120" s="979" t="e">
        <f>#REF!+#REF!</f>
        <v>#REF!</v>
      </c>
      <c r="AI120" s="979"/>
      <c r="AJ120" s="977" t="e">
        <f>#REF!</f>
        <v>#REF!</v>
      </c>
      <c r="AK120" s="977" t="e">
        <f t="shared" si="27"/>
        <v>#REF!</v>
      </c>
      <c r="AL120" s="977">
        <f t="shared" si="28"/>
        <v>84.06</v>
      </c>
      <c r="AM120" s="977">
        <f t="shared" si="29"/>
        <v>0</v>
      </c>
      <c r="AN120" s="634"/>
    </row>
    <row r="121" spans="1:40" s="629" customFormat="1" ht="20.100000000000001" customHeight="1">
      <c r="A121" s="771">
        <f t="shared" si="34"/>
        <v>78</v>
      </c>
      <c r="B121" s="980">
        <f>+NOMINA!C120</f>
        <v>12542413</v>
      </c>
      <c r="C121" s="981" t="str">
        <f>+NOMINA!D120</f>
        <v>Aponte Matheus Richard Alexander</v>
      </c>
      <c r="D121" s="978" t="s">
        <v>4622</v>
      </c>
      <c r="E121" s="982">
        <v>32351</v>
      </c>
      <c r="F121" s="978" t="s">
        <v>4620</v>
      </c>
      <c r="G121" s="1004">
        <f>+NOMINA!H120</f>
        <v>36434</v>
      </c>
      <c r="H121" s="984">
        <f t="shared" si="30"/>
        <v>23</v>
      </c>
      <c r="I121" s="985">
        <v>0</v>
      </c>
      <c r="J121" s="999">
        <f>+NOMINA!BL120</f>
        <v>0</v>
      </c>
      <c r="K121" s="999">
        <f>+NOMINA!BM120</f>
        <v>0</v>
      </c>
      <c r="L121" s="999">
        <f>+NOMINA!BN120</f>
        <v>0</v>
      </c>
      <c r="M121" s="999">
        <f>++NOMINA!BO120</f>
        <v>0</v>
      </c>
      <c r="N121" s="999">
        <f>+NOMINA!BP120</f>
        <v>0</v>
      </c>
      <c r="O121" s="986">
        <f t="shared" si="31"/>
        <v>0</v>
      </c>
      <c r="P121" s="999">
        <f>+NOMINA!BR120</f>
        <v>0</v>
      </c>
      <c r="Q121" s="999">
        <f>+NOMINA!BS120</f>
        <v>0</v>
      </c>
      <c r="R121" s="999">
        <f>+NOMINA!BT120</f>
        <v>0</v>
      </c>
      <c r="S121" s="986">
        <f t="shared" si="32"/>
        <v>0</v>
      </c>
      <c r="T121" s="986">
        <f t="shared" si="33"/>
        <v>0</v>
      </c>
      <c r="U121" s="1005">
        <v>0</v>
      </c>
      <c r="V121" s="443" t="e">
        <f>#REF!+#REF!-O121</f>
        <v>#REF!</v>
      </c>
      <c r="W121" s="975" t="e">
        <f>ROUND((#REF!+#REF!+#REF!+#REF!+#REF!+#REF!+#REF!+#REF!+#REF!),2)</f>
        <v>#REF!</v>
      </c>
      <c r="AA121" s="976" t="e">
        <f>#REF!+#REF!-O121</f>
        <v>#REF!</v>
      </c>
      <c r="AB121" s="977" t="e">
        <f>#REF!</f>
        <v>#REF!</v>
      </c>
      <c r="AC121" s="976" t="e">
        <f>#REF!+#REF!</f>
        <v>#REF!</v>
      </c>
      <c r="AD121" s="977" t="e">
        <f>#REF!</f>
        <v>#REF!</v>
      </c>
      <c r="AE121" s="978">
        <v>0</v>
      </c>
      <c r="AF121" s="977" t="e">
        <f>#REF!</f>
        <v>#REF!</v>
      </c>
      <c r="AG121" s="979" t="e">
        <f>#REF!+#REF!</f>
        <v>#REF!</v>
      </c>
      <c r="AH121" s="979" t="e">
        <f>#REF!+#REF!</f>
        <v>#REF!</v>
      </c>
      <c r="AI121" s="979"/>
      <c r="AJ121" s="977" t="e">
        <f>#REF!</f>
        <v>#REF!</v>
      </c>
      <c r="AK121" s="977" t="e">
        <f t="shared" si="27"/>
        <v>#REF!</v>
      </c>
      <c r="AL121" s="977">
        <f t="shared" si="28"/>
        <v>0</v>
      </c>
      <c r="AM121" s="977">
        <f t="shared" si="29"/>
        <v>0</v>
      </c>
      <c r="AN121" s="634"/>
    </row>
    <row r="122" spans="1:40" s="629" customFormat="1" ht="20.100000000000001" customHeight="1">
      <c r="A122" s="771">
        <f t="shared" si="34"/>
        <v>79</v>
      </c>
      <c r="B122" s="980">
        <f>+NOMINA!C121</f>
        <v>12798604</v>
      </c>
      <c r="C122" s="981" t="str">
        <f>+NOMINA!D121</f>
        <v>Camacho Gomez Trina Margarita</v>
      </c>
      <c r="D122" s="978" t="s">
        <v>4622</v>
      </c>
      <c r="E122" s="982">
        <v>32351</v>
      </c>
      <c r="F122" s="978" t="s">
        <v>4620</v>
      </c>
      <c r="G122" s="1004">
        <f>+NOMINA!H121</f>
        <v>35384</v>
      </c>
      <c r="H122" s="984">
        <f t="shared" si="30"/>
        <v>26</v>
      </c>
      <c r="I122" s="985">
        <v>0</v>
      </c>
      <c r="J122" s="999">
        <f>+NOMINA!BL121</f>
        <v>13.76</v>
      </c>
      <c r="K122" s="999">
        <f>+NOMINA!BM121</f>
        <v>1.72</v>
      </c>
      <c r="L122" s="999">
        <f>+NOMINA!BN121</f>
        <v>3.73</v>
      </c>
      <c r="M122" s="999">
        <f>++NOMINA!BO121</f>
        <v>0</v>
      </c>
      <c r="N122" s="999">
        <f>+NOMINA!BP121</f>
        <v>0</v>
      </c>
      <c r="O122" s="986">
        <f t="shared" si="31"/>
        <v>19.21</v>
      </c>
      <c r="P122" s="999">
        <f>+NOMINA!BR121</f>
        <v>30.95</v>
      </c>
      <c r="Q122" s="999">
        <f>+NOMINA!BS121</f>
        <v>6.88</v>
      </c>
      <c r="R122" s="999">
        <f>+NOMINA!BT121</f>
        <v>7.46</v>
      </c>
      <c r="S122" s="986">
        <f t="shared" si="32"/>
        <v>45.29</v>
      </c>
      <c r="T122" s="986">
        <f t="shared" si="33"/>
        <v>64.5</v>
      </c>
      <c r="U122" s="1005">
        <v>0</v>
      </c>
      <c r="V122" s="443" t="e">
        <f>#REF!+#REF!-O122</f>
        <v>#REF!</v>
      </c>
      <c r="W122" s="975" t="e">
        <f>ROUND((#REF!+#REF!+#REF!+#REF!+#REF!+#REF!+#REF!+#REF!+#REF!),2)</f>
        <v>#REF!</v>
      </c>
      <c r="AA122" s="976" t="e">
        <f>#REF!+#REF!-O122</f>
        <v>#REF!</v>
      </c>
      <c r="AB122" s="977" t="e">
        <f>#REF!</f>
        <v>#REF!</v>
      </c>
      <c r="AC122" s="976" t="e">
        <f>#REF!+#REF!</f>
        <v>#REF!</v>
      </c>
      <c r="AD122" s="977" t="e">
        <f>#REF!</f>
        <v>#REF!</v>
      </c>
      <c r="AE122" s="978">
        <v>0</v>
      </c>
      <c r="AF122" s="977" t="e">
        <f>#REF!</f>
        <v>#REF!</v>
      </c>
      <c r="AG122" s="979" t="e">
        <f>#REF!+#REF!</f>
        <v>#REF!</v>
      </c>
      <c r="AH122" s="979" t="e">
        <f>#REF!+#REF!</f>
        <v>#REF!</v>
      </c>
      <c r="AI122" s="979"/>
      <c r="AJ122" s="977" t="e">
        <f>#REF!</f>
        <v>#REF!</v>
      </c>
      <c r="AK122" s="977" t="e">
        <f t="shared" si="27"/>
        <v>#REF!</v>
      </c>
      <c r="AL122" s="977">
        <f t="shared" si="28"/>
        <v>64.5</v>
      </c>
      <c r="AM122" s="977">
        <f t="shared" si="29"/>
        <v>0</v>
      </c>
      <c r="AN122" s="634"/>
    </row>
    <row r="123" spans="1:40" s="629" customFormat="1" ht="20.100000000000001" customHeight="1">
      <c r="A123" s="771">
        <f t="shared" si="34"/>
        <v>80</v>
      </c>
      <c r="B123" s="980">
        <f>+NOMINA!C122</f>
        <v>12798736</v>
      </c>
      <c r="C123" s="981" t="str">
        <f>+NOMINA!D122</f>
        <v>Gonzalez Pabon Marianela</v>
      </c>
      <c r="D123" s="978" t="s">
        <v>4622</v>
      </c>
      <c r="E123" s="982">
        <v>32351</v>
      </c>
      <c r="F123" s="978" t="s">
        <v>4620</v>
      </c>
      <c r="G123" s="1004">
        <f>+NOMINA!H122</f>
        <v>39479</v>
      </c>
      <c r="H123" s="984">
        <f t="shared" si="30"/>
        <v>14</v>
      </c>
      <c r="I123" s="985">
        <v>0</v>
      </c>
      <c r="J123" s="999">
        <f>+NOMINA!BL122</f>
        <v>25.54</v>
      </c>
      <c r="K123" s="999">
        <f>+NOMINA!BM122</f>
        <v>3.19</v>
      </c>
      <c r="L123" s="999">
        <f>+NOMINA!BN122</f>
        <v>6.92</v>
      </c>
      <c r="M123" s="999">
        <f>++NOMINA!BO122</f>
        <v>0</v>
      </c>
      <c r="N123" s="999">
        <f>+NOMINA!BP122</f>
        <v>0</v>
      </c>
      <c r="O123" s="986">
        <f t="shared" si="31"/>
        <v>35.65</v>
      </c>
      <c r="P123" s="999">
        <f>+NOMINA!BR122</f>
        <v>57.46</v>
      </c>
      <c r="Q123" s="999">
        <f>+NOMINA!BS122</f>
        <v>12.77</v>
      </c>
      <c r="R123" s="999">
        <f>+NOMINA!BT122</f>
        <v>13.84</v>
      </c>
      <c r="S123" s="986">
        <f t="shared" si="32"/>
        <v>84.07</v>
      </c>
      <c r="T123" s="986">
        <f t="shared" si="33"/>
        <v>119.72</v>
      </c>
      <c r="U123" s="1005">
        <v>0</v>
      </c>
      <c r="V123" s="443" t="e">
        <f>#REF!+#REF!-O123</f>
        <v>#REF!</v>
      </c>
      <c r="W123" s="975" t="e">
        <f>ROUND((#REF!+#REF!+#REF!+#REF!+#REF!+#REF!+#REF!+#REF!+#REF!),2)</f>
        <v>#REF!</v>
      </c>
      <c r="AA123" s="976" t="e">
        <f>#REF!+#REF!-O123</f>
        <v>#REF!</v>
      </c>
      <c r="AB123" s="977" t="e">
        <f>#REF!</f>
        <v>#REF!</v>
      </c>
      <c r="AC123" s="976" t="e">
        <f>#REF!+#REF!</f>
        <v>#REF!</v>
      </c>
      <c r="AD123" s="977" t="e">
        <f>#REF!</f>
        <v>#REF!</v>
      </c>
      <c r="AE123" s="978">
        <v>0</v>
      </c>
      <c r="AF123" s="977" t="e">
        <f>#REF!</f>
        <v>#REF!</v>
      </c>
      <c r="AG123" s="979" t="e">
        <f>#REF!+#REF!</f>
        <v>#REF!</v>
      </c>
      <c r="AH123" s="979" t="e">
        <f>#REF!+#REF!</f>
        <v>#REF!</v>
      </c>
      <c r="AI123" s="979"/>
      <c r="AJ123" s="977" t="e">
        <f>#REF!</f>
        <v>#REF!</v>
      </c>
      <c r="AK123" s="977" t="e">
        <f t="shared" si="27"/>
        <v>#REF!</v>
      </c>
      <c r="AL123" s="977">
        <f t="shared" si="28"/>
        <v>119.72</v>
      </c>
      <c r="AM123" s="977">
        <f t="shared" si="29"/>
        <v>0</v>
      </c>
      <c r="AN123" s="634"/>
    </row>
    <row r="124" spans="1:40" s="629" customFormat="1" ht="20.100000000000001" customHeight="1">
      <c r="A124" s="771">
        <f t="shared" si="34"/>
        <v>81</v>
      </c>
      <c r="B124" s="980">
        <f>+NOMINA!C123</f>
        <v>12939010</v>
      </c>
      <c r="C124" s="981" t="str">
        <f>+NOMINA!D123</f>
        <v>Mendez de Viloria Yelitza Del Valle</v>
      </c>
      <c r="D124" s="978" t="s">
        <v>4622</v>
      </c>
      <c r="E124" s="982">
        <v>32351</v>
      </c>
      <c r="F124" s="978" t="s">
        <v>4620</v>
      </c>
      <c r="G124" s="1004">
        <f>+NOMINA!H123</f>
        <v>42948</v>
      </c>
      <c r="H124" s="984">
        <f t="shared" si="30"/>
        <v>5</v>
      </c>
      <c r="I124" s="985">
        <v>0</v>
      </c>
      <c r="J124" s="999">
        <f>+NOMINA!BL123</f>
        <v>16.95</v>
      </c>
      <c r="K124" s="999">
        <f>+NOMINA!BM123</f>
        <v>2.12</v>
      </c>
      <c r="L124" s="999">
        <f>+NOMINA!BN123</f>
        <v>4.59</v>
      </c>
      <c r="M124" s="999">
        <f>++NOMINA!BO123</f>
        <v>0</v>
      </c>
      <c r="N124" s="999">
        <f>+NOMINA!BP123</f>
        <v>0</v>
      </c>
      <c r="O124" s="986">
        <f t="shared" si="31"/>
        <v>23.66</v>
      </c>
      <c r="P124" s="999">
        <f>+NOMINA!BR123</f>
        <v>38.15</v>
      </c>
      <c r="Q124" s="999">
        <f>+NOMINA!BS123</f>
        <v>8.48</v>
      </c>
      <c r="R124" s="999">
        <f>+NOMINA!BT123</f>
        <v>9.18</v>
      </c>
      <c r="S124" s="986">
        <f t="shared" si="32"/>
        <v>55.81</v>
      </c>
      <c r="T124" s="986">
        <f t="shared" si="33"/>
        <v>79.47</v>
      </c>
      <c r="U124" s="1005">
        <v>0</v>
      </c>
      <c r="V124" s="443" t="e">
        <f>#REF!+#REF!-O124</f>
        <v>#REF!</v>
      </c>
      <c r="W124" s="975" t="e">
        <f>ROUND((#REF!+#REF!+#REF!+#REF!+#REF!+#REF!+#REF!+#REF!+#REF!),2)</f>
        <v>#REF!</v>
      </c>
      <c r="AA124" s="976" t="e">
        <f>#REF!+#REF!-O124</f>
        <v>#REF!</v>
      </c>
      <c r="AB124" s="977" t="e">
        <f>#REF!</f>
        <v>#REF!</v>
      </c>
      <c r="AC124" s="976" t="e">
        <f>#REF!+#REF!</f>
        <v>#REF!</v>
      </c>
      <c r="AD124" s="977" t="e">
        <f>#REF!</f>
        <v>#REF!</v>
      </c>
      <c r="AE124" s="978">
        <v>0</v>
      </c>
      <c r="AF124" s="977" t="e">
        <f>#REF!</f>
        <v>#REF!</v>
      </c>
      <c r="AG124" s="979" t="e">
        <f>#REF!+#REF!</f>
        <v>#REF!</v>
      </c>
      <c r="AH124" s="979" t="e">
        <f>#REF!+#REF!</f>
        <v>#REF!</v>
      </c>
      <c r="AI124" s="979"/>
      <c r="AJ124" s="977" t="e">
        <f>#REF!</f>
        <v>#REF!</v>
      </c>
      <c r="AK124" s="977" t="e">
        <f t="shared" si="27"/>
        <v>#REF!</v>
      </c>
      <c r="AL124" s="977">
        <f t="shared" si="28"/>
        <v>79.47</v>
      </c>
      <c r="AM124" s="977">
        <f t="shared" si="29"/>
        <v>0</v>
      </c>
      <c r="AN124" s="634"/>
    </row>
    <row r="125" spans="1:40" s="629" customFormat="1" ht="20.100000000000001" customHeight="1">
      <c r="A125" s="771">
        <f t="shared" si="34"/>
        <v>82</v>
      </c>
      <c r="B125" s="980">
        <f>+NOMINA!C124</f>
        <v>12941385</v>
      </c>
      <c r="C125" s="981" t="str">
        <f>+NOMINA!D124</f>
        <v>Torres de Gonzalez Milangela Maria</v>
      </c>
      <c r="D125" s="978" t="s">
        <v>4622</v>
      </c>
      <c r="E125" s="982">
        <v>32351</v>
      </c>
      <c r="F125" s="978" t="s">
        <v>4620</v>
      </c>
      <c r="G125" s="1004">
        <f>+NOMINA!H124</f>
        <v>42948</v>
      </c>
      <c r="H125" s="984">
        <f t="shared" si="30"/>
        <v>5</v>
      </c>
      <c r="I125" s="985">
        <v>0</v>
      </c>
      <c r="J125" s="999">
        <f>+NOMINA!BL124</f>
        <v>19.829999999999998</v>
      </c>
      <c r="K125" s="999">
        <f>+NOMINA!BM124</f>
        <v>2.48</v>
      </c>
      <c r="L125" s="999">
        <f>+NOMINA!BN124</f>
        <v>5.37</v>
      </c>
      <c r="M125" s="999">
        <f>++NOMINA!BO124</f>
        <v>0</v>
      </c>
      <c r="N125" s="999">
        <f>+NOMINA!BP124</f>
        <v>0</v>
      </c>
      <c r="O125" s="986">
        <f t="shared" si="31"/>
        <v>27.68</v>
      </c>
      <c r="P125" s="999">
        <f>+NOMINA!BR124</f>
        <v>44.62</v>
      </c>
      <c r="Q125" s="999">
        <f>+NOMINA!BS124</f>
        <v>9.91</v>
      </c>
      <c r="R125" s="999">
        <f>+NOMINA!BT124</f>
        <v>10.74</v>
      </c>
      <c r="S125" s="986">
        <f t="shared" si="32"/>
        <v>65.27</v>
      </c>
      <c r="T125" s="986">
        <f t="shared" si="33"/>
        <v>92.949999999999989</v>
      </c>
      <c r="U125" s="1005">
        <v>0</v>
      </c>
      <c r="V125" s="443" t="e">
        <f>#REF!+#REF!-O125</f>
        <v>#REF!</v>
      </c>
      <c r="W125" s="975" t="e">
        <f>ROUND((#REF!+#REF!+#REF!+#REF!+#REF!+#REF!+#REF!+#REF!+#REF!),2)</f>
        <v>#REF!</v>
      </c>
      <c r="AA125" s="976" t="e">
        <f>#REF!+#REF!-O125</f>
        <v>#REF!</v>
      </c>
      <c r="AB125" s="977" t="e">
        <f>#REF!</f>
        <v>#REF!</v>
      </c>
      <c r="AC125" s="976" t="e">
        <f>#REF!+#REF!</f>
        <v>#REF!</v>
      </c>
      <c r="AD125" s="977" t="e">
        <f>#REF!</f>
        <v>#REF!</v>
      </c>
      <c r="AE125" s="978">
        <v>0</v>
      </c>
      <c r="AF125" s="977" t="e">
        <f>#REF!</f>
        <v>#REF!</v>
      </c>
      <c r="AG125" s="979" t="e">
        <f>#REF!+#REF!</f>
        <v>#REF!</v>
      </c>
      <c r="AH125" s="979" t="e">
        <f>#REF!+#REF!</f>
        <v>#REF!</v>
      </c>
      <c r="AI125" s="979"/>
      <c r="AJ125" s="977" t="e">
        <f>#REF!</f>
        <v>#REF!</v>
      </c>
      <c r="AK125" s="977" t="e">
        <f t="shared" si="27"/>
        <v>#REF!</v>
      </c>
      <c r="AL125" s="977">
        <f t="shared" si="28"/>
        <v>92.949999999999989</v>
      </c>
      <c r="AM125" s="977">
        <f t="shared" si="29"/>
        <v>0</v>
      </c>
      <c r="AN125" s="634"/>
    </row>
    <row r="126" spans="1:40" s="629" customFormat="1" ht="20.100000000000001" customHeight="1">
      <c r="A126" s="771">
        <f t="shared" si="34"/>
        <v>83</v>
      </c>
      <c r="B126" s="980">
        <f>+NOMINA!C125</f>
        <v>13117904</v>
      </c>
      <c r="C126" s="981" t="str">
        <f>+NOMINA!D125</f>
        <v>Villegas Jaime Antonio</v>
      </c>
      <c r="D126" s="978" t="s">
        <v>4622</v>
      </c>
      <c r="E126" s="982">
        <v>32351</v>
      </c>
      <c r="F126" s="978" t="s">
        <v>4620</v>
      </c>
      <c r="G126" s="1004">
        <f>+NOMINA!H125</f>
        <v>43693</v>
      </c>
      <c r="H126" s="984">
        <f t="shared" si="30"/>
        <v>3</v>
      </c>
      <c r="I126" s="985">
        <v>0</v>
      </c>
      <c r="J126" s="999">
        <f>+NOMINA!BL125</f>
        <v>14.4</v>
      </c>
      <c r="K126" s="999">
        <f>+NOMINA!BM125</f>
        <v>1.8</v>
      </c>
      <c r="L126" s="999">
        <f>+NOMINA!BN125</f>
        <v>3.9</v>
      </c>
      <c r="M126" s="999">
        <f>++NOMINA!BO125</f>
        <v>0</v>
      </c>
      <c r="N126" s="999">
        <f>+NOMINA!BP125</f>
        <v>0</v>
      </c>
      <c r="O126" s="986">
        <f t="shared" si="31"/>
        <v>20.100000000000001</v>
      </c>
      <c r="P126" s="999">
        <f>+NOMINA!BR125</f>
        <v>32.4</v>
      </c>
      <c r="Q126" s="999">
        <f>+NOMINA!BS125</f>
        <v>7.2</v>
      </c>
      <c r="R126" s="999">
        <f>+NOMINA!BT125</f>
        <v>7.8</v>
      </c>
      <c r="S126" s="986">
        <f t="shared" si="32"/>
        <v>47.4</v>
      </c>
      <c r="T126" s="986">
        <f t="shared" si="33"/>
        <v>67.5</v>
      </c>
      <c r="U126" s="1005">
        <v>0</v>
      </c>
      <c r="V126" s="443" t="e">
        <f>#REF!+#REF!-O126</f>
        <v>#REF!</v>
      </c>
      <c r="W126" s="975" t="e">
        <f>ROUND((#REF!+#REF!+#REF!+#REF!+#REF!+#REF!+#REF!+#REF!+#REF!),2)</f>
        <v>#REF!</v>
      </c>
      <c r="AA126" s="976" t="e">
        <f>#REF!+#REF!-O126</f>
        <v>#REF!</v>
      </c>
      <c r="AB126" s="977" t="e">
        <f>#REF!</f>
        <v>#REF!</v>
      </c>
      <c r="AC126" s="976" t="e">
        <f>#REF!+#REF!</f>
        <v>#REF!</v>
      </c>
      <c r="AD126" s="977" t="e">
        <f>#REF!</f>
        <v>#REF!</v>
      </c>
      <c r="AE126" s="978">
        <v>0</v>
      </c>
      <c r="AF126" s="977" t="e">
        <f>#REF!</f>
        <v>#REF!</v>
      </c>
      <c r="AG126" s="979" t="e">
        <f>#REF!+#REF!</f>
        <v>#REF!</v>
      </c>
      <c r="AH126" s="979" t="e">
        <f>#REF!+#REF!</f>
        <v>#REF!</v>
      </c>
      <c r="AI126" s="979"/>
      <c r="AJ126" s="977" t="e">
        <f>#REF!</f>
        <v>#REF!</v>
      </c>
      <c r="AK126" s="977" t="e">
        <f t="shared" si="27"/>
        <v>#REF!</v>
      </c>
      <c r="AL126" s="977">
        <f t="shared" si="28"/>
        <v>67.5</v>
      </c>
      <c r="AM126" s="977">
        <f t="shared" si="29"/>
        <v>0</v>
      </c>
      <c r="AN126" s="634"/>
    </row>
    <row r="127" spans="1:40" s="629" customFormat="1" ht="20.100000000000001" customHeight="1">
      <c r="A127" s="771">
        <f t="shared" si="34"/>
        <v>84</v>
      </c>
      <c r="B127" s="980">
        <f>+NOMINA!C126</f>
        <v>13206767</v>
      </c>
      <c r="C127" s="981" t="str">
        <f>+NOMINA!D126</f>
        <v>Bastidas Guerra Soralis del Valle</v>
      </c>
      <c r="D127" s="978" t="s">
        <v>4622</v>
      </c>
      <c r="E127" s="982">
        <v>32351</v>
      </c>
      <c r="F127" s="978" t="s">
        <v>4620</v>
      </c>
      <c r="G127" s="1004">
        <f>+NOMINA!H126</f>
        <v>44713</v>
      </c>
      <c r="H127" s="984">
        <f t="shared" si="30"/>
        <v>0</v>
      </c>
      <c r="I127" s="985">
        <v>0</v>
      </c>
      <c r="J127" s="999">
        <f>+NOMINA!BL126</f>
        <v>0</v>
      </c>
      <c r="K127" s="999">
        <f>+NOMINA!BM126</f>
        <v>0</v>
      </c>
      <c r="L127" s="999">
        <f>+NOMINA!BN126</f>
        <v>0</v>
      </c>
      <c r="M127" s="999">
        <f>++NOMINA!BO126</f>
        <v>0</v>
      </c>
      <c r="N127" s="999">
        <f>+NOMINA!BP126</f>
        <v>0</v>
      </c>
      <c r="O127" s="986">
        <f t="shared" si="31"/>
        <v>0</v>
      </c>
      <c r="P127" s="999">
        <f>+NOMINA!BR126</f>
        <v>0</v>
      </c>
      <c r="Q127" s="999">
        <f>+NOMINA!BS126</f>
        <v>0</v>
      </c>
      <c r="R127" s="999">
        <f>+NOMINA!BT126</f>
        <v>0</v>
      </c>
      <c r="S127" s="986">
        <f t="shared" si="32"/>
        <v>0</v>
      </c>
      <c r="T127" s="986">
        <f t="shared" si="33"/>
        <v>0</v>
      </c>
      <c r="U127" s="1005">
        <v>0</v>
      </c>
      <c r="V127" s="443" t="e">
        <f>#REF!+#REF!-O127</f>
        <v>#REF!</v>
      </c>
      <c r="W127" s="975" t="e">
        <f>ROUND((#REF!+#REF!+#REF!+#REF!+#REF!+#REF!+#REF!+#REF!+#REF!),2)</f>
        <v>#REF!</v>
      </c>
      <c r="AA127" s="976" t="e">
        <f>#REF!+#REF!-O127</f>
        <v>#REF!</v>
      </c>
      <c r="AB127" s="977" t="e">
        <f>#REF!</f>
        <v>#REF!</v>
      </c>
      <c r="AC127" s="976" t="e">
        <f>#REF!+#REF!</f>
        <v>#REF!</v>
      </c>
      <c r="AD127" s="977" t="e">
        <f>#REF!</f>
        <v>#REF!</v>
      </c>
      <c r="AE127" s="978">
        <v>0</v>
      </c>
      <c r="AF127" s="977" t="e">
        <f>#REF!</f>
        <v>#REF!</v>
      </c>
      <c r="AG127" s="979" t="e">
        <f>#REF!+#REF!</f>
        <v>#REF!</v>
      </c>
      <c r="AH127" s="979" t="e">
        <f>#REF!+#REF!</f>
        <v>#REF!</v>
      </c>
      <c r="AI127" s="979"/>
      <c r="AJ127" s="977" t="e">
        <f>#REF!</f>
        <v>#REF!</v>
      </c>
      <c r="AK127" s="977" t="e">
        <f t="shared" si="27"/>
        <v>#REF!</v>
      </c>
      <c r="AL127" s="977">
        <f t="shared" si="28"/>
        <v>0</v>
      </c>
      <c r="AM127" s="977">
        <f t="shared" si="29"/>
        <v>0</v>
      </c>
      <c r="AN127" s="634"/>
    </row>
    <row r="128" spans="1:40" s="629" customFormat="1" ht="20.100000000000001" customHeight="1">
      <c r="A128" s="771">
        <f t="shared" si="34"/>
        <v>85</v>
      </c>
      <c r="B128" s="980">
        <f>+NOMINA!C127</f>
        <v>13207692</v>
      </c>
      <c r="C128" s="981" t="str">
        <f>+NOMINA!D127</f>
        <v>Macias Briceño Alejandra Coromoto</v>
      </c>
      <c r="D128" s="978" t="s">
        <v>4622</v>
      </c>
      <c r="E128" s="982">
        <v>32351</v>
      </c>
      <c r="F128" s="978" t="s">
        <v>4620</v>
      </c>
      <c r="G128" s="1004">
        <f>+NOMINA!H127</f>
        <v>38504</v>
      </c>
      <c r="H128" s="984">
        <f t="shared" si="30"/>
        <v>17</v>
      </c>
      <c r="I128" s="985">
        <v>0</v>
      </c>
      <c r="J128" s="999">
        <f>+NOMINA!BL127</f>
        <v>23.63</v>
      </c>
      <c r="K128" s="999">
        <f>+NOMINA!BM127</f>
        <v>2.95</v>
      </c>
      <c r="L128" s="999">
        <f>+NOMINA!BN127</f>
        <v>6.4</v>
      </c>
      <c r="M128" s="999">
        <f>++NOMINA!BO127</f>
        <v>0</v>
      </c>
      <c r="N128" s="999">
        <f>+NOMINA!BP127</f>
        <v>0</v>
      </c>
      <c r="O128" s="986">
        <f t="shared" si="31"/>
        <v>32.979999999999997</v>
      </c>
      <c r="P128" s="999">
        <f>+NOMINA!BR127</f>
        <v>53.17</v>
      </c>
      <c r="Q128" s="999">
        <f>+NOMINA!BS127</f>
        <v>11.82</v>
      </c>
      <c r="R128" s="999">
        <f>+NOMINA!BT127</f>
        <v>12.8</v>
      </c>
      <c r="S128" s="986">
        <f t="shared" si="32"/>
        <v>77.790000000000006</v>
      </c>
      <c r="T128" s="986">
        <f t="shared" si="33"/>
        <v>110.77000000000001</v>
      </c>
      <c r="U128" s="1005">
        <v>0</v>
      </c>
      <c r="V128" s="443" t="e">
        <f>#REF!+#REF!-O128</f>
        <v>#REF!</v>
      </c>
      <c r="W128" s="975" t="e">
        <f>ROUND((#REF!+#REF!+#REF!+#REF!+#REF!+#REF!+#REF!+#REF!+#REF!),2)</f>
        <v>#REF!</v>
      </c>
      <c r="AA128" s="976" t="e">
        <f>#REF!+#REF!-O128</f>
        <v>#REF!</v>
      </c>
      <c r="AB128" s="977" t="e">
        <f>#REF!</f>
        <v>#REF!</v>
      </c>
      <c r="AC128" s="976" t="e">
        <f>#REF!+#REF!</f>
        <v>#REF!</v>
      </c>
      <c r="AD128" s="977" t="e">
        <f>#REF!</f>
        <v>#REF!</v>
      </c>
      <c r="AE128" s="978">
        <v>0</v>
      </c>
      <c r="AF128" s="977" t="e">
        <f>#REF!</f>
        <v>#REF!</v>
      </c>
      <c r="AG128" s="979" t="e">
        <f>#REF!+#REF!</f>
        <v>#REF!</v>
      </c>
      <c r="AH128" s="979" t="e">
        <f>#REF!+#REF!</f>
        <v>#REF!</v>
      </c>
      <c r="AI128" s="979"/>
      <c r="AJ128" s="977" t="e">
        <f>#REF!</f>
        <v>#REF!</v>
      </c>
      <c r="AK128" s="977" t="e">
        <f t="shared" si="27"/>
        <v>#REF!</v>
      </c>
      <c r="AL128" s="977">
        <f t="shared" si="28"/>
        <v>110.77000000000001</v>
      </c>
      <c r="AM128" s="977">
        <f t="shared" si="29"/>
        <v>0</v>
      </c>
      <c r="AN128" s="634"/>
    </row>
    <row r="129" spans="1:40" s="629" customFormat="1" ht="20.100000000000001" customHeight="1">
      <c r="A129" s="771">
        <f t="shared" si="34"/>
        <v>86</v>
      </c>
      <c r="B129" s="980">
        <f>+NOMINA!C128</f>
        <v>13260050</v>
      </c>
      <c r="C129" s="981" t="str">
        <f>+NOMINA!D128</f>
        <v>Mendoza Vieras Maria Elena</v>
      </c>
      <c r="D129" s="978" t="s">
        <v>4622</v>
      </c>
      <c r="E129" s="982">
        <v>32351</v>
      </c>
      <c r="F129" s="978" t="s">
        <v>4620</v>
      </c>
      <c r="G129" s="1004">
        <f>+NOMINA!H128</f>
        <v>45444</v>
      </c>
      <c r="H129" s="984">
        <f t="shared" si="30"/>
        <v>0</v>
      </c>
      <c r="I129" s="985">
        <v>0</v>
      </c>
      <c r="J129" s="999">
        <f>+NOMINA!BL128</f>
        <v>20.86</v>
      </c>
      <c r="K129" s="999">
        <f>+NOMINA!BM128</f>
        <v>2.61</v>
      </c>
      <c r="L129" s="999">
        <f>+NOMINA!BN128</f>
        <v>5.65</v>
      </c>
      <c r="M129" s="999">
        <f>++NOMINA!BO128</f>
        <v>0</v>
      </c>
      <c r="N129" s="999">
        <f>+NOMINA!BP128</f>
        <v>0</v>
      </c>
      <c r="O129" s="986">
        <f t="shared" si="31"/>
        <v>29.12</v>
      </c>
      <c r="P129" s="999">
        <f>+NOMINA!BR128</f>
        <v>46.94</v>
      </c>
      <c r="Q129" s="999">
        <f>+NOMINA!BS128</f>
        <v>10.43</v>
      </c>
      <c r="R129" s="999">
        <f>+NOMINA!BT128</f>
        <v>11.3</v>
      </c>
      <c r="S129" s="986">
        <f t="shared" si="32"/>
        <v>68.67</v>
      </c>
      <c r="T129" s="986">
        <f t="shared" si="33"/>
        <v>97.79</v>
      </c>
      <c r="U129" s="1005">
        <v>0</v>
      </c>
      <c r="V129" s="443" t="e">
        <f>#REF!+#REF!-O129</f>
        <v>#REF!</v>
      </c>
      <c r="W129" s="975" t="e">
        <f>ROUND((#REF!+#REF!+#REF!+#REF!+#REF!+#REF!+#REF!+#REF!+#REF!),2)</f>
        <v>#REF!</v>
      </c>
      <c r="AA129" s="976" t="e">
        <f>#REF!+#REF!-O129</f>
        <v>#REF!</v>
      </c>
      <c r="AB129" s="977" t="e">
        <f>#REF!</f>
        <v>#REF!</v>
      </c>
      <c r="AC129" s="976" t="e">
        <f>#REF!+#REF!</f>
        <v>#REF!</v>
      </c>
      <c r="AD129" s="977" t="e">
        <f>#REF!</f>
        <v>#REF!</v>
      </c>
      <c r="AE129" s="978">
        <v>0</v>
      </c>
      <c r="AF129" s="977" t="e">
        <f>#REF!</f>
        <v>#REF!</v>
      </c>
      <c r="AG129" s="979" t="e">
        <f>#REF!+#REF!</f>
        <v>#REF!</v>
      </c>
      <c r="AH129" s="979" t="e">
        <f>#REF!+#REF!</f>
        <v>#REF!</v>
      </c>
      <c r="AI129" s="979"/>
      <c r="AJ129" s="977" t="e">
        <f>#REF!</f>
        <v>#REF!</v>
      </c>
      <c r="AK129" s="977" t="e">
        <f t="shared" si="27"/>
        <v>#REF!</v>
      </c>
      <c r="AL129" s="977">
        <f t="shared" si="28"/>
        <v>97.79</v>
      </c>
      <c r="AM129" s="977">
        <f t="shared" si="29"/>
        <v>0</v>
      </c>
      <c r="AN129" s="634"/>
    </row>
    <row r="130" spans="1:40" s="629" customFormat="1" ht="20.100000000000001" customHeight="1">
      <c r="A130" s="771">
        <f t="shared" si="34"/>
        <v>87</v>
      </c>
      <c r="B130" s="980">
        <f>+NOMINA!C129</f>
        <v>13260933</v>
      </c>
      <c r="C130" s="981" t="str">
        <f>+NOMINA!D129</f>
        <v>Venegas Azuaje Freddy Jose</v>
      </c>
      <c r="D130" s="978" t="s">
        <v>4622</v>
      </c>
      <c r="E130" s="982">
        <v>32351</v>
      </c>
      <c r="F130" s="978" t="s">
        <v>4620</v>
      </c>
      <c r="G130" s="1004">
        <f>+NOMINA!H129</f>
        <v>45474</v>
      </c>
      <c r="H130" s="984">
        <f t="shared" si="30"/>
        <v>0</v>
      </c>
      <c r="I130" s="985">
        <v>0</v>
      </c>
      <c r="J130" s="999">
        <f>+NOMINA!BL129</f>
        <v>12.48</v>
      </c>
      <c r="K130" s="999">
        <f>+NOMINA!BM129</f>
        <v>1.56</v>
      </c>
      <c r="L130" s="999">
        <f>+NOMINA!BN129</f>
        <v>3.38</v>
      </c>
      <c r="M130" s="999">
        <f>++NOMINA!BO129</f>
        <v>0</v>
      </c>
      <c r="N130" s="999">
        <f>+NOMINA!BP129</f>
        <v>0</v>
      </c>
      <c r="O130" s="986">
        <f t="shared" si="31"/>
        <v>17.420000000000002</v>
      </c>
      <c r="P130" s="999">
        <f>+NOMINA!BR129</f>
        <v>28.08</v>
      </c>
      <c r="Q130" s="999">
        <f>+NOMINA!BS129</f>
        <v>6.24</v>
      </c>
      <c r="R130" s="999">
        <f>+NOMINA!BT129</f>
        <v>6.76</v>
      </c>
      <c r="S130" s="986">
        <f t="shared" si="32"/>
        <v>41.08</v>
      </c>
      <c r="T130" s="986">
        <f t="shared" si="33"/>
        <v>58.5</v>
      </c>
      <c r="U130" s="1005">
        <v>0</v>
      </c>
      <c r="V130" s="443" t="e">
        <f>#REF!+#REF!-O130</f>
        <v>#REF!</v>
      </c>
      <c r="W130" s="975" t="e">
        <f>ROUND((#REF!+#REF!+#REF!+#REF!+#REF!+#REF!+#REF!+#REF!+#REF!),2)</f>
        <v>#REF!</v>
      </c>
      <c r="AA130" s="976" t="e">
        <f>#REF!+#REF!-O130</f>
        <v>#REF!</v>
      </c>
      <c r="AB130" s="977" t="e">
        <f>#REF!</f>
        <v>#REF!</v>
      </c>
      <c r="AC130" s="976" t="e">
        <f>#REF!+#REF!</f>
        <v>#REF!</v>
      </c>
      <c r="AD130" s="977" t="e">
        <f>#REF!</f>
        <v>#REF!</v>
      </c>
      <c r="AE130" s="978">
        <v>0</v>
      </c>
      <c r="AF130" s="977" t="e">
        <f>#REF!</f>
        <v>#REF!</v>
      </c>
      <c r="AG130" s="979" t="e">
        <f>#REF!+#REF!</f>
        <v>#REF!</v>
      </c>
      <c r="AH130" s="979" t="e">
        <f>#REF!+#REF!</f>
        <v>#REF!</v>
      </c>
      <c r="AI130" s="979"/>
      <c r="AJ130" s="977" t="e">
        <f>#REF!</f>
        <v>#REF!</v>
      </c>
      <c r="AK130" s="977" t="e">
        <f t="shared" si="27"/>
        <v>#REF!</v>
      </c>
      <c r="AL130" s="977">
        <f t="shared" si="28"/>
        <v>58.5</v>
      </c>
      <c r="AM130" s="977">
        <f t="shared" si="29"/>
        <v>0</v>
      </c>
      <c r="AN130" s="634"/>
    </row>
    <row r="131" spans="1:40" s="629" customFormat="1" ht="20.100000000000001" customHeight="1">
      <c r="A131" s="771">
        <f t="shared" si="34"/>
        <v>88</v>
      </c>
      <c r="B131" s="980">
        <f>+NOMINA!C130</f>
        <v>13261035</v>
      </c>
      <c r="C131" s="981" t="str">
        <f>+NOMINA!D130</f>
        <v>Henry Peña Yokary Nakary</v>
      </c>
      <c r="D131" s="978" t="s">
        <v>4622</v>
      </c>
      <c r="E131" s="982">
        <v>32351</v>
      </c>
      <c r="F131" s="978" t="s">
        <v>4620</v>
      </c>
      <c r="G131" s="1004">
        <f>+NOMINA!H130</f>
        <v>43770</v>
      </c>
      <c r="H131" s="984">
        <f t="shared" si="30"/>
        <v>3</v>
      </c>
      <c r="I131" s="985">
        <v>0</v>
      </c>
      <c r="J131" s="999">
        <f>+NOMINA!BL130</f>
        <v>19.420000000000002</v>
      </c>
      <c r="K131" s="999">
        <f>+NOMINA!BM130</f>
        <v>2.4300000000000002</v>
      </c>
      <c r="L131" s="999">
        <f>+NOMINA!BN130</f>
        <v>5.26</v>
      </c>
      <c r="M131" s="999">
        <f>++NOMINA!BO130</f>
        <v>0</v>
      </c>
      <c r="N131" s="999">
        <f>+NOMINA!BP130</f>
        <v>0</v>
      </c>
      <c r="O131" s="986">
        <f t="shared" si="31"/>
        <v>27.11</v>
      </c>
      <c r="P131" s="999">
        <f>+NOMINA!BR130</f>
        <v>43.7</v>
      </c>
      <c r="Q131" s="999">
        <f>+NOMINA!BS130</f>
        <v>9.7100000000000009</v>
      </c>
      <c r="R131" s="999">
        <f>+NOMINA!BT130</f>
        <v>10.52</v>
      </c>
      <c r="S131" s="986">
        <f t="shared" si="32"/>
        <v>63.93</v>
      </c>
      <c r="T131" s="986">
        <f t="shared" si="33"/>
        <v>91.039999999999992</v>
      </c>
      <c r="U131" s="1005">
        <v>0</v>
      </c>
      <c r="V131" s="443" t="e">
        <f>#REF!+#REF!-O131</f>
        <v>#REF!</v>
      </c>
      <c r="W131" s="975" t="e">
        <f>ROUND((#REF!+#REF!+#REF!+#REF!+#REF!+#REF!+#REF!+#REF!+#REF!),2)</f>
        <v>#REF!</v>
      </c>
      <c r="AA131" s="976" t="e">
        <f>#REF!+#REF!-O131</f>
        <v>#REF!</v>
      </c>
      <c r="AB131" s="977" t="e">
        <f>#REF!</f>
        <v>#REF!</v>
      </c>
      <c r="AC131" s="976" t="e">
        <f>#REF!+#REF!</f>
        <v>#REF!</v>
      </c>
      <c r="AD131" s="977" t="e">
        <f>#REF!</f>
        <v>#REF!</v>
      </c>
      <c r="AE131" s="978">
        <v>0</v>
      </c>
      <c r="AF131" s="977" t="e">
        <f>#REF!</f>
        <v>#REF!</v>
      </c>
      <c r="AG131" s="979" t="e">
        <f>#REF!+#REF!</f>
        <v>#REF!</v>
      </c>
      <c r="AH131" s="979" t="e">
        <f>#REF!+#REF!</f>
        <v>#REF!</v>
      </c>
      <c r="AI131" s="979"/>
      <c r="AJ131" s="977" t="e">
        <f>#REF!</f>
        <v>#REF!</v>
      </c>
      <c r="AK131" s="977" t="e">
        <f t="shared" si="27"/>
        <v>#REF!</v>
      </c>
      <c r="AL131" s="977">
        <f t="shared" si="28"/>
        <v>91.039999999999992</v>
      </c>
      <c r="AM131" s="977">
        <f t="shared" si="29"/>
        <v>0</v>
      </c>
      <c r="AN131" s="634"/>
    </row>
    <row r="132" spans="1:40" s="629" customFormat="1" ht="20.100000000000001" customHeight="1">
      <c r="A132" s="771">
        <f t="shared" si="34"/>
        <v>89</v>
      </c>
      <c r="B132" s="980">
        <f>+NOMINA!C131</f>
        <v>13261229</v>
      </c>
      <c r="C132" s="981" t="str">
        <f>+NOMINA!D131</f>
        <v>Abreu Rodriguez Eva Del Carmen</v>
      </c>
      <c r="D132" s="978" t="s">
        <v>4622</v>
      </c>
      <c r="E132" s="982">
        <v>32351</v>
      </c>
      <c r="F132" s="978" t="s">
        <v>4620</v>
      </c>
      <c r="G132" s="1004">
        <f>+NOMINA!H131</f>
        <v>42644</v>
      </c>
      <c r="H132" s="984">
        <f t="shared" si="30"/>
        <v>6</v>
      </c>
      <c r="I132" s="985">
        <v>0</v>
      </c>
      <c r="J132" s="999">
        <f>+NOMINA!BL131</f>
        <v>16.95</v>
      </c>
      <c r="K132" s="999">
        <f>+NOMINA!BM131</f>
        <v>2.12</v>
      </c>
      <c r="L132" s="999">
        <f>+NOMINA!BN131</f>
        <v>4.59</v>
      </c>
      <c r="M132" s="999">
        <f>++NOMINA!BO131</f>
        <v>0</v>
      </c>
      <c r="N132" s="999">
        <f>+NOMINA!BP131</f>
        <v>0</v>
      </c>
      <c r="O132" s="986">
        <f t="shared" si="31"/>
        <v>23.66</v>
      </c>
      <c r="P132" s="999">
        <f>+NOMINA!BR131</f>
        <v>38.130000000000003</v>
      </c>
      <c r="Q132" s="999">
        <f>+NOMINA!BS131</f>
        <v>8.4700000000000006</v>
      </c>
      <c r="R132" s="999">
        <f>+NOMINA!BT131</f>
        <v>9.18</v>
      </c>
      <c r="S132" s="986">
        <f t="shared" si="32"/>
        <v>55.78</v>
      </c>
      <c r="T132" s="986">
        <f t="shared" si="33"/>
        <v>79.44</v>
      </c>
      <c r="U132" s="1005">
        <v>0</v>
      </c>
      <c r="V132" s="443" t="e">
        <f>#REF!+#REF!-O132</f>
        <v>#REF!</v>
      </c>
      <c r="W132" s="975" t="e">
        <f>ROUND((#REF!+#REF!+#REF!+#REF!+#REF!+#REF!+#REF!+#REF!+#REF!),2)</f>
        <v>#REF!</v>
      </c>
      <c r="AA132" s="976" t="e">
        <f>#REF!+#REF!-O132</f>
        <v>#REF!</v>
      </c>
      <c r="AB132" s="977" t="e">
        <f>#REF!</f>
        <v>#REF!</v>
      </c>
      <c r="AC132" s="976" t="e">
        <f>#REF!+#REF!</f>
        <v>#REF!</v>
      </c>
      <c r="AD132" s="977" t="e">
        <f>#REF!</f>
        <v>#REF!</v>
      </c>
      <c r="AE132" s="978">
        <v>0</v>
      </c>
      <c r="AF132" s="977" t="e">
        <f>#REF!</f>
        <v>#REF!</v>
      </c>
      <c r="AG132" s="979" t="e">
        <f>#REF!+#REF!</f>
        <v>#REF!</v>
      </c>
      <c r="AH132" s="979" t="e">
        <f>#REF!+#REF!</f>
        <v>#REF!</v>
      </c>
      <c r="AI132" s="979"/>
      <c r="AJ132" s="977" t="e">
        <f>#REF!</f>
        <v>#REF!</v>
      </c>
      <c r="AK132" s="977" t="e">
        <f t="shared" si="27"/>
        <v>#REF!</v>
      </c>
      <c r="AL132" s="977">
        <f t="shared" si="28"/>
        <v>79.44</v>
      </c>
      <c r="AM132" s="977">
        <f t="shared" si="29"/>
        <v>0</v>
      </c>
      <c r="AN132" s="634"/>
    </row>
    <row r="133" spans="1:40" s="629" customFormat="1" ht="20.100000000000001" customHeight="1">
      <c r="A133" s="771">
        <f t="shared" si="34"/>
        <v>90</v>
      </c>
      <c r="B133" s="980">
        <f>+NOMINA!C132</f>
        <v>13461747</v>
      </c>
      <c r="C133" s="981" t="str">
        <f>+NOMINA!D132</f>
        <v>Santos Hernandez Karine Yenilet</v>
      </c>
      <c r="D133" s="978" t="s">
        <v>4622</v>
      </c>
      <c r="E133" s="982">
        <v>32351</v>
      </c>
      <c r="F133" s="978" t="s">
        <v>4620</v>
      </c>
      <c r="G133" s="1004">
        <f>+NOMINA!H132</f>
        <v>44683</v>
      </c>
      <c r="H133" s="984">
        <f t="shared" si="30"/>
        <v>0</v>
      </c>
      <c r="I133" s="985">
        <v>0</v>
      </c>
      <c r="J133" s="999">
        <f>+NOMINA!BL132</f>
        <v>15.85</v>
      </c>
      <c r="K133" s="999">
        <f>+NOMINA!BM132</f>
        <v>1.98</v>
      </c>
      <c r="L133" s="999">
        <f>+NOMINA!BN132</f>
        <v>4.29</v>
      </c>
      <c r="M133" s="999">
        <f>++NOMINA!BO132</f>
        <v>0</v>
      </c>
      <c r="N133" s="999">
        <f>+NOMINA!BP132</f>
        <v>0</v>
      </c>
      <c r="O133" s="986">
        <f t="shared" si="31"/>
        <v>22.12</v>
      </c>
      <c r="P133" s="999">
        <f>+NOMINA!BR132</f>
        <v>35.67</v>
      </c>
      <c r="Q133" s="999">
        <f>+NOMINA!BS132</f>
        <v>7.93</v>
      </c>
      <c r="R133" s="999">
        <f>+NOMINA!BT132</f>
        <v>8.58</v>
      </c>
      <c r="S133" s="986">
        <f t="shared" si="32"/>
        <v>52.18</v>
      </c>
      <c r="T133" s="986">
        <f t="shared" si="33"/>
        <v>74.3</v>
      </c>
      <c r="U133" s="1005">
        <v>0</v>
      </c>
      <c r="V133" s="443" t="e">
        <f>#REF!+#REF!-O133</f>
        <v>#REF!</v>
      </c>
      <c r="W133" s="975" t="e">
        <f>ROUND((#REF!+#REF!+#REF!+#REF!+#REF!+#REF!+#REF!+#REF!+#REF!),2)</f>
        <v>#REF!</v>
      </c>
      <c r="AA133" s="976" t="e">
        <f>#REF!+#REF!-O133</f>
        <v>#REF!</v>
      </c>
      <c r="AB133" s="977" t="e">
        <f>#REF!</f>
        <v>#REF!</v>
      </c>
      <c r="AC133" s="976" t="e">
        <f>#REF!+#REF!</f>
        <v>#REF!</v>
      </c>
      <c r="AD133" s="977" t="e">
        <f>#REF!</f>
        <v>#REF!</v>
      </c>
      <c r="AE133" s="978">
        <v>0</v>
      </c>
      <c r="AF133" s="977" t="e">
        <f>#REF!</f>
        <v>#REF!</v>
      </c>
      <c r="AG133" s="979" t="e">
        <f>#REF!+#REF!</f>
        <v>#REF!</v>
      </c>
      <c r="AH133" s="979" t="e">
        <f>#REF!+#REF!</f>
        <v>#REF!</v>
      </c>
      <c r="AI133" s="979"/>
      <c r="AJ133" s="977" t="e">
        <f>#REF!</f>
        <v>#REF!</v>
      </c>
      <c r="AK133" s="977" t="e">
        <f t="shared" si="27"/>
        <v>#REF!</v>
      </c>
      <c r="AL133" s="977">
        <f t="shared" si="28"/>
        <v>74.3</v>
      </c>
      <c r="AM133" s="977">
        <f t="shared" si="29"/>
        <v>0</v>
      </c>
      <c r="AN133" s="634"/>
    </row>
    <row r="134" spans="1:40" s="629" customFormat="1" ht="20.100000000000001" customHeight="1">
      <c r="A134" s="771">
        <f t="shared" si="34"/>
        <v>91</v>
      </c>
      <c r="B134" s="980">
        <f>+NOMINA!C133</f>
        <v>13461934</v>
      </c>
      <c r="C134" s="981" t="str">
        <f>+NOMINA!D133</f>
        <v>Ramirez Ayala Jenny Marisela</v>
      </c>
      <c r="D134" s="978" t="s">
        <v>4622</v>
      </c>
      <c r="E134" s="982">
        <v>32351</v>
      </c>
      <c r="F134" s="978" t="s">
        <v>4620</v>
      </c>
      <c r="G134" s="1004">
        <f>+NOMINA!H133</f>
        <v>43252</v>
      </c>
      <c r="H134" s="984">
        <f t="shared" si="30"/>
        <v>4</v>
      </c>
      <c r="I134" s="985">
        <v>0</v>
      </c>
      <c r="J134" s="999">
        <f>+NOMINA!BL133</f>
        <v>14.91</v>
      </c>
      <c r="K134" s="999">
        <f>+NOMINA!BM133</f>
        <v>1.86</v>
      </c>
      <c r="L134" s="999">
        <f>+NOMINA!BN133</f>
        <v>4.04</v>
      </c>
      <c r="M134" s="999">
        <f>++NOMINA!BO133</f>
        <v>0</v>
      </c>
      <c r="N134" s="999">
        <f>+NOMINA!BP133</f>
        <v>0</v>
      </c>
      <c r="O134" s="986">
        <f t="shared" si="31"/>
        <v>20.81</v>
      </c>
      <c r="P134" s="999">
        <f>+NOMINA!BR133</f>
        <v>33.54</v>
      </c>
      <c r="Q134" s="999">
        <f>+NOMINA!BS133</f>
        <v>7.45</v>
      </c>
      <c r="R134" s="999">
        <f>+NOMINA!BT133</f>
        <v>8.08</v>
      </c>
      <c r="S134" s="986">
        <f t="shared" si="32"/>
        <v>49.07</v>
      </c>
      <c r="T134" s="986">
        <f t="shared" si="33"/>
        <v>69.88</v>
      </c>
      <c r="U134" s="1005">
        <v>0</v>
      </c>
      <c r="V134" s="443" t="e">
        <f>#REF!+#REF!-O134</f>
        <v>#REF!</v>
      </c>
      <c r="W134" s="975" t="e">
        <f>ROUND((#REF!+#REF!+#REF!+#REF!+#REF!+#REF!+#REF!+#REF!+#REF!),2)</f>
        <v>#REF!</v>
      </c>
      <c r="AA134" s="976" t="e">
        <f>#REF!+#REF!-O134</f>
        <v>#REF!</v>
      </c>
      <c r="AB134" s="977" t="e">
        <f>#REF!</f>
        <v>#REF!</v>
      </c>
      <c r="AC134" s="976" t="e">
        <f>#REF!+#REF!</f>
        <v>#REF!</v>
      </c>
      <c r="AD134" s="977" t="e">
        <f>#REF!</f>
        <v>#REF!</v>
      </c>
      <c r="AE134" s="978">
        <v>0</v>
      </c>
      <c r="AF134" s="977" t="e">
        <f>#REF!</f>
        <v>#REF!</v>
      </c>
      <c r="AG134" s="979" t="e">
        <f>#REF!+#REF!</f>
        <v>#REF!</v>
      </c>
      <c r="AH134" s="979" t="e">
        <f>#REF!+#REF!</f>
        <v>#REF!</v>
      </c>
      <c r="AI134" s="979"/>
      <c r="AJ134" s="977" t="e">
        <f>#REF!</f>
        <v>#REF!</v>
      </c>
      <c r="AK134" s="977" t="e">
        <f t="shared" si="27"/>
        <v>#REF!</v>
      </c>
      <c r="AL134" s="977">
        <f t="shared" si="28"/>
        <v>69.88</v>
      </c>
      <c r="AM134" s="977">
        <f t="shared" si="29"/>
        <v>0</v>
      </c>
      <c r="AN134" s="634"/>
    </row>
    <row r="135" spans="1:40" s="629" customFormat="1" ht="20.100000000000001" customHeight="1">
      <c r="A135" s="771">
        <f t="shared" si="34"/>
        <v>92</v>
      </c>
      <c r="B135" s="980">
        <f>+NOMINA!C134</f>
        <v>13462933</v>
      </c>
      <c r="C135" s="981" t="str">
        <f>+NOMINA!D134</f>
        <v>Frias Aldana Maria Yaritza</v>
      </c>
      <c r="D135" s="978" t="s">
        <v>4622</v>
      </c>
      <c r="E135" s="982">
        <v>32351</v>
      </c>
      <c r="F135" s="978" t="s">
        <v>4620</v>
      </c>
      <c r="G135" s="1004">
        <f>+NOMINA!H134</f>
        <v>39454</v>
      </c>
      <c r="H135" s="984">
        <f t="shared" si="30"/>
        <v>14</v>
      </c>
      <c r="I135" s="985">
        <v>0</v>
      </c>
      <c r="J135" s="999">
        <f>+NOMINA!BL134</f>
        <v>0</v>
      </c>
      <c r="K135" s="999">
        <f>+NOMINA!BM134</f>
        <v>0</v>
      </c>
      <c r="L135" s="999">
        <f>+NOMINA!BN134</f>
        <v>0</v>
      </c>
      <c r="M135" s="999">
        <f>++NOMINA!BO134</f>
        <v>0</v>
      </c>
      <c r="N135" s="999">
        <f>+NOMINA!BP134</f>
        <v>0</v>
      </c>
      <c r="O135" s="986">
        <f t="shared" si="31"/>
        <v>0</v>
      </c>
      <c r="P135" s="999">
        <f>+NOMINA!BR134</f>
        <v>0</v>
      </c>
      <c r="Q135" s="999">
        <f>+NOMINA!BS134</f>
        <v>0</v>
      </c>
      <c r="R135" s="999">
        <f>+NOMINA!BT134</f>
        <v>0</v>
      </c>
      <c r="S135" s="986">
        <f t="shared" si="32"/>
        <v>0</v>
      </c>
      <c r="T135" s="986">
        <f t="shared" si="33"/>
        <v>0</v>
      </c>
      <c r="U135" s="1005">
        <v>0</v>
      </c>
      <c r="V135" s="443" t="e">
        <f>#REF!+#REF!-O135</f>
        <v>#REF!</v>
      </c>
      <c r="W135" s="975" t="e">
        <f>ROUND((#REF!+#REF!+#REF!+#REF!+#REF!+#REF!+#REF!+#REF!+#REF!),2)</f>
        <v>#REF!</v>
      </c>
      <c r="AA135" s="976" t="e">
        <f>#REF!+#REF!-O135</f>
        <v>#REF!</v>
      </c>
      <c r="AB135" s="977" t="e">
        <f>#REF!</f>
        <v>#REF!</v>
      </c>
      <c r="AC135" s="976" t="e">
        <f>#REF!+#REF!</f>
        <v>#REF!</v>
      </c>
      <c r="AD135" s="977" t="e">
        <f>#REF!</f>
        <v>#REF!</v>
      </c>
      <c r="AE135" s="978">
        <v>0</v>
      </c>
      <c r="AF135" s="977" t="e">
        <f>#REF!</f>
        <v>#REF!</v>
      </c>
      <c r="AG135" s="979" t="e">
        <f>#REF!+#REF!</f>
        <v>#REF!</v>
      </c>
      <c r="AH135" s="979" t="e">
        <f>#REF!+#REF!</f>
        <v>#REF!</v>
      </c>
      <c r="AI135" s="979"/>
      <c r="AJ135" s="977" t="e">
        <f>#REF!</f>
        <v>#REF!</v>
      </c>
      <c r="AK135" s="977" t="e">
        <f t="shared" si="27"/>
        <v>#REF!</v>
      </c>
      <c r="AL135" s="977">
        <f t="shared" si="28"/>
        <v>0</v>
      </c>
      <c r="AM135" s="977">
        <f t="shared" si="29"/>
        <v>0</v>
      </c>
      <c r="AN135" s="634"/>
    </row>
    <row r="136" spans="1:40" s="629" customFormat="1" ht="20.100000000000001" customHeight="1">
      <c r="A136" s="771">
        <f t="shared" si="34"/>
        <v>93</v>
      </c>
      <c r="B136" s="980">
        <f>+NOMINA!C135</f>
        <v>13462511</v>
      </c>
      <c r="C136" s="981" t="str">
        <f>+NOMINA!D135</f>
        <v>Vielma Jenifer</v>
      </c>
      <c r="D136" s="978" t="s">
        <v>4622</v>
      </c>
      <c r="E136" s="982">
        <v>32351</v>
      </c>
      <c r="F136" s="978" t="s">
        <v>4620</v>
      </c>
      <c r="G136" s="1004">
        <f>+NOMINA!H135</f>
        <v>43738</v>
      </c>
      <c r="H136" s="984">
        <f t="shared" si="30"/>
        <v>3</v>
      </c>
      <c r="I136" s="985">
        <v>0</v>
      </c>
      <c r="J136" s="999">
        <f>+NOMINA!BL135</f>
        <v>25.02</v>
      </c>
      <c r="K136" s="999">
        <f>+NOMINA!BM135</f>
        <v>3.13</v>
      </c>
      <c r="L136" s="999">
        <f>+NOMINA!BN135</f>
        <v>6.78</v>
      </c>
      <c r="M136" s="999">
        <f>++NOMINA!BO135</f>
        <v>0</v>
      </c>
      <c r="N136" s="999">
        <f>+NOMINA!BP135</f>
        <v>0</v>
      </c>
      <c r="O136" s="986">
        <f t="shared" si="31"/>
        <v>34.93</v>
      </c>
      <c r="P136" s="999">
        <f>+NOMINA!BR135</f>
        <v>56.29</v>
      </c>
      <c r="Q136" s="999">
        <f>+NOMINA!BS135</f>
        <v>12.51</v>
      </c>
      <c r="R136" s="999">
        <f>+NOMINA!BT135</f>
        <v>13.56</v>
      </c>
      <c r="S136" s="986">
        <f t="shared" si="32"/>
        <v>82.36</v>
      </c>
      <c r="T136" s="986">
        <f t="shared" si="33"/>
        <v>117.28999999999999</v>
      </c>
      <c r="U136" s="1005">
        <v>0</v>
      </c>
      <c r="V136" s="443" t="e">
        <f>#REF!+#REF!-O136</f>
        <v>#REF!</v>
      </c>
      <c r="W136" s="975" t="e">
        <f>ROUND((#REF!+#REF!+#REF!+#REF!+#REF!+#REF!+#REF!+#REF!+#REF!),2)</f>
        <v>#REF!</v>
      </c>
      <c r="AA136" s="976" t="e">
        <f>#REF!+#REF!-O136</f>
        <v>#REF!</v>
      </c>
      <c r="AB136" s="977" t="e">
        <f>#REF!</f>
        <v>#REF!</v>
      </c>
      <c r="AC136" s="976" t="e">
        <f>#REF!+#REF!</f>
        <v>#REF!</v>
      </c>
      <c r="AD136" s="977" t="e">
        <f>#REF!</f>
        <v>#REF!</v>
      </c>
      <c r="AE136" s="978">
        <v>0</v>
      </c>
      <c r="AF136" s="977" t="e">
        <f>#REF!</f>
        <v>#REF!</v>
      </c>
      <c r="AG136" s="979" t="e">
        <f>#REF!+#REF!</f>
        <v>#REF!</v>
      </c>
      <c r="AH136" s="979" t="e">
        <f>#REF!+#REF!</f>
        <v>#REF!</v>
      </c>
      <c r="AI136" s="979"/>
      <c r="AJ136" s="977" t="e">
        <f>#REF!</f>
        <v>#REF!</v>
      </c>
      <c r="AK136" s="977" t="e">
        <f t="shared" si="27"/>
        <v>#REF!</v>
      </c>
      <c r="AL136" s="977">
        <f t="shared" si="28"/>
        <v>117.28999999999999</v>
      </c>
      <c r="AM136" s="977">
        <f t="shared" si="29"/>
        <v>0</v>
      </c>
      <c r="AN136" s="634"/>
    </row>
    <row r="137" spans="1:40" s="629" customFormat="1" ht="20.100000000000001" customHeight="1">
      <c r="A137" s="771">
        <f t="shared" si="34"/>
        <v>94</v>
      </c>
      <c r="B137" s="980">
        <f>+NOMINA!C136</f>
        <v>13522518</v>
      </c>
      <c r="C137" s="981" t="str">
        <f>+NOMINA!D136</f>
        <v>Altuve Diaz Jose Antonio</v>
      </c>
      <c r="D137" s="978" t="s">
        <v>4622</v>
      </c>
      <c r="E137" s="982">
        <v>32351</v>
      </c>
      <c r="F137" s="978" t="s">
        <v>4620</v>
      </c>
      <c r="G137" s="1004">
        <f>+NOMINA!H136</f>
        <v>43739</v>
      </c>
      <c r="H137" s="984">
        <f t="shared" si="30"/>
        <v>3</v>
      </c>
      <c r="I137" s="985">
        <v>0</v>
      </c>
      <c r="J137" s="999">
        <f>+NOMINA!BL136</f>
        <v>11.08</v>
      </c>
      <c r="K137" s="999">
        <f>+NOMINA!BM136</f>
        <v>1.38</v>
      </c>
      <c r="L137" s="999">
        <f>+NOMINA!BN136</f>
        <v>3</v>
      </c>
      <c r="M137" s="999">
        <f>++NOMINA!BO136</f>
        <v>0</v>
      </c>
      <c r="N137" s="999">
        <f>+NOMINA!BP136</f>
        <v>0</v>
      </c>
      <c r="O137" s="986">
        <f t="shared" si="31"/>
        <v>15.46</v>
      </c>
      <c r="P137" s="999">
        <f>+NOMINA!BR136</f>
        <v>24.92</v>
      </c>
      <c r="Q137" s="999">
        <f>+NOMINA!BS136</f>
        <v>5.54</v>
      </c>
      <c r="R137" s="999">
        <f>+NOMINA!BT136</f>
        <v>6</v>
      </c>
      <c r="S137" s="986">
        <f t="shared" si="32"/>
        <v>36.46</v>
      </c>
      <c r="T137" s="986">
        <f t="shared" si="33"/>
        <v>51.92</v>
      </c>
      <c r="U137" s="1005">
        <v>0</v>
      </c>
      <c r="V137" s="443" t="e">
        <f>#REF!+#REF!-O137</f>
        <v>#REF!</v>
      </c>
      <c r="W137" s="975" t="e">
        <f>ROUND((#REF!+#REF!+#REF!+#REF!+#REF!+#REF!+#REF!+#REF!+#REF!),2)</f>
        <v>#REF!</v>
      </c>
      <c r="AA137" s="976" t="e">
        <f>#REF!+#REF!-O137</f>
        <v>#REF!</v>
      </c>
      <c r="AB137" s="977" t="e">
        <f>#REF!</f>
        <v>#REF!</v>
      </c>
      <c r="AC137" s="976" t="e">
        <f>#REF!+#REF!</f>
        <v>#REF!</v>
      </c>
      <c r="AD137" s="977" t="e">
        <f>#REF!</f>
        <v>#REF!</v>
      </c>
      <c r="AE137" s="978">
        <v>0</v>
      </c>
      <c r="AF137" s="977" t="e">
        <f>#REF!</f>
        <v>#REF!</v>
      </c>
      <c r="AG137" s="979" t="e">
        <f>#REF!+#REF!</f>
        <v>#REF!</v>
      </c>
      <c r="AH137" s="979" t="e">
        <f>#REF!+#REF!</f>
        <v>#REF!</v>
      </c>
      <c r="AI137" s="979"/>
      <c r="AJ137" s="977" t="e">
        <f>#REF!</f>
        <v>#REF!</v>
      </c>
      <c r="AK137" s="977" t="e">
        <f t="shared" si="27"/>
        <v>#REF!</v>
      </c>
      <c r="AL137" s="977">
        <f t="shared" si="28"/>
        <v>51.92</v>
      </c>
      <c r="AM137" s="977">
        <f t="shared" si="29"/>
        <v>0</v>
      </c>
      <c r="AN137" s="634"/>
    </row>
    <row r="138" spans="1:40" s="629" customFormat="1" ht="20.100000000000001" customHeight="1">
      <c r="A138" s="771">
        <f t="shared" si="34"/>
        <v>95</v>
      </c>
      <c r="B138" s="980">
        <f>+NOMINA!C137</f>
        <v>13523075</v>
      </c>
      <c r="C138" s="981" t="str">
        <f>+NOMINA!D137</f>
        <v>Zambrano Castellanos Maria Alejandra</v>
      </c>
      <c r="D138" s="978" t="s">
        <v>4622</v>
      </c>
      <c r="E138" s="982">
        <v>32351</v>
      </c>
      <c r="F138" s="978" t="s">
        <v>4620</v>
      </c>
      <c r="G138" s="1004">
        <f>+NOMINA!H137</f>
        <v>37718</v>
      </c>
      <c r="H138" s="984">
        <f t="shared" si="30"/>
        <v>19</v>
      </c>
      <c r="I138" s="985">
        <v>0</v>
      </c>
      <c r="J138" s="999">
        <f>+NOMINA!BL137</f>
        <v>19.78</v>
      </c>
      <c r="K138" s="999">
        <f>+NOMINA!BM137</f>
        <v>2.4700000000000002</v>
      </c>
      <c r="L138" s="999">
        <f>+NOMINA!BN137</f>
        <v>5.36</v>
      </c>
      <c r="M138" s="999">
        <f>++NOMINA!BO137</f>
        <v>0</v>
      </c>
      <c r="N138" s="999">
        <f>+NOMINA!BP137</f>
        <v>0</v>
      </c>
      <c r="O138" s="986">
        <f t="shared" si="31"/>
        <v>27.61</v>
      </c>
      <c r="P138" s="999">
        <f>+NOMINA!BR137</f>
        <v>44.5</v>
      </c>
      <c r="Q138" s="999">
        <f>+NOMINA!BS137</f>
        <v>9.89</v>
      </c>
      <c r="R138" s="999">
        <f>+NOMINA!BT137</f>
        <v>10.72</v>
      </c>
      <c r="S138" s="986">
        <f t="shared" si="32"/>
        <v>65.11</v>
      </c>
      <c r="T138" s="986">
        <f t="shared" si="33"/>
        <v>92.72</v>
      </c>
      <c r="U138" s="1005">
        <v>0</v>
      </c>
      <c r="V138" s="443" t="e">
        <f>#REF!+#REF!-O138</f>
        <v>#REF!</v>
      </c>
      <c r="W138" s="975" t="e">
        <f>ROUND((#REF!+#REF!+#REF!+#REF!+#REF!+#REF!+#REF!+#REF!+#REF!),2)</f>
        <v>#REF!</v>
      </c>
      <c r="AA138" s="976" t="e">
        <f>#REF!+#REF!-O138</f>
        <v>#REF!</v>
      </c>
      <c r="AB138" s="977" t="e">
        <f>#REF!</f>
        <v>#REF!</v>
      </c>
      <c r="AC138" s="976" t="e">
        <f>#REF!+#REF!</f>
        <v>#REF!</v>
      </c>
      <c r="AD138" s="977" t="e">
        <f>#REF!</f>
        <v>#REF!</v>
      </c>
      <c r="AE138" s="978">
        <v>0</v>
      </c>
      <c r="AF138" s="977" t="e">
        <f>#REF!</f>
        <v>#REF!</v>
      </c>
      <c r="AG138" s="979" t="e">
        <f>#REF!+#REF!</f>
        <v>#REF!</v>
      </c>
      <c r="AH138" s="979" t="e">
        <f>#REF!+#REF!</f>
        <v>#REF!</v>
      </c>
      <c r="AI138" s="979"/>
      <c r="AJ138" s="977" t="e">
        <f>#REF!</f>
        <v>#REF!</v>
      </c>
      <c r="AK138" s="977" t="e">
        <f t="shared" si="27"/>
        <v>#REF!</v>
      </c>
      <c r="AL138" s="977">
        <f t="shared" si="28"/>
        <v>92.72</v>
      </c>
      <c r="AM138" s="977">
        <f t="shared" si="29"/>
        <v>0</v>
      </c>
      <c r="AN138" s="634"/>
    </row>
    <row r="139" spans="1:40" s="629" customFormat="1" ht="20.100000000000001" customHeight="1">
      <c r="A139" s="771">
        <f t="shared" si="34"/>
        <v>96</v>
      </c>
      <c r="B139" s="980">
        <f>+NOMINA!C138</f>
        <v>13745803</v>
      </c>
      <c r="C139" s="981" t="str">
        <f>+NOMINA!D138</f>
        <v>Materan Riveros Yorvis Alexis</v>
      </c>
      <c r="D139" s="978" t="s">
        <v>4622</v>
      </c>
      <c r="E139" s="982">
        <v>32351</v>
      </c>
      <c r="F139" s="978" t="s">
        <v>4620</v>
      </c>
      <c r="G139" s="1004">
        <f>+NOMINA!H138</f>
        <v>44774</v>
      </c>
      <c r="H139" s="984">
        <f t="shared" si="30"/>
        <v>0</v>
      </c>
      <c r="I139" s="985">
        <v>0</v>
      </c>
      <c r="J139" s="999">
        <f>+NOMINA!BL138</f>
        <v>23.22</v>
      </c>
      <c r="K139" s="999">
        <f>+NOMINA!BM138</f>
        <v>2.9</v>
      </c>
      <c r="L139" s="999">
        <f>+NOMINA!BN138</f>
        <v>6.29</v>
      </c>
      <c r="M139" s="999">
        <f>++NOMINA!BO138</f>
        <v>0</v>
      </c>
      <c r="N139" s="999">
        <f>+NOMINA!BP138</f>
        <v>0</v>
      </c>
      <c r="O139" s="986">
        <f t="shared" si="31"/>
        <v>32.409999999999997</v>
      </c>
      <c r="P139" s="999">
        <f>+NOMINA!BR138</f>
        <v>52.25</v>
      </c>
      <c r="Q139" s="999">
        <f>+NOMINA!BS138</f>
        <v>11.61</v>
      </c>
      <c r="R139" s="999">
        <f>+NOMINA!BT138</f>
        <v>12.58</v>
      </c>
      <c r="S139" s="986">
        <f t="shared" si="32"/>
        <v>76.44</v>
      </c>
      <c r="T139" s="986">
        <f t="shared" si="33"/>
        <v>108.85</v>
      </c>
      <c r="U139" s="1005">
        <v>0</v>
      </c>
      <c r="V139" s="443" t="e">
        <f>#REF!+#REF!-O139</f>
        <v>#REF!</v>
      </c>
      <c r="W139" s="975" t="e">
        <f>ROUND((#REF!+#REF!+#REF!+#REF!+#REF!+#REF!+#REF!+#REF!+#REF!),2)</f>
        <v>#REF!</v>
      </c>
      <c r="AA139" s="976" t="e">
        <f>#REF!+#REF!-O139</f>
        <v>#REF!</v>
      </c>
      <c r="AB139" s="977" t="e">
        <f>#REF!</f>
        <v>#REF!</v>
      </c>
      <c r="AC139" s="976" t="e">
        <f>#REF!+#REF!</f>
        <v>#REF!</v>
      </c>
      <c r="AD139" s="977" t="e">
        <f>#REF!</f>
        <v>#REF!</v>
      </c>
      <c r="AE139" s="978">
        <v>0</v>
      </c>
      <c r="AF139" s="977" t="e">
        <f>#REF!</f>
        <v>#REF!</v>
      </c>
      <c r="AG139" s="979" t="e">
        <f>#REF!+#REF!</f>
        <v>#REF!</v>
      </c>
      <c r="AH139" s="979" t="e">
        <f>#REF!+#REF!</f>
        <v>#REF!</v>
      </c>
      <c r="AI139" s="979"/>
      <c r="AJ139" s="977" t="e">
        <f>#REF!</f>
        <v>#REF!</v>
      </c>
      <c r="AK139" s="977" t="e">
        <f t="shared" si="27"/>
        <v>#REF!</v>
      </c>
      <c r="AL139" s="977">
        <f t="shared" si="28"/>
        <v>108.85</v>
      </c>
      <c r="AM139" s="977">
        <f t="shared" si="29"/>
        <v>0</v>
      </c>
      <c r="AN139" s="634"/>
    </row>
    <row r="140" spans="1:40" s="629" customFormat="1" ht="20.100000000000001" customHeight="1">
      <c r="A140" s="771">
        <f t="shared" si="34"/>
        <v>97</v>
      </c>
      <c r="B140" s="980">
        <f>+NOMINA!C139</f>
        <v>13765028</v>
      </c>
      <c r="C140" s="981" t="str">
        <f>+NOMINA!D139</f>
        <v xml:space="preserve">Diaz Ramirez Mileyda Del Valle </v>
      </c>
      <c r="D140" s="978" t="s">
        <v>4622</v>
      </c>
      <c r="E140" s="982">
        <v>32351</v>
      </c>
      <c r="F140" s="978" t="s">
        <v>4620</v>
      </c>
      <c r="G140" s="1004">
        <f>+NOMINA!H139</f>
        <v>44348</v>
      </c>
      <c r="H140" s="984">
        <f t="shared" si="30"/>
        <v>1</v>
      </c>
      <c r="I140" s="985">
        <v>0</v>
      </c>
      <c r="J140" s="999">
        <f>+NOMINA!BL139</f>
        <v>21.75</v>
      </c>
      <c r="K140" s="999">
        <f>+NOMINA!BM139</f>
        <v>2.72</v>
      </c>
      <c r="L140" s="999">
        <f>+NOMINA!BN139</f>
        <v>5.89</v>
      </c>
      <c r="M140" s="999">
        <f>++NOMINA!BO139</f>
        <v>0</v>
      </c>
      <c r="N140" s="999">
        <f>+NOMINA!BP139</f>
        <v>0</v>
      </c>
      <c r="O140" s="986">
        <f t="shared" si="31"/>
        <v>30.36</v>
      </c>
      <c r="P140" s="999">
        <f>+NOMINA!BR139</f>
        <v>48.93</v>
      </c>
      <c r="Q140" s="999">
        <f>+NOMINA!BS139</f>
        <v>10.87</v>
      </c>
      <c r="R140" s="999">
        <f>+NOMINA!BT139</f>
        <v>11.78</v>
      </c>
      <c r="S140" s="986">
        <f t="shared" si="32"/>
        <v>71.58</v>
      </c>
      <c r="T140" s="986">
        <f t="shared" si="33"/>
        <v>101.94</v>
      </c>
      <c r="U140" s="1005">
        <v>0</v>
      </c>
      <c r="V140" s="443" t="e">
        <f>#REF!+#REF!-O140</f>
        <v>#REF!</v>
      </c>
      <c r="W140" s="975" t="e">
        <f>ROUND((#REF!+#REF!+#REF!+#REF!+#REF!+#REF!+#REF!+#REF!+#REF!),2)</f>
        <v>#REF!</v>
      </c>
      <c r="AA140" s="976" t="e">
        <f>#REF!+#REF!-O140</f>
        <v>#REF!</v>
      </c>
      <c r="AB140" s="977" t="e">
        <f>#REF!</f>
        <v>#REF!</v>
      </c>
      <c r="AC140" s="976" t="e">
        <f>#REF!+#REF!</f>
        <v>#REF!</v>
      </c>
      <c r="AD140" s="977" t="e">
        <f>#REF!</f>
        <v>#REF!</v>
      </c>
      <c r="AE140" s="978">
        <v>0</v>
      </c>
      <c r="AF140" s="977" t="e">
        <f>#REF!</f>
        <v>#REF!</v>
      </c>
      <c r="AG140" s="979" t="e">
        <f>#REF!+#REF!</f>
        <v>#REF!</v>
      </c>
      <c r="AH140" s="979" t="e">
        <f>#REF!+#REF!</f>
        <v>#REF!</v>
      </c>
      <c r="AI140" s="979"/>
      <c r="AJ140" s="977" t="e">
        <f>#REF!</f>
        <v>#REF!</v>
      </c>
      <c r="AK140" s="977" t="e">
        <f t="shared" si="27"/>
        <v>#REF!</v>
      </c>
      <c r="AL140" s="977">
        <f t="shared" si="28"/>
        <v>101.94</v>
      </c>
      <c r="AM140" s="977">
        <f t="shared" si="29"/>
        <v>0</v>
      </c>
      <c r="AN140" s="634"/>
    </row>
    <row r="141" spans="1:40" s="629" customFormat="1" ht="20.100000000000001" customHeight="1">
      <c r="A141" s="771">
        <f t="shared" si="34"/>
        <v>98</v>
      </c>
      <c r="B141" s="980">
        <f>+NOMINA!C140</f>
        <v>13896147</v>
      </c>
      <c r="C141" s="981" t="str">
        <f>+NOMINA!D140</f>
        <v>Carrizo Blanco Belquis Cecilia</v>
      </c>
      <c r="D141" s="978" t="s">
        <v>4622</v>
      </c>
      <c r="E141" s="982">
        <v>32351</v>
      </c>
      <c r="F141" s="978" t="s">
        <v>4620</v>
      </c>
      <c r="G141" s="1004">
        <f>+NOMINA!H140</f>
        <v>41334</v>
      </c>
      <c r="H141" s="984">
        <f t="shared" si="30"/>
        <v>9</v>
      </c>
      <c r="I141" s="985">
        <v>0</v>
      </c>
      <c r="J141" s="999">
        <f>+NOMINA!BL140</f>
        <v>20.58</v>
      </c>
      <c r="K141" s="999">
        <f>+NOMINA!BM140</f>
        <v>2.57</v>
      </c>
      <c r="L141" s="999">
        <f>+NOMINA!BN140</f>
        <v>5.57</v>
      </c>
      <c r="M141" s="999">
        <f>++NOMINA!BO140</f>
        <v>0</v>
      </c>
      <c r="N141" s="999">
        <f>+NOMINA!BP140</f>
        <v>0</v>
      </c>
      <c r="O141" s="986">
        <f t="shared" si="31"/>
        <v>28.72</v>
      </c>
      <c r="P141" s="999">
        <f>+NOMINA!BR140</f>
        <v>46.3</v>
      </c>
      <c r="Q141" s="999">
        <f>+NOMINA!BS140</f>
        <v>10.29</v>
      </c>
      <c r="R141" s="999">
        <f>+NOMINA!BT140</f>
        <v>11.14</v>
      </c>
      <c r="S141" s="986">
        <f t="shared" si="32"/>
        <v>67.73</v>
      </c>
      <c r="T141" s="986">
        <f t="shared" si="33"/>
        <v>96.45</v>
      </c>
      <c r="U141" s="1005">
        <v>0</v>
      </c>
      <c r="V141" s="443" t="e">
        <f>#REF!+#REF!-O141</f>
        <v>#REF!</v>
      </c>
      <c r="W141" s="975" t="e">
        <f>ROUND((#REF!+#REF!+#REF!+#REF!+#REF!+#REF!+#REF!+#REF!+#REF!),2)</f>
        <v>#REF!</v>
      </c>
      <c r="AA141" s="976" t="e">
        <f>#REF!+#REF!-O141</f>
        <v>#REF!</v>
      </c>
      <c r="AB141" s="977" t="e">
        <f>#REF!</f>
        <v>#REF!</v>
      </c>
      <c r="AC141" s="976" t="e">
        <f>#REF!+#REF!</f>
        <v>#REF!</v>
      </c>
      <c r="AD141" s="977" t="e">
        <f>#REF!</f>
        <v>#REF!</v>
      </c>
      <c r="AE141" s="978">
        <v>0</v>
      </c>
      <c r="AF141" s="977" t="e">
        <f>#REF!</f>
        <v>#REF!</v>
      </c>
      <c r="AG141" s="979" t="e">
        <f>#REF!+#REF!</f>
        <v>#REF!</v>
      </c>
      <c r="AH141" s="979" t="e">
        <f>#REF!+#REF!</f>
        <v>#REF!</v>
      </c>
      <c r="AI141" s="979"/>
      <c r="AJ141" s="977" t="e">
        <f>#REF!</f>
        <v>#REF!</v>
      </c>
      <c r="AK141" s="977" t="e">
        <f t="shared" si="27"/>
        <v>#REF!</v>
      </c>
      <c r="AL141" s="977">
        <f t="shared" si="28"/>
        <v>96.45</v>
      </c>
      <c r="AM141" s="977">
        <f t="shared" si="29"/>
        <v>0</v>
      </c>
      <c r="AN141" s="634"/>
    </row>
    <row r="142" spans="1:40" s="629" customFormat="1" ht="20.100000000000001" customHeight="1">
      <c r="A142" s="771">
        <f t="shared" si="34"/>
        <v>99</v>
      </c>
      <c r="B142" s="980">
        <f>+NOMINA!C141</f>
        <v>13896239</v>
      </c>
      <c r="C142" s="981" t="str">
        <f>+NOMINA!D141</f>
        <v>Sulbaran Campos Yusneida Ayarith</v>
      </c>
      <c r="D142" s="978" t="s">
        <v>4622</v>
      </c>
      <c r="E142" s="982">
        <v>32351</v>
      </c>
      <c r="F142" s="978" t="s">
        <v>4620</v>
      </c>
      <c r="G142" s="1004">
        <f>+NOMINA!H141</f>
        <v>42416</v>
      </c>
      <c r="H142" s="984">
        <f t="shared" si="30"/>
        <v>6</v>
      </c>
      <c r="I142" s="985">
        <v>0</v>
      </c>
      <c r="J142" s="999">
        <f>+NOMINA!BL141</f>
        <v>0</v>
      </c>
      <c r="K142" s="999">
        <f>+NOMINA!BM141</f>
        <v>0</v>
      </c>
      <c r="L142" s="999">
        <f>+NOMINA!BN141</f>
        <v>0</v>
      </c>
      <c r="M142" s="999">
        <f>++NOMINA!BO141</f>
        <v>0</v>
      </c>
      <c r="N142" s="999">
        <f>+NOMINA!BP141</f>
        <v>0</v>
      </c>
      <c r="O142" s="986">
        <f t="shared" si="31"/>
        <v>0</v>
      </c>
      <c r="P142" s="999">
        <f>+NOMINA!BR141</f>
        <v>0</v>
      </c>
      <c r="Q142" s="999">
        <f>+NOMINA!BS141</f>
        <v>0</v>
      </c>
      <c r="R142" s="999">
        <f>+NOMINA!BT141</f>
        <v>0</v>
      </c>
      <c r="S142" s="986">
        <f t="shared" si="32"/>
        <v>0</v>
      </c>
      <c r="T142" s="986">
        <f t="shared" si="33"/>
        <v>0</v>
      </c>
      <c r="U142" s="1005">
        <v>0</v>
      </c>
      <c r="V142" s="443" t="e">
        <f>#REF!+#REF!-O142</f>
        <v>#REF!</v>
      </c>
      <c r="W142" s="975" t="e">
        <f>ROUND((#REF!+#REF!+#REF!+#REF!+#REF!+#REF!+#REF!+#REF!+#REF!),2)</f>
        <v>#REF!</v>
      </c>
      <c r="AA142" s="976" t="e">
        <f>#REF!+#REF!-O142</f>
        <v>#REF!</v>
      </c>
      <c r="AB142" s="977" t="e">
        <f>#REF!</f>
        <v>#REF!</v>
      </c>
      <c r="AC142" s="976" t="e">
        <f>#REF!+#REF!</f>
        <v>#REF!</v>
      </c>
      <c r="AD142" s="977" t="e">
        <f>#REF!</f>
        <v>#REF!</v>
      </c>
      <c r="AE142" s="978">
        <v>0</v>
      </c>
      <c r="AF142" s="977" t="e">
        <f>#REF!</f>
        <v>#REF!</v>
      </c>
      <c r="AG142" s="979" t="e">
        <f>#REF!+#REF!</f>
        <v>#REF!</v>
      </c>
      <c r="AH142" s="979" t="e">
        <f>#REF!+#REF!</f>
        <v>#REF!</v>
      </c>
      <c r="AI142" s="979"/>
      <c r="AJ142" s="977" t="e">
        <f>#REF!</f>
        <v>#REF!</v>
      </c>
      <c r="AK142" s="977" t="e">
        <f t="shared" si="27"/>
        <v>#REF!</v>
      </c>
      <c r="AL142" s="977">
        <f t="shared" si="28"/>
        <v>0</v>
      </c>
      <c r="AM142" s="977">
        <f t="shared" si="29"/>
        <v>0</v>
      </c>
      <c r="AN142" s="634"/>
    </row>
    <row r="143" spans="1:40" s="629" customFormat="1" ht="20.100000000000001" customHeight="1">
      <c r="A143" s="771">
        <f t="shared" si="34"/>
        <v>100</v>
      </c>
      <c r="B143" s="980">
        <f>+NOMINA!C142</f>
        <v>13897046</v>
      </c>
      <c r="C143" s="981" t="str">
        <f>+NOMINA!D142</f>
        <v>Artigas Sanchez Mireya Carolina</v>
      </c>
      <c r="D143" s="978" t="s">
        <v>4622</v>
      </c>
      <c r="E143" s="982">
        <v>32351</v>
      </c>
      <c r="F143" s="978" t="s">
        <v>4620</v>
      </c>
      <c r="G143" s="1004">
        <f>+NOMINA!H142</f>
        <v>42384</v>
      </c>
      <c r="H143" s="984">
        <f t="shared" si="30"/>
        <v>6</v>
      </c>
      <c r="I143" s="985">
        <v>0</v>
      </c>
      <c r="J143" s="999">
        <f>+NOMINA!BL142</f>
        <v>17.72</v>
      </c>
      <c r="K143" s="999">
        <f>+NOMINA!BM142</f>
        <v>2.21</v>
      </c>
      <c r="L143" s="999">
        <f>+NOMINA!BN142</f>
        <v>4.8</v>
      </c>
      <c r="M143" s="999">
        <f>++NOMINA!BO142</f>
        <v>0</v>
      </c>
      <c r="N143" s="999">
        <f>+NOMINA!BP142</f>
        <v>0</v>
      </c>
      <c r="O143" s="986">
        <f t="shared" si="31"/>
        <v>24.73</v>
      </c>
      <c r="P143" s="999">
        <f>+NOMINA!BR142</f>
        <v>39.86</v>
      </c>
      <c r="Q143" s="999">
        <f>+NOMINA!BS142</f>
        <v>8.86</v>
      </c>
      <c r="R143" s="999">
        <f>+NOMINA!BT142</f>
        <v>9.6</v>
      </c>
      <c r="S143" s="986">
        <f t="shared" si="32"/>
        <v>58.32</v>
      </c>
      <c r="T143" s="986">
        <f t="shared" si="33"/>
        <v>83.05</v>
      </c>
      <c r="U143" s="1005">
        <v>0</v>
      </c>
      <c r="V143" s="443" t="e">
        <f>#REF!+#REF!-O143</f>
        <v>#REF!</v>
      </c>
      <c r="W143" s="975" t="e">
        <f>ROUND((#REF!+#REF!+#REF!+#REF!+#REF!+#REF!+#REF!+#REF!+#REF!),2)</f>
        <v>#REF!</v>
      </c>
      <c r="AA143" s="976" t="e">
        <f>#REF!+#REF!-O143</f>
        <v>#REF!</v>
      </c>
      <c r="AB143" s="977" t="e">
        <f>#REF!</f>
        <v>#REF!</v>
      </c>
      <c r="AC143" s="976" t="e">
        <f>#REF!+#REF!</f>
        <v>#REF!</v>
      </c>
      <c r="AD143" s="977" t="e">
        <f>#REF!</f>
        <v>#REF!</v>
      </c>
      <c r="AE143" s="978">
        <v>0</v>
      </c>
      <c r="AF143" s="977" t="e">
        <f>#REF!</f>
        <v>#REF!</v>
      </c>
      <c r="AG143" s="979" t="e">
        <f>#REF!+#REF!</f>
        <v>#REF!</v>
      </c>
      <c r="AH143" s="979" t="e">
        <f>#REF!+#REF!</f>
        <v>#REF!</v>
      </c>
      <c r="AI143" s="979"/>
      <c r="AJ143" s="977" t="e">
        <f>#REF!</f>
        <v>#REF!</v>
      </c>
      <c r="AK143" s="977" t="e">
        <f t="shared" si="27"/>
        <v>#REF!</v>
      </c>
      <c r="AL143" s="977">
        <f t="shared" si="28"/>
        <v>83.05</v>
      </c>
      <c r="AM143" s="977">
        <f t="shared" si="29"/>
        <v>0</v>
      </c>
      <c r="AN143" s="634"/>
    </row>
    <row r="144" spans="1:40" s="629" customFormat="1" ht="20.100000000000001" customHeight="1">
      <c r="A144" s="771">
        <f t="shared" si="34"/>
        <v>101</v>
      </c>
      <c r="B144" s="980">
        <f>+NOMINA!C143</f>
        <v>13897695</v>
      </c>
      <c r="C144" s="981" t="str">
        <f>+NOMINA!D143</f>
        <v>Araujo Matheus Alba Mariela</v>
      </c>
      <c r="D144" s="978" t="s">
        <v>4622</v>
      </c>
      <c r="E144" s="982">
        <v>32351</v>
      </c>
      <c r="F144" s="978" t="s">
        <v>4620</v>
      </c>
      <c r="G144" s="1004">
        <f>+NOMINA!H143</f>
        <v>39496</v>
      </c>
      <c r="H144" s="984">
        <f t="shared" si="30"/>
        <v>14</v>
      </c>
      <c r="I144" s="985">
        <v>0</v>
      </c>
      <c r="J144" s="999">
        <f>+NOMINA!BL143</f>
        <v>23.63</v>
      </c>
      <c r="K144" s="999">
        <f>+NOMINA!BM143</f>
        <v>2.95</v>
      </c>
      <c r="L144" s="999">
        <f>+NOMINA!BN143</f>
        <v>6.4</v>
      </c>
      <c r="M144" s="999">
        <f>++NOMINA!BO143</f>
        <v>0</v>
      </c>
      <c r="N144" s="999">
        <f>+NOMINA!BP143</f>
        <v>0</v>
      </c>
      <c r="O144" s="986">
        <f t="shared" si="31"/>
        <v>32.979999999999997</v>
      </c>
      <c r="P144" s="999">
        <f>+NOMINA!BR143</f>
        <v>53.17</v>
      </c>
      <c r="Q144" s="999">
        <f>+NOMINA!BS143</f>
        <v>11.82</v>
      </c>
      <c r="R144" s="999">
        <f>+NOMINA!BT143</f>
        <v>12.8</v>
      </c>
      <c r="S144" s="986">
        <f t="shared" si="32"/>
        <v>77.790000000000006</v>
      </c>
      <c r="T144" s="986">
        <f t="shared" si="33"/>
        <v>110.77000000000001</v>
      </c>
      <c r="U144" s="1005">
        <v>0</v>
      </c>
      <c r="V144" s="443" t="e">
        <f>#REF!+#REF!-O144</f>
        <v>#REF!</v>
      </c>
      <c r="W144" s="975" t="e">
        <f>ROUND((#REF!+#REF!+#REF!+#REF!+#REF!+#REF!+#REF!+#REF!+#REF!),2)</f>
        <v>#REF!</v>
      </c>
      <c r="AA144" s="976" t="e">
        <f>#REF!+#REF!-O144</f>
        <v>#REF!</v>
      </c>
      <c r="AB144" s="977" t="e">
        <f>#REF!</f>
        <v>#REF!</v>
      </c>
      <c r="AC144" s="976" t="e">
        <f>#REF!+#REF!</f>
        <v>#REF!</v>
      </c>
      <c r="AD144" s="977" t="e">
        <f>#REF!</f>
        <v>#REF!</v>
      </c>
      <c r="AE144" s="978">
        <v>0</v>
      </c>
      <c r="AF144" s="977" t="e">
        <f>#REF!</f>
        <v>#REF!</v>
      </c>
      <c r="AG144" s="979" t="e">
        <f>#REF!+#REF!</f>
        <v>#REF!</v>
      </c>
      <c r="AH144" s="979" t="e">
        <f>#REF!+#REF!</f>
        <v>#REF!</v>
      </c>
      <c r="AI144" s="979"/>
      <c r="AJ144" s="977" t="e">
        <f>#REF!</f>
        <v>#REF!</v>
      </c>
      <c r="AK144" s="977" t="e">
        <f t="shared" si="27"/>
        <v>#REF!</v>
      </c>
      <c r="AL144" s="977">
        <f t="shared" si="28"/>
        <v>110.77000000000001</v>
      </c>
      <c r="AM144" s="977">
        <f t="shared" si="29"/>
        <v>0</v>
      </c>
      <c r="AN144" s="634"/>
    </row>
    <row r="145" spans="1:40" s="629" customFormat="1" ht="20.100000000000001" customHeight="1">
      <c r="A145" s="771">
        <f t="shared" si="34"/>
        <v>102</v>
      </c>
      <c r="B145" s="980">
        <f>+NOMINA!C144</f>
        <v>13996024</v>
      </c>
      <c r="C145" s="981" t="str">
        <f>+NOMINA!D144</f>
        <v>Perez Barrios Helenmar</v>
      </c>
      <c r="D145" s="978" t="s">
        <v>4622</v>
      </c>
      <c r="E145" s="982">
        <v>32351</v>
      </c>
      <c r="F145" s="978" t="s">
        <v>4620</v>
      </c>
      <c r="G145" s="1004">
        <f>+NOMINA!H144</f>
        <v>40028</v>
      </c>
      <c r="H145" s="984">
        <f t="shared" si="30"/>
        <v>13</v>
      </c>
      <c r="I145" s="985">
        <v>0</v>
      </c>
      <c r="J145" s="999">
        <f>+NOMINA!BL144</f>
        <v>22.1</v>
      </c>
      <c r="K145" s="999">
        <f>+NOMINA!BM144</f>
        <v>2.76</v>
      </c>
      <c r="L145" s="999">
        <f>+NOMINA!BN144</f>
        <v>5.99</v>
      </c>
      <c r="M145" s="999">
        <f>++NOMINA!BO144</f>
        <v>0</v>
      </c>
      <c r="N145" s="999">
        <f>+NOMINA!BP144</f>
        <v>0</v>
      </c>
      <c r="O145" s="986">
        <f t="shared" si="31"/>
        <v>30.85</v>
      </c>
      <c r="P145" s="999">
        <f>+NOMINA!BR144</f>
        <v>49.72</v>
      </c>
      <c r="Q145" s="999">
        <f>+NOMINA!BS144</f>
        <v>11.05</v>
      </c>
      <c r="R145" s="999">
        <f>+NOMINA!BT144</f>
        <v>11.98</v>
      </c>
      <c r="S145" s="986">
        <f t="shared" si="32"/>
        <v>72.75</v>
      </c>
      <c r="T145" s="986">
        <f t="shared" si="33"/>
        <v>103.6</v>
      </c>
      <c r="U145" s="1005">
        <v>0</v>
      </c>
      <c r="V145" s="443" t="e">
        <f>#REF!+#REF!-O145</f>
        <v>#REF!</v>
      </c>
      <c r="W145" s="975" t="e">
        <f>ROUND((#REF!+#REF!+#REF!+#REF!+#REF!+#REF!+#REF!+#REF!+#REF!),2)</f>
        <v>#REF!</v>
      </c>
      <c r="AA145" s="976" t="e">
        <f>#REF!+#REF!-O145</f>
        <v>#REF!</v>
      </c>
      <c r="AB145" s="977" t="e">
        <f>#REF!</f>
        <v>#REF!</v>
      </c>
      <c r="AC145" s="976" t="e">
        <f>#REF!+#REF!</f>
        <v>#REF!</v>
      </c>
      <c r="AD145" s="977" t="e">
        <f>#REF!</f>
        <v>#REF!</v>
      </c>
      <c r="AE145" s="978">
        <v>0</v>
      </c>
      <c r="AF145" s="977" t="e">
        <f>#REF!</f>
        <v>#REF!</v>
      </c>
      <c r="AG145" s="979" t="e">
        <f>#REF!+#REF!</f>
        <v>#REF!</v>
      </c>
      <c r="AH145" s="979" t="e">
        <f>#REF!+#REF!</f>
        <v>#REF!</v>
      </c>
      <c r="AI145" s="979"/>
      <c r="AJ145" s="977" t="e">
        <f>#REF!</f>
        <v>#REF!</v>
      </c>
      <c r="AK145" s="977" t="e">
        <f t="shared" si="27"/>
        <v>#REF!</v>
      </c>
      <c r="AL145" s="977">
        <f t="shared" si="28"/>
        <v>103.6</v>
      </c>
      <c r="AM145" s="977">
        <f t="shared" si="29"/>
        <v>0</v>
      </c>
      <c r="AN145" s="634"/>
    </row>
    <row r="146" spans="1:40" s="629" customFormat="1" ht="20.100000000000001" customHeight="1">
      <c r="A146" s="771">
        <f t="shared" si="34"/>
        <v>103</v>
      </c>
      <c r="B146" s="980">
        <f>+NOMINA!C145</f>
        <v>14106648</v>
      </c>
      <c r="C146" s="981" t="str">
        <f>+NOMINA!D145</f>
        <v>Aguilar Flores Heidy Coromoto</v>
      </c>
      <c r="D146" s="978" t="s">
        <v>4622</v>
      </c>
      <c r="E146" s="982">
        <v>32351</v>
      </c>
      <c r="F146" s="978" t="s">
        <v>4620</v>
      </c>
      <c r="G146" s="1004">
        <f>+NOMINA!H145</f>
        <v>40787</v>
      </c>
      <c r="H146" s="984">
        <f t="shared" si="30"/>
        <v>11</v>
      </c>
      <c r="I146" s="985">
        <v>0</v>
      </c>
      <c r="J146" s="999">
        <f>+NOMINA!BL145</f>
        <v>18.88</v>
      </c>
      <c r="K146" s="999">
        <f>+NOMINA!BM145</f>
        <v>2.36</v>
      </c>
      <c r="L146" s="999">
        <f>+NOMINA!BN145</f>
        <v>5.1100000000000003</v>
      </c>
      <c r="M146" s="999">
        <f>++NOMINA!BO145</f>
        <v>0</v>
      </c>
      <c r="N146" s="999">
        <f>+NOMINA!BP145</f>
        <v>0</v>
      </c>
      <c r="O146" s="986">
        <f t="shared" si="31"/>
        <v>26.35</v>
      </c>
      <c r="P146" s="999">
        <f>+NOMINA!BR145</f>
        <v>42.48</v>
      </c>
      <c r="Q146" s="999">
        <f>+NOMINA!BS145</f>
        <v>9.44</v>
      </c>
      <c r="R146" s="999">
        <f>+NOMINA!BT145</f>
        <v>10.220000000000001</v>
      </c>
      <c r="S146" s="986">
        <f t="shared" si="32"/>
        <v>62.14</v>
      </c>
      <c r="T146" s="986">
        <f t="shared" si="33"/>
        <v>88.490000000000009</v>
      </c>
      <c r="U146" s="1005">
        <v>0</v>
      </c>
      <c r="V146" s="443" t="e">
        <f>#REF!+#REF!-O146</f>
        <v>#REF!</v>
      </c>
      <c r="W146" s="975" t="e">
        <f>ROUND((#REF!+#REF!+#REF!+#REF!+#REF!+#REF!+#REF!+#REF!+#REF!),2)</f>
        <v>#REF!</v>
      </c>
      <c r="AA146" s="976" t="e">
        <f>#REF!+#REF!-O146</f>
        <v>#REF!</v>
      </c>
      <c r="AB146" s="977" t="e">
        <f>#REF!</f>
        <v>#REF!</v>
      </c>
      <c r="AC146" s="976" t="e">
        <f>#REF!+#REF!</f>
        <v>#REF!</v>
      </c>
      <c r="AD146" s="977" t="e">
        <f>#REF!</f>
        <v>#REF!</v>
      </c>
      <c r="AE146" s="978">
        <v>0</v>
      </c>
      <c r="AF146" s="977" t="e">
        <f>#REF!</f>
        <v>#REF!</v>
      </c>
      <c r="AG146" s="979" t="e">
        <f>#REF!+#REF!</f>
        <v>#REF!</v>
      </c>
      <c r="AH146" s="979" t="e">
        <f>#REF!+#REF!</f>
        <v>#REF!</v>
      </c>
      <c r="AI146" s="979"/>
      <c r="AJ146" s="977" t="e">
        <f>#REF!</f>
        <v>#REF!</v>
      </c>
      <c r="AK146" s="977" t="e">
        <f t="shared" si="27"/>
        <v>#REF!</v>
      </c>
      <c r="AL146" s="977">
        <f t="shared" si="28"/>
        <v>88.490000000000009</v>
      </c>
      <c r="AM146" s="977">
        <f t="shared" si="29"/>
        <v>0</v>
      </c>
      <c r="AN146" s="634"/>
    </row>
    <row r="147" spans="1:40" s="629" customFormat="1" ht="20.100000000000001" customHeight="1">
      <c r="A147" s="771">
        <f t="shared" si="34"/>
        <v>104</v>
      </c>
      <c r="B147" s="980">
        <f>+NOMINA!C146</f>
        <v>14329448</v>
      </c>
      <c r="C147" s="981" t="str">
        <f>+NOMINA!D146</f>
        <v>Leal Mejia Jociany Trinny</v>
      </c>
      <c r="D147" s="978" t="s">
        <v>4622</v>
      </c>
      <c r="E147" s="982">
        <v>32351</v>
      </c>
      <c r="F147" s="978" t="s">
        <v>4620</v>
      </c>
      <c r="G147" s="1004">
        <f>+NOMINA!H146</f>
        <v>44743</v>
      </c>
      <c r="H147" s="984">
        <f t="shared" si="30"/>
        <v>0</v>
      </c>
      <c r="I147" s="985">
        <v>0</v>
      </c>
      <c r="J147" s="999">
        <f>+NOMINA!BL146</f>
        <v>18.16</v>
      </c>
      <c r="K147" s="999">
        <f>+NOMINA!BM146</f>
        <v>2.27</v>
      </c>
      <c r="L147" s="999">
        <f>+NOMINA!BN146</f>
        <v>4.92</v>
      </c>
      <c r="M147" s="999">
        <f>++NOMINA!BO146</f>
        <v>0</v>
      </c>
      <c r="N147" s="999">
        <f>+NOMINA!BP146</f>
        <v>0</v>
      </c>
      <c r="O147" s="986">
        <f t="shared" si="31"/>
        <v>25.35</v>
      </c>
      <c r="P147" s="999">
        <f>+NOMINA!BR146</f>
        <v>40.86</v>
      </c>
      <c r="Q147" s="999">
        <f>+NOMINA!BS146</f>
        <v>9.08</v>
      </c>
      <c r="R147" s="999">
        <f>+NOMINA!BT146</f>
        <v>9.84</v>
      </c>
      <c r="S147" s="986">
        <f t="shared" si="32"/>
        <v>59.78</v>
      </c>
      <c r="T147" s="986">
        <f t="shared" si="33"/>
        <v>85.13</v>
      </c>
      <c r="U147" s="1005">
        <v>0</v>
      </c>
      <c r="V147" s="443" t="e">
        <f>#REF!+#REF!-O147</f>
        <v>#REF!</v>
      </c>
      <c r="W147" s="975" t="e">
        <f>ROUND((#REF!+#REF!+#REF!+#REF!+#REF!+#REF!+#REF!+#REF!+#REF!),2)</f>
        <v>#REF!</v>
      </c>
      <c r="AA147" s="976" t="e">
        <f>#REF!+#REF!-O147</f>
        <v>#REF!</v>
      </c>
      <c r="AB147" s="977" t="e">
        <f>#REF!</f>
        <v>#REF!</v>
      </c>
      <c r="AC147" s="976" t="e">
        <f>#REF!+#REF!</f>
        <v>#REF!</v>
      </c>
      <c r="AD147" s="977" t="e">
        <f>#REF!</f>
        <v>#REF!</v>
      </c>
      <c r="AE147" s="978">
        <v>0</v>
      </c>
      <c r="AF147" s="977" t="e">
        <f>#REF!</f>
        <v>#REF!</v>
      </c>
      <c r="AG147" s="979" t="e">
        <f>#REF!+#REF!</f>
        <v>#REF!</v>
      </c>
      <c r="AH147" s="979" t="e">
        <f>#REF!+#REF!</f>
        <v>#REF!</v>
      </c>
      <c r="AI147" s="979"/>
      <c r="AJ147" s="977" t="e">
        <f>#REF!</f>
        <v>#REF!</v>
      </c>
      <c r="AK147" s="977" t="e">
        <f t="shared" si="27"/>
        <v>#REF!</v>
      </c>
      <c r="AL147" s="977">
        <f t="shared" si="28"/>
        <v>85.13</v>
      </c>
      <c r="AM147" s="977">
        <f t="shared" si="29"/>
        <v>0</v>
      </c>
      <c r="AN147" s="634"/>
    </row>
    <row r="148" spans="1:40" s="629" customFormat="1" ht="20.100000000000001" customHeight="1">
      <c r="A148" s="771">
        <f t="shared" si="34"/>
        <v>105</v>
      </c>
      <c r="B148" s="980">
        <f>+NOMINA!C147</f>
        <v>14406240</v>
      </c>
      <c r="C148" s="981" t="str">
        <f>+NOMINA!D147</f>
        <v>Sarmiento Suarez Karem Yanira</v>
      </c>
      <c r="D148" s="978" t="s">
        <v>4622</v>
      </c>
      <c r="E148" s="982">
        <v>32351</v>
      </c>
      <c r="F148" s="978" t="s">
        <v>4620</v>
      </c>
      <c r="G148" s="1004">
        <f>+NOMINA!H147</f>
        <v>43785</v>
      </c>
      <c r="H148" s="984">
        <f t="shared" si="30"/>
        <v>3</v>
      </c>
      <c r="I148" s="985">
        <v>0</v>
      </c>
      <c r="J148" s="999">
        <f>+NOMINA!BL147</f>
        <v>18.48</v>
      </c>
      <c r="K148" s="999">
        <f>+NOMINA!BM147</f>
        <v>2.31</v>
      </c>
      <c r="L148" s="999">
        <f>+NOMINA!BN147</f>
        <v>5</v>
      </c>
      <c r="M148" s="999">
        <f>++NOMINA!BO147</f>
        <v>0</v>
      </c>
      <c r="N148" s="999">
        <f>+NOMINA!BP147</f>
        <v>0</v>
      </c>
      <c r="O148" s="986">
        <f t="shared" si="31"/>
        <v>25.79</v>
      </c>
      <c r="P148" s="999">
        <f>+NOMINA!BR147</f>
        <v>41.57</v>
      </c>
      <c r="Q148" s="999">
        <f>+NOMINA!BS147</f>
        <v>9.24</v>
      </c>
      <c r="R148" s="999">
        <f>+NOMINA!BT147</f>
        <v>10</v>
      </c>
      <c r="S148" s="986">
        <f t="shared" si="32"/>
        <v>60.81</v>
      </c>
      <c r="T148" s="986">
        <f t="shared" si="33"/>
        <v>86.6</v>
      </c>
      <c r="U148" s="1005">
        <v>0</v>
      </c>
      <c r="V148" s="443" t="e">
        <f>#REF!+#REF!-O148</f>
        <v>#REF!</v>
      </c>
      <c r="W148" s="975" t="e">
        <f>ROUND((#REF!+#REF!+#REF!+#REF!+#REF!+#REF!+#REF!+#REF!+#REF!),2)</f>
        <v>#REF!</v>
      </c>
      <c r="AA148" s="976" t="e">
        <f>#REF!+#REF!-O148</f>
        <v>#REF!</v>
      </c>
      <c r="AB148" s="977" t="e">
        <f>#REF!</f>
        <v>#REF!</v>
      </c>
      <c r="AC148" s="976" t="e">
        <f>#REF!+#REF!</f>
        <v>#REF!</v>
      </c>
      <c r="AD148" s="977" t="e">
        <f>#REF!</f>
        <v>#REF!</v>
      </c>
      <c r="AE148" s="978">
        <v>0</v>
      </c>
      <c r="AF148" s="977" t="e">
        <f>#REF!</f>
        <v>#REF!</v>
      </c>
      <c r="AG148" s="979" t="e">
        <f>#REF!+#REF!</f>
        <v>#REF!</v>
      </c>
      <c r="AH148" s="979" t="e">
        <f>#REF!+#REF!</f>
        <v>#REF!</v>
      </c>
      <c r="AI148" s="979"/>
      <c r="AJ148" s="977" t="e">
        <f>#REF!</f>
        <v>#REF!</v>
      </c>
      <c r="AK148" s="977" t="e">
        <f t="shared" si="27"/>
        <v>#REF!</v>
      </c>
      <c r="AL148" s="977">
        <f t="shared" si="28"/>
        <v>86.6</v>
      </c>
      <c r="AM148" s="977">
        <f t="shared" si="29"/>
        <v>0</v>
      </c>
      <c r="AN148" s="634"/>
    </row>
    <row r="149" spans="1:40" s="629" customFormat="1" ht="20.100000000000001" customHeight="1">
      <c r="A149" s="771">
        <f t="shared" si="34"/>
        <v>106</v>
      </c>
      <c r="B149" s="980">
        <f>+NOMINA!C148</f>
        <v>14459607</v>
      </c>
      <c r="C149" s="981" t="str">
        <f>+NOMINA!D148</f>
        <v>Martinez Leal Deyanira Yusissan</v>
      </c>
      <c r="D149" s="978" t="s">
        <v>4622</v>
      </c>
      <c r="E149" s="982">
        <v>32351</v>
      </c>
      <c r="F149" s="978" t="s">
        <v>4620</v>
      </c>
      <c r="G149" s="1004">
        <f>+NOMINA!H148</f>
        <v>43116</v>
      </c>
      <c r="H149" s="984">
        <f t="shared" si="30"/>
        <v>4</v>
      </c>
      <c r="I149" s="985">
        <v>0</v>
      </c>
      <c r="J149" s="999">
        <f>+NOMINA!BL148</f>
        <v>17.38</v>
      </c>
      <c r="K149" s="999">
        <f>+NOMINA!BM148</f>
        <v>2.17</v>
      </c>
      <c r="L149" s="999">
        <f>+NOMINA!BN148</f>
        <v>4.71</v>
      </c>
      <c r="M149" s="999">
        <f>++NOMINA!BO148</f>
        <v>0</v>
      </c>
      <c r="N149" s="999">
        <f>+NOMINA!BP148</f>
        <v>0</v>
      </c>
      <c r="O149" s="986">
        <f t="shared" si="31"/>
        <v>24.26</v>
      </c>
      <c r="P149" s="999">
        <f>+NOMINA!BR148</f>
        <v>39.11</v>
      </c>
      <c r="Q149" s="999">
        <f>+NOMINA!BS148</f>
        <v>8.69</v>
      </c>
      <c r="R149" s="999">
        <f>+NOMINA!BT148</f>
        <v>9.42</v>
      </c>
      <c r="S149" s="986">
        <f t="shared" si="32"/>
        <v>57.22</v>
      </c>
      <c r="T149" s="986">
        <f t="shared" si="33"/>
        <v>81.48</v>
      </c>
      <c r="U149" s="1005">
        <v>0</v>
      </c>
      <c r="V149" s="443" t="e">
        <f>#REF!+#REF!-O149</f>
        <v>#REF!</v>
      </c>
      <c r="W149" s="975" t="e">
        <f>ROUND((#REF!+#REF!+#REF!+#REF!+#REF!+#REF!+#REF!+#REF!+#REF!),2)</f>
        <v>#REF!</v>
      </c>
      <c r="AA149" s="976" t="e">
        <f>#REF!+#REF!-O149</f>
        <v>#REF!</v>
      </c>
      <c r="AB149" s="977" t="e">
        <f>#REF!</f>
        <v>#REF!</v>
      </c>
      <c r="AC149" s="976" t="e">
        <f>#REF!+#REF!</f>
        <v>#REF!</v>
      </c>
      <c r="AD149" s="977" t="e">
        <f>#REF!</f>
        <v>#REF!</v>
      </c>
      <c r="AE149" s="978">
        <v>0</v>
      </c>
      <c r="AF149" s="977" t="e">
        <f>#REF!</f>
        <v>#REF!</v>
      </c>
      <c r="AG149" s="979" t="e">
        <f>#REF!+#REF!</f>
        <v>#REF!</v>
      </c>
      <c r="AH149" s="979" t="e">
        <f>#REF!+#REF!</f>
        <v>#REF!</v>
      </c>
      <c r="AI149" s="979"/>
      <c r="AJ149" s="977" t="e">
        <f>#REF!</f>
        <v>#REF!</v>
      </c>
      <c r="AK149" s="977" t="e">
        <f t="shared" si="27"/>
        <v>#REF!</v>
      </c>
      <c r="AL149" s="977">
        <f t="shared" si="28"/>
        <v>81.48</v>
      </c>
      <c r="AM149" s="977">
        <f t="shared" si="29"/>
        <v>0</v>
      </c>
      <c r="AN149" s="634"/>
    </row>
    <row r="150" spans="1:40" s="629" customFormat="1" ht="20.100000000000001" customHeight="1">
      <c r="A150" s="771">
        <f t="shared" si="34"/>
        <v>107</v>
      </c>
      <c r="B150" s="980">
        <f>+NOMINA!C149</f>
        <v>14598170</v>
      </c>
      <c r="C150" s="981" t="str">
        <f>+NOMINA!D149</f>
        <v>Rendon Utrilla Gerson Paul</v>
      </c>
      <c r="D150" s="978" t="s">
        <v>4622</v>
      </c>
      <c r="E150" s="982">
        <v>32351</v>
      </c>
      <c r="F150" s="978" t="s">
        <v>4620</v>
      </c>
      <c r="G150" s="1004">
        <f>+NOMINA!H149</f>
        <v>43435</v>
      </c>
      <c r="H150" s="984">
        <f t="shared" si="30"/>
        <v>4</v>
      </c>
      <c r="I150" s="985">
        <v>0</v>
      </c>
      <c r="J150" s="999">
        <f>+NOMINA!BL149</f>
        <v>20.25</v>
      </c>
      <c r="K150" s="999">
        <f>+NOMINA!BM149</f>
        <v>2.5299999999999998</v>
      </c>
      <c r="L150" s="999">
        <f>+NOMINA!BN149</f>
        <v>5.49</v>
      </c>
      <c r="M150" s="999">
        <f>++NOMINA!BO149</f>
        <v>0</v>
      </c>
      <c r="N150" s="999">
        <f>+NOMINA!BP149</f>
        <v>0</v>
      </c>
      <c r="O150" s="986">
        <f t="shared" si="31"/>
        <v>28.27</v>
      </c>
      <c r="P150" s="999">
        <f>+NOMINA!BR149</f>
        <v>45.57</v>
      </c>
      <c r="Q150" s="999">
        <f>+NOMINA!BS149</f>
        <v>10.130000000000001</v>
      </c>
      <c r="R150" s="999">
        <f>+NOMINA!BT149</f>
        <v>10.98</v>
      </c>
      <c r="S150" s="986">
        <f t="shared" si="32"/>
        <v>66.680000000000007</v>
      </c>
      <c r="T150" s="986">
        <f t="shared" si="33"/>
        <v>94.95</v>
      </c>
      <c r="U150" s="1005">
        <v>0</v>
      </c>
      <c r="V150" s="443" t="e">
        <f>#REF!+#REF!-O150</f>
        <v>#REF!</v>
      </c>
      <c r="W150" s="975" t="e">
        <f>ROUND((#REF!+#REF!+#REF!+#REF!+#REF!+#REF!+#REF!+#REF!+#REF!),2)</f>
        <v>#REF!</v>
      </c>
      <c r="AA150" s="976" t="e">
        <f>#REF!+#REF!-O150</f>
        <v>#REF!</v>
      </c>
      <c r="AB150" s="977" t="e">
        <f>#REF!</f>
        <v>#REF!</v>
      </c>
      <c r="AC150" s="976" t="e">
        <f>#REF!+#REF!</f>
        <v>#REF!</v>
      </c>
      <c r="AD150" s="977" t="e">
        <f>#REF!</f>
        <v>#REF!</v>
      </c>
      <c r="AE150" s="978">
        <v>0</v>
      </c>
      <c r="AF150" s="977" t="e">
        <f>#REF!</f>
        <v>#REF!</v>
      </c>
      <c r="AG150" s="979" t="e">
        <f>#REF!+#REF!</f>
        <v>#REF!</v>
      </c>
      <c r="AH150" s="979" t="e">
        <f>#REF!+#REF!</f>
        <v>#REF!</v>
      </c>
      <c r="AI150" s="979"/>
      <c r="AJ150" s="977" t="e">
        <f>#REF!</f>
        <v>#REF!</v>
      </c>
      <c r="AK150" s="977" t="e">
        <f t="shared" si="27"/>
        <v>#REF!</v>
      </c>
      <c r="AL150" s="977">
        <f t="shared" si="28"/>
        <v>94.95</v>
      </c>
      <c r="AM150" s="977">
        <f t="shared" si="29"/>
        <v>0</v>
      </c>
      <c r="AN150" s="634"/>
    </row>
    <row r="151" spans="1:40" s="629" customFormat="1" ht="20.100000000000001" customHeight="1">
      <c r="A151" s="771">
        <f t="shared" si="34"/>
        <v>108</v>
      </c>
      <c r="B151" s="980">
        <f>+NOMINA!C150</f>
        <v>14598687</v>
      </c>
      <c r="C151" s="981" t="str">
        <f>+NOMINA!D150</f>
        <v>Godoy Bracamonte Juan Carlos</v>
      </c>
      <c r="D151" s="978" t="s">
        <v>4622</v>
      </c>
      <c r="E151" s="982">
        <v>32351</v>
      </c>
      <c r="F151" s="978" t="s">
        <v>4620</v>
      </c>
      <c r="G151" s="1004">
        <f>+NOMINA!H150</f>
        <v>44332</v>
      </c>
      <c r="H151" s="984">
        <f t="shared" si="30"/>
        <v>1</v>
      </c>
      <c r="I151" s="985">
        <v>0</v>
      </c>
      <c r="J151" s="999">
        <f>+NOMINA!BL150</f>
        <v>22.86</v>
      </c>
      <c r="K151" s="999">
        <f>+NOMINA!BM150</f>
        <v>2.86</v>
      </c>
      <c r="L151" s="999">
        <f>+NOMINA!BN150</f>
        <v>6.19</v>
      </c>
      <c r="M151" s="999">
        <f>++NOMINA!BO150</f>
        <v>0</v>
      </c>
      <c r="N151" s="999">
        <f>+NOMINA!BP150</f>
        <v>0</v>
      </c>
      <c r="O151" s="986">
        <f t="shared" si="31"/>
        <v>31.91</v>
      </c>
      <c r="P151" s="999">
        <f>+NOMINA!BR150</f>
        <v>51.45</v>
      </c>
      <c r="Q151" s="999">
        <f>+NOMINA!BS150</f>
        <v>11.43</v>
      </c>
      <c r="R151" s="999">
        <f>+NOMINA!BT150</f>
        <v>12.38</v>
      </c>
      <c r="S151" s="986">
        <f t="shared" si="32"/>
        <v>75.260000000000005</v>
      </c>
      <c r="T151" s="986">
        <f t="shared" si="33"/>
        <v>107.17</v>
      </c>
      <c r="U151" s="1005">
        <v>0</v>
      </c>
      <c r="V151" s="443" t="e">
        <f>#REF!+#REF!-O151</f>
        <v>#REF!</v>
      </c>
      <c r="W151" s="975" t="e">
        <f>ROUND((#REF!+#REF!+#REF!+#REF!+#REF!+#REF!+#REF!+#REF!+#REF!),2)</f>
        <v>#REF!</v>
      </c>
      <c r="AA151" s="976" t="e">
        <f>#REF!+#REF!-O151</f>
        <v>#REF!</v>
      </c>
      <c r="AB151" s="977" t="e">
        <f>#REF!</f>
        <v>#REF!</v>
      </c>
      <c r="AC151" s="976" t="e">
        <f>#REF!+#REF!</f>
        <v>#REF!</v>
      </c>
      <c r="AD151" s="977" t="e">
        <f>#REF!</f>
        <v>#REF!</v>
      </c>
      <c r="AE151" s="978">
        <v>0</v>
      </c>
      <c r="AF151" s="977" t="e">
        <f>#REF!</f>
        <v>#REF!</v>
      </c>
      <c r="AG151" s="979" t="e">
        <f>#REF!+#REF!</f>
        <v>#REF!</v>
      </c>
      <c r="AH151" s="979" t="e">
        <f>#REF!+#REF!</f>
        <v>#REF!</v>
      </c>
      <c r="AI151" s="979"/>
      <c r="AJ151" s="977" t="e">
        <f>#REF!</f>
        <v>#REF!</v>
      </c>
      <c r="AK151" s="977" t="e">
        <f t="shared" si="27"/>
        <v>#REF!</v>
      </c>
      <c r="AL151" s="977">
        <f t="shared" si="28"/>
        <v>107.17</v>
      </c>
      <c r="AM151" s="977">
        <f t="shared" si="29"/>
        <v>0</v>
      </c>
      <c r="AN151" s="634"/>
    </row>
    <row r="152" spans="1:40" s="629" customFormat="1" ht="20.100000000000001" customHeight="1">
      <c r="A152" s="771">
        <f t="shared" si="34"/>
        <v>109</v>
      </c>
      <c r="B152" s="980">
        <f>+NOMINA!C151</f>
        <v>14719639</v>
      </c>
      <c r="C152" s="981" t="str">
        <f>+NOMINA!D151</f>
        <v xml:space="preserve">Coy de Dorante Sandra Liliana </v>
      </c>
      <c r="D152" s="978" t="s">
        <v>4622</v>
      </c>
      <c r="E152" s="982">
        <v>32351</v>
      </c>
      <c r="F152" s="978" t="s">
        <v>4620</v>
      </c>
      <c r="G152" s="1004">
        <f>+NOMINA!H151</f>
        <v>44896</v>
      </c>
      <c r="H152" s="984">
        <f t="shared" si="30"/>
        <v>0</v>
      </c>
      <c r="I152" s="985">
        <v>0</v>
      </c>
      <c r="J152" s="999">
        <f>+NOMINA!BL151</f>
        <v>13.8</v>
      </c>
      <c r="K152" s="999">
        <f>+NOMINA!BM151</f>
        <v>1.73</v>
      </c>
      <c r="L152" s="999">
        <f>+NOMINA!BN151</f>
        <v>3.74</v>
      </c>
      <c r="M152" s="999">
        <f>++NOMINA!BO151</f>
        <v>0</v>
      </c>
      <c r="N152" s="999">
        <f>+NOMINA!BP151</f>
        <v>0</v>
      </c>
      <c r="O152" s="986">
        <f t="shared" si="31"/>
        <v>19.27</v>
      </c>
      <c r="P152" s="999">
        <f>+NOMINA!BR151</f>
        <v>31.06</v>
      </c>
      <c r="Q152" s="999">
        <f>+NOMINA!BS151</f>
        <v>6.9</v>
      </c>
      <c r="R152" s="999">
        <f>+NOMINA!BT151</f>
        <v>7.48</v>
      </c>
      <c r="S152" s="986">
        <f t="shared" si="32"/>
        <v>45.44</v>
      </c>
      <c r="T152" s="986">
        <f t="shared" si="33"/>
        <v>64.709999999999994</v>
      </c>
      <c r="U152" s="1005">
        <v>0</v>
      </c>
      <c r="V152" s="443" t="e">
        <f>#REF!+#REF!-O152</f>
        <v>#REF!</v>
      </c>
      <c r="W152" s="975" t="e">
        <f>ROUND((#REF!+#REF!+#REF!+#REF!+#REF!+#REF!+#REF!+#REF!+#REF!),2)</f>
        <v>#REF!</v>
      </c>
      <c r="AA152" s="976" t="e">
        <f>#REF!+#REF!-O152</f>
        <v>#REF!</v>
      </c>
      <c r="AB152" s="977" t="e">
        <f>#REF!</f>
        <v>#REF!</v>
      </c>
      <c r="AC152" s="976" t="e">
        <f>#REF!+#REF!</f>
        <v>#REF!</v>
      </c>
      <c r="AD152" s="977" t="e">
        <f>#REF!</f>
        <v>#REF!</v>
      </c>
      <c r="AE152" s="978">
        <v>0</v>
      </c>
      <c r="AF152" s="977" t="e">
        <f>#REF!</f>
        <v>#REF!</v>
      </c>
      <c r="AG152" s="979" t="e">
        <f>#REF!+#REF!</f>
        <v>#REF!</v>
      </c>
      <c r="AH152" s="979" t="e">
        <f>#REF!+#REF!</f>
        <v>#REF!</v>
      </c>
      <c r="AI152" s="979"/>
      <c r="AJ152" s="977" t="e">
        <f>#REF!</f>
        <v>#REF!</v>
      </c>
      <c r="AK152" s="977" t="e">
        <f t="shared" si="27"/>
        <v>#REF!</v>
      </c>
      <c r="AL152" s="977">
        <f t="shared" si="28"/>
        <v>64.709999999999994</v>
      </c>
      <c r="AM152" s="977">
        <f t="shared" si="29"/>
        <v>0</v>
      </c>
      <c r="AN152" s="634"/>
    </row>
    <row r="153" spans="1:40" s="629" customFormat="1" ht="20.100000000000001" customHeight="1">
      <c r="A153" s="771">
        <f t="shared" si="34"/>
        <v>110</v>
      </c>
      <c r="B153" s="980">
        <f>+NOMINA!C152</f>
        <v>14739168</v>
      </c>
      <c r="C153" s="981" t="str">
        <f>+NOMINA!D152</f>
        <v>Briceño Hernandez Yeny Del Carmen</v>
      </c>
      <c r="D153" s="978" t="s">
        <v>4622</v>
      </c>
      <c r="E153" s="982">
        <v>32351</v>
      </c>
      <c r="F153" s="978" t="s">
        <v>4620</v>
      </c>
      <c r="G153" s="1004">
        <f>+NOMINA!H152</f>
        <v>38841</v>
      </c>
      <c r="H153" s="984">
        <f t="shared" si="30"/>
        <v>16</v>
      </c>
      <c r="I153" s="985">
        <v>0</v>
      </c>
      <c r="J153" s="999">
        <f>+NOMINA!BL152</f>
        <v>18.72</v>
      </c>
      <c r="K153" s="999">
        <f>+NOMINA!BM152</f>
        <v>2.34</v>
      </c>
      <c r="L153" s="999">
        <f>+NOMINA!BN152</f>
        <v>5.07</v>
      </c>
      <c r="M153" s="999">
        <f>++NOMINA!BO152</f>
        <v>0</v>
      </c>
      <c r="N153" s="999">
        <f>+NOMINA!BP152</f>
        <v>0</v>
      </c>
      <c r="O153" s="986">
        <f t="shared" si="31"/>
        <v>26.13</v>
      </c>
      <c r="P153" s="999">
        <f>+NOMINA!BR152</f>
        <v>42.12</v>
      </c>
      <c r="Q153" s="999">
        <f>+NOMINA!BS152</f>
        <v>9.36</v>
      </c>
      <c r="R153" s="999">
        <f>+NOMINA!BT152</f>
        <v>10.14</v>
      </c>
      <c r="S153" s="986">
        <f t="shared" si="32"/>
        <v>61.62</v>
      </c>
      <c r="T153" s="986">
        <f t="shared" si="33"/>
        <v>87.75</v>
      </c>
      <c r="U153" s="1005">
        <v>0</v>
      </c>
      <c r="V153" s="443" t="e">
        <f>#REF!+#REF!-O153</f>
        <v>#REF!</v>
      </c>
      <c r="W153" s="975" t="e">
        <f>ROUND((#REF!+#REF!+#REF!+#REF!+#REF!+#REF!+#REF!+#REF!+#REF!),2)</f>
        <v>#REF!</v>
      </c>
      <c r="AA153" s="976" t="e">
        <f>#REF!+#REF!-O153</f>
        <v>#REF!</v>
      </c>
      <c r="AB153" s="977" t="e">
        <f>#REF!</f>
        <v>#REF!</v>
      </c>
      <c r="AC153" s="976" t="e">
        <f>#REF!+#REF!</f>
        <v>#REF!</v>
      </c>
      <c r="AD153" s="977" t="e">
        <f>#REF!</f>
        <v>#REF!</v>
      </c>
      <c r="AE153" s="978">
        <v>0</v>
      </c>
      <c r="AF153" s="977" t="e">
        <f>#REF!</f>
        <v>#REF!</v>
      </c>
      <c r="AG153" s="979" t="e">
        <f>#REF!+#REF!</f>
        <v>#REF!</v>
      </c>
      <c r="AH153" s="979" t="e">
        <f>#REF!+#REF!</f>
        <v>#REF!</v>
      </c>
      <c r="AI153" s="979"/>
      <c r="AJ153" s="977" t="e">
        <f>#REF!</f>
        <v>#REF!</v>
      </c>
      <c r="AK153" s="977" t="e">
        <f t="shared" si="27"/>
        <v>#REF!</v>
      </c>
      <c r="AL153" s="977">
        <f t="shared" si="28"/>
        <v>87.75</v>
      </c>
      <c r="AM153" s="977">
        <f t="shared" si="29"/>
        <v>0</v>
      </c>
      <c r="AN153" s="634"/>
    </row>
    <row r="154" spans="1:40" s="629" customFormat="1" ht="20.100000000000001" customHeight="1">
      <c r="A154" s="771">
        <f t="shared" si="34"/>
        <v>111</v>
      </c>
      <c r="B154" s="980">
        <f>+NOMINA!C153</f>
        <v>14928034</v>
      </c>
      <c r="C154" s="981" t="str">
        <f>+NOMINA!D153</f>
        <v>Ramirez Palomares Mariana Teresa</v>
      </c>
      <c r="D154" s="978" t="s">
        <v>4622</v>
      </c>
      <c r="E154" s="982">
        <v>32351</v>
      </c>
      <c r="F154" s="978" t="s">
        <v>4620</v>
      </c>
      <c r="G154" s="1004">
        <f>+NOMINA!H153</f>
        <v>44302</v>
      </c>
      <c r="H154" s="984">
        <f t="shared" si="30"/>
        <v>1</v>
      </c>
      <c r="I154" s="985">
        <v>0</v>
      </c>
      <c r="J154" s="999">
        <f>+NOMINA!BL153</f>
        <v>12.29</v>
      </c>
      <c r="K154" s="999">
        <f>+NOMINA!BM153</f>
        <v>1.54</v>
      </c>
      <c r="L154" s="999">
        <f>+NOMINA!BN153</f>
        <v>3.33</v>
      </c>
      <c r="M154" s="999">
        <f>++NOMINA!BO153</f>
        <v>0</v>
      </c>
      <c r="N154" s="999">
        <f>+NOMINA!BP153</f>
        <v>0</v>
      </c>
      <c r="O154" s="986">
        <f t="shared" si="31"/>
        <v>17.16</v>
      </c>
      <c r="P154" s="999">
        <f>+NOMINA!BR153</f>
        <v>27.65</v>
      </c>
      <c r="Q154" s="999">
        <f>+NOMINA!BS153</f>
        <v>6.15</v>
      </c>
      <c r="R154" s="999">
        <f>+NOMINA!BT153</f>
        <v>6.66</v>
      </c>
      <c r="S154" s="986">
        <f t="shared" si="32"/>
        <v>40.46</v>
      </c>
      <c r="T154" s="986">
        <f t="shared" si="33"/>
        <v>57.620000000000005</v>
      </c>
      <c r="U154" s="1005">
        <v>0</v>
      </c>
      <c r="V154" s="443" t="e">
        <f>#REF!+#REF!-O154</f>
        <v>#REF!</v>
      </c>
      <c r="W154" s="975" t="e">
        <f>ROUND((#REF!+#REF!+#REF!+#REF!+#REF!+#REF!+#REF!+#REF!+#REF!),2)</f>
        <v>#REF!</v>
      </c>
      <c r="AA154" s="976" t="e">
        <f>#REF!+#REF!-O154</f>
        <v>#REF!</v>
      </c>
      <c r="AB154" s="977" t="e">
        <f>#REF!</f>
        <v>#REF!</v>
      </c>
      <c r="AC154" s="976" t="e">
        <f>#REF!+#REF!</f>
        <v>#REF!</v>
      </c>
      <c r="AD154" s="977" t="e">
        <f>#REF!</f>
        <v>#REF!</v>
      </c>
      <c r="AE154" s="978">
        <v>0</v>
      </c>
      <c r="AF154" s="977" t="e">
        <f>#REF!</f>
        <v>#REF!</v>
      </c>
      <c r="AG154" s="979" t="e">
        <f>#REF!+#REF!</f>
        <v>#REF!</v>
      </c>
      <c r="AH154" s="979" t="e">
        <f>#REF!+#REF!</f>
        <v>#REF!</v>
      </c>
      <c r="AI154" s="979"/>
      <c r="AJ154" s="977" t="e">
        <f>#REF!</f>
        <v>#REF!</v>
      </c>
      <c r="AK154" s="977" t="e">
        <f t="shared" si="27"/>
        <v>#REF!</v>
      </c>
      <c r="AL154" s="977">
        <f t="shared" si="28"/>
        <v>57.620000000000005</v>
      </c>
      <c r="AM154" s="977">
        <f t="shared" si="29"/>
        <v>0</v>
      </c>
      <c r="AN154" s="634"/>
    </row>
    <row r="155" spans="1:40" s="629" customFormat="1" ht="20.100000000000001" customHeight="1">
      <c r="A155" s="771">
        <f t="shared" si="34"/>
        <v>112</v>
      </c>
      <c r="B155" s="980">
        <f>+NOMINA!C154</f>
        <v>14928260</v>
      </c>
      <c r="C155" s="981" t="str">
        <f>+NOMINA!D154</f>
        <v>Rivas Ana Lucila</v>
      </c>
      <c r="D155" s="978" t="s">
        <v>4622</v>
      </c>
      <c r="E155" s="982">
        <v>32351</v>
      </c>
      <c r="F155" s="978" t="s">
        <v>4620</v>
      </c>
      <c r="G155" s="1004">
        <f>+NOMINA!H154</f>
        <v>39104</v>
      </c>
      <c r="H155" s="984">
        <f t="shared" si="30"/>
        <v>15</v>
      </c>
      <c r="I155" s="985">
        <v>0</v>
      </c>
      <c r="J155" s="999">
        <f>+NOMINA!BL154</f>
        <v>18.72</v>
      </c>
      <c r="K155" s="999">
        <f>+NOMINA!BM154</f>
        <v>2.34</v>
      </c>
      <c r="L155" s="999">
        <f>+NOMINA!BN154</f>
        <v>5.07</v>
      </c>
      <c r="M155" s="999">
        <f>++NOMINA!BO154</f>
        <v>0</v>
      </c>
      <c r="N155" s="999">
        <f>+NOMINA!BP154</f>
        <v>0</v>
      </c>
      <c r="O155" s="986">
        <f t="shared" si="31"/>
        <v>26.13</v>
      </c>
      <c r="P155" s="999">
        <f>+NOMINA!BR154</f>
        <v>42.12</v>
      </c>
      <c r="Q155" s="999">
        <f>+NOMINA!BS154</f>
        <v>9.36</v>
      </c>
      <c r="R155" s="999">
        <f>+NOMINA!BT154</f>
        <v>10.14</v>
      </c>
      <c r="S155" s="986">
        <f t="shared" si="32"/>
        <v>61.62</v>
      </c>
      <c r="T155" s="986">
        <f t="shared" si="33"/>
        <v>87.75</v>
      </c>
      <c r="U155" s="1005">
        <v>0</v>
      </c>
      <c r="V155" s="443" t="e">
        <f>#REF!+#REF!-O155</f>
        <v>#REF!</v>
      </c>
      <c r="W155" s="975" t="e">
        <f>ROUND((#REF!+#REF!+#REF!+#REF!+#REF!+#REF!+#REF!+#REF!+#REF!),2)</f>
        <v>#REF!</v>
      </c>
      <c r="AA155" s="976" t="e">
        <f>#REF!+#REF!-O155</f>
        <v>#REF!</v>
      </c>
      <c r="AB155" s="977" t="e">
        <f>#REF!</f>
        <v>#REF!</v>
      </c>
      <c r="AC155" s="976" t="e">
        <f>#REF!+#REF!</f>
        <v>#REF!</v>
      </c>
      <c r="AD155" s="977" t="e">
        <f>#REF!</f>
        <v>#REF!</v>
      </c>
      <c r="AE155" s="978">
        <v>0</v>
      </c>
      <c r="AF155" s="977" t="e">
        <f>#REF!</f>
        <v>#REF!</v>
      </c>
      <c r="AG155" s="979" t="e">
        <f>#REF!+#REF!</f>
        <v>#REF!</v>
      </c>
      <c r="AH155" s="979" t="e">
        <f>#REF!+#REF!</f>
        <v>#REF!</v>
      </c>
      <c r="AI155" s="979"/>
      <c r="AJ155" s="977" t="e">
        <f>#REF!</f>
        <v>#REF!</v>
      </c>
      <c r="AK155" s="977" t="e">
        <f t="shared" si="27"/>
        <v>#REF!</v>
      </c>
      <c r="AL155" s="977">
        <f t="shared" si="28"/>
        <v>87.75</v>
      </c>
      <c r="AM155" s="977">
        <f t="shared" si="29"/>
        <v>0</v>
      </c>
      <c r="AN155" s="634"/>
    </row>
    <row r="156" spans="1:40" s="629" customFormat="1" ht="20.100000000000001" customHeight="1">
      <c r="A156" s="771">
        <f t="shared" si="34"/>
        <v>113</v>
      </c>
      <c r="B156" s="980">
        <f>+NOMINA!C155</f>
        <v>14929642</v>
      </c>
      <c r="C156" s="981" t="str">
        <f>+NOMINA!D155</f>
        <v>Alvarran Arjona Ismenia Del Carmen</v>
      </c>
      <c r="D156" s="978" t="s">
        <v>4622</v>
      </c>
      <c r="E156" s="982">
        <v>32351</v>
      </c>
      <c r="F156" s="978" t="s">
        <v>4620</v>
      </c>
      <c r="G156" s="1004">
        <f>+NOMINA!H155</f>
        <v>43419</v>
      </c>
      <c r="H156" s="984">
        <f t="shared" si="30"/>
        <v>4</v>
      </c>
      <c r="I156" s="985">
        <v>0</v>
      </c>
      <c r="J156" s="999">
        <f>+NOMINA!BL155</f>
        <v>21.73</v>
      </c>
      <c r="K156" s="999">
        <f>+NOMINA!BM155</f>
        <v>2.72</v>
      </c>
      <c r="L156" s="999">
        <f>+NOMINA!BN155</f>
        <v>5.88</v>
      </c>
      <c r="M156" s="999">
        <f>++NOMINA!BO155</f>
        <v>0</v>
      </c>
      <c r="N156" s="999">
        <f>+NOMINA!BP155</f>
        <v>0</v>
      </c>
      <c r="O156" s="986">
        <f t="shared" si="31"/>
        <v>30.33</v>
      </c>
      <c r="P156" s="999">
        <f>+NOMINA!BR155</f>
        <v>48.88</v>
      </c>
      <c r="Q156" s="999">
        <f>+NOMINA!BS155</f>
        <v>10.86</v>
      </c>
      <c r="R156" s="999">
        <f>+NOMINA!BT155</f>
        <v>11.76</v>
      </c>
      <c r="S156" s="986">
        <f t="shared" si="32"/>
        <v>71.5</v>
      </c>
      <c r="T156" s="986">
        <f t="shared" si="33"/>
        <v>101.83</v>
      </c>
      <c r="U156" s="1005">
        <v>0</v>
      </c>
      <c r="V156" s="443" t="e">
        <f>#REF!+#REF!-O156</f>
        <v>#REF!</v>
      </c>
      <c r="W156" s="975" t="e">
        <f>ROUND((#REF!+#REF!+#REF!+#REF!+#REF!+#REF!+#REF!+#REF!+#REF!),2)</f>
        <v>#REF!</v>
      </c>
      <c r="AA156" s="976" t="e">
        <f>#REF!+#REF!-O156</f>
        <v>#REF!</v>
      </c>
      <c r="AB156" s="977" t="e">
        <f>#REF!</f>
        <v>#REF!</v>
      </c>
      <c r="AC156" s="976" t="e">
        <f>#REF!+#REF!</f>
        <v>#REF!</v>
      </c>
      <c r="AD156" s="977" t="e">
        <f>#REF!</f>
        <v>#REF!</v>
      </c>
      <c r="AE156" s="978">
        <v>0</v>
      </c>
      <c r="AF156" s="977" t="e">
        <f>#REF!</f>
        <v>#REF!</v>
      </c>
      <c r="AG156" s="979" t="e">
        <f>#REF!+#REF!</f>
        <v>#REF!</v>
      </c>
      <c r="AH156" s="979" t="e">
        <f>#REF!+#REF!</f>
        <v>#REF!</v>
      </c>
      <c r="AI156" s="979"/>
      <c r="AJ156" s="977" t="e">
        <f>#REF!</f>
        <v>#REF!</v>
      </c>
      <c r="AK156" s="977" t="e">
        <f t="shared" si="27"/>
        <v>#REF!</v>
      </c>
      <c r="AL156" s="977">
        <f t="shared" si="28"/>
        <v>101.83</v>
      </c>
      <c r="AM156" s="977">
        <f t="shared" si="29"/>
        <v>0</v>
      </c>
      <c r="AN156" s="634"/>
    </row>
    <row r="157" spans="1:40" s="629" customFormat="1" ht="20.100000000000001" customHeight="1">
      <c r="A157" s="771">
        <f t="shared" si="34"/>
        <v>114</v>
      </c>
      <c r="B157" s="980">
        <f>+NOMINA!C156</f>
        <v>14986675</v>
      </c>
      <c r="C157" s="981" t="str">
        <f>+NOMINA!D156</f>
        <v>Mecias Nuñez Shirly Ygnacia</v>
      </c>
      <c r="D157" s="978" t="s">
        <v>4622</v>
      </c>
      <c r="E157" s="982">
        <v>32351</v>
      </c>
      <c r="F157" s="978" t="s">
        <v>4620</v>
      </c>
      <c r="G157" s="1004">
        <f>+NOMINA!H156</f>
        <v>44805</v>
      </c>
      <c r="H157" s="984">
        <f t="shared" si="30"/>
        <v>0</v>
      </c>
      <c r="I157" s="985">
        <v>0</v>
      </c>
      <c r="J157" s="999">
        <f>+NOMINA!BL156</f>
        <v>18.73</v>
      </c>
      <c r="K157" s="999">
        <f>+NOMINA!BM156</f>
        <v>2.34</v>
      </c>
      <c r="L157" s="999">
        <f>+NOMINA!BN156</f>
        <v>5.07</v>
      </c>
      <c r="M157" s="999">
        <f>++NOMINA!BO156</f>
        <v>0</v>
      </c>
      <c r="N157" s="999">
        <f>+NOMINA!BP156</f>
        <v>0</v>
      </c>
      <c r="O157" s="986">
        <f t="shared" si="31"/>
        <v>26.14</v>
      </c>
      <c r="P157" s="999">
        <f>+NOMINA!BR156</f>
        <v>42.15</v>
      </c>
      <c r="Q157" s="999">
        <f>+NOMINA!BS156</f>
        <v>9.3699999999999992</v>
      </c>
      <c r="R157" s="999">
        <f>+NOMINA!BT156</f>
        <v>10.14</v>
      </c>
      <c r="S157" s="986">
        <f t="shared" si="32"/>
        <v>61.66</v>
      </c>
      <c r="T157" s="986">
        <f t="shared" si="33"/>
        <v>87.8</v>
      </c>
      <c r="U157" s="1005">
        <v>0</v>
      </c>
      <c r="V157" s="443" t="e">
        <f>#REF!+#REF!-O157</f>
        <v>#REF!</v>
      </c>
      <c r="W157" s="975" t="e">
        <f>ROUND((#REF!+#REF!+#REF!+#REF!+#REF!+#REF!+#REF!+#REF!+#REF!),2)</f>
        <v>#REF!</v>
      </c>
      <c r="AA157" s="976" t="e">
        <f>#REF!+#REF!-O157</f>
        <v>#REF!</v>
      </c>
      <c r="AB157" s="977" t="e">
        <f>#REF!</f>
        <v>#REF!</v>
      </c>
      <c r="AC157" s="976" t="e">
        <f>#REF!+#REF!</f>
        <v>#REF!</v>
      </c>
      <c r="AD157" s="977" t="e">
        <f>#REF!</f>
        <v>#REF!</v>
      </c>
      <c r="AE157" s="978">
        <v>0</v>
      </c>
      <c r="AF157" s="977" t="e">
        <f>#REF!</f>
        <v>#REF!</v>
      </c>
      <c r="AG157" s="979" t="e">
        <f>#REF!+#REF!</f>
        <v>#REF!</v>
      </c>
      <c r="AH157" s="979" t="e">
        <f>#REF!+#REF!</f>
        <v>#REF!</v>
      </c>
      <c r="AI157" s="979"/>
      <c r="AJ157" s="977" t="e">
        <f>#REF!</f>
        <v>#REF!</v>
      </c>
      <c r="AK157" s="977" t="e">
        <f t="shared" si="27"/>
        <v>#REF!</v>
      </c>
      <c r="AL157" s="977">
        <f t="shared" si="28"/>
        <v>87.8</v>
      </c>
      <c r="AM157" s="977">
        <f t="shared" si="29"/>
        <v>0</v>
      </c>
      <c r="AN157" s="634"/>
    </row>
    <row r="158" spans="1:40" s="629" customFormat="1" ht="20.100000000000001" customHeight="1">
      <c r="A158" s="771">
        <f t="shared" si="34"/>
        <v>115</v>
      </c>
      <c r="B158" s="980">
        <f>+NOMINA!C157</f>
        <v>15188927</v>
      </c>
      <c r="C158" s="981" t="str">
        <f>+NOMINA!D157</f>
        <v>Linares Villarreal Rosmely del Carmen</v>
      </c>
      <c r="D158" s="978" t="s">
        <v>4622</v>
      </c>
      <c r="E158" s="982">
        <v>32351</v>
      </c>
      <c r="F158" s="978" t="s">
        <v>4620</v>
      </c>
      <c r="G158" s="1004">
        <f>+NOMINA!H157</f>
        <v>44409</v>
      </c>
      <c r="H158" s="984">
        <f t="shared" si="30"/>
        <v>1</v>
      </c>
      <c r="I158" s="985">
        <v>0</v>
      </c>
      <c r="J158" s="999">
        <f>+NOMINA!BL157</f>
        <v>14.86</v>
      </c>
      <c r="K158" s="999">
        <f>+NOMINA!BM157</f>
        <v>1.86</v>
      </c>
      <c r="L158" s="999">
        <f>+NOMINA!BN157</f>
        <v>4.0199999999999996</v>
      </c>
      <c r="M158" s="999">
        <f>++NOMINA!BO157</f>
        <v>0</v>
      </c>
      <c r="N158" s="999">
        <f>+NOMINA!BP157</f>
        <v>0</v>
      </c>
      <c r="O158" s="986">
        <f t="shared" si="31"/>
        <v>20.74</v>
      </c>
      <c r="P158" s="999">
        <f>+NOMINA!BR157</f>
        <v>33.43</v>
      </c>
      <c r="Q158" s="999">
        <f>+NOMINA!BS157</f>
        <v>7.43</v>
      </c>
      <c r="R158" s="999">
        <f>+NOMINA!BT157</f>
        <v>8.0399999999999991</v>
      </c>
      <c r="S158" s="986">
        <f t="shared" si="32"/>
        <v>48.9</v>
      </c>
      <c r="T158" s="986">
        <f t="shared" si="33"/>
        <v>69.64</v>
      </c>
      <c r="U158" s="1005">
        <v>0</v>
      </c>
      <c r="V158" s="443" t="e">
        <f>#REF!+#REF!-O158</f>
        <v>#REF!</v>
      </c>
      <c r="W158" s="975" t="e">
        <f>ROUND((#REF!+#REF!+#REF!+#REF!+#REF!+#REF!+#REF!+#REF!+#REF!),2)</f>
        <v>#REF!</v>
      </c>
      <c r="AA158" s="976" t="e">
        <f>#REF!+#REF!-O158</f>
        <v>#REF!</v>
      </c>
      <c r="AB158" s="977" t="e">
        <f>#REF!</f>
        <v>#REF!</v>
      </c>
      <c r="AC158" s="976" t="e">
        <f>#REF!+#REF!</f>
        <v>#REF!</v>
      </c>
      <c r="AD158" s="977" t="e">
        <f>#REF!</f>
        <v>#REF!</v>
      </c>
      <c r="AE158" s="978">
        <v>0</v>
      </c>
      <c r="AF158" s="977" t="e">
        <f>#REF!</f>
        <v>#REF!</v>
      </c>
      <c r="AG158" s="979" t="e">
        <f>#REF!+#REF!</f>
        <v>#REF!</v>
      </c>
      <c r="AH158" s="979" t="e">
        <f>#REF!+#REF!</f>
        <v>#REF!</v>
      </c>
      <c r="AI158" s="979"/>
      <c r="AJ158" s="977" t="e">
        <f>#REF!</f>
        <v>#REF!</v>
      </c>
      <c r="AK158" s="977" t="e">
        <f t="shared" si="27"/>
        <v>#REF!</v>
      </c>
      <c r="AL158" s="977">
        <f t="shared" si="28"/>
        <v>69.64</v>
      </c>
      <c r="AM158" s="977">
        <f t="shared" si="29"/>
        <v>0</v>
      </c>
      <c r="AN158" s="634"/>
    </row>
    <row r="159" spans="1:40" s="629" customFormat="1" ht="20.100000000000001" customHeight="1">
      <c r="A159" s="771">
        <f t="shared" si="34"/>
        <v>116</v>
      </c>
      <c r="B159" s="980">
        <f>+NOMINA!C158</f>
        <v>15560762</v>
      </c>
      <c r="C159" s="981" t="str">
        <f>+NOMINA!D158</f>
        <v>Villalobos Javier Jose</v>
      </c>
      <c r="D159" s="978" t="s">
        <v>4622</v>
      </c>
      <c r="E159" s="982">
        <v>32351</v>
      </c>
      <c r="F159" s="978" t="s">
        <v>4620</v>
      </c>
      <c r="G159" s="1004">
        <f>+NOMINA!H158</f>
        <v>45474</v>
      </c>
      <c r="H159" s="984">
        <f t="shared" si="30"/>
        <v>0</v>
      </c>
      <c r="I159" s="985">
        <v>0</v>
      </c>
      <c r="J159" s="999">
        <f>+NOMINA!BL158</f>
        <v>17.93</v>
      </c>
      <c r="K159" s="999">
        <f>+NOMINA!BM158</f>
        <v>2.2400000000000002</v>
      </c>
      <c r="L159" s="999">
        <f>+NOMINA!BN158</f>
        <v>4.8600000000000003</v>
      </c>
      <c r="M159" s="999">
        <f>++NOMINA!BO158</f>
        <v>0</v>
      </c>
      <c r="N159" s="999">
        <f>+NOMINA!BP158</f>
        <v>0</v>
      </c>
      <c r="O159" s="986">
        <f t="shared" si="31"/>
        <v>25.03</v>
      </c>
      <c r="P159" s="999">
        <f>+NOMINA!BR158</f>
        <v>40.340000000000003</v>
      </c>
      <c r="Q159" s="999">
        <f>+NOMINA!BS158</f>
        <v>8.9700000000000006</v>
      </c>
      <c r="R159" s="999">
        <f>+NOMINA!BT158</f>
        <v>9.7200000000000006</v>
      </c>
      <c r="S159" s="986">
        <f t="shared" si="32"/>
        <v>59.03</v>
      </c>
      <c r="T159" s="986">
        <f t="shared" si="33"/>
        <v>84.06</v>
      </c>
      <c r="U159" s="1005">
        <v>0</v>
      </c>
      <c r="V159" s="443" t="e">
        <f>#REF!+#REF!-O159</f>
        <v>#REF!</v>
      </c>
      <c r="W159" s="975" t="e">
        <f>ROUND((#REF!+#REF!+#REF!+#REF!+#REF!+#REF!+#REF!+#REF!+#REF!),2)</f>
        <v>#REF!</v>
      </c>
      <c r="AA159" s="976" t="e">
        <f>#REF!+#REF!-O159</f>
        <v>#REF!</v>
      </c>
      <c r="AB159" s="977" t="e">
        <f>#REF!</f>
        <v>#REF!</v>
      </c>
      <c r="AC159" s="976" t="e">
        <f>#REF!+#REF!</f>
        <v>#REF!</v>
      </c>
      <c r="AD159" s="977" t="e">
        <f>#REF!</f>
        <v>#REF!</v>
      </c>
      <c r="AE159" s="978">
        <v>0</v>
      </c>
      <c r="AF159" s="977" t="e">
        <f>#REF!</f>
        <v>#REF!</v>
      </c>
      <c r="AG159" s="979" t="e">
        <f>#REF!+#REF!</f>
        <v>#REF!</v>
      </c>
      <c r="AH159" s="979" t="e">
        <f>#REF!+#REF!</f>
        <v>#REF!</v>
      </c>
      <c r="AI159" s="979"/>
      <c r="AJ159" s="977" t="e">
        <f>#REF!</f>
        <v>#REF!</v>
      </c>
      <c r="AK159" s="977" t="e">
        <f t="shared" si="27"/>
        <v>#REF!</v>
      </c>
      <c r="AL159" s="977">
        <f t="shared" si="28"/>
        <v>84.06</v>
      </c>
      <c r="AM159" s="977">
        <f t="shared" si="29"/>
        <v>0</v>
      </c>
      <c r="AN159" s="634"/>
    </row>
    <row r="160" spans="1:40" s="629" customFormat="1" ht="20.100000000000001" customHeight="1">
      <c r="A160" s="771">
        <f t="shared" si="34"/>
        <v>117</v>
      </c>
      <c r="B160" s="980">
        <f>+NOMINA!C159</f>
        <v>15583745</v>
      </c>
      <c r="C160" s="981" t="str">
        <f>+NOMINA!D159</f>
        <v>Briceño Araujo Alexander Javier</v>
      </c>
      <c r="D160" s="978" t="s">
        <v>4622</v>
      </c>
      <c r="E160" s="982">
        <v>32351</v>
      </c>
      <c r="F160" s="978" t="s">
        <v>4620</v>
      </c>
      <c r="G160" s="1004">
        <f>+NOMINA!H159</f>
        <v>43481</v>
      </c>
      <c r="H160" s="984">
        <f t="shared" si="30"/>
        <v>3</v>
      </c>
      <c r="I160" s="985">
        <v>0</v>
      </c>
      <c r="J160" s="999">
        <f>+NOMINA!BL159</f>
        <v>19.68</v>
      </c>
      <c r="K160" s="999">
        <f>+NOMINA!BM159</f>
        <v>2.46</v>
      </c>
      <c r="L160" s="999">
        <f>+NOMINA!BN159</f>
        <v>5.33</v>
      </c>
      <c r="M160" s="999">
        <f>++NOMINA!BO159</f>
        <v>0</v>
      </c>
      <c r="N160" s="999">
        <f>+NOMINA!BP159</f>
        <v>0</v>
      </c>
      <c r="O160" s="986">
        <f t="shared" si="31"/>
        <v>27.47</v>
      </c>
      <c r="P160" s="999">
        <f>+NOMINA!BR159</f>
        <v>44.27</v>
      </c>
      <c r="Q160" s="999">
        <f>+NOMINA!BS159</f>
        <v>9.84</v>
      </c>
      <c r="R160" s="999">
        <f>+NOMINA!BT159</f>
        <v>10.66</v>
      </c>
      <c r="S160" s="986">
        <f t="shared" si="32"/>
        <v>64.77</v>
      </c>
      <c r="T160" s="986">
        <f t="shared" si="33"/>
        <v>92.24</v>
      </c>
      <c r="U160" s="1005">
        <v>0</v>
      </c>
      <c r="V160" s="443" t="e">
        <f>#REF!+#REF!-O160</f>
        <v>#REF!</v>
      </c>
      <c r="W160" s="975" t="e">
        <f>ROUND((#REF!+#REF!+#REF!+#REF!+#REF!+#REF!+#REF!+#REF!+#REF!),2)</f>
        <v>#REF!</v>
      </c>
      <c r="AA160" s="976" t="e">
        <f>#REF!+#REF!-O160</f>
        <v>#REF!</v>
      </c>
      <c r="AB160" s="977" t="e">
        <f>#REF!</f>
        <v>#REF!</v>
      </c>
      <c r="AC160" s="976" t="e">
        <f>#REF!+#REF!</f>
        <v>#REF!</v>
      </c>
      <c r="AD160" s="977" t="e">
        <f>#REF!</f>
        <v>#REF!</v>
      </c>
      <c r="AE160" s="978">
        <v>0</v>
      </c>
      <c r="AF160" s="977" t="e">
        <f>#REF!</f>
        <v>#REF!</v>
      </c>
      <c r="AG160" s="979" t="e">
        <f>#REF!+#REF!</f>
        <v>#REF!</v>
      </c>
      <c r="AH160" s="979" t="e">
        <f>#REF!+#REF!</f>
        <v>#REF!</v>
      </c>
      <c r="AI160" s="979"/>
      <c r="AJ160" s="977" t="e">
        <f>#REF!</f>
        <v>#REF!</v>
      </c>
      <c r="AK160" s="977" t="e">
        <f t="shared" si="27"/>
        <v>#REF!</v>
      </c>
      <c r="AL160" s="977">
        <f t="shared" si="28"/>
        <v>92.24</v>
      </c>
      <c r="AM160" s="977">
        <f t="shared" si="29"/>
        <v>0</v>
      </c>
      <c r="AN160" s="634"/>
    </row>
    <row r="161" spans="1:40" s="629" customFormat="1" ht="20.100000000000001" customHeight="1">
      <c r="A161" s="771">
        <f t="shared" si="34"/>
        <v>118</v>
      </c>
      <c r="B161" s="980">
        <f>+NOMINA!C160</f>
        <v>15588470</v>
      </c>
      <c r="C161" s="981" t="str">
        <f>+NOMINA!D160</f>
        <v>Briceño Lozada Maraiby Coromoto</v>
      </c>
      <c r="D161" s="978" t="s">
        <v>4622</v>
      </c>
      <c r="E161" s="982">
        <v>32351</v>
      </c>
      <c r="F161" s="978" t="s">
        <v>4620</v>
      </c>
      <c r="G161" s="1004">
        <f>+NOMINA!H160</f>
        <v>39098</v>
      </c>
      <c r="H161" s="984">
        <f t="shared" si="30"/>
        <v>15</v>
      </c>
      <c r="I161" s="985">
        <v>0</v>
      </c>
      <c r="J161" s="999">
        <f>+NOMINA!BL160</f>
        <v>18.72</v>
      </c>
      <c r="K161" s="999">
        <f>+NOMINA!BM160</f>
        <v>2.34</v>
      </c>
      <c r="L161" s="999">
        <f>+NOMINA!BN160</f>
        <v>5.07</v>
      </c>
      <c r="M161" s="999">
        <f>++NOMINA!BO160</f>
        <v>0</v>
      </c>
      <c r="N161" s="999">
        <f>+NOMINA!BP160</f>
        <v>0</v>
      </c>
      <c r="O161" s="986">
        <f t="shared" si="31"/>
        <v>26.13</v>
      </c>
      <c r="P161" s="999">
        <f>+NOMINA!BR160</f>
        <v>42.12</v>
      </c>
      <c r="Q161" s="999">
        <f>+NOMINA!BS160</f>
        <v>9.36</v>
      </c>
      <c r="R161" s="999">
        <f>+NOMINA!BT160</f>
        <v>10.14</v>
      </c>
      <c r="S161" s="986">
        <f t="shared" si="32"/>
        <v>61.62</v>
      </c>
      <c r="T161" s="986">
        <f t="shared" si="33"/>
        <v>87.75</v>
      </c>
      <c r="U161" s="1005">
        <v>0</v>
      </c>
      <c r="V161" s="443" t="e">
        <f>#REF!+#REF!-O161</f>
        <v>#REF!</v>
      </c>
      <c r="W161" s="975" t="e">
        <f>ROUND((#REF!+#REF!+#REF!+#REF!+#REF!+#REF!+#REF!+#REF!+#REF!),2)</f>
        <v>#REF!</v>
      </c>
      <c r="AA161" s="976" t="e">
        <f>#REF!+#REF!-O161</f>
        <v>#REF!</v>
      </c>
      <c r="AB161" s="977" t="e">
        <f>#REF!</f>
        <v>#REF!</v>
      </c>
      <c r="AC161" s="976" t="e">
        <f>#REF!+#REF!</f>
        <v>#REF!</v>
      </c>
      <c r="AD161" s="977" t="e">
        <f>#REF!</f>
        <v>#REF!</v>
      </c>
      <c r="AE161" s="978">
        <v>0</v>
      </c>
      <c r="AF161" s="977" t="e">
        <f>#REF!</f>
        <v>#REF!</v>
      </c>
      <c r="AG161" s="979" t="e">
        <f>#REF!+#REF!</f>
        <v>#REF!</v>
      </c>
      <c r="AH161" s="979" t="e">
        <f>#REF!+#REF!</f>
        <v>#REF!</v>
      </c>
      <c r="AI161" s="979"/>
      <c r="AJ161" s="977" t="e">
        <f>#REF!</f>
        <v>#REF!</v>
      </c>
      <c r="AK161" s="977" t="e">
        <f t="shared" si="27"/>
        <v>#REF!</v>
      </c>
      <c r="AL161" s="977">
        <f t="shared" si="28"/>
        <v>87.75</v>
      </c>
      <c r="AM161" s="977">
        <f t="shared" si="29"/>
        <v>0</v>
      </c>
      <c r="AN161" s="634"/>
    </row>
    <row r="162" spans="1:40" s="629" customFormat="1" ht="20.100000000000001" customHeight="1">
      <c r="A162" s="771">
        <f t="shared" si="34"/>
        <v>119</v>
      </c>
      <c r="B162" s="980">
        <f>+NOMINA!C161</f>
        <v>15752048</v>
      </c>
      <c r="C162" s="981" t="str">
        <f>+NOMINA!D161</f>
        <v>Briceño Rangel Sudney Dayan</v>
      </c>
      <c r="D162" s="978" t="s">
        <v>4622</v>
      </c>
      <c r="E162" s="982">
        <v>32351</v>
      </c>
      <c r="F162" s="978" t="s">
        <v>4620</v>
      </c>
      <c r="G162" s="1004">
        <f>+NOMINA!H161</f>
        <v>39679</v>
      </c>
      <c r="H162" s="984">
        <f t="shared" si="30"/>
        <v>14</v>
      </c>
      <c r="I162" s="985">
        <v>0</v>
      </c>
      <c r="J162" s="999">
        <f>+NOMINA!BL161</f>
        <v>25.2</v>
      </c>
      <c r="K162" s="999">
        <f>+NOMINA!BM161</f>
        <v>3.15</v>
      </c>
      <c r="L162" s="999">
        <f>+NOMINA!BN161</f>
        <v>6.82</v>
      </c>
      <c r="M162" s="999">
        <f>++NOMINA!BO161</f>
        <v>0</v>
      </c>
      <c r="N162" s="999">
        <f>+NOMINA!BP161</f>
        <v>0</v>
      </c>
      <c r="O162" s="986">
        <f t="shared" si="31"/>
        <v>35.17</v>
      </c>
      <c r="P162" s="999">
        <f>+NOMINA!BR161</f>
        <v>56.7</v>
      </c>
      <c r="Q162" s="999">
        <f>+NOMINA!BS161</f>
        <v>12.6</v>
      </c>
      <c r="R162" s="999">
        <f>+NOMINA!BT161</f>
        <v>13.64</v>
      </c>
      <c r="S162" s="986">
        <f t="shared" si="32"/>
        <v>82.94</v>
      </c>
      <c r="T162" s="986">
        <f t="shared" si="33"/>
        <v>118.11</v>
      </c>
      <c r="U162" s="1005">
        <v>0</v>
      </c>
      <c r="V162" s="443" t="e">
        <f>#REF!+#REF!-O162</f>
        <v>#REF!</v>
      </c>
      <c r="W162" s="975" t="e">
        <f>ROUND((#REF!+#REF!+#REF!+#REF!+#REF!+#REF!+#REF!+#REF!+#REF!),2)</f>
        <v>#REF!</v>
      </c>
      <c r="AA162" s="976" t="e">
        <f>#REF!+#REF!-O162</f>
        <v>#REF!</v>
      </c>
      <c r="AB162" s="977" t="e">
        <f>#REF!</f>
        <v>#REF!</v>
      </c>
      <c r="AC162" s="976" t="e">
        <f>#REF!+#REF!</f>
        <v>#REF!</v>
      </c>
      <c r="AD162" s="977" t="e">
        <f>#REF!</f>
        <v>#REF!</v>
      </c>
      <c r="AE162" s="978">
        <v>0</v>
      </c>
      <c r="AF162" s="977" t="e">
        <f>#REF!</f>
        <v>#REF!</v>
      </c>
      <c r="AG162" s="979" t="e">
        <f>#REF!+#REF!</f>
        <v>#REF!</v>
      </c>
      <c r="AH162" s="979" t="e">
        <f>#REF!+#REF!</f>
        <v>#REF!</v>
      </c>
      <c r="AI162" s="979"/>
      <c r="AJ162" s="977" t="e">
        <f>#REF!</f>
        <v>#REF!</v>
      </c>
      <c r="AK162" s="977" t="e">
        <f t="shared" si="27"/>
        <v>#REF!</v>
      </c>
      <c r="AL162" s="977">
        <f t="shared" si="28"/>
        <v>118.11</v>
      </c>
      <c r="AM162" s="977">
        <f t="shared" si="29"/>
        <v>0</v>
      </c>
      <c r="AN162" s="634"/>
    </row>
    <row r="163" spans="1:40" s="629" customFormat="1" ht="20.100000000000001" customHeight="1">
      <c r="A163" s="771">
        <f t="shared" si="34"/>
        <v>120</v>
      </c>
      <c r="B163" s="980">
        <f>+NOMINA!C162</f>
        <v>15752183</v>
      </c>
      <c r="C163" s="981" t="str">
        <f>+NOMINA!D162</f>
        <v>Delduca Adriana Del Valle</v>
      </c>
      <c r="D163" s="978" t="s">
        <v>4622</v>
      </c>
      <c r="E163" s="982">
        <v>32351</v>
      </c>
      <c r="F163" s="978" t="s">
        <v>4620</v>
      </c>
      <c r="G163" s="1004">
        <f>+NOMINA!H162</f>
        <v>38930</v>
      </c>
      <c r="H163" s="984">
        <f t="shared" si="30"/>
        <v>16</v>
      </c>
      <c r="I163" s="985">
        <v>0</v>
      </c>
      <c r="J163" s="999">
        <f>+NOMINA!BL162</f>
        <v>0</v>
      </c>
      <c r="K163" s="999">
        <f>+NOMINA!BM162</f>
        <v>0</v>
      </c>
      <c r="L163" s="999">
        <f>+NOMINA!BN162</f>
        <v>0</v>
      </c>
      <c r="M163" s="999">
        <f>++NOMINA!BO162</f>
        <v>0</v>
      </c>
      <c r="N163" s="999">
        <f>+NOMINA!BP162</f>
        <v>0</v>
      </c>
      <c r="O163" s="986">
        <f t="shared" si="31"/>
        <v>0</v>
      </c>
      <c r="P163" s="999">
        <f>+NOMINA!BR162</f>
        <v>0</v>
      </c>
      <c r="Q163" s="999">
        <f>+NOMINA!BS162</f>
        <v>0</v>
      </c>
      <c r="R163" s="999">
        <f>+NOMINA!BT162</f>
        <v>0</v>
      </c>
      <c r="S163" s="986">
        <f t="shared" si="32"/>
        <v>0</v>
      </c>
      <c r="T163" s="986">
        <f t="shared" si="33"/>
        <v>0</v>
      </c>
      <c r="U163" s="1005">
        <v>0</v>
      </c>
      <c r="V163" s="443" t="e">
        <f>#REF!+#REF!-O163</f>
        <v>#REF!</v>
      </c>
      <c r="W163" s="975" t="e">
        <f>ROUND((#REF!+#REF!+#REF!+#REF!+#REF!+#REF!+#REF!+#REF!+#REF!),2)</f>
        <v>#REF!</v>
      </c>
      <c r="AA163" s="976" t="e">
        <f>#REF!+#REF!-O163</f>
        <v>#REF!</v>
      </c>
      <c r="AB163" s="977" t="e">
        <f>#REF!</f>
        <v>#REF!</v>
      </c>
      <c r="AC163" s="976" t="e">
        <f>#REF!+#REF!</f>
        <v>#REF!</v>
      </c>
      <c r="AD163" s="977" t="e">
        <f>#REF!</f>
        <v>#REF!</v>
      </c>
      <c r="AE163" s="978">
        <v>0</v>
      </c>
      <c r="AF163" s="977" t="e">
        <f>#REF!</f>
        <v>#REF!</v>
      </c>
      <c r="AG163" s="979" t="e">
        <f>#REF!+#REF!</f>
        <v>#REF!</v>
      </c>
      <c r="AH163" s="979" t="e">
        <f>#REF!+#REF!</f>
        <v>#REF!</v>
      </c>
      <c r="AI163" s="979"/>
      <c r="AJ163" s="977" t="e">
        <f>#REF!</f>
        <v>#REF!</v>
      </c>
      <c r="AK163" s="977" t="e">
        <f t="shared" si="27"/>
        <v>#REF!</v>
      </c>
      <c r="AL163" s="977">
        <f t="shared" si="28"/>
        <v>0</v>
      </c>
      <c r="AM163" s="977">
        <f t="shared" si="29"/>
        <v>0</v>
      </c>
      <c r="AN163" s="634"/>
    </row>
    <row r="164" spans="1:40" s="629" customFormat="1" ht="20.100000000000001" customHeight="1">
      <c r="A164" s="771">
        <f t="shared" si="34"/>
        <v>121</v>
      </c>
      <c r="B164" s="980">
        <f>+NOMINA!C163</f>
        <v>15752386</v>
      </c>
      <c r="C164" s="981" t="str">
        <f>+NOMINA!D163</f>
        <v>Villegas Gonzalez Mileide Karine</v>
      </c>
      <c r="D164" s="978" t="s">
        <v>4622</v>
      </c>
      <c r="E164" s="982">
        <v>32351</v>
      </c>
      <c r="F164" s="978" t="s">
        <v>4620</v>
      </c>
      <c r="G164" s="1004">
        <f>+NOMINA!H163</f>
        <v>38930</v>
      </c>
      <c r="H164" s="984">
        <f t="shared" si="30"/>
        <v>16</v>
      </c>
      <c r="I164" s="985">
        <v>0</v>
      </c>
      <c r="J164" s="999">
        <f>+NOMINA!BL163</f>
        <v>25.05</v>
      </c>
      <c r="K164" s="999">
        <f>+NOMINA!BM163</f>
        <v>3.13</v>
      </c>
      <c r="L164" s="999">
        <f>+NOMINA!BN163</f>
        <v>6.79</v>
      </c>
      <c r="M164" s="999">
        <f>++NOMINA!BO163</f>
        <v>0</v>
      </c>
      <c r="N164" s="999">
        <f>+NOMINA!BP163</f>
        <v>0</v>
      </c>
      <c r="O164" s="986">
        <f t="shared" si="31"/>
        <v>34.97</v>
      </c>
      <c r="P164" s="999">
        <f>+NOMINA!BR163</f>
        <v>56.37</v>
      </c>
      <c r="Q164" s="999">
        <f>+NOMINA!BS163</f>
        <v>12.53</v>
      </c>
      <c r="R164" s="999">
        <f>+NOMINA!BT163</f>
        <v>13.58</v>
      </c>
      <c r="S164" s="986">
        <f t="shared" si="32"/>
        <v>82.48</v>
      </c>
      <c r="T164" s="986">
        <f t="shared" si="33"/>
        <v>117.45</v>
      </c>
      <c r="U164" s="1005">
        <v>0</v>
      </c>
      <c r="V164" s="443" t="e">
        <f>#REF!+#REF!-O164</f>
        <v>#REF!</v>
      </c>
      <c r="W164" s="975" t="e">
        <f>ROUND((#REF!+#REF!+#REF!+#REF!+#REF!+#REF!+#REF!+#REF!+#REF!),2)</f>
        <v>#REF!</v>
      </c>
      <c r="AA164" s="976" t="e">
        <f>#REF!+#REF!-O164</f>
        <v>#REF!</v>
      </c>
      <c r="AB164" s="977" t="e">
        <f>#REF!</f>
        <v>#REF!</v>
      </c>
      <c r="AC164" s="976" t="e">
        <f>#REF!+#REF!</f>
        <v>#REF!</v>
      </c>
      <c r="AD164" s="977" t="e">
        <f>#REF!</f>
        <v>#REF!</v>
      </c>
      <c r="AE164" s="978">
        <v>0</v>
      </c>
      <c r="AF164" s="977" t="e">
        <f>#REF!</f>
        <v>#REF!</v>
      </c>
      <c r="AG164" s="979" t="e">
        <f>#REF!+#REF!</f>
        <v>#REF!</v>
      </c>
      <c r="AH164" s="979" t="e">
        <f>#REF!+#REF!</f>
        <v>#REF!</v>
      </c>
      <c r="AI164" s="979"/>
      <c r="AJ164" s="977" t="e">
        <f>#REF!</f>
        <v>#REF!</v>
      </c>
      <c r="AK164" s="977" t="e">
        <f t="shared" si="27"/>
        <v>#REF!</v>
      </c>
      <c r="AL164" s="977">
        <f t="shared" si="28"/>
        <v>117.45</v>
      </c>
      <c r="AM164" s="977">
        <f t="shared" si="29"/>
        <v>0</v>
      </c>
      <c r="AN164" s="634"/>
    </row>
    <row r="165" spans="1:40" s="629" customFormat="1" ht="20.100000000000001" customHeight="1">
      <c r="A165" s="771">
        <f t="shared" si="34"/>
        <v>122</v>
      </c>
      <c r="B165" s="980">
        <f>+NOMINA!C164</f>
        <v>15752435</v>
      </c>
      <c r="C165" s="981" t="str">
        <f>+NOMINA!D164</f>
        <v>Gonzalez de Sayago Damarys Coromoto</v>
      </c>
      <c r="D165" s="978" t="s">
        <v>4622</v>
      </c>
      <c r="E165" s="982">
        <v>32351</v>
      </c>
      <c r="F165" s="978" t="s">
        <v>4620</v>
      </c>
      <c r="G165" s="1004">
        <f>+NOMINA!H164</f>
        <v>38930</v>
      </c>
      <c r="H165" s="984">
        <f t="shared" si="30"/>
        <v>16</v>
      </c>
      <c r="I165" s="985">
        <v>0</v>
      </c>
      <c r="J165" s="999">
        <f>+NOMINA!BL164</f>
        <v>19.27</v>
      </c>
      <c r="K165" s="999">
        <f>+NOMINA!BM164</f>
        <v>2.41</v>
      </c>
      <c r="L165" s="999">
        <f>+NOMINA!BN164</f>
        <v>5.22</v>
      </c>
      <c r="M165" s="999">
        <f>++NOMINA!BO164</f>
        <v>0</v>
      </c>
      <c r="N165" s="999">
        <f>+NOMINA!BP164</f>
        <v>0</v>
      </c>
      <c r="O165" s="986">
        <f t="shared" si="31"/>
        <v>26.9</v>
      </c>
      <c r="P165" s="999">
        <f>+NOMINA!BR164</f>
        <v>43.36</v>
      </c>
      <c r="Q165" s="999">
        <f>+NOMINA!BS164</f>
        <v>9.64</v>
      </c>
      <c r="R165" s="999">
        <f>+NOMINA!BT164</f>
        <v>10.44</v>
      </c>
      <c r="S165" s="986">
        <f t="shared" si="32"/>
        <v>63.44</v>
      </c>
      <c r="T165" s="986">
        <f t="shared" si="33"/>
        <v>90.34</v>
      </c>
      <c r="U165" s="1005">
        <v>0</v>
      </c>
      <c r="V165" s="443" t="e">
        <f>#REF!+#REF!-O165</f>
        <v>#REF!</v>
      </c>
      <c r="W165" s="975" t="e">
        <f>ROUND((#REF!+#REF!+#REF!+#REF!+#REF!+#REF!+#REF!+#REF!+#REF!),2)</f>
        <v>#REF!</v>
      </c>
      <c r="AA165" s="976" t="e">
        <f>#REF!+#REF!-O165</f>
        <v>#REF!</v>
      </c>
      <c r="AB165" s="977" t="e">
        <f>#REF!</f>
        <v>#REF!</v>
      </c>
      <c r="AC165" s="976" t="e">
        <f>#REF!+#REF!</f>
        <v>#REF!</v>
      </c>
      <c r="AD165" s="977" t="e">
        <f>#REF!</f>
        <v>#REF!</v>
      </c>
      <c r="AE165" s="978">
        <v>0</v>
      </c>
      <c r="AF165" s="977" t="e">
        <f>#REF!</f>
        <v>#REF!</v>
      </c>
      <c r="AG165" s="979" t="e">
        <f>#REF!+#REF!</f>
        <v>#REF!</v>
      </c>
      <c r="AH165" s="979" t="e">
        <f>#REF!+#REF!</f>
        <v>#REF!</v>
      </c>
      <c r="AI165" s="979"/>
      <c r="AJ165" s="977" t="e">
        <f>#REF!</f>
        <v>#REF!</v>
      </c>
      <c r="AK165" s="977" t="e">
        <f t="shared" si="27"/>
        <v>#REF!</v>
      </c>
      <c r="AL165" s="977">
        <f t="shared" si="28"/>
        <v>90.34</v>
      </c>
      <c r="AM165" s="977">
        <f t="shared" si="29"/>
        <v>0</v>
      </c>
      <c r="AN165" s="634"/>
    </row>
    <row r="166" spans="1:40" s="629" customFormat="1" ht="20.100000000000001" customHeight="1">
      <c r="A166" s="771">
        <f t="shared" si="34"/>
        <v>123</v>
      </c>
      <c r="B166" s="980">
        <f>+NOMINA!C165</f>
        <v>15780354</v>
      </c>
      <c r="C166" s="981" t="str">
        <f>+NOMINA!D165</f>
        <v>Yndriago Blanco Lismiley Andreina</v>
      </c>
      <c r="D166" s="978" t="s">
        <v>4622</v>
      </c>
      <c r="E166" s="982">
        <v>32351</v>
      </c>
      <c r="F166" s="978" t="s">
        <v>4620</v>
      </c>
      <c r="G166" s="1004">
        <f>+NOMINA!H165</f>
        <v>44409</v>
      </c>
      <c r="H166" s="984">
        <f t="shared" si="30"/>
        <v>1</v>
      </c>
      <c r="I166" s="985">
        <v>0</v>
      </c>
      <c r="J166" s="999">
        <f>+NOMINA!BL165</f>
        <v>21.33</v>
      </c>
      <c r="K166" s="999">
        <f>+NOMINA!BM165</f>
        <v>2.67</v>
      </c>
      <c r="L166" s="999">
        <f>+NOMINA!BN165</f>
        <v>5.78</v>
      </c>
      <c r="M166" s="999">
        <f>++NOMINA!BO165</f>
        <v>0</v>
      </c>
      <c r="N166" s="999">
        <f>+NOMINA!BP165</f>
        <v>0</v>
      </c>
      <c r="O166" s="986">
        <f t="shared" si="31"/>
        <v>29.78</v>
      </c>
      <c r="P166" s="999">
        <f>+NOMINA!BR165</f>
        <v>48</v>
      </c>
      <c r="Q166" s="999">
        <f>+NOMINA!BS165</f>
        <v>10.67</v>
      </c>
      <c r="R166" s="999">
        <f>+NOMINA!BT165</f>
        <v>11.56</v>
      </c>
      <c r="S166" s="986">
        <f t="shared" si="32"/>
        <v>70.23</v>
      </c>
      <c r="T166" s="986">
        <f t="shared" si="33"/>
        <v>100.01</v>
      </c>
      <c r="U166" s="1005">
        <v>0</v>
      </c>
      <c r="V166" s="443" t="e">
        <f>#REF!+#REF!-O166</f>
        <v>#REF!</v>
      </c>
      <c r="W166" s="975" t="e">
        <f>ROUND((#REF!+#REF!+#REF!+#REF!+#REF!+#REF!+#REF!+#REF!+#REF!),2)</f>
        <v>#REF!</v>
      </c>
      <c r="AA166" s="976" t="e">
        <f>#REF!+#REF!-O166</f>
        <v>#REF!</v>
      </c>
      <c r="AB166" s="977" t="e">
        <f>#REF!</f>
        <v>#REF!</v>
      </c>
      <c r="AC166" s="976" t="e">
        <f>#REF!+#REF!</f>
        <v>#REF!</v>
      </c>
      <c r="AD166" s="977" t="e">
        <f>#REF!</f>
        <v>#REF!</v>
      </c>
      <c r="AE166" s="978">
        <v>0</v>
      </c>
      <c r="AF166" s="977" t="e">
        <f>#REF!</f>
        <v>#REF!</v>
      </c>
      <c r="AG166" s="979" t="e">
        <f>#REF!+#REF!</f>
        <v>#REF!</v>
      </c>
      <c r="AH166" s="979" t="e">
        <f>#REF!+#REF!</f>
        <v>#REF!</v>
      </c>
      <c r="AI166" s="979"/>
      <c r="AJ166" s="977" t="e">
        <f>#REF!</f>
        <v>#REF!</v>
      </c>
      <c r="AK166" s="977" t="e">
        <f t="shared" si="27"/>
        <v>#REF!</v>
      </c>
      <c r="AL166" s="977">
        <f t="shared" si="28"/>
        <v>100.01</v>
      </c>
      <c r="AM166" s="977">
        <f t="shared" si="29"/>
        <v>0</v>
      </c>
      <c r="AN166" s="634"/>
    </row>
    <row r="167" spans="1:40" s="629" customFormat="1" ht="20.100000000000001" customHeight="1">
      <c r="A167" s="771">
        <f t="shared" si="34"/>
        <v>124</v>
      </c>
      <c r="B167" s="980">
        <f>+NOMINA!C166</f>
        <v>15824548</v>
      </c>
      <c r="C167" s="981" t="str">
        <f>+NOMINA!D166</f>
        <v>Moreno Maria Angelica</v>
      </c>
      <c r="D167" s="978" t="s">
        <v>4622</v>
      </c>
      <c r="E167" s="982">
        <v>32351</v>
      </c>
      <c r="F167" s="978" t="s">
        <v>4620</v>
      </c>
      <c r="G167" s="1004">
        <f>+NOMINA!H166</f>
        <v>44317</v>
      </c>
      <c r="H167" s="984">
        <f t="shared" si="30"/>
        <v>1</v>
      </c>
      <c r="I167" s="985">
        <v>0</v>
      </c>
      <c r="J167" s="999">
        <f>+NOMINA!BL166</f>
        <v>16.309999999999999</v>
      </c>
      <c r="K167" s="999">
        <f>+NOMINA!BM166</f>
        <v>2.04</v>
      </c>
      <c r="L167" s="999">
        <f>+NOMINA!BN166</f>
        <v>4.42</v>
      </c>
      <c r="M167" s="999">
        <f>++NOMINA!BO166</f>
        <v>0</v>
      </c>
      <c r="N167" s="999">
        <f>+NOMINA!BP166</f>
        <v>0</v>
      </c>
      <c r="O167" s="986">
        <f t="shared" si="31"/>
        <v>22.77</v>
      </c>
      <c r="P167" s="999">
        <f>+NOMINA!BR166</f>
        <v>36.69</v>
      </c>
      <c r="Q167" s="999">
        <f>+NOMINA!BS166</f>
        <v>8.15</v>
      </c>
      <c r="R167" s="999">
        <f>+NOMINA!BT166</f>
        <v>8.84</v>
      </c>
      <c r="S167" s="986">
        <f t="shared" si="32"/>
        <v>53.68</v>
      </c>
      <c r="T167" s="986">
        <f t="shared" si="33"/>
        <v>76.45</v>
      </c>
      <c r="U167" s="1005">
        <v>0</v>
      </c>
      <c r="V167" s="443" t="e">
        <f>#REF!+#REF!-O167</f>
        <v>#REF!</v>
      </c>
      <c r="W167" s="975" t="e">
        <f>ROUND((#REF!+#REF!+#REF!+#REF!+#REF!+#REF!+#REF!+#REF!+#REF!),2)</f>
        <v>#REF!</v>
      </c>
      <c r="AA167" s="976" t="e">
        <f>#REF!+#REF!-O167</f>
        <v>#REF!</v>
      </c>
      <c r="AB167" s="977" t="e">
        <f>#REF!</f>
        <v>#REF!</v>
      </c>
      <c r="AC167" s="976" t="e">
        <f>#REF!+#REF!</f>
        <v>#REF!</v>
      </c>
      <c r="AD167" s="977" t="e">
        <f>#REF!</f>
        <v>#REF!</v>
      </c>
      <c r="AE167" s="978">
        <v>0</v>
      </c>
      <c r="AF167" s="977" t="e">
        <f>#REF!</f>
        <v>#REF!</v>
      </c>
      <c r="AG167" s="979" t="e">
        <f>#REF!+#REF!</f>
        <v>#REF!</v>
      </c>
      <c r="AH167" s="979" t="e">
        <f>#REF!+#REF!</f>
        <v>#REF!</v>
      </c>
      <c r="AI167" s="979"/>
      <c r="AJ167" s="977" t="e">
        <f>#REF!</f>
        <v>#REF!</v>
      </c>
      <c r="AK167" s="977" t="e">
        <f t="shared" si="27"/>
        <v>#REF!</v>
      </c>
      <c r="AL167" s="977">
        <f t="shared" si="28"/>
        <v>76.45</v>
      </c>
      <c r="AM167" s="977">
        <f t="shared" si="29"/>
        <v>0</v>
      </c>
      <c r="AN167" s="634"/>
    </row>
    <row r="168" spans="1:40" s="629" customFormat="1" ht="20.100000000000001" customHeight="1">
      <c r="A168" s="771">
        <f t="shared" si="34"/>
        <v>125</v>
      </c>
      <c r="B168" s="980">
        <f>+NOMINA!C167</f>
        <v>15904692</v>
      </c>
      <c r="C168" s="981" t="str">
        <f>+NOMINA!D167</f>
        <v>Sifontes Sosa Mayulis Dayana</v>
      </c>
      <c r="D168" s="978" t="s">
        <v>4622</v>
      </c>
      <c r="E168" s="982">
        <v>32351</v>
      </c>
      <c r="F168" s="978" t="s">
        <v>4620</v>
      </c>
      <c r="G168" s="1004">
        <f>+NOMINA!H167</f>
        <v>39756</v>
      </c>
      <c r="H168" s="984">
        <f t="shared" si="30"/>
        <v>14</v>
      </c>
      <c r="I168" s="985">
        <v>0</v>
      </c>
      <c r="J168" s="999">
        <f>+NOMINA!BL167</f>
        <v>24.5</v>
      </c>
      <c r="K168" s="999">
        <f>+NOMINA!BM167</f>
        <v>3.06</v>
      </c>
      <c r="L168" s="999">
        <f>+NOMINA!BN167</f>
        <v>6.63</v>
      </c>
      <c r="M168" s="999">
        <f>++NOMINA!BO167</f>
        <v>0</v>
      </c>
      <c r="N168" s="999">
        <f>+NOMINA!BP167</f>
        <v>0</v>
      </c>
      <c r="O168" s="986">
        <f t="shared" si="31"/>
        <v>34.19</v>
      </c>
      <c r="P168" s="999">
        <f>+NOMINA!BR167</f>
        <v>55.12</v>
      </c>
      <c r="Q168" s="999">
        <f>+NOMINA!BS167</f>
        <v>12.25</v>
      </c>
      <c r="R168" s="999">
        <f>+NOMINA!BT167</f>
        <v>13.26</v>
      </c>
      <c r="S168" s="986">
        <f t="shared" si="32"/>
        <v>80.63</v>
      </c>
      <c r="T168" s="986">
        <f t="shared" si="33"/>
        <v>114.82</v>
      </c>
      <c r="U168" s="1005">
        <v>0</v>
      </c>
      <c r="V168" s="443" t="e">
        <f>#REF!+#REF!-O168</f>
        <v>#REF!</v>
      </c>
      <c r="W168" s="975" t="e">
        <f>ROUND((#REF!+#REF!+#REF!+#REF!+#REF!+#REF!+#REF!+#REF!+#REF!),2)</f>
        <v>#REF!</v>
      </c>
      <c r="AA168" s="976" t="e">
        <f>#REF!+#REF!-O168</f>
        <v>#REF!</v>
      </c>
      <c r="AB168" s="977" t="e">
        <f>#REF!</f>
        <v>#REF!</v>
      </c>
      <c r="AC168" s="976" t="e">
        <f>#REF!+#REF!</f>
        <v>#REF!</v>
      </c>
      <c r="AD168" s="977" t="e">
        <f>#REF!</f>
        <v>#REF!</v>
      </c>
      <c r="AE168" s="978">
        <v>0</v>
      </c>
      <c r="AF168" s="977" t="e">
        <f>#REF!</f>
        <v>#REF!</v>
      </c>
      <c r="AG168" s="979" t="e">
        <f>#REF!+#REF!</f>
        <v>#REF!</v>
      </c>
      <c r="AH168" s="979" t="e">
        <f>#REF!+#REF!</f>
        <v>#REF!</v>
      </c>
      <c r="AI168" s="979"/>
      <c r="AJ168" s="977" t="e">
        <f>#REF!</f>
        <v>#REF!</v>
      </c>
      <c r="AK168" s="977" t="e">
        <f t="shared" si="27"/>
        <v>#REF!</v>
      </c>
      <c r="AL168" s="977">
        <f t="shared" si="28"/>
        <v>114.82</v>
      </c>
      <c r="AM168" s="977">
        <f t="shared" si="29"/>
        <v>0</v>
      </c>
      <c r="AN168" s="634"/>
    </row>
    <row r="169" spans="1:40" s="629" customFormat="1" ht="20.100000000000001" customHeight="1">
      <c r="A169" s="771">
        <f t="shared" si="34"/>
        <v>126</v>
      </c>
      <c r="B169" s="980">
        <f>+NOMINA!C168</f>
        <v>16015833</v>
      </c>
      <c r="C169" s="981" t="str">
        <f>+NOMINA!D168</f>
        <v>Briceño Doris Elena</v>
      </c>
      <c r="D169" s="978" t="s">
        <v>4622</v>
      </c>
      <c r="E169" s="982">
        <v>32351</v>
      </c>
      <c r="F169" s="978" t="s">
        <v>4620</v>
      </c>
      <c r="G169" s="1004">
        <f>+NOMINA!H168</f>
        <v>42948</v>
      </c>
      <c r="H169" s="984">
        <f t="shared" si="30"/>
        <v>5</v>
      </c>
      <c r="I169" s="985">
        <v>0</v>
      </c>
      <c r="J169" s="999">
        <f>+NOMINA!BL168</f>
        <v>26.53</v>
      </c>
      <c r="K169" s="999">
        <f>+NOMINA!BM168</f>
        <v>3.32</v>
      </c>
      <c r="L169" s="999">
        <f>+NOMINA!BN168</f>
        <v>7.19</v>
      </c>
      <c r="M169" s="999">
        <f>++NOMINA!BO168</f>
        <v>0</v>
      </c>
      <c r="N169" s="999">
        <f>+NOMINA!BP168</f>
        <v>0</v>
      </c>
      <c r="O169" s="986">
        <f t="shared" si="31"/>
        <v>37.04</v>
      </c>
      <c r="P169" s="999">
        <f>+NOMINA!BR168</f>
        <v>59.69</v>
      </c>
      <c r="Q169" s="999">
        <f>+NOMINA!BS168</f>
        <v>13.26</v>
      </c>
      <c r="R169" s="999">
        <f>+NOMINA!BT168</f>
        <v>14.38</v>
      </c>
      <c r="S169" s="986">
        <f t="shared" si="32"/>
        <v>87.33</v>
      </c>
      <c r="T169" s="986">
        <f t="shared" si="33"/>
        <v>124.37</v>
      </c>
      <c r="U169" s="1005">
        <v>0</v>
      </c>
      <c r="V169" s="443" t="e">
        <f>#REF!+#REF!-O169</f>
        <v>#REF!</v>
      </c>
      <c r="W169" s="975" t="e">
        <f>ROUND((#REF!+#REF!+#REF!+#REF!+#REF!+#REF!+#REF!+#REF!+#REF!),2)</f>
        <v>#REF!</v>
      </c>
      <c r="AA169" s="976" t="e">
        <f>#REF!+#REF!-O169</f>
        <v>#REF!</v>
      </c>
      <c r="AB169" s="977" t="e">
        <f>#REF!</f>
        <v>#REF!</v>
      </c>
      <c r="AC169" s="976" t="e">
        <f>#REF!+#REF!</f>
        <v>#REF!</v>
      </c>
      <c r="AD169" s="977" t="e">
        <f>#REF!</f>
        <v>#REF!</v>
      </c>
      <c r="AE169" s="978">
        <v>0</v>
      </c>
      <c r="AF169" s="977" t="e">
        <f>#REF!</f>
        <v>#REF!</v>
      </c>
      <c r="AG169" s="979" t="e">
        <f>#REF!+#REF!</f>
        <v>#REF!</v>
      </c>
      <c r="AH169" s="979" t="e">
        <f>#REF!+#REF!</f>
        <v>#REF!</v>
      </c>
      <c r="AI169" s="979"/>
      <c r="AJ169" s="977" t="e">
        <f>#REF!</f>
        <v>#REF!</v>
      </c>
      <c r="AK169" s="977" t="e">
        <f t="shared" si="27"/>
        <v>#REF!</v>
      </c>
      <c r="AL169" s="977">
        <f t="shared" si="28"/>
        <v>124.37</v>
      </c>
      <c r="AM169" s="977">
        <f t="shared" si="29"/>
        <v>0</v>
      </c>
      <c r="AN169" s="634"/>
    </row>
    <row r="170" spans="1:40" s="629" customFormat="1" ht="20.100000000000001" customHeight="1">
      <c r="A170" s="771">
        <f t="shared" si="34"/>
        <v>127</v>
      </c>
      <c r="B170" s="980">
        <f>+NOMINA!C169</f>
        <v>16065580</v>
      </c>
      <c r="C170" s="981" t="str">
        <f>+NOMINA!D169</f>
        <v>Paredes de Rendon Zuly Josefina</v>
      </c>
      <c r="D170" s="978" t="s">
        <v>4622</v>
      </c>
      <c r="E170" s="982">
        <v>32351</v>
      </c>
      <c r="F170" s="978" t="s">
        <v>4620</v>
      </c>
      <c r="G170" s="1004">
        <f>+NOMINA!H169</f>
        <v>44363</v>
      </c>
      <c r="H170" s="984">
        <f t="shared" si="30"/>
        <v>1</v>
      </c>
      <c r="I170" s="985">
        <v>0</v>
      </c>
      <c r="J170" s="999">
        <f>+NOMINA!BL169</f>
        <v>19.739999999999998</v>
      </c>
      <c r="K170" s="999">
        <f>+NOMINA!BM169</f>
        <v>2.4700000000000002</v>
      </c>
      <c r="L170" s="999">
        <f>+NOMINA!BN169</f>
        <v>5.35</v>
      </c>
      <c r="M170" s="999">
        <f>++NOMINA!BO169</f>
        <v>0</v>
      </c>
      <c r="N170" s="999">
        <f>+NOMINA!BP169</f>
        <v>0</v>
      </c>
      <c r="O170" s="986">
        <f t="shared" si="31"/>
        <v>27.56</v>
      </c>
      <c r="P170" s="999">
        <f>+NOMINA!BR169</f>
        <v>44.43</v>
      </c>
      <c r="Q170" s="999">
        <f>+NOMINA!BS169</f>
        <v>9.8699999999999992</v>
      </c>
      <c r="R170" s="999">
        <f>+NOMINA!BT169</f>
        <v>10.7</v>
      </c>
      <c r="S170" s="986">
        <f t="shared" si="32"/>
        <v>65</v>
      </c>
      <c r="T170" s="986">
        <f t="shared" si="33"/>
        <v>92.56</v>
      </c>
      <c r="U170" s="1005">
        <v>0</v>
      </c>
      <c r="V170" s="443" t="e">
        <f>#REF!+#REF!-O170</f>
        <v>#REF!</v>
      </c>
      <c r="W170" s="975" t="e">
        <f>ROUND((#REF!+#REF!+#REF!+#REF!+#REF!+#REF!+#REF!+#REF!+#REF!),2)</f>
        <v>#REF!</v>
      </c>
      <c r="AA170" s="976" t="e">
        <f>#REF!+#REF!-O170</f>
        <v>#REF!</v>
      </c>
      <c r="AB170" s="977" t="e">
        <f>#REF!</f>
        <v>#REF!</v>
      </c>
      <c r="AC170" s="976" t="e">
        <f>#REF!+#REF!</f>
        <v>#REF!</v>
      </c>
      <c r="AD170" s="977" t="e">
        <f>#REF!</f>
        <v>#REF!</v>
      </c>
      <c r="AE170" s="978">
        <v>0</v>
      </c>
      <c r="AF170" s="977" t="e">
        <f>#REF!</f>
        <v>#REF!</v>
      </c>
      <c r="AG170" s="979" t="e">
        <f>#REF!+#REF!</f>
        <v>#REF!</v>
      </c>
      <c r="AH170" s="979" t="e">
        <f>#REF!+#REF!</f>
        <v>#REF!</v>
      </c>
      <c r="AI170" s="979"/>
      <c r="AJ170" s="977" t="e">
        <f>#REF!</f>
        <v>#REF!</v>
      </c>
      <c r="AK170" s="977" t="e">
        <f t="shared" si="27"/>
        <v>#REF!</v>
      </c>
      <c r="AL170" s="977">
        <f t="shared" si="28"/>
        <v>92.56</v>
      </c>
      <c r="AM170" s="977">
        <f t="shared" si="29"/>
        <v>0</v>
      </c>
      <c r="AN170" s="634"/>
    </row>
    <row r="171" spans="1:40" s="629" customFormat="1" ht="20.100000000000001" customHeight="1">
      <c r="A171" s="771">
        <f t="shared" si="34"/>
        <v>128</v>
      </c>
      <c r="B171" s="980">
        <f>+NOMINA!C170</f>
        <v>16065861</v>
      </c>
      <c r="C171" s="981" t="str">
        <f>+NOMINA!D170</f>
        <v>Gonzalez Pineda Eduardo Manuel</v>
      </c>
      <c r="D171" s="978" t="s">
        <v>4622</v>
      </c>
      <c r="E171" s="982">
        <v>32351</v>
      </c>
      <c r="F171" s="978" t="s">
        <v>4620</v>
      </c>
      <c r="G171" s="1004">
        <f>+NOMINA!H170</f>
        <v>43906</v>
      </c>
      <c r="H171" s="984">
        <f t="shared" si="30"/>
        <v>2</v>
      </c>
      <c r="I171" s="985">
        <v>0</v>
      </c>
      <c r="J171" s="999">
        <f>+NOMINA!BL170</f>
        <v>21.94</v>
      </c>
      <c r="K171" s="999">
        <f>+NOMINA!BM170</f>
        <v>2.74</v>
      </c>
      <c r="L171" s="999">
        <f>+NOMINA!BN170</f>
        <v>5.94</v>
      </c>
      <c r="M171" s="999">
        <f>++NOMINA!BO170</f>
        <v>0</v>
      </c>
      <c r="N171" s="999">
        <f>+NOMINA!BP170</f>
        <v>0</v>
      </c>
      <c r="O171" s="986">
        <f t="shared" si="31"/>
        <v>30.62</v>
      </c>
      <c r="P171" s="999">
        <f>+NOMINA!BR170</f>
        <v>49.37</v>
      </c>
      <c r="Q171" s="999">
        <f>+NOMINA!BS170</f>
        <v>10.97</v>
      </c>
      <c r="R171" s="999">
        <f>+NOMINA!BT170</f>
        <v>11.88</v>
      </c>
      <c r="S171" s="986">
        <f t="shared" si="32"/>
        <v>72.22</v>
      </c>
      <c r="T171" s="986">
        <f t="shared" si="33"/>
        <v>102.84</v>
      </c>
      <c r="U171" s="1005">
        <v>0</v>
      </c>
      <c r="V171" s="443" t="e">
        <f>#REF!+#REF!-O171</f>
        <v>#REF!</v>
      </c>
      <c r="W171" s="975" t="e">
        <f>ROUND((#REF!+#REF!+#REF!+#REF!+#REF!+#REF!+#REF!+#REF!+#REF!),2)</f>
        <v>#REF!</v>
      </c>
      <c r="AA171" s="976" t="e">
        <f>#REF!+#REF!-O171</f>
        <v>#REF!</v>
      </c>
      <c r="AB171" s="977" t="e">
        <f>#REF!</f>
        <v>#REF!</v>
      </c>
      <c r="AC171" s="976" t="e">
        <f>#REF!+#REF!</f>
        <v>#REF!</v>
      </c>
      <c r="AD171" s="977" t="e">
        <f>#REF!</f>
        <v>#REF!</v>
      </c>
      <c r="AE171" s="978">
        <v>0</v>
      </c>
      <c r="AF171" s="977" t="e">
        <f>#REF!</f>
        <v>#REF!</v>
      </c>
      <c r="AG171" s="979" t="e">
        <f>#REF!+#REF!</f>
        <v>#REF!</v>
      </c>
      <c r="AH171" s="979" t="e">
        <f>#REF!+#REF!</f>
        <v>#REF!</v>
      </c>
      <c r="AI171" s="979"/>
      <c r="AJ171" s="977" t="e">
        <f>#REF!</f>
        <v>#REF!</v>
      </c>
      <c r="AK171" s="977" t="e">
        <f t="shared" ref="AK171:AK234" si="35">SUM(AC171:AJ171)</f>
        <v>#REF!</v>
      </c>
      <c r="AL171" s="977">
        <f t="shared" ref="AL171:AL234" si="36">O171+S171</f>
        <v>102.84</v>
      </c>
      <c r="AM171" s="977">
        <f t="shared" ref="AM171:AM234" si="37">U171</f>
        <v>0</v>
      </c>
      <c r="AN171" s="634"/>
    </row>
    <row r="172" spans="1:40" s="629" customFormat="1" ht="20.100000000000001" customHeight="1">
      <c r="A172" s="771">
        <f t="shared" si="34"/>
        <v>129</v>
      </c>
      <c r="B172" s="980">
        <f>+NOMINA!C171</f>
        <v>16066524</v>
      </c>
      <c r="C172" s="981" t="str">
        <f>+NOMINA!D171</f>
        <v>Carmona Peñaloza Yaneth Coromoto</v>
      </c>
      <c r="D172" s="978" t="s">
        <v>4622</v>
      </c>
      <c r="E172" s="982">
        <v>32351</v>
      </c>
      <c r="F172" s="978" t="s">
        <v>4620</v>
      </c>
      <c r="G172" s="1004">
        <f>+NOMINA!H171</f>
        <v>41456</v>
      </c>
      <c r="H172" s="984">
        <f t="shared" si="30"/>
        <v>9</v>
      </c>
      <c r="I172" s="985">
        <v>0</v>
      </c>
      <c r="J172" s="999">
        <f>+NOMINA!BL171</f>
        <v>17.97</v>
      </c>
      <c r="K172" s="999">
        <f>+NOMINA!BM171</f>
        <v>2.25</v>
      </c>
      <c r="L172" s="999">
        <f>+NOMINA!BN171</f>
        <v>4.87</v>
      </c>
      <c r="M172" s="999">
        <f>++NOMINA!BO171</f>
        <v>0</v>
      </c>
      <c r="N172" s="999">
        <f>+NOMINA!BP171</f>
        <v>0</v>
      </c>
      <c r="O172" s="986">
        <f t="shared" si="31"/>
        <v>25.09</v>
      </c>
      <c r="P172" s="999">
        <f>+NOMINA!BR171</f>
        <v>40.44</v>
      </c>
      <c r="Q172" s="999">
        <f>+NOMINA!BS171</f>
        <v>8.99</v>
      </c>
      <c r="R172" s="999">
        <f>+NOMINA!BT171</f>
        <v>9.74</v>
      </c>
      <c r="S172" s="986">
        <f t="shared" si="32"/>
        <v>59.17</v>
      </c>
      <c r="T172" s="986">
        <f t="shared" si="33"/>
        <v>84.26</v>
      </c>
      <c r="U172" s="1005">
        <v>0</v>
      </c>
      <c r="V172" s="443" t="e">
        <f>#REF!+#REF!-O172</f>
        <v>#REF!</v>
      </c>
      <c r="W172" s="975" t="e">
        <f>ROUND((#REF!+#REF!+#REF!+#REF!+#REF!+#REF!+#REF!+#REF!+#REF!),2)</f>
        <v>#REF!</v>
      </c>
      <c r="AA172" s="976" t="e">
        <f>#REF!+#REF!-O172</f>
        <v>#REF!</v>
      </c>
      <c r="AB172" s="977" t="e">
        <f>#REF!</f>
        <v>#REF!</v>
      </c>
      <c r="AC172" s="976" t="e">
        <f>#REF!+#REF!</f>
        <v>#REF!</v>
      </c>
      <c r="AD172" s="977" t="e">
        <f>#REF!</f>
        <v>#REF!</v>
      </c>
      <c r="AE172" s="978">
        <v>0</v>
      </c>
      <c r="AF172" s="977" t="e">
        <f>#REF!</f>
        <v>#REF!</v>
      </c>
      <c r="AG172" s="979" t="e">
        <f>#REF!+#REF!</f>
        <v>#REF!</v>
      </c>
      <c r="AH172" s="979" t="e">
        <f>#REF!+#REF!</f>
        <v>#REF!</v>
      </c>
      <c r="AI172" s="979"/>
      <c r="AJ172" s="977" t="e">
        <f>#REF!</f>
        <v>#REF!</v>
      </c>
      <c r="AK172" s="977" t="e">
        <f t="shared" si="35"/>
        <v>#REF!</v>
      </c>
      <c r="AL172" s="977">
        <f t="shared" si="36"/>
        <v>84.26</v>
      </c>
      <c r="AM172" s="977">
        <f t="shared" si="37"/>
        <v>0</v>
      </c>
      <c r="AN172" s="634"/>
    </row>
    <row r="173" spans="1:40" s="629" customFormat="1" ht="20.100000000000001" customHeight="1">
      <c r="A173" s="771">
        <f t="shared" ref="A173:A236" si="38">A172+1</f>
        <v>130</v>
      </c>
      <c r="B173" s="980">
        <f>+NOMINA!C172</f>
        <v>16066554</v>
      </c>
      <c r="C173" s="981" t="str">
        <f>+NOMINA!D172</f>
        <v>Gonzalez Huerta Maria Josefina</v>
      </c>
      <c r="D173" s="978" t="s">
        <v>4622</v>
      </c>
      <c r="E173" s="982">
        <v>32351</v>
      </c>
      <c r="F173" s="978" t="s">
        <v>4620</v>
      </c>
      <c r="G173" s="1004">
        <f>+NOMINA!H172</f>
        <v>38797</v>
      </c>
      <c r="H173" s="984">
        <f t="shared" ref="H173:H236" si="39">IF(AND(YEAR(G173)&lt;2023,MONTH(G173)&gt;$P$8),2023-YEAR(G173)-1,IF(OR(G173="",YEAR(G173)&gt;2023),0,2023-YEAR(G173)))</f>
        <v>16</v>
      </c>
      <c r="I173" s="985">
        <v>0</v>
      </c>
      <c r="J173" s="999">
        <f>+NOMINA!BL172</f>
        <v>23.42</v>
      </c>
      <c r="K173" s="999">
        <f>+NOMINA!BM172</f>
        <v>2.93</v>
      </c>
      <c r="L173" s="999">
        <f>+NOMINA!BN172</f>
        <v>6.34</v>
      </c>
      <c r="M173" s="999">
        <f>++NOMINA!BO172</f>
        <v>0</v>
      </c>
      <c r="N173" s="999">
        <f>+NOMINA!BP172</f>
        <v>0</v>
      </c>
      <c r="O173" s="986">
        <f t="shared" ref="O173:O236" si="40">ROUND(SUM(J173:N173),2)</f>
        <v>32.69</v>
      </c>
      <c r="P173" s="999">
        <f>+NOMINA!BR172</f>
        <v>52.7</v>
      </c>
      <c r="Q173" s="999">
        <f>+NOMINA!BS172</f>
        <v>11.71</v>
      </c>
      <c r="R173" s="999">
        <f>+NOMINA!BT172</f>
        <v>12.68</v>
      </c>
      <c r="S173" s="986">
        <f t="shared" ref="S173:S236" si="41">ROUND(SUM(P173:R173),2)</f>
        <v>77.09</v>
      </c>
      <c r="T173" s="986">
        <f t="shared" ref="T173:T236" si="42">O173+S173</f>
        <v>109.78</v>
      </c>
      <c r="U173" s="1005">
        <v>0</v>
      </c>
      <c r="V173" s="443" t="e">
        <f>#REF!+#REF!-O173</f>
        <v>#REF!</v>
      </c>
      <c r="W173" s="975" t="e">
        <f>ROUND((#REF!+#REF!+#REF!+#REF!+#REF!+#REF!+#REF!+#REF!+#REF!),2)</f>
        <v>#REF!</v>
      </c>
      <c r="AA173" s="976" t="e">
        <f>#REF!+#REF!-O173</f>
        <v>#REF!</v>
      </c>
      <c r="AB173" s="977" t="e">
        <f>#REF!</f>
        <v>#REF!</v>
      </c>
      <c r="AC173" s="976" t="e">
        <f>#REF!+#REF!</f>
        <v>#REF!</v>
      </c>
      <c r="AD173" s="977" t="e">
        <f>#REF!</f>
        <v>#REF!</v>
      </c>
      <c r="AE173" s="978">
        <v>0</v>
      </c>
      <c r="AF173" s="977" t="e">
        <f>#REF!</f>
        <v>#REF!</v>
      </c>
      <c r="AG173" s="979" t="e">
        <f>#REF!+#REF!</f>
        <v>#REF!</v>
      </c>
      <c r="AH173" s="979" t="e">
        <f>#REF!+#REF!</f>
        <v>#REF!</v>
      </c>
      <c r="AI173" s="979"/>
      <c r="AJ173" s="977" t="e">
        <f>#REF!</f>
        <v>#REF!</v>
      </c>
      <c r="AK173" s="977" t="e">
        <f t="shared" si="35"/>
        <v>#REF!</v>
      </c>
      <c r="AL173" s="977">
        <f t="shared" si="36"/>
        <v>109.78</v>
      </c>
      <c r="AM173" s="977">
        <f t="shared" si="37"/>
        <v>0</v>
      </c>
      <c r="AN173" s="634"/>
    </row>
    <row r="174" spans="1:40" s="629" customFormat="1" ht="20.100000000000001" customHeight="1">
      <c r="A174" s="771">
        <f t="shared" si="38"/>
        <v>131</v>
      </c>
      <c r="B174" s="980">
        <f>+NOMINA!C173</f>
        <v>16266033</v>
      </c>
      <c r="C174" s="981" t="str">
        <f>+NOMINA!D173</f>
        <v>Montilla de Davila Nileidy del Valle</v>
      </c>
      <c r="D174" s="978" t="s">
        <v>4622</v>
      </c>
      <c r="E174" s="982">
        <v>32351</v>
      </c>
      <c r="F174" s="978" t="s">
        <v>4620</v>
      </c>
      <c r="G174" s="1004">
        <f>+NOMINA!H173</f>
        <v>44713</v>
      </c>
      <c r="H174" s="984">
        <f t="shared" si="39"/>
        <v>0</v>
      </c>
      <c r="I174" s="985">
        <v>0</v>
      </c>
      <c r="J174" s="999">
        <f>+NOMINA!BL173</f>
        <v>21.05</v>
      </c>
      <c r="K174" s="999">
        <f>+NOMINA!BM173</f>
        <v>2.63</v>
      </c>
      <c r="L174" s="999">
        <f>+NOMINA!BN173</f>
        <v>5.7</v>
      </c>
      <c r="M174" s="999">
        <f>++NOMINA!BO173</f>
        <v>0</v>
      </c>
      <c r="N174" s="999">
        <f>+NOMINA!BP173</f>
        <v>0</v>
      </c>
      <c r="O174" s="986">
        <f t="shared" si="40"/>
        <v>29.38</v>
      </c>
      <c r="P174" s="999">
        <f>+NOMINA!BR173</f>
        <v>47.36</v>
      </c>
      <c r="Q174" s="999">
        <f>+NOMINA!BS173</f>
        <v>10.53</v>
      </c>
      <c r="R174" s="999">
        <f>+NOMINA!BT173</f>
        <v>11.4</v>
      </c>
      <c r="S174" s="986">
        <f t="shared" si="41"/>
        <v>69.290000000000006</v>
      </c>
      <c r="T174" s="986">
        <f t="shared" si="42"/>
        <v>98.67</v>
      </c>
      <c r="U174" s="1005">
        <v>0</v>
      </c>
      <c r="V174" s="443" t="e">
        <f>#REF!+#REF!-O174</f>
        <v>#REF!</v>
      </c>
      <c r="W174" s="975" t="e">
        <f>ROUND((#REF!+#REF!+#REF!+#REF!+#REF!+#REF!+#REF!+#REF!+#REF!),2)</f>
        <v>#REF!</v>
      </c>
      <c r="AA174" s="976" t="e">
        <f>#REF!+#REF!-O174</f>
        <v>#REF!</v>
      </c>
      <c r="AB174" s="977" t="e">
        <f>#REF!</f>
        <v>#REF!</v>
      </c>
      <c r="AC174" s="976" t="e">
        <f>#REF!+#REF!</f>
        <v>#REF!</v>
      </c>
      <c r="AD174" s="977" t="e">
        <f>#REF!</f>
        <v>#REF!</v>
      </c>
      <c r="AE174" s="978">
        <v>0</v>
      </c>
      <c r="AF174" s="977" t="e">
        <f>#REF!</f>
        <v>#REF!</v>
      </c>
      <c r="AG174" s="979" t="e">
        <f>#REF!+#REF!</f>
        <v>#REF!</v>
      </c>
      <c r="AH174" s="979" t="e">
        <f>#REF!+#REF!</f>
        <v>#REF!</v>
      </c>
      <c r="AI174" s="979"/>
      <c r="AJ174" s="977" t="e">
        <f>#REF!</f>
        <v>#REF!</v>
      </c>
      <c r="AK174" s="977" t="e">
        <f t="shared" si="35"/>
        <v>#REF!</v>
      </c>
      <c r="AL174" s="977">
        <f t="shared" si="36"/>
        <v>98.67</v>
      </c>
      <c r="AM174" s="977">
        <f t="shared" si="37"/>
        <v>0</v>
      </c>
      <c r="AN174" s="634"/>
    </row>
    <row r="175" spans="1:40" s="629" customFormat="1" ht="20.100000000000001" customHeight="1">
      <c r="A175" s="771">
        <f t="shared" si="38"/>
        <v>132</v>
      </c>
      <c r="B175" s="980">
        <f>+NOMINA!C174</f>
        <v>16266989</v>
      </c>
      <c r="C175" s="981" t="str">
        <f>+NOMINA!D174</f>
        <v>Rincon Quevedo Angela Adriana</v>
      </c>
      <c r="D175" s="978" t="s">
        <v>4622</v>
      </c>
      <c r="E175" s="982">
        <v>32351</v>
      </c>
      <c r="F175" s="978" t="s">
        <v>4620</v>
      </c>
      <c r="G175" s="1004">
        <f>+NOMINA!H174</f>
        <v>43040</v>
      </c>
      <c r="H175" s="984">
        <f t="shared" si="39"/>
        <v>5</v>
      </c>
      <c r="I175" s="985">
        <v>0</v>
      </c>
      <c r="J175" s="999">
        <f>+NOMINA!BL174</f>
        <v>27.28</v>
      </c>
      <c r="K175" s="999">
        <f>+NOMINA!BM174</f>
        <v>3.41</v>
      </c>
      <c r="L175" s="999">
        <f>+NOMINA!BN174</f>
        <v>7.39</v>
      </c>
      <c r="M175" s="999">
        <f>++NOMINA!BO174</f>
        <v>0</v>
      </c>
      <c r="N175" s="999">
        <f>+NOMINA!BP174</f>
        <v>0</v>
      </c>
      <c r="O175" s="986">
        <f t="shared" si="40"/>
        <v>38.08</v>
      </c>
      <c r="P175" s="999">
        <f>+NOMINA!BR174</f>
        <v>61.38</v>
      </c>
      <c r="Q175" s="999">
        <f>+NOMINA!BS174</f>
        <v>13.64</v>
      </c>
      <c r="R175" s="999">
        <f>+NOMINA!BT174</f>
        <v>14.78</v>
      </c>
      <c r="S175" s="986">
        <f t="shared" si="41"/>
        <v>89.8</v>
      </c>
      <c r="T175" s="986">
        <f t="shared" si="42"/>
        <v>127.88</v>
      </c>
      <c r="U175" s="1005">
        <v>0</v>
      </c>
      <c r="V175" s="443" t="e">
        <f>#REF!+#REF!-O175</f>
        <v>#REF!</v>
      </c>
      <c r="W175" s="975" t="e">
        <f>ROUND((#REF!+#REF!+#REF!+#REF!+#REF!+#REF!+#REF!+#REF!+#REF!),2)</f>
        <v>#REF!</v>
      </c>
      <c r="AA175" s="976" t="e">
        <f>#REF!+#REF!-O175</f>
        <v>#REF!</v>
      </c>
      <c r="AB175" s="977" t="e">
        <f>#REF!</f>
        <v>#REF!</v>
      </c>
      <c r="AC175" s="976" t="e">
        <f>#REF!+#REF!</f>
        <v>#REF!</v>
      </c>
      <c r="AD175" s="977" t="e">
        <f>#REF!</f>
        <v>#REF!</v>
      </c>
      <c r="AE175" s="978">
        <v>0</v>
      </c>
      <c r="AF175" s="977" t="e">
        <f>#REF!</f>
        <v>#REF!</v>
      </c>
      <c r="AG175" s="979" t="e">
        <f>#REF!+#REF!</f>
        <v>#REF!</v>
      </c>
      <c r="AH175" s="979" t="e">
        <f>#REF!+#REF!</f>
        <v>#REF!</v>
      </c>
      <c r="AI175" s="979"/>
      <c r="AJ175" s="977" t="e">
        <f>#REF!</f>
        <v>#REF!</v>
      </c>
      <c r="AK175" s="977" t="e">
        <f t="shared" si="35"/>
        <v>#REF!</v>
      </c>
      <c r="AL175" s="977">
        <f t="shared" si="36"/>
        <v>127.88</v>
      </c>
      <c r="AM175" s="977">
        <f t="shared" si="37"/>
        <v>0</v>
      </c>
      <c r="AN175" s="634"/>
    </row>
    <row r="176" spans="1:40" s="629" customFormat="1" ht="20.100000000000001" customHeight="1">
      <c r="A176" s="771">
        <f t="shared" si="38"/>
        <v>133</v>
      </c>
      <c r="B176" s="980">
        <f>+NOMINA!C175</f>
        <v>16267940</v>
      </c>
      <c r="C176" s="981" t="str">
        <f>+NOMINA!D175</f>
        <v>Araujo Moreno Elisaelith</v>
      </c>
      <c r="D176" s="978" t="s">
        <v>4622</v>
      </c>
      <c r="E176" s="982">
        <v>32351</v>
      </c>
      <c r="F176" s="978" t="s">
        <v>4620</v>
      </c>
      <c r="G176" s="1004">
        <f>+NOMINA!H175</f>
        <v>44600</v>
      </c>
      <c r="H176" s="984">
        <f t="shared" si="39"/>
        <v>0</v>
      </c>
      <c r="I176" s="985">
        <v>0</v>
      </c>
      <c r="J176" s="999">
        <f>+NOMINA!BL175</f>
        <v>15.54</v>
      </c>
      <c r="K176" s="999">
        <f>+NOMINA!BM175</f>
        <v>1.94</v>
      </c>
      <c r="L176" s="999">
        <f>+NOMINA!BN175</f>
        <v>4.21</v>
      </c>
      <c r="M176" s="999">
        <f>++NOMINA!BO175</f>
        <v>0</v>
      </c>
      <c r="N176" s="999">
        <f>+NOMINA!BP175</f>
        <v>0</v>
      </c>
      <c r="O176" s="986">
        <f t="shared" si="40"/>
        <v>21.69</v>
      </c>
      <c r="P176" s="999">
        <f>+NOMINA!BR175</f>
        <v>34.979999999999997</v>
      </c>
      <c r="Q176" s="999">
        <f>+NOMINA!BS175</f>
        <v>7.77</v>
      </c>
      <c r="R176" s="999">
        <f>+NOMINA!BT175</f>
        <v>8.42</v>
      </c>
      <c r="S176" s="986">
        <f t="shared" si="41"/>
        <v>51.17</v>
      </c>
      <c r="T176" s="986">
        <f t="shared" si="42"/>
        <v>72.86</v>
      </c>
      <c r="U176" s="1005">
        <v>0</v>
      </c>
      <c r="V176" s="443" t="e">
        <f>#REF!+#REF!-O176</f>
        <v>#REF!</v>
      </c>
      <c r="W176" s="975" t="e">
        <f>ROUND((#REF!+#REF!+#REF!+#REF!+#REF!+#REF!+#REF!+#REF!+#REF!),2)</f>
        <v>#REF!</v>
      </c>
      <c r="AA176" s="976" t="e">
        <f>#REF!+#REF!-O176</f>
        <v>#REF!</v>
      </c>
      <c r="AB176" s="977" t="e">
        <f>#REF!</f>
        <v>#REF!</v>
      </c>
      <c r="AC176" s="976" t="e">
        <f>#REF!+#REF!</f>
        <v>#REF!</v>
      </c>
      <c r="AD176" s="977" t="e">
        <f>#REF!</f>
        <v>#REF!</v>
      </c>
      <c r="AE176" s="978">
        <v>0</v>
      </c>
      <c r="AF176" s="977" t="e">
        <f>#REF!</f>
        <v>#REF!</v>
      </c>
      <c r="AG176" s="979" t="e">
        <f>#REF!+#REF!</f>
        <v>#REF!</v>
      </c>
      <c r="AH176" s="979" t="e">
        <f>#REF!+#REF!</f>
        <v>#REF!</v>
      </c>
      <c r="AI176" s="979"/>
      <c r="AJ176" s="977" t="e">
        <f>#REF!</f>
        <v>#REF!</v>
      </c>
      <c r="AK176" s="977" t="e">
        <f t="shared" si="35"/>
        <v>#REF!</v>
      </c>
      <c r="AL176" s="977">
        <f t="shared" si="36"/>
        <v>72.86</v>
      </c>
      <c r="AM176" s="977">
        <f t="shared" si="37"/>
        <v>0</v>
      </c>
      <c r="AN176" s="634"/>
    </row>
    <row r="177" spans="1:40" s="629" customFormat="1" ht="20.100000000000001" customHeight="1">
      <c r="A177" s="771">
        <f t="shared" si="38"/>
        <v>134</v>
      </c>
      <c r="B177" s="980">
        <f>+NOMINA!C176</f>
        <v>16376534</v>
      </c>
      <c r="C177" s="981" t="str">
        <f>+NOMINA!D176</f>
        <v>Lugo Moreno Yenny Katiuska</v>
      </c>
      <c r="D177" s="978" t="s">
        <v>4622</v>
      </c>
      <c r="E177" s="982">
        <v>32351</v>
      </c>
      <c r="F177" s="978" t="s">
        <v>4620</v>
      </c>
      <c r="G177" s="1004">
        <f>+NOMINA!H176</f>
        <v>43754</v>
      </c>
      <c r="H177" s="984">
        <f t="shared" si="39"/>
        <v>3</v>
      </c>
      <c r="I177" s="985">
        <v>0</v>
      </c>
      <c r="J177" s="999">
        <f>+NOMINA!BL176</f>
        <v>26</v>
      </c>
      <c r="K177" s="999">
        <f>+NOMINA!BM176</f>
        <v>3.25</v>
      </c>
      <c r="L177" s="999">
        <f>+NOMINA!BN176</f>
        <v>7.04</v>
      </c>
      <c r="M177" s="999">
        <f>++NOMINA!BO176</f>
        <v>0</v>
      </c>
      <c r="N177" s="999">
        <f>+NOMINA!BP176</f>
        <v>0</v>
      </c>
      <c r="O177" s="986">
        <f t="shared" si="40"/>
        <v>36.29</v>
      </c>
      <c r="P177" s="999">
        <f>+NOMINA!BR176</f>
        <v>58.5</v>
      </c>
      <c r="Q177" s="999">
        <f>+NOMINA!BS176</f>
        <v>13</v>
      </c>
      <c r="R177" s="999">
        <f>+NOMINA!BT176</f>
        <v>14.08</v>
      </c>
      <c r="S177" s="986">
        <f t="shared" si="41"/>
        <v>85.58</v>
      </c>
      <c r="T177" s="986">
        <f t="shared" si="42"/>
        <v>121.87</v>
      </c>
      <c r="U177" s="1005">
        <v>0</v>
      </c>
      <c r="V177" s="443" t="e">
        <f>#REF!+#REF!-O177</f>
        <v>#REF!</v>
      </c>
      <c r="W177" s="975" t="e">
        <f>ROUND((#REF!+#REF!+#REF!+#REF!+#REF!+#REF!+#REF!+#REF!+#REF!),2)</f>
        <v>#REF!</v>
      </c>
      <c r="AA177" s="976" t="e">
        <f>#REF!+#REF!-O177</f>
        <v>#REF!</v>
      </c>
      <c r="AB177" s="977" t="e">
        <f>#REF!</f>
        <v>#REF!</v>
      </c>
      <c r="AC177" s="976" t="e">
        <f>#REF!+#REF!</f>
        <v>#REF!</v>
      </c>
      <c r="AD177" s="977" t="e">
        <f>#REF!</f>
        <v>#REF!</v>
      </c>
      <c r="AE177" s="978">
        <v>0</v>
      </c>
      <c r="AF177" s="977" t="e">
        <f>#REF!</f>
        <v>#REF!</v>
      </c>
      <c r="AG177" s="979" t="e">
        <f>#REF!+#REF!</f>
        <v>#REF!</v>
      </c>
      <c r="AH177" s="979" t="e">
        <f>#REF!+#REF!</f>
        <v>#REF!</v>
      </c>
      <c r="AI177" s="979"/>
      <c r="AJ177" s="977" t="e">
        <f>#REF!</f>
        <v>#REF!</v>
      </c>
      <c r="AK177" s="977" t="e">
        <f t="shared" si="35"/>
        <v>#REF!</v>
      </c>
      <c r="AL177" s="977">
        <f t="shared" si="36"/>
        <v>121.87</v>
      </c>
      <c r="AM177" s="977">
        <f t="shared" si="37"/>
        <v>0</v>
      </c>
      <c r="AN177" s="634"/>
    </row>
    <row r="178" spans="1:40" s="629" customFormat="1" ht="20.100000000000001" customHeight="1">
      <c r="A178" s="771">
        <f t="shared" si="38"/>
        <v>135</v>
      </c>
      <c r="B178" s="980">
        <f>+NOMINA!C177</f>
        <v>16376698</v>
      </c>
      <c r="C178" s="981" t="str">
        <f>+NOMINA!D177</f>
        <v>Barreto Maldonado Jose Luis</v>
      </c>
      <c r="D178" s="978" t="s">
        <v>4622</v>
      </c>
      <c r="E178" s="982">
        <v>32351</v>
      </c>
      <c r="F178" s="978" t="s">
        <v>4620</v>
      </c>
      <c r="G178" s="1004">
        <f>+NOMINA!H177</f>
        <v>40909</v>
      </c>
      <c r="H178" s="984">
        <f t="shared" si="39"/>
        <v>10</v>
      </c>
      <c r="I178" s="985">
        <v>0</v>
      </c>
      <c r="J178" s="999">
        <f>+NOMINA!BL177</f>
        <v>13.12</v>
      </c>
      <c r="K178" s="999">
        <f>+NOMINA!BM177</f>
        <v>1.64</v>
      </c>
      <c r="L178" s="999">
        <f>+NOMINA!BN177</f>
        <v>3.55</v>
      </c>
      <c r="M178" s="999">
        <f>++NOMINA!BO177</f>
        <v>0</v>
      </c>
      <c r="N178" s="999">
        <f>+NOMINA!BP177</f>
        <v>0.86</v>
      </c>
      <c r="O178" s="986">
        <f t="shared" si="40"/>
        <v>19.170000000000002</v>
      </c>
      <c r="P178" s="999">
        <f>+NOMINA!BR177</f>
        <v>29.53</v>
      </c>
      <c r="Q178" s="999">
        <f>+NOMINA!BS177</f>
        <v>6.56</v>
      </c>
      <c r="R178" s="999">
        <f>+NOMINA!BT177</f>
        <v>7.1</v>
      </c>
      <c r="S178" s="986">
        <f t="shared" si="41"/>
        <v>43.19</v>
      </c>
      <c r="T178" s="986">
        <f t="shared" si="42"/>
        <v>62.36</v>
      </c>
      <c r="U178" s="1005">
        <v>0</v>
      </c>
      <c r="V178" s="443" t="e">
        <f>#REF!+#REF!-O178</f>
        <v>#REF!</v>
      </c>
      <c r="W178" s="975" t="e">
        <f>ROUND((#REF!+#REF!+#REF!+#REF!+#REF!+#REF!+#REF!+#REF!+#REF!),2)</f>
        <v>#REF!</v>
      </c>
      <c r="AA178" s="976" t="e">
        <f>#REF!+#REF!-O178</f>
        <v>#REF!</v>
      </c>
      <c r="AB178" s="977" t="e">
        <f>#REF!</f>
        <v>#REF!</v>
      </c>
      <c r="AC178" s="976" t="e">
        <f>#REF!+#REF!</f>
        <v>#REF!</v>
      </c>
      <c r="AD178" s="977" t="e">
        <f>#REF!</f>
        <v>#REF!</v>
      </c>
      <c r="AE178" s="978">
        <v>0</v>
      </c>
      <c r="AF178" s="977" t="e">
        <f>#REF!</f>
        <v>#REF!</v>
      </c>
      <c r="AG178" s="979" t="e">
        <f>#REF!+#REF!</f>
        <v>#REF!</v>
      </c>
      <c r="AH178" s="979" t="e">
        <f>#REF!+#REF!</f>
        <v>#REF!</v>
      </c>
      <c r="AI178" s="979"/>
      <c r="AJ178" s="977" t="e">
        <f>#REF!</f>
        <v>#REF!</v>
      </c>
      <c r="AK178" s="977" t="e">
        <f t="shared" si="35"/>
        <v>#REF!</v>
      </c>
      <c r="AL178" s="977">
        <f t="shared" si="36"/>
        <v>62.36</v>
      </c>
      <c r="AM178" s="977">
        <f t="shared" si="37"/>
        <v>0</v>
      </c>
      <c r="AN178" s="634"/>
    </row>
    <row r="179" spans="1:40" s="629" customFormat="1" ht="20.100000000000001" customHeight="1">
      <c r="A179" s="771">
        <f t="shared" si="38"/>
        <v>136</v>
      </c>
      <c r="B179" s="980">
        <f>+NOMINA!C178</f>
        <v>16376781</v>
      </c>
      <c r="C179" s="981" t="str">
        <f>+NOMINA!D178</f>
        <v>Viloria de Utrilla Arelis del Carmen</v>
      </c>
      <c r="D179" s="978" t="s">
        <v>4622</v>
      </c>
      <c r="E179" s="982">
        <v>32351</v>
      </c>
      <c r="F179" s="978" t="s">
        <v>4620</v>
      </c>
      <c r="G179" s="1004">
        <f>+NOMINA!H178</f>
        <v>45413</v>
      </c>
      <c r="H179" s="984">
        <f t="shared" si="39"/>
        <v>0</v>
      </c>
      <c r="I179" s="985">
        <v>0</v>
      </c>
      <c r="J179" s="999">
        <f>+NOMINA!BL178</f>
        <v>19.989999999999998</v>
      </c>
      <c r="K179" s="999">
        <f>+NOMINA!BM178</f>
        <v>2.5</v>
      </c>
      <c r="L179" s="999">
        <f>+NOMINA!BN178</f>
        <v>5.41</v>
      </c>
      <c r="M179" s="999">
        <f>++NOMINA!BO178</f>
        <v>0</v>
      </c>
      <c r="N179" s="999">
        <f>+NOMINA!BP178</f>
        <v>0</v>
      </c>
      <c r="O179" s="986">
        <f t="shared" si="40"/>
        <v>27.9</v>
      </c>
      <c r="P179" s="999">
        <f>+NOMINA!BR178</f>
        <v>44.97</v>
      </c>
      <c r="Q179" s="999">
        <f>+NOMINA!BS178</f>
        <v>9.99</v>
      </c>
      <c r="R179" s="999">
        <f>+NOMINA!BT178</f>
        <v>10.82</v>
      </c>
      <c r="S179" s="986">
        <f t="shared" si="41"/>
        <v>65.78</v>
      </c>
      <c r="T179" s="986">
        <f t="shared" si="42"/>
        <v>93.68</v>
      </c>
      <c r="U179" s="1005">
        <v>0</v>
      </c>
      <c r="V179" s="443" t="e">
        <f>#REF!+#REF!-O179</f>
        <v>#REF!</v>
      </c>
      <c r="W179" s="975" t="e">
        <f>ROUND((#REF!+#REF!+#REF!+#REF!+#REF!+#REF!+#REF!+#REF!+#REF!),2)</f>
        <v>#REF!</v>
      </c>
      <c r="AA179" s="976" t="e">
        <f>#REF!+#REF!-O179</f>
        <v>#REF!</v>
      </c>
      <c r="AB179" s="977" t="e">
        <f>#REF!</f>
        <v>#REF!</v>
      </c>
      <c r="AC179" s="976" t="e">
        <f>#REF!+#REF!</f>
        <v>#REF!</v>
      </c>
      <c r="AD179" s="977" t="e">
        <f>#REF!</f>
        <v>#REF!</v>
      </c>
      <c r="AE179" s="978">
        <v>0</v>
      </c>
      <c r="AF179" s="977" t="e">
        <f>#REF!</f>
        <v>#REF!</v>
      </c>
      <c r="AG179" s="979" t="e">
        <f>#REF!+#REF!</f>
        <v>#REF!</v>
      </c>
      <c r="AH179" s="979" t="e">
        <f>#REF!+#REF!</f>
        <v>#REF!</v>
      </c>
      <c r="AI179" s="979"/>
      <c r="AJ179" s="977" t="e">
        <f>#REF!</f>
        <v>#REF!</v>
      </c>
      <c r="AK179" s="977" t="e">
        <f t="shared" si="35"/>
        <v>#REF!</v>
      </c>
      <c r="AL179" s="977">
        <f t="shared" si="36"/>
        <v>93.68</v>
      </c>
      <c r="AM179" s="977">
        <f t="shared" si="37"/>
        <v>0</v>
      </c>
      <c r="AN179" s="634"/>
    </row>
    <row r="180" spans="1:40" s="629" customFormat="1" ht="20.100000000000001" customHeight="1">
      <c r="A180" s="771">
        <f t="shared" si="38"/>
        <v>137</v>
      </c>
      <c r="B180" s="980">
        <f>+NOMINA!C179</f>
        <v>16377159</v>
      </c>
      <c r="C180" s="981" t="str">
        <f>+NOMINA!D179</f>
        <v>Carrillo Uzcategui Tahiyuani Carolina</v>
      </c>
      <c r="D180" s="978" t="s">
        <v>4622</v>
      </c>
      <c r="E180" s="982">
        <v>32351</v>
      </c>
      <c r="F180" s="978" t="s">
        <v>4620</v>
      </c>
      <c r="G180" s="1004">
        <f>+NOMINA!H179</f>
        <v>44743</v>
      </c>
      <c r="H180" s="984">
        <f t="shared" si="39"/>
        <v>0</v>
      </c>
      <c r="I180" s="985">
        <v>0</v>
      </c>
      <c r="J180" s="999">
        <f>+NOMINA!BL179</f>
        <v>20.21</v>
      </c>
      <c r="K180" s="999">
        <f>+NOMINA!BM179</f>
        <v>2.5299999999999998</v>
      </c>
      <c r="L180" s="999">
        <f>+NOMINA!BN179</f>
        <v>5.47</v>
      </c>
      <c r="M180" s="999">
        <f>++NOMINA!BO179</f>
        <v>0</v>
      </c>
      <c r="N180" s="999">
        <f>+NOMINA!BP179</f>
        <v>0</v>
      </c>
      <c r="O180" s="986">
        <f t="shared" si="40"/>
        <v>28.21</v>
      </c>
      <c r="P180" s="999">
        <f>+NOMINA!BR179</f>
        <v>45.47</v>
      </c>
      <c r="Q180" s="999">
        <f>+NOMINA!BS179</f>
        <v>10.1</v>
      </c>
      <c r="R180" s="999">
        <f>+NOMINA!BT179</f>
        <v>10.94</v>
      </c>
      <c r="S180" s="986">
        <f t="shared" si="41"/>
        <v>66.510000000000005</v>
      </c>
      <c r="T180" s="986">
        <f t="shared" si="42"/>
        <v>94.72</v>
      </c>
      <c r="U180" s="1005">
        <v>0</v>
      </c>
      <c r="V180" s="443" t="e">
        <f>#REF!+#REF!-O180</f>
        <v>#REF!</v>
      </c>
      <c r="W180" s="975" t="e">
        <f>ROUND((#REF!+#REF!+#REF!+#REF!+#REF!+#REF!+#REF!+#REF!+#REF!),2)</f>
        <v>#REF!</v>
      </c>
      <c r="AA180" s="976" t="e">
        <f>#REF!+#REF!-O180</f>
        <v>#REF!</v>
      </c>
      <c r="AB180" s="977" t="e">
        <f>#REF!</f>
        <v>#REF!</v>
      </c>
      <c r="AC180" s="976" t="e">
        <f>#REF!+#REF!</f>
        <v>#REF!</v>
      </c>
      <c r="AD180" s="977" t="e">
        <f>#REF!</f>
        <v>#REF!</v>
      </c>
      <c r="AE180" s="978">
        <v>0</v>
      </c>
      <c r="AF180" s="977" t="e">
        <f>#REF!</f>
        <v>#REF!</v>
      </c>
      <c r="AG180" s="979" t="e">
        <f>#REF!+#REF!</f>
        <v>#REF!</v>
      </c>
      <c r="AH180" s="979" t="e">
        <f>#REF!+#REF!</f>
        <v>#REF!</v>
      </c>
      <c r="AI180" s="979"/>
      <c r="AJ180" s="977" t="e">
        <f>#REF!</f>
        <v>#REF!</v>
      </c>
      <c r="AK180" s="977" t="e">
        <f t="shared" si="35"/>
        <v>#REF!</v>
      </c>
      <c r="AL180" s="977">
        <f t="shared" si="36"/>
        <v>94.72</v>
      </c>
      <c r="AM180" s="977">
        <f t="shared" si="37"/>
        <v>0</v>
      </c>
      <c r="AN180" s="634"/>
    </row>
    <row r="181" spans="1:40" s="629" customFormat="1" ht="20.100000000000001" customHeight="1">
      <c r="A181" s="771">
        <f t="shared" si="38"/>
        <v>138</v>
      </c>
      <c r="B181" s="980">
        <f>+NOMINA!C180</f>
        <v>16377588</v>
      </c>
      <c r="C181" s="981" t="str">
        <f>+NOMINA!D180</f>
        <v>Perdomo Linares Alejandra Carolina</v>
      </c>
      <c r="D181" s="978" t="s">
        <v>4622</v>
      </c>
      <c r="E181" s="982">
        <v>32351</v>
      </c>
      <c r="F181" s="978" t="s">
        <v>4620</v>
      </c>
      <c r="G181" s="1004">
        <f>+NOMINA!H180</f>
        <v>44059</v>
      </c>
      <c r="H181" s="984">
        <f t="shared" si="39"/>
        <v>2</v>
      </c>
      <c r="I181" s="985">
        <v>0</v>
      </c>
      <c r="J181" s="999">
        <f>+NOMINA!BL180</f>
        <v>19.87</v>
      </c>
      <c r="K181" s="999">
        <f>+NOMINA!BM180</f>
        <v>2.48</v>
      </c>
      <c r="L181" s="999">
        <f>+NOMINA!BN180</f>
        <v>5.38</v>
      </c>
      <c r="M181" s="999">
        <f>++NOMINA!BO180</f>
        <v>0</v>
      </c>
      <c r="N181" s="999">
        <f>+NOMINA!BP180</f>
        <v>0</v>
      </c>
      <c r="O181" s="986">
        <f t="shared" si="40"/>
        <v>27.73</v>
      </c>
      <c r="P181" s="999">
        <f>+NOMINA!BR180</f>
        <v>44.71</v>
      </c>
      <c r="Q181" s="999">
        <f>+NOMINA!BS180</f>
        <v>9.94</v>
      </c>
      <c r="R181" s="999">
        <f>+NOMINA!BT180</f>
        <v>10.76</v>
      </c>
      <c r="S181" s="986">
        <f t="shared" si="41"/>
        <v>65.41</v>
      </c>
      <c r="T181" s="986">
        <f t="shared" si="42"/>
        <v>93.14</v>
      </c>
      <c r="U181" s="1005">
        <v>0</v>
      </c>
      <c r="V181" s="443" t="e">
        <f>#REF!+#REF!-O181</f>
        <v>#REF!</v>
      </c>
      <c r="W181" s="975" t="e">
        <f>ROUND((#REF!+#REF!+#REF!+#REF!+#REF!+#REF!+#REF!+#REF!+#REF!),2)</f>
        <v>#REF!</v>
      </c>
      <c r="AA181" s="976" t="e">
        <f>#REF!+#REF!-O181</f>
        <v>#REF!</v>
      </c>
      <c r="AB181" s="977" t="e">
        <f>#REF!</f>
        <v>#REF!</v>
      </c>
      <c r="AC181" s="976" t="e">
        <f>#REF!+#REF!</f>
        <v>#REF!</v>
      </c>
      <c r="AD181" s="977" t="e">
        <f>#REF!</f>
        <v>#REF!</v>
      </c>
      <c r="AE181" s="978">
        <v>0</v>
      </c>
      <c r="AF181" s="977" t="e">
        <f>#REF!</f>
        <v>#REF!</v>
      </c>
      <c r="AG181" s="979" t="e">
        <f>#REF!+#REF!</f>
        <v>#REF!</v>
      </c>
      <c r="AH181" s="979" t="e">
        <f>#REF!+#REF!</f>
        <v>#REF!</v>
      </c>
      <c r="AI181" s="979"/>
      <c r="AJ181" s="977" t="e">
        <f>#REF!</f>
        <v>#REF!</v>
      </c>
      <c r="AK181" s="977" t="e">
        <f t="shared" si="35"/>
        <v>#REF!</v>
      </c>
      <c r="AL181" s="977">
        <f t="shared" si="36"/>
        <v>93.14</v>
      </c>
      <c r="AM181" s="977">
        <f t="shared" si="37"/>
        <v>0</v>
      </c>
      <c r="AN181" s="634"/>
    </row>
    <row r="182" spans="1:40" s="629" customFormat="1" ht="20.100000000000001" customHeight="1">
      <c r="A182" s="771">
        <f t="shared" si="38"/>
        <v>139</v>
      </c>
      <c r="B182" s="980">
        <f>+NOMINA!C181</f>
        <v>16377628</v>
      </c>
      <c r="C182" s="981" t="str">
        <f>+NOMINA!D181</f>
        <v>Peña Nava Maria Gabriela</v>
      </c>
      <c r="D182" s="978" t="s">
        <v>4622</v>
      </c>
      <c r="E182" s="982">
        <v>32351</v>
      </c>
      <c r="F182" s="978" t="s">
        <v>4620</v>
      </c>
      <c r="G182" s="1004">
        <f>+NOMINA!H181</f>
        <v>44743</v>
      </c>
      <c r="H182" s="984">
        <f t="shared" si="39"/>
        <v>0</v>
      </c>
      <c r="I182" s="985">
        <v>0</v>
      </c>
      <c r="J182" s="999">
        <f>+NOMINA!BL181</f>
        <v>27.5</v>
      </c>
      <c r="K182" s="999">
        <f>+NOMINA!BM181</f>
        <v>3.44</v>
      </c>
      <c r="L182" s="999">
        <f>+NOMINA!BN181</f>
        <v>7.45</v>
      </c>
      <c r="M182" s="999">
        <f>++NOMINA!BO181</f>
        <v>0</v>
      </c>
      <c r="N182" s="999">
        <f>+NOMINA!BP181</f>
        <v>0</v>
      </c>
      <c r="O182" s="986">
        <f t="shared" si="40"/>
        <v>38.39</v>
      </c>
      <c r="P182" s="999">
        <f>+NOMINA!BR181</f>
        <v>61.88</v>
      </c>
      <c r="Q182" s="999">
        <f>+NOMINA!BS181</f>
        <v>13.75</v>
      </c>
      <c r="R182" s="999">
        <f>+NOMINA!BT181</f>
        <v>14.9</v>
      </c>
      <c r="S182" s="986">
        <f t="shared" si="41"/>
        <v>90.53</v>
      </c>
      <c r="T182" s="986">
        <f t="shared" si="42"/>
        <v>128.92000000000002</v>
      </c>
      <c r="U182" s="1005">
        <v>0</v>
      </c>
      <c r="V182" s="443" t="e">
        <f>#REF!+#REF!-O182</f>
        <v>#REF!</v>
      </c>
      <c r="W182" s="975" t="e">
        <f>ROUND((#REF!+#REF!+#REF!+#REF!+#REF!+#REF!+#REF!+#REF!+#REF!),2)</f>
        <v>#REF!</v>
      </c>
      <c r="AA182" s="976" t="e">
        <f>#REF!+#REF!-O182</f>
        <v>#REF!</v>
      </c>
      <c r="AB182" s="977" t="e">
        <f>#REF!</f>
        <v>#REF!</v>
      </c>
      <c r="AC182" s="976" t="e">
        <f>#REF!+#REF!</f>
        <v>#REF!</v>
      </c>
      <c r="AD182" s="977" t="e">
        <f>#REF!</f>
        <v>#REF!</v>
      </c>
      <c r="AE182" s="978">
        <v>0</v>
      </c>
      <c r="AF182" s="977" t="e">
        <f>#REF!</f>
        <v>#REF!</v>
      </c>
      <c r="AG182" s="979" t="e">
        <f>#REF!+#REF!</f>
        <v>#REF!</v>
      </c>
      <c r="AH182" s="979" t="e">
        <f>#REF!+#REF!</f>
        <v>#REF!</v>
      </c>
      <c r="AI182" s="979"/>
      <c r="AJ182" s="977" t="e">
        <f>#REF!</f>
        <v>#REF!</v>
      </c>
      <c r="AK182" s="977" t="e">
        <f t="shared" si="35"/>
        <v>#REF!</v>
      </c>
      <c r="AL182" s="977">
        <f t="shared" si="36"/>
        <v>128.92000000000002</v>
      </c>
      <c r="AM182" s="977">
        <f t="shared" si="37"/>
        <v>0</v>
      </c>
      <c r="AN182" s="634"/>
    </row>
    <row r="183" spans="1:40" s="629" customFormat="1" ht="20.100000000000001" customHeight="1">
      <c r="A183" s="771">
        <f t="shared" si="38"/>
        <v>140</v>
      </c>
      <c r="B183" s="980">
        <f>+NOMINA!C182</f>
        <v>16533566</v>
      </c>
      <c r="C183" s="981" t="str">
        <f>+NOMINA!D182</f>
        <v>Materan Gallardo Vivian Katiana</v>
      </c>
      <c r="D183" s="978" t="s">
        <v>4622</v>
      </c>
      <c r="E183" s="982">
        <v>32351</v>
      </c>
      <c r="F183" s="978" t="s">
        <v>4620</v>
      </c>
      <c r="G183" s="1004">
        <f>+NOMINA!H182</f>
        <v>44683</v>
      </c>
      <c r="H183" s="984">
        <f t="shared" si="39"/>
        <v>0</v>
      </c>
      <c r="I183" s="985">
        <v>0</v>
      </c>
      <c r="J183" s="999">
        <f>+NOMINA!BL182</f>
        <v>13.8</v>
      </c>
      <c r="K183" s="999">
        <f>+NOMINA!BM182</f>
        <v>1.73</v>
      </c>
      <c r="L183" s="999">
        <f>+NOMINA!BN182</f>
        <v>3.74</v>
      </c>
      <c r="M183" s="999">
        <f>++NOMINA!BO182</f>
        <v>0</v>
      </c>
      <c r="N183" s="999">
        <f>+NOMINA!BP182</f>
        <v>0</v>
      </c>
      <c r="O183" s="986">
        <f t="shared" si="40"/>
        <v>19.27</v>
      </c>
      <c r="P183" s="999">
        <f>+NOMINA!BR182</f>
        <v>31.06</v>
      </c>
      <c r="Q183" s="999">
        <f>+NOMINA!BS182</f>
        <v>6.9</v>
      </c>
      <c r="R183" s="999">
        <f>+NOMINA!BT182</f>
        <v>7.48</v>
      </c>
      <c r="S183" s="986">
        <f t="shared" si="41"/>
        <v>45.44</v>
      </c>
      <c r="T183" s="986">
        <f t="shared" si="42"/>
        <v>64.709999999999994</v>
      </c>
      <c r="U183" s="1005">
        <v>0</v>
      </c>
      <c r="V183" s="443" t="e">
        <f>#REF!+#REF!-O183</f>
        <v>#REF!</v>
      </c>
      <c r="W183" s="975" t="e">
        <f>ROUND((#REF!+#REF!+#REF!+#REF!+#REF!+#REF!+#REF!+#REF!+#REF!),2)</f>
        <v>#REF!</v>
      </c>
      <c r="AA183" s="976" t="e">
        <f>#REF!+#REF!-O183</f>
        <v>#REF!</v>
      </c>
      <c r="AB183" s="977" t="e">
        <f>#REF!</f>
        <v>#REF!</v>
      </c>
      <c r="AC183" s="976" t="e">
        <f>#REF!+#REF!</f>
        <v>#REF!</v>
      </c>
      <c r="AD183" s="977" t="e">
        <f>#REF!</f>
        <v>#REF!</v>
      </c>
      <c r="AE183" s="978">
        <v>0</v>
      </c>
      <c r="AF183" s="977" t="e">
        <f>#REF!</f>
        <v>#REF!</v>
      </c>
      <c r="AG183" s="979" t="e">
        <f>#REF!+#REF!</f>
        <v>#REF!</v>
      </c>
      <c r="AH183" s="979" t="e">
        <f>#REF!+#REF!</f>
        <v>#REF!</v>
      </c>
      <c r="AI183" s="979"/>
      <c r="AJ183" s="977" t="e">
        <f>#REF!</f>
        <v>#REF!</v>
      </c>
      <c r="AK183" s="977" t="e">
        <f t="shared" si="35"/>
        <v>#REF!</v>
      </c>
      <c r="AL183" s="977">
        <f t="shared" si="36"/>
        <v>64.709999999999994</v>
      </c>
      <c r="AM183" s="977">
        <f t="shared" si="37"/>
        <v>0</v>
      </c>
      <c r="AN183" s="634"/>
    </row>
    <row r="184" spans="1:40" s="629" customFormat="1" ht="20.100000000000001" customHeight="1">
      <c r="A184" s="771">
        <f t="shared" si="38"/>
        <v>141</v>
      </c>
      <c r="B184" s="980">
        <f>+NOMINA!C183</f>
        <v>16533615</v>
      </c>
      <c r="C184" s="981" t="str">
        <f>+NOMINA!D183</f>
        <v>Valero Sulbaran Urquia Del Mar</v>
      </c>
      <c r="D184" s="978" t="s">
        <v>4622</v>
      </c>
      <c r="E184" s="982">
        <v>32351</v>
      </c>
      <c r="F184" s="978" t="s">
        <v>4620</v>
      </c>
      <c r="G184" s="1004">
        <f>+NOMINA!H183</f>
        <v>45474</v>
      </c>
      <c r="H184" s="984">
        <f t="shared" si="39"/>
        <v>0</v>
      </c>
      <c r="I184" s="985">
        <v>0</v>
      </c>
      <c r="J184" s="999">
        <f>+NOMINA!BL183</f>
        <v>23.31</v>
      </c>
      <c r="K184" s="999">
        <f>+NOMINA!BM183</f>
        <v>2.91</v>
      </c>
      <c r="L184" s="999">
        <f>+NOMINA!BN183</f>
        <v>6.31</v>
      </c>
      <c r="M184" s="999">
        <f>++NOMINA!BO183</f>
        <v>0</v>
      </c>
      <c r="N184" s="999">
        <f>+NOMINA!BP183</f>
        <v>0</v>
      </c>
      <c r="O184" s="986">
        <f t="shared" si="40"/>
        <v>32.53</v>
      </c>
      <c r="P184" s="999">
        <f>+NOMINA!BR183</f>
        <v>52.45</v>
      </c>
      <c r="Q184" s="999">
        <f>+NOMINA!BS183</f>
        <v>11.66</v>
      </c>
      <c r="R184" s="999">
        <f>+NOMINA!BT183</f>
        <v>12.62</v>
      </c>
      <c r="S184" s="986">
        <f t="shared" si="41"/>
        <v>76.73</v>
      </c>
      <c r="T184" s="986">
        <f t="shared" si="42"/>
        <v>109.26</v>
      </c>
      <c r="U184" s="1005">
        <v>0</v>
      </c>
      <c r="V184" s="443" t="e">
        <f>#REF!+#REF!-O184</f>
        <v>#REF!</v>
      </c>
      <c r="W184" s="975" t="e">
        <f>ROUND((#REF!+#REF!+#REF!+#REF!+#REF!+#REF!+#REF!+#REF!+#REF!),2)</f>
        <v>#REF!</v>
      </c>
      <c r="AA184" s="976" t="e">
        <f>#REF!+#REF!-O184</f>
        <v>#REF!</v>
      </c>
      <c r="AB184" s="977" t="e">
        <f>#REF!</f>
        <v>#REF!</v>
      </c>
      <c r="AC184" s="976" t="e">
        <f>#REF!+#REF!</f>
        <v>#REF!</v>
      </c>
      <c r="AD184" s="977" t="e">
        <f>#REF!</f>
        <v>#REF!</v>
      </c>
      <c r="AE184" s="978">
        <v>0</v>
      </c>
      <c r="AF184" s="977" t="e">
        <f>#REF!</f>
        <v>#REF!</v>
      </c>
      <c r="AG184" s="979" t="e">
        <f>#REF!+#REF!</f>
        <v>#REF!</v>
      </c>
      <c r="AH184" s="979" t="e">
        <f>#REF!+#REF!</f>
        <v>#REF!</v>
      </c>
      <c r="AI184" s="979"/>
      <c r="AJ184" s="977" t="e">
        <f>#REF!</f>
        <v>#REF!</v>
      </c>
      <c r="AK184" s="977" t="e">
        <f t="shared" si="35"/>
        <v>#REF!</v>
      </c>
      <c r="AL184" s="977">
        <f t="shared" si="36"/>
        <v>109.26</v>
      </c>
      <c r="AM184" s="977">
        <f t="shared" si="37"/>
        <v>0</v>
      </c>
      <c r="AN184" s="634"/>
    </row>
    <row r="185" spans="1:40" s="629" customFormat="1" ht="20.100000000000001" customHeight="1">
      <c r="A185" s="771">
        <f t="shared" si="38"/>
        <v>142</v>
      </c>
      <c r="B185" s="980">
        <f>+NOMINA!C184</f>
        <v>16533986</v>
      </c>
      <c r="C185" s="981" t="str">
        <f>+NOMINA!D184</f>
        <v>Serrada Bustos Gladys Magaly</v>
      </c>
      <c r="D185" s="978" t="s">
        <v>4622</v>
      </c>
      <c r="E185" s="982">
        <v>32351</v>
      </c>
      <c r="F185" s="978" t="s">
        <v>4620</v>
      </c>
      <c r="G185" s="1004">
        <f>+NOMINA!H184</f>
        <v>42948</v>
      </c>
      <c r="H185" s="984">
        <f t="shared" si="39"/>
        <v>5</v>
      </c>
      <c r="I185" s="985">
        <v>0</v>
      </c>
      <c r="J185" s="999">
        <f>+NOMINA!BL184</f>
        <v>20.41</v>
      </c>
      <c r="K185" s="999">
        <f>+NOMINA!BM184</f>
        <v>2.5499999999999998</v>
      </c>
      <c r="L185" s="999">
        <f>+NOMINA!BN184</f>
        <v>5.53</v>
      </c>
      <c r="M185" s="999">
        <f>++NOMINA!BO184</f>
        <v>0</v>
      </c>
      <c r="N185" s="999">
        <f>+NOMINA!BP184</f>
        <v>0</v>
      </c>
      <c r="O185" s="986">
        <f t="shared" si="40"/>
        <v>28.49</v>
      </c>
      <c r="P185" s="999">
        <f>+NOMINA!BR184</f>
        <v>45.92</v>
      </c>
      <c r="Q185" s="999">
        <f>+NOMINA!BS184</f>
        <v>10.199999999999999</v>
      </c>
      <c r="R185" s="999">
        <f>+NOMINA!BT184</f>
        <v>11.06</v>
      </c>
      <c r="S185" s="986">
        <f t="shared" si="41"/>
        <v>67.180000000000007</v>
      </c>
      <c r="T185" s="986">
        <f t="shared" si="42"/>
        <v>95.67</v>
      </c>
      <c r="U185" s="1005">
        <v>0</v>
      </c>
      <c r="V185" s="443" t="e">
        <f>#REF!+#REF!-O185</f>
        <v>#REF!</v>
      </c>
      <c r="W185" s="975" t="e">
        <f>ROUND((#REF!+#REF!+#REF!+#REF!+#REF!+#REF!+#REF!+#REF!+#REF!),2)</f>
        <v>#REF!</v>
      </c>
      <c r="AA185" s="976" t="e">
        <f>#REF!+#REF!-O185</f>
        <v>#REF!</v>
      </c>
      <c r="AB185" s="977" t="e">
        <f>#REF!</f>
        <v>#REF!</v>
      </c>
      <c r="AC185" s="976" t="e">
        <f>#REF!+#REF!</f>
        <v>#REF!</v>
      </c>
      <c r="AD185" s="977" t="e">
        <f>#REF!</f>
        <v>#REF!</v>
      </c>
      <c r="AE185" s="978">
        <v>0</v>
      </c>
      <c r="AF185" s="977" t="e">
        <f>#REF!</f>
        <v>#REF!</v>
      </c>
      <c r="AG185" s="979" t="e">
        <f>#REF!+#REF!</f>
        <v>#REF!</v>
      </c>
      <c r="AH185" s="979" t="e">
        <f>#REF!+#REF!</f>
        <v>#REF!</v>
      </c>
      <c r="AI185" s="979"/>
      <c r="AJ185" s="977" t="e">
        <f>#REF!</f>
        <v>#REF!</v>
      </c>
      <c r="AK185" s="977" t="e">
        <f t="shared" si="35"/>
        <v>#REF!</v>
      </c>
      <c r="AL185" s="977">
        <f t="shared" si="36"/>
        <v>95.67</v>
      </c>
      <c r="AM185" s="977">
        <f t="shared" si="37"/>
        <v>0</v>
      </c>
      <c r="AN185" s="634"/>
    </row>
    <row r="186" spans="1:40" s="629" customFormat="1" ht="20.100000000000001" customHeight="1">
      <c r="A186" s="771">
        <f t="shared" si="38"/>
        <v>143</v>
      </c>
      <c r="B186" s="980">
        <f>+NOMINA!C185</f>
        <v>16739081</v>
      </c>
      <c r="C186" s="981" t="str">
        <f>+NOMINA!D185</f>
        <v>Albarran Araujo Yely Coromoto</v>
      </c>
      <c r="D186" s="978" t="s">
        <v>4622</v>
      </c>
      <c r="E186" s="982">
        <v>32351</v>
      </c>
      <c r="F186" s="978" t="s">
        <v>4620</v>
      </c>
      <c r="G186" s="1004">
        <f>+NOMINA!H185</f>
        <v>42948</v>
      </c>
      <c r="H186" s="984">
        <f t="shared" si="39"/>
        <v>5</v>
      </c>
      <c r="I186" s="985">
        <v>0</v>
      </c>
      <c r="J186" s="999">
        <f>+NOMINA!BL185</f>
        <v>0</v>
      </c>
      <c r="K186" s="999">
        <f>+NOMINA!BM185</f>
        <v>0</v>
      </c>
      <c r="L186" s="999">
        <f>+NOMINA!BN185</f>
        <v>0</v>
      </c>
      <c r="M186" s="999">
        <f>++NOMINA!BO185</f>
        <v>0</v>
      </c>
      <c r="N186" s="999">
        <f>+NOMINA!BP185</f>
        <v>0</v>
      </c>
      <c r="O186" s="986">
        <f t="shared" si="40"/>
        <v>0</v>
      </c>
      <c r="P186" s="999">
        <f>+NOMINA!BR185</f>
        <v>0</v>
      </c>
      <c r="Q186" s="999">
        <f>+NOMINA!BS185</f>
        <v>0</v>
      </c>
      <c r="R186" s="999">
        <f>+NOMINA!BT185</f>
        <v>0</v>
      </c>
      <c r="S186" s="986">
        <f t="shared" si="41"/>
        <v>0</v>
      </c>
      <c r="T186" s="986">
        <f t="shared" si="42"/>
        <v>0</v>
      </c>
      <c r="U186" s="1005">
        <v>0</v>
      </c>
      <c r="V186" s="443" t="e">
        <f>#REF!+#REF!-O186</f>
        <v>#REF!</v>
      </c>
      <c r="W186" s="975" t="e">
        <f>ROUND((#REF!+#REF!+#REF!+#REF!+#REF!+#REF!+#REF!+#REF!+#REF!),2)</f>
        <v>#REF!</v>
      </c>
      <c r="AA186" s="976" t="e">
        <f>#REF!+#REF!-O186</f>
        <v>#REF!</v>
      </c>
      <c r="AB186" s="977" t="e">
        <f>#REF!</f>
        <v>#REF!</v>
      </c>
      <c r="AC186" s="976" t="e">
        <f>#REF!+#REF!</f>
        <v>#REF!</v>
      </c>
      <c r="AD186" s="977" t="e">
        <f>#REF!</f>
        <v>#REF!</v>
      </c>
      <c r="AE186" s="978">
        <v>0</v>
      </c>
      <c r="AF186" s="977" t="e">
        <f>#REF!</f>
        <v>#REF!</v>
      </c>
      <c r="AG186" s="979" t="e">
        <f>#REF!+#REF!</f>
        <v>#REF!</v>
      </c>
      <c r="AH186" s="979" t="e">
        <f>#REF!+#REF!</f>
        <v>#REF!</v>
      </c>
      <c r="AI186" s="979"/>
      <c r="AJ186" s="977" t="e">
        <f>#REF!</f>
        <v>#REF!</v>
      </c>
      <c r="AK186" s="977" t="e">
        <f t="shared" si="35"/>
        <v>#REF!</v>
      </c>
      <c r="AL186" s="977">
        <f t="shared" si="36"/>
        <v>0</v>
      </c>
      <c r="AM186" s="977">
        <f t="shared" si="37"/>
        <v>0</v>
      </c>
      <c r="AN186" s="634"/>
    </row>
    <row r="187" spans="1:40" s="629" customFormat="1" ht="20.100000000000001" customHeight="1">
      <c r="A187" s="771">
        <f t="shared" si="38"/>
        <v>144</v>
      </c>
      <c r="B187" s="980">
        <f>+NOMINA!C186</f>
        <v>16740261</v>
      </c>
      <c r="C187" s="981" t="str">
        <f>+NOMINA!D186</f>
        <v>Rivas Briceño Nathaly Del Carmen</v>
      </c>
      <c r="D187" s="978" t="s">
        <v>4622</v>
      </c>
      <c r="E187" s="982">
        <v>32351</v>
      </c>
      <c r="F187" s="978" t="s">
        <v>4620</v>
      </c>
      <c r="G187" s="1004">
        <f>+NOMINA!H186</f>
        <v>45505</v>
      </c>
      <c r="H187" s="984">
        <f t="shared" si="39"/>
        <v>0</v>
      </c>
      <c r="I187" s="985">
        <v>0</v>
      </c>
      <c r="J187" s="999">
        <f>+NOMINA!BL186</f>
        <v>14.82</v>
      </c>
      <c r="K187" s="999">
        <f>+NOMINA!BM186</f>
        <v>1.85</v>
      </c>
      <c r="L187" s="999">
        <f>+NOMINA!BN186</f>
        <v>4.01</v>
      </c>
      <c r="M187" s="999">
        <f>++NOMINA!BO186</f>
        <v>0</v>
      </c>
      <c r="N187" s="999">
        <f>+NOMINA!BP186</f>
        <v>0</v>
      </c>
      <c r="O187" s="986">
        <f t="shared" si="40"/>
        <v>20.68</v>
      </c>
      <c r="P187" s="999">
        <f>+NOMINA!BR186</f>
        <v>33.35</v>
      </c>
      <c r="Q187" s="999">
        <f>+NOMINA!BS186</f>
        <v>7.41</v>
      </c>
      <c r="R187" s="999">
        <f>+NOMINA!BT186</f>
        <v>8.02</v>
      </c>
      <c r="S187" s="986">
        <f t="shared" si="41"/>
        <v>48.78</v>
      </c>
      <c r="T187" s="986">
        <f t="shared" si="42"/>
        <v>69.460000000000008</v>
      </c>
      <c r="U187" s="1005">
        <v>0</v>
      </c>
      <c r="V187" s="443" t="e">
        <f>#REF!+#REF!-O187</f>
        <v>#REF!</v>
      </c>
      <c r="W187" s="975" t="e">
        <f>ROUND((#REF!+#REF!+#REF!+#REF!+#REF!+#REF!+#REF!+#REF!+#REF!),2)</f>
        <v>#REF!</v>
      </c>
      <c r="AA187" s="976" t="e">
        <f>#REF!+#REF!-O187</f>
        <v>#REF!</v>
      </c>
      <c r="AB187" s="977" t="e">
        <f>#REF!</f>
        <v>#REF!</v>
      </c>
      <c r="AC187" s="976" t="e">
        <f>#REF!+#REF!</f>
        <v>#REF!</v>
      </c>
      <c r="AD187" s="977" t="e">
        <f>#REF!</f>
        <v>#REF!</v>
      </c>
      <c r="AE187" s="978">
        <v>0</v>
      </c>
      <c r="AF187" s="977" t="e">
        <f>#REF!</f>
        <v>#REF!</v>
      </c>
      <c r="AG187" s="979" t="e">
        <f>#REF!+#REF!</f>
        <v>#REF!</v>
      </c>
      <c r="AH187" s="979" t="e">
        <f>#REF!+#REF!</f>
        <v>#REF!</v>
      </c>
      <c r="AI187" s="979"/>
      <c r="AJ187" s="977" t="e">
        <f>#REF!</f>
        <v>#REF!</v>
      </c>
      <c r="AK187" s="977" t="e">
        <f t="shared" si="35"/>
        <v>#REF!</v>
      </c>
      <c r="AL187" s="977">
        <f t="shared" si="36"/>
        <v>69.460000000000008</v>
      </c>
      <c r="AM187" s="977">
        <f t="shared" si="37"/>
        <v>0</v>
      </c>
      <c r="AN187" s="634"/>
    </row>
    <row r="188" spans="1:40" s="629" customFormat="1" ht="20.100000000000001" customHeight="1">
      <c r="A188" s="771">
        <f t="shared" si="38"/>
        <v>145</v>
      </c>
      <c r="B188" s="980">
        <f>+NOMINA!C187</f>
        <v>16881384</v>
      </c>
      <c r="C188" s="981" t="str">
        <f>+NOMINA!D187</f>
        <v>Perez Ramirez Yonathan Jesus</v>
      </c>
      <c r="D188" s="978" t="s">
        <v>4622</v>
      </c>
      <c r="E188" s="982">
        <v>32351</v>
      </c>
      <c r="F188" s="978" t="s">
        <v>4620</v>
      </c>
      <c r="G188" s="1004">
        <f>+NOMINA!H187</f>
        <v>43906</v>
      </c>
      <c r="H188" s="984">
        <f t="shared" si="39"/>
        <v>2</v>
      </c>
      <c r="I188" s="985">
        <v>0</v>
      </c>
      <c r="J188" s="999">
        <f>+NOMINA!BL187</f>
        <v>22.42</v>
      </c>
      <c r="K188" s="999">
        <f>+NOMINA!BM187</f>
        <v>2.8</v>
      </c>
      <c r="L188" s="999">
        <f>+NOMINA!BN187</f>
        <v>6.07</v>
      </c>
      <c r="M188" s="999">
        <f>++NOMINA!BO187</f>
        <v>0</v>
      </c>
      <c r="N188" s="999">
        <f>+NOMINA!BP187</f>
        <v>0</v>
      </c>
      <c r="O188" s="986">
        <f t="shared" si="40"/>
        <v>31.29</v>
      </c>
      <c r="P188" s="999">
        <f>+NOMINA!BR187</f>
        <v>50.44</v>
      </c>
      <c r="Q188" s="999">
        <f>+NOMINA!BS187</f>
        <v>11.21</v>
      </c>
      <c r="R188" s="999">
        <f>+NOMINA!BT187</f>
        <v>12.14</v>
      </c>
      <c r="S188" s="986">
        <f t="shared" si="41"/>
        <v>73.790000000000006</v>
      </c>
      <c r="T188" s="986">
        <f t="shared" si="42"/>
        <v>105.08000000000001</v>
      </c>
      <c r="U188" s="1005">
        <v>0</v>
      </c>
      <c r="V188" s="443" t="e">
        <f>#REF!+#REF!-O188</f>
        <v>#REF!</v>
      </c>
      <c r="W188" s="975" t="e">
        <f>ROUND((#REF!+#REF!+#REF!+#REF!+#REF!+#REF!+#REF!+#REF!+#REF!),2)</f>
        <v>#REF!</v>
      </c>
      <c r="AA188" s="976" t="e">
        <f>#REF!+#REF!-O188</f>
        <v>#REF!</v>
      </c>
      <c r="AB188" s="977" t="e">
        <f>#REF!</f>
        <v>#REF!</v>
      </c>
      <c r="AC188" s="976" t="e">
        <f>#REF!+#REF!</f>
        <v>#REF!</v>
      </c>
      <c r="AD188" s="977" t="e">
        <f>#REF!</f>
        <v>#REF!</v>
      </c>
      <c r="AE188" s="978">
        <v>0</v>
      </c>
      <c r="AF188" s="977" t="e">
        <f>#REF!</f>
        <v>#REF!</v>
      </c>
      <c r="AG188" s="979" t="e">
        <f>#REF!+#REF!</f>
        <v>#REF!</v>
      </c>
      <c r="AH188" s="979" t="e">
        <f>#REF!+#REF!</f>
        <v>#REF!</v>
      </c>
      <c r="AI188" s="979"/>
      <c r="AJ188" s="977" t="e">
        <f>#REF!</f>
        <v>#REF!</v>
      </c>
      <c r="AK188" s="977" t="e">
        <f t="shared" si="35"/>
        <v>#REF!</v>
      </c>
      <c r="AL188" s="977">
        <f t="shared" si="36"/>
        <v>105.08000000000001</v>
      </c>
      <c r="AM188" s="977">
        <f t="shared" si="37"/>
        <v>0</v>
      </c>
      <c r="AN188" s="634"/>
    </row>
    <row r="189" spans="1:40" s="629" customFormat="1" ht="20.100000000000001" customHeight="1">
      <c r="A189" s="771">
        <f t="shared" si="38"/>
        <v>146</v>
      </c>
      <c r="B189" s="980">
        <f>+NOMINA!C188</f>
        <v>16882467</v>
      </c>
      <c r="C189" s="981" t="str">
        <f>+NOMINA!D188</f>
        <v>Mejia Araujo Sandra Coromoto</v>
      </c>
      <c r="D189" s="978" t="s">
        <v>4622</v>
      </c>
      <c r="E189" s="982">
        <v>32351</v>
      </c>
      <c r="F189" s="978" t="s">
        <v>4620</v>
      </c>
      <c r="G189" s="1004">
        <f>+NOMINA!H188</f>
        <v>42948</v>
      </c>
      <c r="H189" s="984">
        <f t="shared" si="39"/>
        <v>5</v>
      </c>
      <c r="I189" s="985">
        <v>0</v>
      </c>
      <c r="J189" s="999">
        <f>+NOMINA!BL188</f>
        <v>21.81</v>
      </c>
      <c r="K189" s="999">
        <f>+NOMINA!BM188</f>
        <v>2.73</v>
      </c>
      <c r="L189" s="999">
        <f>+NOMINA!BN188</f>
        <v>5.91</v>
      </c>
      <c r="M189" s="999">
        <f>++NOMINA!BO188</f>
        <v>0</v>
      </c>
      <c r="N189" s="999">
        <f>+NOMINA!BP188</f>
        <v>0</v>
      </c>
      <c r="O189" s="986">
        <f t="shared" si="40"/>
        <v>30.45</v>
      </c>
      <c r="P189" s="999">
        <f>+NOMINA!BR188</f>
        <v>49.07</v>
      </c>
      <c r="Q189" s="999">
        <f>+NOMINA!BS188</f>
        <v>10.9</v>
      </c>
      <c r="R189" s="999">
        <f>+NOMINA!BT188</f>
        <v>11.82</v>
      </c>
      <c r="S189" s="986">
        <f t="shared" si="41"/>
        <v>71.790000000000006</v>
      </c>
      <c r="T189" s="986">
        <f t="shared" si="42"/>
        <v>102.24000000000001</v>
      </c>
      <c r="U189" s="1005">
        <v>0</v>
      </c>
      <c r="V189" s="443" t="e">
        <f>#REF!+#REF!-O189</f>
        <v>#REF!</v>
      </c>
      <c r="W189" s="975" t="e">
        <f>ROUND((#REF!+#REF!+#REF!+#REF!+#REF!+#REF!+#REF!+#REF!+#REF!),2)</f>
        <v>#REF!</v>
      </c>
      <c r="AA189" s="976" t="e">
        <f>#REF!+#REF!-O189</f>
        <v>#REF!</v>
      </c>
      <c r="AB189" s="977" t="e">
        <f>#REF!</f>
        <v>#REF!</v>
      </c>
      <c r="AC189" s="976" t="e">
        <f>#REF!+#REF!</f>
        <v>#REF!</v>
      </c>
      <c r="AD189" s="977" t="e">
        <f>#REF!</f>
        <v>#REF!</v>
      </c>
      <c r="AE189" s="978">
        <v>0</v>
      </c>
      <c r="AF189" s="977" t="e">
        <f>#REF!</f>
        <v>#REF!</v>
      </c>
      <c r="AG189" s="979" t="e">
        <f>#REF!+#REF!</f>
        <v>#REF!</v>
      </c>
      <c r="AH189" s="979" t="e">
        <f>#REF!+#REF!</f>
        <v>#REF!</v>
      </c>
      <c r="AI189" s="979"/>
      <c r="AJ189" s="977" t="e">
        <f>#REF!</f>
        <v>#REF!</v>
      </c>
      <c r="AK189" s="977" t="e">
        <f t="shared" si="35"/>
        <v>#REF!</v>
      </c>
      <c r="AL189" s="977">
        <f t="shared" si="36"/>
        <v>102.24000000000001</v>
      </c>
      <c r="AM189" s="977">
        <f t="shared" si="37"/>
        <v>0</v>
      </c>
      <c r="AN189" s="634"/>
    </row>
    <row r="190" spans="1:40" s="629" customFormat="1" ht="20.100000000000001" customHeight="1">
      <c r="A190" s="771">
        <f t="shared" si="38"/>
        <v>147</v>
      </c>
      <c r="B190" s="980">
        <f>+NOMINA!C189</f>
        <v>16883267</v>
      </c>
      <c r="C190" s="981" t="str">
        <f>+NOMINA!D189</f>
        <v>Matheus Rondon Aida</v>
      </c>
      <c r="D190" s="978" t="s">
        <v>4622</v>
      </c>
      <c r="E190" s="982">
        <v>32351</v>
      </c>
      <c r="F190" s="978" t="s">
        <v>4620</v>
      </c>
      <c r="G190" s="1004">
        <f>+NOMINA!H189</f>
        <v>38930</v>
      </c>
      <c r="H190" s="984">
        <f t="shared" si="39"/>
        <v>16</v>
      </c>
      <c r="I190" s="985">
        <v>0</v>
      </c>
      <c r="J190" s="999">
        <f>+NOMINA!BL189</f>
        <v>18.170000000000002</v>
      </c>
      <c r="K190" s="999">
        <f>+NOMINA!BM189</f>
        <v>2.27</v>
      </c>
      <c r="L190" s="999">
        <f>+NOMINA!BN189</f>
        <v>4.92</v>
      </c>
      <c r="M190" s="999">
        <f>++NOMINA!BO189</f>
        <v>0</v>
      </c>
      <c r="N190" s="999">
        <f>+NOMINA!BP189</f>
        <v>0</v>
      </c>
      <c r="O190" s="986">
        <f t="shared" si="40"/>
        <v>25.36</v>
      </c>
      <c r="P190" s="999">
        <f>+NOMINA!BR189</f>
        <v>40.869999999999997</v>
      </c>
      <c r="Q190" s="999">
        <f>+NOMINA!BS189</f>
        <v>9.08</v>
      </c>
      <c r="R190" s="999">
        <f>+NOMINA!BT189</f>
        <v>9.84</v>
      </c>
      <c r="S190" s="986">
        <f t="shared" si="41"/>
        <v>59.79</v>
      </c>
      <c r="T190" s="986">
        <f t="shared" si="42"/>
        <v>85.15</v>
      </c>
      <c r="U190" s="1005">
        <v>0</v>
      </c>
      <c r="V190" s="443" t="e">
        <f>#REF!+#REF!-O190</f>
        <v>#REF!</v>
      </c>
      <c r="W190" s="975" t="e">
        <f>ROUND((#REF!+#REF!+#REF!+#REF!+#REF!+#REF!+#REF!+#REF!+#REF!),2)</f>
        <v>#REF!</v>
      </c>
      <c r="AA190" s="976" t="e">
        <f>#REF!+#REF!-O190</f>
        <v>#REF!</v>
      </c>
      <c r="AB190" s="977" t="e">
        <f>#REF!</f>
        <v>#REF!</v>
      </c>
      <c r="AC190" s="976" t="e">
        <f>#REF!+#REF!</f>
        <v>#REF!</v>
      </c>
      <c r="AD190" s="977" t="e">
        <f>#REF!</f>
        <v>#REF!</v>
      </c>
      <c r="AE190" s="978">
        <v>0</v>
      </c>
      <c r="AF190" s="977" t="e">
        <f>#REF!</f>
        <v>#REF!</v>
      </c>
      <c r="AG190" s="979" t="e">
        <f>#REF!+#REF!</f>
        <v>#REF!</v>
      </c>
      <c r="AH190" s="979" t="e">
        <f>#REF!+#REF!</f>
        <v>#REF!</v>
      </c>
      <c r="AI190" s="979"/>
      <c r="AJ190" s="977" t="e">
        <f>#REF!</f>
        <v>#REF!</v>
      </c>
      <c r="AK190" s="977" t="e">
        <f t="shared" si="35"/>
        <v>#REF!</v>
      </c>
      <c r="AL190" s="977">
        <f t="shared" si="36"/>
        <v>85.15</v>
      </c>
      <c r="AM190" s="977">
        <f t="shared" si="37"/>
        <v>0</v>
      </c>
      <c r="AN190" s="634"/>
    </row>
    <row r="191" spans="1:40" s="629" customFormat="1" ht="20.100000000000001" customHeight="1">
      <c r="A191" s="771">
        <f t="shared" si="38"/>
        <v>148</v>
      </c>
      <c r="B191" s="980">
        <f>+NOMINA!C190</f>
        <v>17037244</v>
      </c>
      <c r="C191" s="981" t="str">
        <f>+NOMINA!D190</f>
        <v>Bastidas Yelitza Del Carmen</v>
      </c>
      <c r="D191" s="978" t="s">
        <v>4622</v>
      </c>
      <c r="E191" s="982">
        <v>32351</v>
      </c>
      <c r="F191" s="978" t="s">
        <v>4620</v>
      </c>
      <c r="G191" s="1004">
        <f>+NOMINA!H190</f>
        <v>40087</v>
      </c>
      <c r="H191" s="984">
        <f t="shared" si="39"/>
        <v>13</v>
      </c>
      <c r="I191" s="985">
        <v>0</v>
      </c>
      <c r="J191" s="999">
        <f>+NOMINA!BL190</f>
        <v>24.29</v>
      </c>
      <c r="K191" s="999">
        <f>+NOMINA!BM190</f>
        <v>3.04</v>
      </c>
      <c r="L191" s="999">
        <f>+NOMINA!BN190</f>
        <v>6.58</v>
      </c>
      <c r="M191" s="999">
        <f>++NOMINA!BO190</f>
        <v>0</v>
      </c>
      <c r="N191" s="999">
        <f>+NOMINA!BP190</f>
        <v>0</v>
      </c>
      <c r="O191" s="986">
        <f t="shared" si="40"/>
        <v>33.909999999999997</v>
      </c>
      <c r="P191" s="999">
        <f>+NOMINA!BR190</f>
        <v>54.65</v>
      </c>
      <c r="Q191" s="999">
        <f>+NOMINA!BS190</f>
        <v>12.14</v>
      </c>
      <c r="R191" s="999">
        <f>+NOMINA!BT190</f>
        <v>13.16</v>
      </c>
      <c r="S191" s="986">
        <f t="shared" si="41"/>
        <v>79.95</v>
      </c>
      <c r="T191" s="986">
        <f t="shared" si="42"/>
        <v>113.86</v>
      </c>
      <c r="U191" s="1005">
        <v>0</v>
      </c>
      <c r="V191" s="443" t="e">
        <f>#REF!+#REF!-O191</f>
        <v>#REF!</v>
      </c>
      <c r="W191" s="975" t="e">
        <f>ROUND((#REF!+#REF!+#REF!+#REF!+#REF!+#REF!+#REF!+#REF!+#REF!),2)</f>
        <v>#REF!</v>
      </c>
      <c r="AA191" s="976" t="e">
        <f>#REF!+#REF!-O191</f>
        <v>#REF!</v>
      </c>
      <c r="AB191" s="977" t="e">
        <f>#REF!</f>
        <v>#REF!</v>
      </c>
      <c r="AC191" s="976" t="e">
        <f>#REF!+#REF!</f>
        <v>#REF!</v>
      </c>
      <c r="AD191" s="977" t="e">
        <f>#REF!</f>
        <v>#REF!</v>
      </c>
      <c r="AE191" s="978">
        <v>0</v>
      </c>
      <c r="AF191" s="977" t="e">
        <f>#REF!</f>
        <v>#REF!</v>
      </c>
      <c r="AG191" s="979" t="e">
        <f>#REF!+#REF!</f>
        <v>#REF!</v>
      </c>
      <c r="AH191" s="979" t="e">
        <f>#REF!+#REF!</f>
        <v>#REF!</v>
      </c>
      <c r="AI191" s="979"/>
      <c r="AJ191" s="977" t="e">
        <f>#REF!</f>
        <v>#REF!</v>
      </c>
      <c r="AK191" s="977" t="e">
        <f t="shared" si="35"/>
        <v>#REF!</v>
      </c>
      <c r="AL191" s="977">
        <f t="shared" si="36"/>
        <v>113.86</v>
      </c>
      <c r="AM191" s="977">
        <f t="shared" si="37"/>
        <v>0</v>
      </c>
      <c r="AN191" s="634"/>
    </row>
    <row r="192" spans="1:40" s="629" customFormat="1" ht="20.100000000000001" customHeight="1">
      <c r="A192" s="771">
        <f t="shared" si="38"/>
        <v>149</v>
      </c>
      <c r="B192" s="980">
        <f>+NOMINA!C191</f>
        <v>17094419</v>
      </c>
      <c r="C192" s="981" t="str">
        <f>+NOMINA!D191</f>
        <v>Aponte Rivera Lenismar del Valle</v>
      </c>
      <c r="D192" s="978" t="s">
        <v>4622</v>
      </c>
      <c r="E192" s="982">
        <v>32351</v>
      </c>
      <c r="F192" s="978" t="s">
        <v>4620</v>
      </c>
      <c r="G192" s="1004">
        <f>+NOMINA!H191</f>
        <v>44409</v>
      </c>
      <c r="H192" s="984">
        <f t="shared" si="39"/>
        <v>1</v>
      </c>
      <c r="I192" s="985">
        <v>0</v>
      </c>
      <c r="J192" s="999">
        <f>+NOMINA!BL191</f>
        <v>13.66</v>
      </c>
      <c r="K192" s="999">
        <f>+NOMINA!BM191</f>
        <v>1.71</v>
      </c>
      <c r="L192" s="999">
        <f>+NOMINA!BN191</f>
        <v>3.7</v>
      </c>
      <c r="M192" s="999">
        <f>++NOMINA!BO191</f>
        <v>0</v>
      </c>
      <c r="N192" s="999">
        <f>+NOMINA!BP191</f>
        <v>0</v>
      </c>
      <c r="O192" s="986">
        <f t="shared" si="40"/>
        <v>19.07</v>
      </c>
      <c r="P192" s="999">
        <f>+NOMINA!BR191</f>
        <v>30.73</v>
      </c>
      <c r="Q192" s="999">
        <f>+NOMINA!BS191</f>
        <v>6.83</v>
      </c>
      <c r="R192" s="999">
        <f>+NOMINA!BT191</f>
        <v>7.4</v>
      </c>
      <c r="S192" s="986">
        <f t="shared" si="41"/>
        <v>44.96</v>
      </c>
      <c r="T192" s="986">
        <f t="shared" si="42"/>
        <v>64.03</v>
      </c>
      <c r="U192" s="1005">
        <v>0</v>
      </c>
      <c r="V192" s="443" t="e">
        <f>#REF!+#REF!-O192</f>
        <v>#REF!</v>
      </c>
      <c r="W192" s="975" t="e">
        <f>ROUND((#REF!+#REF!+#REF!+#REF!+#REF!+#REF!+#REF!+#REF!+#REF!),2)</f>
        <v>#REF!</v>
      </c>
      <c r="AA192" s="976" t="e">
        <f>#REF!+#REF!-O192</f>
        <v>#REF!</v>
      </c>
      <c r="AB192" s="977" t="e">
        <f>#REF!</f>
        <v>#REF!</v>
      </c>
      <c r="AC192" s="976" t="e">
        <f>#REF!+#REF!</f>
        <v>#REF!</v>
      </c>
      <c r="AD192" s="977" t="e">
        <f>#REF!</f>
        <v>#REF!</v>
      </c>
      <c r="AE192" s="978">
        <v>0</v>
      </c>
      <c r="AF192" s="977" t="e">
        <f>#REF!</f>
        <v>#REF!</v>
      </c>
      <c r="AG192" s="979" t="e">
        <f>#REF!+#REF!</f>
        <v>#REF!</v>
      </c>
      <c r="AH192" s="979" t="e">
        <f>#REF!+#REF!</f>
        <v>#REF!</v>
      </c>
      <c r="AI192" s="979"/>
      <c r="AJ192" s="977" t="e">
        <f>#REF!</f>
        <v>#REF!</v>
      </c>
      <c r="AK192" s="977" t="e">
        <f t="shared" si="35"/>
        <v>#REF!</v>
      </c>
      <c r="AL192" s="977">
        <f t="shared" si="36"/>
        <v>64.03</v>
      </c>
      <c r="AM192" s="977">
        <f t="shared" si="37"/>
        <v>0</v>
      </c>
      <c r="AN192" s="634"/>
    </row>
    <row r="193" spans="1:40" s="629" customFormat="1" ht="20.100000000000001" customHeight="1">
      <c r="A193" s="771">
        <f t="shared" si="38"/>
        <v>150</v>
      </c>
      <c r="B193" s="980">
        <f>+NOMINA!C192</f>
        <v>17094426</v>
      </c>
      <c r="C193" s="981" t="str">
        <f>+NOMINA!D192</f>
        <v>Manzanilla Araujo Richard Jose</v>
      </c>
      <c r="D193" s="978" t="s">
        <v>4622</v>
      </c>
      <c r="E193" s="982">
        <v>32351</v>
      </c>
      <c r="F193" s="978" t="s">
        <v>4620</v>
      </c>
      <c r="G193" s="1004">
        <f>+NOMINA!H192</f>
        <v>43344</v>
      </c>
      <c r="H193" s="984">
        <f t="shared" si="39"/>
        <v>4</v>
      </c>
      <c r="I193" s="985">
        <v>0</v>
      </c>
      <c r="J193" s="999">
        <f>+NOMINA!BL192</f>
        <v>26.33</v>
      </c>
      <c r="K193" s="999">
        <f>+NOMINA!BM192</f>
        <v>3.29</v>
      </c>
      <c r="L193" s="999">
        <f>+NOMINA!BN192</f>
        <v>7.13</v>
      </c>
      <c r="M193" s="999">
        <f>++NOMINA!BO192</f>
        <v>0</v>
      </c>
      <c r="N193" s="999">
        <f>+NOMINA!BP192</f>
        <v>0</v>
      </c>
      <c r="O193" s="986">
        <f t="shared" si="40"/>
        <v>36.75</v>
      </c>
      <c r="P193" s="999">
        <f>+NOMINA!BR192</f>
        <v>59.24</v>
      </c>
      <c r="Q193" s="999">
        <f>+NOMINA!BS192</f>
        <v>13.16</v>
      </c>
      <c r="R193" s="999">
        <f>+NOMINA!BT192</f>
        <v>14.26</v>
      </c>
      <c r="S193" s="986">
        <f t="shared" si="41"/>
        <v>86.66</v>
      </c>
      <c r="T193" s="986">
        <f t="shared" si="42"/>
        <v>123.41</v>
      </c>
      <c r="U193" s="1005">
        <v>0</v>
      </c>
      <c r="V193" s="443" t="e">
        <f>#REF!+#REF!-O193</f>
        <v>#REF!</v>
      </c>
      <c r="W193" s="975" t="e">
        <f>ROUND((#REF!+#REF!+#REF!+#REF!+#REF!+#REF!+#REF!+#REF!+#REF!),2)</f>
        <v>#REF!</v>
      </c>
      <c r="AA193" s="976" t="e">
        <f>#REF!+#REF!-O193</f>
        <v>#REF!</v>
      </c>
      <c r="AB193" s="977" t="e">
        <f>#REF!</f>
        <v>#REF!</v>
      </c>
      <c r="AC193" s="976" t="e">
        <f>#REF!+#REF!</f>
        <v>#REF!</v>
      </c>
      <c r="AD193" s="977" t="e">
        <f>#REF!</f>
        <v>#REF!</v>
      </c>
      <c r="AE193" s="978">
        <v>0</v>
      </c>
      <c r="AF193" s="977" t="e">
        <f>#REF!</f>
        <v>#REF!</v>
      </c>
      <c r="AG193" s="979" t="e">
        <f>#REF!+#REF!</f>
        <v>#REF!</v>
      </c>
      <c r="AH193" s="979" t="e">
        <f>#REF!+#REF!</f>
        <v>#REF!</v>
      </c>
      <c r="AI193" s="979"/>
      <c r="AJ193" s="977" t="e">
        <f>#REF!</f>
        <v>#REF!</v>
      </c>
      <c r="AK193" s="977" t="e">
        <f t="shared" si="35"/>
        <v>#REF!</v>
      </c>
      <c r="AL193" s="977">
        <f t="shared" si="36"/>
        <v>123.41</v>
      </c>
      <c r="AM193" s="977">
        <f t="shared" si="37"/>
        <v>0</v>
      </c>
      <c r="AN193" s="634"/>
    </row>
    <row r="194" spans="1:40" s="629" customFormat="1" ht="20.100000000000001" customHeight="1">
      <c r="A194" s="771">
        <f t="shared" si="38"/>
        <v>151</v>
      </c>
      <c r="B194" s="980">
        <f>+NOMINA!C193</f>
        <v>17130893</v>
      </c>
      <c r="C194" s="981" t="str">
        <f>+NOMINA!D193</f>
        <v>Leon Valero Ceila Maria</v>
      </c>
      <c r="D194" s="978" t="s">
        <v>4622</v>
      </c>
      <c r="E194" s="982">
        <v>32351</v>
      </c>
      <c r="F194" s="978" t="s">
        <v>4620</v>
      </c>
      <c r="G194" s="1004">
        <f>+NOMINA!H193</f>
        <v>39602</v>
      </c>
      <c r="H194" s="984">
        <f t="shared" si="39"/>
        <v>14</v>
      </c>
      <c r="I194" s="985">
        <v>0</v>
      </c>
      <c r="J194" s="999">
        <f>+NOMINA!BL193</f>
        <v>22.89</v>
      </c>
      <c r="K194" s="999">
        <f>+NOMINA!BM193</f>
        <v>2.86</v>
      </c>
      <c r="L194" s="999">
        <f>+NOMINA!BN193</f>
        <v>6.2</v>
      </c>
      <c r="M194" s="999">
        <f>++NOMINA!BO193</f>
        <v>0</v>
      </c>
      <c r="N194" s="999">
        <f>+NOMINA!BP193</f>
        <v>0</v>
      </c>
      <c r="O194" s="986">
        <f t="shared" si="40"/>
        <v>31.95</v>
      </c>
      <c r="P194" s="999">
        <f>+NOMINA!BR193</f>
        <v>51.49</v>
      </c>
      <c r="Q194" s="999">
        <f>+NOMINA!BS193</f>
        <v>11.44</v>
      </c>
      <c r="R194" s="999">
        <f>+NOMINA!BT193</f>
        <v>12.4</v>
      </c>
      <c r="S194" s="986">
        <f t="shared" si="41"/>
        <v>75.33</v>
      </c>
      <c r="T194" s="986">
        <f t="shared" si="42"/>
        <v>107.28</v>
      </c>
      <c r="U194" s="1005">
        <v>0</v>
      </c>
      <c r="V194" s="443" t="e">
        <f>#REF!+#REF!-O194</f>
        <v>#REF!</v>
      </c>
      <c r="W194" s="975" t="e">
        <f>ROUND((#REF!+#REF!+#REF!+#REF!+#REF!+#REF!+#REF!+#REF!+#REF!),2)</f>
        <v>#REF!</v>
      </c>
      <c r="AA194" s="976" t="e">
        <f>#REF!+#REF!-O194</f>
        <v>#REF!</v>
      </c>
      <c r="AB194" s="977" t="e">
        <f>#REF!</f>
        <v>#REF!</v>
      </c>
      <c r="AC194" s="976" t="e">
        <f>#REF!+#REF!</f>
        <v>#REF!</v>
      </c>
      <c r="AD194" s="977" t="e">
        <f>#REF!</f>
        <v>#REF!</v>
      </c>
      <c r="AE194" s="978">
        <v>0</v>
      </c>
      <c r="AF194" s="977" t="e">
        <f>#REF!</f>
        <v>#REF!</v>
      </c>
      <c r="AG194" s="979" t="e">
        <f>#REF!+#REF!</f>
        <v>#REF!</v>
      </c>
      <c r="AH194" s="979" t="e">
        <f>#REF!+#REF!</f>
        <v>#REF!</v>
      </c>
      <c r="AI194" s="979"/>
      <c r="AJ194" s="977" t="e">
        <f>#REF!</f>
        <v>#REF!</v>
      </c>
      <c r="AK194" s="977" t="e">
        <f t="shared" si="35"/>
        <v>#REF!</v>
      </c>
      <c r="AL194" s="977">
        <f t="shared" si="36"/>
        <v>107.28</v>
      </c>
      <c r="AM194" s="977">
        <f t="shared" si="37"/>
        <v>0</v>
      </c>
      <c r="AN194" s="634"/>
    </row>
    <row r="195" spans="1:40" s="629" customFormat="1" ht="20.100000000000001" customHeight="1">
      <c r="A195" s="771">
        <f t="shared" si="38"/>
        <v>152</v>
      </c>
      <c r="B195" s="980">
        <f>+NOMINA!C194</f>
        <v>17265093</v>
      </c>
      <c r="C195" s="981" t="str">
        <f>+NOMINA!D194</f>
        <v>Vielma Viloria Dublasca del Valle</v>
      </c>
      <c r="D195" s="978" t="s">
        <v>4622</v>
      </c>
      <c r="E195" s="982">
        <v>32351</v>
      </c>
      <c r="F195" s="978" t="s">
        <v>4620</v>
      </c>
      <c r="G195" s="1004">
        <f>+NOMINA!H194</f>
        <v>45323</v>
      </c>
      <c r="H195" s="984">
        <f t="shared" si="39"/>
        <v>0</v>
      </c>
      <c r="I195" s="985">
        <v>0</v>
      </c>
      <c r="J195" s="999">
        <f>+NOMINA!BL194</f>
        <v>22.46</v>
      </c>
      <c r="K195" s="999">
        <f>+NOMINA!BM194</f>
        <v>2.81</v>
      </c>
      <c r="L195" s="999">
        <f>+NOMINA!BN194</f>
        <v>6.08</v>
      </c>
      <c r="M195" s="999">
        <f>++NOMINA!BO194</f>
        <v>0</v>
      </c>
      <c r="N195" s="999">
        <f>+NOMINA!BP194</f>
        <v>0</v>
      </c>
      <c r="O195" s="986">
        <f t="shared" si="40"/>
        <v>31.35</v>
      </c>
      <c r="P195" s="999">
        <f>+NOMINA!BR194</f>
        <v>50.53</v>
      </c>
      <c r="Q195" s="999">
        <f>+NOMINA!BS194</f>
        <v>11.23</v>
      </c>
      <c r="R195" s="999">
        <f>+NOMINA!BT194</f>
        <v>12.16</v>
      </c>
      <c r="S195" s="986">
        <f t="shared" si="41"/>
        <v>73.92</v>
      </c>
      <c r="T195" s="986">
        <f t="shared" si="42"/>
        <v>105.27000000000001</v>
      </c>
      <c r="U195" s="1005">
        <v>0</v>
      </c>
      <c r="V195" s="443" t="e">
        <f>#REF!+#REF!-O195</f>
        <v>#REF!</v>
      </c>
      <c r="W195" s="975" t="e">
        <f>ROUND((#REF!+#REF!+#REF!+#REF!+#REF!+#REF!+#REF!+#REF!+#REF!),2)</f>
        <v>#REF!</v>
      </c>
      <c r="AA195" s="976" t="e">
        <f>#REF!+#REF!-O195</f>
        <v>#REF!</v>
      </c>
      <c r="AB195" s="977" t="e">
        <f>#REF!</f>
        <v>#REF!</v>
      </c>
      <c r="AC195" s="976" t="e">
        <f>#REF!+#REF!</f>
        <v>#REF!</v>
      </c>
      <c r="AD195" s="977" t="e">
        <f>#REF!</f>
        <v>#REF!</v>
      </c>
      <c r="AE195" s="978">
        <v>0</v>
      </c>
      <c r="AF195" s="977" t="e">
        <f>#REF!</f>
        <v>#REF!</v>
      </c>
      <c r="AG195" s="979" t="e">
        <f>#REF!+#REF!</f>
        <v>#REF!</v>
      </c>
      <c r="AH195" s="979" t="e">
        <f>#REF!+#REF!</f>
        <v>#REF!</v>
      </c>
      <c r="AI195" s="979"/>
      <c r="AJ195" s="977" t="e">
        <f>#REF!</f>
        <v>#REF!</v>
      </c>
      <c r="AK195" s="977" t="e">
        <f t="shared" si="35"/>
        <v>#REF!</v>
      </c>
      <c r="AL195" s="977">
        <f t="shared" si="36"/>
        <v>105.27000000000001</v>
      </c>
      <c r="AM195" s="977">
        <f t="shared" si="37"/>
        <v>0</v>
      </c>
      <c r="AN195" s="634"/>
    </row>
    <row r="196" spans="1:40" s="629" customFormat="1" ht="20.100000000000001" customHeight="1">
      <c r="A196" s="771">
        <f t="shared" si="38"/>
        <v>153</v>
      </c>
      <c r="B196" s="980">
        <f>+NOMINA!C195</f>
        <v>17265578</v>
      </c>
      <c r="C196" s="981" t="str">
        <f>+NOMINA!D195</f>
        <v>Briceño Aguilar Rebeca Andreina</v>
      </c>
      <c r="D196" s="978" t="s">
        <v>4622</v>
      </c>
      <c r="E196" s="982">
        <v>32351</v>
      </c>
      <c r="F196" s="978" t="s">
        <v>4620</v>
      </c>
      <c r="G196" s="1004">
        <f>+NOMINA!H195</f>
        <v>45047</v>
      </c>
      <c r="H196" s="984">
        <f t="shared" si="39"/>
        <v>0</v>
      </c>
      <c r="I196" s="985">
        <v>0</v>
      </c>
      <c r="J196" s="999">
        <f>+NOMINA!BL195</f>
        <v>16.86</v>
      </c>
      <c r="K196" s="999">
        <f>+NOMINA!BM195</f>
        <v>2.11</v>
      </c>
      <c r="L196" s="999">
        <f>+NOMINA!BN195</f>
        <v>4.57</v>
      </c>
      <c r="M196" s="999">
        <f>++NOMINA!BO195</f>
        <v>0</v>
      </c>
      <c r="N196" s="999">
        <f>+NOMINA!BP195</f>
        <v>0</v>
      </c>
      <c r="O196" s="986">
        <f t="shared" si="40"/>
        <v>23.54</v>
      </c>
      <c r="P196" s="999">
        <f>+NOMINA!BR195</f>
        <v>37.94</v>
      </c>
      <c r="Q196" s="999">
        <f>+NOMINA!BS195</f>
        <v>8.43</v>
      </c>
      <c r="R196" s="999">
        <f>+NOMINA!BT195</f>
        <v>9.14</v>
      </c>
      <c r="S196" s="986">
        <f t="shared" si="41"/>
        <v>55.51</v>
      </c>
      <c r="T196" s="986">
        <f t="shared" si="42"/>
        <v>79.05</v>
      </c>
      <c r="U196" s="1005">
        <v>0</v>
      </c>
      <c r="V196" s="443" t="e">
        <f>#REF!+#REF!-O196</f>
        <v>#REF!</v>
      </c>
      <c r="W196" s="975" t="e">
        <f>ROUND((#REF!+#REF!+#REF!+#REF!+#REF!+#REF!+#REF!+#REF!+#REF!),2)</f>
        <v>#REF!</v>
      </c>
      <c r="AA196" s="976" t="e">
        <f>#REF!+#REF!-O196</f>
        <v>#REF!</v>
      </c>
      <c r="AB196" s="977" t="e">
        <f>#REF!</f>
        <v>#REF!</v>
      </c>
      <c r="AC196" s="976" t="e">
        <f>#REF!+#REF!</f>
        <v>#REF!</v>
      </c>
      <c r="AD196" s="977" t="e">
        <f>#REF!</f>
        <v>#REF!</v>
      </c>
      <c r="AE196" s="978">
        <v>0</v>
      </c>
      <c r="AF196" s="977" t="e">
        <f>#REF!</f>
        <v>#REF!</v>
      </c>
      <c r="AG196" s="979" t="e">
        <f>#REF!+#REF!</f>
        <v>#REF!</v>
      </c>
      <c r="AH196" s="979" t="e">
        <f>#REF!+#REF!</f>
        <v>#REF!</v>
      </c>
      <c r="AI196" s="979"/>
      <c r="AJ196" s="977" t="e">
        <f>#REF!</f>
        <v>#REF!</v>
      </c>
      <c r="AK196" s="977" t="e">
        <f t="shared" si="35"/>
        <v>#REF!</v>
      </c>
      <c r="AL196" s="977">
        <f t="shared" si="36"/>
        <v>79.05</v>
      </c>
      <c r="AM196" s="977">
        <f t="shared" si="37"/>
        <v>0</v>
      </c>
      <c r="AN196" s="634"/>
    </row>
    <row r="197" spans="1:40" s="629" customFormat="1" ht="20.100000000000001" customHeight="1">
      <c r="A197" s="771">
        <f t="shared" si="38"/>
        <v>154</v>
      </c>
      <c r="B197" s="980">
        <f>+NOMINA!C196</f>
        <v>17265648</v>
      </c>
      <c r="C197" s="981" t="str">
        <f>+NOMINA!D196</f>
        <v>Carrizo Mary Alejandra</v>
      </c>
      <c r="D197" s="978" t="s">
        <v>4622</v>
      </c>
      <c r="E197" s="982">
        <v>32351</v>
      </c>
      <c r="F197" s="978" t="s">
        <v>4620</v>
      </c>
      <c r="G197" s="1004">
        <f>+NOMINA!H196</f>
        <v>43709</v>
      </c>
      <c r="H197" s="984">
        <f t="shared" si="39"/>
        <v>3</v>
      </c>
      <c r="I197" s="985">
        <v>0</v>
      </c>
      <c r="J197" s="999">
        <f>+NOMINA!BL196</f>
        <v>15</v>
      </c>
      <c r="K197" s="999">
        <f>+NOMINA!BM196</f>
        <v>1.88</v>
      </c>
      <c r="L197" s="999">
        <f>+NOMINA!BN196</f>
        <v>4.0599999999999996</v>
      </c>
      <c r="M197" s="999">
        <f>++NOMINA!BO196</f>
        <v>0</v>
      </c>
      <c r="N197" s="999">
        <f>+NOMINA!BP196</f>
        <v>0</v>
      </c>
      <c r="O197" s="986">
        <f t="shared" si="40"/>
        <v>20.94</v>
      </c>
      <c r="P197" s="999">
        <f>+NOMINA!BR196</f>
        <v>33.75</v>
      </c>
      <c r="Q197" s="999">
        <f>+NOMINA!BS196</f>
        <v>7.5</v>
      </c>
      <c r="R197" s="999">
        <f>+NOMINA!BT196</f>
        <v>8.1199999999999992</v>
      </c>
      <c r="S197" s="986">
        <f t="shared" si="41"/>
        <v>49.37</v>
      </c>
      <c r="T197" s="986">
        <f t="shared" si="42"/>
        <v>70.31</v>
      </c>
      <c r="U197" s="1005">
        <v>0</v>
      </c>
      <c r="V197" s="443" t="e">
        <f>#REF!+#REF!-O197</f>
        <v>#REF!</v>
      </c>
      <c r="W197" s="975" t="e">
        <f>ROUND((#REF!+#REF!+#REF!+#REF!+#REF!+#REF!+#REF!+#REF!+#REF!),2)</f>
        <v>#REF!</v>
      </c>
      <c r="AA197" s="976" t="e">
        <f>#REF!+#REF!-O197</f>
        <v>#REF!</v>
      </c>
      <c r="AB197" s="977" t="e">
        <f>#REF!</f>
        <v>#REF!</v>
      </c>
      <c r="AC197" s="976" t="e">
        <f>#REF!+#REF!</f>
        <v>#REF!</v>
      </c>
      <c r="AD197" s="977" t="e">
        <f>#REF!</f>
        <v>#REF!</v>
      </c>
      <c r="AE197" s="978">
        <v>0</v>
      </c>
      <c r="AF197" s="977" t="e">
        <f>#REF!</f>
        <v>#REF!</v>
      </c>
      <c r="AG197" s="979" t="e">
        <f>#REF!+#REF!</f>
        <v>#REF!</v>
      </c>
      <c r="AH197" s="979" t="e">
        <f>#REF!+#REF!</f>
        <v>#REF!</v>
      </c>
      <c r="AI197" s="979"/>
      <c r="AJ197" s="977" t="e">
        <f>#REF!</f>
        <v>#REF!</v>
      </c>
      <c r="AK197" s="977" t="e">
        <f t="shared" si="35"/>
        <v>#REF!</v>
      </c>
      <c r="AL197" s="977">
        <f t="shared" si="36"/>
        <v>70.31</v>
      </c>
      <c r="AM197" s="977">
        <f t="shared" si="37"/>
        <v>0</v>
      </c>
      <c r="AN197" s="634"/>
    </row>
    <row r="198" spans="1:40" s="629" customFormat="1" ht="20.100000000000001" customHeight="1">
      <c r="A198" s="771">
        <f t="shared" si="38"/>
        <v>155</v>
      </c>
      <c r="B198" s="980">
        <f>+NOMINA!C197</f>
        <v>17267324</v>
      </c>
      <c r="C198" s="981" t="str">
        <f>+NOMINA!D197</f>
        <v>Urdaneta Soto Katherine Esther</v>
      </c>
      <c r="D198" s="978" t="s">
        <v>4622</v>
      </c>
      <c r="E198" s="982">
        <v>32351</v>
      </c>
      <c r="F198" s="978" t="s">
        <v>4620</v>
      </c>
      <c r="G198" s="1004">
        <f>+NOMINA!H197</f>
        <v>43785</v>
      </c>
      <c r="H198" s="984">
        <f t="shared" si="39"/>
        <v>3</v>
      </c>
      <c r="I198" s="985">
        <v>0</v>
      </c>
      <c r="J198" s="999">
        <f>+NOMINA!BL197</f>
        <v>15</v>
      </c>
      <c r="K198" s="999">
        <f>+NOMINA!BM197</f>
        <v>1.88</v>
      </c>
      <c r="L198" s="999">
        <f>+NOMINA!BN197</f>
        <v>4.0599999999999996</v>
      </c>
      <c r="M198" s="999">
        <f>++NOMINA!BO197</f>
        <v>0</v>
      </c>
      <c r="N198" s="999">
        <f>+NOMINA!BP197</f>
        <v>0</v>
      </c>
      <c r="O198" s="986">
        <f t="shared" si="40"/>
        <v>20.94</v>
      </c>
      <c r="P198" s="999">
        <f>+NOMINA!BR197</f>
        <v>33.75</v>
      </c>
      <c r="Q198" s="999">
        <f>+NOMINA!BS197</f>
        <v>7.5</v>
      </c>
      <c r="R198" s="999">
        <f>+NOMINA!BT197</f>
        <v>8.1199999999999992</v>
      </c>
      <c r="S198" s="986">
        <f t="shared" si="41"/>
        <v>49.37</v>
      </c>
      <c r="T198" s="986">
        <f t="shared" si="42"/>
        <v>70.31</v>
      </c>
      <c r="U198" s="1005">
        <v>0</v>
      </c>
      <c r="V198" s="443" t="e">
        <f>#REF!+#REF!-O198</f>
        <v>#REF!</v>
      </c>
      <c r="W198" s="975" t="e">
        <f>ROUND((#REF!+#REF!+#REF!+#REF!+#REF!+#REF!+#REF!+#REF!+#REF!),2)</f>
        <v>#REF!</v>
      </c>
      <c r="AA198" s="976" t="e">
        <f>#REF!+#REF!-O198</f>
        <v>#REF!</v>
      </c>
      <c r="AB198" s="977" t="e">
        <f>#REF!</f>
        <v>#REF!</v>
      </c>
      <c r="AC198" s="976" t="e">
        <f>#REF!+#REF!</f>
        <v>#REF!</v>
      </c>
      <c r="AD198" s="977" t="e">
        <f>#REF!</f>
        <v>#REF!</v>
      </c>
      <c r="AE198" s="978">
        <v>0</v>
      </c>
      <c r="AF198" s="977" t="e">
        <f>#REF!</f>
        <v>#REF!</v>
      </c>
      <c r="AG198" s="979" t="e">
        <f>#REF!+#REF!</f>
        <v>#REF!</v>
      </c>
      <c r="AH198" s="979" t="e">
        <f>#REF!+#REF!</f>
        <v>#REF!</v>
      </c>
      <c r="AI198" s="979"/>
      <c r="AJ198" s="977" t="e">
        <f>#REF!</f>
        <v>#REF!</v>
      </c>
      <c r="AK198" s="977" t="e">
        <f t="shared" si="35"/>
        <v>#REF!</v>
      </c>
      <c r="AL198" s="977">
        <f t="shared" si="36"/>
        <v>70.31</v>
      </c>
      <c r="AM198" s="977">
        <f t="shared" si="37"/>
        <v>0</v>
      </c>
      <c r="AN198" s="634"/>
    </row>
    <row r="199" spans="1:40" s="629" customFormat="1" ht="20.100000000000001" customHeight="1">
      <c r="A199" s="771">
        <f t="shared" si="38"/>
        <v>156</v>
      </c>
      <c r="B199" s="980">
        <f>+NOMINA!C198</f>
        <v>17391316</v>
      </c>
      <c r="C199" s="981" t="str">
        <f>+NOMINA!D198</f>
        <v>Torres Aranguren Lilibeth del Valle</v>
      </c>
      <c r="D199" s="978" t="s">
        <v>4622</v>
      </c>
      <c r="E199" s="982">
        <v>32351</v>
      </c>
      <c r="F199" s="978" t="s">
        <v>4620</v>
      </c>
      <c r="G199" s="1004">
        <f>+NOMINA!H198</f>
        <v>44713</v>
      </c>
      <c r="H199" s="984">
        <f t="shared" si="39"/>
        <v>0</v>
      </c>
      <c r="I199" s="985">
        <v>0</v>
      </c>
      <c r="J199" s="999">
        <f>+NOMINA!BL198</f>
        <v>19.489999999999998</v>
      </c>
      <c r="K199" s="999">
        <f>+NOMINA!BM198</f>
        <v>2.44</v>
      </c>
      <c r="L199" s="999">
        <f>+NOMINA!BN198</f>
        <v>5.28</v>
      </c>
      <c r="M199" s="999">
        <f>++NOMINA!BO198</f>
        <v>0</v>
      </c>
      <c r="N199" s="999">
        <f>+NOMINA!BP198</f>
        <v>0</v>
      </c>
      <c r="O199" s="986">
        <f t="shared" si="40"/>
        <v>27.21</v>
      </c>
      <c r="P199" s="999">
        <f>+NOMINA!BR198</f>
        <v>43.85</v>
      </c>
      <c r="Q199" s="999">
        <f>+NOMINA!BS198</f>
        <v>9.74</v>
      </c>
      <c r="R199" s="999">
        <f>+NOMINA!BT198</f>
        <v>10.56</v>
      </c>
      <c r="S199" s="986">
        <f t="shared" si="41"/>
        <v>64.150000000000006</v>
      </c>
      <c r="T199" s="986">
        <f t="shared" si="42"/>
        <v>91.360000000000014</v>
      </c>
      <c r="U199" s="1005">
        <v>0</v>
      </c>
      <c r="V199" s="443" t="e">
        <f>#REF!+#REF!-O199</f>
        <v>#REF!</v>
      </c>
      <c r="W199" s="975" t="e">
        <f>ROUND((#REF!+#REF!+#REF!+#REF!+#REF!+#REF!+#REF!+#REF!+#REF!),2)</f>
        <v>#REF!</v>
      </c>
      <c r="AA199" s="976" t="e">
        <f>#REF!+#REF!-O199</f>
        <v>#REF!</v>
      </c>
      <c r="AB199" s="977" t="e">
        <f>#REF!</f>
        <v>#REF!</v>
      </c>
      <c r="AC199" s="976" t="e">
        <f>#REF!+#REF!</f>
        <v>#REF!</v>
      </c>
      <c r="AD199" s="977" t="e">
        <f>#REF!</f>
        <v>#REF!</v>
      </c>
      <c r="AE199" s="978">
        <v>0</v>
      </c>
      <c r="AF199" s="977" t="e">
        <f>#REF!</f>
        <v>#REF!</v>
      </c>
      <c r="AG199" s="979" t="e">
        <f>#REF!+#REF!</f>
        <v>#REF!</v>
      </c>
      <c r="AH199" s="979" t="e">
        <f>#REF!+#REF!</f>
        <v>#REF!</v>
      </c>
      <c r="AI199" s="979"/>
      <c r="AJ199" s="977" t="e">
        <f>#REF!</f>
        <v>#REF!</v>
      </c>
      <c r="AK199" s="977" t="e">
        <f t="shared" si="35"/>
        <v>#REF!</v>
      </c>
      <c r="AL199" s="977">
        <f t="shared" si="36"/>
        <v>91.360000000000014</v>
      </c>
      <c r="AM199" s="977">
        <f t="shared" si="37"/>
        <v>0</v>
      </c>
      <c r="AN199" s="634"/>
    </row>
    <row r="200" spans="1:40" s="629" customFormat="1" ht="20.100000000000001" customHeight="1">
      <c r="A200" s="771">
        <f t="shared" si="38"/>
        <v>157</v>
      </c>
      <c r="B200" s="980">
        <f>+NOMINA!C199</f>
        <v>17391892</v>
      </c>
      <c r="C200" s="981" t="str">
        <f>+NOMINA!D199</f>
        <v>Godoy Padilla Darcy Yaneth</v>
      </c>
      <c r="D200" s="978" t="s">
        <v>4622</v>
      </c>
      <c r="E200" s="982">
        <v>32351</v>
      </c>
      <c r="F200" s="978" t="s">
        <v>4620</v>
      </c>
      <c r="G200" s="1004">
        <f>+NOMINA!H199</f>
        <v>45323</v>
      </c>
      <c r="H200" s="984">
        <f t="shared" si="39"/>
        <v>0</v>
      </c>
      <c r="I200" s="985">
        <v>0</v>
      </c>
      <c r="J200" s="999">
        <f>+NOMINA!BL199</f>
        <v>18.73</v>
      </c>
      <c r="K200" s="999">
        <f>+NOMINA!BM199</f>
        <v>2.34</v>
      </c>
      <c r="L200" s="999">
        <f>+NOMINA!BN199</f>
        <v>5.07</v>
      </c>
      <c r="M200" s="999">
        <f>++NOMINA!BO199</f>
        <v>0</v>
      </c>
      <c r="N200" s="999">
        <f>+NOMINA!BP199</f>
        <v>0</v>
      </c>
      <c r="O200" s="986">
        <f t="shared" si="40"/>
        <v>26.14</v>
      </c>
      <c r="P200" s="999">
        <f>+NOMINA!BR199</f>
        <v>42.15</v>
      </c>
      <c r="Q200" s="999">
        <f>+NOMINA!BS199</f>
        <v>9.3699999999999992</v>
      </c>
      <c r="R200" s="999">
        <f>+NOMINA!BT199</f>
        <v>10.14</v>
      </c>
      <c r="S200" s="986">
        <f t="shared" si="41"/>
        <v>61.66</v>
      </c>
      <c r="T200" s="986">
        <f t="shared" si="42"/>
        <v>87.8</v>
      </c>
      <c r="U200" s="1005">
        <v>0</v>
      </c>
      <c r="V200" s="443" t="e">
        <f>#REF!+#REF!-O200</f>
        <v>#REF!</v>
      </c>
      <c r="W200" s="975" t="e">
        <f>ROUND((#REF!+#REF!+#REF!+#REF!+#REF!+#REF!+#REF!+#REF!+#REF!),2)</f>
        <v>#REF!</v>
      </c>
      <c r="AA200" s="976" t="e">
        <f>#REF!+#REF!-O200</f>
        <v>#REF!</v>
      </c>
      <c r="AB200" s="977" t="e">
        <f>#REF!</f>
        <v>#REF!</v>
      </c>
      <c r="AC200" s="976" t="e">
        <f>#REF!+#REF!</f>
        <v>#REF!</v>
      </c>
      <c r="AD200" s="977" t="e">
        <f>#REF!</f>
        <v>#REF!</v>
      </c>
      <c r="AE200" s="978">
        <v>0</v>
      </c>
      <c r="AF200" s="977" t="e">
        <f>#REF!</f>
        <v>#REF!</v>
      </c>
      <c r="AG200" s="979" t="e">
        <f>#REF!+#REF!</f>
        <v>#REF!</v>
      </c>
      <c r="AH200" s="979" t="e">
        <f>#REF!+#REF!</f>
        <v>#REF!</v>
      </c>
      <c r="AI200" s="979"/>
      <c r="AJ200" s="977" t="e">
        <f>#REF!</f>
        <v>#REF!</v>
      </c>
      <c r="AK200" s="977" t="e">
        <f t="shared" si="35"/>
        <v>#REF!</v>
      </c>
      <c r="AL200" s="977">
        <f t="shared" si="36"/>
        <v>87.8</v>
      </c>
      <c r="AM200" s="977">
        <f t="shared" si="37"/>
        <v>0</v>
      </c>
      <c r="AN200" s="634"/>
    </row>
    <row r="201" spans="1:40" s="629" customFormat="1" ht="20.100000000000001" customHeight="1">
      <c r="A201" s="771">
        <f t="shared" si="38"/>
        <v>158</v>
      </c>
      <c r="B201" s="980">
        <f>+NOMINA!C200</f>
        <v>17392309</v>
      </c>
      <c r="C201" s="981" t="str">
        <f>+NOMINA!D200</f>
        <v>Torres Briceño Yarelis Del Carmen</v>
      </c>
      <c r="D201" s="978" t="s">
        <v>4622</v>
      </c>
      <c r="E201" s="982">
        <v>32351</v>
      </c>
      <c r="F201" s="978" t="s">
        <v>4620</v>
      </c>
      <c r="G201" s="1004">
        <f>+NOMINA!H200</f>
        <v>43116</v>
      </c>
      <c r="H201" s="984">
        <f t="shared" si="39"/>
        <v>4</v>
      </c>
      <c r="I201" s="985">
        <v>0</v>
      </c>
      <c r="J201" s="999">
        <f>+NOMINA!BL200</f>
        <v>20.98</v>
      </c>
      <c r="K201" s="999">
        <f>+NOMINA!BM200</f>
        <v>2.62</v>
      </c>
      <c r="L201" s="999">
        <f>+NOMINA!BN200</f>
        <v>5.68</v>
      </c>
      <c r="M201" s="999">
        <f>++NOMINA!BO200</f>
        <v>0</v>
      </c>
      <c r="N201" s="999">
        <f>+NOMINA!BP200</f>
        <v>0</v>
      </c>
      <c r="O201" s="986">
        <f t="shared" si="40"/>
        <v>29.28</v>
      </c>
      <c r="P201" s="999">
        <f>+NOMINA!BR200</f>
        <v>47.21</v>
      </c>
      <c r="Q201" s="999">
        <f>+NOMINA!BS200</f>
        <v>10.49</v>
      </c>
      <c r="R201" s="999">
        <f>+NOMINA!BT200</f>
        <v>11.36</v>
      </c>
      <c r="S201" s="986">
        <f t="shared" si="41"/>
        <v>69.06</v>
      </c>
      <c r="T201" s="986">
        <f t="shared" si="42"/>
        <v>98.34</v>
      </c>
      <c r="U201" s="1005">
        <v>0</v>
      </c>
      <c r="V201" s="443" t="e">
        <f>#REF!+#REF!-O201</f>
        <v>#REF!</v>
      </c>
      <c r="W201" s="975" t="e">
        <f>ROUND((#REF!+#REF!+#REF!+#REF!+#REF!+#REF!+#REF!+#REF!+#REF!),2)</f>
        <v>#REF!</v>
      </c>
      <c r="AA201" s="976" t="e">
        <f>#REF!+#REF!-O201</f>
        <v>#REF!</v>
      </c>
      <c r="AB201" s="977" t="e">
        <f>#REF!</f>
        <v>#REF!</v>
      </c>
      <c r="AC201" s="976" t="e">
        <f>#REF!+#REF!</f>
        <v>#REF!</v>
      </c>
      <c r="AD201" s="977" t="e">
        <f>#REF!</f>
        <v>#REF!</v>
      </c>
      <c r="AE201" s="978">
        <v>0</v>
      </c>
      <c r="AF201" s="977" t="e">
        <f>#REF!</f>
        <v>#REF!</v>
      </c>
      <c r="AG201" s="979" t="e">
        <f>#REF!+#REF!</f>
        <v>#REF!</v>
      </c>
      <c r="AH201" s="979" t="e">
        <f>#REF!+#REF!</f>
        <v>#REF!</v>
      </c>
      <c r="AI201" s="979"/>
      <c r="AJ201" s="977" t="e">
        <f>#REF!</f>
        <v>#REF!</v>
      </c>
      <c r="AK201" s="977" t="e">
        <f t="shared" si="35"/>
        <v>#REF!</v>
      </c>
      <c r="AL201" s="977">
        <f t="shared" si="36"/>
        <v>98.34</v>
      </c>
      <c r="AM201" s="977">
        <f t="shared" si="37"/>
        <v>0</v>
      </c>
      <c r="AN201" s="634"/>
    </row>
    <row r="202" spans="1:40" s="629" customFormat="1" ht="20.100000000000001" customHeight="1">
      <c r="A202" s="771">
        <f t="shared" si="38"/>
        <v>159</v>
      </c>
      <c r="B202" s="980">
        <f>+NOMINA!C201</f>
        <v>17393693</v>
      </c>
      <c r="C202" s="981" t="str">
        <f>+NOMINA!D201</f>
        <v>Nuñez Maria Gusmara</v>
      </c>
      <c r="D202" s="978" t="s">
        <v>4622</v>
      </c>
      <c r="E202" s="982">
        <v>32351</v>
      </c>
      <c r="F202" s="978" t="s">
        <v>4620</v>
      </c>
      <c r="G202" s="1004">
        <f>+NOMINA!H201</f>
        <v>44516</v>
      </c>
      <c r="H202" s="984">
        <f t="shared" si="39"/>
        <v>1</v>
      </c>
      <c r="I202" s="985">
        <v>0</v>
      </c>
      <c r="J202" s="999">
        <f>+NOMINA!BL201</f>
        <v>11.43</v>
      </c>
      <c r="K202" s="999">
        <f>+NOMINA!BM201</f>
        <v>1.43</v>
      </c>
      <c r="L202" s="999">
        <f>+NOMINA!BN201</f>
        <v>3.1</v>
      </c>
      <c r="M202" s="999">
        <f>++NOMINA!BO201</f>
        <v>0</v>
      </c>
      <c r="N202" s="999">
        <f>+NOMINA!BP201</f>
        <v>0</v>
      </c>
      <c r="O202" s="986">
        <f t="shared" si="40"/>
        <v>15.96</v>
      </c>
      <c r="P202" s="999">
        <f>+NOMINA!BR201</f>
        <v>25.71</v>
      </c>
      <c r="Q202" s="999">
        <f>+NOMINA!BS201</f>
        <v>5.71</v>
      </c>
      <c r="R202" s="999">
        <f>+NOMINA!BT201</f>
        <v>6.2</v>
      </c>
      <c r="S202" s="986">
        <f t="shared" si="41"/>
        <v>37.619999999999997</v>
      </c>
      <c r="T202" s="986">
        <f t="shared" si="42"/>
        <v>53.58</v>
      </c>
      <c r="U202" s="1005">
        <v>0</v>
      </c>
      <c r="V202" s="443" t="e">
        <f>#REF!+#REF!-O202</f>
        <v>#REF!</v>
      </c>
      <c r="W202" s="975" t="e">
        <f>ROUND((#REF!+#REF!+#REF!+#REF!+#REF!+#REF!+#REF!+#REF!+#REF!),2)</f>
        <v>#REF!</v>
      </c>
      <c r="AA202" s="976" t="e">
        <f>#REF!+#REF!-O202</f>
        <v>#REF!</v>
      </c>
      <c r="AB202" s="977" t="e">
        <f>#REF!</f>
        <v>#REF!</v>
      </c>
      <c r="AC202" s="976" t="e">
        <f>#REF!+#REF!</f>
        <v>#REF!</v>
      </c>
      <c r="AD202" s="977" t="e">
        <f>#REF!</f>
        <v>#REF!</v>
      </c>
      <c r="AE202" s="978">
        <v>0</v>
      </c>
      <c r="AF202" s="977" t="e">
        <f>#REF!</f>
        <v>#REF!</v>
      </c>
      <c r="AG202" s="979" t="e">
        <f>#REF!+#REF!</f>
        <v>#REF!</v>
      </c>
      <c r="AH202" s="979" t="e">
        <f>#REF!+#REF!</f>
        <v>#REF!</v>
      </c>
      <c r="AI202" s="979"/>
      <c r="AJ202" s="977" t="e">
        <f>#REF!</f>
        <v>#REF!</v>
      </c>
      <c r="AK202" s="977" t="e">
        <f t="shared" si="35"/>
        <v>#REF!</v>
      </c>
      <c r="AL202" s="977">
        <f t="shared" si="36"/>
        <v>53.58</v>
      </c>
      <c r="AM202" s="977">
        <f t="shared" si="37"/>
        <v>0</v>
      </c>
      <c r="AN202" s="634"/>
    </row>
    <row r="203" spans="1:40" s="629" customFormat="1" ht="20.100000000000001" customHeight="1">
      <c r="A203" s="771">
        <f t="shared" si="38"/>
        <v>160</v>
      </c>
      <c r="B203" s="980">
        <f>+NOMINA!C202</f>
        <v>17596844</v>
      </c>
      <c r="C203" s="981" t="str">
        <f>+NOMINA!D202</f>
        <v>Colmenares Jorge Luis</v>
      </c>
      <c r="D203" s="978" t="s">
        <v>4622</v>
      </c>
      <c r="E203" s="982">
        <v>32351</v>
      </c>
      <c r="F203" s="978" t="s">
        <v>4620</v>
      </c>
      <c r="G203" s="1004">
        <f>+NOMINA!H202</f>
        <v>45474</v>
      </c>
      <c r="H203" s="984">
        <f t="shared" si="39"/>
        <v>0</v>
      </c>
      <c r="I203" s="985">
        <v>0</v>
      </c>
      <c r="J203" s="999">
        <f>+NOMINA!BL202</f>
        <v>19.989999999999998</v>
      </c>
      <c r="K203" s="999">
        <f>+NOMINA!BM202</f>
        <v>2.5</v>
      </c>
      <c r="L203" s="999">
        <f>+NOMINA!BN202</f>
        <v>5.41</v>
      </c>
      <c r="M203" s="999">
        <f>++NOMINA!BO202</f>
        <v>0</v>
      </c>
      <c r="N203" s="999">
        <f>+NOMINA!BP202</f>
        <v>0</v>
      </c>
      <c r="O203" s="986">
        <f t="shared" si="40"/>
        <v>27.9</v>
      </c>
      <c r="P203" s="999">
        <f>+NOMINA!BR202</f>
        <v>44.97</v>
      </c>
      <c r="Q203" s="999">
        <f>+NOMINA!BS202</f>
        <v>9.99</v>
      </c>
      <c r="R203" s="999">
        <f>+NOMINA!BT202</f>
        <v>10.82</v>
      </c>
      <c r="S203" s="986">
        <f t="shared" si="41"/>
        <v>65.78</v>
      </c>
      <c r="T203" s="986">
        <f t="shared" si="42"/>
        <v>93.68</v>
      </c>
      <c r="U203" s="1005">
        <v>0</v>
      </c>
      <c r="V203" s="443" t="e">
        <f>#REF!+#REF!-O203</f>
        <v>#REF!</v>
      </c>
      <c r="W203" s="975" t="e">
        <f>ROUND((#REF!+#REF!+#REF!+#REF!+#REF!+#REF!+#REF!+#REF!+#REF!),2)</f>
        <v>#REF!</v>
      </c>
      <c r="AA203" s="976" t="e">
        <f>#REF!+#REF!-O203</f>
        <v>#REF!</v>
      </c>
      <c r="AB203" s="977" t="e">
        <f>#REF!</f>
        <v>#REF!</v>
      </c>
      <c r="AC203" s="976" t="e">
        <f>#REF!+#REF!</f>
        <v>#REF!</v>
      </c>
      <c r="AD203" s="977" t="e">
        <f>#REF!</f>
        <v>#REF!</v>
      </c>
      <c r="AE203" s="978">
        <v>0</v>
      </c>
      <c r="AF203" s="977" t="e">
        <f>#REF!</f>
        <v>#REF!</v>
      </c>
      <c r="AG203" s="979" t="e">
        <f>#REF!+#REF!</f>
        <v>#REF!</v>
      </c>
      <c r="AH203" s="979" t="e">
        <f>#REF!+#REF!</f>
        <v>#REF!</v>
      </c>
      <c r="AI203" s="979"/>
      <c r="AJ203" s="977" t="e">
        <f>#REF!</f>
        <v>#REF!</v>
      </c>
      <c r="AK203" s="977" t="e">
        <f t="shared" si="35"/>
        <v>#REF!</v>
      </c>
      <c r="AL203" s="977">
        <f t="shared" si="36"/>
        <v>93.68</v>
      </c>
      <c r="AM203" s="977">
        <f t="shared" si="37"/>
        <v>0</v>
      </c>
      <c r="AN203" s="634"/>
    </row>
    <row r="204" spans="1:40" s="629" customFormat="1" ht="20.100000000000001" customHeight="1">
      <c r="A204" s="771">
        <f t="shared" si="38"/>
        <v>161</v>
      </c>
      <c r="B204" s="980">
        <f>+NOMINA!C203</f>
        <v>17597257</v>
      </c>
      <c r="C204" s="981" t="str">
        <f>+NOMINA!D203</f>
        <v>Linares Barreto Jorge Luis</v>
      </c>
      <c r="D204" s="978" t="s">
        <v>4622</v>
      </c>
      <c r="E204" s="982">
        <v>32351</v>
      </c>
      <c r="F204" s="978" t="s">
        <v>4620</v>
      </c>
      <c r="G204" s="1004">
        <f>+NOMINA!H203</f>
        <v>45536</v>
      </c>
      <c r="H204" s="984">
        <f t="shared" si="39"/>
        <v>0</v>
      </c>
      <c r="I204" s="985">
        <v>0</v>
      </c>
      <c r="J204" s="999">
        <f>+NOMINA!BL203</f>
        <v>18.55</v>
      </c>
      <c r="K204" s="999">
        <f>+NOMINA!BM203</f>
        <v>2.3199999999999998</v>
      </c>
      <c r="L204" s="999">
        <f>+NOMINA!BN203</f>
        <v>5.0199999999999996</v>
      </c>
      <c r="M204" s="999">
        <f>++NOMINA!BO203</f>
        <v>0</v>
      </c>
      <c r="N204" s="999">
        <f>+NOMINA!BP203</f>
        <v>0</v>
      </c>
      <c r="O204" s="986">
        <f t="shared" si="40"/>
        <v>25.89</v>
      </c>
      <c r="P204" s="999">
        <f>+NOMINA!BR203</f>
        <v>41.73</v>
      </c>
      <c r="Q204" s="999">
        <f>+NOMINA!BS203</f>
        <v>9.27</v>
      </c>
      <c r="R204" s="999">
        <f>+NOMINA!BT203</f>
        <v>10.039999999999999</v>
      </c>
      <c r="S204" s="986">
        <f t="shared" si="41"/>
        <v>61.04</v>
      </c>
      <c r="T204" s="986">
        <f t="shared" si="42"/>
        <v>86.93</v>
      </c>
      <c r="U204" s="1005">
        <v>0</v>
      </c>
      <c r="V204" s="443" t="e">
        <f>#REF!+#REF!-O204</f>
        <v>#REF!</v>
      </c>
      <c r="W204" s="975" t="e">
        <f>ROUND((#REF!+#REF!+#REF!+#REF!+#REF!+#REF!+#REF!+#REF!+#REF!),2)</f>
        <v>#REF!</v>
      </c>
      <c r="AA204" s="976" t="e">
        <f>#REF!+#REF!-O204</f>
        <v>#REF!</v>
      </c>
      <c r="AB204" s="977" t="e">
        <f>#REF!</f>
        <v>#REF!</v>
      </c>
      <c r="AC204" s="976" t="e">
        <f>#REF!+#REF!</f>
        <v>#REF!</v>
      </c>
      <c r="AD204" s="977" t="e">
        <f>#REF!</f>
        <v>#REF!</v>
      </c>
      <c r="AE204" s="978">
        <v>0</v>
      </c>
      <c r="AF204" s="977" t="e">
        <f>#REF!</f>
        <v>#REF!</v>
      </c>
      <c r="AG204" s="979" t="e">
        <f>#REF!+#REF!</f>
        <v>#REF!</v>
      </c>
      <c r="AH204" s="979" t="e">
        <f>#REF!+#REF!</f>
        <v>#REF!</v>
      </c>
      <c r="AI204" s="979"/>
      <c r="AJ204" s="977" t="e">
        <f>#REF!</f>
        <v>#REF!</v>
      </c>
      <c r="AK204" s="977" t="e">
        <f t="shared" si="35"/>
        <v>#REF!</v>
      </c>
      <c r="AL204" s="977">
        <f t="shared" si="36"/>
        <v>86.93</v>
      </c>
      <c r="AM204" s="977">
        <f t="shared" si="37"/>
        <v>0</v>
      </c>
      <c r="AN204" s="634"/>
    </row>
    <row r="205" spans="1:40" s="629" customFormat="1" ht="20.100000000000001" customHeight="1">
      <c r="A205" s="771">
        <f t="shared" si="38"/>
        <v>162</v>
      </c>
      <c r="B205" s="980">
        <f>+NOMINA!C204</f>
        <v>17597285</v>
      </c>
      <c r="C205" s="981" t="str">
        <f>+NOMINA!D204</f>
        <v>Duarte Portillo Dani Vicente</v>
      </c>
      <c r="D205" s="978" t="s">
        <v>4622</v>
      </c>
      <c r="E205" s="982">
        <v>32351</v>
      </c>
      <c r="F205" s="978" t="s">
        <v>4620</v>
      </c>
      <c r="G205" s="1004">
        <f>+NOMINA!H204</f>
        <v>42782</v>
      </c>
      <c r="H205" s="984">
        <f t="shared" si="39"/>
        <v>5</v>
      </c>
      <c r="I205" s="985">
        <v>0</v>
      </c>
      <c r="J205" s="999">
        <f>+NOMINA!BL204</f>
        <v>16.28</v>
      </c>
      <c r="K205" s="999">
        <f>+NOMINA!BM204</f>
        <v>2.0299999999999998</v>
      </c>
      <c r="L205" s="999">
        <f>+NOMINA!BN204</f>
        <v>4.41</v>
      </c>
      <c r="M205" s="999">
        <f>++NOMINA!BO204</f>
        <v>0</v>
      </c>
      <c r="N205" s="999">
        <f>+NOMINA!BP204</f>
        <v>0</v>
      </c>
      <c r="O205" s="986">
        <f t="shared" si="40"/>
        <v>22.72</v>
      </c>
      <c r="P205" s="999">
        <f>+NOMINA!BR204</f>
        <v>36.619999999999997</v>
      </c>
      <c r="Q205" s="999">
        <f>+NOMINA!BS204</f>
        <v>8.14</v>
      </c>
      <c r="R205" s="999">
        <f>+NOMINA!BT204</f>
        <v>8.82</v>
      </c>
      <c r="S205" s="986">
        <f t="shared" si="41"/>
        <v>53.58</v>
      </c>
      <c r="T205" s="986">
        <f t="shared" si="42"/>
        <v>76.3</v>
      </c>
      <c r="U205" s="1005">
        <v>0</v>
      </c>
      <c r="V205" s="443" t="e">
        <f>#REF!+#REF!-O205</f>
        <v>#REF!</v>
      </c>
      <c r="W205" s="975" t="e">
        <f>ROUND((#REF!+#REF!+#REF!+#REF!+#REF!+#REF!+#REF!+#REF!+#REF!),2)</f>
        <v>#REF!</v>
      </c>
      <c r="AA205" s="976" t="e">
        <f>#REF!+#REF!-O205</f>
        <v>#REF!</v>
      </c>
      <c r="AB205" s="977" t="e">
        <f>#REF!</f>
        <v>#REF!</v>
      </c>
      <c r="AC205" s="976" t="e">
        <f>#REF!+#REF!</f>
        <v>#REF!</v>
      </c>
      <c r="AD205" s="977" t="e">
        <f>#REF!</f>
        <v>#REF!</v>
      </c>
      <c r="AE205" s="978">
        <v>0</v>
      </c>
      <c r="AF205" s="977" t="e">
        <f>#REF!</f>
        <v>#REF!</v>
      </c>
      <c r="AG205" s="979" t="e">
        <f>#REF!+#REF!</f>
        <v>#REF!</v>
      </c>
      <c r="AH205" s="979" t="e">
        <f>#REF!+#REF!</f>
        <v>#REF!</v>
      </c>
      <c r="AI205" s="979"/>
      <c r="AJ205" s="977" t="e">
        <f>#REF!</f>
        <v>#REF!</v>
      </c>
      <c r="AK205" s="977" t="e">
        <f t="shared" si="35"/>
        <v>#REF!</v>
      </c>
      <c r="AL205" s="977">
        <f t="shared" si="36"/>
        <v>76.3</v>
      </c>
      <c r="AM205" s="977">
        <f t="shared" si="37"/>
        <v>0</v>
      </c>
      <c r="AN205" s="634"/>
    </row>
    <row r="206" spans="1:40" s="629" customFormat="1" ht="20.100000000000001" customHeight="1">
      <c r="A206" s="771">
        <f t="shared" si="38"/>
        <v>163</v>
      </c>
      <c r="B206" s="980">
        <f>+NOMINA!C205</f>
        <v>17604568</v>
      </c>
      <c r="C206" s="981" t="str">
        <f>+NOMINA!D205</f>
        <v>Rivera Gil Christian Rafael</v>
      </c>
      <c r="D206" s="978" t="s">
        <v>4622</v>
      </c>
      <c r="E206" s="982">
        <v>32351</v>
      </c>
      <c r="F206" s="978" t="s">
        <v>4620</v>
      </c>
      <c r="G206" s="1004">
        <f>+NOMINA!H205</f>
        <v>43831</v>
      </c>
      <c r="H206" s="984">
        <f t="shared" si="39"/>
        <v>2</v>
      </c>
      <c r="I206" s="985">
        <v>0</v>
      </c>
      <c r="J206" s="999">
        <f>+NOMINA!BL205</f>
        <v>17.059999999999999</v>
      </c>
      <c r="K206" s="999">
        <f>+NOMINA!BM205</f>
        <v>2.13</v>
      </c>
      <c r="L206" s="999">
        <f>+NOMINA!BN205</f>
        <v>4.62</v>
      </c>
      <c r="M206" s="999">
        <f>++NOMINA!BO205</f>
        <v>0</v>
      </c>
      <c r="N206" s="999">
        <f>+NOMINA!BP205</f>
        <v>0</v>
      </c>
      <c r="O206" s="986">
        <f t="shared" si="40"/>
        <v>23.81</v>
      </c>
      <c r="P206" s="999">
        <f>+NOMINA!BR205</f>
        <v>38.380000000000003</v>
      </c>
      <c r="Q206" s="999">
        <f>+NOMINA!BS205</f>
        <v>8.5299999999999994</v>
      </c>
      <c r="R206" s="999">
        <f>+NOMINA!BT205</f>
        <v>9.24</v>
      </c>
      <c r="S206" s="986">
        <f t="shared" si="41"/>
        <v>56.15</v>
      </c>
      <c r="T206" s="986">
        <f t="shared" si="42"/>
        <v>79.959999999999994</v>
      </c>
      <c r="U206" s="1005">
        <v>0</v>
      </c>
      <c r="V206" s="443" t="e">
        <f>#REF!+#REF!-O206</f>
        <v>#REF!</v>
      </c>
      <c r="W206" s="975" t="e">
        <f>ROUND((#REF!+#REF!+#REF!+#REF!+#REF!+#REF!+#REF!+#REF!+#REF!),2)</f>
        <v>#REF!</v>
      </c>
      <c r="AA206" s="976" t="e">
        <f>#REF!+#REF!-O206</f>
        <v>#REF!</v>
      </c>
      <c r="AB206" s="977" t="e">
        <f>#REF!</f>
        <v>#REF!</v>
      </c>
      <c r="AC206" s="976" t="e">
        <f>#REF!+#REF!</f>
        <v>#REF!</v>
      </c>
      <c r="AD206" s="977" t="e">
        <f>#REF!</f>
        <v>#REF!</v>
      </c>
      <c r="AE206" s="978">
        <v>0</v>
      </c>
      <c r="AF206" s="977" t="e">
        <f>#REF!</f>
        <v>#REF!</v>
      </c>
      <c r="AG206" s="979" t="e">
        <f>#REF!+#REF!</f>
        <v>#REF!</v>
      </c>
      <c r="AH206" s="979" t="e">
        <f>#REF!+#REF!</f>
        <v>#REF!</v>
      </c>
      <c r="AI206" s="979"/>
      <c r="AJ206" s="977" t="e">
        <f>#REF!</f>
        <v>#REF!</v>
      </c>
      <c r="AK206" s="977" t="e">
        <f t="shared" si="35"/>
        <v>#REF!</v>
      </c>
      <c r="AL206" s="977">
        <f t="shared" si="36"/>
        <v>79.959999999999994</v>
      </c>
      <c r="AM206" s="977">
        <f t="shared" si="37"/>
        <v>0</v>
      </c>
      <c r="AN206" s="634"/>
    </row>
    <row r="207" spans="1:40" s="629" customFormat="1" ht="20.100000000000001" customHeight="1">
      <c r="A207" s="771">
        <f t="shared" si="38"/>
        <v>164</v>
      </c>
      <c r="B207" s="980">
        <f>+NOMINA!C206</f>
        <v>17605222</v>
      </c>
      <c r="C207" s="981" t="str">
        <f>+NOMINA!D206</f>
        <v>Aguial Dayana Carolina</v>
      </c>
      <c r="D207" s="978" t="s">
        <v>4622</v>
      </c>
      <c r="E207" s="982">
        <v>32351</v>
      </c>
      <c r="F207" s="978" t="s">
        <v>4620</v>
      </c>
      <c r="G207" s="1004">
        <f>+NOMINA!H206</f>
        <v>42737</v>
      </c>
      <c r="H207" s="984">
        <f t="shared" si="39"/>
        <v>5</v>
      </c>
      <c r="I207" s="985">
        <v>0</v>
      </c>
      <c r="J207" s="999">
        <f>+NOMINA!BL206</f>
        <v>22.2</v>
      </c>
      <c r="K207" s="999">
        <f>+NOMINA!BM206</f>
        <v>2.78</v>
      </c>
      <c r="L207" s="999">
        <f>+NOMINA!BN206</f>
        <v>6.01</v>
      </c>
      <c r="M207" s="999">
        <f>++NOMINA!BO206</f>
        <v>0</v>
      </c>
      <c r="N207" s="999">
        <f>+NOMINA!BP206</f>
        <v>0</v>
      </c>
      <c r="O207" s="986">
        <f t="shared" si="40"/>
        <v>30.99</v>
      </c>
      <c r="P207" s="999">
        <f>+NOMINA!BR206</f>
        <v>49.95</v>
      </c>
      <c r="Q207" s="999">
        <f>+NOMINA!BS206</f>
        <v>11.1</v>
      </c>
      <c r="R207" s="999">
        <f>+NOMINA!BT206</f>
        <v>12.02</v>
      </c>
      <c r="S207" s="986">
        <f t="shared" si="41"/>
        <v>73.069999999999993</v>
      </c>
      <c r="T207" s="986">
        <f t="shared" si="42"/>
        <v>104.05999999999999</v>
      </c>
      <c r="U207" s="1005">
        <v>0</v>
      </c>
      <c r="V207" s="443" t="e">
        <f>#REF!+#REF!-O207</f>
        <v>#REF!</v>
      </c>
      <c r="W207" s="975" t="e">
        <f>ROUND((#REF!+#REF!+#REF!+#REF!+#REF!+#REF!+#REF!+#REF!+#REF!),2)</f>
        <v>#REF!</v>
      </c>
      <c r="AA207" s="976" t="e">
        <f>#REF!+#REF!-O207</f>
        <v>#REF!</v>
      </c>
      <c r="AB207" s="977" t="e">
        <f>#REF!</f>
        <v>#REF!</v>
      </c>
      <c r="AC207" s="976" t="e">
        <f>#REF!+#REF!</f>
        <v>#REF!</v>
      </c>
      <c r="AD207" s="977" t="e">
        <f>#REF!</f>
        <v>#REF!</v>
      </c>
      <c r="AE207" s="978">
        <v>0</v>
      </c>
      <c r="AF207" s="977" t="e">
        <f>#REF!</f>
        <v>#REF!</v>
      </c>
      <c r="AG207" s="979" t="e">
        <f>#REF!+#REF!</f>
        <v>#REF!</v>
      </c>
      <c r="AH207" s="979" t="e">
        <f>#REF!+#REF!</f>
        <v>#REF!</v>
      </c>
      <c r="AI207" s="979"/>
      <c r="AJ207" s="977" t="e">
        <f>#REF!</f>
        <v>#REF!</v>
      </c>
      <c r="AK207" s="977" t="e">
        <f t="shared" si="35"/>
        <v>#REF!</v>
      </c>
      <c r="AL207" s="977">
        <f t="shared" si="36"/>
        <v>104.05999999999999</v>
      </c>
      <c r="AM207" s="977">
        <f t="shared" si="37"/>
        <v>0</v>
      </c>
      <c r="AN207" s="634"/>
    </row>
    <row r="208" spans="1:40" s="629" customFormat="1" ht="20.100000000000001" customHeight="1">
      <c r="A208" s="771">
        <f t="shared" si="38"/>
        <v>165</v>
      </c>
      <c r="B208" s="980">
        <f>+NOMINA!C207</f>
        <v>17605492</v>
      </c>
      <c r="C208" s="981" t="str">
        <f>+NOMINA!D207</f>
        <v>Briceño Briceño Naibely Carolina</v>
      </c>
      <c r="D208" s="978" t="s">
        <v>4622</v>
      </c>
      <c r="E208" s="982">
        <v>32351</v>
      </c>
      <c r="F208" s="978" t="s">
        <v>4620</v>
      </c>
      <c r="G208" s="1004">
        <f>+NOMINA!H207</f>
        <v>43967</v>
      </c>
      <c r="H208" s="984">
        <f t="shared" si="39"/>
        <v>2</v>
      </c>
      <c r="I208" s="985">
        <v>0</v>
      </c>
      <c r="J208" s="999">
        <f>+NOMINA!BL207</f>
        <v>19.3</v>
      </c>
      <c r="K208" s="999">
        <f>+NOMINA!BM207</f>
        <v>2.41</v>
      </c>
      <c r="L208" s="999">
        <f>+NOMINA!BN207</f>
        <v>5.23</v>
      </c>
      <c r="M208" s="999">
        <f>++NOMINA!BO207</f>
        <v>0</v>
      </c>
      <c r="N208" s="999">
        <f>+NOMINA!BP207</f>
        <v>0</v>
      </c>
      <c r="O208" s="986">
        <f t="shared" si="40"/>
        <v>26.94</v>
      </c>
      <c r="P208" s="999">
        <f>+NOMINA!BR207</f>
        <v>43.42</v>
      </c>
      <c r="Q208" s="999">
        <f>+NOMINA!BS207</f>
        <v>9.65</v>
      </c>
      <c r="R208" s="999">
        <f>+NOMINA!BT207</f>
        <v>10.46</v>
      </c>
      <c r="S208" s="986">
        <f t="shared" si="41"/>
        <v>63.53</v>
      </c>
      <c r="T208" s="986">
        <f t="shared" si="42"/>
        <v>90.47</v>
      </c>
      <c r="U208" s="1005">
        <v>0</v>
      </c>
      <c r="V208" s="443" t="e">
        <f>#REF!+#REF!-O208</f>
        <v>#REF!</v>
      </c>
      <c r="W208" s="975" t="e">
        <f>ROUND((#REF!+#REF!+#REF!+#REF!+#REF!+#REF!+#REF!+#REF!+#REF!),2)</f>
        <v>#REF!</v>
      </c>
      <c r="AA208" s="976" t="e">
        <f>#REF!+#REF!-O208</f>
        <v>#REF!</v>
      </c>
      <c r="AB208" s="977" t="e">
        <f>#REF!</f>
        <v>#REF!</v>
      </c>
      <c r="AC208" s="976" t="e">
        <f>#REF!+#REF!</f>
        <v>#REF!</v>
      </c>
      <c r="AD208" s="977" t="e">
        <f>#REF!</f>
        <v>#REF!</v>
      </c>
      <c r="AE208" s="978">
        <v>0</v>
      </c>
      <c r="AF208" s="977" t="e">
        <f>#REF!</f>
        <v>#REF!</v>
      </c>
      <c r="AG208" s="979" t="e">
        <f>#REF!+#REF!</f>
        <v>#REF!</v>
      </c>
      <c r="AH208" s="979" t="e">
        <f>#REF!+#REF!</f>
        <v>#REF!</v>
      </c>
      <c r="AI208" s="979"/>
      <c r="AJ208" s="977" t="e">
        <f>#REF!</f>
        <v>#REF!</v>
      </c>
      <c r="AK208" s="977" t="e">
        <f t="shared" si="35"/>
        <v>#REF!</v>
      </c>
      <c r="AL208" s="977">
        <f t="shared" si="36"/>
        <v>90.47</v>
      </c>
      <c r="AM208" s="977">
        <f t="shared" si="37"/>
        <v>0</v>
      </c>
      <c r="AN208" s="634"/>
    </row>
    <row r="209" spans="1:40" s="629" customFormat="1" ht="20.100000000000001" customHeight="1">
      <c r="A209" s="771">
        <f t="shared" si="38"/>
        <v>166</v>
      </c>
      <c r="B209" s="980">
        <f>+NOMINA!C208</f>
        <v>17606237</v>
      </c>
      <c r="C209" s="981" t="str">
        <f>+NOMINA!D208</f>
        <v>Castellano Rivera Maria Antonina</v>
      </c>
      <c r="D209" s="978" t="s">
        <v>4622</v>
      </c>
      <c r="E209" s="982">
        <v>32351</v>
      </c>
      <c r="F209" s="978" t="s">
        <v>4620</v>
      </c>
      <c r="G209" s="1004">
        <f>+NOMINA!H208</f>
        <v>40909</v>
      </c>
      <c r="H209" s="984">
        <f t="shared" si="39"/>
        <v>10</v>
      </c>
      <c r="I209" s="985">
        <v>0</v>
      </c>
      <c r="J209" s="999">
        <f>+NOMINA!BL208</f>
        <v>15.2</v>
      </c>
      <c r="K209" s="999">
        <f>+NOMINA!BM208</f>
        <v>1.9</v>
      </c>
      <c r="L209" s="999">
        <f>+NOMINA!BN208</f>
        <v>4.12</v>
      </c>
      <c r="M209" s="999">
        <f>++NOMINA!BO208</f>
        <v>0</v>
      </c>
      <c r="N209" s="999">
        <f>+NOMINA!BP208</f>
        <v>0</v>
      </c>
      <c r="O209" s="986">
        <f t="shared" si="40"/>
        <v>21.22</v>
      </c>
      <c r="P209" s="999">
        <f>+NOMINA!BR208</f>
        <v>34.19</v>
      </c>
      <c r="Q209" s="999">
        <f>+NOMINA!BS208</f>
        <v>7.6</v>
      </c>
      <c r="R209" s="999">
        <f>+NOMINA!BT208</f>
        <v>8.24</v>
      </c>
      <c r="S209" s="986">
        <f t="shared" si="41"/>
        <v>50.03</v>
      </c>
      <c r="T209" s="986">
        <f t="shared" si="42"/>
        <v>71.25</v>
      </c>
      <c r="U209" s="1005">
        <v>0</v>
      </c>
      <c r="V209" s="443" t="e">
        <f>#REF!+#REF!-O209</f>
        <v>#REF!</v>
      </c>
      <c r="W209" s="975" t="e">
        <f>ROUND((#REF!+#REF!+#REF!+#REF!+#REF!+#REF!+#REF!+#REF!+#REF!),2)</f>
        <v>#REF!</v>
      </c>
      <c r="AA209" s="976" t="e">
        <f>#REF!+#REF!-O209</f>
        <v>#REF!</v>
      </c>
      <c r="AB209" s="977" t="e">
        <f>#REF!</f>
        <v>#REF!</v>
      </c>
      <c r="AC209" s="976" t="e">
        <f>#REF!+#REF!</f>
        <v>#REF!</v>
      </c>
      <c r="AD209" s="977" t="e">
        <f>#REF!</f>
        <v>#REF!</v>
      </c>
      <c r="AE209" s="978">
        <v>0</v>
      </c>
      <c r="AF209" s="977" t="e">
        <f>#REF!</f>
        <v>#REF!</v>
      </c>
      <c r="AG209" s="979" t="e">
        <f>#REF!+#REF!</f>
        <v>#REF!</v>
      </c>
      <c r="AH209" s="979" t="e">
        <f>#REF!+#REF!</f>
        <v>#REF!</v>
      </c>
      <c r="AI209" s="979"/>
      <c r="AJ209" s="977" t="e">
        <f>#REF!</f>
        <v>#REF!</v>
      </c>
      <c r="AK209" s="977" t="e">
        <f t="shared" si="35"/>
        <v>#REF!</v>
      </c>
      <c r="AL209" s="977">
        <f t="shared" si="36"/>
        <v>71.25</v>
      </c>
      <c r="AM209" s="977">
        <f t="shared" si="37"/>
        <v>0</v>
      </c>
      <c r="AN209" s="634"/>
    </row>
    <row r="210" spans="1:40" s="629" customFormat="1" ht="20.100000000000001" customHeight="1">
      <c r="A210" s="771">
        <f t="shared" si="38"/>
        <v>167</v>
      </c>
      <c r="B210" s="980">
        <f>+NOMINA!C209</f>
        <v>17830972</v>
      </c>
      <c r="C210" s="981" t="str">
        <f>+NOMINA!D209</f>
        <v>Bastidas Franco Dianellys Sarain</v>
      </c>
      <c r="D210" s="978" t="s">
        <v>4622</v>
      </c>
      <c r="E210" s="982">
        <v>32351</v>
      </c>
      <c r="F210" s="978" t="s">
        <v>4620</v>
      </c>
      <c r="G210" s="1004">
        <f>+NOMINA!H209</f>
        <v>44713</v>
      </c>
      <c r="H210" s="984">
        <f t="shared" si="39"/>
        <v>0</v>
      </c>
      <c r="I210" s="985">
        <v>0</v>
      </c>
      <c r="J210" s="999">
        <f>+NOMINA!BL209</f>
        <v>17.579999999999998</v>
      </c>
      <c r="K210" s="999">
        <f>+NOMINA!BM209</f>
        <v>2.2000000000000002</v>
      </c>
      <c r="L210" s="999">
        <f>+NOMINA!BN209</f>
        <v>4.76</v>
      </c>
      <c r="M210" s="999">
        <f>++NOMINA!BO209</f>
        <v>0</v>
      </c>
      <c r="N210" s="999">
        <f>+NOMINA!BP209</f>
        <v>0</v>
      </c>
      <c r="O210" s="986">
        <f t="shared" si="40"/>
        <v>24.54</v>
      </c>
      <c r="P210" s="999">
        <f>+NOMINA!BR209</f>
        <v>39.56</v>
      </c>
      <c r="Q210" s="999">
        <f>+NOMINA!BS209</f>
        <v>8.7899999999999991</v>
      </c>
      <c r="R210" s="999">
        <f>+NOMINA!BT209</f>
        <v>9.52</v>
      </c>
      <c r="S210" s="986">
        <f t="shared" si="41"/>
        <v>57.87</v>
      </c>
      <c r="T210" s="986">
        <f t="shared" si="42"/>
        <v>82.41</v>
      </c>
      <c r="U210" s="1005">
        <v>0</v>
      </c>
      <c r="V210" s="443" t="e">
        <f>#REF!+#REF!-O210</f>
        <v>#REF!</v>
      </c>
      <c r="W210" s="975" t="e">
        <f>ROUND((#REF!+#REF!+#REF!+#REF!+#REF!+#REF!+#REF!+#REF!+#REF!),2)</f>
        <v>#REF!</v>
      </c>
      <c r="AA210" s="976" t="e">
        <f>#REF!+#REF!-O210</f>
        <v>#REF!</v>
      </c>
      <c r="AB210" s="977" t="e">
        <f>#REF!</f>
        <v>#REF!</v>
      </c>
      <c r="AC210" s="976" t="e">
        <f>#REF!+#REF!</f>
        <v>#REF!</v>
      </c>
      <c r="AD210" s="977" t="e">
        <f>#REF!</f>
        <v>#REF!</v>
      </c>
      <c r="AE210" s="978">
        <v>0</v>
      </c>
      <c r="AF210" s="977" t="e">
        <f>#REF!</f>
        <v>#REF!</v>
      </c>
      <c r="AG210" s="979" t="e">
        <f>#REF!+#REF!</f>
        <v>#REF!</v>
      </c>
      <c r="AH210" s="979" t="e">
        <f>#REF!+#REF!</f>
        <v>#REF!</v>
      </c>
      <c r="AI210" s="979"/>
      <c r="AJ210" s="977" t="e">
        <f>#REF!</f>
        <v>#REF!</v>
      </c>
      <c r="AK210" s="977" t="e">
        <f t="shared" si="35"/>
        <v>#REF!</v>
      </c>
      <c r="AL210" s="977">
        <f t="shared" si="36"/>
        <v>82.41</v>
      </c>
      <c r="AM210" s="977">
        <f t="shared" si="37"/>
        <v>0</v>
      </c>
      <c r="AN210" s="634"/>
    </row>
    <row r="211" spans="1:40" s="629" customFormat="1" ht="20.100000000000001" customHeight="1">
      <c r="A211" s="771">
        <f t="shared" si="38"/>
        <v>168</v>
      </c>
      <c r="B211" s="980">
        <f>+NOMINA!C210</f>
        <v>17831012</v>
      </c>
      <c r="C211" s="981" t="str">
        <f>+NOMINA!D210</f>
        <v>Valera Briceño Jesus Enrique</v>
      </c>
      <c r="D211" s="978" t="s">
        <v>4622</v>
      </c>
      <c r="E211" s="982">
        <v>32351</v>
      </c>
      <c r="F211" s="978" t="s">
        <v>4620</v>
      </c>
      <c r="G211" s="1004">
        <f>+NOMINA!H210</f>
        <v>45474</v>
      </c>
      <c r="H211" s="984">
        <f t="shared" si="39"/>
        <v>0</v>
      </c>
      <c r="I211" s="985">
        <v>0</v>
      </c>
      <c r="J211" s="999">
        <f>+NOMINA!BL210</f>
        <v>14.4</v>
      </c>
      <c r="K211" s="999">
        <f>+NOMINA!BM210</f>
        <v>1.8</v>
      </c>
      <c r="L211" s="999">
        <f>+NOMINA!BN210</f>
        <v>3.9</v>
      </c>
      <c r="M211" s="999">
        <f>++NOMINA!BO210</f>
        <v>0</v>
      </c>
      <c r="N211" s="999">
        <f>+NOMINA!BP210</f>
        <v>0</v>
      </c>
      <c r="O211" s="986">
        <f t="shared" si="40"/>
        <v>20.100000000000001</v>
      </c>
      <c r="P211" s="999">
        <f>+NOMINA!BR210</f>
        <v>32.4</v>
      </c>
      <c r="Q211" s="999">
        <f>+NOMINA!BS210</f>
        <v>7.2</v>
      </c>
      <c r="R211" s="999">
        <f>+NOMINA!BT210</f>
        <v>7.8</v>
      </c>
      <c r="S211" s="986">
        <f t="shared" si="41"/>
        <v>47.4</v>
      </c>
      <c r="T211" s="986">
        <f t="shared" si="42"/>
        <v>67.5</v>
      </c>
      <c r="U211" s="1005">
        <v>0</v>
      </c>
      <c r="V211" s="443" t="e">
        <f>#REF!+#REF!-O211</f>
        <v>#REF!</v>
      </c>
      <c r="W211" s="975" t="e">
        <f>ROUND((#REF!+#REF!+#REF!+#REF!+#REF!+#REF!+#REF!+#REF!+#REF!),2)</f>
        <v>#REF!</v>
      </c>
      <c r="AA211" s="976" t="e">
        <f>#REF!+#REF!-O211</f>
        <v>#REF!</v>
      </c>
      <c r="AB211" s="977" t="e">
        <f>#REF!</f>
        <v>#REF!</v>
      </c>
      <c r="AC211" s="976" t="e">
        <f>#REF!+#REF!</f>
        <v>#REF!</v>
      </c>
      <c r="AD211" s="977" t="e">
        <f>#REF!</f>
        <v>#REF!</v>
      </c>
      <c r="AE211" s="978">
        <v>0</v>
      </c>
      <c r="AF211" s="977" t="e">
        <f>#REF!</f>
        <v>#REF!</v>
      </c>
      <c r="AG211" s="979" t="e">
        <f>#REF!+#REF!</f>
        <v>#REF!</v>
      </c>
      <c r="AH211" s="979" t="e">
        <f>#REF!+#REF!</f>
        <v>#REF!</v>
      </c>
      <c r="AI211" s="979"/>
      <c r="AJ211" s="977" t="e">
        <f>#REF!</f>
        <v>#REF!</v>
      </c>
      <c r="AK211" s="977" t="e">
        <f t="shared" si="35"/>
        <v>#REF!</v>
      </c>
      <c r="AL211" s="977">
        <f t="shared" si="36"/>
        <v>67.5</v>
      </c>
      <c r="AM211" s="977">
        <f t="shared" si="37"/>
        <v>0</v>
      </c>
      <c r="AN211" s="634"/>
    </row>
    <row r="212" spans="1:40" s="629" customFormat="1" ht="20.100000000000001" customHeight="1">
      <c r="A212" s="771">
        <f t="shared" si="38"/>
        <v>169</v>
      </c>
      <c r="B212" s="980">
        <f>+NOMINA!C211</f>
        <v>17831231</v>
      </c>
      <c r="C212" s="981" t="str">
        <f>+NOMINA!D211</f>
        <v>Blanco Torres Beixy Coromoto</v>
      </c>
      <c r="D212" s="978" t="s">
        <v>4622</v>
      </c>
      <c r="E212" s="982">
        <v>32351</v>
      </c>
      <c r="F212" s="978" t="s">
        <v>4620</v>
      </c>
      <c r="G212" s="1004">
        <f>+NOMINA!H211</f>
        <v>44200</v>
      </c>
      <c r="H212" s="984">
        <f t="shared" si="39"/>
        <v>1</v>
      </c>
      <c r="I212" s="985">
        <v>0</v>
      </c>
      <c r="J212" s="999">
        <f>+NOMINA!BL211</f>
        <v>21.15</v>
      </c>
      <c r="K212" s="999">
        <f>+NOMINA!BM211</f>
        <v>2.64</v>
      </c>
      <c r="L212" s="999">
        <f>+NOMINA!BN211</f>
        <v>5.73</v>
      </c>
      <c r="M212" s="999">
        <f>++NOMINA!BO211</f>
        <v>0</v>
      </c>
      <c r="N212" s="999">
        <f>+NOMINA!BP211</f>
        <v>0</v>
      </c>
      <c r="O212" s="986">
        <f t="shared" si="40"/>
        <v>29.52</v>
      </c>
      <c r="P212" s="999">
        <f>+NOMINA!BR211</f>
        <v>47.6</v>
      </c>
      <c r="Q212" s="999">
        <f>+NOMINA!BS211</f>
        <v>10.58</v>
      </c>
      <c r="R212" s="999">
        <f>+NOMINA!BT211</f>
        <v>11.46</v>
      </c>
      <c r="S212" s="986">
        <f t="shared" si="41"/>
        <v>69.64</v>
      </c>
      <c r="T212" s="986">
        <f t="shared" si="42"/>
        <v>99.16</v>
      </c>
      <c r="U212" s="1005">
        <v>0</v>
      </c>
      <c r="V212" s="443" t="e">
        <f>#REF!+#REF!-O212</f>
        <v>#REF!</v>
      </c>
      <c r="W212" s="975" t="e">
        <f>ROUND((#REF!+#REF!+#REF!+#REF!+#REF!+#REF!+#REF!+#REF!+#REF!),2)</f>
        <v>#REF!</v>
      </c>
      <c r="AA212" s="976" t="e">
        <f>#REF!+#REF!-O212</f>
        <v>#REF!</v>
      </c>
      <c r="AB212" s="977" t="e">
        <f>#REF!</f>
        <v>#REF!</v>
      </c>
      <c r="AC212" s="976" t="e">
        <f>#REF!+#REF!</f>
        <v>#REF!</v>
      </c>
      <c r="AD212" s="977" t="e">
        <f>#REF!</f>
        <v>#REF!</v>
      </c>
      <c r="AE212" s="978">
        <v>0</v>
      </c>
      <c r="AF212" s="977" t="e">
        <f>#REF!</f>
        <v>#REF!</v>
      </c>
      <c r="AG212" s="979" t="e">
        <f>#REF!+#REF!</f>
        <v>#REF!</v>
      </c>
      <c r="AH212" s="979" t="e">
        <f>#REF!+#REF!</f>
        <v>#REF!</v>
      </c>
      <c r="AI212" s="979"/>
      <c r="AJ212" s="977" t="e">
        <f>#REF!</f>
        <v>#REF!</v>
      </c>
      <c r="AK212" s="977" t="e">
        <f t="shared" si="35"/>
        <v>#REF!</v>
      </c>
      <c r="AL212" s="977">
        <f t="shared" si="36"/>
        <v>99.16</v>
      </c>
      <c r="AM212" s="977">
        <f t="shared" si="37"/>
        <v>0</v>
      </c>
      <c r="AN212" s="634"/>
    </row>
    <row r="213" spans="1:40" s="629" customFormat="1" ht="20.100000000000001" customHeight="1">
      <c r="A213" s="771">
        <f t="shared" si="38"/>
        <v>170</v>
      </c>
      <c r="B213" s="980">
        <f>+NOMINA!C212</f>
        <v>17831384</v>
      </c>
      <c r="C213" s="981" t="str">
        <f>+NOMINA!D212</f>
        <v>Nieve Briceño Glorys Carolina</v>
      </c>
      <c r="D213" s="978" t="s">
        <v>4622</v>
      </c>
      <c r="E213" s="982">
        <v>32351</v>
      </c>
      <c r="F213" s="978" t="s">
        <v>4620</v>
      </c>
      <c r="G213" s="1004">
        <f>+NOMINA!H212</f>
        <v>42339</v>
      </c>
      <c r="H213" s="984">
        <f t="shared" si="39"/>
        <v>7</v>
      </c>
      <c r="I213" s="985">
        <v>0</v>
      </c>
      <c r="J213" s="999">
        <f>+NOMINA!BL212</f>
        <v>27.06</v>
      </c>
      <c r="K213" s="999">
        <f>+NOMINA!BM212</f>
        <v>3.38</v>
      </c>
      <c r="L213" s="999">
        <f>+NOMINA!BN212</f>
        <v>7.33</v>
      </c>
      <c r="M213" s="999">
        <f>++NOMINA!BO212</f>
        <v>0</v>
      </c>
      <c r="N213" s="999">
        <f>+NOMINA!BP212</f>
        <v>0</v>
      </c>
      <c r="O213" s="986">
        <f t="shared" si="40"/>
        <v>37.770000000000003</v>
      </c>
      <c r="P213" s="999">
        <f>+NOMINA!BR212</f>
        <v>60.89</v>
      </c>
      <c r="Q213" s="999">
        <f>+NOMINA!BS212</f>
        <v>13.53</v>
      </c>
      <c r="R213" s="999">
        <f>+NOMINA!BT212</f>
        <v>14.66</v>
      </c>
      <c r="S213" s="986">
        <f t="shared" si="41"/>
        <v>89.08</v>
      </c>
      <c r="T213" s="986">
        <f t="shared" si="42"/>
        <v>126.85</v>
      </c>
      <c r="U213" s="1005">
        <v>0</v>
      </c>
      <c r="V213" s="443" t="e">
        <f>#REF!+#REF!-O213</f>
        <v>#REF!</v>
      </c>
      <c r="W213" s="975" t="e">
        <f>ROUND((#REF!+#REF!+#REF!+#REF!+#REF!+#REF!+#REF!+#REF!+#REF!),2)</f>
        <v>#REF!</v>
      </c>
      <c r="AA213" s="976" t="e">
        <f>#REF!+#REF!-O213</f>
        <v>#REF!</v>
      </c>
      <c r="AB213" s="977" t="e">
        <f>#REF!</f>
        <v>#REF!</v>
      </c>
      <c r="AC213" s="976" t="e">
        <f>#REF!+#REF!</f>
        <v>#REF!</v>
      </c>
      <c r="AD213" s="977" t="e">
        <f>#REF!</f>
        <v>#REF!</v>
      </c>
      <c r="AE213" s="978">
        <v>0</v>
      </c>
      <c r="AF213" s="977" t="e">
        <f>#REF!</f>
        <v>#REF!</v>
      </c>
      <c r="AG213" s="979" t="e">
        <f>#REF!+#REF!</f>
        <v>#REF!</v>
      </c>
      <c r="AH213" s="979" t="e">
        <f>#REF!+#REF!</f>
        <v>#REF!</v>
      </c>
      <c r="AI213" s="979"/>
      <c r="AJ213" s="977" t="e">
        <f>#REF!</f>
        <v>#REF!</v>
      </c>
      <c r="AK213" s="977" t="e">
        <f t="shared" si="35"/>
        <v>#REF!</v>
      </c>
      <c r="AL213" s="977">
        <f t="shared" si="36"/>
        <v>126.85</v>
      </c>
      <c r="AM213" s="977">
        <f t="shared" si="37"/>
        <v>0</v>
      </c>
      <c r="AN213" s="634"/>
    </row>
    <row r="214" spans="1:40" s="629" customFormat="1" ht="20.100000000000001" customHeight="1">
      <c r="A214" s="771">
        <f t="shared" si="38"/>
        <v>171</v>
      </c>
      <c r="B214" s="980">
        <f>+NOMINA!C213</f>
        <v>17832396</v>
      </c>
      <c r="C214" s="981" t="str">
        <f>+NOMINA!D213</f>
        <v>Pulido Sanchez Joalina Vanessa</v>
      </c>
      <c r="D214" s="978" t="s">
        <v>4622</v>
      </c>
      <c r="E214" s="982">
        <v>32351</v>
      </c>
      <c r="F214" s="978" t="s">
        <v>4620</v>
      </c>
      <c r="G214" s="1004">
        <f>+NOMINA!H213</f>
        <v>43191</v>
      </c>
      <c r="H214" s="984">
        <f t="shared" si="39"/>
        <v>4</v>
      </c>
      <c r="I214" s="985">
        <v>0</v>
      </c>
      <c r="J214" s="999">
        <f>+NOMINA!BL213</f>
        <v>17.170000000000002</v>
      </c>
      <c r="K214" s="999">
        <f>+NOMINA!BM213</f>
        <v>2.15</v>
      </c>
      <c r="L214" s="999">
        <f>+NOMINA!BN213</f>
        <v>4.6500000000000004</v>
      </c>
      <c r="M214" s="999">
        <f>++NOMINA!BO213</f>
        <v>0</v>
      </c>
      <c r="N214" s="999">
        <f>+NOMINA!BP213</f>
        <v>0</v>
      </c>
      <c r="O214" s="986">
        <f t="shared" si="40"/>
        <v>23.97</v>
      </c>
      <c r="P214" s="999">
        <f>+NOMINA!BR213</f>
        <v>38.64</v>
      </c>
      <c r="Q214" s="999">
        <f>+NOMINA!BS213</f>
        <v>8.59</v>
      </c>
      <c r="R214" s="999">
        <f>+NOMINA!BT213</f>
        <v>9.3000000000000007</v>
      </c>
      <c r="S214" s="986">
        <f t="shared" si="41"/>
        <v>56.53</v>
      </c>
      <c r="T214" s="986">
        <f t="shared" si="42"/>
        <v>80.5</v>
      </c>
      <c r="U214" s="1005">
        <v>0</v>
      </c>
      <c r="V214" s="443" t="e">
        <f>#REF!+#REF!-O214</f>
        <v>#REF!</v>
      </c>
      <c r="W214" s="975" t="e">
        <f>ROUND((#REF!+#REF!+#REF!+#REF!+#REF!+#REF!+#REF!+#REF!+#REF!),2)</f>
        <v>#REF!</v>
      </c>
      <c r="AA214" s="976" t="e">
        <f>#REF!+#REF!-O214</f>
        <v>#REF!</v>
      </c>
      <c r="AB214" s="977" t="e">
        <f>#REF!</f>
        <v>#REF!</v>
      </c>
      <c r="AC214" s="976" t="e">
        <f>#REF!+#REF!</f>
        <v>#REF!</v>
      </c>
      <c r="AD214" s="977" t="e">
        <f>#REF!</f>
        <v>#REF!</v>
      </c>
      <c r="AE214" s="978">
        <v>0</v>
      </c>
      <c r="AF214" s="977" t="e">
        <f>#REF!</f>
        <v>#REF!</v>
      </c>
      <c r="AG214" s="979" t="e">
        <f>#REF!+#REF!</f>
        <v>#REF!</v>
      </c>
      <c r="AH214" s="979" t="e">
        <f>#REF!+#REF!</f>
        <v>#REF!</v>
      </c>
      <c r="AI214" s="979"/>
      <c r="AJ214" s="977" t="e">
        <f>#REF!</f>
        <v>#REF!</v>
      </c>
      <c r="AK214" s="977" t="e">
        <f t="shared" si="35"/>
        <v>#REF!</v>
      </c>
      <c r="AL214" s="977">
        <f t="shared" si="36"/>
        <v>80.5</v>
      </c>
      <c r="AM214" s="977">
        <f t="shared" si="37"/>
        <v>0</v>
      </c>
      <c r="AN214" s="634"/>
    </row>
    <row r="215" spans="1:40" s="629" customFormat="1" ht="20.100000000000001" customHeight="1">
      <c r="A215" s="771">
        <f t="shared" si="38"/>
        <v>172</v>
      </c>
      <c r="B215" s="980">
        <f>+NOMINA!C214</f>
        <v>17865154</v>
      </c>
      <c r="C215" s="981" t="str">
        <f>+NOMINA!D214</f>
        <v>Serrano Ingrid Maria</v>
      </c>
      <c r="D215" s="978" t="s">
        <v>4622</v>
      </c>
      <c r="E215" s="982">
        <v>32351</v>
      </c>
      <c r="F215" s="978" t="s">
        <v>4620</v>
      </c>
      <c r="G215" s="1004">
        <f>+NOMINA!H214</f>
        <v>43846</v>
      </c>
      <c r="H215" s="984">
        <f t="shared" si="39"/>
        <v>2</v>
      </c>
      <c r="I215" s="985">
        <v>0</v>
      </c>
      <c r="J215" s="999">
        <f>+NOMINA!BL214</f>
        <v>13.8</v>
      </c>
      <c r="K215" s="999">
        <f>+NOMINA!BM214</f>
        <v>1.73</v>
      </c>
      <c r="L215" s="999">
        <f>+NOMINA!BN214</f>
        <v>3.74</v>
      </c>
      <c r="M215" s="999">
        <f>++NOMINA!BO214</f>
        <v>0</v>
      </c>
      <c r="N215" s="999">
        <f>+NOMINA!BP214</f>
        <v>0</v>
      </c>
      <c r="O215" s="986">
        <f t="shared" si="40"/>
        <v>19.27</v>
      </c>
      <c r="P215" s="999">
        <f>+NOMINA!BR214</f>
        <v>31.05</v>
      </c>
      <c r="Q215" s="999">
        <f>+NOMINA!BS214</f>
        <v>6.9</v>
      </c>
      <c r="R215" s="999">
        <f>+NOMINA!BT214</f>
        <v>7.48</v>
      </c>
      <c r="S215" s="986">
        <f t="shared" si="41"/>
        <v>45.43</v>
      </c>
      <c r="T215" s="986">
        <f t="shared" si="42"/>
        <v>64.7</v>
      </c>
      <c r="U215" s="1005">
        <v>0</v>
      </c>
      <c r="V215" s="443" t="e">
        <f>#REF!+#REF!-O215</f>
        <v>#REF!</v>
      </c>
      <c r="W215" s="975" t="e">
        <f>ROUND((#REF!+#REF!+#REF!+#REF!+#REF!+#REF!+#REF!+#REF!+#REF!),2)</f>
        <v>#REF!</v>
      </c>
      <c r="AA215" s="976" t="e">
        <f>#REF!+#REF!-O215</f>
        <v>#REF!</v>
      </c>
      <c r="AB215" s="977" t="e">
        <f>#REF!</f>
        <v>#REF!</v>
      </c>
      <c r="AC215" s="976" t="e">
        <f>#REF!+#REF!</f>
        <v>#REF!</v>
      </c>
      <c r="AD215" s="977" t="e">
        <f>#REF!</f>
        <v>#REF!</v>
      </c>
      <c r="AE215" s="978">
        <v>0</v>
      </c>
      <c r="AF215" s="977" t="e">
        <f>#REF!</f>
        <v>#REF!</v>
      </c>
      <c r="AG215" s="979" t="e">
        <f>#REF!+#REF!</f>
        <v>#REF!</v>
      </c>
      <c r="AH215" s="979" t="e">
        <f>#REF!+#REF!</f>
        <v>#REF!</v>
      </c>
      <c r="AI215" s="979"/>
      <c r="AJ215" s="977" t="e">
        <f>#REF!</f>
        <v>#REF!</v>
      </c>
      <c r="AK215" s="977" t="e">
        <f t="shared" si="35"/>
        <v>#REF!</v>
      </c>
      <c r="AL215" s="977">
        <f t="shared" si="36"/>
        <v>64.7</v>
      </c>
      <c r="AM215" s="977">
        <f t="shared" si="37"/>
        <v>0</v>
      </c>
      <c r="AN215" s="634"/>
    </row>
    <row r="216" spans="1:40" s="629" customFormat="1" ht="20.100000000000001" customHeight="1">
      <c r="A216" s="771">
        <f t="shared" si="38"/>
        <v>173</v>
      </c>
      <c r="B216" s="980">
        <f>+NOMINA!C215</f>
        <v>18036203</v>
      </c>
      <c r="C216" s="981" t="str">
        <f>+NOMINA!D215</f>
        <v>Yepes Caceres Mervis Javier</v>
      </c>
      <c r="D216" s="978" t="s">
        <v>4622</v>
      </c>
      <c r="E216" s="982">
        <v>32351</v>
      </c>
      <c r="F216" s="978" t="s">
        <v>4620</v>
      </c>
      <c r="G216" s="1004">
        <f>+NOMINA!H215</f>
        <v>45505</v>
      </c>
      <c r="H216" s="984">
        <f t="shared" si="39"/>
        <v>0</v>
      </c>
      <c r="I216" s="985">
        <v>0</v>
      </c>
      <c r="J216" s="999">
        <f>+NOMINA!BL215</f>
        <v>13.68</v>
      </c>
      <c r="K216" s="999">
        <f>+NOMINA!BM215</f>
        <v>1.71</v>
      </c>
      <c r="L216" s="999">
        <f>+NOMINA!BN215</f>
        <v>3.71</v>
      </c>
      <c r="M216" s="999">
        <f>++NOMINA!BO215</f>
        <v>0</v>
      </c>
      <c r="N216" s="999">
        <f>+NOMINA!BP215</f>
        <v>0</v>
      </c>
      <c r="O216" s="986">
        <f t="shared" si="40"/>
        <v>19.100000000000001</v>
      </c>
      <c r="P216" s="999">
        <f>+NOMINA!BR215</f>
        <v>30.78</v>
      </c>
      <c r="Q216" s="999">
        <f>+NOMINA!BS215</f>
        <v>6.84</v>
      </c>
      <c r="R216" s="999">
        <f>+NOMINA!BT215</f>
        <v>7.42</v>
      </c>
      <c r="S216" s="986">
        <f t="shared" si="41"/>
        <v>45.04</v>
      </c>
      <c r="T216" s="986">
        <f t="shared" si="42"/>
        <v>64.14</v>
      </c>
      <c r="U216" s="1005">
        <v>0</v>
      </c>
      <c r="V216" s="443" t="e">
        <f>#REF!+#REF!-O216</f>
        <v>#REF!</v>
      </c>
      <c r="W216" s="975" t="e">
        <f>ROUND((#REF!+#REF!+#REF!+#REF!+#REF!+#REF!+#REF!+#REF!+#REF!),2)</f>
        <v>#REF!</v>
      </c>
      <c r="AA216" s="976" t="e">
        <f>#REF!+#REF!-O216</f>
        <v>#REF!</v>
      </c>
      <c r="AB216" s="977" t="e">
        <f>#REF!</f>
        <v>#REF!</v>
      </c>
      <c r="AC216" s="976" t="e">
        <f>#REF!+#REF!</f>
        <v>#REF!</v>
      </c>
      <c r="AD216" s="977" t="e">
        <f>#REF!</f>
        <v>#REF!</v>
      </c>
      <c r="AE216" s="978">
        <v>0</v>
      </c>
      <c r="AF216" s="977" t="e">
        <f>#REF!</f>
        <v>#REF!</v>
      </c>
      <c r="AG216" s="979" t="e">
        <f>#REF!+#REF!</f>
        <v>#REF!</v>
      </c>
      <c r="AH216" s="979" t="e">
        <f>#REF!+#REF!</f>
        <v>#REF!</v>
      </c>
      <c r="AI216" s="979"/>
      <c r="AJ216" s="977" t="e">
        <f>#REF!</f>
        <v>#REF!</v>
      </c>
      <c r="AK216" s="977" t="e">
        <f t="shared" si="35"/>
        <v>#REF!</v>
      </c>
      <c r="AL216" s="977">
        <f t="shared" si="36"/>
        <v>64.14</v>
      </c>
      <c r="AM216" s="977">
        <f t="shared" si="37"/>
        <v>0</v>
      </c>
      <c r="AN216" s="634"/>
    </row>
    <row r="217" spans="1:40" s="629" customFormat="1" ht="20.100000000000001" customHeight="1">
      <c r="A217" s="771">
        <f t="shared" si="38"/>
        <v>174</v>
      </c>
      <c r="B217" s="980">
        <f>+NOMINA!C216</f>
        <v>18036156</v>
      </c>
      <c r="C217" s="981" t="str">
        <f>+NOMINA!D216</f>
        <v>Ruiz Vasquez Endri Ramon</v>
      </c>
      <c r="D217" s="978" t="s">
        <v>4622</v>
      </c>
      <c r="E217" s="982">
        <v>32351</v>
      </c>
      <c r="F217" s="978" t="s">
        <v>4620</v>
      </c>
      <c r="G217" s="1004">
        <f>+NOMINA!H216</f>
        <v>45597</v>
      </c>
      <c r="H217" s="984">
        <f t="shared" si="39"/>
        <v>0</v>
      </c>
      <c r="I217" s="985">
        <v>0</v>
      </c>
      <c r="J217" s="999">
        <f>+NOMINA!BL216</f>
        <v>12.48</v>
      </c>
      <c r="K217" s="999">
        <f>+NOMINA!BM216</f>
        <v>1.56</v>
      </c>
      <c r="L217" s="999">
        <f>+NOMINA!BN216</f>
        <v>3.38</v>
      </c>
      <c r="M217" s="999">
        <f>++NOMINA!BO216</f>
        <v>0</v>
      </c>
      <c r="N217" s="999">
        <f>+NOMINA!BP216</f>
        <v>0</v>
      </c>
      <c r="O217" s="986">
        <f t="shared" si="40"/>
        <v>17.420000000000002</v>
      </c>
      <c r="P217" s="999">
        <f>+NOMINA!BR216</f>
        <v>28.08</v>
      </c>
      <c r="Q217" s="999">
        <f>+NOMINA!BS216</f>
        <v>6.24</v>
      </c>
      <c r="R217" s="999">
        <f>+NOMINA!BT216</f>
        <v>6.76</v>
      </c>
      <c r="S217" s="986">
        <f t="shared" si="41"/>
        <v>41.08</v>
      </c>
      <c r="T217" s="986">
        <f t="shared" si="42"/>
        <v>58.5</v>
      </c>
      <c r="U217" s="1005">
        <v>0</v>
      </c>
      <c r="V217" s="443" t="e">
        <f>#REF!+#REF!-O217</f>
        <v>#REF!</v>
      </c>
      <c r="W217" s="975" t="e">
        <f>ROUND((#REF!+#REF!+#REF!+#REF!+#REF!+#REF!+#REF!+#REF!+#REF!),2)</f>
        <v>#REF!</v>
      </c>
      <c r="AA217" s="976" t="e">
        <f>#REF!+#REF!-O217</f>
        <v>#REF!</v>
      </c>
      <c r="AB217" s="977" t="e">
        <f>#REF!</f>
        <v>#REF!</v>
      </c>
      <c r="AC217" s="976" t="e">
        <f>#REF!+#REF!</f>
        <v>#REF!</v>
      </c>
      <c r="AD217" s="977" t="e">
        <f>#REF!</f>
        <v>#REF!</v>
      </c>
      <c r="AE217" s="978">
        <v>0</v>
      </c>
      <c r="AF217" s="977" t="e">
        <f>#REF!</f>
        <v>#REF!</v>
      </c>
      <c r="AG217" s="979" t="e">
        <f>#REF!+#REF!</f>
        <v>#REF!</v>
      </c>
      <c r="AH217" s="979" t="e">
        <f>#REF!+#REF!</f>
        <v>#REF!</v>
      </c>
      <c r="AI217" s="979"/>
      <c r="AJ217" s="977" t="e">
        <f>#REF!</f>
        <v>#REF!</v>
      </c>
      <c r="AK217" s="977" t="e">
        <f t="shared" si="35"/>
        <v>#REF!</v>
      </c>
      <c r="AL217" s="977">
        <f t="shared" si="36"/>
        <v>58.5</v>
      </c>
      <c r="AM217" s="977">
        <f t="shared" si="37"/>
        <v>0</v>
      </c>
      <c r="AN217" s="634"/>
    </row>
    <row r="218" spans="1:40" s="629" customFormat="1" ht="20.100000000000001" customHeight="1">
      <c r="A218" s="771">
        <f t="shared" si="38"/>
        <v>175</v>
      </c>
      <c r="B218" s="980">
        <f>+NOMINA!C217</f>
        <v>18095603</v>
      </c>
      <c r="C218" s="981" t="str">
        <f>+NOMINA!D217</f>
        <v>Lozada Bencomo Daniela Carolina</v>
      </c>
      <c r="D218" s="978" t="s">
        <v>4622</v>
      </c>
      <c r="E218" s="982">
        <v>32351</v>
      </c>
      <c r="F218" s="978" t="s">
        <v>4620</v>
      </c>
      <c r="G218" s="1004">
        <f>+NOMINA!H217</f>
        <v>42963</v>
      </c>
      <c r="H218" s="984">
        <f t="shared" si="39"/>
        <v>5</v>
      </c>
      <c r="I218" s="985">
        <v>0</v>
      </c>
      <c r="J218" s="999">
        <f>+NOMINA!BL217</f>
        <v>17.53</v>
      </c>
      <c r="K218" s="999">
        <f>+NOMINA!BM217</f>
        <v>2.19</v>
      </c>
      <c r="L218" s="999">
        <f>+NOMINA!BN217</f>
        <v>4.75</v>
      </c>
      <c r="M218" s="999">
        <f>++NOMINA!BO217</f>
        <v>0</v>
      </c>
      <c r="N218" s="999">
        <f>+NOMINA!BP217</f>
        <v>0</v>
      </c>
      <c r="O218" s="986">
        <f t="shared" si="40"/>
        <v>24.47</v>
      </c>
      <c r="P218" s="999">
        <f>+NOMINA!BR217</f>
        <v>39.450000000000003</v>
      </c>
      <c r="Q218" s="999">
        <f>+NOMINA!BS217</f>
        <v>8.77</v>
      </c>
      <c r="R218" s="999">
        <f>+NOMINA!BT217</f>
        <v>9.5</v>
      </c>
      <c r="S218" s="986">
        <f t="shared" si="41"/>
        <v>57.72</v>
      </c>
      <c r="T218" s="986">
        <f t="shared" si="42"/>
        <v>82.19</v>
      </c>
      <c r="U218" s="1005">
        <v>0</v>
      </c>
      <c r="V218" s="443" t="e">
        <f>#REF!+#REF!-O218</f>
        <v>#REF!</v>
      </c>
      <c r="W218" s="975" t="e">
        <f>ROUND((#REF!+#REF!+#REF!+#REF!+#REF!+#REF!+#REF!+#REF!+#REF!),2)</f>
        <v>#REF!</v>
      </c>
      <c r="AA218" s="976" t="e">
        <f>#REF!+#REF!-O218</f>
        <v>#REF!</v>
      </c>
      <c r="AB218" s="977" t="e">
        <f>#REF!</f>
        <v>#REF!</v>
      </c>
      <c r="AC218" s="976" t="e">
        <f>#REF!+#REF!</f>
        <v>#REF!</v>
      </c>
      <c r="AD218" s="977" t="e">
        <f>#REF!</f>
        <v>#REF!</v>
      </c>
      <c r="AE218" s="978">
        <v>0</v>
      </c>
      <c r="AF218" s="977" t="e">
        <f>#REF!</f>
        <v>#REF!</v>
      </c>
      <c r="AG218" s="979" t="e">
        <f>#REF!+#REF!</f>
        <v>#REF!</v>
      </c>
      <c r="AH218" s="979" t="e">
        <f>#REF!+#REF!</f>
        <v>#REF!</v>
      </c>
      <c r="AI218" s="979"/>
      <c r="AJ218" s="977" t="e">
        <f>#REF!</f>
        <v>#REF!</v>
      </c>
      <c r="AK218" s="977" t="e">
        <f t="shared" si="35"/>
        <v>#REF!</v>
      </c>
      <c r="AL218" s="977">
        <f t="shared" si="36"/>
        <v>82.19</v>
      </c>
      <c r="AM218" s="977">
        <f t="shared" si="37"/>
        <v>0</v>
      </c>
      <c r="AN218" s="634"/>
    </row>
    <row r="219" spans="1:40" s="629" customFormat="1" ht="20.100000000000001" customHeight="1">
      <c r="A219" s="771">
        <f t="shared" si="38"/>
        <v>176</v>
      </c>
      <c r="B219" s="980">
        <f>+NOMINA!C218</f>
        <v>18096996</v>
      </c>
      <c r="C219" s="981" t="str">
        <f>+NOMINA!D218</f>
        <v>Diaz Maldonado Anny Jackeline</v>
      </c>
      <c r="D219" s="978" t="s">
        <v>4622</v>
      </c>
      <c r="E219" s="982">
        <v>32351</v>
      </c>
      <c r="F219" s="978" t="s">
        <v>4620</v>
      </c>
      <c r="G219" s="1004">
        <f>+NOMINA!H218</f>
        <v>44743</v>
      </c>
      <c r="H219" s="984">
        <f t="shared" si="39"/>
        <v>0</v>
      </c>
      <c r="I219" s="985">
        <v>0</v>
      </c>
      <c r="J219" s="999">
        <f>+NOMINA!BL218</f>
        <v>14.99</v>
      </c>
      <c r="K219" s="999">
        <f>+NOMINA!BM218</f>
        <v>1.87</v>
      </c>
      <c r="L219" s="999">
        <f>+NOMINA!BN218</f>
        <v>4.0599999999999996</v>
      </c>
      <c r="M219" s="999">
        <f>++NOMINA!BO218</f>
        <v>0</v>
      </c>
      <c r="N219" s="999">
        <f>+NOMINA!BP218</f>
        <v>0</v>
      </c>
      <c r="O219" s="986">
        <f t="shared" si="40"/>
        <v>20.92</v>
      </c>
      <c r="P219" s="999">
        <f>+NOMINA!BR218</f>
        <v>33.729999999999997</v>
      </c>
      <c r="Q219" s="999">
        <f>+NOMINA!BS218</f>
        <v>7.5</v>
      </c>
      <c r="R219" s="999">
        <f>+NOMINA!BT218</f>
        <v>8.1199999999999992</v>
      </c>
      <c r="S219" s="986">
        <f t="shared" si="41"/>
        <v>49.35</v>
      </c>
      <c r="T219" s="986">
        <f t="shared" si="42"/>
        <v>70.27000000000001</v>
      </c>
      <c r="U219" s="1005">
        <v>0</v>
      </c>
      <c r="V219" s="443" t="e">
        <f>#REF!+#REF!-O219</f>
        <v>#REF!</v>
      </c>
      <c r="W219" s="975" t="e">
        <f>ROUND((#REF!+#REF!+#REF!+#REF!+#REF!+#REF!+#REF!+#REF!+#REF!),2)</f>
        <v>#REF!</v>
      </c>
      <c r="AA219" s="976" t="e">
        <f>#REF!+#REF!-O219</f>
        <v>#REF!</v>
      </c>
      <c r="AB219" s="977" t="e">
        <f>#REF!</f>
        <v>#REF!</v>
      </c>
      <c r="AC219" s="976" t="e">
        <f>#REF!+#REF!</f>
        <v>#REF!</v>
      </c>
      <c r="AD219" s="977" t="e">
        <f>#REF!</f>
        <v>#REF!</v>
      </c>
      <c r="AE219" s="978">
        <v>0</v>
      </c>
      <c r="AF219" s="977" t="e">
        <f>#REF!</f>
        <v>#REF!</v>
      </c>
      <c r="AG219" s="979" t="e">
        <f>#REF!+#REF!</f>
        <v>#REF!</v>
      </c>
      <c r="AH219" s="979" t="e">
        <f>#REF!+#REF!</f>
        <v>#REF!</v>
      </c>
      <c r="AI219" s="979"/>
      <c r="AJ219" s="977" t="e">
        <f>#REF!</f>
        <v>#REF!</v>
      </c>
      <c r="AK219" s="977" t="e">
        <f t="shared" si="35"/>
        <v>#REF!</v>
      </c>
      <c r="AL219" s="977">
        <f t="shared" si="36"/>
        <v>70.27000000000001</v>
      </c>
      <c r="AM219" s="977">
        <f t="shared" si="37"/>
        <v>0</v>
      </c>
      <c r="AN219" s="634"/>
    </row>
    <row r="220" spans="1:40" s="629" customFormat="1" ht="20.100000000000001" customHeight="1">
      <c r="A220" s="771">
        <f t="shared" si="38"/>
        <v>177</v>
      </c>
      <c r="B220" s="980">
        <f>+NOMINA!C219</f>
        <v>18097528</v>
      </c>
      <c r="C220" s="981" t="str">
        <f>+NOMINA!D219</f>
        <v>Godoy Suarez Nelson Jose</v>
      </c>
      <c r="D220" s="978" t="s">
        <v>4622</v>
      </c>
      <c r="E220" s="982">
        <v>32351</v>
      </c>
      <c r="F220" s="978" t="s">
        <v>4620</v>
      </c>
      <c r="G220" s="1004">
        <f>+NOMINA!H219</f>
        <v>45536</v>
      </c>
      <c r="H220" s="984">
        <f t="shared" si="39"/>
        <v>0</v>
      </c>
      <c r="I220" s="985">
        <v>0</v>
      </c>
      <c r="J220" s="999">
        <f>+NOMINA!BL219</f>
        <v>13.68</v>
      </c>
      <c r="K220" s="999">
        <f>+NOMINA!BM219</f>
        <v>1.71</v>
      </c>
      <c r="L220" s="999">
        <f>+NOMINA!BN219</f>
        <v>3.71</v>
      </c>
      <c r="M220" s="999">
        <f>++NOMINA!BO219</f>
        <v>0</v>
      </c>
      <c r="N220" s="999">
        <f>+NOMINA!BP219</f>
        <v>0</v>
      </c>
      <c r="O220" s="986">
        <f t="shared" si="40"/>
        <v>19.100000000000001</v>
      </c>
      <c r="P220" s="999">
        <f>+NOMINA!BR219</f>
        <v>30.78</v>
      </c>
      <c r="Q220" s="999">
        <f>+NOMINA!BS219</f>
        <v>6.84</v>
      </c>
      <c r="R220" s="999">
        <f>+NOMINA!BT219</f>
        <v>7.42</v>
      </c>
      <c r="S220" s="986">
        <f t="shared" si="41"/>
        <v>45.04</v>
      </c>
      <c r="T220" s="986">
        <f t="shared" si="42"/>
        <v>64.14</v>
      </c>
      <c r="U220" s="1005">
        <v>0</v>
      </c>
      <c r="V220" s="443" t="e">
        <f>#REF!+#REF!-O220</f>
        <v>#REF!</v>
      </c>
      <c r="W220" s="975" t="e">
        <f>ROUND((#REF!+#REF!+#REF!+#REF!+#REF!+#REF!+#REF!+#REF!+#REF!),2)</f>
        <v>#REF!</v>
      </c>
      <c r="AA220" s="976" t="e">
        <f>#REF!+#REF!-O220</f>
        <v>#REF!</v>
      </c>
      <c r="AB220" s="977" t="e">
        <f>#REF!</f>
        <v>#REF!</v>
      </c>
      <c r="AC220" s="976" t="e">
        <f>#REF!+#REF!</f>
        <v>#REF!</v>
      </c>
      <c r="AD220" s="977" t="e">
        <f>#REF!</f>
        <v>#REF!</v>
      </c>
      <c r="AE220" s="978">
        <v>0</v>
      </c>
      <c r="AF220" s="977" t="e">
        <f>#REF!</f>
        <v>#REF!</v>
      </c>
      <c r="AG220" s="979" t="e">
        <f>#REF!+#REF!</f>
        <v>#REF!</v>
      </c>
      <c r="AH220" s="979" t="e">
        <f>#REF!+#REF!</f>
        <v>#REF!</v>
      </c>
      <c r="AI220" s="979"/>
      <c r="AJ220" s="977" t="e">
        <f>#REF!</f>
        <v>#REF!</v>
      </c>
      <c r="AK220" s="977" t="e">
        <f t="shared" si="35"/>
        <v>#REF!</v>
      </c>
      <c r="AL220" s="977">
        <f t="shared" si="36"/>
        <v>64.14</v>
      </c>
      <c r="AM220" s="977">
        <f t="shared" si="37"/>
        <v>0</v>
      </c>
      <c r="AN220" s="634"/>
    </row>
    <row r="221" spans="1:40" s="629" customFormat="1" ht="20.100000000000001" customHeight="1">
      <c r="A221" s="771">
        <f t="shared" si="38"/>
        <v>178</v>
      </c>
      <c r="B221" s="980">
        <f>+NOMINA!C220</f>
        <v>18097873</v>
      </c>
      <c r="C221" s="981" t="str">
        <f>+NOMINA!D220</f>
        <v>Villarreal Prada Yoriangela Nataly</v>
      </c>
      <c r="D221" s="978" t="s">
        <v>4622</v>
      </c>
      <c r="E221" s="982">
        <v>32351</v>
      </c>
      <c r="F221" s="978" t="s">
        <v>4620</v>
      </c>
      <c r="G221" s="1004">
        <f>+NOMINA!H220</f>
        <v>44531</v>
      </c>
      <c r="H221" s="984">
        <f t="shared" si="39"/>
        <v>1</v>
      </c>
      <c r="I221" s="985">
        <v>0</v>
      </c>
      <c r="J221" s="999">
        <f>+NOMINA!BL220</f>
        <v>14.86</v>
      </c>
      <c r="K221" s="999">
        <f>+NOMINA!BM220</f>
        <v>1.86</v>
      </c>
      <c r="L221" s="999">
        <f>+NOMINA!BN220</f>
        <v>4.0199999999999996</v>
      </c>
      <c r="M221" s="999">
        <f>++NOMINA!BO220</f>
        <v>0</v>
      </c>
      <c r="N221" s="999">
        <f>+NOMINA!BP220</f>
        <v>0</v>
      </c>
      <c r="O221" s="986">
        <f t="shared" si="40"/>
        <v>20.74</v>
      </c>
      <c r="P221" s="999">
        <f>+NOMINA!BR220</f>
        <v>33.43</v>
      </c>
      <c r="Q221" s="999">
        <f>+NOMINA!BS220</f>
        <v>7.43</v>
      </c>
      <c r="R221" s="999">
        <f>+NOMINA!BT220</f>
        <v>8.0399999999999991</v>
      </c>
      <c r="S221" s="986">
        <f t="shared" si="41"/>
        <v>48.9</v>
      </c>
      <c r="T221" s="986">
        <f t="shared" si="42"/>
        <v>69.64</v>
      </c>
      <c r="U221" s="1005">
        <v>0</v>
      </c>
      <c r="V221" s="443" t="e">
        <f>#REF!+#REF!-O221</f>
        <v>#REF!</v>
      </c>
      <c r="W221" s="975" t="e">
        <f>ROUND((#REF!+#REF!+#REF!+#REF!+#REF!+#REF!+#REF!+#REF!+#REF!),2)</f>
        <v>#REF!</v>
      </c>
      <c r="AA221" s="976" t="e">
        <f>#REF!+#REF!-O221</f>
        <v>#REF!</v>
      </c>
      <c r="AB221" s="977" t="e">
        <f>#REF!</f>
        <v>#REF!</v>
      </c>
      <c r="AC221" s="976" t="e">
        <f>#REF!+#REF!</f>
        <v>#REF!</v>
      </c>
      <c r="AD221" s="977" t="e">
        <f>#REF!</f>
        <v>#REF!</v>
      </c>
      <c r="AE221" s="978">
        <v>0</v>
      </c>
      <c r="AF221" s="977" t="e">
        <f>#REF!</f>
        <v>#REF!</v>
      </c>
      <c r="AG221" s="979" t="e">
        <f>#REF!+#REF!</f>
        <v>#REF!</v>
      </c>
      <c r="AH221" s="979" t="e">
        <f>#REF!+#REF!</f>
        <v>#REF!</v>
      </c>
      <c r="AI221" s="979"/>
      <c r="AJ221" s="977" t="e">
        <f>#REF!</f>
        <v>#REF!</v>
      </c>
      <c r="AK221" s="977" t="e">
        <f t="shared" si="35"/>
        <v>#REF!</v>
      </c>
      <c r="AL221" s="977">
        <f t="shared" si="36"/>
        <v>69.64</v>
      </c>
      <c r="AM221" s="977">
        <f t="shared" si="37"/>
        <v>0</v>
      </c>
      <c r="AN221" s="634"/>
    </row>
    <row r="222" spans="1:40" s="629" customFormat="1" ht="20.100000000000001" customHeight="1">
      <c r="A222" s="771">
        <f t="shared" si="38"/>
        <v>179</v>
      </c>
      <c r="B222" s="980">
        <f>+NOMINA!C221</f>
        <v>18348317</v>
      </c>
      <c r="C222" s="981" t="str">
        <f>+NOMINA!D221</f>
        <v>Abreu Araujo Gilmer Francisco</v>
      </c>
      <c r="D222" s="978" t="s">
        <v>4622</v>
      </c>
      <c r="E222" s="982">
        <v>32351</v>
      </c>
      <c r="F222" s="978" t="s">
        <v>4620</v>
      </c>
      <c r="G222" s="1004">
        <f>+NOMINA!H221</f>
        <v>43160</v>
      </c>
      <c r="H222" s="984">
        <f t="shared" si="39"/>
        <v>4</v>
      </c>
      <c r="I222" s="985">
        <v>0</v>
      </c>
      <c r="J222" s="999">
        <f>+NOMINA!BL221</f>
        <v>21.06</v>
      </c>
      <c r="K222" s="999">
        <f>+NOMINA!BM221</f>
        <v>2.63</v>
      </c>
      <c r="L222" s="999">
        <f>+NOMINA!BN221</f>
        <v>5.7</v>
      </c>
      <c r="M222" s="999">
        <f>++NOMINA!BO221</f>
        <v>0</v>
      </c>
      <c r="N222" s="999">
        <f>+NOMINA!BP221</f>
        <v>0</v>
      </c>
      <c r="O222" s="986">
        <f t="shared" si="40"/>
        <v>29.39</v>
      </c>
      <c r="P222" s="999">
        <f>+NOMINA!BR221</f>
        <v>47.39</v>
      </c>
      <c r="Q222" s="999">
        <f>+NOMINA!BS221</f>
        <v>10.53</v>
      </c>
      <c r="R222" s="999">
        <f>+NOMINA!BT221</f>
        <v>11.4</v>
      </c>
      <c r="S222" s="986">
        <f t="shared" si="41"/>
        <v>69.319999999999993</v>
      </c>
      <c r="T222" s="986">
        <f t="shared" si="42"/>
        <v>98.71</v>
      </c>
      <c r="U222" s="1005">
        <v>0</v>
      </c>
      <c r="V222" s="443" t="e">
        <f>#REF!+#REF!-O222</f>
        <v>#REF!</v>
      </c>
      <c r="W222" s="975" t="e">
        <f>ROUND((#REF!+#REF!+#REF!+#REF!+#REF!+#REF!+#REF!+#REF!+#REF!),2)</f>
        <v>#REF!</v>
      </c>
      <c r="AA222" s="976" t="e">
        <f>#REF!+#REF!-O222</f>
        <v>#REF!</v>
      </c>
      <c r="AB222" s="977" t="e">
        <f>#REF!</f>
        <v>#REF!</v>
      </c>
      <c r="AC222" s="976" t="e">
        <f>#REF!+#REF!</f>
        <v>#REF!</v>
      </c>
      <c r="AD222" s="977" t="e">
        <f>#REF!</f>
        <v>#REF!</v>
      </c>
      <c r="AE222" s="978">
        <v>0</v>
      </c>
      <c r="AF222" s="977" t="e">
        <f>#REF!</f>
        <v>#REF!</v>
      </c>
      <c r="AG222" s="979" t="e">
        <f>#REF!+#REF!</f>
        <v>#REF!</v>
      </c>
      <c r="AH222" s="979" t="e">
        <f>#REF!+#REF!</f>
        <v>#REF!</v>
      </c>
      <c r="AI222" s="979"/>
      <c r="AJ222" s="977" t="e">
        <f>#REF!</f>
        <v>#REF!</v>
      </c>
      <c r="AK222" s="977" t="e">
        <f t="shared" si="35"/>
        <v>#REF!</v>
      </c>
      <c r="AL222" s="977">
        <f t="shared" si="36"/>
        <v>98.71</v>
      </c>
      <c r="AM222" s="977">
        <f t="shared" si="37"/>
        <v>0</v>
      </c>
      <c r="AN222" s="634"/>
    </row>
    <row r="223" spans="1:40" s="629" customFormat="1" ht="20.100000000000001" customHeight="1">
      <c r="A223" s="771">
        <f t="shared" si="38"/>
        <v>180</v>
      </c>
      <c r="B223" s="980">
        <f>+NOMINA!C222</f>
        <v>18348721</v>
      </c>
      <c r="C223" s="981" t="str">
        <f>+NOMINA!D222</f>
        <v>Villarreal Lusana Carolina</v>
      </c>
      <c r="D223" s="978" t="s">
        <v>4622</v>
      </c>
      <c r="E223" s="982">
        <v>32351</v>
      </c>
      <c r="F223" s="978" t="s">
        <v>4620</v>
      </c>
      <c r="G223" s="1004">
        <f>+NOMINA!H222</f>
        <v>42948</v>
      </c>
      <c r="H223" s="984">
        <f t="shared" si="39"/>
        <v>5</v>
      </c>
      <c r="I223" s="985">
        <v>0</v>
      </c>
      <c r="J223" s="999">
        <f>+NOMINA!BL222</f>
        <v>17.38</v>
      </c>
      <c r="K223" s="999">
        <f>+NOMINA!BM222</f>
        <v>2.17</v>
      </c>
      <c r="L223" s="999">
        <f>+NOMINA!BN222</f>
        <v>4.71</v>
      </c>
      <c r="M223" s="999">
        <f>++NOMINA!BO222</f>
        <v>0</v>
      </c>
      <c r="N223" s="999">
        <f>+NOMINA!BP222</f>
        <v>0</v>
      </c>
      <c r="O223" s="986">
        <f t="shared" si="40"/>
        <v>24.26</v>
      </c>
      <c r="P223" s="999">
        <f>+NOMINA!BR222</f>
        <v>39.11</v>
      </c>
      <c r="Q223" s="999">
        <f>+NOMINA!BS222</f>
        <v>8.69</v>
      </c>
      <c r="R223" s="999">
        <f>+NOMINA!BT222</f>
        <v>9.42</v>
      </c>
      <c r="S223" s="986">
        <f t="shared" si="41"/>
        <v>57.22</v>
      </c>
      <c r="T223" s="986">
        <f t="shared" si="42"/>
        <v>81.48</v>
      </c>
      <c r="U223" s="1005">
        <v>0</v>
      </c>
      <c r="V223" s="443" t="e">
        <f>#REF!+#REF!-O223</f>
        <v>#REF!</v>
      </c>
      <c r="W223" s="975" t="e">
        <f>ROUND((#REF!+#REF!+#REF!+#REF!+#REF!+#REF!+#REF!+#REF!+#REF!),2)</f>
        <v>#REF!</v>
      </c>
      <c r="AA223" s="976" t="e">
        <f>#REF!+#REF!-O223</f>
        <v>#REF!</v>
      </c>
      <c r="AB223" s="977" t="e">
        <f>#REF!</f>
        <v>#REF!</v>
      </c>
      <c r="AC223" s="976" t="e">
        <f>#REF!+#REF!</f>
        <v>#REF!</v>
      </c>
      <c r="AD223" s="977" t="e">
        <f>#REF!</f>
        <v>#REF!</v>
      </c>
      <c r="AE223" s="978">
        <v>0</v>
      </c>
      <c r="AF223" s="977" t="e">
        <f>#REF!</f>
        <v>#REF!</v>
      </c>
      <c r="AG223" s="979" t="e">
        <f>#REF!+#REF!</f>
        <v>#REF!</v>
      </c>
      <c r="AH223" s="979" t="e">
        <f>#REF!+#REF!</f>
        <v>#REF!</v>
      </c>
      <c r="AI223" s="979"/>
      <c r="AJ223" s="977" t="e">
        <f>#REF!</f>
        <v>#REF!</v>
      </c>
      <c r="AK223" s="977" t="e">
        <f t="shared" si="35"/>
        <v>#REF!</v>
      </c>
      <c r="AL223" s="977">
        <f t="shared" si="36"/>
        <v>81.48</v>
      </c>
      <c r="AM223" s="977">
        <f t="shared" si="37"/>
        <v>0</v>
      </c>
      <c r="AN223" s="634"/>
    </row>
    <row r="224" spans="1:40" s="629" customFormat="1" ht="20.100000000000001" customHeight="1">
      <c r="A224" s="771">
        <f t="shared" si="38"/>
        <v>181</v>
      </c>
      <c r="B224" s="980">
        <f>+NOMINA!C223</f>
        <v>18349021</v>
      </c>
      <c r="C224" s="981" t="str">
        <f>+NOMINA!D223</f>
        <v>Godoy Linares Amenaida del Valle</v>
      </c>
      <c r="D224" s="978" t="s">
        <v>4622</v>
      </c>
      <c r="E224" s="982">
        <v>32351</v>
      </c>
      <c r="F224" s="978" t="s">
        <v>4620</v>
      </c>
      <c r="G224" s="1004">
        <f>+NOMINA!H223</f>
        <v>44683</v>
      </c>
      <c r="H224" s="984">
        <f t="shared" si="39"/>
        <v>0</v>
      </c>
      <c r="I224" s="985">
        <v>0</v>
      </c>
      <c r="J224" s="999">
        <f>+NOMINA!BL223</f>
        <v>20.3</v>
      </c>
      <c r="K224" s="999">
        <f>+NOMINA!BM223</f>
        <v>2.54</v>
      </c>
      <c r="L224" s="999">
        <f>+NOMINA!BN223</f>
        <v>5.5</v>
      </c>
      <c r="M224" s="999">
        <f>++NOMINA!BO223</f>
        <v>0</v>
      </c>
      <c r="N224" s="999">
        <f>+NOMINA!BP223</f>
        <v>0</v>
      </c>
      <c r="O224" s="986">
        <f t="shared" si="40"/>
        <v>28.34</v>
      </c>
      <c r="P224" s="999">
        <f>+NOMINA!BR223</f>
        <v>45.68</v>
      </c>
      <c r="Q224" s="999">
        <f>+NOMINA!BS223</f>
        <v>10.15</v>
      </c>
      <c r="R224" s="999">
        <f>+NOMINA!BT223</f>
        <v>11</v>
      </c>
      <c r="S224" s="986">
        <f t="shared" si="41"/>
        <v>66.83</v>
      </c>
      <c r="T224" s="986">
        <f t="shared" si="42"/>
        <v>95.17</v>
      </c>
      <c r="U224" s="1005">
        <v>0</v>
      </c>
      <c r="V224" s="443" t="e">
        <f>#REF!+#REF!-O224</f>
        <v>#REF!</v>
      </c>
      <c r="W224" s="975" t="e">
        <f>ROUND((#REF!+#REF!+#REF!+#REF!+#REF!+#REF!+#REF!+#REF!+#REF!),2)</f>
        <v>#REF!</v>
      </c>
      <c r="AA224" s="976" t="e">
        <f>#REF!+#REF!-O224</f>
        <v>#REF!</v>
      </c>
      <c r="AB224" s="977" t="e">
        <f>#REF!</f>
        <v>#REF!</v>
      </c>
      <c r="AC224" s="976" t="e">
        <f>#REF!+#REF!</f>
        <v>#REF!</v>
      </c>
      <c r="AD224" s="977" t="e">
        <f>#REF!</f>
        <v>#REF!</v>
      </c>
      <c r="AE224" s="978">
        <v>0</v>
      </c>
      <c r="AF224" s="977" t="e">
        <f>#REF!</f>
        <v>#REF!</v>
      </c>
      <c r="AG224" s="979" t="e">
        <f>#REF!+#REF!</f>
        <v>#REF!</v>
      </c>
      <c r="AH224" s="979" t="e">
        <f>#REF!+#REF!</f>
        <v>#REF!</v>
      </c>
      <c r="AI224" s="979"/>
      <c r="AJ224" s="977" t="e">
        <f>#REF!</f>
        <v>#REF!</v>
      </c>
      <c r="AK224" s="977" t="e">
        <f t="shared" si="35"/>
        <v>#REF!</v>
      </c>
      <c r="AL224" s="977">
        <f t="shared" si="36"/>
        <v>95.17</v>
      </c>
      <c r="AM224" s="977">
        <f t="shared" si="37"/>
        <v>0</v>
      </c>
      <c r="AN224" s="634"/>
    </row>
    <row r="225" spans="1:40" s="629" customFormat="1" ht="20.100000000000001" customHeight="1">
      <c r="A225" s="771">
        <f t="shared" si="38"/>
        <v>182</v>
      </c>
      <c r="B225" s="980">
        <f>+NOMINA!C224</f>
        <v>18349553</v>
      </c>
      <c r="C225" s="981" t="str">
        <f>+NOMINA!D224</f>
        <v>Quiroga Valdes Nayla Carolina</v>
      </c>
      <c r="D225" s="978" t="s">
        <v>4622</v>
      </c>
      <c r="E225" s="982">
        <v>32351</v>
      </c>
      <c r="F225" s="978" t="s">
        <v>4620</v>
      </c>
      <c r="G225" s="1004">
        <f>+NOMINA!H224</f>
        <v>45566</v>
      </c>
      <c r="H225" s="984">
        <f t="shared" si="39"/>
        <v>0</v>
      </c>
      <c r="I225" s="985">
        <v>0</v>
      </c>
      <c r="J225" s="999">
        <f>+NOMINA!BL224</f>
        <v>22.56</v>
      </c>
      <c r="K225" s="999">
        <f>+NOMINA!BM224</f>
        <v>2.82</v>
      </c>
      <c r="L225" s="999">
        <f>+NOMINA!BN224</f>
        <v>6.11</v>
      </c>
      <c r="M225" s="999">
        <f>++NOMINA!BO224</f>
        <v>0</v>
      </c>
      <c r="N225" s="999">
        <f>+NOMINA!BP224</f>
        <v>0</v>
      </c>
      <c r="O225" s="986">
        <f t="shared" si="40"/>
        <v>31.49</v>
      </c>
      <c r="P225" s="999">
        <f>+NOMINA!BR224</f>
        <v>50.76</v>
      </c>
      <c r="Q225" s="999">
        <f>+NOMINA!BS224</f>
        <v>11.28</v>
      </c>
      <c r="R225" s="999">
        <f>+NOMINA!BT224</f>
        <v>12.22</v>
      </c>
      <c r="S225" s="986">
        <f t="shared" si="41"/>
        <v>74.260000000000005</v>
      </c>
      <c r="T225" s="986">
        <f t="shared" si="42"/>
        <v>105.75</v>
      </c>
      <c r="U225" s="1005">
        <v>0</v>
      </c>
      <c r="V225" s="443" t="e">
        <f>#REF!+#REF!-O225</f>
        <v>#REF!</v>
      </c>
      <c r="W225" s="975" t="e">
        <f>ROUND((#REF!+#REF!+#REF!+#REF!+#REF!+#REF!+#REF!+#REF!+#REF!),2)</f>
        <v>#REF!</v>
      </c>
      <c r="AA225" s="976" t="e">
        <f>#REF!+#REF!-O225</f>
        <v>#REF!</v>
      </c>
      <c r="AB225" s="977" t="e">
        <f>#REF!</f>
        <v>#REF!</v>
      </c>
      <c r="AC225" s="976" t="e">
        <f>#REF!+#REF!</f>
        <v>#REF!</v>
      </c>
      <c r="AD225" s="977" t="e">
        <f>#REF!</f>
        <v>#REF!</v>
      </c>
      <c r="AE225" s="978">
        <v>0</v>
      </c>
      <c r="AF225" s="977" t="e">
        <f>#REF!</f>
        <v>#REF!</v>
      </c>
      <c r="AG225" s="979" t="e">
        <f>#REF!+#REF!</f>
        <v>#REF!</v>
      </c>
      <c r="AH225" s="979" t="e">
        <f>#REF!+#REF!</f>
        <v>#REF!</v>
      </c>
      <c r="AI225" s="979"/>
      <c r="AJ225" s="977" t="e">
        <f>#REF!</f>
        <v>#REF!</v>
      </c>
      <c r="AK225" s="977" t="e">
        <f t="shared" si="35"/>
        <v>#REF!</v>
      </c>
      <c r="AL225" s="977">
        <f t="shared" si="36"/>
        <v>105.75</v>
      </c>
      <c r="AM225" s="977">
        <f t="shared" si="37"/>
        <v>0</v>
      </c>
      <c r="AN225" s="634"/>
    </row>
    <row r="226" spans="1:40" s="629" customFormat="1" ht="20.100000000000001" customHeight="1">
      <c r="A226" s="771">
        <f t="shared" si="38"/>
        <v>183</v>
      </c>
      <c r="B226" s="980">
        <f>+NOMINA!C225</f>
        <v>18349653</v>
      </c>
      <c r="C226" s="981" t="str">
        <f>+NOMINA!D225</f>
        <v>Baptista Finol Violexy del Valle</v>
      </c>
      <c r="D226" s="978" t="s">
        <v>4622</v>
      </c>
      <c r="E226" s="982">
        <v>32351</v>
      </c>
      <c r="F226" s="978" t="s">
        <v>4620</v>
      </c>
      <c r="G226" s="1004">
        <f>+NOMINA!H225</f>
        <v>45627</v>
      </c>
      <c r="H226" s="984">
        <f t="shared" si="39"/>
        <v>0</v>
      </c>
      <c r="I226" s="985">
        <v>0</v>
      </c>
      <c r="J226" s="999">
        <f>+NOMINA!BL225</f>
        <v>20.82</v>
      </c>
      <c r="K226" s="999">
        <f>+NOMINA!BM225</f>
        <v>2.6</v>
      </c>
      <c r="L226" s="999">
        <f>+NOMINA!BN225</f>
        <v>5.64</v>
      </c>
      <c r="M226" s="999">
        <f>++NOMINA!BO225</f>
        <v>0</v>
      </c>
      <c r="N226" s="999">
        <f>+NOMINA!BP225</f>
        <v>0</v>
      </c>
      <c r="O226" s="986">
        <f t="shared" si="40"/>
        <v>29.06</v>
      </c>
      <c r="P226" s="999">
        <f>+NOMINA!BR225</f>
        <v>46.85</v>
      </c>
      <c r="Q226" s="999">
        <f>+NOMINA!BS225</f>
        <v>10.41</v>
      </c>
      <c r="R226" s="999">
        <f>+NOMINA!BT225</f>
        <v>11.28</v>
      </c>
      <c r="S226" s="986">
        <f t="shared" si="41"/>
        <v>68.540000000000006</v>
      </c>
      <c r="T226" s="986">
        <f t="shared" si="42"/>
        <v>97.600000000000009</v>
      </c>
      <c r="U226" s="1005">
        <v>0</v>
      </c>
      <c r="V226" s="443" t="e">
        <f>#REF!+#REF!-O226</f>
        <v>#REF!</v>
      </c>
      <c r="W226" s="975" t="e">
        <f>ROUND((#REF!+#REF!+#REF!+#REF!+#REF!+#REF!+#REF!+#REF!+#REF!),2)</f>
        <v>#REF!</v>
      </c>
      <c r="AA226" s="976" t="e">
        <f>#REF!+#REF!-O226</f>
        <v>#REF!</v>
      </c>
      <c r="AB226" s="977" t="e">
        <f>#REF!</f>
        <v>#REF!</v>
      </c>
      <c r="AC226" s="976" t="e">
        <f>#REF!+#REF!</f>
        <v>#REF!</v>
      </c>
      <c r="AD226" s="977" t="e">
        <f>#REF!</f>
        <v>#REF!</v>
      </c>
      <c r="AE226" s="978">
        <v>0</v>
      </c>
      <c r="AF226" s="977" t="e">
        <f>#REF!</f>
        <v>#REF!</v>
      </c>
      <c r="AG226" s="979" t="e">
        <f>#REF!+#REF!</f>
        <v>#REF!</v>
      </c>
      <c r="AH226" s="979" t="e">
        <f>#REF!+#REF!</f>
        <v>#REF!</v>
      </c>
      <c r="AI226" s="979"/>
      <c r="AJ226" s="977" t="e">
        <f>#REF!</f>
        <v>#REF!</v>
      </c>
      <c r="AK226" s="977" t="e">
        <f t="shared" si="35"/>
        <v>#REF!</v>
      </c>
      <c r="AL226" s="977">
        <f t="shared" si="36"/>
        <v>97.600000000000009</v>
      </c>
      <c r="AM226" s="977">
        <f t="shared" si="37"/>
        <v>0</v>
      </c>
      <c r="AN226" s="634"/>
    </row>
    <row r="227" spans="1:40" s="629" customFormat="1" ht="20.100000000000001" customHeight="1">
      <c r="A227" s="771">
        <f t="shared" si="38"/>
        <v>184</v>
      </c>
      <c r="B227" s="980">
        <f>+NOMINA!C226</f>
        <v>18350884</v>
      </c>
      <c r="C227" s="981" t="str">
        <f>+NOMINA!D226</f>
        <v>Araujo Mendoza Mirelis Carolina</v>
      </c>
      <c r="D227" s="978" t="s">
        <v>4622</v>
      </c>
      <c r="E227" s="982">
        <v>32351</v>
      </c>
      <c r="F227" s="978" t="s">
        <v>4620</v>
      </c>
      <c r="G227" s="1004">
        <f>+NOMINA!H226</f>
        <v>45474</v>
      </c>
      <c r="H227" s="984">
        <f t="shared" si="39"/>
        <v>0</v>
      </c>
      <c r="I227" s="985">
        <v>0</v>
      </c>
      <c r="J227" s="999">
        <f>+NOMINA!BL226</f>
        <v>13.08</v>
      </c>
      <c r="K227" s="999">
        <f>+NOMINA!BM226</f>
        <v>1.64</v>
      </c>
      <c r="L227" s="999">
        <f>+NOMINA!BN226</f>
        <v>3.54</v>
      </c>
      <c r="M227" s="999">
        <f>++NOMINA!BO226</f>
        <v>0</v>
      </c>
      <c r="N227" s="999">
        <f>+NOMINA!BP226</f>
        <v>0</v>
      </c>
      <c r="O227" s="986">
        <f t="shared" si="40"/>
        <v>18.260000000000002</v>
      </c>
      <c r="P227" s="999">
        <f>+NOMINA!BR226</f>
        <v>29.43</v>
      </c>
      <c r="Q227" s="999">
        <f>+NOMINA!BS226</f>
        <v>6.54</v>
      </c>
      <c r="R227" s="999">
        <f>+NOMINA!BT226</f>
        <v>7.08</v>
      </c>
      <c r="S227" s="986">
        <f t="shared" si="41"/>
        <v>43.05</v>
      </c>
      <c r="T227" s="986">
        <f t="shared" si="42"/>
        <v>61.31</v>
      </c>
      <c r="U227" s="1005">
        <v>0</v>
      </c>
      <c r="V227" s="443" t="e">
        <f>#REF!+#REF!-O227</f>
        <v>#REF!</v>
      </c>
      <c r="W227" s="975" t="e">
        <f>ROUND((#REF!+#REF!+#REF!+#REF!+#REF!+#REF!+#REF!+#REF!+#REF!),2)</f>
        <v>#REF!</v>
      </c>
      <c r="AA227" s="976" t="e">
        <f>#REF!+#REF!-O227</f>
        <v>#REF!</v>
      </c>
      <c r="AB227" s="977" t="e">
        <f>#REF!</f>
        <v>#REF!</v>
      </c>
      <c r="AC227" s="976" t="e">
        <f>#REF!+#REF!</f>
        <v>#REF!</v>
      </c>
      <c r="AD227" s="977" t="e">
        <f>#REF!</f>
        <v>#REF!</v>
      </c>
      <c r="AE227" s="978">
        <v>0</v>
      </c>
      <c r="AF227" s="977" t="e">
        <f>#REF!</f>
        <v>#REF!</v>
      </c>
      <c r="AG227" s="979" t="e">
        <f>#REF!+#REF!</f>
        <v>#REF!</v>
      </c>
      <c r="AH227" s="979" t="e">
        <f>#REF!+#REF!</f>
        <v>#REF!</v>
      </c>
      <c r="AI227" s="979"/>
      <c r="AJ227" s="977" t="e">
        <f>#REF!</f>
        <v>#REF!</v>
      </c>
      <c r="AK227" s="977" t="e">
        <f t="shared" si="35"/>
        <v>#REF!</v>
      </c>
      <c r="AL227" s="977">
        <f t="shared" si="36"/>
        <v>61.31</v>
      </c>
      <c r="AM227" s="977">
        <f t="shared" si="37"/>
        <v>0</v>
      </c>
      <c r="AN227" s="634"/>
    </row>
    <row r="228" spans="1:40" s="629" customFormat="1" ht="20.100000000000001" customHeight="1">
      <c r="A228" s="771">
        <f t="shared" si="38"/>
        <v>185</v>
      </c>
      <c r="B228" s="980">
        <f>+NOMINA!C227</f>
        <v>18378985</v>
      </c>
      <c r="C228" s="981" t="str">
        <f>+NOMINA!D227</f>
        <v>Quintero Paradas Ilse Maria</v>
      </c>
      <c r="D228" s="978" t="s">
        <v>4622</v>
      </c>
      <c r="E228" s="982">
        <v>32351</v>
      </c>
      <c r="F228" s="978" t="s">
        <v>4620</v>
      </c>
      <c r="G228" s="1004">
        <f>+NOMINA!H227</f>
        <v>43147</v>
      </c>
      <c r="H228" s="984">
        <f t="shared" si="39"/>
        <v>4</v>
      </c>
      <c r="I228" s="985">
        <v>0</v>
      </c>
      <c r="J228" s="999">
        <f>+NOMINA!BL227</f>
        <v>20.25</v>
      </c>
      <c r="K228" s="999">
        <f>+NOMINA!BM227</f>
        <v>2.5299999999999998</v>
      </c>
      <c r="L228" s="999">
        <f>+NOMINA!BN227</f>
        <v>5.49</v>
      </c>
      <c r="M228" s="999">
        <f>++NOMINA!BO227</f>
        <v>0</v>
      </c>
      <c r="N228" s="999">
        <f>+NOMINA!BP227</f>
        <v>0</v>
      </c>
      <c r="O228" s="986">
        <f t="shared" si="40"/>
        <v>28.27</v>
      </c>
      <c r="P228" s="999">
        <f>+NOMINA!BR227</f>
        <v>45.57</v>
      </c>
      <c r="Q228" s="999">
        <f>+NOMINA!BS227</f>
        <v>10.130000000000001</v>
      </c>
      <c r="R228" s="999">
        <f>+NOMINA!BT227</f>
        <v>10.98</v>
      </c>
      <c r="S228" s="986">
        <f t="shared" si="41"/>
        <v>66.680000000000007</v>
      </c>
      <c r="T228" s="986">
        <f t="shared" si="42"/>
        <v>94.95</v>
      </c>
      <c r="U228" s="1005">
        <v>0</v>
      </c>
      <c r="V228" s="443" t="e">
        <f>#REF!+#REF!-O228</f>
        <v>#REF!</v>
      </c>
      <c r="W228" s="975" t="e">
        <f>ROUND((#REF!+#REF!+#REF!+#REF!+#REF!+#REF!+#REF!+#REF!+#REF!),2)</f>
        <v>#REF!</v>
      </c>
      <c r="AA228" s="976" t="e">
        <f>#REF!+#REF!-O228</f>
        <v>#REF!</v>
      </c>
      <c r="AB228" s="977" t="e">
        <f>#REF!</f>
        <v>#REF!</v>
      </c>
      <c r="AC228" s="976" t="e">
        <f>#REF!+#REF!</f>
        <v>#REF!</v>
      </c>
      <c r="AD228" s="977" t="e">
        <f>#REF!</f>
        <v>#REF!</v>
      </c>
      <c r="AE228" s="978">
        <v>0</v>
      </c>
      <c r="AF228" s="977" t="e">
        <f>#REF!</f>
        <v>#REF!</v>
      </c>
      <c r="AG228" s="979" t="e">
        <f>#REF!+#REF!</f>
        <v>#REF!</v>
      </c>
      <c r="AH228" s="979" t="e">
        <f>#REF!+#REF!</f>
        <v>#REF!</v>
      </c>
      <c r="AI228" s="979"/>
      <c r="AJ228" s="977" t="e">
        <f>#REF!</f>
        <v>#REF!</v>
      </c>
      <c r="AK228" s="977" t="e">
        <f t="shared" si="35"/>
        <v>#REF!</v>
      </c>
      <c r="AL228" s="977">
        <f t="shared" si="36"/>
        <v>94.95</v>
      </c>
      <c r="AM228" s="977">
        <f t="shared" si="37"/>
        <v>0</v>
      </c>
      <c r="AN228" s="634"/>
    </row>
    <row r="229" spans="1:40" s="629" customFormat="1" ht="20.100000000000001" customHeight="1">
      <c r="A229" s="771">
        <f t="shared" si="38"/>
        <v>186</v>
      </c>
      <c r="B229" s="980">
        <f>+NOMINA!C228</f>
        <v>18456345</v>
      </c>
      <c r="C229" s="981" t="str">
        <f>+NOMINA!D228</f>
        <v>Peñaloza Olmos Eduardo Jose</v>
      </c>
      <c r="D229" s="978" t="s">
        <v>4622</v>
      </c>
      <c r="E229" s="982">
        <v>32351</v>
      </c>
      <c r="F229" s="978" t="s">
        <v>4620</v>
      </c>
      <c r="G229" s="1004">
        <f>+NOMINA!H228</f>
        <v>44774</v>
      </c>
      <c r="H229" s="984">
        <f t="shared" si="39"/>
        <v>0</v>
      </c>
      <c r="I229" s="985">
        <v>0</v>
      </c>
      <c r="J229" s="999">
        <f>+NOMINA!BL228</f>
        <v>17.579999999999998</v>
      </c>
      <c r="K229" s="999">
        <f>+NOMINA!BM228</f>
        <v>2.2000000000000002</v>
      </c>
      <c r="L229" s="999">
        <f>+NOMINA!BN228</f>
        <v>4.76</v>
      </c>
      <c r="M229" s="999">
        <f>++NOMINA!BO228</f>
        <v>0</v>
      </c>
      <c r="N229" s="999">
        <f>+NOMINA!BP228</f>
        <v>0</v>
      </c>
      <c r="O229" s="986">
        <f t="shared" si="40"/>
        <v>24.54</v>
      </c>
      <c r="P229" s="999">
        <f>+NOMINA!BR228</f>
        <v>39.56</v>
      </c>
      <c r="Q229" s="999">
        <f>+NOMINA!BS228</f>
        <v>8.7899999999999991</v>
      </c>
      <c r="R229" s="999">
        <f>+NOMINA!BT228</f>
        <v>9.52</v>
      </c>
      <c r="S229" s="986">
        <f t="shared" si="41"/>
        <v>57.87</v>
      </c>
      <c r="T229" s="986">
        <f t="shared" si="42"/>
        <v>82.41</v>
      </c>
      <c r="U229" s="1005">
        <v>0</v>
      </c>
      <c r="V229" s="443" t="e">
        <f>#REF!+#REF!-O229</f>
        <v>#REF!</v>
      </c>
      <c r="W229" s="975" t="e">
        <f>ROUND((#REF!+#REF!+#REF!+#REF!+#REF!+#REF!+#REF!+#REF!+#REF!),2)</f>
        <v>#REF!</v>
      </c>
      <c r="AA229" s="976" t="e">
        <f>#REF!+#REF!-O229</f>
        <v>#REF!</v>
      </c>
      <c r="AB229" s="977" t="e">
        <f>#REF!</f>
        <v>#REF!</v>
      </c>
      <c r="AC229" s="976" t="e">
        <f>#REF!+#REF!</f>
        <v>#REF!</v>
      </c>
      <c r="AD229" s="977" t="e">
        <f>#REF!</f>
        <v>#REF!</v>
      </c>
      <c r="AE229" s="978">
        <v>0</v>
      </c>
      <c r="AF229" s="977" t="e">
        <f>#REF!</f>
        <v>#REF!</v>
      </c>
      <c r="AG229" s="979" t="e">
        <f>#REF!+#REF!</f>
        <v>#REF!</v>
      </c>
      <c r="AH229" s="979" t="e">
        <f>#REF!+#REF!</f>
        <v>#REF!</v>
      </c>
      <c r="AI229" s="979"/>
      <c r="AJ229" s="977" t="e">
        <f>#REF!</f>
        <v>#REF!</v>
      </c>
      <c r="AK229" s="977" t="e">
        <f t="shared" si="35"/>
        <v>#REF!</v>
      </c>
      <c r="AL229" s="977">
        <f t="shared" si="36"/>
        <v>82.41</v>
      </c>
      <c r="AM229" s="977">
        <f t="shared" si="37"/>
        <v>0</v>
      </c>
      <c r="AN229" s="634"/>
    </row>
    <row r="230" spans="1:40" s="629" customFormat="1" ht="20.100000000000001" customHeight="1">
      <c r="A230" s="771">
        <f t="shared" si="38"/>
        <v>187</v>
      </c>
      <c r="B230" s="980">
        <f>+NOMINA!C229</f>
        <v>18457406</v>
      </c>
      <c r="C230" s="981" t="str">
        <f>+NOMINA!D229</f>
        <v>Rivero Zambrano Herluis Jose</v>
      </c>
      <c r="D230" s="978" t="s">
        <v>4622</v>
      </c>
      <c r="E230" s="982">
        <v>32351</v>
      </c>
      <c r="F230" s="978" t="s">
        <v>4620</v>
      </c>
      <c r="G230" s="1004">
        <f>+NOMINA!H229</f>
        <v>41548</v>
      </c>
      <c r="H230" s="984">
        <f t="shared" si="39"/>
        <v>9</v>
      </c>
      <c r="I230" s="985">
        <v>0</v>
      </c>
      <c r="J230" s="999">
        <f>+NOMINA!BL229</f>
        <v>0</v>
      </c>
      <c r="K230" s="999">
        <f>+NOMINA!BM229</f>
        <v>0</v>
      </c>
      <c r="L230" s="999">
        <f>+NOMINA!BN229</f>
        <v>0</v>
      </c>
      <c r="M230" s="999">
        <f>++NOMINA!BO229</f>
        <v>0</v>
      </c>
      <c r="N230" s="999">
        <f>+NOMINA!BP229</f>
        <v>0</v>
      </c>
      <c r="O230" s="986">
        <f t="shared" si="40"/>
        <v>0</v>
      </c>
      <c r="P230" s="999">
        <f>+NOMINA!BR229</f>
        <v>0</v>
      </c>
      <c r="Q230" s="999">
        <f>+NOMINA!BS229</f>
        <v>0</v>
      </c>
      <c r="R230" s="999">
        <f>+NOMINA!BT229</f>
        <v>0</v>
      </c>
      <c r="S230" s="986">
        <f t="shared" si="41"/>
        <v>0</v>
      </c>
      <c r="T230" s="986">
        <f t="shared" si="42"/>
        <v>0</v>
      </c>
      <c r="U230" s="1005">
        <v>0</v>
      </c>
      <c r="V230" s="443" t="e">
        <f>#REF!+#REF!-O230</f>
        <v>#REF!</v>
      </c>
      <c r="W230" s="975" t="e">
        <f>ROUND((#REF!+#REF!+#REF!+#REF!+#REF!+#REF!+#REF!+#REF!+#REF!),2)</f>
        <v>#REF!</v>
      </c>
      <c r="AA230" s="976" t="e">
        <f>#REF!+#REF!-O230</f>
        <v>#REF!</v>
      </c>
      <c r="AB230" s="977" t="e">
        <f>#REF!</f>
        <v>#REF!</v>
      </c>
      <c r="AC230" s="976" t="e">
        <f>#REF!+#REF!</f>
        <v>#REF!</v>
      </c>
      <c r="AD230" s="977" t="e">
        <f>#REF!</f>
        <v>#REF!</v>
      </c>
      <c r="AE230" s="978">
        <v>0</v>
      </c>
      <c r="AF230" s="977" t="e">
        <f>#REF!</f>
        <v>#REF!</v>
      </c>
      <c r="AG230" s="979" t="e">
        <f>#REF!+#REF!</f>
        <v>#REF!</v>
      </c>
      <c r="AH230" s="979" t="e">
        <f>#REF!+#REF!</f>
        <v>#REF!</v>
      </c>
      <c r="AI230" s="979"/>
      <c r="AJ230" s="977" t="e">
        <f>#REF!</f>
        <v>#REF!</v>
      </c>
      <c r="AK230" s="977" t="e">
        <f t="shared" si="35"/>
        <v>#REF!</v>
      </c>
      <c r="AL230" s="977">
        <f t="shared" si="36"/>
        <v>0</v>
      </c>
      <c r="AM230" s="977">
        <f t="shared" si="37"/>
        <v>0</v>
      </c>
      <c r="AN230" s="634"/>
    </row>
    <row r="231" spans="1:40" s="629" customFormat="1" ht="20.100000000000001" customHeight="1">
      <c r="A231" s="771">
        <f t="shared" si="38"/>
        <v>188</v>
      </c>
      <c r="B231" s="980">
        <f>+NOMINA!C230</f>
        <v>18458012</v>
      </c>
      <c r="C231" s="981" t="str">
        <f>+NOMINA!D230</f>
        <v>Briceño Uzcategui Maria Esperanza</v>
      </c>
      <c r="D231" s="978" t="s">
        <v>4622</v>
      </c>
      <c r="E231" s="982">
        <v>32351</v>
      </c>
      <c r="F231" s="978" t="s">
        <v>4620</v>
      </c>
      <c r="G231" s="1004">
        <f>+NOMINA!H230</f>
        <v>44636</v>
      </c>
      <c r="H231" s="984">
        <f t="shared" si="39"/>
        <v>0</v>
      </c>
      <c r="I231" s="985">
        <v>0</v>
      </c>
      <c r="J231" s="999">
        <f>+NOMINA!BL230</f>
        <v>15.54</v>
      </c>
      <c r="K231" s="999">
        <f>+NOMINA!BM230</f>
        <v>1.94</v>
      </c>
      <c r="L231" s="999">
        <f>+NOMINA!BN230</f>
        <v>4.21</v>
      </c>
      <c r="M231" s="999">
        <f>++NOMINA!BO230</f>
        <v>0</v>
      </c>
      <c r="N231" s="999">
        <f>+NOMINA!BP230</f>
        <v>0</v>
      </c>
      <c r="O231" s="986">
        <f t="shared" si="40"/>
        <v>21.69</v>
      </c>
      <c r="P231" s="999">
        <f>+NOMINA!BR230</f>
        <v>34.979999999999997</v>
      </c>
      <c r="Q231" s="999">
        <f>+NOMINA!BS230</f>
        <v>7.77</v>
      </c>
      <c r="R231" s="999">
        <f>+NOMINA!BT230</f>
        <v>8.42</v>
      </c>
      <c r="S231" s="986">
        <f t="shared" si="41"/>
        <v>51.17</v>
      </c>
      <c r="T231" s="986">
        <f t="shared" si="42"/>
        <v>72.86</v>
      </c>
      <c r="U231" s="1005">
        <v>0</v>
      </c>
      <c r="V231" s="443" t="e">
        <f>#REF!+#REF!-O231</f>
        <v>#REF!</v>
      </c>
      <c r="W231" s="975" t="e">
        <f>ROUND((#REF!+#REF!+#REF!+#REF!+#REF!+#REF!+#REF!+#REF!+#REF!),2)</f>
        <v>#REF!</v>
      </c>
      <c r="AA231" s="976" t="e">
        <f>#REF!+#REF!-O231</f>
        <v>#REF!</v>
      </c>
      <c r="AB231" s="977" t="e">
        <f>#REF!</f>
        <v>#REF!</v>
      </c>
      <c r="AC231" s="976" t="e">
        <f>#REF!+#REF!</f>
        <v>#REF!</v>
      </c>
      <c r="AD231" s="977" t="e">
        <f>#REF!</f>
        <v>#REF!</v>
      </c>
      <c r="AE231" s="978">
        <v>0</v>
      </c>
      <c r="AF231" s="977" t="e">
        <f>#REF!</f>
        <v>#REF!</v>
      </c>
      <c r="AG231" s="979" t="e">
        <f>#REF!+#REF!</f>
        <v>#REF!</v>
      </c>
      <c r="AH231" s="979" t="e">
        <f>#REF!+#REF!</f>
        <v>#REF!</v>
      </c>
      <c r="AI231" s="979"/>
      <c r="AJ231" s="977" t="e">
        <f>#REF!</f>
        <v>#REF!</v>
      </c>
      <c r="AK231" s="977" t="e">
        <f t="shared" si="35"/>
        <v>#REF!</v>
      </c>
      <c r="AL231" s="977">
        <f t="shared" si="36"/>
        <v>72.86</v>
      </c>
      <c r="AM231" s="977">
        <f t="shared" si="37"/>
        <v>0</v>
      </c>
      <c r="AN231" s="634"/>
    </row>
    <row r="232" spans="1:40" s="629" customFormat="1" ht="20.100000000000001" customHeight="1">
      <c r="A232" s="771">
        <f t="shared" si="38"/>
        <v>189</v>
      </c>
      <c r="B232" s="980">
        <f>+NOMINA!C231</f>
        <v>18670458</v>
      </c>
      <c r="C232" s="981" t="str">
        <f>+NOMINA!D231</f>
        <v>Gervasi de Valera Solanye Dairilyn</v>
      </c>
      <c r="D232" s="978" t="s">
        <v>4622</v>
      </c>
      <c r="E232" s="982">
        <v>32351</v>
      </c>
      <c r="F232" s="978" t="s">
        <v>4620</v>
      </c>
      <c r="G232" s="1004">
        <f>+NOMINA!H231</f>
        <v>42741</v>
      </c>
      <c r="H232" s="984">
        <f t="shared" si="39"/>
        <v>5</v>
      </c>
      <c r="I232" s="985">
        <v>0</v>
      </c>
      <c r="J232" s="999">
        <f>+NOMINA!BL231</f>
        <v>21.14</v>
      </c>
      <c r="K232" s="999">
        <f>+NOMINA!BM231</f>
        <v>2.64</v>
      </c>
      <c r="L232" s="999">
        <f>+NOMINA!BN231</f>
        <v>5.72</v>
      </c>
      <c r="M232" s="999">
        <f>++NOMINA!BO231</f>
        <v>0</v>
      </c>
      <c r="N232" s="999">
        <f>+NOMINA!BP231</f>
        <v>0</v>
      </c>
      <c r="O232" s="986">
        <f t="shared" si="40"/>
        <v>29.5</v>
      </c>
      <c r="P232" s="999">
        <f>+NOMINA!BR231</f>
        <v>47.56</v>
      </c>
      <c r="Q232" s="999">
        <f>+NOMINA!BS231</f>
        <v>10.57</v>
      </c>
      <c r="R232" s="999">
        <f>+NOMINA!BT231</f>
        <v>11.44</v>
      </c>
      <c r="S232" s="986">
        <f t="shared" si="41"/>
        <v>69.569999999999993</v>
      </c>
      <c r="T232" s="986">
        <f t="shared" si="42"/>
        <v>99.07</v>
      </c>
      <c r="U232" s="1005">
        <v>0</v>
      </c>
      <c r="V232" s="443" t="e">
        <f>#REF!+#REF!-O232</f>
        <v>#REF!</v>
      </c>
      <c r="W232" s="975" t="e">
        <f>ROUND((#REF!+#REF!+#REF!+#REF!+#REF!+#REF!+#REF!+#REF!+#REF!),2)</f>
        <v>#REF!</v>
      </c>
      <c r="AA232" s="976" t="e">
        <f>#REF!+#REF!-O232</f>
        <v>#REF!</v>
      </c>
      <c r="AB232" s="977" t="e">
        <f>#REF!</f>
        <v>#REF!</v>
      </c>
      <c r="AC232" s="976" t="e">
        <f>#REF!+#REF!</f>
        <v>#REF!</v>
      </c>
      <c r="AD232" s="977" t="e">
        <f>#REF!</f>
        <v>#REF!</v>
      </c>
      <c r="AE232" s="978">
        <v>0</v>
      </c>
      <c r="AF232" s="977" t="e">
        <f>#REF!</f>
        <v>#REF!</v>
      </c>
      <c r="AG232" s="979" t="e">
        <f>#REF!+#REF!</f>
        <v>#REF!</v>
      </c>
      <c r="AH232" s="979" t="e">
        <f>#REF!+#REF!</f>
        <v>#REF!</v>
      </c>
      <c r="AI232" s="979"/>
      <c r="AJ232" s="977" t="e">
        <f>#REF!</f>
        <v>#REF!</v>
      </c>
      <c r="AK232" s="977" t="e">
        <f t="shared" si="35"/>
        <v>#REF!</v>
      </c>
      <c r="AL232" s="977">
        <f t="shared" si="36"/>
        <v>99.07</v>
      </c>
      <c r="AM232" s="977">
        <f t="shared" si="37"/>
        <v>0</v>
      </c>
      <c r="AN232" s="634"/>
    </row>
    <row r="233" spans="1:40" s="629" customFormat="1" ht="20.100000000000001" customHeight="1">
      <c r="A233" s="771">
        <f t="shared" si="38"/>
        <v>190</v>
      </c>
      <c r="B233" s="980">
        <f>+NOMINA!C232</f>
        <v>18733682</v>
      </c>
      <c r="C233" s="981" t="str">
        <f>+NOMINA!D232</f>
        <v>Ocanto Ramirez Maria Alejandra</v>
      </c>
      <c r="D233" s="978" t="s">
        <v>4622</v>
      </c>
      <c r="E233" s="982">
        <v>32351</v>
      </c>
      <c r="F233" s="978" t="s">
        <v>4620</v>
      </c>
      <c r="G233" s="1004">
        <f>+NOMINA!H232</f>
        <v>45474</v>
      </c>
      <c r="H233" s="984">
        <f t="shared" si="39"/>
        <v>0</v>
      </c>
      <c r="I233" s="985">
        <v>0</v>
      </c>
      <c r="J233" s="999">
        <f>+NOMINA!BL232</f>
        <v>13.08</v>
      </c>
      <c r="K233" s="999">
        <f>+NOMINA!BM232</f>
        <v>1.64</v>
      </c>
      <c r="L233" s="999">
        <f>+NOMINA!BN232</f>
        <v>3.54</v>
      </c>
      <c r="M233" s="999">
        <f>++NOMINA!BO232</f>
        <v>0</v>
      </c>
      <c r="N233" s="999">
        <f>+NOMINA!BP232</f>
        <v>0</v>
      </c>
      <c r="O233" s="986">
        <f t="shared" si="40"/>
        <v>18.260000000000002</v>
      </c>
      <c r="P233" s="999">
        <f>+NOMINA!BR232</f>
        <v>29.43</v>
      </c>
      <c r="Q233" s="999">
        <f>+NOMINA!BS232</f>
        <v>6.54</v>
      </c>
      <c r="R233" s="999">
        <f>+NOMINA!BT232</f>
        <v>7.08</v>
      </c>
      <c r="S233" s="986">
        <f t="shared" si="41"/>
        <v>43.05</v>
      </c>
      <c r="T233" s="986">
        <f t="shared" si="42"/>
        <v>61.31</v>
      </c>
      <c r="U233" s="1005">
        <v>0</v>
      </c>
      <c r="V233" s="443" t="e">
        <f>#REF!+#REF!-O233</f>
        <v>#REF!</v>
      </c>
      <c r="W233" s="975" t="e">
        <f>ROUND((#REF!+#REF!+#REF!+#REF!+#REF!+#REF!+#REF!+#REF!+#REF!),2)</f>
        <v>#REF!</v>
      </c>
      <c r="AA233" s="976" t="e">
        <f>#REF!+#REF!-O233</f>
        <v>#REF!</v>
      </c>
      <c r="AB233" s="977" t="e">
        <f>#REF!</f>
        <v>#REF!</v>
      </c>
      <c r="AC233" s="976" t="e">
        <f>#REF!+#REF!</f>
        <v>#REF!</v>
      </c>
      <c r="AD233" s="977" t="e">
        <f>#REF!</f>
        <v>#REF!</v>
      </c>
      <c r="AE233" s="978">
        <v>0</v>
      </c>
      <c r="AF233" s="977" t="e">
        <f>#REF!</f>
        <v>#REF!</v>
      </c>
      <c r="AG233" s="979" t="e">
        <f>#REF!+#REF!</f>
        <v>#REF!</v>
      </c>
      <c r="AH233" s="979" t="e">
        <f>#REF!+#REF!</f>
        <v>#REF!</v>
      </c>
      <c r="AI233" s="979"/>
      <c r="AJ233" s="977" t="e">
        <f>#REF!</f>
        <v>#REF!</v>
      </c>
      <c r="AK233" s="977" t="e">
        <f t="shared" si="35"/>
        <v>#REF!</v>
      </c>
      <c r="AL233" s="977">
        <f t="shared" si="36"/>
        <v>61.31</v>
      </c>
      <c r="AM233" s="977">
        <f t="shared" si="37"/>
        <v>0</v>
      </c>
      <c r="AN233" s="634"/>
    </row>
    <row r="234" spans="1:40" s="629" customFormat="1" ht="20.100000000000001" customHeight="1">
      <c r="A234" s="771">
        <f t="shared" si="38"/>
        <v>191</v>
      </c>
      <c r="B234" s="980">
        <f>+NOMINA!C233</f>
        <v>18801597</v>
      </c>
      <c r="C234" s="981" t="str">
        <f>+NOMINA!D233</f>
        <v>Rodriguez Salas Mary Carmen</v>
      </c>
      <c r="D234" s="978" t="s">
        <v>4622</v>
      </c>
      <c r="E234" s="982">
        <v>32351</v>
      </c>
      <c r="F234" s="978" t="s">
        <v>4620</v>
      </c>
      <c r="G234" s="1004">
        <f>+NOMINA!H233</f>
        <v>43359</v>
      </c>
      <c r="H234" s="984">
        <f t="shared" si="39"/>
        <v>4</v>
      </c>
      <c r="I234" s="985">
        <v>0</v>
      </c>
      <c r="J234" s="999">
        <f>+NOMINA!BL233</f>
        <v>20.83</v>
      </c>
      <c r="K234" s="999">
        <f>+NOMINA!BM233</f>
        <v>2.6</v>
      </c>
      <c r="L234" s="999">
        <f>+NOMINA!BN233</f>
        <v>5.64</v>
      </c>
      <c r="M234" s="999">
        <f>++NOMINA!BO233</f>
        <v>0</v>
      </c>
      <c r="N234" s="999">
        <f>+NOMINA!BP233</f>
        <v>0</v>
      </c>
      <c r="O234" s="986">
        <f t="shared" si="40"/>
        <v>29.07</v>
      </c>
      <c r="P234" s="999">
        <f>+NOMINA!BR233</f>
        <v>46.87</v>
      </c>
      <c r="Q234" s="999">
        <f>+NOMINA!BS233</f>
        <v>10.41</v>
      </c>
      <c r="R234" s="999">
        <f>+NOMINA!BT233</f>
        <v>11.28</v>
      </c>
      <c r="S234" s="986">
        <f t="shared" si="41"/>
        <v>68.56</v>
      </c>
      <c r="T234" s="986">
        <f t="shared" si="42"/>
        <v>97.63</v>
      </c>
      <c r="U234" s="1005">
        <v>0</v>
      </c>
      <c r="V234" s="443" t="e">
        <f>#REF!+#REF!-O234</f>
        <v>#REF!</v>
      </c>
      <c r="W234" s="975" t="e">
        <f>ROUND((#REF!+#REF!+#REF!+#REF!+#REF!+#REF!+#REF!+#REF!+#REF!),2)</f>
        <v>#REF!</v>
      </c>
      <c r="AA234" s="976" t="e">
        <f>#REF!+#REF!-O234</f>
        <v>#REF!</v>
      </c>
      <c r="AB234" s="977" t="e">
        <f>#REF!</f>
        <v>#REF!</v>
      </c>
      <c r="AC234" s="976" t="e">
        <f>#REF!+#REF!</f>
        <v>#REF!</v>
      </c>
      <c r="AD234" s="977" t="e">
        <f>#REF!</f>
        <v>#REF!</v>
      </c>
      <c r="AE234" s="978">
        <v>0</v>
      </c>
      <c r="AF234" s="977" t="e">
        <f>#REF!</f>
        <v>#REF!</v>
      </c>
      <c r="AG234" s="979" t="e">
        <f>#REF!+#REF!</f>
        <v>#REF!</v>
      </c>
      <c r="AH234" s="979" t="e">
        <f>#REF!+#REF!</f>
        <v>#REF!</v>
      </c>
      <c r="AI234" s="979"/>
      <c r="AJ234" s="977" t="e">
        <f>#REF!</f>
        <v>#REF!</v>
      </c>
      <c r="AK234" s="977" t="e">
        <f t="shared" si="35"/>
        <v>#REF!</v>
      </c>
      <c r="AL234" s="977">
        <f t="shared" si="36"/>
        <v>97.63</v>
      </c>
      <c r="AM234" s="977">
        <f t="shared" si="37"/>
        <v>0</v>
      </c>
      <c r="AN234" s="634"/>
    </row>
    <row r="235" spans="1:40" s="629" customFormat="1" ht="20.100000000000001" customHeight="1">
      <c r="A235" s="771">
        <f t="shared" si="38"/>
        <v>192</v>
      </c>
      <c r="B235" s="980">
        <f>+NOMINA!C234</f>
        <v>18802405</v>
      </c>
      <c r="C235" s="981" t="str">
        <f>+NOMINA!D234</f>
        <v>Ramirez Rodriguez Rudys Arelys</v>
      </c>
      <c r="D235" s="978" t="s">
        <v>4622</v>
      </c>
      <c r="E235" s="982">
        <v>32351</v>
      </c>
      <c r="F235" s="978" t="s">
        <v>4620</v>
      </c>
      <c r="G235" s="1004">
        <f>+NOMINA!H234</f>
        <v>44332</v>
      </c>
      <c r="H235" s="984">
        <f t="shared" si="39"/>
        <v>1</v>
      </c>
      <c r="I235" s="985">
        <v>0</v>
      </c>
      <c r="J235" s="999">
        <f>+NOMINA!BL234</f>
        <v>17.559999999999999</v>
      </c>
      <c r="K235" s="999">
        <f>+NOMINA!BM234</f>
        <v>2.2000000000000002</v>
      </c>
      <c r="L235" s="999">
        <f>+NOMINA!BN234</f>
        <v>4.76</v>
      </c>
      <c r="M235" s="999">
        <f>++NOMINA!BO234</f>
        <v>0</v>
      </c>
      <c r="N235" s="999">
        <f>+NOMINA!BP234</f>
        <v>0</v>
      </c>
      <c r="O235" s="986">
        <f t="shared" si="40"/>
        <v>24.52</v>
      </c>
      <c r="P235" s="999">
        <f>+NOMINA!BR234</f>
        <v>39.520000000000003</v>
      </c>
      <c r="Q235" s="999">
        <f>+NOMINA!BS234</f>
        <v>8.7799999999999994</v>
      </c>
      <c r="R235" s="999">
        <f>+NOMINA!BT234</f>
        <v>9.52</v>
      </c>
      <c r="S235" s="986">
        <f t="shared" si="41"/>
        <v>57.82</v>
      </c>
      <c r="T235" s="986">
        <f t="shared" si="42"/>
        <v>82.34</v>
      </c>
      <c r="U235" s="1005">
        <v>0</v>
      </c>
      <c r="V235" s="443" t="e">
        <f>#REF!+#REF!-O235</f>
        <v>#REF!</v>
      </c>
      <c r="W235" s="975" t="e">
        <f>ROUND((#REF!+#REF!+#REF!+#REF!+#REF!+#REF!+#REF!+#REF!+#REF!),2)</f>
        <v>#REF!</v>
      </c>
      <c r="AA235" s="976" t="e">
        <f>#REF!+#REF!-O235</f>
        <v>#REF!</v>
      </c>
      <c r="AB235" s="977" t="e">
        <f>#REF!</f>
        <v>#REF!</v>
      </c>
      <c r="AC235" s="976" t="e">
        <f>#REF!+#REF!</f>
        <v>#REF!</v>
      </c>
      <c r="AD235" s="977" t="e">
        <f>#REF!</f>
        <v>#REF!</v>
      </c>
      <c r="AE235" s="978">
        <v>0</v>
      </c>
      <c r="AF235" s="977" t="e">
        <f>#REF!</f>
        <v>#REF!</v>
      </c>
      <c r="AG235" s="979" t="e">
        <f>#REF!+#REF!</f>
        <v>#REF!</v>
      </c>
      <c r="AH235" s="979" t="e">
        <f>#REF!+#REF!</f>
        <v>#REF!</v>
      </c>
      <c r="AI235" s="979"/>
      <c r="AJ235" s="977" t="e">
        <f>#REF!</f>
        <v>#REF!</v>
      </c>
      <c r="AK235" s="977" t="e">
        <f t="shared" ref="AK235:AK310" si="43">SUM(AC235:AJ235)</f>
        <v>#REF!</v>
      </c>
      <c r="AL235" s="977">
        <f t="shared" ref="AL235:AL310" si="44">O235+S235</f>
        <v>82.34</v>
      </c>
      <c r="AM235" s="977">
        <f t="shared" ref="AM235:AM310" si="45">U235</f>
        <v>0</v>
      </c>
      <c r="AN235" s="634"/>
    </row>
    <row r="236" spans="1:40" s="629" customFormat="1" ht="20.100000000000001" customHeight="1">
      <c r="A236" s="771">
        <f t="shared" si="38"/>
        <v>193</v>
      </c>
      <c r="B236" s="980">
        <f>+NOMINA!C235</f>
        <v>18984406</v>
      </c>
      <c r="C236" s="981" t="str">
        <f>+NOMINA!D235</f>
        <v>Torres Santiago Eduardo David</v>
      </c>
      <c r="D236" s="978" t="s">
        <v>4622</v>
      </c>
      <c r="E236" s="982">
        <v>32351</v>
      </c>
      <c r="F236" s="978" t="s">
        <v>4620</v>
      </c>
      <c r="G236" s="1004">
        <f>+NOMINA!H235</f>
        <v>45200</v>
      </c>
      <c r="H236" s="984">
        <f t="shared" si="39"/>
        <v>0</v>
      </c>
      <c r="I236" s="985">
        <v>0</v>
      </c>
      <c r="J236" s="999">
        <f>+NOMINA!BL235</f>
        <v>12.54</v>
      </c>
      <c r="K236" s="999">
        <f>+NOMINA!BM235</f>
        <v>1.57</v>
      </c>
      <c r="L236" s="999">
        <f>+NOMINA!BN235</f>
        <v>3.4</v>
      </c>
      <c r="M236" s="999">
        <f>++NOMINA!BO235</f>
        <v>0</v>
      </c>
      <c r="N236" s="999">
        <f>+NOMINA!BP235</f>
        <v>0</v>
      </c>
      <c r="O236" s="986">
        <f t="shared" si="40"/>
        <v>17.510000000000002</v>
      </c>
      <c r="P236" s="999">
        <f>+NOMINA!BR235</f>
        <v>28.22</v>
      </c>
      <c r="Q236" s="999">
        <f>+NOMINA!BS235</f>
        <v>6.27</v>
      </c>
      <c r="R236" s="999">
        <f>+NOMINA!BT235</f>
        <v>6.8</v>
      </c>
      <c r="S236" s="986">
        <f t="shared" si="41"/>
        <v>41.29</v>
      </c>
      <c r="T236" s="986">
        <f t="shared" si="42"/>
        <v>58.8</v>
      </c>
      <c r="U236" s="1005">
        <v>0</v>
      </c>
      <c r="V236" s="443" t="e">
        <f>#REF!+#REF!-O236</f>
        <v>#REF!</v>
      </c>
      <c r="W236" s="975" t="e">
        <f>ROUND((#REF!+#REF!+#REF!+#REF!+#REF!+#REF!+#REF!+#REF!+#REF!),2)</f>
        <v>#REF!</v>
      </c>
      <c r="AA236" s="976" t="e">
        <f>#REF!+#REF!-O236</f>
        <v>#REF!</v>
      </c>
      <c r="AB236" s="977" t="e">
        <f>#REF!</f>
        <v>#REF!</v>
      </c>
      <c r="AC236" s="976" t="e">
        <f>#REF!+#REF!</f>
        <v>#REF!</v>
      </c>
      <c r="AD236" s="977" t="e">
        <f>#REF!</f>
        <v>#REF!</v>
      </c>
      <c r="AE236" s="978">
        <v>0</v>
      </c>
      <c r="AF236" s="977" t="e">
        <f>#REF!</f>
        <v>#REF!</v>
      </c>
      <c r="AG236" s="979" t="e">
        <f>#REF!+#REF!</f>
        <v>#REF!</v>
      </c>
      <c r="AH236" s="979" t="e">
        <f>#REF!+#REF!</f>
        <v>#REF!</v>
      </c>
      <c r="AI236" s="979"/>
      <c r="AJ236" s="977" t="e">
        <f>#REF!</f>
        <v>#REF!</v>
      </c>
      <c r="AK236" s="977" t="e">
        <f t="shared" si="43"/>
        <v>#REF!</v>
      </c>
      <c r="AL236" s="977">
        <f t="shared" si="44"/>
        <v>58.8</v>
      </c>
      <c r="AM236" s="977">
        <f t="shared" si="45"/>
        <v>0</v>
      </c>
      <c r="AN236" s="634"/>
    </row>
    <row r="237" spans="1:40" s="629" customFormat="1" ht="20.100000000000001" customHeight="1">
      <c r="A237" s="771">
        <f t="shared" ref="A237:A300" si="46">A236+1</f>
        <v>194</v>
      </c>
      <c r="B237" s="980">
        <f>+NOMINA!C236</f>
        <v>19101647</v>
      </c>
      <c r="C237" s="981" t="str">
        <f>+NOMINA!D236</f>
        <v>Uzcategui Urbina Madeley Tatiana</v>
      </c>
      <c r="D237" s="978" t="s">
        <v>4622</v>
      </c>
      <c r="E237" s="982">
        <v>32351</v>
      </c>
      <c r="F237" s="978" t="s">
        <v>4620</v>
      </c>
      <c r="G237" s="1004">
        <f>+NOMINA!H236</f>
        <v>43845</v>
      </c>
      <c r="H237" s="984">
        <f t="shared" ref="H237:H300" si="47">IF(AND(YEAR(G237)&lt;2023,MONTH(G237)&gt;$P$8),2023-YEAR(G237)-1,IF(OR(G237="",YEAR(G237)&gt;2023),0,2023-YEAR(G237)))</f>
        <v>2</v>
      </c>
      <c r="I237" s="985">
        <v>0</v>
      </c>
      <c r="J237" s="999">
        <f>+NOMINA!BL236</f>
        <v>15</v>
      </c>
      <c r="K237" s="999">
        <f>+NOMINA!BM236</f>
        <v>1.88</v>
      </c>
      <c r="L237" s="999">
        <f>+NOMINA!BN236</f>
        <v>4.0599999999999996</v>
      </c>
      <c r="M237" s="999">
        <f>++NOMINA!BO236</f>
        <v>0</v>
      </c>
      <c r="N237" s="999">
        <f>+NOMINA!BP236</f>
        <v>0</v>
      </c>
      <c r="O237" s="986">
        <f t="shared" ref="O237:O300" si="48">ROUND(SUM(J237:N237),2)</f>
        <v>20.94</v>
      </c>
      <c r="P237" s="999">
        <f>+NOMINA!BR236</f>
        <v>33.75</v>
      </c>
      <c r="Q237" s="999">
        <f>+NOMINA!BS236</f>
        <v>7.5</v>
      </c>
      <c r="R237" s="999">
        <f>+NOMINA!BT236</f>
        <v>8.1199999999999992</v>
      </c>
      <c r="S237" s="986">
        <f t="shared" ref="S237:S300" si="49">ROUND(SUM(P237:R237),2)</f>
        <v>49.37</v>
      </c>
      <c r="T237" s="986">
        <f t="shared" ref="T237:T300" si="50">O237+S237</f>
        <v>70.31</v>
      </c>
      <c r="U237" s="1005">
        <v>0</v>
      </c>
      <c r="V237" s="443" t="e">
        <f>#REF!+#REF!-O237</f>
        <v>#REF!</v>
      </c>
      <c r="W237" s="975" t="e">
        <f>ROUND((#REF!+#REF!+#REF!+#REF!+#REF!+#REF!+#REF!+#REF!+#REF!),2)</f>
        <v>#REF!</v>
      </c>
      <c r="AA237" s="976" t="e">
        <f>#REF!+#REF!-O237</f>
        <v>#REF!</v>
      </c>
      <c r="AB237" s="977" t="e">
        <f>#REF!</f>
        <v>#REF!</v>
      </c>
      <c r="AC237" s="976" t="e">
        <f>#REF!+#REF!</f>
        <v>#REF!</v>
      </c>
      <c r="AD237" s="977" t="e">
        <f>#REF!</f>
        <v>#REF!</v>
      </c>
      <c r="AE237" s="978">
        <v>0</v>
      </c>
      <c r="AF237" s="977" t="e">
        <f>#REF!</f>
        <v>#REF!</v>
      </c>
      <c r="AG237" s="979" t="e">
        <f>#REF!+#REF!</f>
        <v>#REF!</v>
      </c>
      <c r="AH237" s="979" t="e">
        <f>#REF!+#REF!</f>
        <v>#REF!</v>
      </c>
      <c r="AI237" s="979"/>
      <c r="AJ237" s="977" t="e">
        <f>#REF!</f>
        <v>#REF!</v>
      </c>
      <c r="AK237" s="977" t="e">
        <f t="shared" si="43"/>
        <v>#REF!</v>
      </c>
      <c r="AL237" s="977">
        <f t="shared" si="44"/>
        <v>70.31</v>
      </c>
      <c r="AM237" s="977">
        <f t="shared" si="45"/>
        <v>0</v>
      </c>
      <c r="AN237" s="634"/>
    </row>
    <row r="238" spans="1:40" s="629" customFormat="1" ht="20.100000000000001" customHeight="1">
      <c r="A238" s="771">
        <f t="shared" si="46"/>
        <v>195</v>
      </c>
      <c r="B238" s="980">
        <f>+NOMINA!C237</f>
        <v>19101773</v>
      </c>
      <c r="C238" s="981" t="str">
        <f>+NOMINA!D237</f>
        <v>Gil Molina Maite Karina</v>
      </c>
      <c r="D238" s="978" t="s">
        <v>4622</v>
      </c>
      <c r="E238" s="982">
        <v>32351</v>
      </c>
      <c r="F238" s="978" t="s">
        <v>4620</v>
      </c>
      <c r="G238" s="1004">
        <f>+NOMINA!H237</f>
        <v>45200</v>
      </c>
      <c r="H238" s="984">
        <f t="shared" si="47"/>
        <v>0</v>
      </c>
      <c r="I238" s="985">
        <v>0</v>
      </c>
      <c r="J238" s="999">
        <f>+NOMINA!BL237</f>
        <v>19.38</v>
      </c>
      <c r="K238" s="999">
        <f>+NOMINA!BM237</f>
        <v>2.42</v>
      </c>
      <c r="L238" s="999">
        <f>+NOMINA!BN237</f>
        <v>5.25</v>
      </c>
      <c r="M238" s="999">
        <f>++NOMINA!BO237</f>
        <v>0</v>
      </c>
      <c r="N238" s="999">
        <f>+NOMINA!BP237</f>
        <v>0</v>
      </c>
      <c r="O238" s="986">
        <f t="shared" si="48"/>
        <v>27.05</v>
      </c>
      <c r="P238" s="999">
        <f>+NOMINA!BR237</f>
        <v>43.6</v>
      </c>
      <c r="Q238" s="999">
        <f>+NOMINA!BS237</f>
        <v>9.69</v>
      </c>
      <c r="R238" s="999">
        <f>+NOMINA!BT237</f>
        <v>10.5</v>
      </c>
      <c r="S238" s="986">
        <f t="shared" si="49"/>
        <v>63.79</v>
      </c>
      <c r="T238" s="986">
        <f t="shared" si="50"/>
        <v>90.84</v>
      </c>
      <c r="U238" s="1005">
        <v>0</v>
      </c>
      <c r="V238" s="443" t="e">
        <f>#REF!+#REF!-O238</f>
        <v>#REF!</v>
      </c>
      <c r="W238" s="975" t="e">
        <f>ROUND((#REF!+#REF!+#REF!+#REF!+#REF!+#REF!+#REF!+#REF!+#REF!),2)</f>
        <v>#REF!</v>
      </c>
      <c r="AA238" s="976" t="e">
        <f>#REF!+#REF!-O238</f>
        <v>#REF!</v>
      </c>
      <c r="AB238" s="977" t="e">
        <f>#REF!</f>
        <v>#REF!</v>
      </c>
      <c r="AC238" s="976" t="e">
        <f>#REF!+#REF!</f>
        <v>#REF!</v>
      </c>
      <c r="AD238" s="977" t="e">
        <f>#REF!</f>
        <v>#REF!</v>
      </c>
      <c r="AE238" s="978">
        <v>0</v>
      </c>
      <c r="AF238" s="977" t="e">
        <f>#REF!</f>
        <v>#REF!</v>
      </c>
      <c r="AG238" s="979" t="e">
        <f>#REF!+#REF!</f>
        <v>#REF!</v>
      </c>
      <c r="AH238" s="979" t="e">
        <f>#REF!+#REF!</f>
        <v>#REF!</v>
      </c>
      <c r="AI238" s="979"/>
      <c r="AJ238" s="977" t="e">
        <f>#REF!</f>
        <v>#REF!</v>
      </c>
      <c r="AK238" s="977" t="e">
        <f t="shared" si="43"/>
        <v>#REF!</v>
      </c>
      <c r="AL238" s="977">
        <f t="shared" si="44"/>
        <v>90.84</v>
      </c>
      <c r="AM238" s="977">
        <f t="shared" si="45"/>
        <v>0</v>
      </c>
      <c r="AN238" s="634"/>
    </row>
    <row r="239" spans="1:40" s="629" customFormat="1" ht="20.100000000000001" customHeight="1">
      <c r="A239" s="771">
        <f t="shared" si="46"/>
        <v>196</v>
      </c>
      <c r="B239" s="980">
        <f>+NOMINA!C238</f>
        <v>19103118</v>
      </c>
      <c r="C239" s="981" t="str">
        <f>+NOMINA!D238</f>
        <v>Plaza Quintero Orelis Maria</v>
      </c>
      <c r="D239" s="978" t="s">
        <v>4622</v>
      </c>
      <c r="E239" s="982">
        <v>32351</v>
      </c>
      <c r="F239" s="978" t="s">
        <v>4620</v>
      </c>
      <c r="G239" s="1004">
        <f>+NOMINA!H238</f>
        <v>43724</v>
      </c>
      <c r="H239" s="984">
        <f t="shared" si="47"/>
        <v>3</v>
      </c>
      <c r="I239" s="985">
        <v>0</v>
      </c>
      <c r="J239" s="999">
        <f>+NOMINA!BL238</f>
        <v>17.059999999999999</v>
      </c>
      <c r="K239" s="999">
        <f>+NOMINA!BM238</f>
        <v>2.13</v>
      </c>
      <c r="L239" s="999">
        <f>+NOMINA!BN238</f>
        <v>4.62</v>
      </c>
      <c r="M239" s="999">
        <f>++NOMINA!BO238</f>
        <v>0</v>
      </c>
      <c r="N239" s="999">
        <f>+NOMINA!BP238</f>
        <v>0</v>
      </c>
      <c r="O239" s="986">
        <f t="shared" si="48"/>
        <v>23.81</v>
      </c>
      <c r="P239" s="999">
        <f>+NOMINA!BR238</f>
        <v>38.380000000000003</v>
      </c>
      <c r="Q239" s="999">
        <f>+NOMINA!BS238</f>
        <v>8.5299999999999994</v>
      </c>
      <c r="R239" s="999">
        <f>+NOMINA!BT238</f>
        <v>9.24</v>
      </c>
      <c r="S239" s="986">
        <f t="shared" si="49"/>
        <v>56.15</v>
      </c>
      <c r="T239" s="986">
        <f t="shared" si="50"/>
        <v>79.959999999999994</v>
      </c>
      <c r="U239" s="1005">
        <v>0</v>
      </c>
      <c r="V239" s="443" t="e">
        <f>#REF!+#REF!-O239</f>
        <v>#REF!</v>
      </c>
      <c r="W239" s="975" t="e">
        <f>ROUND((#REF!+#REF!+#REF!+#REF!+#REF!+#REF!+#REF!+#REF!+#REF!),2)</f>
        <v>#REF!</v>
      </c>
      <c r="AA239" s="976" t="e">
        <f>#REF!+#REF!-O239</f>
        <v>#REF!</v>
      </c>
      <c r="AB239" s="977" t="e">
        <f>#REF!</f>
        <v>#REF!</v>
      </c>
      <c r="AC239" s="976" t="e">
        <f>#REF!+#REF!</f>
        <v>#REF!</v>
      </c>
      <c r="AD239" s="977" t="e">
        <f>#REF!</f>
        <v>#REF!</v>
      </c>
      <c r="AE239" s="978">
        <v>0</v>
      </c>
      <c r="AF239" s="977" t="e">
        <f>#REF!</f>
        <v>#REF!</v>
      </c>
      <c r="AG239" s="979" t="e">
        <f>#REF!+#REF!</f>
        <v>#REF!</v>
      </c>
      <c r="AH239" s="979" t="e">
        <f>#REF!+#REF!</f>
        <v>#REF!</v>
      </c>
      <c r="AI239" s="979"/>
      <c r="AJ239" s="977" t="e">
        <f>#REF!</f>
        <v>#REF!</v>
      </c>
      <c r="AK239" s="977" t="e">
        <f t="shared" si="43"/>
        <v>#REF!</v>
      </c>
      <c r="AL239" s="977">
        <f t="shared" si="44"/>
        <v>79.959999999999994</v>
      </c>
      <c r="AM239" s="977">
        <f t="shared" si="45"/>
        <v>0</v>
      </c>
      <c r="AN239" s="634"/>
    </row>
    <row r="240" spans="1:40" s="629" customFormat="1" ht="20.100000000000001" customHeight="1">
      <c r="A240" s="771">
        <f t="shared" si="46"/>
        <v>197</v>
      </c>
      <c r="B240" s="980">
        <f>+NOMINA!C239</f>
        <v>19103604</v>
      </c>
      <c r="C240" s="981" t="str">
        <f>+NOMINA!D239</f>
        <v>Hernandez Graterol Gleidys Coromoto</v>
      </c>
      <c r="D240" s="978" t="s">
        <v>4622</v>
      </c>
      <c r="E240" s="982">
        <v>32351</v>
      </c>
      <c r="F240" s="978" t="s">
        <v>4620</v>
      </c>
      <c r="G240" s="1004">
        <f>+NOMINA!H239</f>
        <v>44600</v>
      </c>
      <c r="H240" s="984">
        <f t="shared" si="47"/>
        <v>0</v>
      </c>
      <c r="I240" s="985">
        <v>0</v>
      </c>
      <c r="J240" s="999">
        <f>+NOMINA!BL239</f>
        <v>15.54</v>
      </c>
      <c r="K240" s="999">
        <f>+NOMINA!BM239</f>
        <v>1.94</v>
      </c>
      <c r="L240" s="999">
        <f>+NOMINA!BN239</f>
        <v>4.21</v>
      </c>
      <c r="M240" s="999">
        <f>++NOMINA!BO239</f>
        <v>0</v>
      </c>
      <c r="N240" s="999">
        <f>+NOMINA!BP239</f>
        <v>0</v>
      </c>
      <c r="O240" s="986">
        <f t="shared" si="48"/>
        <v>21.69</v>
      </c>
      <c r="P240" s="999">
        <f>+NOMINA!BR239</f>
        <v>34.979999999999997</v>
      </c>
      <c r="Q240" s="999">
        <f>+NOMINA!BS239</f>
        <v>7.77</v>
      </c>
      <c r="R240" s="999">
        <f>+NOMINA!BT239</f>
        <v>8.42</v>
      </c>
      <c r="S240" s="986">
        <f t="shared" si="49"/>
        <v>51.17</v>
      </c>
      <c r="T240" s="986">
        <f t="shared" si="50"/>
        <v>72.86</v>
      </c>
      <c r="U240" s="1005">
        <v>0</v>
      </c>
      <c r="V240" s="443" t="e">
        <f>#REF!+#REF!-O240</f>
        <v>#REF!</v>
      </c>
      <c r="W240" s="975" t="e">
        <f>ROUND((#REF!+#REF!+#REF!+#REF!+#REF!+#REF!+#REF!+#REF!+#REF!),2)</f>
        <v>#REF!</v>
      </c>
      <c r="AA240" s="976" t="e">
        <f>#REF!+#REF!-O240</f>
        <v>#REF!</v>
      </c>
      <c r="AB240" s="977" t="e">
        <f>#REF!</f>
        <v>#REF!</v>
      </c>
      <c r="AC240" s="976" t="e">
        <f>#REF!+#REF!</f>
        <v>#REF!</v>
      </c>
      <c r="AD240" s="977" t="e">
        <f>#REF!</f>
        <v>#REF!</v>
      </c>
      <c r="AE240" s="978">
        <v>0</v>
      </c>
      <c r="AF240" s="977" t="e">
        <f>#REF!</f>
        <v>#REF!</v>
      </c>
      <c r="AG240" s="979" t="e">
        <f>#REF!+#REF!</f>
        <v>#REF!</v>
      </c>
      <c r="AH240" s="979" t="e">
        <f>#REF!+#REF!</f>
        <v>#REF!</v>
      </c>
      <c r="AI240" s="979"/>
      <c r="AJ240" s="977" t="e">
        <f>#REF!</f>
        <v>#REF!</v>
      </c>
      <c r="AK240" s="977" t="e">
        <f t="shared" si="43"/>
        <v>#REF!</v>
      </c>
      <c r="AL240" s="977">
        <f t="shared" si="44"/>
        <v>72.86</v>
      </c>
      <c r="AM240" s="977">
        <f t="shared" si="45"/>
        <v>0</v>
      </c>
      <c r="AN240" s="634"/>
    </row>
    <row r="241" spans="1:40" s="629" customFormat="1" ht="20.100000000000001" customHeight="1">
      <c r="A241" s="771">
        <f t="shared" si="46"/>
        <v>198</v>
      </c>
      <c r="B241" s="980">
        <f>+NOMINA!C240</f>
        <v>19103823</v>
      </c>
      <c r="C241" s="981" t="str">
        <f>+NOMINA!D240</f>
        <v>Valero Sanchez Zulay del Valle</v>
      </c>
      <c r="D241" s="978" t="s">
        <v>4622</v>
      </c>
      <c r="E241" s="982">
        <v>32351</v>
      </c>
      <c r="F241" s="978" t="s">
        <v>4620</v>
      </c>
      <c r="G241" s="1004">
        <f>+NOMINA!H240</f>
        <v>42795</v>
      </c>
      <c r="H241" s="984">
        <f t="shared" si="47"/>
        <v>5</v>
      </c>
      <c r="I241" s="985">
        <v>0</v>
      </c>
      <c r="J241" s="999">
        <f>+NOMINA!BL240</f>
        <v>23.59</v>
      </c>
      <c r="K241" s="999">
        <f>+NOMINA!BM240</f>
        <v>2.95</v>
      </c>
      <c r="L241" s="999">
        <f>+NOMINA!BN240</f>
        <v>6.39</v>
      </c>
      <c r="M241" s="999">
        <f>++NOMINA!BO240</f>
        <v>0</v>
      </c>
      <c r="N241" s="999">
        <f>+NOMINA!BP240</f>
        <v>0</v>
      </c>
      <c r="O241" s="986">
        <f t="shared" si="48"/>
        <v>32.93</v>
      </c>
      <c r="P241" s="999">
        <f>+NOMINA!BR240</f>
        <v>53.08</v>
      </c>
      <c r="Q241" s="999">
        <f>+NOMINA!BS240</f>
        <v>11.8</v>
      </c>
      <c r="R241" s="999">
        <f>+NOMINA!BT240</f>
        <v>12.78</v>
      </c>
      <c r="S241" s="986">
        <f t="shared" si="49"/>
        <v>77.66</v>
      </c>
      <c r="T241" s="986">
        <f t="shared" si="50"/>
        <v>110.59</v>
      </c>
      <c r="U241" s="1005">
        <v>0</v>
      </c>
      <c r="V241" s="443" t="e">
        <f>#REF!+#REF!-O241</f>
        <v>#REF!</v>
      </c>
      <c r="W241" s="975" t="e">
        <f>ROUND((#REF!+#REF!+#REF!+#REF!+#REF!+#REF!+#REF!+#REF!+#REF!),2)</f>
        <v>#REF!</v>
      </c>
      <c r="AA241" s="976" t="e">
        <f>#REF!+#REF!-O241</f>
        <v>#REF!</v>
      </c>
      <c r="AB241" s="977" t="e">
        <f>#REF!</f>
        <v>#REF!</v>
      </c>
      <c r="AC241" s="976" t="e">
        <f>#REF!+#REF!</f>
        <v>#REF!</v>
      </c>
      <c r="AD241" s="977" t="e">
        <f>#REF!</f>
        <v>#REF!</v>
      </c>
      <c r="AE241" s="978">
        <v>0</v>
      </c>
      <c r="AF241" s="977" t="e">
        <f>#REF!</f>
        <v>#REF!</v>
      </c>
      <c r="AG241" s="979" t="e">
        <f>#REF!+#REF!</f>
        <v>#REF!</v>
      </c>
      <c r="AH241" s="979" t="e">
        <f>#REF!+#REF!</f>
        <v>#REF!</v>
      </c>
      <c r="AI241" s="979"/>
      <c r="AJ241" s="977" t="e">
        <f>#REF!</f>
        <v>#REF!</v>
      </c>
      <c r="AK241" s="977" t="e">
        <f t="shared" si="43"/>
        <v>#REF!</v>
      </c>
      <c r="AL241" s="977">
        <f t="shared" si="44"/>
        <v>110.59</v>
      </c>
      <c r="AM241" s="977">
        <f t="shared" si="45"/>
        <v>0</v>
      </c>
      <c r="AN241" s="634"/>
    </row>
    <row r="242" spans="1:40" s="629" customFormat="1" ht="20.100000000000001" customHeight="1">
      <c r="A242" s="771">
        <f t="shared" si="46"/>
        <v>199</v>
      </c>
      <c r="B242" s="980">
        <f>+NOMINA!C241</f>
        <v>19286780</v>
      </c>
      <c r="C242" s="981" t="str">
        <f>+NOMINA!D241</f>
        <v>Mejia Rosales Katiusca Josefina</v>
      </c>
      <c r="D242" s="978" t="s">
        <v>4622</v>
      </c>
      <c r="E242" s="982">
        <v>32351</v>
      </c>
      <c r="F242" s="978" t="s">
        <v>4620</v>
      </c>
      <c r="G242" s="1004">
        <f>+NOMINA!H241</f>
        <v>42492</v>
      </c>
      <c r="H242" s="984">
        <f t="shared" si="47"/>
        <v>6</v>
      </c>
      <c r="I242" s="985">
        <v>0</v>
      </c>
      <c r="J242" s="999">
        <f>+NOMINA!BL241</f>
        <v>17.5</v>
      </c>
      <c r="K242" s="999">
        <f>+NOMINA!BM241</f>
        <v>2.19</v>
      </c>
      <c r="L242" s="999">
        <f>+NOMINA!BN241</f>
        <v>4.74</v>
      </c>
      <c r="M242" s="999">
        <f>++NOMINA!BO241</f>
        <v>0</v>
      </c>
      <c r="N242" s="999">
        <f>+NOMINA!BP241</f>
        <v>0</v>
      </c>
      <c r="O242" s="986">
        <f t="shared" si="48"/>
        <v>24.43</v>
      </c>
      <c r="P242" s="999">
        <f>+NOMINA!BR241</f>
        <v>39.380000000000003</v>
      </c>
      <c r="Q242" s="999">
        <f>+NOMINA!BS241</f>
        <v>8.75</v>
      </c>
      <c r="R242" s="999">
        <f>+NOMINA!BT241</f>
        <v>9.48</v>
      </c>
      <c r="S242" s="986">
        <f t="shared" si="49"/>
        <v>57.61</v>
      </c>
      <c r="T242" s="986">
        <f t="shared" si="50"/>
        <v>82.039999999999992</v>
      </c>
      <c r="U242" s="1005">
        <v>0</v>
      </c>
      <c r="V242" s="443" t="e">
        <f>#REF!+#REF!-O242</f>
        <v>#REF!</v>
      </c>
      <c r="W242" s="975" t="e">
        <f>ROUND((#REF!+#REF!+#REF!+#REF!+#REF!+#REF!+#REF!+#REF!+#REF!),2)</f>
        <v>#REF!</v>
      </c>
      <c r="AA242" s="976" t="e">
        <f>#REF!+#REF!-O242</f>
        <v>#REF!</v>
      </c>
      <c r="AB242" s="977" t="e">
        <f>#REF!</f>
        <v>#REF!</v>
      </c>
      <c r="AC242" s="976" t="e">
        <f>#REF!+#REF!</f>
        <v>#REF!</v>
      </c>
      <c r="AD242" s="977" t="e">
        <f>#REF!</f>
        <v>#REF!</v>
      </c>
      <c r="AE242" s="978">
        <v>0</v>
      </c>
      <c r="AF242" s="977" t="e">
        <f>#REF!</f>
        <v>#REF!</v>
      </c>
      <c r="AG242" s="979" t="e">
        <f>#REF!+#REF!</f>
        <v>#REF!</v>
      </c>
      <c r="AH242" s="979" t="e">
        <f>#REF!+#REF!</f>
        <v>#REF!</v>
      </c>
      <c r="AI242" s="979"/>
      <c r="AJ242" s="977" t="e">
        <f>#REF!</f>
        <v>#REF!</v>
      </c>
      <c r="AK242" s="977" t="e">
        <f t="shared" si="43"/>
        <v>#REF!</v>
      </c>
      <c r="AL242" s="977">
        <f t="shared" si="44"/>
        <v>82.039999999999992</v>
      </c>
      <c r="AM242" s="977">
        <f t="shared" si="45"/>
        <v>0</v>
      </c>
      <c r="AN242" s="634"/>
    </row>
    <row r="243" spans="1:40" s="629" customFormat="1" ht="20.100000000000001" customHeight="1">
      <c r="A243" s="771">
        <f t="shared" si="46"/>
        <v>200</v>
      </c>
      <c r="B243" s="980">
        <f>+NOMINA!C242</f>
        <v>19287100</v>
      </c>
      <c r="C243" s="981" t="str">
        <f>+NOMINA!D242</f>
        <v>Leal Mejia Fraineli Yoset</v>
      </c>
      <c r="D243" s="978" t="s">
        <v>4622</v>
      </c>
      <c r="E243" s="982">
        <v>32351</v>
      </c>
      <c r="F243" s="978" t="s">
        <v>4620</v>
      </c>
      <c r="G243" s="1004">
        <f>+NOMINA!H242</f>
        <v>44713</v>
      </c>
      <c r="H243" s="984">
        <f t="shared" si="47"/>
        <v>0</v>
      </c>
      <c r="I243" s="985">
        <v>0</v>
      </c>
      <c r="J243" s="999">
        <f>+NOMINA!BL242</f>
        <v>15.54</v>
      </c>
      <c r="K243" s="999">
        <f>+NOMINA!BM242</f>
        <v>1.94</v>
      </c>
      <c r="L243" s="999">
        <f>+NOMINA!BN242</f>
        <v>4.21</v>
      </c>
      <c r="M243" s="999">
        <f>++NOMINA!BO242</f>
        <v>0</v>
      </c>
      <c r="N243" s="999">
        <f>+NOMINA!BP242</f>
        <v>0</v>
      </c>
      <c r="O243" s="986">
        <f t="shared" si="48"/>
        <v>21.69</v>
      </c>
      <c r="P243" s="999">
        <f>+NOMINA!BR242</f>
        <v>34.979999999999997</v>
      </c>
      <c r="Q243" s="999">
        <f>+NOMINA!BS242</f>
        <v>7.77</v>
      </c>
      <c r="R243" s="999">
        <f>+NOMINA!BT242</f>
        <v>8.42</v>
      </c>
      <c r="S243" s="986">
        <f t="shared" si="49"/>
        <v>51.17</v>
      </c>
      <c r="T243" s="986">
        <f t="shared" si="50"/>
        <v>72.86</v>
      </c>
      <c r="U243" s="1005">
        <v>0</v>
      </c>
      <c r="V243" s="443" t="e">
        <f>#REF!+#REF!-O243</f>
        <v>#REF!</v>
      </c>
      <c r="W243" s="975" t="e">
        <f>ROUND((#REF!+#REF!+#REF!+#REF!+#REF!+#REF!+#REF!+#REF!+#REF!),2)</f>
        <v>#REF!</v>
      </c>
      <c r="AA243" s="976" t="e">
        <f>#REF!+#REF!-O243</f>
        <v>#REF!</v>
      </c>
      <c r="AB243" s="977" t="e">
        <f>#REF!</f>
        <v>#REF!</v>
      </c>
      <c r="AC243" s="976" t="e">
        <f>#REF!+#REF!</f>
        <v>#REF!</v>
      </c>
      <c r="AD243" s="977" t="e">
        <f>#REF!</f>
        <v>#REF!</v>
      </c>
      <c r="AE243" s="978">
        <v>0</v>
      </c>
      <c r="AF243" s="977" t="e">
        <f>#REF!</f>
        <v>#REF!</v>
      </c>
      <c r="AG243" s="979" t="e">
        <f>#REF!+#REF!</f>
        <v>#REF!</v>
      </c>
      <c r="AH243" s="979" t="e">
        <f>#REF!+#REF!</f>
        <v>#REF!</v>
      </c>
      <c r="AI243" s="979"/>
      <c r="AJ243" s="977" t="e">
        <f>#REF!</f>
        <v>#REF!</v>
      </c>
      <c r="AK243" s="977" t="e">
        <f t="shared" si="43"/>
        <v>#REF!</v>
      </c>
      <c r="AL243" s="977">
        <f t="shared" si="44"/>
        <v>72.86</v>
      </c>
      <c r="AM243" s="977">
        <f t="shared" si="45"/>
        <v>0</v>
      </c>
      <c r="AN243" s="634"/>
    </row>
    <row r="244" spans="1:40" s="629" customFormat="1" ht="20.100000000000001" customHeight="1">
      <c r="A244" s="771">
        <f t="shared" si="46"/>
        <v>201</v>
      </c>
      <c r="B244" s="980">
        <f>+NOMINA!C243</f>
        <v>19372791</v>
      </c>
      <c r="C244" s="981" t="str">
        <f>+NOMINA!D243</f>
        <v>Reveron Araujo Andreina Oscarelis</v>
      </c>
      <c r="D244" s="978" t="s">
        <v>4622</v>
      </c>
      <c r="E244" s="982">
        <v>32351</v>
      </c>
      <c r="F244" s="978" t="s">
        <v>4620</v>
      </c>
      <c r="G244" s="1004">
        <f>+NOMINA!H243</f>
        <v>45627</v>
      </c>
      <c r="H244" s="984">
        <f t="shared" si="47"/>
        <v>0</v>
      </c>
      <c r="I244" s="985">
        <v>0</v>
      </c>
      <c r="J244" s="999">
        <f>+NOMINA!BL243</f>
        <v>20.07</v>
      </c>
      <c r="K244" s="999">
        <f>+NOMINA!BM243</f>
        <v>2.5099999999999998</v>
      </c>
      <c r="L244" s="999">
        <f>+NOMINA!BN243</f>
        <v>5.44</v>
      </c>
      <c r="M244" s="999">
        <f>++NOMINA!BO243</f>
        <v>0</v>
      </c>
      <c r="N244" s="999">
        <f>+NOMINA!BP243</f>
        <v>0</v>
      </c>
      <c r="O244" s="986">
        <f t="shared" si="48"/>
        <v>28.02</v>
      </c>
      <c r="P244" s="999">
        <f>+NOMINA!BR243</f>
        <v>45.16</v>
      </c>
      <c r="Q244" s="999">
        <f>+NOMINA!BS243</f>
        <v>10.039999999999999</v>
      </c>
      <c r="R244" s="999">
        <f>+NOMINA!BT243</f>
        <v>10.88</v>
      </c>
      <c r="S244" s="986">
        <f t="shared" si="49"/>
        <v>66.08</v>
      </c>
      <c r="T244" s="986">
        <f t="shared" si="50"/>
        <v>94.1</v>
      </c>
      <c r="U244" s="1005">
        <v>0</v>
      </c>
      <c r="V244" s="443" t="e">
        <f>#REF!+#REF!-O244</f>
        <v>#REF!</v>
      </c>
      <c r="W244" s="975" t="e">
        <f>ROUND((#REF!+#REF!+#REF!+#REF!+#REF!+#REF!+#REF!+#REF!+#REF!),2)</f>
        <v>#REF!</v>
      </c>
      <c r="AA244" s="976" t="e">
        <f>#REF!+#REF!-O244</f>
        <v>#REF!</v>
      </c>
      <c r="AB244" s="977" t="e">
        <f>#REF!</f>
        <v>#REF!</v>
      </c>
      <c r="AC244" s="976" t="e">
        <f>#REF!+#REF!</f>
        <v>#REF!</v>
      </c>
      <c r="AD244" s="977" t="e">
        <f>#REF!</f>
        <v>#REF!</v>
      </c>
      <c r="AE244" s="978">
        <v>0</v>
      </c>
      <c r="AF244" s="977" t="e">
        <f>#REF!</f>
        <v>#REF!</v>
      </c>
      <c r="AG244" s="979" t="e">
        <f>#REF!+#REF!</f>
        <v>#REF!</v>
      </c>
      <c r="AH244" s="979" t="e">
        <f>#REF!+#REF!</f>
        <v>#REF!</v>
      </c>
      <c r="AI244" s="979"/>
      <c r="AJ244" s="977" t="e">
        <f>#REF!</f>
        <v>#REF!</v>
      </c>
      <c r="AK244" s="977" t="e">
        <f t="shared" si="43"/>
        <v>#REF!</v>
      </c>
      <c r="AL244" s="977">
        <f t="shared" si="44"/>
        <v>94.1</v>
      </c>
      <c r="AM244" s="977">
        <f t="shared" si="45"/>
        <v>0</v>
      </c>
      <c r="AN244" s="634"/>
    </row>
    <row r="245" spans="1:40" s="629" customFormat="1" ht="20.100000000000001" customHeight="1">
      <c r="A245" s="771">
        <f t="shared" si="46"/>
        <v>202</v>
      </c>
      <c r="B245" s="980">
        <f>+NOMINA!C244</f>
        <v>19610534</v>
      </c>
      <c r="C245" s="981" t="str">
        <f>+NOMINA!D244</f>
        <v>Santos Saavedra Greosmar Johan</v>
      </c>
      <c r="D245" s="978" t="s">
        <v>4622</v>
      </c>
      <c r="E245" s="982">
        <v>32351</v>
      </c>
      <c r="F245" s="978" t="s">
        <v>4620</v>
      </c>
      <c r="G245" s="1004">
        <f>+NOMINA!H244</f>
        <v>44713</v>
      </c>
      <c r="H245" s="984">
        <f t="shared" si="47"/>
        <v>0</v>
      </c>
      <c r="I245" s="985">
        <v>0</v>
      </c>
      <c r="J245" s="999">
        <f>+NOMINA!BL244</f>
        <v>19.489999999999998</v>
      </c>
      <c r="K245" s="999">
        <f>+NOMINA!BM244</f>
        <v>2.44</v>
      </c>
      <c r="L245" s="999">
        <f>+NOMINA!BN244</f>
        <v>5.28</v>
      </c>
      <c r="M245" s="999">
        <f>++NOMINA!BO244</f>
        <v>0</v>
      </c>
      <c r="N245" s="999">
        <f>+NOMINA!BP244</f>
        <v>0</v>
      </c>
      <c r="O245" s="986">
        <f t="shared" si="48"/>
        <v>27.21</v>
      </c>
      <c r="P245" s="999">
        <f>+NOMINA!BR244</f>
        <v>43.85</v>
      </c>
      <c r="Q245" s="999">
        <f>+NOMINA!BS244</f>
        <v>9.74</v>
      </c>
      <c r="R245" s="999">
        <f>+NOMINA!BT244</f>
        <v>10.56</v>
      </c>
      <c r="S245" s="986">
        <f t="shared" si="49"/>
        <v>64.150000000000006</v>
      </c>
      <c r="T245" s="986">
        <f t="shared" si="50"/>
        <v>91.360000000000014</v>
      </c>
      <c r="U245" s="1005">
        <v>0</v>
      </c>
      <c r="V245" s="443" t="e">
        <f>#REF!+#REF!-O245</f>
        <v>#REF!</v>
      </c>
      <c r="W245" s="975" t="e">
        <f>ROUND((#REF!+#REF!+#REF!+#REF!+#REF!+#REF!+#REF!+#REF!+#REF!),2)</f>
        <v>#REF!</v>
      </c>
      <c r="AA245" s="976" t="e">
        <f>#REF!+#REF!-O245</f>
        <v>#REF!</v>
      </c>
      <c r="AB245" s="977" t="e">
        <f>#REF!</f>
        <v>#REF!</v>
      </c>
      <c r="AC245" s="976" t="e">
        <f>#REF!+#REF!</f>
        <v>#REF!</v>
      </c>
      <c r="AD245" s="977" t="e">
        <f>#REF!</f>
        <v>#REF!</v>
      </c>
      <c r="AE245" s="978">
        <v>0</v>
      </c>
      <c r="AF245" s="977" t="e">
        <f>#REF!</f>
        <v>#REF!</v>
      </c>
      <c r="AG245" s="979" t="e">
        <f>#REF!+#REF!</f>
        <v>#REF!</v>
      </c>
      <c r="AH245" s="979" t="e">
        <f>#REF!+#REF!</f>
        <v>#REF!</v>
      </c>
      <c r="AI245" s="979"/>
      <c r="AJ245" s="977" t="e">
        <f>#REF!</f>
        <v>#REF!</v>
      </c>
      <c r="AK245" s="977" t="e">
        <f t="shared" si="43"/>
        <v>#REF!</v>
      </c>
      <c r="AL245" s="977">
        <f t="shared" si="44"/>
        <v>91.360000000000014</v>
      </c>
      <c r="AM245" s="977">
        <f t="shared" si="45"/>
        <v>0</v>
      </c>
      <c r="AN245" s="634"/>
    </row>
    <row r="246" spans="1:40" s="629" customFormat="1" ht="20.100000000000001" customHeight="1">
      <c r="A246" s="771">
        <f t="shared" si="46"/>
        <v>203</v>
      </c>
      <c r="B246" s="980">
        <f>+NOMINA!C245</f>
        <v>19610565</v>
      </c>
      <c r="C246" s="981" t="str">
        <f>+NOMINA!D245</f>
        <v>Uzcategui Uzcategui Saray Cristina</v>
      </c>
      <c r="D246" s="978" t="s">
        <v>4622</v>
      </c>
      <c r="E246" s="982">
        <v>32351</v>
      </c>
      <c r="F246" s="978" t="s">
        <v>4620</v>
      </c>
      <c r="G246" s="1004">
        <f>+NOMINA!H245</f>
        <v>44713</v>
      </c>
      <c r="H246" s="984">
        <f t="shared" si="47"/>
        <v>0</v>
      </c>
      <c r="I246" s="985">
        <v>0</v>
      </c>
      <c r="J246" s="999">
        <f>+NOMINA!BL245</f>
        <v>21.05</v>
      </c>
      <c r="K246" s="999">
        <f>+NOMINA!BM245</f>
        <v>2.63</v>
      </c>
      <c r="L246" s="999">
        <f>+NOMINA!BN245</f>
        <v>5.7</v>
      </c>
      <c r="M246" s="999">
        <f>++NOMINA!BO245</f>
        <v>0</v>
      </c>
      <c r="N246" s="999">
        <f>+NOMINA!BP245</f>
        <v>0</v>
      </c>
      <c r="O246" s="986">
        <f t="shared" si="48"/>
        <v>29.38</v>
      </c>
      <c r="P246" s="999">
        <f>+NOMINA!BR245</f>
        <v>47.36</v>
      </c>
      <c r="Q246" s="999">
        <f>+NOMINA!BS245</f>
        <v>10.53</v>
      </c>
      <c r="R246" s="999">
        <f>+NOMINA!BT245</f>
        <v>11.4</v>
      </c>
      <c r="S246" s="986">
        <f t="shared" si="49"/>
        <v>69.290000000000006</v>
      </c>
      <c r="T246" s="986">
        <f t="shared" si="50"/>
        <v>98.67</v>
      </c>
      <c r="U246" s="1005">
        <v>0</v>
      </c>
      <c r="V246" s="443" t="e">
        <f>#REF!+#REF!-O246</f>
        <v>#REF!</v>
      </c>
      <c r="W246" s="975" t="e">
        <f>ROUND((#REF!+#REF!+#REF!+#REF!+#REF!+#REF!+#REF!+#REF!+#REF!),2)</f>
        <v>#REF!</v>
      </c>
      <c r="AA246" s="976" t="e">
        <f>#REF!+#REF!-O246</f>
        <v>#REF!</v>
      </c>
      <c r="AB246" s="977" t="e">
        <f>#REF!</f>
        <v>#REF!</v>
      </c>
      <c r="AC246" s="976" t="e">
        <f>#REF!+#REF!</f>
        <v>#REF!</v>
      </c>
      <c r="AD246" s="977" t="e">
        <f>#REF!</f>
        <v>#REF!</v>
      </c>
      <c r="AE246" s="978">
        <v>0</v>
      </c>
      <c r="AF246" s="977" t="e">
        <f>#REF!</f>
        <v>#REF!</v>
      </c>
      <c r="AG246" s="979" t="e">
        <f>#REF!+#REF!</f>
        <v>#REF!</v>
      </c>
      <c r="AH246" s="979" t="e">
        <f>#REF!+#REF!</f>
        <v>#REF!</v>
      </c>
      <c r="AI246" s="979"/>
      <c r="AJ246" s="977" t="e">
        <f>#REF!</f>
        <v>#REF!</v>
      </c>
      <c r="AK246" s="977" t="e">
        <f t="shared" si="43"/>
        <v>#REF!</v>
      </c>
      <c r="AL246" s="977">
        <f t="shared" si="44"/>
        <v>98.67</v>
      </c>
      <c r="AM246" s="977">
        <f t="shared" si="45"/>
        <v>0</v>
      </c>
      <c r="AN246" s="634"/>
    </row>
    <row r="247" spans="1:40" s="629" customFormat="1" ht="20.100000000000001" customHeight="1">
      <c r="A247" s="771">
        <f t="shared" si="46"/>
        <v>204</v>
      </c>
      <c r="B247" s="980">
        <f>+NOMINA!C246</f>
        <v>19643405</v>
      </c>
      <c r="C247" s="981" t="str">
        <f>+NOMINA!D246</f>
        <v>Valero Mejia Aleidy Rosana</v>
      </c>
      <c r="D247" s="978" t="s">
        <v>4622</v>
      </c>
      <c r="E247" s="982">
        <v>32351</v>
      </c>
      <c r="F247" s="978" t="s">
        <v>4620</v>
      </c>
      <c r="G247" s="1004">
        <f>+NOMINA!H246</f>
        <v>43221</v>
      </c>
      <c r="H247" s="984">
        <f t="shared" si="47"/>
        <v>4</v>
      </c>
      <c r="I247" s="985">
        <v>0</v>
      </c>
      <c r="J247" s="999">
        <f>+NOMINA!BL246</f>
        <v>21.73</v>
      </c>
      <c r="K247" s="999">
        <f>+NOMINA!BM246</f>
        <v>2.72</v>
      </c>
      <c r="L247" s="999">
        <f>+NOMINA!BN246</f>
        <v>5.88</v>
      </c>
      <c r="M247" s="999">
        <f>++NOMINA!BO246</f>
        <v>0</v>
      </c>
      <c r="N247" s="999">
        <f>+NOMINA!BP246</f>
        <v>0</v>
      </c>
      <c r="O247" s="986">
        <f t="shared" si="48"/>
        <v>30.33</v>
      </c>
      <c r="P247" s="999">
        <f>+NOMINA!BR246</f>
        <v>48.88</v>
      </c>
      <c r="Q247" s="999">
        <f>+NOMINA!BS246</f>
        <v>10.86</v>
      </c>
      <c r="R247" s="999">
        <f>+NOMINA!BT246</f>
        <v>11.76</v>
      </c>
      <c r="S247" s="986">
        <f t="shared" si="49"/>
        <v>71.5</v>
      </c>
      <c r="T247" s="986">
        <f t="shared" si="50"/>
        <v>101.83</v>
      </c>
      <c r="U247" s="1005">
        <v>0</v>
      </c>
      <c r="V247" s="443" t="e">
        <f>#REF!+#REF!-O247</f>
        <v>#REF!</v>
      </c>
      <c r="W247" s="975" t="e">
        <f>ROUND((#REF!+#REF!+#REF!+#REF!+#REF!+#REF!+#REF!+#REF!+#REF!),2)</f>
        <v>#REF!</v>
      </c>
      <c r="AA247" s="976" t="e">
        <f>#REF!+#REF!-O247</f>
        <v>#REF!</v>
      </c>
      <c r="AB247" s="977" t="e">
        <f>#REF!</f>
        <v>#REF!</v>
      </c>
      <c r="AC247" s="976" t="e">
        <f>#REF!+#REF!</f>
        <v>#REF!</v>
      </c>
      <c r="AD247" s="977" t="e">
        <f>#REF!</f>
        <v>#REF!</v>
      </c>
      <c r="AE247" s="978">
        <v>0</v>
      </c>
      <c r="AF247" s="977" t="e">
        <f>#REF!</f>
        <v>#REF!</v>
      </c>
      <c r="AG247" s="979" t="e">
        <f>#REF!+#REF!</f>
        <v>#REF!</v>
      </c>
      <c r="AH247" s="979" t="e">
        <f>#REF!+#REF!</f>
        <v>#REF!</v>
      </c>
      <c r="AI247" s="979"/>
      <c r="AJ247" s="977" t="e">
        <f>#REF!</f>
        <v>#REF!</v>
      </c>
      <c r="AK247" s="977" t="e">
        <f t="shared" si="43"/>
        <v>#REF!</v>
      </c>
      <c r="AL247" s="977">
        <f t="shared" si="44"/>
        <v>101.83</v>
      </c>
      <c r="AM247" s="977">
        <f t="shared" si="45"/>
        <v>0</v>
      </c>
      <c r="AN247" s="634"/>
    </row>
    <row r="248" spans="1:40" s="629" customFormat="1" ht="20.100000000000001" customHeight="1">
      <c r="A248" s="771">
        <f t="shared" si="46"/>
        <v>205</v>
      </c>
      <c r="B248" s="980">
        <f>+NOMINA!C247</f>
        <v>19643806</v>
      </c>
      <c r="C248" s="981" t="str">
        <f>+NOMINA!D247</f>
        <v>Vazquez Hernandez Doris Mercedes</v>
      </c>
      <c r="D248" s="978" t="s">
        <v>4622</v>
      </c>
      <c r="E248" s="982">
        <v>32351</v>
      </c>
      <c r="F248" s="978" t="s">
        <v>4620</v>
      </c>
      <c r="G248" s="1004">
        <f>+NOMINA!H247</f>
        <v>45505</v>
      </c>
      <c r="H248" s="984">
        <f t="shared" si="47"/>
        <v>0</v>
      </c>
      <c r="I248" s="985">
        <v>0</v>
      </c>
      <c r="J248" s="999">
        <f>+NOMINA!BL247</f>
        <v>16.02</v>
      </c>
      <c r="K248" s="999">
        <f>+NOMINA!BM247</f>
        <v>2</v>
      </c>
      <c r="L248" s="999">
        <f>+NOMINA!BN247</f>
        <v>4.34</v>
      </c>
      <c r="M248" s="999">
        <f>++NOMINA!BO247</f>
        <v>0</v>
      </c>
      <c r="N248" s="999">
        <f>+NOMINA!BP247</f>
        <v>0</v>
      </c>
      <c r="O248" s="986">
        <f t="shared" si="48"/>
        <v>22.36</v>
      </c>
      <c r="P248" s="999">
        <f>+NOMINA!BR247</f>
        <v>36.03</v>
      </c>
      <c r="Q248" s="999">
        <f>+NOMINA!BS247</f>
        <v>8.01</v>
      </c>
      <c r="R248" s="999">
        <f>+NOMINA!BT247</f>
        <v>8.68</v>
      </c>
      <c r="S248" s="986">
        <f t="shared" si="49"/>
        <v>52.72</v>
      </c>
      <c r="T248" s="986">
        <f t="shared" si="50"/>
        <v>75.08</v>
      </c>
      <c r="U248" s="1005">
        <v>0</v>
      </c>
      <c r="V248" s="443" t="e">
        <f>#REF!+#REF!-O248</f>
        <v>#REF!</v>
      </c>
      <c r="W248" s="975" t="e">
        <f>ROUND((#REF!+#REF!+#REF!+#REF!+#REF!+#REF!+#REF!+#REF!+#REF!),2)</f>
        <v>#REF!</v>
      </c>
      <c r="AA248" s="976" t="e">
        <f>#REF!+#REF!-O248</f>
        <v>#REF!</v>
      </c>
      <c r="AB248" s="977" t="e">
        <f>#REF!</f>
        <v>#REF!</v>
      </c>
      <c r="AC248" s="976" t="e">
        <f>#REF!+#REF!</f>
        <v>#REF!</v>
      </c>
      <c r="AD248" s="977" t="e">
        <f>#REF!</f>
        <v>#REF!</v>
      </c>
      <c r="AE248" s="978">
        <v>0</v>
      </c>
      <c r="AF248" s="977" t="e">
        <f>#REF!</f>
        <v>#REF!</v>
      </c>
      <c r="AG248" s="979" t="e">
        <f>#REF!+#REF!</f>
        <v>#REF!</v>
      </c>
      <c r="AH248" s="979" t="e">
        <f>#REF!+#REF!</f>
        <v>#REF!</v>
      </c>
      <c r="AI248" s="979"/>
      <c r="AJ248" s="977" t="e">
        <f>#REF!</f>
        <v>#REF!</v>
      </c>
      <c r="AK248" s="977" t="e">
        <f t="shared" si="43"/>
        <v>#REF!</v>
      </c>
      <c r="AL248" s="977">
        <f t="shared" si="44"/>
        <v>75.08</v>
      </c>
      <c r="AM248" s="977">
        <f t="shared" si="45"/>
        <v>0</v>
      </c>
      <c r="AN248" s="634"/>
    </row>
    <row r="249" spans="1:40" s="629" customFormat="1" ht="20.100000000000001" customHeight="1">
      <c r="A249" s="771">
        <f t="shared" si="46"/>
        <v>206</v>
      </c>
      <c r="B249" s="980">
        <f>+NOMINA!C248</f>
        <v>19644743</v>
      </c>
      <c r="C249" s="981" t="str">
        <f>+NOMINA!D248</f>
        <v>Villa Daniela Carolina</v>
      </c>
      <c r="D249" s="978" t="s">
        <v>4622</v>
      </c>
      <c r="E249" s="982">
        <v>32351</v>
      </c>
      <c r="F249" s="978" t="s">
        <v>4620</v>
      </c>
      <c r="G249" s="1004">
        <f>+NOMINA!H248</f>
        <v>43967</v>
      </c>
      <c r="H249" s="984">
        <f t="shared" si="47"/>
        <v>2</v>
      </c>
      <c r="I249" s="985">
        <v>0</v>
      </c>
      <c r="J249" s="999">
        <f>+NOMINA!BL248</f>
        <v>20.45</v>
      </c>
      <c r="K249" s="999">
        <f>+NOMINA!BM248</f>
        <v>2.56</v>
      </c>
      <c r="L249" s="999">
        <f>+NOMINA!BN248</f>
        <v>5.54</v>
      </c>
      <c r="M249" s="999">
        <f>++NOMINA!BO248</f>
        <v>0</v>
      </c>
      <c r="N249" s="999">
        <f>+NOMINA!BP248</f>
        <v>0</v>
      </c>
      <c r="O249" s="986">
        <f t="shared" si="48"/>
        <v>28.55</v>
      </c>
      <c r="P249" s="999">
        <f>+NOMINA!BR248</f>
        <v>46.01</v>
      </c>
      <c r="Q249" s="999">
        <f>+NOMINA!BS248</f>
        <v>10.220000000000001</v>
      </c>
      <c r="R249" s="999">
        <f>+NOMINA!BT248</f>
        <v>11.08</v>
      </c>
      <c r="S249" s="986">
        <f t="shared" si="49"/>
        <v>67.31</v>
      </c>
      <c r="T249" s="986">
        <f t="shared" si="50"/>
        <v>95.86</v>
      </c>
      <c r="U249" s="1005">
        <v>0</v>
      </c>
      <c r="V249" s="443" t="e">
        <f>#REF!+#REF!-O249</f>
        <v>#REF!</v>
      </c>
      <c r="W249" s="975" t="e">
        <f>ROUND((#REF!+#REF!+#REF!+#REF!+#REF!+#REF!+#REF!+#REF!+#REF!),2)</f>
        <v>#REF!</v>
      </c>
      <c r="AA249" s="976" t="e">
        <f>#REF!+#REF!-O249</f>
        <v>#REF!</v>
      </c>
      <c r="AB249" s="977" t="e">
        <f>#REF!</f>
        <v>#REF!</v>
      </c>
      <c r="AC249" s="976" t="e">
        <f>#REF!+#REF!</f>
        <v>#REF!</v>
      </c>
      <c r="AD249" s="977" t="e">
        <f>#REF!</f>
        <v>#REF!</v>
      </c>
      <c r="AE249" s="978">
        <v>0</v>
      </c>
      <c r="AF249" s="977" t="e">
        <f>#REF!</f>
        <v>#REF!</v>
      </c>
      <c r="AG249" s="979" t="e">
        <f>#REF!+#REF!</f>
        <v>#REF!</v>
      </c>
      <c r="AH249" s="979" t="e">
        <f>#REF!+#REF!</f>
        <v>#REF!</v>
      </c>
      <c r="AI249" s="979"/>
      <c r="AJ249" s="977" t="e">
        <f>#REF!</f>
        <v>#REF!</v>
      </c>
      <c r="AK249" s="977" t="e">
        <f t="shared" si="43"/>
        <v>#REF!</v>
      </c>
      <c r="AL249" s="977">
        <f t="shared" si="44"/>
        <v>95.86</v>
      </c>
      <c r="AM249" s="977">
        <f t="shared" si="45"/>
        <v>0</v>
      </c>
      <c r="AN249" s="634"/>
    </row>
    <row r="250" spans="1:40" s="629" customFormat="1" ht="20.100000000000001" customHeight="1">
      <c r="A250" s="771">
        <f t="shared" si="46"/>
        <v>207</v>
      </c>
      <c r="B250" s="980">
        <f>+NOMINA!C249</f>
        <v>19644756</v>
      </c>
      <c r="C250" s="981" t="str">
        <f>+NOMINA!D249</f>
        <v>Mejia Aldana Norbelys Carolina</v>
      </c>
      <c r="D250" s="978" t="s">
        <v>4622</v>
      </c>
      <c r="E250" s="982">
        <v>32351</v>
      </c>
      <c r="F250" s="978" t="s">
        <v>4620</v>
      </c>
      <c r="G250" s="1004">
        <f>+NOMINA!H249</f>
        <v>44470</v>
      </c>
      <c r="H250" s="984">
        <f t="shared" si="47"/>
        <v>1</v>
      </c>
      <c r="I250" s="985">
        <v>0</v>
      </c>
      <c r="J250" s="999">
        <f>+NOMINA!BL249</f>
        <v>11.43</v>
      </c>
      <c r="K250" s="999">
        <f>+NOMINA!BM249</f>
        <v>1.43</v>
      </c>
      <c r="L250" s="999">
        <f>+NOMINA!BN249</f>
        <v>3.1</v>
      </c>
      <c r="M250" s="999">
        <f>++NOMINA!BO249</f>
        <v>0</v>
      </c>
      <c r="N250" s="999">
        <f>+NOMINA!BP249</f>
        <v>0</v>
      </c>
      <c r="O250" s="986">
        <f t="shared" si="48"/>
        <v>15.96</v>
      </c>
      <c r="P250" s="999">
        <f>+NOMINA!BR249</f>
        <v>25.71</v>
      </c>
      <c r="Q250" s="999">
        <f>+NOMINA!BS249</f>
        <v>5.71</v>
      </c>
      <c r="R250" s="999">
        <f>+NOMINA!BT249</f>
        <v>6.2</v>
      </c>
      <c r="S250" s="986">
        <f t="shared" si="49"/>
        <v>37.619999999999997</v>
      </c>
      <c r="T250" s="986">
        <f t="shared" si="50"/>
        <v>53.58</v>
      </c>
      <c r="U250" s="1005">
        <v>0</v>
      </c>
      <c r="V250" s="443" t="e">
        <f>#REF!+#REF!-O250</f>
        <v>#REF!</v>
      </c>
      <c r="W250" s="975" t="e">
        <f>ROUND((#REF!+#REF!+#REF!+#REF!+#REF!+#REF!+#REF!+#REF!+#REF!),2)</f>
        <v>#REF!</v>
      </c>
      <c r="AA250" s="976" t="e">
        <f>#REF!+#REF!-O250</f>
        <v>#REF!</v>
      </c>
      <c r="AB250" s="977" t="e">
        <f>#REF!</f>
        <v>#REF!</v>
      </c>
      <c r="AC250" s="976" t="e">
        <f>#REF!+#REF!</f>
        <v>#REF!</v>
      </c>
      <c r="AD250" s="977" t="e">
        <f>#REF!</f>
        <v>#REF!</v>
      </c>
      <c r="AE250" s="978">
        <v>0</v>
      </c>
      <c r="AF250" s="977" t="e">
        <f>#REF!</f>
        <v>#REF!</v>
      </c>
      <c r="AG250" s="979" t="e">
        <f>#REF!+#REF!</f>
        <v>#REF!</v>
      </c>
      <c r="AH250" s="979" t="e">
        <f>#REF!+#REF!</f>
        <v>#REF!</v>
      </c>
      <c r="AI250" s="979"/>
      <c r="AJ250" s="977" t="e">
        <f>#REF!</f>
        <v>#REF!</v>
      </c>
      <c r="AK250" s="977" t="e">
        <f t="shared" si="43"/>
        <v>#REF!</v>
      </c>
      <c r="AL250" s="977">
        <f t="shared" si="44"/>
        <v>53.58</v>
      </c>
      <c r="AM250" s="977">
        <f t="shared" si="45"/>
        <v>0</v>
      </c>
      <c r="AN250" s="634"/>
    </row>
    <row r="251" spans="1:40" s="629" customFormat="1" ht="20.100000000000001" customHeight="1">
      <c r="A251" s="771">
        <f t="shared" si="46"/>
        <v>208</v>
      </c>
      <c r="B251" s="980">
        <f>+NOMINA!C250</f>
        <v>19794217</v>
      </c>
      <c r="C251" s="981" t="str">
        <f>+NOMINA!D250</f>
        <v>Suarez Leal Betzabeth Daimar</v>
      </c>
      <c r="D251" s="978" t="s">
        <v>4622</v>
      </c>
      <c r="E251" s="982">
        <v>32351</v>
      </c>
      <c r="F251" s="978" t="s">
        <v>4620</v>
      </c>
      <c r="G251" s="1004">
        <f>+NOMINA!H250</f>
        <v>44683</v>
      </c>
      <c r="H251" s="984">
        <f t="shared" si="47"/>
        <v>0</v>
      </c>
      <c r="I251" s="985">
        <v>0</v>
      </c>
      <c r="J251" s="999">
        <f>+NOMINA!BL250</f>
        <v>19.489999999999998</v>
      </c>
      <c r="K251" s="999">
        <f>+NOMINA!BM250</f>
        <v>2.44</v>
      </c>
      <c r="L251" s="999">
        <f>+NOMINA!BN250</f>
        <v>5.28</v>
      </c>
      <c r="M251" s="999">
        <f>++NOMINA!BO250</f>
        <v>0</v>
      </c>
      <c r="N251" s="999">
        <f>+NOMINA!BP250</f>
        <v>0</v>
      </c>
      <c r="O251" s="986">
        <f t="shared" si="48"/>
        <v>27.21</v>
      </c>
      <c r="P251" s="999">
        <f>+NOMINA!BR250</f>
        <v>43.85</v>
      </c>
      <c r="Q251" s="999">
        <f>+NOMINA!BS250</f>
        <v>9.74</v>
      </c>
      <c r="R251" s="999">
        <f>+NOMINA!BT250</f>
        <v>10.56</v>
      </c>
      <c r="S251" s="986">
        <f t="shared" si="49"/>
        <v>64.150000000000006</v>
      </c>
      <c r="T251" s="986">
        <f t="shared" si="50"/>
        <v>91.360000000000014</v>
      </c>
      <c r="U251" s="1005">
        <v>0</v>
      </c>
      <c r="V251" s="443" t="e">
        <f>#REF!+#REF!-O251</f>
        <v>#REF!</v>
      </c>
      <c r="W251" s="975" t="e">
        <f>ROUND((#REF!+#REF!+#REF!+#REF!+#REF!+#REF!+#REF!+#REF!+#REF!),2)</f>
        <v>#REF!</v>
      </c>
      <c r="AA251" s="976" t="e">
        <f>#REF!+#REF!-O251</f>
        <v>#REF!</v>
      </c>
      <c r="AB251" s="977" t="e">
        <f>#REF!</f>
        <v>#REF!</v>
      </c>
      <c r="AC251" s="976" t="e">
        <f>#REF!+#REF!</f>
        <v>#REF!</v>
      </c>
      <c r="AD251" s="977" t="e">
        <f>#REF!</f>
        <v>#REF!</v>
      </c>
      <c r="AE251" s="978">
        <v>0</v>
      </c>
      <c r="AF251" s="977" t="e">
        <f>#REF!</f>
        <v>#REF!</v>
      </c>
      <c r="AG251" s="979" t="e">
        <f>#REF!+#REF!</f>
        <v>#REF!</v>
      </c>
      <c r="AH251" s="979" t="e">
        <f>#REF!+#REF!</f>
        <v>#REF!</v>
      </c>
      <c r="AI251" s="979"/>
      <c r="AJ251" s="977" t="e">
        <f>#REF!</f>
        <v>#REF!</v>
      </c>
      <c r="AK251" s="977" t="e">
        <f t="shared" si="43"/>
        <v>#REF!</v>
      </c>
      <c r="AL251" s="977">
        <f t="shared" si="44"/>
        <v>91.360000000000014</v>
      </c>
      <c r="AM251" s="977">
        <f t="shared" si="45"/>
        <v>0</v>
      </c>
      <c r="AN251" s="634"/>
    </row>
    <row r="252" spans="1:40" s="629" customFormat="1" ht="20.100000000000001" customHeight="1">
      <c r="A252" s="771">
        <f t="shared" si="46"/>
        <v>209</v>
      </c>
      <c r="B252" s="980">
        <f>+NOMINA!C251</f>
        <v>20038162</v>
      </c>
      <c r="C252" s="981" t="str">
        <f>+NOMINA!D251</f>
        <v>Jerez Rangel Gleidy Andreina</v>
      </c>
      <c r="D252" s="978" t="s">
        <v>4622</v>
      </c>
      <c r="E252" s="982">
        <v>32351</v>
      </c>
      <c r="F252" s="978" t="s">
        <v>4620</v>
      </c>
      <c r="G252" s="1004">
        <f>+NOMINA!H251</f>
        <v>45597</v>
      </c>
      <c r="H252" s="984">
        <f t="shared" si="47"/>
        <v>0</v>
      </c>
      <c r="I252" s="985">
        <v>0</v>
      </c>
      <c r="J252" s="999">
        <f>+NOMINA!BL251</f>
        <v>20.82</v>
      </c>
      <c r="K252" s="999">
        <f>+NOMINA!BM251</f>
        <v>2.6</v>
      </c>
      <c r="L252" s="999">
        <f>+NOMINA!BN251</f>
        <v>5.64</v>
      </c>
      <c r="M252" s="999">
        <f>++NOMINA!BO251</f>
        <v>0</v>
      </c>
      <c r="N252" s="999">
        <f>+NOMINA!BP251</f>
        <v>0</v>
      </c>
      <c r="O252" s="986">
        <f t="shared" si="48"/>
        <v>29.06</v>
      </c>
      <c r="P252" s="999">
        <f>+NOMINA!BR251</f>
        <v>46.85</v>
      </c>
      <c r="Q252" s="999">
        <f>+NOMINA!BS251</f>
        <v>10.41</v>
      </c>
      <c r="R252" s="999">
        <f>+NOMINA!BT251</f>
        <v>11.28</v>
      </c>
      <c r="S252" s="986">
        <f t="shared" si="49"/>
        <v>68.540000000000006</v>
      </c>
      <c r="T252" s="986">
        <f t="shared" si="50"/>
        <v>97.600000000000009</v>
      </c>
      <c r="U252" s="1005">
        <v>0</v>
      </c>
      <c r="V252" s="443" t="e">
        <f>#REF!+#REF!-O252</f>
        <v>#REF!</v>
      </c>
      <c r="W252" s="975" t="e">
        <f>ROUND((#REF!+#REF!+#REF!+#REF!+#REF!+#REF!+#REF!+#REF!+#REF!),2)</f>
        <v>#REF!</v>
      </c>
      <c r="AA252" s="976" t="e">
        <f>#REF!+#REF!-O252</f>
        <v>#REF!</v>
      </c>
      <c r="AB252" s="977" t="e">
        <f>#REF!</f>
        <v>#REF!</v>
      </c>
      <c r="AC252" s="976" t="e">
        <f>#REF!+#REF!</f>
        <v>#REF!</v>
      </c>
      <c r="AD252" s="977" t="e">
        <f>#REF!</f>
        <v>#REF!</v>
      </c>
      <c r="AE252" s="978">
        <v>0</v>
      </c>
      <c r="AF252" s="977" t="e">
        <f>#REF!</f>
        <v>#REF!</v>
      </c>
      <c r="AG252" s="979" t="e">
        <f>#REF!+#REF!</f>
        <v>#REF!</v>
      </c>
      <c r="AH252" s="979" t="e">
        <f>#REF!+#REF!</f>
        <v>#REF!</v>
      </c>
      <c r="AI252" s="979"/>
      <c r="AJ252" s="977" t="e">
        <f>#REF!</f>
        <v>#REF!</v>
      </c>
      <c r="AK252" s="977" t="e">
        <f t="shared" si="43"/>
        <v>#REF!</v>
      </c>
      <c r="AL252" s="977">
        <f t="shared" si="44"/>
        <v>97.600000000000009</v>
      </c>
      <c r="AM252" s="977">
        <f t="shared" si="45"/>
        <v>0</v>
      </c>
      <c r="AN252" s="634"/>
    </row>
    <row r="253" spans="1:40" s="629" customFormat="1" ht="20.100000000000001" customHeight="1">
      <c r="A253" s="771">
        <f t="shared" si="46"/>
        <v>210</v>
      </c>
      <c r="B253" s="980">
        <f>+NOMINA!C252</f>
        <v>20655363</v>
      </c>
      <c r="C253" s="981" t="str">
        <f>+NOMINA!D252</f>
        <v>Sarache Ramirez Maryelis Stefani</v>
      </c>
      <c r="D253" s="978" t="s">
        <v>4622</v>
      </c>
      <c r="E253" s="982">
        <v>32351</v>
      </c>
      <c r="F253" s="978" t="s">
        <v>4620</v>
      </c>
      <c r="G253" s="1004">
        <f>+NOMINA!H252</f>
        <v>45323</v>
      </c>
      <c r="H253" s="984">
        <f t="shared" si="47"/>
        <v>0</v>
      </c>
      <c r="I253" s="985">
        <v>0</v>
      </c>
      <c r="J253" s="999">
        <f>+NOMINA!BL252</f>
        <v>20.82</v>
      </c>
      <c r="K253" s="999">
        <f>+NOMINA!BM252</f>
        <v>2.6</v>
      </c>
      <c r="L253" s="999">
        <f>+NOMINA!BN252</f>
        <v>5.64</v>
      </c>
      <c r="M253" s="999">
        <f>++NOMINA!BO252</f>
        <v>0</v>
      </c>
      <c r="N253" s="999">
        <f>+NOMINA!BP252</f>
        <v>0</v>
      </c>
      <c r="O253" s="986">
        <f t="shared" si="48"/>
        <v>29.06</v>
      </c>
      <c r="P253" s="999">
        <f>+NOMINA!BR252</f>
        <v>46.85</v>
      </c>
      <c r="Q253" s="999">
        <f>+NOMINA!BS252</f>
        <v>10.41</v>
      </c>
      <c r="R253" s="999">
        <f>+NOMINA!BT252</f>
        <v>11.28</v>
      </c>
      <c r="S253" s="986">
        <f t="shared" si="49"/>
        <v>68.540000000000006</v>
      </c>
      <c r="T253" s="986">
        <f t="shared" si="50"/>
        <v>97.600000000000009</v>
      </c>
      <c r="U253" s="1005">
        <v>0</v>
      </c>
      <c r="V253" s="443" t="e">
        <f>#REF!+#REF!-O253</f>
        <v>#REF!</v>
      </c>
      <c r="W253" s="975" t="e">
        <f>ROUND((#REF!+#REF!+#REF!+#REF!+#REF!+#REF!+#REF!+#REF!+#REF!),2)</f>
        <v>#REF!</v>
      </c>
      <c r="AA253" s="976" t="e">
        <f>#REF!+#REF!-O253</f>
        <v>#REF!</v>
      </c>
      <c r="AB253" s="977" t="e">
        <f>#REF!</f>
        <v>#REF!</v>
      </c>
      <c r="AC253" s="976" t="e">
        <f>#REF!+#REF!</f>
        <v>#REF!</v>
      </c>
      <c r="AD253" s="977" t="e">
        <f>#REF!</f>
        <v>#REF!</v>
      </c>
      <c r="AE253" s="978">
        <v>0</v>
      </c>
      <c r="AF253" s="977" t="e">
        <f>#REF!</f>
        <v>#REF!</v>
      </c>
      <c r="AG253" s="979" t="e">
        <f>#REF!+#REF!</f>
        <v>#REF!</v>
      </c>
      <c r="AH253" s="979" t="e">
        <f>#REF!+#REF!</f>
        <v>#REF!</v>
      </c>
      <c r="AI253" s="979"/>
      <c r="AJ253" s="977" t="e">
        <f>#REF!</f>
        <v>#REF!</v>
      </c>
      <c r="AK253" s="977" t="e">
        <f t="shared" si="43"/>
        <v>#REF!</v>
      </c>
      <c r="AL253" s="977">
        <f t="shared" si="44"/>
        <v>97.600000000000009</v>
      </c>
      <c r="AM253" s="977">
        <f t="shared" si="45"/>
        <v>0</v>
      </c>
      <c r="AN253" s="634"/>
    </row>
    <row r="254" spans="1:40" s="629" customFormat="1" ht="20.100000000000001" customHeight="1">
      <c r="A254" s="771">
        <f t="shared" si="46"/>
        <v>211</v>
      </c>
      <c r="B254" s="980">
        <f>+NOMINA!C253</f>
        <v>20401711</v>
      </c>
      <c r="C254" s="981" t="str">
        <f>+NOMINA!D253</f>
        <v>Mendez Giro Maryely Roxana</v>
      </c>
      <c r="D254" s="978" t="s">
        <v>4622</v>
      </c>
      <c r="E254" s="982">
        <v>32351</v>
      </c>
      <c r="F254" s="978" t="s">
        <v>4620</v>
      </c>
      <c r="G254" s="1004">
        <f>+NOMINA!H253</f>
        <v>44363</v>
      </c>
      <c r="H254" s="984">
        <f t="shared" si="47"/>
        <v>1</v>
      </c>
      <c r="I254" s="985">
        <v>0</v>
      </c>
      <c r="J254" s="999">
        <f>+NOMINA!BL253</f>
        <v>22.17</v>
      </c>
      <c r="K254" s="999">
        <f>+NOMINA!BM253</f>
        <v>2.77</v>
      </c>
      <c r="L254" s="999">
        <f>+NOMINA!BN253</f>
        <v>6.01</v>
      </c>
      <c r="M254" s="999">
        <f>++NOMINA!BO253</f>
        <v>0</v>
      </c>
      <c r="N254" s="999">
        <f>+NOMINA!BP253</f>
        <v>0</v>
      </c>
      <c r="O254" s="986">
        <f t="shared" si="48"/>
        <v>30.95</v>
      </c>
      <c r="P254" s="999">
        <f>+NOMINA!BR253</f>
        <v>49.89</v>
      </c>
      <c r="Q254" s="999">
        <f>+NOMINA!BS253</f>
        <v>11.09</v>
      </c>
      <c r="R254" s="999">
        <f>+NOMINA!BT253</f>
        <v>12.02</v>
      </c>
      <c r="S254" s="986">
        <f t="shared" si="49"/>
        <v>73</v>
      </c>
      <c r="T254" s="986">
        <f t="shared" si="50"/>
        <v>103.95</v>
      </c>
      <c r="U254" s="1005">
        <v>0</v>
      </c>
      <c r="V254" s="443" t="e">
        <f>#REF!+#REF!-O254</f>
        <v>#REF!</v>
      </c>
      <c r="W254" s="975" t="e">
        <f>ROUND((#REF!+#REF!+#REF!+#REF!+#REF!+#REF!+#REF!+#REF!+#REF!),2)</f>
        <v>#REF!</v>
      </c>
      <c r="AA254" s="976" t="e">
        <f>#REF!+#REF!-O254</f>
        <v>#REF!</v>
      </c>
      <c r="AB254" s="977" t="e">
        <f>#REF!</f>
        <v>#REF!</v>
      </c>
      <c r="AC254" s="976" t="e">
        <f>#REF!+#REF!</f>
        <v>#REF!</v>
      </c>
      <c r="AD254" s="977" t="e">
        <f>#REF!</f>
        <v>#REF!</v>
      </c>
      <c r="AE254" s="978">
        <v>0</v>
      </c>
      <c r="AF254" s="977" t="e">
        <f>#REF!</f>
        <v>#REF!</v>
      </c>
      <c r="AG254" s="979" t="e">
        <f>#REF!+#REF!</f>
        <v>#REF!</v>
      </c>
      <c r="AH254" s="979" t="e">
        <f>#REF!+#REF!</f>
        <v>#REF!</v>
      </c>
      <c r="AI254" s="979"/>
      <c r="AJ254" s="977" t="e">
        <f>#REF!</f>
        <v>#REF!</v>
      </c>
      <c r="AK254" s="977" t="e">
        <f t="shared" si="43"/>
        <v>#REF!</v>
      </c>
      <c r="AL254" s="977">
        <f t="shared" si="44"/>
        <v>103.95</v>
      </c>
      <c r="AM254" s="977">
        <f t="shared" si="45"/>
        <v>0</v>
      </c>
      <c r="AN254" s="634"/>
    </row>
    <row r="255" spans="1:40" s="629" customFormat="1" ht="20.100000000000001" customHeight="1">
      <c r="A255" s="771">
        <f t="shared" si="46"/>
        <v>212</v>
      </c>
      <c r="B255" s="980">
        <f>+NOMINA!C254</f>
        <v>20428039</v>
      </c>
      <c r="C255" s="981" t="str">
        <f>+NOMINA!D254</f>
        <v>Manzanilla Juan Roberto Antonio</v>
      </c>
      <c r="D255" s="978" t="s">
        <v>4622</v>
      </c>
      <c r="E255" s="982">
        <v>32351</v>
      </c>
      <c r="F255" s="978" t="s">
        <v>4620</v>
      </c>
      <c r="G255" s="1004">
        <f>+NOMINA!H254</f>
        <v>45566</v>
      </c>
      <c r="H255" s="984">
        <f t="shared" si="47"/>
        <v>0</v>
      </c>
      <c r="I255" s="985">
        <v>0</v>
      </c>
      <c r="J255" s="999">
        <f>+NOMINA!BL254</f>
        <v>13.68</v>
      </c>
      <c r="K255" s="999">
        <f>+NOMINA!BM254</f>
        <v>1.71</v>
      </c>
      <c r="L255" s="999">
        <f>+NOMINA!BN254</f>
        <v>3.71</v>
      </c>
      <c r="M255" s="999">
        <f>++NOMINA!BO254</f>
        <v>0</v>
      </c>
      <c r="N255" s="999">
        <f>+NOMINA!BP254</f>
        <v>0</v>
      </c>
      <c r="O255" s="986">
        <f t="shared" si="48"/>
        <v>19.100000000000001</v>
      </c>
      <c r="P255" s="999">
        <f>+NOMINA!BR254</f>
        <v>30.78</v>
      </c>
      <c r="Q255" s="999">
        <f>+NOMINA!BS254</f>
        <v>6.84</v>
      </c>
      <c r="R255" s="999">
        <f>+NOMINA!BT254</f>
        <v>7.42</v>
      </c>
      <c r="S255" s="986">
        <f t="shared" si="49"/>
        <v>45.04</v>
      </c>
      <c r="T255" s="986">
        <f t="shared" si="50"/>
        <v>64.14</v>
      </c>
      <c r="U255" s="1005">
        <v>0</v>
      </c>
      <c r="V255" s="443" t="e">
        <f>#REF!+#REF!-O255</f>
        <v>#REF!</v>
      </c>
      <c r="W255" s="975" t="e">
        <f>ROUND((#REF!+#REF!+#REF!+#REF!+#REF!+#REF!+#REF!+#REF!+#REF!),2)</f>
        <v>#REF!</v>
      </c>
      <c r="AA255" s="976" t="e">
        <f>#REF!+#REF!-O255</f>
        <v>#REF!</v>
      </c>
      <c r="AB255" s="977" t="e">
        <f>#REF!</f>
        <v>#REF!</v>
      </c>
      <c r="AC255" s="976" t="e">
        <f>#REF!+#REF!</f>
        <v>#REF!</v>
      </c>
      <c r="AD255" s="977" t="e">
        <f>#REF!</f>
        <v>#REF!</v>
      </c>
      <c r="AE255" s="978">
        <v>0</v>
      </c>
      <c r="AF255" s="977" t="e">
        <f>#REF!</f>
        <v>#REF!</v>
      </c>
      <c r="AG255" s="979" t="e">
        <f>#REF!+#REF!</f>
        <v>#REF!</v>
      </c>
      <c r="AH255" s="979" t="e">
        <f>#REF!+#REF!</f>
        <v>#REF!</v>
      </c>
      <c r="AI255" s="979"/>
      <c r="AJ255" s="977" t="e">
        <f>#REF!</f>
        <v>#REF!</v>
      </c>
      <c r="AK255" s="977" t="e">
        <f t="shared" si="43"/>
        <v>#REF!</v>
      </c>
      <c r="AL255" s="977">
        <f t="shared" si="44"/>
        <v>64.14</v>
      </c>
      <c r="AM255" s="977">
        <f t="shared" si="45"/>
        <v>0</v>
      </c>
      <c r="AN255" s="634"/>
    </row>
    <row r="256" spans="1:40" s="629" customFormat="1" ht="20.100000000000001" customHeight="1">
      <c r="A256" s="771">
        <f t="shared" si="46"/>
        <v>213</v>
      </c>
      <c r="B256" s="980">
        <f>+NOMINA!C255</f>
        <v>20430884</v>
      </c>
      <c r="C256" s="981" t="str">
        <f>+NOMINA!D255</f>
        <v>Ruiz Olmos Diana Carolina</v>
      </c>
      <c r="D256" s="978" t="s">
        <v>4622</v>
      </c>
      <c r="E256" s="982">
        <v>32351</v>
      </c>
      <c r="F256" s="978" t="s">
        <v>4620</v>
      </c>
      <c r="G256" s="1004">
        <f>+NOMINA!H255</f>
        <v>45292</v>
      </c>
      <c r="H256" s="984">
        <f t="shared" si="47"/>
        <v>0</v>
      </c>
      <c r="I256" s="985">
        <v>0</v>
      </c>
      <c r="J256" s="999">
        <f>+NOMINA!BL255</f>
        <v>18.66</v>
      </c>
      <c r="K256" s="999">
        <f>+NOMINA!BM255</f>
        <v>2.33</v>
      </c>
      <c r="L256" s="999">
        <f>+NOMINA!BN255</f>
        <v>5.05</v>
      </c>
      <c r="M256" s="999">
        <f>++NOMINA!BO255</f>
        <v>0</v>
      </c>
      <c r="N256" s="999">
        <f>+NOMINA!BP255</f>
        <v>0</v>
      </c>
      <c r="O256" s="986">
        <f t="shared" si="48"/>
        <v>26.04</v>
      </c>
      <c r="P256" s="999">
        <f>+NOMINA!BR255</f>
        <v>41.98</v>
      </c>
      <c r="Q256" s="999">
        <f>+NOMINA!BS255</f>
        <v>9.33</v>
      </c>
      <c r="R256" s="999">
        <f>+NOMINA!BT255</f>
        <v>10.1</v>
      </c>
      <c r="S256" s="986">
        <f t="shared" si="49"/>
        <v>61.41</v>
      </c>
      <c r="T256" s="986">
        <f t="shared" si="50"/>
        <v>87.449999999999989</v>
      </c>
      <c r="U256" s="1005">
        <v>0</v>
      </c>
      <c r="V256" s="443" t="e">
        <f>#REF!+#REF!-O256</f>
        <v>#REF!</v>
      </c>
      <c r="W256" s="975" t="e">
        <f>ROUND((#REF!+#REF!+#REF!+#REF!+#REF!+#REF!+#REF!+#REF!+#REF!),2)</f>
        <v>#REF!</v>
      </c>
      <c r="AA256" s="976" t="e">
        <f>#REF!+#REF!-O256</f>
        <v>#REF!</v>
      </c>
      <c r="AB256" s="977" t="e">
        <f>#REF!</f>
        <v>#REF!</v>
      </c>
      <c r="AC256" s="976" t="e">
        <f>#REF!+#REF!</f>
        <v>#REF!</v>
      </c>
      <c r="AD256" s="977" t="e">
        <f>#REF!</f>
        <v>#REF!</v>
      </c>
      <c r="AE256" s="978">
        <v>0</v>
      </c>
      <c r="AF256" s="977" t="e">
        <f>#REF!</f>
        <v>#REF!</v>
      </c>
      <c r="AG256" s="979" t="e">
        <f>#REF!+#REF!</f>
        <v>#REF!</v>
      </c>
      <c r="AH256" s="979" t="e">
        <f>#REF!+#REF!</f>
        <v>#REF!</v>
      </c>
      <c r="AI256" s="979"/>
      <c r="AJ256" s="977" t="e">
        <f>#REF!</f>
        <v>#REF!</v>
      </c>
      <c r="AK256" s="977" t="e">
        <f t="shared" si="43"/>
        <v>#REF!</v>
      </c>
      <c r="AL256" s="977">
        <f t="shared" si="44"/>
        <v>87.449999999999989</v>
      </c>
      <c r="AM256" s="977">
        <f t="shared" si="45"/>
        <v>0</v>
      </c>
      <c r="AN256" s="634"/>
    </row>
    <row r="257" spans="1:40" s="629" customFormat="1" ht="20.100000000000001" customHeight="1">
      <c r="A257" s="771">
        <f t="shared" si="46"/>
        <v>214</v>
      </c>
      <c r="B257" s="980">
        <f>+NOMINA!C256</f>
        <v>20603227</v>
      </c>
      <c r="C257" s="981" t="str">
        <f>+NOMINA!D256</f>
        <v>Morillo Garces Yeniree Lourdes</v>
      </c>
      <c r="D257" s="978" t="s">
        <v>4622</v>
      </c>
      <c r="E257" s="982">
        <v>32351</v>
      </c>
      <c r="F257" s="978" t="s">
        <v>4620</v>
      </c>
      <c r="G257" s="1004">
        <f>+NOMINA!H256</f>
        <v>44470</v>
      </c>
      <c r="H257" s="984">
        <f t="shared" si="47"/>
        <v>1</v>
      </c>
      <c r="I257" s="985">
        <v>0</v>
      </c>
      <c r="J257" s="999">
        <f>+NOMINA!BL256</f>
        <v>16.86</v>
      </c>
      <c r="K257" s="999">
        <f>+NOMINA!BM256</f>
        <v>2.11</v>
      </c>
      <c r="L257" s="999">
        <f>+NOMINA!BN256</f>
        <v>4.57</v>
      </c>
      <c r="M257" s="999">
        <f>++NOMINA!BO256</f>
        <v>0</v>
      </c>
      <c r="N257" s="999">
        <f>+NOMINA!BP256</f>
        <v>0</v>
      </c>
      <c r="O257" s="986">
        <f t="shared" si="48"/>
        <v>23.54</v>
      </c>
      <c r="P257" s="999">
        <f>+NOMINA!BR256</f>
        <v>37.94</v>
      </c>
      <c r="Q257" s="999">
        <f>+NOMINA!BS256</f>
        <v>8.43</v>
      </c>
      <c r="R257" s="999">
        <f>+NOMINA!BT256</f>
        <v>9.14</v>
      </c>
      <c r="S257" s="986">
        <f t="shared" si="49"/>
        <v>55.51</v>
      </c>
      <c r="T257" s="986">
        <f t="shared" si="50"/>
        <v>79.05</v>
      </c>
      <c r="U257" s="1005">
        <v>0</v>
      </c>
      <c r="V257" s="443" t="e">
        <f>#REF!+#REF!-O257</f>
        <v>#REF!</v>
      </c>
      <c r="W257" s="975" t="e">
        <f>ROUND((#REF!+#REF!+#REF!+#REF!+#REF!+#REF!+#REF!+#REF!+#REF!),2)</f>
        <v>#REF!</v>
      </c>
      <c r="AA257" s="976" t="e">
        <f>#REF!+#REF!-O257</f>
        <v>#REF!</v>
      </c>
      <c r="AB257" s="977" t="e">
        <f>#REF!</f>
        <v>#REF!</v>
      </c>
      <c r="AC257" s="976" t="e">
        <f>#REF!+#REF!</f>
        <v>#REF!</v>
      </c>
      <c r="AD257" s="977" t="e">
        <f>#REF!</f>
        <v>#REF!</v>
      </c>
      <c r="AE257" s="978">
        <v>0</v>
      </c>
      <c r="AF257" s="977" t="e">
        <f>#REF!</f>
        <v>#REF!</v>
      </c>
      <c r="AG257" s="979" t="e">
        <f>#REF!+#REF!</f>
        <v>#REF!</v>
      </c>
      <c r="AH257" s="979" t="e">
        <f>#REF!+#REF!</f>
        <v>#REF!</v>
      </c>
      <c r="AI257" s="979"/>
      <c r="AJ257" s="977" t="e">
        <f>#REF!</f>
        <v>#REF!</v>
      </c>
      <c r="AK257" s="977" t="e">
        <f t="shared" si="43"/>
        <v>#REF!</v>
      </c>
      <c r="AL257" s="977">
        <f t="shared" si="44"/>
        <v>79.05</v>
      </c>
      <c r="AM257" s="977">
        <f t="shared" si="45"/>
        <v>0</v>
      </c>
      <c r="AN257" s="634"/>
    </row>
    <row r="258" spans="1:40" s="629" customFormat="1" ht="20.100000000000001" customHeight="1">
      <c r="A258" s="771">
        <f t="shared" si="46"/>
        <v>215</v>
      </c>
      <c r="B258" s="980">
        <f>+NOMINA!C257</f>
        <v>20707490</v>
      </c>
      <c r="C258" s="981" t="str">
        <f>+NOMINA!D257</f>
        <v>Saavedra Valera Keila Andreina</v>
      </c>
      <c r="D258" s="978" t="s">
        <v>4622</v>
      </c>
      <c r="E258" s="982">
        <v>32351</v>
      </c>
      <c r="F258" s="978" t="s">
        <v>4620</v>
      </c>
      <c r="G258" s="1004">
        <f>+NOMINA!H257</f>
        <v>42751</v>
      </c>
      <c r="H258" s="984">
        <f t="shared" si="47"/>
        <v>5</v>
      </c>
      <c r="I258" s="985">
        <v>0</v>
      </c>
      <c r="J258" s="999">
        <f>+NOMINA!BL257</f>
        <v>16.91</v>
      </c>
      <c r="K258" s="999">
        <f>+NOMINA!BM257</f>
        <v>2.11</v>
      </c>
      <c r="L258" s="999">
        <f>+NOMINA!BN257</f>
        <v>4.58</v>
      </c>
      <c r="M258" s="999">
        <f>++NOMINA!BO257</f>
        <v>0</v>
      </c>
      <c r="N258" s="999">
        <f>+NOMINA!BP257</f>
        <v>0</v>
      </c>
      <c r="O258" s="986">
        <f t="shared" si="48"/>
        <v>23.6</v>
      </c>
      <c r="P258" s="999">
        <f>+NOMINA!BR257</f>
        <v>38.049999999999997</v>
      </c>
      <c r="Q258" s="999">
        <f>+NOMINA!BS257</f>
        <v>8.4600000000000009</v>
      </c>
      <c r="R258" s="999">
        <f>+NOMINA!BT257</f>
        <v>9.16</v>
      </c>
      <c r="S258" s="986">
        <f t="shared" si="49"/>
        <v>55.67</v>
      </c>
      <c r="T258" s="986">
        <f t="shared" si="50"/>
        <v>79.27000000000001</v>
      </c>
      <c r="U258" s="1005">
        <v>0</v>
      </c>
      <c r="V258" s="443" t="e">
        <f>#REF!+#REF!-O258</f>
        <v>#REF!</v>
      </c>
      <c r="W258" s="975" t="e">
        <f>ROUND((#REF!+#REF!+#REF!+#REF!+#REF!+#REF!+#REF!+#REF!+#REF!),2)</f>
        <v>#REF!</v>
      </c>
      <c r="AA258" s="976" t="e">
        <f>#REF!+#REF!-O258</f>
        <v>#REF!</v>
      </c>
      <c r="AB258" s="977" t="e">
        <f>#REF!</f>
        <v>#REF!</v>
      </c>
      <c r="AC258" s="976" t="e">
        <f>#REF!+#REF!</f>
        <v>#REF!</v>
      </c>
      <c r="AD258" s="977" t="e">
        <f>#REF!</f>
        <v>#REF!</v>
      </c>
      <c r="AE258" s="978">
        <v>0</v>
      </c>
      <c r="AF258" s="977" t="e">
        <f>#REF!</f>
        <v>#REF!</v>
      </c>
      <c r="AG258" s="979" t="e">
        <f>#REF!+#REF!</f>
        <v>#REF!</v>
      </c>
      <c r="AH258" s="979" t="e">
        <f>#REF!+#REF!</f>
        <v>#REF!</v>
      </c>
      <c r="AI258" s="979"/>
      <c r="AJ258" s="977" t="e">
        <f>#REF!</f>
        <v>#REF!</v>
      </c>
      <c r="AK258" s="977" t="e">
        <f t="shared" si="43"/>
        <v>#REF!</v>
      </c>
      <c r="AL258" s="977">
        <f t="shared" si="44"/>
        <v>79.27000000000001</v>
      </c>
      <c r="AM258" s="977">
        <f t="shared" si="45"/>
        <v>0</v>
      </c>
      <c r="AN258" s="634"/>
    </row>
    <row r="259" spans="1:40" s="629" customFormat="1" ht="20.100000000000001" customHeight="1">
      <c r="A259" s="771">
        <f t="shared" si="46"/>
        <v>216</v>
      </c>
      <c r="B259" s="980">
        <f>+NOMINA!C258</f>
        <v>20789286</v>
      </c>
      <c r="C259" s="981" t="str">
        <f>+NOMINA!D258</f>
        <v xml:space="preserve">Viloria Jessica del Carmen </v>
      </c>
      <c r="D259" s="978" t="s">
        <v>4622</v>
      </c>
      <c r="E259" s="982">
        <v>32351</v>
      </c>
      <c r="F259" s="978" t="s">
        <v>4620</v>
      </c>
      <c r="G259" s="1004">
        <f>+NOMINA!H258</f>
        <v>44713</v>
      </c>
      <c r="H259" s="984">
        <f t="shared" si="47"/>
        <v>0</v>
      </c>
      <c r="I259" s="985">
        <v>0</v>
      </c>
      <c r="J259" s="999">
        <f>+NOMINA!BL258</f>
        <v>18.16</v>
      </c>
      <c r="K259" s="999">
        <f>+NOMINA!BM258</f>
        <v>2.27</v>
      </c>
      <c r="L259" s="999">
        <f>+NOMINA!BN258</f>
        <v>4.92</v>
      </c>
      <c r="M259" s="999">
        <f>++NOMINA!BO258</f>
        <v>0</v>
      </c>
      <c r="N259" s="999">
        <f>+NOMINA!BP258</f>
        <v>0</v>
      </c>
      <c r="O259" s="986">
        <f t="shared" si="48"/>
        <v>25.35</v>
      </c>
      <c r="P259" s="999">
        <f>+NOMINA!BR258</f>
        <v>40.86</v>
      </c>
      <c r="Q259" s="999">
        <f>+NOMINA!BS258</f>
        <v>9.08</v>
      </c>
      <c r="R259" s="999">
        <f>+NOMINA!BT258</f>
        <v>9.84</v>
      </c>
      <c r="S259" s="986">
        <f t="shared" si="49"/>
        <v>59.78</v>
      </c>
      <c r="T259" s="986">
        <f t="shared" si="50"/>
        <v>85.13</v>
      </c>
      <c r="U259" s="1005">
        <v>0</v>
      </c>
      <c r="V259" s="443" t="e">
        <f>#REF!+#REF!-O259</f>
        <v>#REF!</v>
      </c>
      <c r="W259" s="975" t="e">
        <f>ROUND((#REF!+#REF!+#REF!+#REF!+#REF!+#REF!+#REF!+#REF!+#REF!),2)</f>
        <v>#REF!</v>
      </c>
      <c r="AA259" s="976" t="e">
        <f>#REF!+#REF!-O259</f>
        <v>#REF!</v>
      </c>
      <c r="AB259" s="977" t="e">
        <f>#REF!</f>
        <v>#REF!</v>
      </c>
      <c r="AC259" s="976" t="e">
        <f>#REF!+#REF!</f>
        <v>#REF!</v>
      </c>
      <c r="AD259" s="977" t="e">
        <f>#REF!</f>
        <v>#REF!</v>
      </c>
      <c r="AE259" s="978">
        <v>0</v>
      </c>
      <c r="AF259" s="977" t="e">
        <f>#REF!</f>
        <v>#REF!</v>
      </c>
      <c r="AG259" s="979" t="e">
        <f>#REF!+#REF!</f>
        <v>#REF!</v>
      </c>
      <c r="AH259" s="979" t="e">
        <f>#REF!+#REF!</f>
        <v>#REF!</v>
      </c>
      <c r="AI259" s="979"/>
      <c r="AJ259" s="977" t="e">
        <f>#REF!</f>
        <v>#REF!</v>
      </c>
      <c r="AK259" s="977" t="e">
        <f t="shared" si="43"/>
        <v>#REF!</v>
      </c>
      <c r="AL259" s="977">
        <f t="shared" si="44"/>
        <v>85.13</v>
      </c>
      <c r="AM259" s="977">
        <f t="shared" si="45"/>
        <v>0</v>
      </c>
      <c r="AN259" s="634"/>
    </row>
    <row r="260" spans="1:40" s="629" customFormat="1" ht="20.100000000000001" customHeight="1">
      <c r="A260" s="771">
        <f t="shared" si="46"/>
        <v>217</v>
      </c>
      <c r="B260" s="980">
        <f>+NOMINA!C259</f>
        <v>20790947</v>
      </c>
      <c r="C260" s="981" t="str">
        <f>+NOMINA!D259</f>
        <v>Urbina Cuellar Tannessy Lenery</v>
      </c>
      <c r="D260" s="978" t="s">
        <v>4622</v>
      </c>
      <c r="E260" s="982">
        <v>32351</v>
      </c>
      <c r="F260" s="978" t="s">
        <v>4620</v>
      </c>
      <c r="G260" s="1004">
        <f>+NOMINA!H259</f>
        <v>43967</v>
      </c>
      <c r="H260" s="984">
        <f t="shared" si="47"/>
        <v>2</v>
      </c>
      <c r="I260" s="985">
        <v>0</v>
      </c>
      <c r="J260" s="999">
        <f>+NOMINA!BL259</f>
        <v>0</v>
      </c>
      <c r="K260" s="999">
        <f>+NOMINA!BM259</f>
        <v>0</v>
      </c>
      <c r="L260" s="999">
        <f>+NOMINA!BN259</f>
        <v>0</v>
      </c>
      <c r="M260" s="999">
        <f>++NOMINA!BO259</f>
        <v>0</v>
      </c>
      <c r="N260" s="999">
        <f>+NOMINA!BP259</f>
        <v>0</v>
      </c>
      <c r="O260" s="986">
        <f t="shared" si="48"/>
        <v>0</v>
      </c>
      <c r="P260" s="999">
        <f>+NOMINA!BR259</f>
        <v>0</v>
      </c>
      <c r="Q260" s="999">
        <f>+NOMINA!BS259</f>
        <v>0</v>
      </c>
      <c r="R260" s="999">
        <f>+NOMINA!BT259</f>
        <v>0</v>
      </c>
      <c r="S260" s="986">
        <f t="shared" si="49"/>
        <v>0</v>
      </c>
      <c r="T260" s="986">
        <f t="shared" si="50"/>
        <v>0</v>
      </c>
      <c r="U260" s="1005">
        <v>0</v>
      </c>
      <c r="V260" s="443" t="e">
        <f>#REF!+#REF!-O260</f>
        <v>#REF!</v>
      </c>
      <c r="W260" s="975" t="e">
        <f>ROUND((#REF!+#REF!+#REF!+#REF!+#REF!+#REF!+#REF!+#REF!+#REF!),2)</f>
        <v>#REF!</v>
      </c>
      <c r="AA260" s="976" t="e">
        <f>#REF!+#REF!-O260</f>
        <v>#REF!</v>
      </c>
      <c r="AB260" s="977" t="e">
        <f>#REF!</f>
        <v>#REF!</v>
      </c>
      <c r="AC260" s="976" t="e">
        <f>#REF!+#REF!</f>
        <v>#REF!</v>
      </c>
      <c r="AD260" s="977" t="e">
        <f>#REF!</f>
        <v>#REF!</v>
      </c>
      <c r="AE260" s="978">
        <v>0</v>
      </c>
      <c r="AF260" s="977" t="e">
        <f>#REF!</f>
        <v>#REF!</v>
      </c>
      <c r="AG260" s="979" t="e">
        <f>#REF!+#REF!</f>
        <v>#REF!</v>
      </c>
      <c r="AH260" s="979" t="e">
        <f>#REF!+#REF!</f>
        <v>#REF!</v>
      </c>
      <c r="AI260" s="979"/>
      <c r="AJ260" s="977" t="e">
        <f>#REF!</f>
        <v>#REF!</v>
      </c>
      <c r="AK260" s="977" t="e">
        <f t="shared" si="43"/>
        <v>#REF!</v>
      </c>
      <c r="AL260" s="977">
        <f t="shared" si="44"/>
        <v>0</v>
      </c>
      <c r="AM260" s="977">
        <f t="shared" si="45"/>
        <v>0</v>
      </c>
      <c r="AN260" s="634"/>
    </row>
    <row r="261" spans="1:40" s="629" customFormat="1" ht="20.100000000000001" customHeight="1">
      <c r="A261" s="771">
        <f t="shared" si="46"/>
        <v>218</v>
      </c>
      <c r="B261" s="980">
        <f>+NOMINA!C260</f>
        <v>21061126</v>
      </c>
      <c r="C261" s="981" t="str">
        <f>+NOMINA!D260</f>
        <v>Olivar Nava Robinson de Jesus</v>
      </c>
      <c r="D261" s="978" t="s">
        <v>4622</v>
      </c>
      <c r="E261" s="982">
        <v>32351</v>
      </c>
      <c r="F261" s="978" t="s">
        <v>4620</v>
      </c>
      <c r="G261" s="1004">
        <f>+NOMINA!H260</f>
        <v>45047</v>
      </c>
      <c r="H261" s="984">
        <f t="shared" si="47"/>
        <v>0</v>
      </c>
      <c r="I261" s="985">
        <v>0</v>
      </c>
      <c r="J261" s="999">
        <f>+NOMINA!BL260</f>
        <v>19.440000000000001</v>
      </c>
      <c r="K261" s="999">
        <f>+NOMINA!BM260</f>
        <v>2.4300000000000002</v>
      </c>
      <c r="L261" s="999">
        <f>+NOMINA!BN260</f>
        <v>5.26</v>
      </c>
      <c r="M261" s="999">
        <f>++NOMINA!BO260</f>
        <v>0</v>
      </c>
      <c r="N261" s="999">
        <f>+NOMINA!BP260</f>
        <v>0</v>
      </c>
      <c r="O261" s="986">
        <f t="shared" si="48"/>
        <v>27.13</v>
      </c>
      <c r="P261" s="999">
        <f>+NOMINA!BR260</f>
        <v>43.73</v>
      </c>
      <c r="Q261" s="999">
        <f>+NOMINA!BS260</f>
        <v>9.7200000000000006</v>
      </c>
      <c r="R261" s="999">
        <f>+NOMINA!BT260</f>
        <v>10.52</v>
      </c>
      <c r="S261" s="986">
        <f t="shared" si="49"/>
        <v>63.97</v>
      </c>
      <c r="T261" s="986">
        <f t="shared" si="50"/>
        <v>91.1</v>
      </c>
      <c r="U261" s="1005">
        <v>0</v>
      </c>
      <c r="V261" s="443" t="e">
        <f>#REF!+#REF!-O261</f>
        <v>#REF!</v>
      </c>
      <c r="W261" s="975" t="e">
        <f>ROUND((#REF!+#REF!+#REF!+#REF!+#REF!+#REF!+#REF!+#REF!+#REF!),2)</f>
        <v>#REF!</v>
      </c>
      <c r="AA261" s="976" t="e">
        <f>#REF!+#REF!-O261</f>
        <v>#REF!</v>
      </c>
      <c r="AB261" s="977" t="e">
        <f>#REF!</f>
        <v>#REF!</v>
      </c>
      <c r="AC261" s="976" t="e">
        <f>#REF!+#REF!</f>
        <v>#REF!</v>
      </c>
      <c r="AD261" s="977" t="e">
        <f>#REF!</f>
        <v>#REF!</v>
      </c>
      <c r="AE261" s="978">
        <v>0</v>
      </c>
      <c r="AF261" s="977" t="e">
        <f>#REF!</f>
        <v>#REF!</v>
      </c>
      <c r="AG261" s="979" t="e">
        <f>#REF!+#REF!</f>
        <v>#REF!</v>
      </c>
      <c r="AH261" s="979" t="e">
        <f>#REF!+#REF!</f>
        <v>#REF!</v>
      </c>
      <c r="AI261" s="979"/>
      <c r="AJ261" s="977" t="e">
        <f>#REF!</f>
        <v>#REF!</v>
      </c>
      <c r="AK261" s="977" t="e">
        <f t="shared" si="43"/>
        <v>#REF!</v>
      </c>
      <c r="AL261" s="977">
        <f t="shared" si="44"/>
        <v>91.1</v>
      </c>
      <c r="AM261" s="977">
        <f t="shared" si="45"/>
        <v>0</v>
      </c>
      <c r="AN261" s="634"/>
    </row>
    <row r="262" spans="1:40" s="629" customFormat="1" ht="20.100000000000001" customHeight="1">
      <c r="A262" s="771">
        <f t="shared" si="46"/>
        <v>219</v>
      </c>
      <c r="B262" s="980">
        <f>+NOMINA!C261</f>
        <v>21061789</v>
      </c>
      <c r="C262" s="981" t="str">
        <f>+NOMINA!D261</f>
        <v xml:space="preserve">Suarez Briceño Daiver Jose </v>
      </c>
      <c r="D262" s="978" t="s">
        <v>4622</v>
      </c>
      <c r="E262" s="982">
        <v>32351</v>
      </c>
      <c r="F262" s="978" t="s">
        <v>4620</v>
      </c>
      <c r="G262" s="1004">
        <f>+NOMINA!H261</f>
        <v>44713</v>
      </c>
      <c r="H262" s="984">
        <f t="shared" si="47"/>
        <v>0</v>
      </c>
      <c r="I262" s="985">
        <v>0</v>
      </c>
      <c r="J262" s="999">
        <f>+NOMINA!BL261</f>
        <v>17.579999999999998</v>
      </c>
      <c r="K262" s="999">
        <f>+NOMINA!BM261</f>
        <v>2.2000000000000002</v>
      </c>
      <c r="L262" s="999">
        <f>+NOMINA!BN261</f>
        <v>4.76</v>
      </c>
      <c r="M262" s="999">
        <f>++NOMINA!BO261</f>
        <v>0</v>
      </c>
      <c r="N262" s="999">
        <f>+NOMINA!BP261</f>
        <v>0</v>
      </c>
      <c r="O262" s="986">
        <f t="shared" si="48"/>
        <v>24.54</v>
      </c>
      <c r="P262" s="999">
        <f>+NOMINA!BR261</f>
        <v>39.56</v>
      </c>
      <c r="Q262" s="999">
        <f>+NOMINA!BS261</f>
        <v>8.7899999999999991</v>
      </c>
      <c r="R262" s="999">
        <f>+NOMINA!BT261</f>
        <v>9.52</v>
      </c>
      <c r="S262" s="986">
        <f t="shared" si="49"/>
        <v>57.87</v>
      </c>
      <c r="T262" s="986">
        <f t="shared" si="50"/>
        <v>82.41</v>
      </c>
      <c r="U262" s="1005">
        <v>0</v>
      </c>
      <c r="V262" s="443" t="e">
        <f>#REF!+#REF!-O262</f>
        <v>#REF!</v>
      </c>
      <c r="W262" s="975" t="e">
        <f>ROUND((#REF!+#REF!+#REF!+#REF!+#REF!+#REF!+#REF!+#REF!+#REF!),2)</f>
        <v>#REF!</v>
      </c>
      <c r="AA262" s="976" t="e">
        <f>#REF!+#REF!-O262</f>
        <v>#REF!</v>
      </c>
      <c r="AB262" s="977" t="e">
        <f>#REF!</f>
        <v>#REF!</v>
      </c>
      <c r="AC262" s="976" t="e">
        <f>#REF!+#REF!</f>
        <v>#REF!</v>
      </c>
      <c r="AD262" s="977" t="e">
        <f>#REF!</f>
        <v>#REF!</v>
      </c>
      <c r="AE262" s="978">
        <v>0</v>
      </c>
      <c r="AF262" s="977" t="e">
        <f>#REF!</f>
        <v>#REF!</v>
      </c>
      <c r="AG262" s="979" t="e">
        <f>#REF!+#REF!</f>
        <v>#REF!</v>
      </c>
      <c r="AH262" s="979" t="e">
        <f>#REF!+#REF!</f>
        <v>#REF!</v>
      </c>
      <c r="AI262" s="979"/>
      <c r="AJ262" s="977" t="e">
        <f>#REF!</f>
        <v>#REF!</v>
      </c>
      <c r="AK262" s="977" t="e">
        <f t="shared" si="43"/>
        <v>#REF!</v>
      </c>
      <c r="AL262" s="977">
        <f t="shared" si="44"/>
        <v>82.41</v>
      </c>
      <c r="AM262" s="977">
        <f t="shared" si="45"/>
        <v>0</v>
      </c>
      <c r="AN262" s="634"/>
    </row>
    <row r="263" spans="1:40" s="629" customFormat="1" ht="20.100000000000001" customHeight="1">
      <c r="A263" s="771">
        <f t="shared" si="46"/>
        <v>220</v>
      </c>
      <c r="B263" s="980">
        <f>+NOMINA!C262</f>
        <v>21365212</v>
      </c>
      <c r="C263" s="981" t="str">
        <f>+NOMINA!D262</f>
        <v>Manzanilla Gonzalez Landkler Josue</v>
      </c>
      <c r="D263" s="978" t="s">
        <v>4622</v>
      </c>
      <c r="E263" s="982">
        <v>32351</v>
      </c>
      <c r="F263" s="978" t="s">
        <v>4620</v>
      </c>
      <c r="G263" s="1004">
        <f>+NOMINA!H262</f>
        <v>44317</v>
      </c>
      <c r="H263" s="984">
        <f t="shared" si="47"/>
        <v>1</v>
      </c>
      <c r="I263" s="985">
        <v>0</v>
      </c>
      <c r="J263" s="999">
        <f>+NOMINA!BL262</f>
        <v>10.5</v>
      </c>
      <c r="K263" s="999">
        <f>+NOMINA!BM262</f>
        <v>1.31</v>
      </c>
      <c r="L263" s="999">
        <f>+NOMINA!BN262</f>
        <v>2.85</v>
      </c>
      <c r="M263" s="999">
        <f>++NOMINA!BO262</f>
        <v>0</v>
      </c>
      <c r="N263" s="999">
        <f>+NOMINA!BP262</f>
        <v>0</v>
      </c>
      <c r="O263" s="986">
        <f t="shared" si="48"/>
        <v>14.66</v>
      </c>
      <c r="P263" s="999">
        <f>+NOMINA!BR262</f>
        <v>23.64</v>
      </c>
      <c r="Q263" s="999">
        <f>+NOMINA!BS262</f>
        <v>5.25</v>
      </c>
      <c r="R263" s="999">
        <f>+NOMINA!BT262</f>
        <v>5.7</v>
      </c>
      <c r="S263" s="986">
        <f t="shared" si="49"/>
        <v>34.590000000000003</v>
      </c>
      <c r="T263" s="986">
        <f t="shared" si="50"/>
        <v>49.25</v>
      </c>
      <c r="U263" s="1005">
        <v>0</v>
      </c>
      <c r="V263" s="443" t="e">
        <f>#REF!+#REF!-O263</f>
        <v>#REF!</v>
      </c>
      <c r="W263" s="975" t="e">
        <f>ROUND((#REF!+#REF!+#REF!+#REF!+#REF!+#REF!+#REF!+#REF!+#REF!),2)</f>
        <v>#REF!</v>
      </c>
      <c r="AA263" s="976" t="e">
        <f>#REF!+#REF!-O263</f>
        <v>#REF!</v>
      </c>
      <c r="AB263" s="977" t="e">
        <f>#REF!</f>
        <v>#REF!</v>
      </c>
      <c r="AC263" s="976" t="e">
        <f>#REF!+#REF!</f>
        <v>#REF!</v>
      </c>
      <c r="AD263" s="977" t="e">
        <f>#REF!</f>
        <v>#REF!</v>
      </c>
      <c r="AE263" s="978">
        <v>0</v>
      </c>
      <c r="AF263" s="977" t="e">
        <f>#REF!</f>
        <v>#REF!</v>
      </c>
      <c r="AG263" s="979" t="e">
        <f>#REF!+#REF!</f>
        <v>#REF!</v>
      </c>
      <c r="AH263" s="979" t="e">
        <f>#REF!+#REF!</f>
        <v>#REF!</v>
      </c>
      <c r="AI263" s="979"/>
      <c r="AJ263" s="977" t="e">
        <f>#REF!</f>
        <v>#REF!</v>
      </c>
      <c r="AK263" s="977" t="e">
        <f t="shared" si="43"/>
        <v>#REF!</v>
      </c>
      <c r="AL263" s="977">
        <f t="shared" si="44"/>
        <v>49.25</v>
      </c>
      <c r="AM263" s="977">
        <f t="shared" si="45"/>
        <v>0</v>
      </c>
      <c r="AN263" s="634"/>
    </row>
    <row r="264" spans="1:40" s="629" customFormat="1" ht="20.100000000000001" customHeight="1">
      <c r="A264" s="771">
        <f t="shared" si="46"/>
        <v>221</v>
      </c>
      <c r="B264" s="980">
        <f>+NOMINA!C263</f>
        <v>21592108</v>
      </c>
      <c r="C264" s="981" t="str">
        <f>+NOMINA!D263</f>
        <v>Coy Andara Darlin Gabriela</v>
      </c>
      <c r="D264" s="978" t="s">
        <v>4622</v>
      </c>
      <c r="E264" s="982">
        <v>32351</v>
      </c>
      <c r="F264" s="978" t="s">
        <v>4620</v>
      </c>
      <c r="G264" s="1004">
        <f>+NOMINA!H263</f>
        <v>43024</v>
      </c>
      <c r="H264" s="984">
        <f t="shared" si="47"/>
        <v>5</v>
      </c>
      <c r="I264" s="985">
        <v>0</v>
      </c>
      <c r="J264" s="999">
        <f>+NOMINA!BL263</f>
        <v>0</v>
      </c>
      <c r="K264" s="999">
        <f>+NOMINA!BM263</f>
        <v>0</v>
      </c>
      <c r="L264" s="999">
        <f>+NOMINA!BN263</f>
        <v>0</v>
      </c>
      <c r="M264" s="999">
        <f>++NOMINA!BO263</f>
        <v>0</v>
      </c>
      <c r="N264" s="999">
        <f>+NOMINA!BP263</f>
        <v>0</v>
      </c>
      <c r="O264" s="986">
        <f t="shared" si="48"/>
        <v>0</v>
      </c>
      <c r="P264" s="999">
        <f>+NOMINA!BR263</f>
        <v>0</v>
      </c>
      <c r="Q264" s="999">
        <f>+NOMINA!BS263</f>
        <v>0</v>
      </c>
      <c r="R264" s="999">
        <f>+NOMINA!BT263</f>
        <v>0</v>
      </c>
      <c r="S264" s="986">
        <f t="shared" si="49"/>
        <v>0</v>
      </c>
      <c r="T264" s="986">
        <f t="shared" si="50"/>
        <v>0</v>
      </c>
      <c r="U264" s="1005">
        <v>0</v>
      </c>
      <c r="V264" s="443" t="e">
        <f>#REF!+#REF!-O264</f>
        <v>#REF!</v>
      </c>
      <c r="W264" s="975" t="e">
        <f>ROUND((#REF!+#REF!+#REF!+#REF!+#REF!+#REF!+#REF!+#REF!+#REF!),2)</f>
        <v>#REF!</v>
      </c>
      <c r="AA264" s="976" t="e">
        <f>#REF!+#REF!-O264</f>
        <v>#REF!</v>
      </c>
      <c r="AB264" s="977" t="e">
        <f>#REF!</f>
        <v>#REF!</v>
      </c>
      <c r="AC264" s="976" t="e">
        <f>#REF!+#REF!</f>
        <v>#REF!</v>
      </c>
      <c r="AD264" s="977" t="e">
        <f>#REF!</f>
        <v>#REF!</v>
      </c>
      <c r="AE264" s="978">
        <v>0</v>
      </c>
      <c r="AF264" s="977" t="e">
        <f>#REF!</f>
        <v>#REF!</v>
      </c>
      <c r="AG264" s="979" t="e">
        <f>#REF!+#REF!</f>
        <v>#REF!</v>
      </c>
      <c r="AH264" s="979" t="e">
        <f>#REF!+#REF!</f>
        <v>#REF!</v>
      </c>
      <c r="AI264" s="979"/>
      <c r="AJ264" s="977" t="e">
        <f>#REF!</f>
        <v>#REF!</v>
      </c>
      <c r="AK264" s="977" t="e">
        <f t="shared" si="43"/>
        <v>#REF!</v>
      </c>
      <c r="AL264" s="977">
        <f t="shared" si="44"/>
        <v>0</v>
      </c>
      <c r="AM264" s="977">
        <f t="shared" si="45"/>
        <v>0</v>
      </c>
      <c r="AN264" s="634"/>
    </row>
    <row r="265" spans="1:40" s="629" customFormat="1" ht="20.100000000000001" customHeight="1">
      <c r="A265" s="771">
        <f t="shared" si="46"/>
        <v>222</v>
      </c>
      <c r="B265" s="980">
        <f>+NOMINA!C264</f>
        <v>22622493</v>
      </c>
      <c r="C265" s="981" t="str">
        <f>+NOMINA!D264</f>
        <v xml:space="preserve">Barrios Olivar Geraldine Katiusca </v>
      </c>
      <c r="D265" s="978" t="s">
        <v>4622</v>
      </c>
      <c r="E265" s="982">
        <v>32351</v>
      </c>
      <c r="F265" s="978" t="s">
        <v>4620</v>
      </c>
      <c r="G265" s="1004">
        <f>+NOMINA!H264</f>
        <v>44363</v>
      </c>
      <c r="H265" s="984">
        <f t="shared" si="47"/>
        <v>1</v>
      </c>
      <c r="I265" s="985">
        <v>0</v>
      </c>
      <c r="J265" s="999">
        <f>+NOMINA!BL264</f>
        <v>14.86</v>
      </c>
      <c r="K265" s="999">
        <f>+NOMINA!BM264</f>
        <v>1.86</v>
      </c>
      <c r="L265" s="999">
        <f>+NOMINA!BN264</f>
        <v>4.0199999999999996</v>
      </c>
      <c r="M265" s="999">
        <f>++NOMINA!BO264</f>
        <v>0</v>
      </c>
      <c r="N265" s="999">
        <f>+NOMINA!BP264</f>
        <v>0</v>
      </c>
      <c r="O265" s="986">
        <f t="shared" si="48"/>
        <v>20.74</v>
      </c>
      <c r="P265" s="999">
        <f>+NOMINA!BR264</f>
        <v>33.43</v>
      </c>
      <c r="Q265" s="999">
        <f>+NOMINA!BS264</f>
        <v>7.43</v>
      </c>
      <c r="R265" s="999">
        <f>+NOMINA!BT264</f>
        <v>8.0399999999999991</v>
      </c>
      <c r="S265" s="986">
        <f t="shared" si="49"/>
        <v>48.9</v>
      </c>
      <c r="T265" s="986">
        <f t="shared" si="50"/>
        <v>69.64</v>
      </c>
      <c r="U265" s="1005">
        <v>0</v>
      </c>
      <c r="V265" s="443" t="e">
        <f>#REF!+#REF!-O265</f>
        <v>#REF!</v>
      </c>
      <c r="W265" s="975" t="e">
        <f>ROUND((#REF!+#REF!+#REF!+#REF!+#REF!+#REF!+#REF!+#REF!+#REF!),2)</f>
        <v>#REF!</v>
      </c>
      <c r="AA265" s="976" t="e">
        <f>#REF!+#REF!-O265</f>
        <v>#REF!</v>
      </c>
      <c r="AB265" s="977" t="e">
        <f>#REF!</f>
        <v>#REF!</v>
      </c>
      <c r="AC265" s="976" t="e">
        <f>#REF!+#REF!</f>
        <v>#REF!</v>
      </c>
      <c r="AD265" s="977" t="e">
        <f>#REF!</f>
        <v>#REF!</v>
      </c>
      <c r="AE265" s="978">
        <v>0</v>
      </c>
      <c r="AF265" s="977" t="e">
        <f>#REF!</f>
        <v>#REF!</v>
      </c>
      <c r="AG265" s="979" t="e">
        <f>#REF!+#REF!</f>
        <v>#REF!</v>
      </c>
      <c r="AH265" s="979" t="e">
        <f>#REF!+#REF!</f>
        <v>#REF!</v>
      </c>
      <c r="AI265" s="979"/>
      <c r="AJ265" s="977" t="e">
        <f>#REF!</f>
        <v>#REF!</v>
      </c>
      <c r="AK265" s="977" t="e">
        <f t="shared" si="43"/>
        <v>#REF!</v>
      </c>
      <c r="AL265" s="977">
        <f t="shared" si="44"/>
        <v>69.64</v>
      </c>
      <c r="AM265" s="977">
        <f t="shared" si="45"/>
        <v>0</v>
      </c>
      <c r="AN265" s="634"/>
    </row>
    <row r="266" spans="1:40" s="629" customFormat="1" ht="20.100000000000001" customHeight="1">
      <c r="A266" s="771">
        <f t="shared" si="46"/>
        <v>223</v>
      </c>
      <c r="B266" s="980">
        <f>+NOMINA!C265</f>
        <v>23782360</v>
      </c>
      <c r="C266" s="981" t="str">
        <f>+NOMINA!D265</f>
        <v>Rivera Sandoval Ilva Azucena</v>
      </c>
      <c r="D266" s="978" t="s">
        <v>4622</v>
      </c>
      <c r="E266" s="982">
        <v>32351</v>
      </c>
      <c r="F266" s="978" t="s">
        <v>4620</v>
      </c>
      <c r="G266" s="1004">
        <f>+NOMINA!H265</f>
        <v>39203</v>
      </c>
      <c r="H266" s="984">
        <f t="shared" si="47"/>
        <v>15</v>
      </c>
      <c r="I266" s="985">
        <v>0</v>
      </c>
      <c r="J266" s="999">
        <f>+NOMINA!BL265</f>
        <v>21.94</v>
      </c>
      <c r="K266" s="999">
        <f>+NOMINA!BM265</f>
        <v>2.74</v>
      </c>
      <c r="L266" s="999">
        <f>+NOMINA!BN265</f>
        <v>5.94</v>
      </c>
      <c r="M266" s="999">
        <f>++NOMINA!BO265</f>
        <v>0</v>
      </c>
      <c r="N266" s="999">
        <f>+NOMINA!BP265</f>
        <v>0</v>
      </c>
      <c r="O266" s="986">
        <f t="shared" si="48"/>
        <v>30.62</v>
      </c>
      <c r="P266" s="999">
        <f>+NOMINA!BR265</f>
        <v>49.37</v>
      </c>
      <c r="Q266" s="999">
        <f>+NOMINA!BS265</f>
        <v>10.97</v>
      </c>
      <c r="R266" s="999">
        <f>+NOMINA!BT265</f>
        <v>11.88</v>
      </c>
      <c r="S266" s="986">
        <f t="shared" si="49"/>
        <v>72.22</v>
      </c>
      <c r="T266" s="986">
        <f t="shared" si="50"/>
        <v>102.84</v>
      </c>
      <c r="U266" s="1005">
        <v>0</v>
      </c>
      <c r="V266" s="443" t="e">
        <f>#REF!+#REF!-O266</f>
        <v>#REF!</v>
      </c>
      <c r="W266" s="975" t="e">
        <f>ROUND((#REF!+#REF!+#REF!+#REF!+#REF!+#REF!+#REF!+#REF!+#REF!),2)</f>
        <v>#REF!</v>
      </c>
      <c r="AA266" s="976" t="e">
        <f>#REF!+#REF!-O266</f>
        <v>#REF!</v>
      </c>
      <c r="AB266" s="977" t="e">
        <f>#REF!</f>
        <v>#REF!</v>
      </c>
      <c r="AC266" s="976" t="e">
        <f>#REF!+#REF!</f>
        <v>#REF!</v>
      </c>
      <c r="AD266" s="977" t="e">
        <f>#REF!</f>
        <v>#REF!</v>
      </c>
      <c r="AE266" s="978">
        <v>0</v>
      </c>
      <c r="AF266" s="977" t="e">
        <f>#REF!</f>
        <v>#REF!</v>
      </c>
      <c r="AG266" s="979" t="e">
        <f>#REF!+#REF!</f>
        <v>#REF!</v>
      </c>
      <c r="AH266" s="979" t="e">
        <f>#REF!+#REF!</f>
        <v>#REF!</v>
      </c>
      <c r="AI266" s="979"/>
      <c r="AJ266" s="977" t="e">
        <f>#REF!</f>
        <v>#REF!</v>
      </c>
      <c r="AK266" s="977" t="e">
        <f t="shared" si="43"/>
        <v>#REF!</v>
      </c>
      <c r="AL266" s="977">
        <f t="shared" si="44"/>
        <v>102.84</v>
      </c>
      <c r="AM266" s="977">
        <f t="shared" si="45"/>
        <v>0</v>
      </c>
      <c r="AN266" s="634"/>
    </row>
    <row r="267" spans="1:40" s="629" customFormat="1" ht="20.100000000000001" customHeight="1">
      <c r="A267" s="771">
        <f t="shared" si="46"/>
        <v>224</v>
      </c>
      <c r="B267" s="980">
        <f>+NOMINA!C266</f>
        <v>23960738</v>
      </c>
      <c r="C267" s="981" t="str">
        <f>+NOMINA!D266</f>
        <v>Molina Briceño Maria de los Angeles</v>
      </c>
      <c r="D267" s="978" t="s">
        <v>4622</v>
      </c>
      <c r="E267" s="982">
        <v>32351</v>
      </c>
      <c r="F267" s="978" t="s">
        <v>4620</v>
      </c>
      <c r="G267" s="1004">
        <f>+NOMINA!H266</f>
        <v>43497</v>
      </c>
      <c r="H267" s="984">
        <f t="shared" si="47"/>
        <v>3</v>
      </c>
      <c r="I267" s="985">
        <v>0</v>
      </c>
      <c r="J267" s="999">
        <f>+NOMINA!BL266</f>
        <v>19.420000000000002</v>
      </c>
      <c r="K267" s="999">
        <f>+NOMINA!BM266</f>
        <v>2.4300000000000002</v>
      </c>
      <c r="L267" s="999">
        <f>+NOMINA!BN266</f>
        <v>5.26</v>
      </c>
      <c r="M267" s="999">
        <f>++NOMINA!BO266</f>
        <v>0</v>
      </c>
      <c r="N267" s="999">
        <f>+NOMINA!BP266</f>
        <v>0</v>
      </c>
      <c r="O267" s="986">
        <f t="shared" si="48"/>
        <v>27.11</v>
      </c>
      <c r="P267" s="999">
        <f>+NOMINA!BR266</f>
        <v>43.7</v>
      </c>
      <c r="Q267" s="999">
        <f>+NOMINA!BS266</f>
        <v>9.7100000000000009</v>
      </c>
      <c r="R267" s="999">
        <f>+NOMINA!BT266</f>
        <v>10.52</v>
      </c>
      <c r="S267" s="986">
        <f t="shared" si="49"/>
        <v>63.93</v>
      </c>
      <c r="T267" s="986">
        <f t="shared" si="50"/>
        <v>91.039999999999992</v>
      </c>
      <c r="U267" s="1005">
        <v>0</v>
      </c>
      <c r="V267" s="443" t="e">
        <f>#REF!+#REF!-O267</f>
        <v>#REF!</v>
      </c>
      <c r="W267" s="975" t="e">
        <f>ROUND((#REF!+#REF!+#REF!+#REF!+#REF!+#REF!+#REF!+#REF!+#REF!),2)</f>
        <v>#REF!</v>
      </c>
      <c r="AA267" s="976" t="e">
        <f>#REF!+#REF!-O267</f>
        <v>#REF!</v>
      </c>
      <c r="AB267" s="977" t="e">
        <f>#REF!</f>
        <v>#REF!</v>
      </c>
      <c r="AC267" s="976" t="e">
        <f>#REF!+#REF!</f>
        <v>#REF!</v>
      </c>
      <c r="AD267" s="977" t="e">
        <f>#REF!</f>
        <v>#REF!</v>
      </c>
      <c r="AE267" s="978">
        <v>0</v>
      </c>
      <c r="AF267" s="977" t="e">
        <f>#REF!</f>
        <v>#REF!</v>
      </c>
      <c r="AG267" s="979" t="e">
        <f>#REF!+#REF!</f>
        <v>#REF!</v>
      </c>
      <c r="AH267" s="979" t="e">
        <f>#REF!+#REF!</f>
        <v>#REF!</v>
      </c>
      <c r="AI267" s="979"/>
      <c r="AJ267" s="977" t="e">
        <f>#REF!</f>
        <v>#REF!</v>
      </c>
      <c r="AK267" s="977" t="e">
        <f t="shared" si="43"/>
        <v>#REF!</v>
      </c>
      <c r="AL267" s="977">
        <f t="shared" si="44"/>
        <v>91.039999999999992</v>
      </c>
      <c r="AM267" s="977">
        <f t="shared" si="45"/>
        <v>0</v>
      </c>
      <c r="AN267" s="634"/>
    </row>
    <row r="268" spans="1:40" s="629" customFormat="1" ht="20.100000000000001" customHeight="1">
      <c r="A268" s="771">
        <f t="shared" si="46"/>
        <v>225</v>
      </c>
      <c r="B268" s="980">
        <f>+NOMINA!C267</f>
        <v>24135378</v>
      </c>
      <c r="C268" s="981" t="str">
        <f>+NOMINA!D267</f>
        <v>Rivas Hurtado Orleidys Betania</v>
      </c>
      <c r="D268" s="978" t="s">
        <v>4622</v>
      </c>
      <c r="E268" s="982">
        <v>32351</v>
      </c>
      <c r="F268" s="978" t="s">
        <v>4620</v>
      </c>
      <c r="G268" s="1004">
        <f>+NOMINA!H267</f>
        <v>43862</v>
      </c>
      <c r="H268" s="984">
        <f t="shared" si="47"/>
        <v>2</v>
      </c>
      <c r="I268" s="985">
        <v>0</v>
      </c>
      <c r="J268" s="999">
        <f>+NOMINA!BL267</f>
        <v>20.45</v>
      </c>
      <c r="K268" s="999">
        <f>+NOMINA!BM267</f>
        <v>2.56</v>
      </c>
      <c r="L268" s="999">
        <f>+NOMINA!BN267</f>
        <v>5.54</v>
      </c>
      <c r="M268" s="999">
        <f>++NOMINA!BO267</f>
        <v>0</v>
      </c>
      <c r="N268" s="999">
        <f>+NOMINA!BP267</f>
        <v>0</v>
      </c>
      <c r="O268" s="986">
        <f t="shared" si="48"/>
        <v>28.55</v>
      </c>
      <c r="P268" s="999">
        <f>+NOMINA!BR267</f>
        <v>46.01</v>
      </c>
      <c r="Q268" s="999">
        <f>+NOMINA!BS267</f>
        <v>10.220000000000001</v>
      </c>
      <c r="R268" s="999">
        <f>+NOMINA!BT267</f>
        <v>11.08</v>
      </c>
      <c r="S268" s="986">
        <f t="shared" si="49"/>
        <v>67.31</v>
      </c>
      <c r="T268" s="986">
        <f t="shared" si="50"/>
        <v>95.86</v>
      </c>
      <c r="U268" s="1005">
        <v>0</v>
      </c>
      <c r="V268" s="443" t="e">
        <f>#REF!+#REF!-O268</f>
        <v>#REF!</v>
      </c>
      <c r="W268" s="975" t="e">
        <f>ROUND((#REF!+#REF!+#REF!+#REF!+#REF!+#REF!+#REF!+#REF!+#REF!),2)</f>
        <v>#REF!</v>
      </c>
      <c r="AA268" s="976" t="e">
        <f>#REF!+#REF!-O268</f>
        <v>#REF!</v>
      </c>
      <c r="AB268" s="977" t="e">
        <f>#REF!</f>
        <v>#REF!</v>
      </c>
      <c r="AC268" s="976" t="e">
        <f>#REF!+#REF!</f>
        <v>#REF!</v>
      </c>
      <c r="AD268" s="977" t="e">
        <f>#REF!</f>
        <v>#REF!</v>
      </c>
      <c r="AE268" s="978">
        <v>0</v>
      </c>
      <c r="AF268" s="977" t="e">
        <f>#REF!</f>
        <v>#REF!</v>
      </c>
      <c r="AG268" s="979" t="e">
        <f>#REF!+#REF!</f>
        <v>#REF!</v>
      </c>
      <c r="AH268" s="979" t="e">
        <f>#REF!+#REF!</f>
        <v>#REF!</v>
      </c>
      <c r="AI268" s="979"/>
      <c r="AJ268" s="977" t="e">
        <f>#REF!</f>
        <v>#REF!</v>
      </c>
      <c r="AK268" s="977" t="e">
        <f t="shared" si="43"/>
        <v>#REF!</v>
      </c>
      <c r="AL268" s="977">
        <f t="shared" si="44"/>
        <v>95.86</v>
      </c>
      <c r="AM268" s="977">
        <f t="shared" si="45"/>
        <v>0</v>
      </c>
      <c r="AN268" s="634"/>
    </row>
    <row r="269" spans="1:40" s="629" customFormat="1" ht="20.100000000000001" customHeight="1">
      <c r="A269" s="771">
        <f t="shared" si="46"/>
        <v>226</v>
      </c>
      <c r="B269" s="980">
        <f>+NOMINA!C268</f>
        <v>24136795</v>
      </c>
      <c r="C269" s="981" t="str">
        <f>+NOMINA!D268</f>
        <v xml:space="preserve">Viloria Maldonado Gerardo Jesus </v>
      </c>
      <c r="D269" s="978" t="s">
        <v>4622</v>
      </c>
      <c r="E269" s="982">
        <v>32351</v>
      </c>
      <c r="F269" s="978" t="s">
        <v>4620</v>
      </c>
      <c r="G269" s="1004">
        <f>+NOMINA!H268</f>
        <v>44600</v>
      </c>
      <c r="H269" s="984">
        <f t="shared" si="47"/>
        <v>0</v>
      </c>
      <c r="I269" s="985">
        <v>0</v>
      </c>
      <c r="J269" s="999">
        <f>+NOMINA!BL268</f>
        <v>10.62</v>
      </c>
      <c r="K269" s="999">
        <f>+NOMINA!BM268</f>
        <v>1.33</v>
      </c>
      <c r="L269" s="999">
        <f>+NOMINA!BN268</f>
        <v>2.88</v>
      </c>
      <c r="M269" s="999">
        <f>++NOMINA!BO268</f>
        <v>0</v>
      </c>
      <c r="N269" s="999">
        <f>+NOMINA!BP268</f>
        <v>0</v>
      </c>
      <c r="O269" s="986">
        <f t="shared" si="48"/>
        <v>14.83</v>
      </c>
      <c r="P269" s="999">
        <f>+NOMINA!BR268</f>
        <v>23.89</v>
      </c>
      <c r="Q269" s="999">
        <f>+NOMINA!BS268</f>
        <v>5.31</v>
      </c>
      <c r="R269" s="999">
        <f>+NOMINA!BT268</f>
        <v>5.76</v>
      </c>
      <c r="S269" s="986">
        <f t="shared" si="49"/>
        <v>34.96</v>
      </c>
      <c r="T269" s="986">
        <f t="shared" si="50"/>
        <v>49.79</v>
      </c>
      <c r="U269" s="1005">
        <v>0</v>
      </c>
      <c r="V269" s="443" t="e">
        <f>#REF!+#REF!-O269</f>
        <v>#REF!</v>
      </c>
      <c r="W269" s="975" t="e">
        <f>ROUND((#REF!+#REF!+#REF!+#REF!+#REF!+#REF!+#REF!+#REF!+#REF!),2)</f>
        <v>#REF!</v>
      </c>
      <c r="AA269" s="976" t="e">
        <f>#REF!+#REF!-O269</f>
        <v>#REF!</v>
      </c>
      <c r="AB269" s="977" t="e">
        <f>#REF!</f>
        <v>#REF!</v>
      </c>
      <c r="AC269" s="976" t="e">
        <f>#REF!+#REF!</f>
        <v>#REF!</v>
      </c>
      <c r="AD269" s="977" t="e">
        <f>#REF!</f>
        <v>#REF!</v>
      </c>
      <c r="AE269" s="978">
        <v>0</v>
      </c>
      <c r="AF269" s="977" t="e">
        <f>#REF!</f>
        <v>#REF!</v>
      </c>
      <c r="AG269" s="979" t="e">
        <f>#REF!+#REF!</f>
        <v>#REF!</v>
      </c>
      <c r="AH269" s="979" t="e">
        <f>#REF!+#REF!</f>
        <v>#REF!</v>
      </c>
      <c r="AI269" s="979"/>
      <c r="AJ269" s="977" t="e">
        <f>#REF!</f>
        <v>#REF!</v>
      </c>
      <c r="AK269" s="977" t="e">
        <f t="shared" si="43"/>
        <v>#REF!</v>
      </c>
      <c r="AL269" s="977">
        <f t="shared" si="44"/>
        <v>49.79</v>
      </c>
      <c r="AM269" s="977">
        <f t="shared" si="45"/>
        <v>0</v>
      </c>
      <c r="AN269" s="634"/>
    </row>
    <row r="270" spans="1:40" s="629" customFormat="1" ht="20.100000000000001" customHeight="1">
      <c r="A270" s="771">
        <f t="shared" si="46"/>
        <v>227</v>
      </c>
      <c r="B270" s="980">
        <f>+NOMINA!C269</f>
        <v>24385729</v>
      </c>
      <c r="C270" s="981" t="str">
        <f>+NOMINA!D269</f>
        <v>Cordova Rivero Liseth Carolina</v>
      </c>
      <c r="D270" s="978" t="s">
        <v>4622</v>
      </c>
      <c r="E270" s="982">
        <v>32351</v>
      </c>
      <c r="F270" s="978" t="s">
        <v>4620</v>
      </c>
      <c r="G270" s="1004">
        <f>+NOMINA!H269</f>
        <v>45597</v>
      </c>
      <c r="H270" s="984">
        <f t="shared" si="47"/>
        <v>0</v>
      </c>
      <c r="I270" s="985">
        <v>0</v>
      </c>
      <c r="J270" s="999">
        <f>+NOMINA!BL269</f>
        <v>10.11</v>
      </c>
      <c r="K270" s="999">
        <f>+NOMINA!BM269</f>
        <v>1.26</v>
      </c>
      <c r="L270" s="999">
        <f>+NOMINA!BN269</f>
        <v>2.74</v>
      </c>
      <c r="M270" s="999">
        <f>++NOMINA!BO269</f>
        <v>0</v>
      </c>
      <c r="N270" s="999">
        <f>+NOMINA!BP269</f>
        <v>0</v>
      </c>
      <c r="O270" s="986">
        <f t="shared" si="48"/>
        <v>14.11</v>
      </c>
      <c r="P270" s="999">
        <f>+NOMINA!BR269</f>
        <v>22.75</v>
      </c>
      <c r="Q270" s="999">
        <f>+NOMINA!BS269</f>
        <v>5.05</v>
      </c>
      <c r="R270" s="999">
        <f>+NOMINA!BT269</f>
        <v>5.48</v>
      </c>
      <c r="S270" s="986">
        <f t="shared" si="49"/>
        <v>33.28</v>
      </c>
      <c r="T270" s="986">
        <f t="shared" si="50"/>
        <v>47.39</v>
      </c>
      <c r="U270" s="1005">
        <v>0</v>
      </c>
      <c r="V270" s="443" t="e">
        <f>#REF!+#REF!-O270</f>
        <v>#REF!</v>
      </c>
      <c r="W270" s="975" t="e">
        <f>ROUND((#REF!+#REF!+#REF!+#REF!+#REF!+#REF!+#REF!+#REF!+#REF!),2)</f>
        <v>#REF!</v>
      </c>
      <c r="AA270" s="976" t="e">
        <f>#REF!+#REF!-O270</f>
        <v>#REF!</v>
      </c>
      <c r="AB270" s="977" t="e">
        <f>#REF!</f>
        <v>#REF!</v>
      </c>
      <c r="AC270" s="976" t="e">
        <f>#REF!+#REF!</f>
        <v>#REF!</v>
      </c>
      <c r="AD270" s="977" t="e">
        <f>#REF!</f>
        <v>#REF!</v>
      </c>
      <c r="AE270" s="978">
        <v>0</v>
      </c>
      <c r="AF270" s="977" t="e">
        <f>#REF!</f>
        <v>#REF!</v>
      </c>
      <c r="AG270" s="979" t="e">
        <f>#REF!+#REF!</f>
        <v>#REF!</v>
      </c>
      <c r="AH270" s="979" t="e">
        <f>#REF!+#REF!</f>
        <v>#REF!</v>
      </c>
      <c r="AI270" s="979"/>
      <c r="AJ270" s="977" t="e">
        <f>#REF!</f>
        <v>#REF!</v>
      </c>
      <c r="AK270" s="977" t="e">
        <f t="shared" si="43"/>
        <v>#REF!</v>
      </c>
      <c r="AL270" s="977">
        <f t="shared" si="44"/>
        <v>47.39</v>
      </c>
      <c r="AM270" s="977">
        <f t="shared" si="45"/>
        <v>0</v>
      </c>
      <c r="AN270" s="634"/>
    </row>
    <row r="271" spans="1:40" s="629" customFormat="1" ht="20.100000000000001" customHeight="1">
      <c r="A271" s="771">
        <f t="shared" si="46"/>
        <v>228</v>
      </c>
      <c r="B271" s="980">
        <f>+NOMINA!C270</f>
        <v>23254845</v>
      </c>
      <c r="C271" s="981" t="str">
        <f>+NOMINA!D270</f>
        <v>Castellanos Paredes Luis Gregorio</v>
      </c>
      <c r="D271" s="978" t="s">
        <v>4622</v>
      </c>
      <c r="E271" s="982">
        <v>32351</v>
      </c>
      <c r="F271" s="978" t="s">
        <v>4620</v>
      </c>
      <c r="G271" s="1004">
        <f>+NOMINA!H270</f>
        <v>44332</v>
      </c>
      <c r="H271" s="984">
        <f t="shared" si="47"/>
        <v>1</v>
      </c>
      <c r="I271" s="985">
        <v>0</v>
      </c>
      <c r="J271" s="999">
        <f>+NOMINA!BL270</f>
        <v>10.5</v>
      </c>
      <c r="K271" s="999">
        <f>+NOMINA!BM270</f>
        <v>1.31</v>
      </c>
      <c r="L271" s="999">
        <f>+NOMINA!BN270</f>
        <v>2.85</v>
      </c>
      <c r="M271" s="999">
        <f>++NOMINA!BO270</f>
        <v>0</v>
      </c>
      <c r="N271" s="999">
        <f>+NOMINA!BP270</f>
        <v>0</v>
      </c>
      <c r="O271" s="986">
        <f t="shared" si="48"/>
        <v>14.66</v>
      </c>
      <c r="P271" s="999">
        <f>+NOMINA!BR270</f>
        <v>23.64</v>
      </c>
      <c r="Q271" s="999">
        <f>+NOMINA!BS270</f>
        <v>5.25</v>
      </c>
      <c r="R271" s="999">
        <f>+NOMINA!BT270</f>
        <v>5.7</v>
      </c>
      <c r="S271" s="986">
        <f t="shared" si="49"/>
        <v>34.590000000000003</v>
      </c>
      <c r="T271" s="986">
        <f t="shared" si="50"/>
        <v>49.25</v>
      </c>
      <c r="U271" s="1005">
        <v>0</v>
      </c>
      <c r="V271" s="443" t="e">
        <f>#REF!+#REF!-O271</f>
        <v>#REF!</v>
      </c>
      <c r="W271" s="975" t="e">
        <f>ROUND((#REF!+#REF!+#REF!+#REF!+#REF!+#REF!+#REF!+#REF!+#REF!),2)</f>
        <v>#REF!</v>
      </c>
      <c r="AA271" s="976" t="e">
        <f>#REF!+#REF!-O271</f>
        <v>#REF!</v>
      </c>
      <c r="AB271" s="977" t="e">
        <f>#REF!</f>
        <v>#REF!</v>
      </c>
      <c r="AC271" s="976" t="e">
        <f>#REF!+#REF!</f>
        <v>#REF!</v>
      </c>
      <c r="AD271" s="977" t="e">
        <f>#REF!</f>
        <v>#REF!</v>
      </c>
      <c r="AE271" s="978">
        <v>0</v>
      </c>
      <c r="AF271" s="977" t="e">
        <f>#REF!</f>
        <v>#REF!</v>
      </c>
      <c r="AG271" s="979" t="e">
        <f>#REF!+#REF!</f>
        <v>#REF!</v>
      </c>
      <c r="AH271" s="979" t="e">
        <f>#REF!+#REF!</f>
        <v>#REF!</v>
      </c>
      <c r="AI271" s="979"/>
      <c r="AJ271" s="977" t="e">
        <f>#REF!</f>
        <v>#REF!</v>
      </c>
      <c r="AK271" s="977" t="e">
        <f t="shared" si="43"/>
        <v>#REF!</v>
      </c>
      <c r="AL271" s="977">
        <f t="shared" si="44"/>
        <v>49.25</v>
      </c>
      <c r="AM271" s="977">
        <f t="shared" si="45"/>
        <v>0</v>
      </c>
      <c r="AN271" s="634"/>
    </row>
    <row r="272" spans="1:40" s="629" customFormat="1" ht="20.100000000000001" customHeight="1">
      <c r="A272" s="771">
        <f t="shared" si="46"/>
        <v>229</v>
      </c>
      <c r="B272" s="980">
        <f>+NOMINA!C271</f>
        <v>23594366</v>
      </c>
      <c r="C272" s="981" t="str">
        <f>+NOMINA!D271</f>
        <v>Quintero Montilla Merly Paula</v>
      </c>
      <c r="D272" s="978" t="s">
        <v>4622</v>
      </c>
      <c r="E272" s="982">
        <v>32351</v>
      </c>
      <c r="F272" s="978" t="s">
        <v>4620</v>
      </c>
      <c r="G272" s="1004">
        <f>+NOMINA!H271</f>
        <v>45413</v>
      </c>
      <c r="H272" s="984">
        <f t="shared" si="47"/>
        <v>0</v>
      </c>
      <c r="I272" s="985">
        <v>0</v>
      </c>
      <c r="J272" s="999">
        <f>+NOMINA!BL271</f>
        <v>17.350000000000001</v>
      </c>
      <c r="K272" s="999">
        <f>+NOMINA!BM271</f>
        <v>2.17</v>
      </c>
      <c r="L272" s="999">
        <f>+NOMINA!BN271</f>
        <v>4.7</v>
      </c>
      <c r="M272" s="999">
        <f>++NOMINA!BO271</f>
        <v>0</v>
      </c>
      <c r="N272" s="999">
        <f>+NOMINA!BP271</f>
        <v>0</v>
      </c>
      <c r="O272" s="986">
        <f t="shared" si="48"/>
        <v>24.22</v>
      </c>
      <c r="P272" s="999">
        <f>+NOMINA!BR271</f>
        <v>39.049999999999997</v>
      </c>
      <c r="Q272" s="999">
        <f>+NOMINA!BS271</f>
        <v>8.68</v>
      </c>
      <c r="R272" s="999">
        <f>+NOMINA!BT271</f>
        <v>9.4</v>
      </c>
      <c r="S272" s="986">
        <f t="shared" si="49"/>
        <v>57.13</v>
      </c>
      <c r="T272" s="986">
        <f t="shared" si="50"/>
        <v>81.349999999999994</v>
      </c>
      <c r="U272" s="1005">
        <v>0</v>
      </c>
      <c r="V272" s="443" t="e">
        <f>#REF!+#REF!-O272</f>
        <v>#REF!</v>
      </c>
      <c r="W272" s="975" t="e">
        <f>ROUND((#REF!+#REF!+#REF!+#REF!+#REF!+#REF!+#REF!+#REF!+#REF!),2)</f>
        <v>#REF!</v>
      </c>
      <c r="AA272" s="976" t="e">
        <f>#REF!+#REF!-O272</f>
        <v>#REF!</v>
      </c>
      <c r="AB272" s="977" t="e">
        <f>#REF!</f>
        <v>#REF!</v>
      </c>
      <c r="AC272" s="976" t="e">
        <f>#REF!+#REF!</f>
        <v>#REF!</v>
      </c>
      <c r="AD272" s="977" t="e">
        <f>#REF!</f>
        <v>#REF!</v>
      </c>
      <c r="AE272" s="978">
        <v>0</v>
      </c>
      <c r="AF272" s="977" t="e">
        <f>#REF!</f>
        <v>#REF!</v>
      </c>
      <c r="AG272" s="979" t="e">
        <f>#REF!+#REF!</f>
        <v>#REF!</v>
      </c>
      <c r="AH272" s="979" t="e">
        <f>#REF!+#REF!</f>
        <v>#REF!</v>
      </c>
      <c r="AI272" s="979"/>
      <c r="AJ272" s="977" t="e">
        <f>#REF!</f>
        <v>#REF!</v>
      </c>
      <c r="AK272" s="977" t="e">
        <f t="shared" si="43"/>
        <v>#REF!</v>
      </c>
      <c r="AL272" s="977">
        <f t="shared" si="44"/>
        <v>81.349999999999994</v>
      </c>
      <c r="AM272" s="977">
        <f t="shared" si="45"/>
        <v>0</v>
      </c>
      <c r="AN272" s="634"/>
    </row>
    <row r="273" spans="1:40" s="629" customFormat="1" ht="20.100000000000001" customHeight="1">
      <c r="A273" s="771">
        <f t="shared" si="46"/>
        <v>230</v>
      </c>
      <c r="B273" s="980">
        <f>+NOMINA!C272</f>
        <v>23775734</v>
      </c>
      <c r="C273" s="981" t="str">
        <f>+NOMINA!D272</f>
        <v>Gonzalez Torres Klerwin Alfonso</v>
      </c>
      <c r="D273" s="978" t="s">
        <v>4622</v>
      </c>
      <c r="E273" s="982">
        <v>32351</v>
      </c>
      <c r="F273" s="978" t="s">
        <v>4620</v>
      </c>
      <c r="G273" s="1004">
        <f>+NOMINA!H272</f>
        <v>45627</v>
      </c>
      <c r="H273" s="984">
        <f t="shared" si="47"/>
        <v>0</v>
      </c>
      <c r="I273" s="985">
        <v>0</v>
      </c>
      <c r="J273" s="999">
        <f>+NOMINA!BL272</f>
        <v>13.39</v>
      </c>
      <c r="K273" s="999">
        <f>+NOMINA!BM272</f>
        <v>1.67</v>
      </c>
      <c r="L273" s="999">
        <f>+NOMINA!BN272</f>
        <v>3.63</v>
      </c>
      <c r="M273" s="999">
        <f>++NOMINA!BO272</f>
        <v>0</v>
      </c>
      <c r="N273" s="999">
        <f>+NOMINA!BP272</f>
        <v>0</v>
      </c>
      <c r="O273" s="986">
        <f t="shared" si="48"/>
        <v>18.690000000000001</v>
      </c>
      <c r="P273" s="999">
        <f>+NOMINA!BR272</f>
        <v>30.13</v>
      </c>
      <c r="Q273" s="999">
        <f>+NOMINA!BS272</f>
        <v>6.7</v>
      </c>
      <c r="R273" s="999">
        <f>+NOMINA!BT272</f>
        <v>7.26</v>
      </c>
      <c r="S273" s="986">
        <f t="shared" si="49"/>
        <v>44.09</v>
      </c>
      <c r="T273" s="986">
        <f t="shared" si="50"/>
        <v>62.78</v>
      </c>
      <c r="U273" s="1005">
        <v>0</v>
      </c>
      <c r="V273" s="443" t="e">
        <f>#REF!+#REF!-O273</f>
        <v>#REF!</v>
      </c>
      <c r="W273" s="975" t="e">
        <f>ROUND((#REF!+#REF!+#REF!+#REF!+#REF!+#REF!+#REF!+#REF!+#REF!),2)</f>
        <v>#REF!</v>
      </c>
      <c r="AA273" s="976" t="e">
        <f>#REF!+#REF!-O273</f>
        <v>#REF!</v>
      </c>
      <c r="AB273" s="977" t="e">
        <f>#REF!</f>
        <v>#REF!</v>
      </c>
      <c r="AC273" s="976" t="e">
        <f>#REF!+#REF!</f>
        <v>#REF!</v>
      </c>
      <c r="AD273" s="977" t="e">
        <f>#REF!</f>
        <v>#REF!</v>
      </c>
      <c r="AE273" s="978">
        <v>0</v>
      </c>
      <c r="AF273" s="977" t="e">
        <f>#REF!</f>
        <v>#REF!</v>
      </c>
      <c r="AG273" s="979" t="e">
        <f>#REF!+#REF!</f>
        <v>#REF!</v>
      </c>
      <c r="AH273" s="979" t="e">
        <f>#REF!+#REF!</f>
        <v>#REF!</v>
      </c>
      <c r="AI273" s="979"/>
      <c r="AJ273" s="977" t="e">
        <f>#REF!</f>
        <v>#REF!</v>
      </c>
      <c r="AK273" s="977" t="e">
        <f t="shared" si="43"/>
        <v>#REF!</v>
      </c>
      <c r="AL273" s="977">
        <f t="shared" si="44"/>
        <v>62.78</v>
      </c>
      <c r="AM273" s="977">
        <f t="shared" si="45"/>
        <v>0</v>
      </c>
      <c r="AN273" s="634"/>
    </row>
    <row r="274" spans="1:40" s="629" customFormat="1" ht="20.100000000000001" customHeight="1">
      <c r="A274" s="771">
        <f t="shared" si="46"/>
        <v>231</v>
      </c>
      <c r="B274" s="980">
        <f>+NOMINA!C273</f>
        <v>24565372</v>
      </c>
      <c r="C274" s="981" t="str">
        <f>+NOMINA!D273</f>
        <v>Moreno Silva Alfredy Jose</v>
      </c>
      <c r="D274" s="978" t="s">
        <v>4622</v>
      </c>
      <c r="E274" s="982">
        <v>32351</v>
      </c>
      <c r="F274" s="978" t="s">
        <v>4620</v>
      </c>
      <c r="G274" s="1004">
        <f>+NOMINA!H273</f>
        <v>40360</v>
      </c>
      <c r="H274" s="984">
        <f t="shared" si="47"/>
        <v>12</v>
      </c>
      <c r="I274" s="985">
        <v>0</v>
      </c>
      <c r="J274" s="999">
        <f>+NOMINA!BL273</f>
        <v>0</v>
      </c>
      <c r="K274" s="999">
        <f>+NOMINA!BM273</f>
        <v>0</v>
      </c>
      <c r="L274" s="999">
        <f>+NOMINA!BN273</f>
        <v>0</v>
      </c>
      <c r="M274" s="999">
        <f>++NOMINA!BO273</f>
        <v>0</v>
      </c>
      <c r="N274" s="999">
        <f>+NOMINA!BP273</f>
        <v>0</v>
      </c>
      <c r="O274" s="986">
        <f t="shared" si="48"/>
        <v>0</v>
      </c>
      <c r="P274" s="999">
        <f>+NOMINA!BR273</f>
        <v>0</v>
      </c>
      <c r="Q274" s="999">
        <f>+NOMINA!BS273</f>
        <v>0</v>
      </c>
      <c r="R274" s="999">
        <f>+NOMINA!BT273</f>
        <v>0</v>
      </c>
      <c r="S274" s="986">
        <f t="shared" si="49"/>
        <v>0</v>
      </c>
      <c r="T274" s="986">
        <f t="shared" si="50"/>
        <v>0</v>
      </c>
      <c r="U274" s="1005">
        <v>0</v>
      </c>
      <c r="V274" s="443" t="e">
        <f>#REF!+#REF!-O274</f>
        <v>#REF!</v>
      </c>
      <c r="W274" s="975" t="e">
        <f>ROUND((#REF!+#REF!+#REF!+#REF!+#REF!+#REF!+#REF!+#REF!+#REF!),2)</f>
        <v>#REF!</v>
      </c>
      <c r="AA274" s="976" t="e">
        <f>#REF!+#REF!-O274</f>
        <v>#REF!</v>
      </c>
      <c r="AB274" s="977" t="e">
        <f>#REF!</f>
        <v>#REF!</v>
      </c>
      <c r="AC274" s="976" t="e">
        <f>#REF!+#REF!</f>
        <v>#REF!</v>
      </c>
      <c r="AD274" s="977" t="e">
        <f>#REF!</f>
        <v>#REF!</v>
      </c>
      <c r="AE274" s="978">
        <v>0</v>
      </c>
      <c r="AF274" s="977" t="e">
        <f>#REF!</f>
        <v>#REF!</v>
      </c>
      <c r="AG274" s="979" t="e">
        <f>#REF!+#REF!</f>
        <v>#REF!</v>
      </c>
      <c r="AH274" s="979" t="e">
        <f>#REF!+#REF!</f>
        <v>#REF!</v>
      </c>
      <c r="AI274" s="979"/>
      <c r="AJ274" s="977" t="e">
        <f>#REF!</f>
        <v>#REF!</v>
      </c>
      <c r="AK274" s="977" t="e">
        <f t="shared" si="43"/>
        <v>#REF!</v>
      </c>
      <c r="AL274" s="977">
        <f t="shared" si="44"/>
        <v>0</v>
      </c>
      <c r="AM274" s="977">
        <f t="shared" si="45"/>
        <v>0</v>
      </c>
      <c r="AN274" s="634"/>
    </row>
    <row r="275" spans="1:40" s="629" customFormat="1" ht="20.100000000000001" customHeight="1">
      <c r="A275" s="771">
        <f t="shared" si="46"/>
        <v>232</v>
      </c>
      <c r="B275" s="980">
        <f>+NOMINA!C274</f>
        <v>25006139</v>
      </c>
      <c r="C275" s="981" t="str">
        <f>+NOMINA!D274</f>
        <v>Ramirez Palomares Carmen Beatriz</v>
      </c>
      <c r="D275" s="978" t="s">
        <v>4622</v>
      </c>
      <c r="E275" s="982">
        <v>32351</v>
      </c>
      <c r="F275" s="978" t="s">
        <v>4620</v>
      </c>
      <c r="G275" s="1004">
        <f>+NOMINA!H274</f>
        <v>43512</v>
      </c>
      <c r="H275" s="984">
        <f t="shared" si="47"/>
        <v>3</v>
      </c>
      <c r="I275" s="985">
        <v>0</v>
      </c>
      <c r="J275" s="999">
        <f>+NOMINA!BL274</f>
        <v>14.4</v>
      </c>
      <c r="K275" s="999">
        <f>+NOMINA!BM274</f>
        <v>1.8</v>
      </c>
      <c r="L275" s="999">
        <f>+NOMINA!BN274</f>
        <v>3.9</v>
      </c>
      <c r="M275" s="999">
        <f>++NOMINA!BO274</f>
        <v>0</v>
      </c>
      <c r="N275" s="999">
        <f>+NOMINA!BP274</f>
        <v>0</v>
      </c>
      <c r="O275" s="986">
        <f t="shared" si="48"/>
        <v>20.100000000000001</v>
      </c>
      <c r="P275" s="999">
        <f>+NOMINA!BR274</f>
        <v>32.4</v>
      </c>
      <c r="Q275" s="999">
        <f>+NOMINA!BS274</f>
        <v>7.2</v>
      </c>
      <c r="R275" s="999">
        <f>+NOMINA!BT274</f>
        <v>7.8</v>
      </c>
      <c r="S275" s="986">
        <f t="shared" si="49"/>
        <v>47.4</v>
      </c>
      <c r="T275" s="986">
        <f t="shared" si="50"/>
        <v>67.5</v>
      </c>
      <c r="U275" s="1005">
        <v>0</v>
      </c>
      <c r="V275" s="443" t="e">
        <f>#REF!+#REF!-O275</f>
        <v>#REF!</v>
      </c>
      <c r="W275" s="975" t="e">
        <f>ROUND((#REF!+#REF!+#REF!+#REF!+#REF!+#REF!+#REF!+#REF!+#REF!),2)</f>
        <v>#REF!</v>
      </c>
      <c r="AA275" s="976" t="e">
        <f>#REF!+#REF!-O275</f>
        <v>#REF!</v>
      </c>
      <c r="AB275" s="977" t="e">
        <f>#REF!</f>
        <v>#REF!</v>
      </c>
      <c r="AC275" s="976" t="e">
        <f>#REF!+#REF!</f>
        <v>#REF!</v>
      </c>
      <c r="AD275" s="977" t="e">
        <f>#REF!</f>
        <v>#REF!</v>
      </c>
      <c r="AE275" s="978">
        <v>0</v>
      </c>
      <c r="AF275" s="977" t="e">
        <f>#REF!</f>
        <v>#REF!</v>
      </c>
      <c r="AG275" s="979" t="e">
        <f>#REF!+#REF!</f>
        <v>#REF!</v>
      </c>
      <c r="AH275" s="979" t="e">
        <f>#REF!+#REF!</f>
        <v>#REF!</v>
      </c>
      <c r="AI275" s="979"/>
      <c r="AJ275" s="977" t="e">
        <f>#REF!</f>
        <v>#REF!</v>
      </c>
      <c r="AK275" s="977" t="e">
        <f t="shared" si="43"/>
        <v>#REF!</v>
      </c>
      <c r="AL275" s="977">
        <f t="shared" si="44"/>
        <v>67.5</v>
      </c>
      <c r="AM275" s="977">
        <f t="shared" si="45"/>
        <v>0</v>
      </c>
      <c r="AN275" s="634"/>
    </row>
    <row r="276" spans="1:40" s="629" customFormat="1" ht="20.100000000000001" customHeight="1">
      <c r="A276" s="771">
        <f t="shared" si="46"/>
        <v>233</v>
      </c>
      <c r="B276" s="980">
        <f>+NOMINA!C275</f>
        <v>25006878</v>
      </c>
      <c r="C276" s="981" t="str">
        <f>+NOMINA!D275</f>
        <v>Fernandez Garcia Rafael Ramon</v>
      </c>
      <c r="D276" s="978" t="s">
        <v>4622</v>
      </c>
      <c r="E276" s="982">
        <v>32351</v>
      </c>
      <c r="F276" s="978" t="s">
        <v>4620</v>
      </c>
      <c r="G276" s="1004">
        <f>+NOMINA!H275</f>
        <v>44986</v>
      </c>
      <c r="H276" s="984">
        <f t="shared" si="47"/>
        <v>0</v>
      </c>
      <c r="I276" s="985">
        <v>0</v>
      </c>
      <c r="J276" s="999">
        <f>+NOMINA!BL275</f>
        <v>15.7</v>
      </c>
      <c r="K276" s="999">
        <f>+NOMINA!BM275</f>
        <v>1.96</v>
      </c>
      <c r="L276" s="999">
        <f>+NOMINA!BN275</f>
        <v>4.25</v>
      </c>
      <c r="M276" s="999">
        <f>++NOMINA!BO275</f>
        <v>0</v>
      </c>
      <c r="N276" s="999">
        <f>+NOMINA!BP275</f>
        <v>0</v>
      </c>
      <c r="O276" s="986">
        <f t="shared" si="48"/>
        <v>21.91</v>
      </c>
      <c r="P276" s="999">
        <f>+NOMINA!BR275</f>
        <v>35.33</v>
      </c>
      <c r="Q276" s="999">
        <f>+NOMINA!BS275</f>
        <v>7.85</v>
      </c>
      <c r="R276" s="999">
        <f>+NOMINA!BT275</f>
        <v>8.5</v>
      </c>
      <c r="S276" s="986">
        <f t="shared" si="49"/>
        <v>51.68</v>
      </c>
      <c r="T276" s="986">
        <f t="shared" si="50"/>
        <v>73.59</v>
      </c>
      <c r="U276" s="1005">
        <v>0</v>
      </c>
      <c r="V276" s="443" t="e">
        <f>#REF!+#REF!-O276</f>
        <v>#REF!</v>
      </c>
      <c r="W276" s="975" t="e">
        <f>ROUND((#REF!+#REF!+#REF!+#REF!+#REF!+#REF!+#REF!+#REF!+#REF!),2)</f>
        <v>#REF!</v>
      </c>
      <c r="AA276" s="976" t="e">
        <f>#REF!+#REF!-O276</f>
        <v>#REF!</v>
      </c>
      <c r="AB276" s="977" t="e">
        <f>#REF!</f>
        <v>#REF!</v>
      </c>
      <c r="AC276" s="976" t="e">
        <f>#REF!+#REF!</f>
        <v>#REF!</v>
      </c>
      <c r="AD276" s="977" t="e">
        <f>#REF!</f>
        <v>#REF!</v>
      </c>
      <c r="AE276" s="978">
        <v>0</v>
      </c>
      <c r="AF276" s="977" t="e">
        <f>#REF!</f>
        <v>#REF!</v>
      </c>
      <c r="AG276" s="979" t="e">
        <f>#REF!+#REF!</f>
        <v>#REF!</v>
      </c>
      <c r="AH276" s="979" t="e">
        <f>#REF!+#REF!</f>
        <v>#REF!</v>
      </c>
      <c r="AI276" s="979"/>
      <c r="AJ276" s="977" t="e">
        <f>#REF!</f>
        <v>#REF!</v>
      </c>
      <c r="AK276" s="977" t="e">
        <f t="shared" si="43"/>
        <v>#REF!</v>
      </c>
      <c r="AL276" s="977">
        <f t="shared" si="44"/>
        <v>73.59</v>
      </c>
      <c r="AM276" s="977">
        <f t="shared" si="45"/>
        <v>0</v>
      </c>
      <c r="AN276" s="634"/>
    </row>
    <row r="277" spans="1:40" s="629" customFormat="1" ht="20.100000000000001" customHeight="1">
      <c r="A277" s="771">
        <f t="shared" si="46"/>
        <v>234</v>
      </c>
      <c r="B277" s="980">
        <f>+NOMINA!C276</f>
        <v>25096069</v>
      </c>
      <c r="C277" s="981" t="str">
        <f>+NOMINA!D276</f>
        <v>Coello Diaz Yormileidys del Carmen</v>
      </c>
      <c r="D277" s="978" t="s">
        <v>4622</v>
      </c>
      <c r="E277" s="982">
        <v>32351</v>
      </c>
      <c r="F277" s="978" t="s">
        <v>4620</v>
      </c>
      <c r="G277" s="1004">
        <f>+NOMINA!H276</f>
        <v>44599</v>
      </c>
      <c r="H277" s="984">
        <f t="shared" si="47"/>
        <v>0</v>
      </c>
      <c r="I277" s="985">
        <v>0</v>
      </c>
      <c r="J277" s="999">
        <f>+NOMINA!BL276</f>
        <v>20.3</v>
      </c>
      <c r="K277" s="999">
        <f>+NOMINA!BM276</f>
        <v>2.54</v>
      </c>
      <c r="L277" s="999">
        <f>+NOMINA!BN276</f>
        <v>5.5</v>
      </c>
      <c r="M277" s="999">
        <f>++NOMINA!BO276</f>
        <v>0</v>
      </c>
      <c r="N277" s="999">
        <f>+NOMINA!BP276</f>
        <v>0</v>
      </c>
      <c r="O277" s="986">
        <f t="shared" si="48"/>
        <v>28.34</v>
      </c>
      <c r="P277" s="999">
        <f>+NOMINA!BR276</f>
        <v>45.68</v>
      </c>
      <c r="Q277" s="999">
        <f>+NOMINA!BS276</f>
        <v>10.15</v>
      </c>
      <c r="R277" s="999">
        <f>+NOMINA!BT276</f>
        <v>11</v>
      </c>
      <c r="S277" s="986">
        <f t="shared" si="49"/>
        <v>66.83</v>
      </c>
      <c r="T277" s="986">
        <f t="shared" si="50"/>
        <v>95.17</v>
      </c>
      <c r="U277" s="1005">
        <v>0</v>
      </c>
      <c r="V277" s="443" t="e">
        <f>#REF!+#REF!-O277</f>
        <v>#REF!</v>
      </c>
      <c r="W277" s="975" t="e">
        <f>ROUND((#REF!+#REF!+#REF!+#REF!+#REF!+#REF!+#REF!+#REF!+#REF!),2)</f>
        <v>#REF!</v>
      </c>
      <c r="AA277" s="976" t="e">
        <f>#REF!+#REF!-O277</f>
        <v>#REF!</v>
      </c>
      <c r="AB277" s="977" t="e">
        <f>#REF!</f>
        <v>#REF!</v>
      </c>
      <c r="AC277" s="976" t="e">
        <f>#REF!+#REF!</f>
        <v>#REF!</v>
      </c>
      <c r="AD277" s="977" t="e">
        <f>#REF!</f>
        <v>#REF!</v>
      </c>
      <c r="AE277" s="978">
        <v>0</v>
      </c>
      <c r="AF277" s="977" t="e">
        <f>#REF!</f>
        <v>#REF!</v>
      </c>
      <c r="AG277" s="979" t="e">
        <f>#REF!+#REF!</f>
        <v>#REF!</v>
      </c>
      <c r="AH277" s="979" t="e">
        <f>#REF!+#REF!</f>
        <v>#REF!</v>
      </c>
      <c r="AI277" s="979"/>
      <c r="AJ277" s="977" t="e">
        <f>#REF!</f>
        <v>#REF!</v>
      </c>
      <c r="AK277" s="977" t="e">
        <f t="shared" si="43"/>
        <v>#REF!</v>
      </c>
      <c r="AL277" s="977">
        <f t="shared" si="44"/>
        <v>95.17</v>
      </c>
      <c r="AM277" s="977">
        <f t="shared" si="45"/>
        <v>0</v>
      </c>
      <c r="AN277" s="634"/>
    </row>
    <row r="278" spans="1:40" s="629" customFormat="1" ht="20.100000000000001" customHeight="1">
      <c r="A278" s="771">
        <f t="shared" si="46"/>
        <v>235</v>
      </c>
      <c r="B278" s="980">
        <f>+NOMINA!C277</f>
        <v>25173139</v>
      </c>
      <c r="C278" s="981" t="str">
        <f>+NOMINA!D277</f>
        <v>Viloria Albornoz Arelis Andreina</v>
      </c>
      <c r="D278" s="978" t="s">
        <v>4622</v>
      </c>
      <c r="E278" s="982">
        <v>32351</v>
      </c>
      <c r="F278" s="978" t="s">
        <v>4620</v>
      </c>
      <c r="G278" s="1004">
        <f>+NOMINA!H277</f>
        <v>45536</v>
      </c>
      <c r="H278" s="984">
        <f t="shared" si="47"/>
        <v>0</v>
      </c>
      <c r="I278" s="985">
        <v>0</v>
      </c>
      <c r="J278" s="999">
        <f>+NOMINA!BL277</f>
        <v>17.93</v>
      </c>
      <c r="K278" s="999">
        <f>+NOMINA!BM277</f>
        <v>2.2400000000000002</v>
      </c>
      <c r="L278" s="999">
        <f>+NOMINA!BN277</f>
        <v>4.8600000000000003</v>
      </c>
      <c r="M278" s="999">
        <f>++NOMINA!BO277</f>
        <v>0</v>
      </c>
      <c r="N278" s="999">
        <f>+NOMINA!BP277</f>
        <v>0</v>
      </c>
      <c r="O278" s="986">
        <f t="shared" si="48"/>
        <v>25.03</v>
      </c>
      <c r="P278" s="999">
        <f>+NOMINA!BR277</f>
        <v>40.340000000000003</v>
      </c>
      <c r="Q278" s="999">
        <f>+NOMINA!BS277</f>
        <v>8.9700000000000006</v>
      </c>
      <c r="R278" s="999">
        <f>+NOMINA!BT277</f>
        <v>9.7200000000000006</v>
      </c>
      <c r="S278" s="986">
        <f t="shared" si="49"/>
        <v>59.03</v>
      </c>
      <c r="T278" s="986">
        <f t="shared" si="50"/>
        <v>84.06</v>
      </c>
      <c r="U278" s="1005"/>
      <c r="V278" s="443"/>
      <c r="W278" s="975"/>
      <c r="AA278" s="976"/>
      <c r="AB278" s="977"/>
      <c r="AC278" s="976"/>
      <c r="AD278" s="977"/>
      <c r="AE278" s="978"/>
      <c r="AF278" s="977"/>
      <c r="AG278" s="979"/>
      <c r="AH278" s="979"/>
      <c r="AI278" s="979"/>
      <c r="AJ278" s="977"/>
      <c r="AK278" s="977"/>
      <c r="AL278" s="977"/>
      <c r="AM278" s="977"/>
      <c r="AN278" s="634"/>
    </row>
    <row r="279" spans="1:40" s="629" customFormat="1" ht="20.100000000000001" customHeight="1">
      <c r="A279" s="771">
        <f t="shared" si="46"/>
        <v>236</v>
      </c>
      <c r="B279" s="980">
        <f>+NOMINA!C278</f>
        <v>25173983</v>
      </c>
      <c r="C279" s="981" t="str">
        <f>+NOMINA!D278</f>
        <v>Guanda Barazarte Roxely Andreina</v>
      </c>
      <c r="D279" s="978" t="s">
        <v>4622</v>
      </c>
      <c r="E279" s="982">
        <v>32351</v>
      </c>
      <c r="F279" s="978" t="s">
        <v>4620</v>
      </c>
      <c r="G279" s="1004">
        <f>+NOMINA!H278</f>
        <v>44363</v>
      </c>
      <c r="H279" s="984">
        <f t="shared" si="47"/>
        <v>1</v>
      </c>
      <c r="I279" s="985">
        <v>0</v>
      </c>
      <c r="J279" s="999">
        <f>+NOMINA!BL278</f>
        <v>14.26</v>
      </c>
      <c r="K279" s="999">
        <f>+NOMINA!BM278</f>
        <v>1.78</v>
      </c>
      <c r="L279" s="999">
        <f>+NOMINA!BN278</f>
        <v>3.86</v>
      </c>
      <c r="M279" s="999">
        <f>++NOMINA!BO278</f>
        <v>0</v>
      </c>
      <c r="N279" s="999">
        <f>+NOMINA!BP278</f>
        <v>0</v>
      </c>
      <c r="O279" s="986">
        <f t="shared" si="48"/>
        <v>19.899999999999999</v>
      </c>
      <c r="P279" s="999">
        <f>+NOMINA!BR278</f>
        <v>32.08</v>
      </c>
      <c r="Q279" s="999">
        <f>+NOMINA!BS278</f>
        <v>7.13</v>
      </c>
      <c r="R279" s="999">
        <f>+NOMINA!BT278</f>
        <v>7.72</v>
      </c>
      <c r="S279" s="986">
        <f t="shared" si="49"/>
        <v>46.93</v>
      </c>
      <c r="T279" s="986">
        <f t="shared" si="50"/>
        <v>66.83</v>
      </c>
      <c r="U279" s="1005"/>
      <c r="V279" s="443"/>
      <c r="W279" s="975"/>
      <c r="AA279" s="976"/>
      <c r="AB279" s="977"/>
      <c r="AC279" s="976"/>
      <c r="AD279" s="977"/>
      <c r="AE279" s="978"/>
      <c r="AF279" s="977"/>
      <c r="AG279" s="979"/>
      <c r="AH279" s="979"/>
      <c r="AI279" s="979"/>
      <c r="AJ279" s="977"/>
      <c r="AK279" s="977"/>
      <c r="AL279" s="977"/>
      <c r="AM279" s="977"/>
      <c r="AN279" s="634"/>
    </row>
    <row r="280" spans="1:40" s="629" customFormat="1" ht="20.100000000000001" customHeight="1">
      <c r="A280" s="771">
        <f t="shared" si="46"/>
        <v>237</v>
      </c>
      <c r="B280" s="980">
        <f>+NOMINA!C279</f>
        <v>25303390</v>
      </c>
      <c r="C280" s="981" t="str">
        <f>+NOMINA!D279</f>
        <v>Graterol Castillo Yoselyn Zunedy</v>
      </c>
      <c r="D280" s="978" t="s">
        <v>4622</v>
      </c>
      <c r="E280" s="982">
        <v>32351</v>
      </c>
      <c r="F280" s="978" t="s">
        <v>4620</v>
      </c>
      <c r="G280" s="1004">
        <f>+NOMINA!H279</f>
        <v>43862</v>
      </c>
      <c r="H280" s="984">
        <f t="shared" si="47"/>
        <v>2</v>
      </c>
      <c r="I280" s="985">
        <v>0</v>
      </c>
      <c r="J280" s="999">
        <f>+NOMINA!BL279</f>
        <v>14.93</v>
      </c>
      <c r="K280" s="999">
        <f>+NOMINA!BM279</f>
        <v>1.87</v>
      </c>
      <c r="L280" s="999">
        <f>+NOMINA!BN279</f>
        <v>4.04</v>
      </c>
      <c r="M280" s="999">
        <f>++NOMINA!BO279</f>
        <v>0</v>
      </c>
      <c r="N280" s="999">
        <f>+NOMINA!BP279</f>
        <v>0</v>
      </c>
      <c r="O280" s="986">
        <f t="shared" si="48"/>
        <v>20.84</v>
      </c>
      <c r="P280" s="999">
        <f>+NOMINA!BR279</f>
        <v>33.590000000000003</v>
      </c>
      <c r="Q280" s="999">
        <f>+NOMINA!BS279</f>
        <v>7.46</v>
      </c>
      <c r="R280" s="999">
        <f>+NOMINA!BT279</f>
        <v>8.08</v>
      </c>
      <c r="S280" s="986">
        <f t="shared" si="49"/>
        <v>49.13</v>
      </c>
      <c r="T280" s="986">
        <f t="shared" si="50"/>
        <v>69.97</v>
      </c>
      <c r="U280" s="1005"/>
      <c r="V280" s="443"/>
      <c r="W280" s="975"/>
      <c r="AA280" s="976"/>
      <c r="AB280" s="977"/>
      <c r="AC280" s="976"/>
      <c r="AD280" s="977"/>
      <c r="AE280" s="978"/>
      <c r="AF280" s="977"/>
      <c r="AG280" s="979"/>
      <c r="AH280" s="979"/>
      <c r="AI280" s="979"/>
      <c r="AJ280" s="977"/>
      <c r="AK280" s="977"/>
      <c r="AL280" s="977"/>
      <c r="AM280" s="977"/>
      <c r="AN280" s="634"/>
    </row>
    <row r="281" spans="1:40" s="629" customFormat="1" ht="20.100000000000001" customHeight="1">
      <c r="A281" s="771">
        <f t="shared" si="46"/>
        <v>238</v>
      </c>
      <c r="B281" s="980">
        <f>+NOMINA!C280</f>
        <v>25454143</v>
      </c>
      <c r="C281" s="981" t="str">
        <f>+NOMINA!D280</f>
        <v>Briceño Ana Beatriz</v>
      </c>
      <c r="D281" s="978" t="s">
        <v>4622</v>
      </c>
      <c r="E281" s="982">
        <v>32351</v>
      </c>
      <c r="F281" s="978" t="s">
        <v>4620</v>
      </c>
      <c r="G281" s="1004">
        <f>+NOMINA!H280</f>
        <v>45536</v>
      </c>
      <c r="H281" s="984">
        <f t="shared" si="47"/>
        <v>0</v>
      </c>
      <c r="I281" s="985">
        <v>0</v>
      </c>
      <c r="J281" s="999">
        <f>+NOMINA!BL280</f>
        <v>13.08</v>
      </c>
      <c r="K281" s="999">
        <f>+NOMINA!BM280</f>
        <v>1.64</v>
      </c>
      <c r="L281" s="999">
        <f>+NOMINA!BN280</f>
        <v>3.54</v>
      </c>
      <c r="M281" s="999">
        <f>++NOMINA!BO280</f>
        <v>0</v>
      </c>
      <c r="N281" s="999">
        <f>+NOMINA!BP280</f>
        <v>0</v>
      </c>
      <c r="O281" s="986">
        <f t="shared" si="48"/>
        <v>18.260000000000002</v>
      </c>
      <c r="P281" s="999">
        <f>+NOMINA!BR280</f>
        <v>29.43</v>
      </c>
      <c r="Q281" s="999">
        <f>+NOMINA!BS280</f>
        <v>6.54</v>
      </c>
      <c r="R281" s="999">
        <f>+NOMINA!BT280</f>
        <v>7.08</v>
      </c>
      <c r="S281" s="986">
        <f t="shared" si="49"/>
        <v>43.05</v>
      </c>
      <c r="T281" s="986">
        <f t="shared" si="50"/>
        <v>61.31</v>
      </c>
      <c r="U281" s="1005"/>
      <c r="V281" s="443"/>
      <c r="W281" s="975"/>
      <c r="AA281" s="976"/>
      <c r="AB281" s="977"/>
      <c r="AC281" s="976"/>
      <c r="AD281" s="977"/>
      <c r="AE281" s="978"/>
      <c r="AF281" s="977"/>
      <c r="AG281" s="979"/>
      <c r="AH281" s="979"/>
      <c r="AI281" s="979"/>
      <c r="AJ281" s="977"/>
      <c r="AK281" s="977"/>
      <c r="AL281" s="977"/>
      <c r="AM281" s="977"/>
      <c r="AN281" s="634"/>
    </row>
    <row r="282" spans="1:40" s="629" customFormat="1" ht="20.100000000000001" customHeight="1">
      <c r="A282" s="771">
        <f t="shared" si="46"/>
        <v>239</v>
      </c>
      <c r="B282" s="980">
        <f>+NOMINA!C281</f>
        <v>25604733</v>
      </c>
      <c r="C282" s="981" t="str">
        <f>+NOMINA!D281</f>
        <v>Nava Carrillo Oriana Daniela</v>
      </c>
      <c r="D282" s="978" t="s">
        <v>4622</v>
      </c>
      <c r="E282" s="982">
        <v>32351</v>
      </c>
      <c r="F282" s="978" t="s">
        <v>4620</v>
      </c>
      <c r="G282" s="1004">
        <f>+NOMINA!H281</f>
        <v>43754</v>
      </c>
      <c r="H282" s="984">
        <f t="shared" si="47"/>
        <v>3</v>
      </c>
      <c r="I282" s="985">
        <v>0</v>
      </c>
      <c r="J282" s="999">
        <f>+NOMINA!BL281</f>
        <v>10.62</v>
      </c>
      <c r="K282" s="999">
        <f>+NOMINA!BM281</f>
        <v>1.33</v>
      </c>
      <c r="L282" s="999">
        <f>+NOMINA!BN281</f>
        <v>2.88</v>
      </c>
      <c r="M282" s="999">
        <f>++NOMINA!BO281</f>
        <v>0</v>
      </c>
      <c r="N282" s="999">
        <f>+NOMINA!BP281</f>
        <v>0</v>
      </c>
      <c r="O282" s="986">
        <f t="shared" si="48"/>
        <v>14.83</v>
      </c>
      <c r="P282" s="999">
        <f>+NOMINA!BR281</f>
        <v>23.88</v>
      </c>
      <c r="Q282" s="999">
        <f>+NOMINA!BS281</f>
        <v>5.31</v>
      </c>
      <c r="R282" s="999">
        <f>+NOMINA!BT281</f>
        <v>5.76</v>
      </c>
      <c r="S282" s="986">
        <f t="shared" si="49"/>
        <v>34.950000000000003</v>
      </c>
      <c r="T282" s="986">
        <f t="shared" si="50"/>
        <v>49.78</v>
      </c>
      <c r="U282" s="1005"/>
      <c r="V282" s="443"/>
      <c r="W282" s="975"/>
      <c r="AA282" s="976"/>
      <c r="AB282" s="977"/>
      <c r="AC282" s="976"/>
      <c r="AD282" s="977"/>
      <c r="AE282" s="978"/>
      <c r="AF282" s="977"/>
      <c r="AG282" s="979"/>
      <c r="AH282" s="979"/>
      <c r="AI282" s="979"/>
      <c r="AJ282" s="977"/>
      <c r="AK282" s="977"/>
      <c r="AL282" s="977"/>
      <c r="AM282" s="977"/>
      <c r="AN282" s="634"/>
    </row>
    <row r="283" spans="1:40" s="629" customFormat="1" ht="20.100000000000001" customHeight="1">
      <c r="A283" s="771">
        <f t="shared" si="46"/>
        <v>240</v>
      </c>
      <c r="B283" s="980">
        <f>+NOMINA!C282</f>
        <v>25619540</v>
      </c>
      <c r="C283" s="981" t="str">
        <f>+NOMINA!D282</f>
        <v xml:space="preserve">Balza Vetencourt Maria Gabriela </v>
      </c>
      <c r="D283" s="978" t="s">
        <v>4622</v>
      </c>
      <c r="E283" s="982">
        <v>32351</v>
      </c>
      <c r="F283" s="978" t="s">
        <v>4620</v>
      </c>
      <c r="G283" s="1004">
        <f>+NOMINA!H282</f>
        <v>44743</v>
      </c>
      <c r="H283" s="984">
        <f t="shared" si="47"/>
        <v>0</v>
      </c>
      <c r="I283" s="985">
        <v>0</v>
      </c>
      <c r="J283" s="999">
        <f>+NOMINA!BL282</f>
        <v>13.8</v>
      </c>
      <c r="K283" s="999">
        <f>+NOMINA!BM282</f>
        <v>1.73</v>
      </c>
      <c r="L283" s="999">
        <f>+NOMINA!BN282</f>
        <v>3.74</v>
      </c>
      <c r="M283" s="999">
        <f>++NOMINA!BO282</f>
        <v>0</v>
      </c>
      <c r="N283" s="999">
        <f>+NOMINA!BP282</f>
        <v>0</v>
      </c>
      <c r="O283" s="986">
        <f t="shared" si="48"/>
        <v>19.27</v>
      </c>
      <c r="P283" s="999">
        <f>+NOMINA!BR282</f>
        <v>31.06</v>
      </c>
      <c r="Q283" s="999">
        <f>+NOMINA!BS282</f>
        <v>6.9</v>
      </c>
      <c r="R283" s="999">
        <f>+NOMINA!BT282</f>
        <v>7.48</v>
      </c>
      <c r="S283" s="986">
        <f t="shared" si="49"/>
        <v>45.44</v>
      </c>
      <c r="T283" s="986">
        <f t="shared" si="50"/>
        <v>64.709999999999994</v>
      </c>
      <c r="U283" s="1005"/>
      <c r="V283" s="443"/>
      <c r="W283" s="975"/>
      <c r="AA283" s="976"/>
      <c r="AB283" s="977"/>
      <c r="AC283" s="976"/>
      <c r="AD283" s="977"/>
      <c r="AE283" s="978"/>
      <c r="AF283" s="977"/>
      <c r="AG283" s="979"/>
      <c r="AH283" s="979"/>
      <c r="AI283" s="979"/>
      <c r="AJ283" s="977"/>
      <c r="AK283" s="977"/>
      <c r="AL283" s="977"/>
      <c r="AM283" s="977"/>
      <c r="AN283" s="634"/>
    </row>
    <row r="284" spans="1:40" s="629" customFormat="1" ht="20.100000000000001" customHeight="1">
      <c r="A284" s="771">
        <f t="shared" si="46"/>
        <v>241</v>
      </c>
      <c r="B284" s="980">
        <f>+NOMINA!C283</f>
        <v>26094609</v>
      </c>
      <c r="C284" s="981" t="str">
        <f>+NOMINA!D283</f>
        <v>Andara Moreno Marielena Nathaly</v>
      </c>
      <c r="D284" s="978" t="s">
        <v>4622</v>
      </c>
      <c r="E284" s="982">
        <v>32351</v>
      </c>
      <c r="F284" s="978" t="s">
        <v>4620</v>
      </c>
      <c r="G284" s="1004">
        <f>+NOMINA!H283</f>
        <v>44713</v>
      </c>
      <c r="H284" s="984">
        <f t="shared" si="47"/>
        <v>0</v>
      </c>
      <c r="I284" s="985">
        <v>0</v>
      </c>
      <c r="J284" s="999">
        <f>+NOMINA!BL283</f>
        <v>17.579999999999998</v>
      </c>
      <c r="K284" s="999">
        <f>+NOMINA!BM283</f>
        <v>2.2000000000000002</v>
      </c>
      <c r="L284" s="999">
        <f>+NOMINA!BN283</f>
        <v>4.76</v>
      </c>
      <c r="M284" s="999">
        <f>++NOMINA!BO283</f>
        <v>0</v>
      </c>
      <c r="N284" s="999">
        <f>+NOMINA!BP283</f>
        <v>0</v>
      </c>
      <c r="O284" s="986">
        <f t="shared" si="48"/>
        <v>24.54</v>
      </c>
      <c r="P284" s="999">
        <f>+NOMINA!BR283</f>
        <v>39.56</v>
      </c>
      <c r="Q284" s="999">
        <f>+NOMINA!BS283</f>
        <v>8.7899999999999991</v>
      </c>
      <c r="R284" s="999">
        <f>+NOMINA!BT283</f>
        <v>9.52</v>
      </c>
      <c r="S284" s="986">
        <f t="shared" si="49"/>
        <v>57.87</v>
      </c>
      <c r="T284" s="986">
        <f t="shared" si="50"/>
        <v>82.41</v>
      </c>
      <c r="U284" s="1005"/>
      <c r="V284" s="443"/>
      <c r="W284" s="975"/>
      <c r="AA284" s="976"/>
      <c r="AB284" s="977"/>
      <c r="AC284" s="976"/>
      <c r="AD284" s="977"/>
      <c r="AE284" s="978"/>
      <c r="AF284" s="977"/>
      <c r="AG284" s="979"/>
      <c r="AH284" s="979"/>
      <c r="AI284" s="979"/>
      <c r="AJ284" s="977"/>
      <c r="AK284" s="977"/>
      <c r="AL284" s="977"/>
      <c r="AM284" s="977"/>
      <c r="AN284" s="634"/>
    </row>
    <row r="285" spans="1:40" s="629" customFormat="1" ht="20.100000000000001" customHeight="1">
      <c r="A285" s="771">
        <f t="shared" si="46"/>
        <v>242</v>
      </c>
      <c r="B285" s="980">
        <f>+NOMINA!C284</f>
        <v>26094690</v>
      </c>
      <c r="C285" s="981" t="str">
        <f>+NOMINA!D284</f>
        <v>Fernandez Romero Numa Manuel</v>
      </c>
      <c r="D285" s="978" t="s">
        <v>4622</v>
      </c>
      <c r="E285" s="982">
        <v>32351</v>
      </c>
      <c r="F285" s="978" t="s">
        <v>4620</v>
      </c>
      <c r="G285" s="1004">
        <f>+NOMINA!H284</f>
        <v>45017</v>
      </c>
      <c r="H285" s="984">
        <f t="shared" si="47"/>
        <v>0</v>
      </c>
      <c r="I285" s="985">
        <v>0</v>
      </c>
      <c r="J285" s="999">
        <f>+NOMINA!BL284</f>
        <v>13.74</v>
      </c>
      <c r="K285" s="999">
        <f>+NOMINA!BM284</f>
        <v>1.72</v>
      </c>
      <c r="L285" s="999">
        <f>+NOMINA!BN284</f>
        <v>3.72</v>
      </c>
      <c r="M285" s="999">
        <f>++NOMINA!BO284</f>
        <v>0</v>
      </c>
      <c r="N285" s="999">
        <f>+NOMINA!BP284</f>
        <v>0</v>
      </c>
      <c r="O285" s="986">
        <f t="shared" si="48"/>
        <v>19.18</v>
      </c>
      <c r="P285" s="999">
        <f>+NOMINA!BR284</f>
        <v>30.92</v>
      </c>
      <c r="Q285" s="999">
        <f>+NOMINA!BS284</f>
        <v>6.87</v>
      </c>
      <c r="R285" s="999">
        <f>+NOMINA!BT284</f>
        <v>7.44</v>
      </c>
      <c r="S285" s="986">
        <f t="shared" si="49"/>
        <v>45.23</v>
      </c>
      <c r="T285" s="986">
        <f t="shared" si="50"/>
        <v>64.41</v>
      </c>
      <c r="U285" s="1005"/>
      <c r="V285" s="443"/>
      <c r="W285" s="975"/>
      <c r="AA285" s="976"/>
      <c r="AB285" s="977"/>
      <c r="AC285" s="976"/>
      <c r="AD285" s="977"/>
      <c r="AE285" s="978"/>
      <c r="AF285" s="977"/>
      <c r="AG285" s="979"/>
      <c r="AH285" s="979"/>
      <c r="AI285" s="979"/>
      <c r="AJ285" s="977"/>
      <c r="AK285" s="977"/>
      <c r="AL285" s="977"/>
      <c r="AM285" s="977"/>
      <c r="AN285" s="634"/>
    </row>
    <row r="286" spans="1:40" s="629" customFormat="1" ht="20.100000000000001" customHeight="1">
      <c r="A286" s="771">
        <f t="shared" si="46"/>
        <v>243</v>
      </c>
      <c r="B286" s="980">
        <f>+NOMINA!C285</f>
        <v>26114271</v>
      </c>
      <c r="C286" s="981" t="str">
        <f>+NOMINA!D285</f>
        <v>Moncayo Perez Ruddy Bellaliz</v>
      </c>
      <c r="D286" s="978" t="s">
        <v>4622</v>
      </c>
      <c r="E286" s="982">
        <v>32351</v>
      </c>
      <c r="F286" s="978" t="s">
        <v>4620</v>
      </c>
      <c r="G286" s="1004">
        <f>+NOMINA!H285</f>
        <v>44636</v>
      </c>
      <c r="H286" s="984">
        <f t="shared" si="47"/>
        <v>0</v>
      </c>
      <c r="I286" s="985">
        <v>0</v>
      </c>
      <c r="J286" s="999">
        <f>+NOMINA!BL285</f>
        <v>17.579999999999998</v>
      </c>
      <c r="K286" s="999">
        <f>+NOMINA!BM285</f>
        <v>2.2000000000000002</v>
      </c>
      <c r="L286" s="999">
        <f>+NOMINA!BN285</f>
        <v>4.76</v>
      </c>
      <c r="M286" s="999">
        <f>++NOMINA!BO285</f>
        <v>0</v>
      </c>
      <c r="N286" s="999">
        <f>+NOMINA!BP285</f>
        <v>0</v>
      </c>
      <c r="O286" s="986">
        <f t="shared" si="48"/>
        <v>24.54</v>
      </c>
      <c r="P286" s="999">
        <f>+NOMINA!BR285</f>
        <v>39.56</v>
      </c>
      <c r="Q286" s="999">
        <f>+NOMINA!BS285</f>
        <v>8.7899999999999991</v>
      </c>
      <c r="R286" s="999">
        <f>+NOMINA!BT285</f>
        <v>9.52</v>
      </c>
      <c r="S286" s="986">
        <f t="shared" si="49"/>
        <v>57.87</v>
      </c>
      <c r="T286" s="986">
        <f t="shared" si="50"/>
        <v>82.41</v>
      </c>
      <c r="U286" s="1005"/>
      <c r="V286" s="443"/>
      <c r="W286" s="975"/>
      <c r="AA286" s="976"/>
      <c r="AB286" s="977"/>
      <c r="AC286" s="976"/>
      <c r="AD286" s="977"/>
      <c r="AE286" s="978"/>
      <c r="AF286" s="977"/>
      <c r="AG286" s="979"/>
      <c r="AH286" s="979"/>
      <c r="AI286" s="979"/>
      <c r="AJ286" s="977"/>
      <c r="AK286" s="977"/>
      <c r="AL286" s="977"/>
      <c r="AM286" s="977"/>
      <c r="AN286" s="634"/>
    </row>
    <row r="287" spans="1:40" s="629" customFormat="1" ht="20.100000000000001" customHeight="1">
      <c r="A287" s="771">
        <f t="shared" si="46"/>
        <v>244</v>
      </c>
      <c r="B287" s="980">
        <f>+NOMINA!C286</f>
        <v>26191823</v>
      </c>
      <c r="C287" s="981" t="str">
        <f>+NOMINA!D286</f>
        <v>Briceño Espinoza Brayhan Jose</v>
      </c>
      <c r="D287" s="978" t="s">
        <v>4622</v>
      </c>
      <c r="E287" s="982">
        <v>32351</v>
      </c>
      <c r="F287" s="978" t="s">
        <v>4620</v>
      </c>
      <c r="G287" s="1004">
        <f>+NOMINA!H286</f>
        <v>44470</v>
      </c>
      <c r="H287" s="984">
        <f t="shared" si="47"/>
        <v>1</v>
      </c>
      <c r="I287" s="985">
        <v>0</v>
      </c>
      <c r="J287" s="999">
        <f>+NOMINA!BL286</f>
        <v>19.170000000000002</v>
      </c>
      <c r="K287" s="999">
        <f>+NOMINA!BM286</f>
        <v>2.4</v>
      </c>
      <c r="L287" s="999">
        <f>+NOMINA!BN286</f>
        <v>5.19</v>
      </c>
      <c r="M287" s="999">
        <f>++NOMINA!BO286</f>
        <v>0</v>
      </c>
      <c r="N287" s="999">
        <f>+NOMINA!BP286</f>
        <v>0</v>
      </c>
      <c r="O287" s="986">
        <f t="shared" si="48"/>
        <v>26.76</v>
      </c>
      <c r="P287" s="999">
        <f>+NOMINA!BR286</f>
        <v>43.13</v>
      </c>
      <c r="Q287" s="999">
        <f>+NOMINA!BS286</f>
        <v>9.58</v>
      </c>
      <c r="R287" s="999">
        <f>+NOMINA!BT286</f>
        <v>10.38</v>
      </c>
      <c r="S287" s="986">
        <f t="shared" si="49"/>
        <v>63.09</v>
      </c>
      <c r="T287" s="986">
        <f t="shared" si="50"/>
        <v>89.850000000000009</v>
      </c>
      <c r="U287" s="1005"/>
      <c r="V287" s="443"/>
      <c r="W287" s="975"/>
      <c r="AA287" s="976"/>
      <c r="AB287" s="977"/>
      <c r="AC287" s="976"/>
      <c r="AD287" s="977"/>
      <c r="AE287" s="978"/>
      <c r="AF287" s="977"/>
      <c r="AG287" s="979"/>
      <c r="AH287" s="979"/>
      <c r="AI287" s="979"/>
      <c r="AJ287" s="977"/>
      <c r="AK287" s="977"/>
      <c r="AL287" s="977"/>
      <c r="AM287" s="977"/>
      <c r="AN287" s="634"/>
    </row>
    <row r="288" spans="1:40" s="629" customFormat="1" ht="20.100000000000001" customHeight="1">
      <c r="A288" s="771">
        <f t="shared" si="46"/>
        <v>245</v>
      </c>
      <c r="B288" s="980">
        <f>+NOMINA!C287</f>
        <v>26235963</v>
      </c>
      <c r="C288" s="981" t="str">
        <f>+NOMINA!D287</f>
        <v>Segovia Segovia Freylu Margarita</v>
      </c>
      <c r="D288" s="978" t="s">
        <v>4622</v>
      </c>
      <c r="E288" s="982">
        <v>32351</v>
      </c>
      <c r="F288" s="978" t="s">
        <v>4620</v>
      </c>
      <c r="G288" s="1004">
        <f>+NOMINA!H287</f>
        <v>45383</v>
      </c>
      <c r="H288" s="984">
        <f t="shared" si="47"/>
        <v>0</v>
      </c>
      <c r="I288" s="985">
        <v>0</v>
      </c>
      <c r="J288" s="999">
        <f>+NOMINA!BL287</f>
        <v>17.93</v>
      </c>
      <c r="K288" s="999">
        <f>+NOMINA!BM287</f>
        <v>2.2400000000000002</v>
      </c>
      <c r="L288" s="999">
        <f>+NOMINA!BN287</f>
        <v>4.8600000000000003</v>
      </c>
      <c r="M288" s="999">
        <f>++NOMINA!BO287</f>
        <v>0</v>
      </c>
      <c r="N288" s="999">
        <f>+NOMINA!BP287</f>
        <v>0</v>
      </c>
      <c r="O288" s="986">
        <f t="shared" si="48"/>
        <v>25.03</v>
      </c>
      <c r="P288" s="999">
        <f>+NOMINA!BR287</f>
        <v>40.340000000000003</v>
      </c>
      <c r="Q288" s="999">
        <f>+NOMINA!BS287</f>
        <v>8.9700000000000006</v>
      </c>
      <c r="R288" s="999">
        <f>+NOMINA!BT287</f>
        <v>9.7200000000000006</v>
      </c>
      <c r="S288" s="986">
        <f t="shared" si="49"/>
        <v>59.03</v>
      </c>
      <c r="T288" s="986">
        <f t="shared" si="50"/>
        <v>84.06</v>
      </c>
      <c r="U288" s="1005"/>
      <c r="V288" s="443"/>
      <c r="W288" s="975"/>
      <c r="AA288" s="976"/>
      <c r="AB288" s="977"/>
      <c r="AC288" s="976"/>
      <c r="AD288" s="977"/>
      <c r="AE288" s="978"/>
      <c r="AF288" s="977"/>
      <c r="AG288" s="979"/>
      <c r="AH288" s="979"/>
      <c r="AI288" s="979"/>
      <c r="AJ288" s="977"/>
      <c r="AK288" s="977"/>
      <c r="AL288" s="977"/>
      <c r="AM288" s="977"/>
      <c r="AN288" s="634"/>
    </row>
    <row r="289" spans="1:40" s="629" customFormat="1" ht="20.100000000000001" customHeight="1">
      <c r="A289" s="771">
        <f t="shared" si="46"/>
        <v>246</v>
      </c>
      <c r="B289" s="980">
        <f>+NOMINA!C288</f>
        <v>26413871</v>
      </c>
      <c r="C289" s="981" t="str">
        <f>+NOMINA!D288</f>
        <v>Molina Rojas Genesis Angely</v>
      </c>
      <c r="D289" s="978" t="s">
        <v>4622</v>
      </c>
      <c r="E289" s="982">
        <v>32351</v>
      </c>
      <c r="F289" s="978" t="s">
        <v>4620</v>
      </c>
      <c r="G289" s="1004">
        <f>+NOMINA!H288</f>
        <v>44228</v>
      </c>
      <c r="H289" s="984">
        <f t="shared" si="47"/>
        <v>1</v>
      </c>
      <c r="I289" s="985">
        <v>0</v>
      </c>
      <c r="J289" s="999">
        <f>+NOMINA!BL288</f>
        <v>14.86</v>
      </c>
      <c r="K289" s="999">
        <f>+NOMINA!BM288</f>
        <v>1.86</v>
      </c>
      <c r="L289" s="999">
        <f>+NOMINA!BN288</f>
        <v>4.0199999999999996</v>
      </c>
      <c r="M289" s="999">
        <f>++NOMINA!BO288</f>
        <v>0</v>
      </c>
      <c r="N289" s="999">
        <f>+NOMINA!BP288</f>
        <v>0</v>
      </c>
      <c r="O289" s="986">
        <f t="shared" si="48"/>
        <v>20.74</v>
      </c>
      <c r="P289" s="999">
        <f>+NOMINA!BR288</f>
        <v>33.43</v>
      </c>
      <c r="Q289" s="999">
        <f>+NOMINA!BS288</f>
        <v>7.43</v>
      </c>
      <c r="R289" s="999">
        <f>+NOMINA!BT288</f>
        <v>8.0399999999999991</v>
      </c>
      <c r="S289" s="986">
        <f t="shared" si="49"/>
        <v>48.9</v>
      </c>
      <c r="T289" s="986">
        <f t="shared" si="50"/>
        <v>69.64</v>
      </c>
      <c r="U289" s="1005"/>
      <c r="V289" s="443"/>
      <c r="W289" s="975"/>
      <c r="AA289" s="976"/>
      <c r="AB289" s="977"/>
      <c r="AC289" s="976"/>
      <c r="AD289" s="977"/>
      <c r="AE289" s="978"/>
      <c r="AF289" s="977"/>
      <c r="AG289" s="979"/>
      <c r="AH289" s="979"/>
      <c r="AI289" s="979"/>
      <c r="AJ289" s="977"/>
      <c r="AK289" s="977"/>
      <c r="AL289" s="977"/>
      <c r="AM289" s="977"/>
      <c r="AN289" s="634"/>
    </row>
    <row r="290" spans="1:40" s="629" customFormat="1" ht="20.100000000000001" customHeight="1">
      <c r="A290" s="771">
        <f t="shared" si="46"/>
        <v>247</v>
      </c>
      <c r="B290" s="980">
        <f>+NOMINA!C289</f>
        <v>26591879</v>
      </c>
      <c r="C290" s="981" t="str">
        <f>+NOMINA!D289</f>
        <v>Delgado Cabezas Rosa Magdalena</v>
      </c>
      <c r="D290" s="978" t="s">
        <v>4622</v>
      </c>
      <c r="E290" s="982">
        <v>32351</v>
      </c>
      <c r="F290" s="978" t="s">
        <v>4620</v>
      </c>
      <c r="G290" s="1004">
        <f>+NOMINA!H289</f>
        <v>43587</v>
      </c>
      <c r="H290" s="984">
        <f t="shared" si="47"/>
        <v>3</v>
      </c>
      <c r="I290" s="985">
        <v>0</v>
      </c>
      <c r="J290" s="999">
        <f>+NOMINA!BL289</f>
        <v>20</v>
      </c>
      <c r="K290" s="999">
        <f>+NOMINA!BM289</f>
        <v>2.5</v>
      </c>
      <c r="L290" s="999">
        <f>+NOMINA!BN289</f>
        <v>5.42</v>
      </c>
      <c r="M290" s="999">
        <f>++NOMINA!BO289</f>
        <v>0</v>
      </c>
      <c r="N290" s="999">
        <f>+NOMINA!BP289</f>
        <v>0</v>
      </c>
      <c r="O290" s="986">
        <f t="shared" si="48"/>
        <v>27.92</v>
      </c>
      <c r="P290" s="999">
        <f>+NOMINA!BR289</f>
        <v>45</v>
      </c>
      <c r="Q290" s="999">
        <f>+NOMINA!BS289</f>
        <v>10</v>
      </c>
      <c r="R290" s="999">
        <f>+NOMINA!BT289</f>
        <v>10.84</v>
      </c>
      <c r="S290" s="986">
        <f t="shared" si="49"/>
        <v>65.84</v>
      </c>
      <c r="T290" s="986">
        <f t="shared" si="50"/>
        <v>93.76</v>
      </c>
      <c r="U290" s="1005"/>
      <c r="V290" s="443"/>
      <c r="W290" s="975"/>
      <c r="AA290" s="976"/>
      <c r="AB290" s="977"/>
      <c r="AC290" s="976"/>
      <c r="AD290" s="977"/>
      <c r="AE290" s="978"/>
      <c r="AF290" s="977"/>
      <c r="AG290" s="979"/>
      <c r="AH290" s="979"/>
      <c r="AI290" s="979"/>
      <c r="AJ290" s="977"/>
      <c r="AK290" s="977"/>
      <c r="AL290" s="977"/>
      <c r="AM290" s="977"/>
      <c r="AN290" s="634"/>
    </row>
    <row r="291" spans="1:40" s="629" customFormat="1" ht="20.100000000000001" customHeight="1">
      <c r="A291" s="771">
        <f t="shared" si="46"/>
        <v>248</v>
      </c>
      <c r="B291" s="980">
        <f>+NOMINA!C290</f>
        <v>26690908</v>
      </c>
      <c r="C291" s="981" t="str">
        <f>+NOMINA!D290</f>
        <v>Segovia Lisbeira del Carmen</v>
      </c>
      <c r="D291" s="978" t="s">
        <v>4622</v>
      </c>
      <c r="E291" s="982">
        <v>32351</v>
      </c>
      <c r="F291" s="978" t="s">
        <v>4620</v>
      </c>
      <c r="G291" s="1004">
        <f>+NOMINA!H290</f>
        <v>44228</v>
      </c>
      <c r="H291" s="984">
        <f t="shared" si="47"/>
        <v>1</v>
      </c>
      <c r="I291" s="985">
        <v>0</v>
      </c>
      <c r="J291" s="999">
        <f>+NOMINA!BL290</f>
        <v>14.26</v>
      </c>
      <c r="K291" s="999">
        <f>+NOMINA!BM290</f>
        <v>1.78</v>
      </c>
      <c r="L291" s="999">
        <f>+NOMINA!BN290</f>
        <v>3.86</v>
      </c>
      <c r="M291" s="999">
        <f>++NOMINA!BO290</f>
        <v>0</v>
      </c>
      <c r="N291" s="999">
        <f>+NOMINA!BP290</f>
        <v>0</v>
      </c>
      <c r="O291" s="986">
        <f t="shared" si="48"/>
        <v>19.899999999999999</v>
      </c>
      <c r="P291" s="999">
        <f>+NOMINA!BR290</f>
        <v>32.08</v>
      </c>
      <c r="Q291" s="999">
        <f>+NOMINA!BS290</f>
        <v>7.13</v>
      </c>
      <c r="R291" s="999">
        <f>+NOMINA!BT290</f>
        <v>7.72</v>
      </c>
      <c r="S291" s="986">
        <f t="shared" si="49"/>
        <v>46.93</v>
      </c>
      <c r="T291" s="986">
        <f t="shared" si="50"/>
        <v>66.83</v>
      </c>
      <c r="U291" s="1005"/>
      <c r="V291" s="443"/>
      <c r="W291" s="975"/>
      <c r="AA291" s="976"/>
      <c r="AB291" s="977"/>
      <c r="AC291" s="976"/>
      <c r="AD291" s="977"/>
      <c r="AE291" s="978"/>
      <c r="AF291" s="977"/>
      <c r="AG291" s="979"/>
      <c r="AH291" s="979"/>
      <c r="AI291" s="979"/>
      <c r="AJ291" s="977"/>
      <c r="AK291" s="977"/>
      <c r="AL291" s="977"/>
      <c r="AM291" s="977"/>
      <c r="AN291" s="634"/>
    </row>
    <row r="292" spans="1:40" s="629" customFormat="1" ht="20.100000000000001" customHeight="1">
      <c r="A292" s="771">
        <f t="shared" si="46"/>
        <v>249</v>
      </c>
      <c r="B292" s="980">
        <f>+NOMINA!C291</f>
        <v>26962104</v>
      </c>
      <c r="C292" s="981" t="str">
        <f>+NOMINA!D291</f>
        <v>Rubio Briceño Diana Carolina</v>
      </c>
      <c r="D292" s="978" t="s">
        <v>4622</v>
      </c>
      <c r="E292" s="982">
        <v>32351</v>
      </c>
      <c r="F292" s="978" t="s">
        <v>4620</v>
      </c>
      <c r="G292" s="1004">
        <f>+NOMINA!H291</f>
        <v>44393</v>
      </c>
      <c r="H292" s="984">
        <f t="shared" si="47"/>
        <v>1</v>
      </c>
      <c r="I292" s="985">
        <v>0</v>
      </c>
      <c r="J292" s="999">
        <f>+NOMINA!BL291</f>
        <v>10.97</v>
      </c>
      <c r="K292" s="999">
        <f>+NOMINA!BM291</f>
        <v>1.37</v>
      </c>
      <c r="L292" s="999">
        <f>+NOMINA!BN291</f>
        <v>2.97</v>
      </c>
      <c r="M292" s="999">
        <f>++NOMINA!BO291</f>
        <v>0</v>
      </c>
      <c r="N292" s="999">
        <f>+NOMINA!BP291</f>
        <v>0</v>
      </c>
      <c r="O292" s="986">
        <f t="shared" si="48"/>
        <v>15.31</v>
      </c>
      <c r="P292" s="999">
        <f>+NOMINA!BR291</f>
        <v>24.67</v>
      </c>
      <c r="Q292" s="999">
        <f>+NOMINA!BS291</f>
        <v>5.48</v>
      </c>
      <c r="R292" s="999">
        <f>+NOMINA!BT291</f>
        <v>5.94</v>
      </c>
      <c r="S292" s="986">
        <f t="shared" si="49"/>
        <v>36.090000000000003</v>
      </c>
      <c r="T292" s="986">
        <f t="shared" si="50"/>
        <v>51.400000000000006</v>
      </c>
      <c r="U292" s="1005"/>
      <c r="V292" s="443"/>
      <c r="W292" s="975"/>
      <c r="AA292" s="976"/>
      <c r="AB292" s="977"/>
      <c r="AC292" s="976"/>
      <c r="AD292" s="977"/>
      <c r="AE292" s="978"/>
      <c r="AF292" s="977"/>
      <c r="AG292" s="979"/>
      <c r="AH292" s="979"/>
      <c r="AI292" s="979"/>
      <c r="AJ292" s="977"/>
      <c r="AK292" s="977"/>
      <c r="AL292" s="977"/>
      <c r="AM292" s="977"/>
      <c r="AN292" s="634"/>
    </row>
    <row r="293" spans="1:40" s="629" customFormat="1" ht="20.100000000000001" customHeight="1">
      <c r="A293" s="771">
        <f t="shared" si="46"/>
        <v>250</v>
      </c>
      <c r="B293" s="980">
        <f>+NOMINA!C292</f>
        <v>27251392</v>
      </c>
      <c r="C293" s="981" t="str">
        <f>+NOMINA!D292</f>
        <v>Rangel Maria Antonia</v>
      </c>
      <c r="D293" s="978" t="s">
        <v>4622</v>
      </c>
      <c r="E293" s="982">
        <v>32351</v>
      </c>
      <c r="F293" s="978" t="s">
        <v>4620</v>
      </c>
      <c r="G293" s="1004">
        <f>+NOMINA!H292</f>
        <v>45627</v>
      </c>
      <c r="H293" s="984">
        <f t="shared" si="47"/>
        <v>0</v>
      </c>
      <c r="I293" s="985">
        <v>0</v>
      </c>
      <c r="J293" s="999">
        <f>+NOMINA!BL292</f>
        <v>13.08</v>
      </c>
      <c r="K293" s="999">
        <f>+NOMINA!BM292</f>
        <v>1.64</v>
      </c>
      <c r="L293" s="999">
        <f>+NOMINA!BN292</f>
        <v>3.54</v>
      </c>
      <c r="M293" s="999">
        <f>++NOMINA!BO292</f>
        <v>0</v>
      </c>
      <c r="N293" s="999">
        <f>+NOMINA!BP292</f>
        <v>0</v>
      </c>
      <c r="O293" s="986">
        <f t="shared" si="48"/>
        <v>18.260000000000002</v>
      </c>
      <c r="P293" s="999">
        <f>+NOMINA!BR292</f>
        <v>29.43</v>
      </c>
      <c r="Q293" s="999">
        <f>+NOMINA!BS292</f>
        <v>6.54</v>
      </c>
      <c r="R293" s="999">
        <f>+NOMINA!BT292</f>
        <v>7.08</v>
      </c>
      <c r="S293" s="986">
        <f t="shared" si="49"/>
        <v>43.05</v>
      </c>
      <c r="T293" s="986">
        <f t="shared" si="50"/>
        <v>61.31</v>
      </c>
      <c r="U293" s="1005"/>
      <c r="V293" s="443"/>
      <c r="W293" s="975"/>
      <c r="AA293" s="976"/>
      <c r="AB293" s="977"/>
      <c r="AC293" s="976"/>
      <c r="AD293" s="977"/>
      <c r="AE293" s="978"/>
      <c r="AF293" s="977"/>
      <c r="AG293" s="979"/>
      <c r="AH293" s="979"/>
      <c r="AI293" s="979"/>
      <c r="AJ293" s="977"/>
      <c r="AK293" s="977"/>
      <c r="AL293" s="977"/>
      <c r="AM293" s="977"/>
      <c r="AN293" s="634"/>
    </row>
    <row r="294" spans="1:40" s="629" customFormat="1" ht="20.100000000000001" customHeight="1">
      <c r="A294" s="771">
        <f t="shared" si="46"/>
        <v>251</v>
      </c>
      <c r="B294" s="980">
        <f>+NOMINA!C293</f>
        <v>27251885</v>
      </c>
      <c r="C294" s="981" t="str">
        <f>+NOMINA!D293</f>
        <v>Barrozo Godoy Kellem Daniela</v>
      </c>
      <c r="D294" s="978" t="s">
        <v>4622</v>
      </c>
      <c r="E294" s="982">
        <v>32351</v>
      </c>
      <c r="F294" s="978" t="s">
        <v>4620</v>
      </c>
      <c r="G294" s="1004">
        <f>+NOMINA!H293</f>
        <v>45474</v>
      </c>
      <c r="H294" s="984">
        <f t="shared" si="47"/>
        <v>0</v>
      </c>
      <c r="I294" s="985">
        <v>0</v>
      </c>
      <c r="J294" s="999">
        <f>+NOMINA!BL293</f>
        <v>13.08</v>
      </c>
      <c r="K294" s="999">
        <f>+NOMINA!BM293</f>
        <v>1.64</v>
      </c>
      <c r="L294" s="999">
        <f>+NOMINA!BN293</f>
        <v>3.54</v>
      </c>
      <c r="M294" s="999">
        <f>++NOMINA!BO293</f>
        <v>0</v>
      </c>
      <c r="N294" s="999">
        <f>+NOMINA!BP293</f>
        <v>0</v>
      </c>
      <c r="O294" s="986">
        <f t="shared" si="48"/>
        <v>18.260000000000002</v>
      </c>
      <c r="P294" s="999">
        <f>+NOMINA!BR293</f>
        <v>29.43</v>
      </c>
      <c r="Q294" s="999">
        <f>+NOMINA!BS293</f>
        <v>6.54</v>
      </c>
      <c r="R294" s="999">
        <f>+NOMINA!BT293</f>
        <v>7.08</v>
      </c>
      <c r="S294" s="986">
        <f t="shared" si="49"/>
        <v>43.05</v>
      </c>
      <c r="T294" s="986">
        <f t="shared" si="50"/>
        <v>61.31</v>
      </c>
      <c r="U294" s="1005"/>
      <c r="V294" s="443"/>
      <c r="W294" s="975"/>
      <c r="AA294" s="976"/>
      <c r="AB294" s="977"/>
      <c r="AC294" s="976"/>
      <c r="AD294" s="977"/>
      <c r="AE294" s="978"/>
      <c r="AF294" s="977"/>
      <c r="AG294" s="979"/>
      <c r="AH294" s="979"/>
      <c r="AI294" s="979"/>
      <c r="AJ294" s="977"/>
      <c r="AK294" s="977"/>
      <c r="AL294" s="977"/>
      <c r="AM294" s="977"/>
      <c r="AN294" s="634"/>
    </row>
    <row r="295" spans="1:40" s="629" customFormat="1" ht="20.100000000000001" customHeight="1">
      <c r="A295" s="771">
        <f t="shared" si="46"/>
        <v>252</v>
      </c>
      <c r="B295" s="980">
        <f>+NOMINA!C294</f>
        <v>27251899</v>
      </c>
      <c r="C295" s="981" t="str">
        <f>+NOMINA!D294</f>
        <v>Perez Gonzalez Maria Ines</v>
      </c>
      <c r="D295" s="978" t="s">
        <v>4622</v>
      </c>
      <c r="E295" s="982">
        <v>32351</v>
      </c>
      <c r="F295" s="978" t="s">
        <v>4620</v>
      </c>
      <c r="G295" s="1004">
        <f>+NOMINA!H294</f>
        <v>45474</v>
      </c>
      <c r="H295" s="984">
        <f t="shared" si="47"/>
        <v>0</v>
      </c>
      <c r="I295" s="985">
        <v>0</v>
      </c>
      <c r="J295" s="999">
        <f>+NOMINA!BL294</f>
        <v>13.08</v>
      </c>
      <c r="K295" s="999">
        <f>+NOMINA!BM294</f>
        <v>1.64</v>
      </c>
      <c r="L295" s="999">
        <f>+NOMINA!BN294</f>
        <v>3.54</v>
      </c>
      <c r="M295" s="999">
        <f>++NOMINA!BO294</f>
        <v>0</v>
      </c>
      <c r="N295" s="999">
        <f>+NOMINA!BP294</f>
        <v>0</v>
      </c>
      <c r="O295" s="986">
        <f t="shared" si="48"/>
        <v>18.260000000000002</v>
      </c>
      <c r="P295" s="999">
        <f>+NOMINA!BR294</f>
        <v>29.43</v>
      </c>
      <c r="Q295" s="999">
        <f>+NOMINA!BS294</f>
        <v>6.54</v>
      </c>
      <c r="R295" s="999">
        <f>+NOMINA!BT294</f>
        <v>7.08</v>
      </c>
      <c r="S295" s="986">
        <f t="shared" si="49"/>
        <v>43.05</v>
      </c>
      <c r="T295" s="986">
        <f t="shared" si="50"/>
        <v>61.31</v>
      </c>
      <c r="U295" s="1005"/>
      <c r="V295" s="443"/>
      <c r="W295" s="975"/>
      <c r="AA295" s="976"/>
      <c r="AB295" s="977"/>
      <c r="AC295" s="976"/>
      <c r="AD295" s="977"/>
      <c r="AE295" s="978"/>
      <c r="AF295" s="977"/>
      <c r="AG295" s="979"/>
      <c r="AH295" s="979"/>
      <c r="AI295" s="979"/>
      <c r="AJ295" s="977"/>
      <c r="AK295" s="977"/>
      <c r="AL295" s="977"/>
      <c r="AM295" s="977"/>
      <c r="AN295" s="634"/>
    </row>
    <row r="296" spans="1:40" s="629" customFormat="1" ht="20.100000000000001" customHeight="1">
      <c r="A296" s="771">
        <f t="shared" si="46"/>
        <v>253</v>
      </c>
      <c r="B296" s="980">
        <f>+NOMINA!C295</f>
        <v>27363633</v>
      </c>
      <c r="C296" s="981" t="str">
        <f>+NOMINA!D295</f>
        <v>Padilla Blanco Melany Marian</v>
      </c>
      <c r="D296" s="978" t="s">
        <v>4622</v>
      </c>
      <c r="E296" s="982">
        <v>32351</v>
      </c>
      <c r="F296" s="978" t="s">
        <v>4620</v>
      </c>
      <c r="G296" s="1004">
        <f>+NOMINA!H295</f>
        <v>45627</v>
      </c>
      <c r="H296" s="984">
        <f t="shared" si="47"/>
        <v>0</v>
      </c>
      <c r="I296" s="985">
        <v>0</v>
      </c>
      <c r="J296" s="999">
        <f>+NOMINA!BL295</f>
        <v>12.48</v>
      </c>
      <c r="K296" s="999">
        <f>+NOMINA!BM295</f>
        <v>1.56</v>
      </c>
      <c r="L296" s="999">
        <f>+NOMINA!BN295</f>
        <v>3.38</v>
      </c>
      <c r="M296" s="999">
        <f>++NOMINA!BO295</f>
        <v>0</v>
      </c>
      <c r="N296" s="999">
        <f>+NOMINA!BP295</f>
        <v>0</v>
      </c>
      <c r="O296" s="986">
        <f t="shared" si="48"/>
        <v>17.420000000000002</v>
      </c>
      <c r="P296" s="999">
        <f>+NOMINA!BR295</f>
        <v>28.08</v>
      </c>
      <c r="Q296" s="999">
        <f>+NOMINA!BS295</f>
        <v>6.24</v>
      </c>
      <c r="R296" s="999">
        <f>+NOMINA!BT295</f>
        <v>6.76</v>
      </c>
      <c r="S296" s="986">
        <f t="shared" si="49"/>
        <v>41.08</v>
      </c>
      <c r="T296" s="986">
        <f t="shared" si="50"/>
        <v>58.5</v>
      </c>
      <c r="U296" s="1005"/>
      <c r="V296" s="443"/>
      <c r="W296" s="975"/>
      <c r="AA296" s="976"/>
      <c r="AB296" s="977"/>
      <c r="AC296" s="976"/>
      <c r="AD296" s="977"/>
      <c r="AE296" s="978"/>
      <c r="AF296" s="977"/>
      <c r="AG296" s="979"/>
      <c r="AH296" s="979"/>
      <c r="AI296" s="979"/>
      <c r="AJ296" s="977"/>
      <c r="AK296" s="977"/>
      <c r="AL296" s="977"/>
      <c r="AM296" s="977"/>
      <c r="AN296" s="634"/>
    </row>
    <row r="297" spans="1:40" s="629" customFormat="1" ht="20.100000000000001" customHeight="1">
      <c r="A297" s="771">
        <f t="shared" si="46"/>
        <v>254</v>
      </c>
      <c r="B297" s="980">
        <f>+NOMINA!C296</f>
        <v>27415737</v>
      </c>
      <c r="C297" s="981" t="str">
        <f>+NOMINA!D296</f>
        <v>Rivas Torres Rosa Alba</v>
      </c>
      <c r="D297" s="978" t="s">
        <v>4622</v>
      </c>
      <c r="E297" s="982">
        <v>32351</v>
      </c>
      <c r="F297" s="978" t="s">
        <v>4620</v>
      </c>
      <c r="G297" s="1004">
        <f>+NOMINA!H296</f>
        <v>44363</v>
      </c>
      <c r="H297" s="984">
        <f t="shared" si="47"/>
        <v>1</v>
      </c>
      <c r="I297" s="985">
        <v>0</v>
      </c>
      <c r="J297" s="999">
        <f>+NOMINA!BL296</f>
        <v>10.97</v>
      </c>
      <c r="K297" s="999">
        <f>+NOMINA!BM296</f>
        <v>1.37</v>
      </c>
      <c r="L297" s="999">
        <f>+NOMINA!BN296</f>
        <v>2.97</v>
      </c>
      <c r="M297" s="999">
        <f>++NOMINA!BO296</f>
        <v>0</v>
      </c>
      <c r="N297" s="999">
        <f>+NOMINA!BP296</f>
        <v>0</v>
      </c>
      <c r="O297" s="986">
        <f t="shared" si="48"/>
        <v>15.31</v>
      </c>
      <c r="P297" s="999">
        <f>+NOMINA!BR296</f>
        <v>24.67</v>
      </c>
      <c r="Q297" s="999">
        <f>+NOMINA!BS296</f>
        <v>5.48</v>
      </c>
      <c r="R297" s="999">
        <f>+NOMINA!BT296</f>
        <v>5.94</v>
      </c>
      <c r="S297" s="986">
        <f t="shared" si="49"/>
        <v>36.090000000000003</v>
      </c>
      <c r="T297" s="986">
        <f t="shared" si="50"/>
        <v>51.400000000000006</v>
      </c>
      <c r="U297" s="1005"/>
      <c r="V297" s="443"/>
      <c r="W297" s="975"/>
      <c r="AA297" s="976"/>
      <c r="AB297" s="977"/>
      <c r="AC297" s="976"/>
      <c r="AD297" s="977"/>
      <c r="AE297" s="978"/>
      <c r="AF297" s="977"/>
      <c r="AG297" s="979"/>
      <c r="AH297" s="979"/>
      <c r="AI297" s="979"/>
      <c r="AJ297" s="977"/>
      <c r="AK297" s="977"/>
      <c r="AL297" s="977"/>
      <c r="AM297" s="977"/>
      <c r="AN297" s="634"/>
    </row>
    <row r="298" spans="1:40" s="629" customFormat="1" ht="20.100000000000001" customHeight="1">
      <c r="A298" s="771">
        <f t="shared" si="46"/>
        <v>255</v>
      </c>
      <c r="B298" s="980">
        <f>+NOMINA!C297</f>
        <v>27415888</v>
      </c>
      <c r="C298" s="981" t="str">
        <f>+NOMINA!D297</f>
        <v>Perdomo Juarez Jose De Jesus</v>
      </c>
      <c r="D298" s="978" t="s">
        <v>4622</v>
      </c>
      <c r="E298" s="982">
        <v>32351</v>
      </c>
      <c r="F298" s="978" t="s">
        <v>4620</v>
      </c>
      <c r="G298" s="1004">
        <f>+NOMINA!H297</f>
        <v>44713</v>
      </c>
      <c r="H298" s="984">
        <f t="shared" si="47"/>
        <v>0</v>
      </c>
      <c r="I298" s="985">
        <v>0</v>
      </c>
      <c r="J298" s="999">
        <f>+NOMINA!BL297</f>
        <v>10.62</v>
      </c>
      <c r="K298" s="999">
        <f>+NOMINA!BM297</f>
        <v>1.33</v>
      </c>
      <c r="L298" s="999">
        <f>+NOMINA!BN297</f>
        <v>2.88</v>
      </c>
      <c r="M298" s="999">
        <f>++NOMINA!BO297</f>
        <v>0</v>
      </c>
      <c r="N298" s="999">
        <f>+NOMINA!BP297</f>
        <v>0</v>
      </c>
      <c r="O298" s="986">
        <f t="shared" si="48"/>
        <v>14.83</v>
      </c>
      <c r="P298" s="999">
        <f>+NOMINA!BR297</f>
        <v>23.88</v>
      </c>
      <c r="Q298" s="999">
        <f>+NOMINA!BS297</f>
        <v>5.31</v>
      </c>
      <c r="R298" s="999">
        <f>+NOMINA!BT297</f>
        <v>5.76</v>
      </c>
      <c r="S298" s="986">
        <f t="shared" si="49"/>
        <v>34.950000000000003</v>
      </c>
      <c r="T298" s="986">
        <f t="shared" si="50"/>
        <v>49.78</v>
      </c>
      <c r="U298" s="1005"/>
      <c r="V298" s="443"/>
      <c r="W298" s="975"/>
      <c r="AA298" s="976"/>
      <c r="AB298" s="977"/>
      <c r="AC298" s="976"/>
      <c r="AD298" s="977"/>
      <c r="AE298" s="978"/>
      <c r="AF298" s="977"/>
      <c r="AG298" s="979"/>
      <c r="AH298" s="979"/>
      <c r="AI298" s="979"/>
      <c r="AJ298" s="977"/>
      <c r="AK298" s="977"/>
      <c r="AL298" s="977"/>
      <c r="AM298" s="977"/>
      <c r="AN298" s="634"/>
    </row>
    <row r="299" spans="1:40" s="629" customFormat="1" ht="20.100000000000001" customHeight="1">
      <c r="A299" s="771">
        <f t="shared" si="46"/>
        <v>256</v>
      </c>
      <c r="B299" s="980">
        <f>+NOMINA!C298</f>
        <v>27628603</v>
      </c>
      <c r="C299" s="981" t="str">
        <f>+NOMINA!D298</f>
        <v>Mendoza Mendoza Kelasky Kixuy</v>
      </c>
      <c r="D299" s="978" t="s">
        <v>4622</v>
      </c>
      <c r="E299" s="982">
        <v>32351</v>
      </c>
      <c r="F299" s="978" t="s">
        <v>4620</v>
      </c>
      <c r="G299" s="1004">
        <f>+NOMINA!H298</f>
        <v>45139</v>
      </c>
      <c r="H299" s="984">
        <f t="shared" si="47"/>
        <v>0</v>
      </c>
      <c r="I299" s="985">
        <v>0</v>
      </c>
      <c r="J299" s="999">
        <f>+NOMINA!BL298</f>
        <v>10.11</v>
      </c>
      <c r="K299" s="999">
        <f>+NOMINA!BM298</f>
        <v>1.26</v>
      </c>
      <c r="L299" s="999">
        <f>+NOMINA!BN298</f>
        <v>2.74</v>
      </c>
      <c r="M299" s="999">
        <f>++NOMINA!BO298</f>
        <v>0</v>
      </c>
      <c r="N299" s="999">
        <f>+NOMINA!BP298</f>
        <v>0</v>
      </c>
      <c r="O299" s="986">
        <f t="shared" si="48"/>
        <v>14.11</v>
      </c>
      <c r="P299" s="999">
        <f>+NOMINA!BR298</f>
        <v>22.75</v>
      </c>
      <c r="Q299" s="999">
        <f>+NOMINA!BS298</f>
        <v>5.05</v>
      </c>
      <c r="R299" s="999">
        <f>+NOMINA!BT298</f>
        <v>5.48</v>
      </c>
      <c r="S299" s="986">
        <f t="shared" si="49"/>
        <v>33.28</v>
      </c>
      <c r="T299" s="986">
        <f t="shared" si="50"/>
        <v>47.39</v>
      </c>
      <c r="U299" s="1005"/>
      <c r="V299" s="443"/>
      <c r="W299" s="975"/>
      <c r="AA299" s="976"/>
      <c r="AB299" s="977"/>
      <c r="AC299" s="976"/>
      <c r="AD299" s="977"/>
      <c r="AE299" s="978"/>
      <c r="AF299" s="977"/>
      <c r="AG299" s="979"/>
      <c r="AH299" s="979"/>
      <c r="AI299" s="979"/>
      <c r="AJ299" s="977"/>
      <c r="AK299" s="977"/>
      <c r="AL299" s="977"/>
      <c r="AM299" s="977"/>
      <c r="AN299" s="634"/>
    </row>
    <row r="300" spans="1:40" s="629" customFormat="1" ht="20.100000000000001" customHeight="1">
      <c r="A300" s="771">
        <f t="shared" si="46"/>
        <v>257</v>
      </c>
      <c r="B300" s="980">
        <f>+NOMINA!C299</f>
        <v>27677242</v>
      </c>
      <c r="C300" s="981" t="str">
        <f>+NOMINA!D299</f>
        <v>Ramirez Torres Darwin Jose</v>
      </c>
      <c r="D300" s="978" t="s">
        <v>4622</v>
      </c>
      <c r="E300" s="982">
        <v>32351</v>
      </c>
      <c r="F300" s="978" t="s">
        <v>4620</v>
      </c>
      <c r="G300" s="1004">
        <f>+NOMINA!H299</f>
        <v>45139</v>
      </c>
      <c r="H300" s="984">
        <f t="shared" si="47"/>
        <v>0</v>
      </c>
      <c r="I300" s="985">
        <v>0</v>
      </c>
      <c r="J300" s="999">
        <f>+NOMINA!BL299</f>
        <v>9.65</v>
      </c>
      <c r="K300" s="999">
        <f>+NOMINA!BM299</f>
        <v>1.21</v>
      </c>
      <c r="L300" s="999">
        <f>+NOMINA!BN299</f>
        <v>2.61</v>
      </c>
      <c r="M300" s="999">
        <f>++NOMINA!BO299</f>
        <v>0</v>
      </c>
      <c r="N300" s="999">
        <f>+NOMINA!BP299</f>
        <v>0</v>
      </c>
      <c r="O300" s="986">
        <f t="shared" si="48"/>
        <v>13.47</v>
      </c>
      <c r="P300" s="999">
        <f>+NOMINA!BR299</f>
        <v>21.71</v>
      </c>
      <c r="Q300" s="999">
        <f>+NOMINA!BS299</f>
        <v>4.82</v>
      </c>
      <c r="R300" s="999">
        <f>+NOMINA!BT299</f>
        <v>5.22</v>
      </c>
      <c r="S300" s="986">
        <f t="shared" si="49"/>
        <v>31.75</v>
      </c>
      <c r="T300" s="986">
        <f t="shared" si="50"/>
        <v>45.22</v>
      </c>
      <c r="U300" s="1005"/>
      <c r="V300" s="443"/>
      <c r="W300" s="975"/>
      <c r="AA300" s="976"/>
      <c r="AB300" s="977"/>
      <c r="AC300" s="976"/>
      <c r="AD300" s="977"/>
      <c r="AE300" s="978"/>
      <c r="AF300" s="977"/>
      <c r="AG300" s="979"/>
      <c r="AH300" s="979"/>
      <c r="AI300" s="979"/>
      <c r="AJ300" s="977"/>
      <c r="AK300" s="977"/>
      <c r="AL300" s="977"/>
      <c r="AM300" s="977"/>
      <c r="AN300" s="634"/>
    </row>
    <row r="301" spans="1:40" s="629" customFormat="1" ht="20.100000000000001" customHeight="1">
      <c r="A301" s="771">
        <f t="shared" ref="A301:A310" si="51">A300+1</f>
        <v>258</v>
      </c>
      <c r="B301" s="980">
        <f>+NOMINA!C300</f>
        <v>27889180</v>
      </c>
      <c r="C301" s="981" t="str">
        <f>+NOMINA!D300</f>
        <v>Moreno Andreina del Valle</v>
      </c>
      <c r="D301" s="978" t="s">
        <v>4622</v>
      </c>
      <c r="E301" s="982">
        <v>32351</v>
      </c>
      <c r="F301" s="978" t="s">
        <v>4620</v>
      </c>
      <c r="G301" s="1004">
        <f>+NOMINA!H300</f>
        <v>44393</v>
      </c>
      <c r="H301" s="984">
        <f t="shared" ref="H301:H310" si="52">IF(AND(YEAR(G301)&lt;2023,MONTH(G301)&gt;$P$8),2023-YEAR(G301)-1,IF(OR(G301="",YEAR(G301)&gt;2023),0,2023-YEAR(G301)))</f>
        <v>1</v>
      </c>
      <c r="I301" s="985">
        <v>0</v>
      </c>
      <c r="J301" s="999">
        <f>+NOMINA!BL300</f>
        <v>10.97</v>
      </c>
      <c r="K301" s="999">
        <f>+NOMINA!BM300</f>
        <v>1.37</v>
      </c>
      <c r="L301" s="999">
        <f>+NOMINA!BN300</f>
        <v>2.97</v>
      </c>
      <c r="M301" s="999">
        <f>++NOMINA!BO300</f>
        <v>0</v>
      </c>
      <c r="N301" s="999">
        <f>+NOMINA!BP300</f>
        <v>0</v>
      </c>
      <c r="O301" s="986">
        <f t="shared" ref="O301:O310" si="53">ROUND(SUM(J301:N301),2)</f>
        <v>15.31</v>
      </c>
      <c r="P301" s="999">
        <f>+NOMINA!BR300</f>
        <v>24.67</v>
      </c>
      <c r="Q301" s="999">
        <f>+NOMINA!BS300</f>
        <v>5.48</v>
      </c>
      <c r="R301" s="999">
        <f>+NOMINA!BT300</f>
        <v>5.94</v>
      </c>
      <c r="S301" s="986">
        <f t="shared" ref="S301:S310" si="54">ROUND(SUM(P301:R301),2)</f>
        <v>36.090000000000003</v>
      </c>
      <c r="T301" s="986">
        <f t="shared" ref="T301:T310" si="55">O301+S301</f>
        <v>51.400000000000006</v>
      </c>
      <c r="U301" s="1005"/>
      <c r="V301" s="443"/>
      <c r="W301" s="975"/>
      <c r="AA301" s="976"/>
      <c r="AB301" s="977"/>
      <c r="AC301" s="976"/>
      <c r="AD301" s="977"/>
      <c r="AE301" s="978"/>
      <c r="AF301" s="977"/>
      <c r="AG301" s="979"/>
      <c r="AH301" s="979"/>
      <c r="AI301" s="979"/>
      <c r="AJ301" s="977"/>
      <c r="AK301" s="977"/>
      <c r="AL301" s="977"/>
      <c r="AM301" s="977"/>
      <c r="AN301" s="634"/>
    </row>
    <row r="302" spans="1:40" s="629" customFormat="1" ht="20.100000000000001" customHeight="1">
      <c r="A302" s="771">
        <f t="shared" si="51"/>
        <v>259</v>
      </c>
      <c r="B302" s="980">
        <f>+NOMINA!C301</f>
        <v>28079765</v>
      </c>
      <c r="C302" s="981" t="str">
        <f>+NOMINA!D301</f>
        <v>Mendoza Cardozo Josue Vicensio</v>
      </c>
      <c r="D302" s="978" t="s">
        <v>4622</v>
      </c>
      <c r="E302" s="982">
        <v>32351</v>
      </c>
      <c r="F302" s="978" t="s">
        <v>4620</v>
      </c>
      <c r="G302" s="1004">
        <f>+NOMINA!H301</f>
        <v>44348</v>
      </c>
      <c r="H302" s="984">
        <f t="shared" si="52"/>
        <v>1</v>
      </c>
      <c r="I302" s="985">
        <v>0</v>
      </c>
      <c r="J302" s="999">
        <f>+NOMINA!BL301</f>
        <v>15.75</v>
      </c>
      <c r="K302" s="999">
        <f>+NOMINA!BM301</f>
        <v>1.97</v>
      </c>
      <c r="L302" s="999">
        <f>+NOMINA!BN301</f>
        <v>4.2699999999999996</v>
      </c>
      <c r="M302" s="999">
        <f>++NOMINA!BO301</f>
        <v>0</v>
      </c>
      <c r="N302" s="999">
        <f>+NOMINA!BP301</f>
        <v>0</v>
      </c>
      <c r="O302" s="986">
        <f t="shared" si="53"/>
        <v>21.99</v>
      </c>
      <c r="P302" s="999">
        <f>+NOMINA!BR301</f>
        <v>35.450000000000003</v>
      </c>
      <c r="Q302" s="999">
        <f>+NOMINA!BS301</f>
        <v>7.88</v>
      </c>
      <c r="R302" s="999">
        <f>+NOMINA!BT301</f>
        <v>8.5399999999999991</v>
      </c>
      <c r="S302" s="986">
        <f t="shared" si="54"/>
        <v>51.87</v>
      </c>
      <c r="T302" s="986">
        <f t="shared" si="55"/>
        <v>73.86</v>
      </c>
      <c r="U302" s="1005"/>
      <c r="V302" s="443"/>
      <c r="W302" s="975"/>
      <c r="AA302" s="976"/>
      <c r="AB302" s="977"/>
      <c r="AC302" s="976"/>
      <c r="AD302" s="977"/>
      <c r="AE302" s="978"/>
      <c r="AF302" s="977"/>
      <c r="AG302" s="979"/>
      <c r="AH302" s="979"/>
      <c r="AI302" s="979"/>
      <c r="AJ302" s="977"/>
      <c r="AK302" s="977"/>
      <c r="AL302" s="977"/>
      <c r="AM302" s="977"/>
      <c r="AN302" s="634"/>
    </row>
    <row r="303" spans="1:40" s="629" customFormat="1" ht="20.100000000000001" customHeight="1">
      <c r="A303" s="771">
        <f t="shared" si="51"/>
        <v>260</v>
      </c>
      <c r="B303" s="980">
        <f>+NOMINA!C302</f>
        <v>28096003</v>
      </c>
      <c r="C303" s="981" t="str">
        <f>+NOMINA!D302</f>
        <v>Quintero Peña Maria Alejandra</v>
      </c>
      <c r="D303" s="978" t="s">
        <v>4622</v>
      </c>
      <c r="E303" s="982">
        <v>32351</v>
      </c>
      <c r="F303" s="978" t="s">
        <v>4620</v>
      </c>
      <c r="G303" s="1004">
        <f>+NOMINA!H302</f>
        <v>44228</v>
      </c>
      <c r="H303" s="984">
        <f t="shared" si="52"/>
        <v>1</v>
      </c>
      <c r="I303" s="985">
        <v>0</v>
      </c>
      <c r="J303" s="999">
        <f>+NOMINA!BL302</f>
        <v>13.66</v>
      </c>
      <c r="K303" s="999">
        <f>+NOMINA!BM302</f>
        <v>1.71</v>
      </c>
      <c r="L303" s="999">
        <f>+NOMINA!BN302</f>
        <v>3.7</v>
      </c>
      <c r="M303" s="999">
        <f>++NOMINA!BO302</f>
        <v>0</v>
      </c>
      <c r="N303" s="999">
        <f>+NOMINA!BP302</f>
        <v>0</v>
      </c>
      <c r="O303" s="986">
        <f t="shared" si="53"/>
        <v>19.07</v>
      </c>
      <c r="P303" s="999">
        <f>+NOMINA!BR302</f>
        <v>30.73</v>
      </c>
      <c r="Q303" s="999">
        <f>+NOMINA!BS302</f>
        <v>6.83</v>
      </c>
      <c r="R303" s="999">
        <f>+NOMINA!BT302</f>
        <v>7.4</v>
      </c>
      <c r="S303" s="986">
        <f t="shared" si="54"/>
        <v>44.96</v>
      </c>
      <c r="T303" s="986">
        <f t="shared" si="55"/>
        <v>64.03</v>
      </c>
      <c r="U303" s="1005"/>
      <c r="V303" s="443"/>
      <c r="W303" s="975"/>
      <c r="AA303" s="976"/>
      <c r="AB303" s="977"/>
      <c r="AC303" s="976"/>
      <c r="AD303" s="977"/>
      <c r="AE303" s="978"/>
      <c r="AF303" s="977"/>
      <c r="AG303" s="979"/>
      <c r="AH303" s="979"/>
      <c r="AI303" s="979"/>
      <c r="AJ303" s="977"/>
      <c r="AK303" s="977"/>
      <c r="AL303" s="977"/>
      <c r="AM303" s="977"/>
      <c r="AN303" s="634"/>
    </row>
    <row r="304" spans="1:40" s="629" customFormat="1" ht="20.100000000000001" customHeight="1">
      <c r="A304" s="771">
        <f t="shared" si="51"/>
        <v>261</v>
      </c>
      <c r="B304" s="980">
        <f>+NOMINA!C303</f>
        <v>28096576</v>
      </c>
      <c r="C304" s="981" t="str">
        <f>+NOMINA!D303</f>
        <v>Gutierrez Betania Belsally</v>
      </c>
      <c r="D304" s="978" t="s">
        <v>4622</v>
      </c>
      <c r="E304" s="982">
        <v>32351</v>
      </c>
      <c r="F304" s="978" t="s">
        <v>4620</v>
      </c>
      <c r="G304" s="1004">
        <f>+NOMINA!H303</f>
        <v>45017</v>
      </c>
      <c r="H304" s="984">
        <f t="shared" si="52"/>
        <v>0</v>
      </c>
      <c r="I304" s="985">
        <v>0</v>
      </c>
      <c r="J304" s="999">
        <f>+NOMINA!BL303</f>
        <v>10.57</v>
      </c>
      <c r="K304" s="999">
        <f>+NOMINA!BM303</f>
        <v>1.32</v>
      </c>
      <c r="L304" s="999">
        <f>+NOMINA!BN303</f>
        <v>2.86</v>
      </c>
      <c r="M304" s="999">
        <f>++NOMINA!BO303</f>
        <v>0</v>
      </c>
      <c r="N304" s="999">
        <f>+NOMINA!BP303</f>
        <v>0</v>
      </c>
      <c r="O304" s="986">
        <f t="shared" si="53"/>
        <v>14.75</v>
      </c>
      <c r="P304" s="999">
        <f>+NOMINA!BR303</f>
        <v>23.78</v>
      </c>
      <c r="Q304" s="999">
        <f>+NOMINA!BS303</f>
        <v>5.29</v>
      </c>
      <c r="R304" s="999">
        <f>+NOMINA!BT303</f>
        <v>5.72</v>
      </c>
      <c r="S304" s="986">
        <f t="shared" si="54"/>
        <v>34.79</v>
      </c>
      <c r="T304" s="986">
        <f t="shared" si="55"/>
        <v>49.54</v>
      </c>
      <c r="U304" s="1155"/>
      <c r="V304" s="1156"/>
      <c r="W304" s="1157"/>
      <c r="AA304" s="1115"/>
      <c r="AB304" s="1158"/>
      <c r="AC304" s="1115"/>
      <c r="AD304" s="1158"/>
      <c r="AE304" s="1147"/>
      <c r="AF304" s="1158"/>
      <c r="AG304" s="1159"/>
      <c r="AH304" s="1159"/>
      <c r="AI304" s="1159"/>
      <c r="AJ304" s="1158"/>
      <c r="AK304" s="1158"/>
      <c r="AL304" s="1158"/>
      <c r="AM304" s="1158"/>
      <c r="AN304" s="634"/>
    </row>
    <row r="305" spans="1:42" s="629" customFormat="1" ht="20.100000000000001" customHeight="1">
      <c r="A305" s="771">
        <f t="shared" si="51"/>
        <v>262</v>
      </c>
      <c r="B305" s="980">
        <f>+NOMINA!C304</f>
        <v>28445465</v>
      </c>
      <c r="C305" s="981" t="str">
        <f>+NOMINA!D304</f>
        <v>Castillo Carrizo Katherine Cecilia</v>
      </c>
      <c r="D305" s="978" t="s">
        <v>4622</v>
      </c>
      <c r="E305" s="982">
        <v>32351</v>
      </c>
      <c r="F305" s="978" t="s">
        <v>4620</v>
      </c>
      <c r="G305" s="1004">
        <f>+NOMINA!H304</f>
        <v>43770</v>
      </c>
      <c r="H305" s="984">
        <f t="shared" si="52"/>
        <v>3</v>
      </c>
      <c r="I305" s="985">
        <v>0</v>
      </c>
      <c r="J305" s="999">
        <f>+NOMINA!BL304</f>
        <v>10.62</v>
      </c>
      <c r="K305" s="999">
        <f>+NOMINA!BM304</f>
        <v>1.33</v>
      </c>
      <c r="L305" s="999">
        <f>+NOMINA!BN304</f>
        <v>2.88</v>
      </c>
      <c r="M305" s="999">
        <f>++NOMINA!BO304</f>
        <v>0</v>
      </c>
      <c r="N305" s="999">
        <f>+NOMINA!BP304</f>
        <v>0</v>
      </c>
      <c r="O305" s="986">
        <f t="shared" si="53"/>
        <v>14.83</v>
      </c>
      <c r="P305" s="999">
        <f>+NOMINA!BR304</f>
        <v>23.88</v>
      </c>
      <c r="Q305" s="999">
        <f>+NOMINA!BS304</f>
        <v>5.31</v>
      </c>
      <c r="R305" s="999">
        <f>+NOMINA!BT304</f>
        <v>5.76</v>
      </c>
      <c r="S305" s="986">
        <f t="shared" si="54"/>
        <v>34.950000000000003</v>
      </c>
      <c r="T305" s="986">
        <f t="shared" si="55"/>
        <v>49.78</v>
      </c>
      <c r="U305" s="1155"/>
      <c r="V305" s="1156"/>
      <c r="W305" s="1157"/>
      <c r="AA305" s="1115"/>
      <c r="AB305" s="1158"/>
      <c r="AC305" s="1115"/>
      <c r="AD305" s="1158"/>
      <c r="AE305" s="1147"/>
      <c r="AF305" s="1158"/>
      <c r="AG305" s="1159"/>
      <c r="AH305" s="1159"/>
      <c r="AI305" s="1159"/>
      <c r="AJ305" s="1158"/>
      <c r="AK305" s="1158"/>
      <c r="AL305" s="1158"/>
      <c r="AM305" s="1158"/>
      <c r="AN305" s="634"/>
    </row>
    <row r="306" spans="1:42" s="629" customFormat="1" ht="20.100000000000001" customHeight="1">
      <c r="A306" s="771">
        <f t="shared" si="51"/>
        <v>263</v>
      </c>
      <c r="B306" s="980">
        <f>+NOMINA!C305</f>
        <v>29585477</v>
      </c>
      <c r="C306" s="981" t="str">
        <f>+NOMINA!D305</f>
        <v>Gil Ruiz Marianyeli Sarait</v>
      </c>
      <c r="D306" s="978" t="s">
        <v>4622</v>
      </c>
      <c r="E306" s="982">
        <v>32351</v>
      </c>
      <c r="F306" s="978" t="s">
        <v>4620</v>
      </c>
      <c r="G306" s="1004">
        <f>+NOMINA!H305</f>
        <v>43512</v>
      </c>
      <c r="H306" s="984">
        <f t="shared" si="52"/>
        <v>3</v>
      </c>
      <c r="I306" s="985">
        <v>0</v>
      </c>
      <c r="J306" s="999">
        <f>+NOMINA!BL305</f>
        <v>11.08</v>
      </c>
      <c r="K306" s="999">
        <f>+NOMINA!BM305</f>
        <v>1.38</v>
      </c>
      <c r="L306" s="999">
        <f>+NOMINA!BN305</f>
        <v>3</v>
      </c>
      <c r="M306" s="999">
        <f>++NOMINA!BO305</f>
        <v>0</v>
      </c>
      <c r="N306" s="999">
        <f>+NOMINA!BP305</f>
        <v>0</v>
      </c>
      <c r="O306" s="986">
        <f t="shared" si="53"/>
        <v>15.46</v>
      </c>
      <c r="P306" s="999">
        <f>+NOMINA!BR305</f>
        <v>24.92</v>
      </c>
      <c r="Q306" s="999">
        <f>+NOMINA!BS305</f>
        <v>5.54</v>
      </c>
      <c r="R306" s="999">
        <f>+NOMINA!BT305</f>
        <v>6</v>
      </c>
      <c r="S306" s="986">
        <f t="shared" si="54"/>
        <v>36.46</v>
      </c>
      <c r="T306" s="986">
        <f t="shared" si="55"/>
        <v>51.92</v>
      </c>
      <c r="U306" s="1155"/>
      <c r="V306" s="1156"/>
      <c r="W306" s="1157"/>
      <c r="AA306" s="1115"/>
      <c r="AB306" s="1158"/>
      <c r="AC306" s="1115"/>
      <c r="AD306" s="1158"/>
      <c r="AE306" s="1147"/>
      <c r="AF306" s="1158"/>
      <c r="AG306" s="1159"/>
      <c r="AH306" s="1159"/>
      <c r="AI306" s="1159"/>
      <c r="AJ306" s="1158"/>
      <c r="AK306" s="1158"/>
      <c r="AL306" s="1158"/>
      <c r="AM306" s="1158"/>
      <c r="AN306" s="634"/>
    </row>
    <row r="307" spans="1:42" s="629" customFormat="1" ht="20.100000000000001" customHeight="1">
      <c r="A307" s="771">
        <f t="shared" si="51"/>
        <v>264</v>
      </c>
      <c r="B307" s="980">
        <f>+NOMINA!C306</f>
        <v>29916508</v>
      </c>
      <c r="C307" s="981" t="str">
        <f>+NOMINA!D306</f>
        <v>Zambrano Briceño Elio Jesus</v>
      </c>
      <c r="D307" s="978" t="s">
        <v>4622</v>
      </c>
      <c r="E307" s="982">
        <v>32351</v>
      </c>
      <c r="F307" s="978" t="s">
        <v>4620</v>
      </c>
      <c r="G307" s="1004">
        <f>+NOMINA!H306</f>
        <v>44378</v>
      </c>
      <c r="H307" s="984">
        <f t="shared" si="52"/>
        <v>1</v>
      </c>
      <c r="I307" s="985">
        <v>0</v>
      </c>
      <c r="J307" s="999">
        <f>+NOMINA!BL306</f>
        <v>13.66</v>
      </c>
      <c r="K307" s="999">
        <f>+NOMINA!BM306</f>
        <v>1.71</v>
      </c>
      <c r="L307" s="999">
        <f>+NOMINA!BN306</f>
        <v>3.7</v>
      </c>
      <c r="M307" s="999">
        <f>++NOMINA!BO306</f>
        <v>0</v>
      </c>
      <c r="N307" s="999">
        <f>+NOMINA!BP306</f>
        <v>0</v>
      </c>
      <c r="O307" s="986">
        <f t="shared" si="53"/>
        <v>19.07</v>
      </c>
      <c r="P307" s="999">
        <f>+NOMINA!BR306</f>
        <v>30.73</v>
      </c>
      <c r="Q307" s="999">
        <f>+NOMINA!BS306</f>
        <v>6.83</v>
      </c>
      <c r="R307" s="999">
        <f>+NOMINA!BT306</f>
        <v>7.4</v>
      </c>
      <c r="S307" s="986">
        <f t="shared" si="54"/>
        <v>44.96</v>
      </c>
      <c r="T307" s="986">
        <f t="shared" si="55"/>
        <v>64.03</v>
      </c>
      <c r="U307" s="1155"/>
      <c r="V307" s="1156"/>
      <c r="W307" s="1157"/>
      <c r="AA307" s="1115"/>
      <c r="AB307" s="1158"/>
      <c r="AC307" s="1115"/>
      <c r="AD307" s="1158"/>
      <c r="AE307" s="1147"/>
      <c r="AF307" s="1158"/>
      <c r="AG307" s="1159"/>
      <c r="AH307" s="1159"/>
      <c r="AI307" s="1159"/>
      <c r="AJ307" s="1158"/>
      <c r="AK307" s="1158"/>
      <c r="AL307" s="1158"/>
      <c r="AM307" s="1158"/>
      <c r="AN307" s="634"/>
    </row>
    <row r="308" spans="1:42" s="629" customFormat="1" ht="20.100000000000001" customHeight="1">
      <c r="A308" s="771">
        <f t="shared" si="51"/>
        <v>265</v>
      </c>
      <c r="B308" s="980">
        <f>+NOMINA!C307</f>
        <v>30190238</v>
      </c>
      <c r="C308" s="981" t="str">
        <f>+NOMINA!D307</f>
        <v>Mendoza Osuna Zaida Liseth</v>
      </c>
      <c r="D308" s="978" t="s">
        <v>4622</v>
      </c>
      <c r="E308" s="982">
        <v>32351</v>
      </c>
      <c r="F308" s="978" t="s">
        <v>4620</v>
      </c>
      <c r="G308" s="1004">
        <f>+NOMINA!H307</f>
        <v>45200</v>
      </c>
      <c r="H308" s="984">
        <f t="shared" si="52"/>
        <v>0</v>
      </c>
      <c r="I308" s="985">
        <v>0</v>
      </c>
      <c r="J308" s="999">
        <f>+NOMINA!BL307</f>
        <v>12.54</v>
      </c>
      <c r="K308" s="999">
        <f>+NOMINA!BM307</f>
        <v>1.57</v>
      </c>
      <c r="L308" s="999">
        <f>+NOMINA!BN307</f>
        <v>3.4</v>
      </c>
      <c r="M308" s="999">
        <f>++NOMINA!BO307</f>
        <v>0</v>
      </c>
      <c r="N308" s="999">
        <f>+NOMINA!BP307</f>
        <v>0</v>
      </c>
      <c r="O308" s="986">
        <f t="shared" si="53"/>
        <v>17.510000000000002</v>
      </c>
      <c r="P308" s="999">
        <f>+NOMINA!BR307</f>
        <v>28.22</v>
      </c>
      <c r="Q308" s="999">
        <f>+NOMINA!BS307</f>
        <v>6.27</v>
      </c>
      <c r="R308" s="999">
        <f>+NOMINA!BT307</f>
        <v>6.8</v>
      </c>
      <c r="S308" s="986">
        <f t="shared" si="54"/>
        <v>41.29</v>
      </c>
      <c r="T308" s="986">
        <f t="shared" si="55"/>
        <v>58.8</v>
      </c>
      <c r="U308" s="1155"/>
      <c r="V308" s="1156"/>
      <c r="W308" s="1157"/>
      <c r="AA308" s="1115"/>
      <c r="AB308" s="1158"/>
      <c r="AC308" s="1115"/>
      <c r="AD308" s="1158"/>
      <c r="AE308" s="1147"/>
      <c r="AF308" s="1158"/>
      <c r="AG308" s="1159"/>
      <c r="AH308" s="1159"/>
      <c r="AI308" s="1159"/>
      <c r="AJ308" s="1158"/>
      <c r="AK308" s="1158"/>
      <c r="AL308" s="1158"/>
      <c r="AM308" s="1158"/>
      <c r="AN308" s="634"/>
    </row>
    <row r="309" spans="1:42" s="629" customFormat="1" ht="20.100000000000001" customHeight="1">
      <c r="A309" s="771">
        <f t="shared" si="51"/>
        <v>266</v>
      </c>
      <c r="B309" s="980">
        <f>+NOMINA!C308</f>
        <v>30438508</v>
      </c>
      <c r="C309" s="981" t="str">
        <f>+NOMINA!D308</f>
        <v xml:space="preserve">Teran Araujo Marihangeli Nicoll </v>
      </c>
      <c r="D309" s="978" t="s">
        <v>4622</v>
      </c>
      <c r="E309" s="982">
        <v>32351</v>
      </c>
      <c r="F309" s="978" t="s">
        <v>4620</v>
      </c>
      <c r="G309" s="1004">
        <f>+NOMINA!H308</f>
        <v>45200</v>
      </c>
      <c r="H309" s="984">
        <f t="shared" si="52"/>
        <v>0</v>
      </c>
      <c r="I309" s="985">
        <v>0</v>
      </c>
      <c r="J309" s="999">
        <f>+NOMINA!BL308</f>
        <v>10.62</v>
      </c>
      <c r="K309" s="999">
        <f>+NOMINA!BM308</f>
        <v>1.33</v>
      </c>
      <c r="L309" s="999">
        <f>+NOMINA!BN308</f>
        <v>2.88</v>
      </c>
      <c r="M309" s="999">
        <f>++NOMINA!BO308</f>
        <v>0</v>
      </c>
      <c r="N309" s="999">
        <f>+NOMINA!BP308</f>
        <v>0</v>
      </c>
      <c r="O309" s="986">
        <f t="shared" si="53"/>
        <v>14.83</v>
      </c>
      <c r="P309" s="999">
        <f>+NOMINA!BR308</f>
        <v>23.88</v>
      </c>
      <c r="Q309" s="999">
        <f>+NOMINA!BS308</f>
        <v>5.31</v>
      </c>
      <c r="R309" s="999">
        <f>+NOMINA!BT308</f>
        <v>5.76</v>
      </c>
      <c r="S309" s="986">
        <f t="shared" si="54"/>
        <v>34.950000000000003</v>
      </c>
      <c r="T309" s="986">
        <f t="shared" si="55"/>
        <v>49.78</v>
      </c>
      <c r="U309" s="1155"/>
      <c r="V309" s="1156"/>
      <c r="W309" s="1157"/>
      <c r="AA309" s="1115"/>
      <c r="AB309" s="1158"/>
      <c r="AC309" s="1115"/>
      <c r="AD309" s="1158"/>
      <c r="AE309" s="1147"/>
      <c r="AF309" s="1158"/>
      <c r="AG309" s="1159"/>
      <c r="AH309" s="1159"/>
      <c r="AI309" s="1159"/>
      <c r="AJ309" s="1158"/>
      <c r="AK309" s="1158"/>
      <c r="AL309" s="1158"/>
      <c r="AM309" s="1158"/>
      <c r="AN309" s="634"/>
    </row>
    <row r="310" spans="1:42" s="629" customFormat="1" ht="20.100000000000001" customHeight="1" thickBot="1">
      <c r="A310" s="771">
        <f t="shared" si="51"/>
        <v>267</v>
      </c>
      <c r="B310" s="980">
        <f>+NOMINA!C309</f>
        <v>30600641</v>
      </c>
      <c r="C310" s="981" t="str">
        <f>+NOMINA!D309</f>
        <v>Gonzalez Justo Jariana Roxanny</v>
      </c>
      <c r="D310" s="978" t="s">
        <v>4622</v>
      </c>
      <c r="E310" s="982">
        <v>32351</v>
      </c>
      <c r="F310" s="978" t="s">
        <v>4620</v>
      </c>
      <c r="G310" s="1004">
        <f>+NOMINA!H309</f>
        <v>44455</v>
      </c>
      <c r="H310" s="984">
        <f t="shared" si="52"/>
        <v>1</v>
      </c>
      <c r="I310" s="985">
        <v>0</v>
      </c>
      <c r="J310" s="999">
        <f>+NOMINA!BL309</f>
        <v>0</v>
      </c>
      <c r="K310" s="999">
        <f>+NOMINA!BM309</f>
        <v>0</v>
      </c>
      <c r="L310" s="999">
        <f>+NOMINA!BN309</f>
        <v>0</v>
      </c>
      <c r="M310" s="999">
        <f>++NOMINA!BO309</f>
        <v>0</v>
      </c>
      <c r="N310" s="999">
        <f>+NOMINA!BP309</f>
        <v>0</v>
      </c>
      <c r="O310" s="986">
        <f t="shared" si="53"/>
        <v>0</v>
      </c>
      <c r="P310" s="999">
        <f>+NOMINA!BR309</f>
        <v>0</v>
      </c>
      <c r="Q310" s="999">
        <f>+NOMINA!BS309</f>
        <v>0</v>
      </c>
      <c r="R310" s="999">
        <f>+NOMINA!BT309</f>
        <v>0</v>
      </c>
      <c r="S310" s="986">
        <f t="shared" si="54"/>
        <v>0</v>
      </c>
      <c r="T310" s="986">
        <f t="shared" si="55"/>
        <v>0</v>
      </c>
      <c r="U310" s="1005">
        <v>0</v>
      </c>
      <c r="V310" s="443" t="e">
        <f>#REF!+#REF!-O310</f>
        <v>#REF!</v>
      </c>
      <c r="W310" s="975" t="e">
        <f>ROUND((#REF!+#REF!+#REF!+#REF!+#REF!+#REF!+#REF!+#REF!+#REF!),2)</f>
        <v>#REF!</v>
      </c>
      <c r="AA310" s="976" t="e">
        <f>#REF!+#REF!-O310</f>
        <v>#REF!</v>
      </c>
      <c r="AB310" s="977" t="e">
        <f>#REF!</f>
        <v>#REF!</v>
      </c>
      <c r="AC310" s="976" t="e">
        <f>#REF!+#REF!</f>
        <v>#REF!</v>
      </c>
      <c r="AD310" s="977" t="e">
        <f>#REF!</f>
        <v>#REF!</v>
      </c>
      <c r="AE310" s="978">
        <v>0</v>
      </c>
      <c r="AF310" s="977" t="e">
        <f>#REF!</f>
        <v>#REF!</v>
      </c>
      <c r="AG310" s="979" t="e">
        <f>#REF!+#REF!</f>
        <v>#REF!</v>
      </c>
      <c r="AH310" s="979" t="e">
        <f>#REF!+#REF!</f>
        <v>#REF!</v>
      </c>
      <c r="AI310" s="979"/>
      <c r="AJ310" s="977" t="e">
        <f>#REF!</f>
        <v>#REF!</v>
      </c>
      <c r="AK310" s="977" t="e">
        <f t="shared" si="43"/>
        <v>#REF!</v>
      </c>
      <c r="AL310" s="977">
        <f t="shared" si="44"/>
        <v>0</v>
      </c>
      <c r="AM310" s="977">
        <f t="shared" si="45"/>
        <v>0</v>
      </c>
      <c r="AN310" s="634"/>
    </row>
    <row r="311" spans="1:42" s="629" customFormat="1" ht="18.95" customHeight="1" thickBot="1">
      <c r="A311" s="676"/>
      <c r="B311" s="1124" t="s">
        <v>4562</v>
      </c>
      <c r="C311" s="1104"/>
      <c r="D311" s="1104"/>
      <c r="E311" s="1104"/>
      <c r="F311" s="1104"/>
      <c r="G311" s="1104"/>
      <c r="H311" s="1104"/>
      <c r="I311" s="1107"/>
      <c r="J311" s="694">
        <f t="shared" ref="J311:W311" si="56">SUM(J44:J310)</f>
        <v>4360.0999999999967</v>
      </c>
      <c r="K311" s="694">
        <f t="shared" si="56"/>
        <v>545.07000000000016</v>
      </c>
      <c r="L311" s="694">
        <f t="shared" si="56"/>
        <v>1190.7600000000009</v>
      </c>
      <c r="M311" s="694">
        <f t="shared" si="56"/>
        <v>0</v>
      </c>
      <c r="N311" s="694">
        <f t="shared" si="56"/>
        <v>1.9899999999999998</v>
      </c>
      <c r="O311" s="694">
        <f t="shared" si="56"/>
        <v>6097.9200000000028</v>
      </c>
      <c r="P311" s="694">
        <f t="shared" si="56"/>
        <v>9810.139999999994</v>
      </c>
      <c r="Q311" s="694">
        <f t="shared" si="56"/>
        <v>2180.02</v>
      </c>
      <c r="R311" s="694">
        <f t="shared" si="56"/>
        <v>2381.5200000000018</v>
      </c>
      <c r="S311" s="694">
        <f t="shared" si="56"/>
        <v>14371.680000000008</v>
      </c>
      <c r="T311" s="694">
        <f t="shared" si="56"/>
        <v>20469.600000000002</v>
      </c>
      <c r="U311" s="694">
        <f t="shared" si="56"/>
        <v>0</v>
      </c>
      <c r="V311" s="695" t="e">
        <f t="shared" si="56"/>
        <v>#REF!</v>
      </c>
      <c r="W311" s="696" t="e">
        <f t="shared" si="56"/>
        <v>#REF!</v>
      </c>
      <c r="X311" s="697"/>
      <c r="Y311" s="697"/>
      <c r="Z311" s="697"/>
      <c r="AA311" s="976" t="e">
        <f t="shared" ref="AA311:AH311" si="57">SUM(AA44:AA310)</f>
        <v>#REF!</v>
      </c>
      <c r="AB311" s="977" t="e">
        <f t="shared" si="57"/>
        <v>#REF!</v>
      </c>
      <c r="AC311" s="976" t="e">
        <f t="shared" si="57"/>
        <v>#REF!</v>
      </c>
      <c r="AD311" s="976" t="e">
        <f t="shared" si="57"/>
        <v>#REF!</v>
      </c>
      <c r="AE311" s="976">
        <f t="shared" si="57"/>
        <v>0</v>
      </c>
      <c r="AF311" s="976" t="e">
        <f t="shared" si="57"/>
        <v>#REF!</v>
      </c>
      <c r="AG311" s="976" t="e">
        <f t="shared" si="57"/>
        <v>#REF!</v>
      </c>
      <c r="AH311" s="976" t="e">
        <f t="shared" si="57"/>
        <v>#REF!</v>
      </c>
      <c r="AI311" s="976"/>
      <c r="AJ311" s="976" t="e">
        <f>SUM(AJ44:AJ310)</f>
        <v>#REF!</v>
      </c>
      <c r="AK311" s="976" t="e">
        <f>SUM(AK44:AK310)</f>
        <v>#REF!</v>
      </c>
      <c r="AL311" s="976">
        <f>SUM(AL44:AL310)</f>
        <v>18438.809999999998</v>
      </c>
      <c r="AM311" s="976">
        <f>SUM(AM44:AM310)</f>
        <v>0</v>
      </c>
      <c r="AN311" s="634"/>
      <c r="AO311" s="634">
        <f>+NOMINA!BW309</f>
        <v>0</v>
      </c>
      <c r="AP311" s="634">
        <f>+T311-AO311</f>
        <v>20469.600000000002</v>
      </c>
    </row>
    <row r="312" spans="1:42" s="629" customFormat="1" ht="18.95" customHeight="1" thickBot="1">
      <c r="A312" s="1114"/>
      <c r="B312" s="700"/>
      <c r="C312" s="700"/>
      <c r="D312" s="700"/>
      <c r="E312" s="700"/>
      <c r="F312" s="700"/>
      <c r="G312" s="700"/>
      <c r="H312" s="700"/>
      <c r="I312" s="700"/>
      <c r="J312" s="799"/>
      <c r="K312" s="799"/>
      <c r="L312" s="799"/>
      <c r="M312" s="799"/>
      <c r="N312" s="799"/>
      <c r="O312" s="799"/>
      <c r="P312" s="799"/>
      <c r="Q312" s="799"/>
      <c r="R312" s="799"/>
      <c r="S312" s="799"/>
      <c r="T312" s="799"/>
      <c r="U312" s="799"/>
      <c r="V312" s="799"/>
      <c r="W312" s="799"/>
      <c r="X312" s="697"/>
      <c r="Y312" s="697"/>
      <c r="Z312" s="697"/>
      <c r="AA312" s="1115"/>
      <c r="AB312" s="1116"/>
      <c r="AC312" s="1117"/>
      <c r="AD312" s="1117"/>
      <c r="AE312" s="1117"/>
      <c r="AF312" s="1117"/>
      <c r="AG312" s="1117"/>
      <c r="AH312" s="1117"/>
      <c r="AI312" s="1117"/>
      <c r="AJ312" s="1117"/>
      <c r="AK312" s="1117"/>
      <c r="AL312" s="1117"/>
      <c r="AM312" s="1117"/>
      <c r="AN312" s="634"/>
      <c r="AO312" s="634"/>
      <c r="AP312" s="634"/>
    </row>
    <row r="313" spans="1:42" s="707" customFormat="1" ht="18.95" customHeight="1">
      <c r="A313" s="665" t="str">
        <f>+"OBREROS_FIJOS_"&amp;NOMINA!F9&amp;"_"&amp;NOMINA!H9</f>
        <v>OBREROS_FIJOS_ENERO_2025</v>
      </c>
      <c r="B313" s="699"/>
      <c r="C313" s="700"/>
      <c r="D313" s="701"/>
      <c r="E313" s="700"/>
      <c r="F313" s="702"/>
      <c r="G313" s="846"/>
      <c r="H313" s="704"/>
      <c r="I313" s="704"/>
      <c r="J313" s="823"/>
      <c r="K313" s="823"/>
      <c r="L313" s="823"/>
      <c r="M313" s="823"/>
      <c r="N313" s="823"/>
      <c r="O313" s="823"/>
      <c r="P313" s="705"/>
      <c r="Q313" s="705"/>
      <c r="R313" s="705"/>
      <c r="S313" s="705"/>
      <c r="T313" s="705"/>
      <c r="U313" s="705"/>
      <c r="V313" s="706"/>
      <c r="W313" s="706"/>
      <c r="X313" s="706"/>
      <c r="Y313" s="706"/>
      <c r="Z313" s="706"/>
      <c r="AA313" s="976"/>
      <c r="AB313" s="706"/>
      <c r="AC313" s="706"/>
      <c r="AD313" s="706"/>
      <c r="AE313" s="706"/>
      <c r="AF313" s="706"/>
      <c r="AG313" s="706"/>
      <c r="AH313" s="706" t="e">
        <f>AG311+AH311</f>
        <v>#REF!</v>
      </c>
      <c r="AI313" s="706"/>
      <c r="AJ313" s="706"/>
      <c r="AK313" s="706"/>
      <c r="AL313" s="706"/>
      <c r="AM313" s="706"/>
      <c r="AN313" s="706"/>
      <c r="AP313" s="706"/>
    </row>
    <row r="314" spans="1:42" s="629" customFormat="1" ht="20.100000000000001" customHeight="1">
      <c r="A314" s="771">
        <v>1</v>
      </c>
      <c r="B314" s="980">
        <f>+NOMINA!C312</f>
        <v>5505183</v>
      </c>
      <c r="C314" s="981" t="str">
        <f>+NOMINA!D312</f>
        <v>Paredes Marquez Eduardo Jesus</v>
      </c>
      <c r="D314" s="978" t="s">
        <v>4622</v>
      </c>
      <c r="E314" s="982">
        <v>32351</v>
      </c>
      <c r="F314" s="978" t="s">
        <v>4620</v>
      </c>
      <c r="G314" s="1004">
        <f>+NOMINA!H312</f>
        <v>44562</v>
      </c>
      <c r="H314" s="984">
        <f t="shared" ref="H314" si="58">IF(AND(YEAR(G314)&lt;2023,MONTH(G314)&gt;$P$8),2023-YEAR(G314)-1,IF(OR(G314="",YEAR(G314)&gt;2023),0,2023-YEAR(G314)))</f>
        <v>0</v>
      </c>
      <c r="I314" s="985">
        <v>0</v>
      </c>
      <c r="J314" s="999">
        <f>+NOMINA!BL312</f>
        <v>11.19</v>
      </c>
      <c r="K314" s="999">
        <f>+NOMINA!BM312</f>
        <v>1.4</v>
      </c>
      <c r="L314" s="999">
        <f>+NOMINA!BN312</f>
        <v>3.03</v>
      </c>
      <c r="M314" s="999">
        <f>++NOMINA!BO312</f>
        <v>0</v>
      </c>
      <c r="N314" s="999">
        <f>+NOMINA!BP312</f>
        <v>0</v>
      </c>
      <c r="O314" s="986">
        <f t="shared" ref="O314" si="59">ROUND(SUM(J314:N314),2)</f>
        <v>15.62</v>
      </c>
      <c r="P314" s="999">
        <f>+NOMINA!BR312</f>
        <v>25.17</v>
      </c>
      <c r="Q314" s="999">
        <f>+NOMINA!BS312</f>
        <v>5.59</v>
      </c>
      <c r="R314" s="999">
        <f>+NOMINA!BT312</f>
        <v>6.06</v>
      </c>
      <c r="S314" s="986">
        <f t="shared" ref="S314" si="60">ROUND(SUM(P314:R314),2)</f>
        <v>36.82</v>
      </c>
      <c r="T314" s="986">
        <f t="shared" ref="T314" si="61">O314+S314</f>
        <v>52.44</v>
      </c>
      <c r="U314" s="1005">
        <v>0</v>
      </c>
      <c r="V314" s="443" t="e">
        <f>#REF!+#REF!-O314</f>
        <v>#REF!</v>
      </c>
      <c r="W314" s="975" t="e">
        <f>ROUND((#REF!+#REF!+#REF!+#REF!+#REF!+#REF!+#REF!+#REF!+#REF!),2)</f>
        <v>#REF!</v>
      </c>
      <c r="AA314" s="976" t="e">
        <f>#REF!+#REF!-O314</f>
        <v>#REF!</v>
      </c>
      <c r="AB314" s="977" t="e">
        <f>#REF!</f>
        <v>#REF!</v>
      </c>
      <c r="AC314" s="976" t="e">
        <f>#REF!+#REF!</f>
        <v>#REF!</v>
      </c>
      <c r="AD314" s="977" t="e">
        <f>#REF!</f>
        <v>#REF!</v>
      </c>
      <c r="AE314" s="978">
        <v>0</v>
      </c>
      <c r="AF314" s="977" t="e">
        <f>#REF!</f>
        <v>#REF!</v>
      </c>
      <c r="AG314" s="979" t="e">
        <f>#REF!+#REF!</f>
        <v>#REF!</v>
      </c>
      <c r="AH314" s="979" t="e">
        <f>#REF!+#REF!</f>
        <v>#REF!</v>
      </c>
      <c r="AI314" s="979"/>
      <c r="AJ314" s="977" t="e">
        <f>#REF!</f>
        <v>#REF!</v>
      </c>
      <c r="AK314" s="977" t="e">
        <f t="shared" ref="AK314:AK373" si="62">SUM(AC314:AJ314)</f>
        <v>#REF!</v>
      </c>
      <c r="AL314" s="977">
        <f t="shared" ref="AL314:AL377" si="63">O314+S314</f>
        <v>52.44</v>
      </c>
      <c r="AM314" s="977">
        <f t="shared" ref="AM314:AM377" si="64">U314</f>
        <v>0</v>
      </c>
      <c r="AN314" s="634"/>
    </row>
    <row r="315" spans="1:42" s="629" customFormat="1" ht="20.100000000000001" customHeight="1">
      <c r="A315" s="771">
        <f t="shared" ref="A315:A378" si="65">A314+1</f>
        <v>2</v>
      </c>
      <c r="B315" s="980">
        <f>+NOMINA!C313</f>
        <v>5757455</v>
      </c>
      <c r="C315" s="981" t="str">
        <f>+NOMINA!D313</f>
        <v>Ramirez Garcia Maria Perpetua</v>
      </c>
      <c r="D315" s="978" t="s">
        <v>4622</v>
      </c>
      <c r="E315" s="982">
        <v>32351</v>
      </c>
      <c r="F315" s="978" t="s">
        <v>4620</v>
      </c>
      <c r="G315" s="1004">
        <f>+NOMINA!H313</f>
        <v>39409</v>
      </c>
      <c r="H315" s="984">
        <f t="shared" ref="H315:H378" si="66">IF(AND(YEAR(G315)&lt;2023,MONTH(G315)&gt;$P$8),2023-YEAR(G315)-1,IF(OR(G315="",YEAR(G315)&gt;2023),0,2023-YEAR(G315)))</f>
        <v>15</v>
      </c>
      <c r="I315" s="985">
        <v>0</v>
      </c>
      <c r="J315" s="999">
        <f>+NOMINA!BL313</f>
        <v>0</v>
      </c>
      <c r="K315" s="999">
        <f>+NOMINA!BM313</f>
        <v>0</v>
      </c>
      <c r="L315" s="999">
        <f>+NOMINA!BN313</f>
        <v>3.37</v>
      </c>
      <c r="M315" s="999">
        <f>++NOMINA!BO313</f>
        <v>0</v>
      </c>
      <c r="N315" s="999">
        <f>+NOMINA!BP313</f>
        <v>0</v>
      </c>
      <c r="O315" s="986">
        <f t="shared" ref="O315:O378" si="67">ROUND(SUM(J315:N315),2)</f>
        <v>3.37</v>
      </c>
      <c r="P315" s="999">
        <f>+NOMINA!BR313</f>
        <v>0</v>
      </c>
      <c r="Q315" s="999">
        <f>+NOMINA!BS313</f>
        <v>0</v>
      </c>
      <c r="R315" s="999">
        <f>+NOMINA!BT313</f>
        <v>6.74</v>
      </c>
      <c r="S315" s="986">
        <f t="shared" ref="S315:S378" si="68">ROUND(SUM(P315:R315),2)</f>
        <v>6.74</v>
      </c>
      <c r="T315" s="986">
        <f t="shared" ref="T315:T378" si="69">O315+S315</f>
        <v>10.11</v>
      </c>
      <c r="U315" s="1005">
        <v>0</v>
      </c>
      <c r="V315" s="443" t="e">
        <f>#REF!+#REF!-O315</f>
        <v>#REF!</v>
      </c>
      <c r="W315" s="975" t="e">
        <f>ROUND((#REF!+#REF!+#REF!+#REF!+#REF!+#REF!+#REF!+#REF!+#REF!),2)</f>
        <v>#REF!</v>
      </c>
      <c r="AA315" s="976" t="e">
        <f>#REF!+#REF!-O315</f>
        <v>#REF!</v>
      </c>
      <c r="AB315" s="977" t="e">
        <f>#REF!</f>
        <v>#REF!</v>
      </c>
      <c r="AC315" s="976" t="e">
        <f>#REF!+#REF!</f>
        <v>#REF!</v>
      </c>
      <c r="AD315" s="977" t="e">
        <f>#REF!</f>
        <v>#REF!</v>
      </c>
      <c r="AE315" s="978">
        <v>0</v>
      </c>
      <c r="AF315" s="977" t="e">
        <f>#REF!</f>
        <v>#REF!</v>
      </c>
      <c r="AG315" s="979" t="e">
        <f>#REF!+#REF!</f>
        <v>#REF!</v>
      </c>
      <c r="AH315" s="979" t="e">
        <f>#REF!+#REF!</f>
        <v>#REF!</v>
      </c>
      <c r="AI315" s="979"/>
      <c r="AJ315" s="977" t="e">
        <f>#REF!</f>
        <v>#REF!</v>
      </c>
      <c r="AK315" s="977" t="e">
        <f t="shared" si="62"/>
        <v>#REF!</v>
      </c>
      <c r="AL315" s="977">
        <f t="shared" si="63"/>
        <v>10.11</v>
      </c>
      <c r="AM315" s="977">
        <f t="shared" si="64"/>
        <v>0</v>
      </c>
      <c r="AN315" s="634"/>
    </row>
    <row r="316" spans="1:42" s="629" customFormat="1" ht="20.100000000000001" customHeight="1">
      <c r="A316" s="771">
        <f t="shared" si="65"/>
        <v>3</v>
      </c>
      <c r="B316" s="980">
        <f>+NOMINA!C314</f>
        <v>5762185</v>
      </c>
      <c r="C316" s="981" t="str">
        <f>+NOMINA!D314</f>
        <v>Salas Quintero Jose Gregorio</v>
      </c>
      <c r="D316" s="978" t="s">
        <v>4622</v>
      </c>
      <c r="E316" s="982">
        <v>32351</v>
      </c>
      <c r="F316" s="978" t="s">
        <v>4620</v>
      </c>
      <c r="G316" s="1004">
        <f>+NOMINA!H314</f>
        <v>37622</v>
      </c>
      <c r="H316" s="984">
        <f t="shared" si="66"/>
        <v>19</v>
      </c>
      <c r="I316" s="985">
        <v>0</v>
      </c>
      <c r="J316" s="999">
        <f>+NOMINA!BL314</f>
        <v>12.98</v>
      </c>
      <c r="K316" s="999">
        <f>+NOMINA!BM314</f>
        <v>1.62</v>
      </c>
      <c r="L316" s="999">
        <f>+NOMINA!BN314</f>
        <v>3.52</v>
      </c>
      <c r="M316" s="999">
        <f>++NOMINA!BO314</f>
        <v>0</v>
      </c>
      <c r="N316" s="999">
        <f>+NOMINA!BP314</f>
        <v>0</v>
      </c>
      <c r="O316" s="986">
        <f t="shared" si="67"/>
        <v>18.12</v>
      </c>
      <c r="P316" s="999">
        <f>+NOMINA!BR314</f>
        <v>29.21</v>
      </c>
      <c r="Q316" s="999">
        <f>+NOMINA!BS314</f>
        <v>6.49</v>
      </c>
      <c r="R316" s="999">
        <f>+NOMINA!BT314</f>
        <v>7.04</v>
      </c>
      <c r="S316" s="986">
        <f t="shared" si="68"/>
        <v>42.74</v>
      </c>
      <c r="T316" s="986">
        <f t="shared" si="69"/>
        <v>60.86</v>
      </c>
      <c r="U316" s="1005">
        <v>0</v>
      </c>
      <c r="V316" s="443" t="e">
        <f>#REF!+#REF!-O316</f>
        <v>#REF!</v>
      </c>
      <c r="W316" s="975" t="e">
        <f>ROUND((#REF!+#REF!+#REF!+#REF!+#REF!+#REF!+#REF!+#REF!+#REF!),2)</f>
        <v>#REF!</v>
      </c>
      <c r="AA316" s="976" t="e">
        <f>#REF!+#REF!-O316</f>
        <v>#REF!</v>
      </c>
      <c r="AB316" s="977" t="e">
        <f>#REF!</f>
        <v>#REF!</v>
      </c>
      <c r="AC316" s="976" t="e">
        <f>#REF!+#REF!</f>
        <v>#REF!</v>
      </c>
      <c r="AD316" s="977" t="e">
        <f>#REF!</f>
        <v>#REF!</v>
      </c>
      <c r="AE316" s="978">
        <v>0</v>
      </c>
      <c r="AF316" s="977" t="e">
        <f>#REF!</f>
        <v>#REF!</v>
      </c>
      <c r="AG316" s="979" t="e">
        <f>#REF!+#REF!</f>
        <v>#REF!</v>
      </c>
      <c r="AH316" s="979" t="e">
        <f>#REF!+#REF!</f>
        <v>#REF!</v>
      </c>
      <c r="AI316" s="979"/>
      <c r="AJ316" s="977" t="e">
        <f>#REF!</f>
        <v>#REF!</v>
      </c>
      <c r="AK316" s="977" t="e">
        <f t="shared" si="62"/>
        <v>#REF!</v>
      </c>
      <c r="AL316" s="977">
        <f t="shared" si="63"/>
        <v>60.86</v>
      </c>
      <c r="AM316" s="977">
        <f t="shared" si="64"/>
        <v>0</v>
      </c>
      <c r="AN316" s="634"/>
    </row>
    <row r="317" spans="1:42" s="629" customFormat="1" ht="20.100000000000001" customHeight="1">
      <c r="A317" s="771">
        <f t="shared" si="65"/>
        <v>4</v>
      </c>
      <c r="B317" s="980">
        <f>+NOMINA!C315</f>
        <v>6332524</v>
      </c>
      <c r="C317" s="981" t="str">
        <f>+NOMINA!D315</f>
        <v>Flores Diana Yamilet</v>
      </c>
      <c r="D317" s="978" t="s">
        <v>4622</v>
      </c>
      <c r="E317" s="982">
        <v>32351</v>
      </c>
      <c r="F317" s="978" t="s">
        <v>4620</v>
      </c>
      <c r="G317" s="1004">
        <f>+NOMINA!H315</f>
        <v>42948</v>
      </c>
      <c r="H317" s="984">
        <f t="shared" si="66"/>
        <v>5</v>
      </c>
      <c r="I317" s="985">
        <v>0</v>
      </c>
      <c r="J317" s="999">
        <f>+NOMINA!BL315</f>
        <v>11.58</v>
      </c>
      <c r="K317" s="999">
        <f>+NOMINA!BM315</f>
        <v>1.45</v>
      </c>
      <c r="L317" s="999">
        <f>+NOMINA!BN315</f>
        <v>3.14</v>
      </c>
      <c r="M317" s="999">
        <f>++NOMINA!BO315</f>
        <v>0</v>
      </c>
      <c r="N317" s="999">
        <f>+NOMINA!BP315</f>
        <v>0</v>
      </c>
      <c r="O317" s="986">
        <f t="shared" si="67"/>
        <v>16.170000000000002</v>
      </c>
      <c r="P317" s="999">
        <f>+NOMINA!BR315</f>
        <v>26.06</v>
      </c>
      <c r="Q317" s="999">
        <f>+NOMINA!BS315</f>
        <v>5.79</v>
      </c>
      <c r="R317" s="999">
        <f>+NOMINA!BT315</f>
        <v>6.28</v>
      </c>
      <c r="S317" s="986">
        <f t="shared" si="68"/>
        <v>38.130000000000003</v>
      </c>
      <c r="T317" s="986">
        <f t="shared" si="69"/>
        <v>54.300000000000004</v>
      </c>
      <c r="U317" s="1005">
        <v>0</v>
      </c>
      <c r="V317" s="443" t="e">
        <f>#REF!+#REF!-O317</f>
        <v>#REF!</v>
      </c>
      <c r="W317" s="975" t="e">
        <f>ROUND((#REF!+#REF!+#REF!+#REF!+#REF!+#REF!+#REF!+#REF!+#REF!),2)</f>
        <v>#REF!</v>
      </c>
      <c r="AA317" s="976" t="e">
        <f>#REF!+#REF!-O317</f>
        <v>#REF!</v>
      </c>
      <c r="AB317" s="977" t="e">
        <f>#REF!</f>
        <v>#REF!</v>
      </c>
      <c r="AC317" s="976" t="e">
        <f>#REF!+#REF!</f>
        <v>#REF!</v>
      </c>
      <c r="AD317" s="977" t="e">
        <f>#REF!</f>
        <v>#REF!</v>
      </c>
      <c r="AE317" s="978">
        <v>0</v>
      </c>
      <c r="AF317" s="977" t="e">
        <f>#REF!</f>
        <v>#REF!</v>
      </c>
      <c r="AG317" s="979" t="e">
        <f>#REF!+#REF!</f>
        <v>#REF!</v>
      </c>
      <c r="AH317" s="979" t="e">
        <f>#REF!+#REF!</f>
        <v>#REF!</v>
      </c>
      <c r="AI317" s="979"/>
      <c r="AJ317" s="977" t="e">
        <f>#REF!</f>
        <v>#REF!</v>
      </c>
      <c r="AK317" s="977" t="e">
        <f t="shared" si="62"/>
        <v>#REF!</v>
      </c>
      <c r="AL317" s="977">
        <f t="shared" si="63"/>
        <v>54.300000000000004</v>
      </c>
      <c r="AM317" s="977">
        <f t="shared" si="64"/>
        <v>0</v>
      </c>
      <c r="AN317" s="634"/>
    </row>
    <row r="318" spans="1:42" s="629" customFormat="1" ht="20.100000000000001" customHeight="1">
      <c r="A318" s="771">
        <f t="shared" si="65"/>
        <v>5</v>
      </c>
      <c r="B318" s="980">
        <f>+NOMINA!C316</f>
        <v>6902701</v>
      </c>
      <c r="C318" s="981" t="str">
        <f>+NOMINA!D316</f>
        <v>Santiago Torres Jose Ramon</v>
      </c>
      <c r="D318" s="978" t="s">
        <v>4622</v>
      </c>
      <c r="E318" s="982">
        <v>32351</v>
      </c>
      <c r="F318" s="978" t="s">
        <v>4620</v>
      </c>
      <c r="G318" s="1004">
        <f>+NOMINA!H316</f>
        <v>44228</v>
      </c>
      <c r="H318" s="984">
        <f t="shared" si="66"/>
        <v>1</v>
      </c>
      <c r="I318" s="985">
        <v>0</v>
      </c>
      <c r="J318" s="999">
        <f>+NOMINA!BL316</f>
        <v>10.66</v>
      </c>
      <c r="K318" s="999">
        <f>+NOMINA!BM316</f>
        <v>1.33</v>
      </c>
      <c r="L318" s="999">
        <f>+NOMINA!BN316</f>
        <v>2.89</v>
      </c>
      <c r="M318" s="999">
        <f>++NOMINA!BO316</f>
        <v>0</v>
      </c>
      <c r="N318" s="999">
        <f>+NOMINA!BP316</f>
        <v>0</v>
      </c>
      <c r="O318" s="986">
        <f t="shared" si="67"/>
        <v>14.88</v>
      </c>
      <c r="P318" s="999">
        <f>+NOMINA!BR316</f>
        <v>23.99</v>
      </c>
      <c r="Q318" s="999">
        <f>+NOMINA!BS316</f>
        <v>5.33</v>
      </c>
      <c r="R318" s="999">
        <f>+NOMINA!BT316</f>
        <v>5.78</v>
      </c>
      <c r="S318" s="986">
        <f t="shared" si="68"/>
        <v>35.1</v>
      </c>
      <c r="T318" s="986">
        <f t="shared" si="69"/>
        <v>49.980000000000004</v>
      </c>
      <c r="U318" s="1005">
        <v>0</v>
      </c>
      <c r="V318" s="443" t="e">
        <f>#REF!+#REF!-O318</f>
        <v>#REF!</v>
      </c>
      <c r="W318" s="975" t="e">
        <f>ROUND((#REF!+#REF!+#REF!+#REF!+#REF!+#REF!+#REF!+#REF!+#REF!),2)</f>
        <v>#REF!</v>
      </c>
      <c r="AA318" s="976" t="e">
        <f>#REF!+#REF!-O318</f>
        <v>#REF!</v>
      </c>
      <c r="AB318" s="977" t="e">
        <f>#REF!</f>
        <v>#REF!</v>
      </c>
      <c r="AC318" s="976" t="e">
        <f>#REF!+#REF!</f>
        <v>#REF!</v>
      </c>
      <c r="AD318" s="977" t="e">
        <f>#REF!</f>
        <v>#REF!</v>
      </c>
      <c r="AE318" s="978">
        <v>0</v>
      </c>
      <c r="AF318" s="977" t="e">
        <f>#REF!</f>
        <v>#REF!</v>
      </c>
      <c r="AG318" s="979" t="e">
        <f>#REF!+#REF!</f>
        <v>#REF!</v>
      </c>
      <c r="AH318" s="979" t="e">
        <f>#REF!+#REF!</f>
        <v>#REF!</v>
      </c>
      <c r="AI318" s="979"/>
      <c r="AJ318" s="977" t="e">
        <f>#REF!</f>
        <v>#REF!</v>
      </c>
      <c r="AK318" s="977" t="e">
        <f t="shared" si="62"/>
        <v>#REF!</v>
      </c>
      <c r="AL318" s="977">
        <f t="shared" si="63"/>
        <v>49.980000000000004</v>
      </c>
      <c r="AM318" s="977">
        <f t="shared" si="64"/>
        <v>0</v>
      </c>
      <c r="AN318" s="634"/>
    </row>
    <row r="319" spans="1:42" s="629" customFormat="1" ht="20.100000000000001" customHeight="1">
      <c r="A319" s="771">
        <f t="shared" si="65"/>
        <v>6</v>
      </c>
      <c r="B319" s="980">
        <f>+NOMINA!C317</f>
        <v>7252065</v>
      </c>
      <c r="C319" s="981" t="str">
        <f>+NOMINA!D317</f>
        <v>Rivas Rivas Jose Gerardo</v>
      </c>
      <c r="D319" s="978" t="s">
        <v>4622</v>
      </c>
      <c r="E319" s="982">
        <v>32351</v>
      </c>
      <c r="F319" s="978" t="s">
        <v>4620</v>
      </c>
      <c r="G319" s="1004">
        <f>+NOMINA!H317</f>
        <v>43891</v>
      </c>
      <c r="H319" s="984">
        <f t="shared" si="66"/>
        <v>2</v>
      </c>
      <c r="I319" s="985">
        <v>0</v>
      </c>
      <c r="J319" s="999">
        <f>+NOMINA!BL317</f>
        <v>13.83</v>
      </c>
      <c r="K319" s="999">
        <f>+NOMINA!BM317</f>
        <v>1.73</v>
      </c>
      <c r="L319" s="999">
        <f>+NOMINA!BN317</f>
        <v>3.75</v>
      </c>
      <c r="M319" s="999">
        <f>++NOMINA!BO317</f>
        <v>0</v>
      </c>
      <c r="N319" s="999">
        <f>+NOMINA!BP317</f>
        <v>0</v>
      </c>
      <c r="O319" s="986">
        <f t="shared" si="67"/>
        <v>19.309999999999999</v>
      </c>
      <c r="P319" s="999">
        <f>+NOMINA!BR317</f>
        <v>31.11</v>
      </c>
      <c r="Q319" s="999">
        <f>+NOMINA!BS317</f>
        <v>6.91</v>
      </c>
      <c r="R319" s="999">
        <f>+NOMINA!BT317</f>
        <v>7.5</v>
      </c>
      <c r="S319" s="986">
        <f t="shared" si="68"/>
        <v>45.52</v>
      </c>
      <c r="T319" s="986">
        <f t="shared" si="69"/>
        <v>64.83</v>
      </c>
      <c r="U319" s="1005">
        <v>0</v>
      </c>
      <c r="V319" s="443" t="e">
        <f>#REF!+#REF!-O319</f>
        <v>#REF!</v>
      </c>
      <c r="W319" s="975" t="e">
        <f>ROUND((#REF!+#REF!+#REF!+#REF!+#REF!+#REF!+#REF!+#REF!+#REF!),2)</f>
        <v>#REF!</v>
      </c>
      <c r="AA319" s="976" t="e">
        <f>#REF!+#REF!-O319</f>
        <v>#REF!</v>
      </c>
      <c r="AB319" s="977" t="e">
        <f>#REF!</f>
        <v>#REF!</v>
      </c>
      <c r="AC319" s="976" t="e">
        <f>#REF!+#REF!</f>
        <v>#REF!</v>
      </c>
      <c r="AD319" s="977" t="e">
        <f>#REF!</f>
        <v>#REF!</v>
      </c>
      <c r="AE319" s="978">
        <v>0</v>
      </c>
      <c r="AF319" s="977" t="e">
        <f>#REF!</f>
        <v>#REF!</v>
      </c>
      <c r="AG319" s="979" t="e">
        <f>#REF!+#REF!</f>
        <v>#REF!</v>
      </c>
      <c r="AH319" s="979" t="e">
        <f>#REF!+#REF!</f>
        <v>#REF!</v>
      </c>
      <c r="AI319" s="979"/>
      <c r="AJ319" s="977" t="e">
        <f>#REF!</f>
        <v>#REF!</v>
      </c>
      <c r="AK319" s="977" t="e">
        <f t="shared" si="62"/>
        <v>#REF!</v>
      </c>
      <c r="AL319" s="977">
        <f t="shared" si="63"/>
        <v>64.83</v>
      </c>
      <c r="AM319" s="977">
        <f t="shared" si="64"/>
        <v>0</v>
      </c>
      <c r="AN319" s="634"/>
    </row>
    <row r="320" spans="1:42" s="629" customFormat="1" ht="20.100000000000001" customHeight="1">
      <c r="A320" s="771">
        <f t="shared" si="65"/>
        <v>7</v>
      </c>
      <c r="B320" s="980">
        <f>+NOMINA!C318</f>
        <v>9008311</v>
      </c>
      <c r="C320" s="981" t="str">
        <f>+NOMINA!D318</f>
        <v>Toro Margi Enrique</v>
      </c>
      <c r="D320" s="978" t="s">
        <v>4622</v>
      </c>
      <c r="E320" s="982">
        <v>32351</v>
      </c>
      <c r="F320" s="978" t="s">
        <v>4620</v>
      </c>
      <c r="G320" s="1004">
        <f>+NOMINA!H318</f>
        <v>39265</v>
      </c>
      <c r="H320" s="984">
        <f t="shared" si="66"/>
        <v>15</v>
      </c>
      <c r="I320" s="985">
        <v>0</v>
      </c>
      <c r="J320" s="999">
        <f>+NOMINA!BL318</f>
        <v>11.6</v>
      </c>
      <c r="K320" s="999">
        <f>+NOMINA!BM318</f>
        <v>1.45</v>
      </c>
      <c r="L320" s="999">
        <f>+NOMINA!BN318</f>
        <v>3.14</v>
      </c>
      <c r="M320" s="999">
        <f>++NOMINA!BO318</f>
        <v>0</v>
      </c>
      <c r="N320" s="999">
        <f>+NOMINA!BP318</f>
        <v>0</v>
      </c>
      <c r="O320" s="986">
        <f t="shared" si="67"/>
        <v>16.190000000000001</v>
      </c>
      <c r="P320" s="999">
        <f>+NOMINA!BR318</f>
        <v>26.1</v>
      </c>
      <c r="Q320" s="999">
        <f>+NOMINA!BS318</f>
        <v>5.8</v>
      </c>
      <c r="R320" s="999">
        <f>+NOMINA!BT318</f>
        <v>6.28</v>
      </c>
      <c r="S320" s="986">
        <f t="shared" si="68"/>
        <v>38.18</v>
      </c>
      <c r="T320" s="986">
        <f t="shared" si="69"/>
        <v>54.370000000000005</v>
      </c>
      <c r="U320" s="1005">
        <v>0</v>
      </c>
      <c r="V320" s="443" t="e">
        <f>#REF!+#REF!-O320</f>
        <v>#REF!</v>
      </c>
      <c r="W320" s="975" t="e">
        <f>ROUND((#REF!+#REF!+#REF!+#REF!+#REF!+#REF!+#REF!+#REF!+#REF!),2)</f>
        <v>#REF!</v>
      </c>
      <c r="AA320" s="976" t="e">
        <f>#REF!+#REF!-O320</f>
        <v>#REF!</v>
      </c>
      <c r="AB320" s="977" t="e">
        <f>#REF!</f>
        <v>#REF!</v>
      </c>
      <c r="AC320" s="976" t="e">
        <f>#REF!+#REF!</f>
        <v>#REF!</v>
      </c>
      <c r="AD320" s="977" t="e">
        <f>#REF!</f>
        <v>#REF!</v>
      </c>
      <c r="AE320" s="978">
        <v>0</v>
      </c>
      <c r="AF320" s="977" t="e">
        <f>#REF!</f>
        <v>#REF!</v>
      </c>
      <c r="AG320" s="979" t="e">
        <f>#REF!+#REF!</f>
        <v>#REF!</v>
      </c>
      <c r="AH320" s="979" t="e">
        <f>#REF!+#REF!</f>
        <v>#REF!</v>
      </c>
      <c r="AI320" s="979"/>
      <c r="AJ320" s="977" t="e">
        <f>#REF!</f>
        <v>#REF!</v>
      </c>
      <c r="AK320" s="977" t="e">
        <f t="shared" si="62"/>
        <v>#REF!</v>
      </c>
      <c r="AL320" s="977">
        <f t="shared" si="63"/>
        <v>54.370000000000005</v>
      </c>
      <c r="AM320" s="977">
        <f t="shared" si="64"/>
        <v>0</v>
      </c>
      <c r="AN320" s="634"/>
    </row>
    <row r="321" spans="1:40" s="629" customFormat="1" ht="20.100000000000001" customHeight="1">
      <c r="A321" s="771">
        <f t="shared" si="65"/>
        <v>8</v>
      </c>
      <c r="B321" s="980">
        <f>+NOMINA!C319</f>
        <v>9011963</v>
      </c>
      <c r="C321" s="981" t="str">
        <f>+NOMINA!D319</f>
        <v>Alarcon Argenio</v>
      </c>
      <c r="D321" s="978" t="s">
        <v>4622</v>
      </c>
      <c r="E321" s="982">
        <v>32351</v>
      </c>
      <c r="F321" s="978" t="s">
        <v>4620</v>
      </c>
      <c r="G321" s="1004">
        <f>+NOMINA!H319</f>
        <v>39820</v>
      </c>
      <c r="H321" s="984">
        <f t="shared" si="66"/>
        <v>13</v>
      </c>
      <c r="I321" s="985">
        <v>0</v>
      </c>
      <c r="J321" s="999">
        <f>+NOMINA!BL319</f>
        <v>0</v>
      </c>
      <c r="K321" s="999">
        <f>+NOMINA!BM319</f>
        <v>0</v>
      </c>
      <c r="L321" s="999">
        <f>+NOMINA!BN319</f>
        <v>3.12</v>
      </c>
      <c r="M321" s="999">
        <f>++NOMINA!BO319</f>
        <v>0</v>
      </c>
      <c r="N321" s="999">
        <f>+NOMINA!BP319</f>
        <v>0</v>
      </c>
      <c r="O321" s="986">
        <f t="shared" si="67"/>
        <v>3.12</v>
      </c>
      <c r="P321" s="999">
        <f>+NOMINA!BR319</f>
        <v>0</v>
      </c>
      <c r="Q321" s="999">
        <f>+NOMINA!BS319</f>
        <v>0</v>
      </c>
      <c r="R321" s="999">
        <f>+NOMINA!BT319</f>
        <v>6.24</v>
      </c>
      <c r="S321" s="986">
        <f t="shared" si="68"/>
        <v>6.24</v>
      </c>
      <c r="T321" s="986">
        <f t="shared" si="69"/>
        <v>9.36</v>
      </c>
      <c r="U321" s="1005">
        <v>0</v>
      </c>
      <c r="V321" s="443" t="e">
        <f>#REF!+#REF!-O321</f>
        <v>#REF!</v>
      </c>
      <c r="W321" s="975" t="e">
        <f>ROUND((#REF!+#REF!+#REF!+#REF!+#REF!+#REF!+#REF!+#REF!+#REF!),2)</f>
        <v>#REF!</v>
      </c>
      <c r="AA321" s="976" t="e">
        <f>#REF!+#REF!-O321</f>
        <v>#REF!</v>
      </c>
      <c r="AB321" s="977" t="e">
        <f>#REF!</f>
        <v>#REF!</v>
      </c>
      <c r="AC321" s="976" t="e">
        <f>#REF!+#REF!</f>
        <v>#REF!</v>
      </c>
      <c r="AD321" s="977" t="e">
        <f>#REF!</f>
        <v>#REF!</v>
      </c>
      <c r="AE321" s="978">
        <v>0</v>
      </c>
      <c r="AF321" s="977" t="e">
        <f>#REF!</f>
        <v>#REF!</v>
      </c>
      <c r="AG321" s="979" t="e">
        <f>#REF!+#REF!</f>
        <v>#REF!</v>
      </c>
      <c r="AH321" s="979" t="e">
        <f>#REF!+#REF!</f>
        <v>#REF!</v>
      </c>
      <c r="AI321" s="979"/>
      <c r="AJ321" s="977" t="e">
        <f>#REF!</f>
        <v>#REF!</v>
      </c>
      <c r="AK321" s="977" t="e">
        <f t="shared" si="62"/>
        <v>#REF!</v>
      </c>
      <c r="AL321" s="977">
        <f t="shared" si="63"/>
        <v>9.36</v>
      </c>
      <c r="AM321" s="977">
        <f t="shared" si="64"/>
        <v>0</v>
      </c>
      <c r="AN321" s="634"/>
    </row>
    <row r="322" spans="1:40" s="629" customFormat="1" ht="20.100000000000001" customHeight="1">
      <c r="A322" s="771">
        <f t="shared" si="65"/>
        <v>9</v>
      </c>
      <c r="B322" s="980">
        <f>+NOMINA!C320</f>
        <v>9100500</v>
      </c>
      <c r="C322" s="981" t="str">
        <f>+NOMINA!D320</f>
        <v>Hernandez de Villegas Zoraida Elodia</v>
      </c>
      <c r="D322" s="978" t="s">
        <v>4622</v>
      </c>
      <c r="E322" s="982">
        <v>32351</v>
      </c>
      <c r="F322" s="978" t="s">
        <v>4620</v>
      </c>
      <c r="G322" s="1004">
        <f>+NOMINA!H320</f>
        <v>39496</v>
      </c>
      <c r="H322" s="984">
        <f t="shared" si="66"/>
        <v>14</v>
      </c>
      <c r="I322" s="985">
        <v>0</v>
      </c>
      <c r="J322" s="999">
        <f>+NOMINA!BL320</f>
        <v>10.54</v>
      </c>
      <c r="K322" s="999">
        <f>+NOMINA!BM320</f>
        <v>1.32</v>
      </c>
      <c r="L322" s="999">
        <f>+NOMINA!BN320</f>
        <v>2.85</v>
      </c>
      <c r="M322" s="999">
        <f>++NOMINA!BO320</f>
        <v>0</v>
      </c>
      <c r="N322" s="999">
        <f>+NOMINA!BP320</f>
        <v>0</v>
      </c>
      <c r="O322" s="986">
        <f t="shared" si="67"/>
        <v>14.71</v>
      </c>
      <c r="P322" s="999">
        <f>+NOMINA!BR320</f>
        <v>23.72</v>
      </c>
      <c r="Q322" s="999">
        <f>+NOMINA!BS320</f>
        <v>5.27</v>
      </c>
      <c r="R322" s="999">
        <f>+NOMINA!BT320</f>
        <v>5.7</v>
      </c>
      <c r="S322" s="986">
        <f t="shared" si="68"/>
        <v>34.69</v>
      </c>
      <c r="T322" s="986">
        <f t="shared" si="69"/>
        <v>49.4</v>
      </c>
      <c r="U322" s="1005">
        <v>0</v>
      </c>
      <c r="V322" s="443" t="e">
        <f>#REF!+#REF!-O322</f>
        <v>#REF!</v>
      </c>
      <c r="W322" s="975" t="e">
        <f>ROUND((#REF!+#REF!+#REF!+#REF!+#REF!+#REF!+#REF!+#REF!+#REF!),2)</f>
        <v>#REF!</v>
      </c>
      <c r="AA322" s="976" t="e">
        <f>#REF!+#REF!-O322</f>
        <v>#REF!</v>
      </c>
      <c r="AB322" s="977" t="e">
        <f>#REF!</f>
        <v>#REF!</v>
      </c>
      <c r="AC322" s="976" t="e">
        <f>#REF!+#REF!</f>
        <v>#REF!</v>
      </c>
      <c r="AD322" s="977" t="e">
        <f>#REF!</f>
        <v>#REF!</v>
      </c>
      <c r="AE322" s="978">
        <v>0</v>
      </c>
      <c r="AF322" s="977" t="e">
        <f>#REF!</f>
        <v>#REF!</v>
      </c>
      <c r="AG322" s="979" t="e">
        <f>#REF!+#REF!</f>
        <v>#REF!</v>
      </c>
      <c r="AH322" s="979" t="e">
        <f>#REF!+#REF!</f>
        <v>#REF!</v>
      </c>
      <c r="AI322" s="979"/>
      <c r="AJ322" s="977" t="e">
        <f>#REF!</f>
        <v>#REF!</v>
      </c>
      <c r="AK322" s="977" t="e">
        <f t="shared" si="62"/>
        <v>#REF!</v>
      </c>
      <c r="AL322" s="977">
        <f t="shared" si="63"/>
        <v>49.4</v>
      </c>
      <c r="AM322" s="977">
        <f t="shared" si="64"/>
        <v>0</v>
      </c>
      <c r="AN322" s="634"/>
    </row>
    <row r="323" spans="1:40" s="629" customFormat="1" ht="20.100000000000001" customHeight="1">
      <c r="A323" s="771">
        <f t="shared" si="65"/>
        <v>10</v>
      </c>
      <c r="B323" s="980">
        <f>+NOMINA!C321</f>
        <v>9110498</v>
      </c>
      <c r="C323" s="981" t="str">
        <f>+NOMINA!D321</f>
        <v>Ruiz Alberto Jose</v>
      </c>
      <c r="D323" s="978" t="s">
        <v>4622</v>
      </c>
      <c r="E323" s="982">
        <v>32351</v>
      </c>
      <c r="F323" s="978" t="s">
        <v>4620</v>
      </c>
      <c r="G323" s="1004">
        <f>+NOMINA!H321</f>
        <v>37508</v>
      </c>
      <c r="H323" s="984">
        <f t="shared" si="66"/>
        <v>20</v>
      </c>
      <c r="I323" s="985">
        <v>0</v>
      </c>
      <c r="J323" s="999">
        <f>+NOMINA!BL321</f>
        <v>12.07</v>
      </c>
      <c r="K323" s="999">
        <f>+NOMINA!BM321</f>
        <v>1.51</v>
      </c>
      <c r="L323" s="999">
        <f>+NOMINA!BN321</f>
        <v>3.27</v>
      </c>
      <c r="M323" s="999">
        <f>++NOMINA!BO321</f>
        <v>1.52</v>
      </c>
      <c r="N323" s="999">
        <f>+NOMINA!BP321</f>
        <v>0</v>
      </c>
      <c r="O323" s="986">
        <f t="shared" si="67"/>
        <v>18.37</v>
      </c>
      <c r="P323" s="999">
        <f>+NOMINA!BR321</f>
        <v>27.17</v>
      </c>
      <c r="Q323" s="999">
        <f>+NOMINA!BS321</f>
        <v>6.04</v>
      </c>
      <c r="R323" s="999">
        <f>+NOMINA!BT321</f>
        <v>6.54</v>
      </c>
      <c r="S323" s="986">
        <f t="shared" si="68"/>
        <v>39.75</v>
      </c>
      <c r="T323" s="986">
        <f t="shared" si="69"/>
        <v>58.120000000000005</v>
      </c>
      <c r="U323" s="1005">
        <v>0</v>
      </c>
      <c r="V323" s="443" t="e">
        <f>#REF!+#REF!-O323</f>
        <v>#REF!</v>
      </c>
      <c r="W323" s="975" t="e">
        <f>ROUND((#REF!+#REF!+#REF!+#REF!+#REF!+#REF!+#REF!+#REF!+#REF!),2)</f>
        <v>#REF!</v>
      </c>
      <c r="AA323" s="976" t="e">
        <f>#REF!+#REF!-O323</f>
        <v>#REF!</v>
      </c>
      <c r="AB323" s="977" t="e">
        <f>#REF!</f>
        <v>#REF!</v>
      </c>
      <c r="AC323" s="976" t="e">
        <f>#REF!+#REF!</f>
        <v>#REF!</v>
      </c>
      <c r="AD323" s="977" t="e">
        <f>#REF!</f>
        <v>#REF!</v>
      </c>
      <c r="AE323" s="978">
        <v>0</v>
      </c>
      <c r="AF323" s="977" t="e">
        <f>#REF!</f>
        <v>#REF!</v>
      </c>
      <c r="AG323" s="979" t="e">
        <f>#REF!+#REF!</f>
        <v>#REF!</v>
      </c>
      <c r="AH323" s="979" t="e">
        <f>#REF!+#REF!</f>
        <v>#REF!</v>
      </c>
      <c r="AI323" s="979"/>
      <c r="AJ323" s="977" t="e">
        <f>#REF!</f>
        <v>#REF!</v>
      </c>
      <c r="AK323" s="977" t="e">
        <f t="shared" si="62"/>
        <v>#REF!</v>
      </c>
      <c r="AL323" s="977">
        <f t="shared" si="63"/>
        <v>58.120000000000005</v>
      </c>
      <c r="AM323" s="977">
        <f t="shared" si="64"/>
        <v>0</v>
      </c>
      <c r="AN323" s="634"/>
    </row>
    <row r="324" spans="1:40" s="629" customFormat="1" ht="20.100000000000001" customHeight="1">
      <c r="A324" s="771">
        <f t="shared" si="65"/>
        <v>11</v>
      </c>
      <c r="B324" s="980">
        <f>+NOMINA!C322</f>
        <v>9163994</v>
      </c>
      <c r="C324" s="981" t="str">
        <f>+NOMINA!D322</f>
        <v>Rodriguez Fernandez Carlos Eduardo</v>
      </c>
      <c r="D324" s="978" t="s">
        <v>4622</v>
      </c>
      <c r="E324" s="982">
        <v>32351</v>
      </c>
      <c r="F324" s="978" t="s">
        <v>4620</v>
      </c>
      <c r="G324" s="1004">
        <f>+NOMINA!H322</f>
        <v>43770</v>
      </c>
      <c r="H324" s="984">
        <f t="shared" si="66"/>
        <v>3</v>
      </c>
      <c r="I324" s="985">
        <v>0</v>
      </c>
      <c r="J324" s="999">
        <f>+NOMINA!BL322</f>
        <v>11.43</v>
      </c>
      <c r="K324" s="999">
        <f>+NOMINA!BM322</f>
        <v>1.43</v>
      </c>
      <c r="L324" s="999">
        <f>+NOMINA!BN322</f>
        <v>3.1</v>
      </c>
      <c r="M324" s="999">
        <f>++NOMINA!BO322</f>
        <v>0</v>
      </c>
      <c r="N324" s="999">
        <f>+NOMINA!BP322</f>
        <v>0</v>
      </c>
      <c r="O324" s="986">
        <f t="shared" si="67"/>
        <v>15.96</v>
      </c>
      <c r="P324" s="999">
        <f>+NOMINA!BR322</f>
        <v>25.72</v>
      </c>
      <c r="Q324" s="999">
        <f>+NOMINA!BS322</f>
        <v>5.71</v>
      </c>
      <c r="R324" s="999">
        <f>+NOMINA!BT322</f>
        <v>6.2</v>
      </c>
      <c r="S324" s="986">
        <f t="shared" si="68"/>
        <v>37.630000000000003</v>
      </c>
      <c r="T324" s="986">
        <f t="shared" si="69"/>
        <v>53.59</v>
      </c>
      <c r="U324" s="1005">
        <v>0</v>
      </c>
      <c r="V324" s="443" t="e">
        <f>#REF!+#REF!-O324</f>
        <v>#REF!</v>
      </c>
      <c r="W324" s="975" t="e">
        <f>ROUND((#REF!+#REF!+#REF!+#REF!+#REF!+#REF!+#REF!+#REF!+#REF!),2)</f>
        <v>#REF!</v>
      </c>
      <c r="AA324" s="976" t="e">
        <f>#REF!+#REF!-O324</f>
        <v>#REF!</v>
      </c>
      <c r="AB324" s="977" t="e">
        <f>#REF!</f>
        <v>#REF!</v>
      </c>
      <c r="AC324" s="976" t="e">
        <f>#REF!+#REF!</f>
        <v>#REF!</v>
      </c>
      <c r="AD324" s="977" t="e">
        <f>#REF!</f>
        <v>#REF!</v>
      </c>
      <c r="AE324" s="978">
        <v>0</v>
      </c>
      <c r="AF324" s="977" t="e">
        <f>#REF!</f>
        <v>#REF!</v>
      </c>
      <c r="AG324" s="979" t="e">
        <f>#REF!+#REF!</f>
        <v>#REF!</v>
      </c>
      <c r="AH324" s="979" t="e">
        <f>#REF!+#REF!</f>
        <v>#REF!</v>
      </c>
      <c r="AI324" s="979"/>
      <c r="AJ324" s="977" t="e">
        <f>#REF!</f>
        <v>#REF!</v>
      </c>
      <c r="AK324" s="977" t="e">
        <f t="shared" si="62"/>
        <v>#REF!</v>
      </c>
      <c r="AL324" s="977">
        <f t="shared" si="63"/>
        <v>53.59</v>
      </c>
      <c r="AM324" s="977">
        <f t="shared" si="64"/>
        <v>0</v>
      </c>
      <c r="AN324" s="634"/>
    </row>
    <row r="325" spans="1:40" s="629" customFormat="1" ht="20.100000000000001" customHeight="1">
      <c r="A325" s="771">
        <f t="shared" si="65"/>
        <v>12</v>
      </c>
      <c r="B325" s="980">
        <f>+NOMINA!C323</f>
        <v>9167342</v>
      </c>
      <c r="C325" s="981" t="str">
        <f>+NOMINA!D323</f>
        <v>Gutierrez Briceño Jose Justimiano</v>
      </c>
      <c r="D325" s="978" t="s">
        <v>4622</v>
      </c>
      <c r="E325" s="982">
        <v>32351</v>
      </c>
      <c r="F325" s="978" t="s">
        <v>4620</v>
      </c>
      <c r="G325" s="1004">
        <f>+NOMINA!H323</f>
        <v>43845</v>
      </c>
      <c r="H325" s="984">
        <f t="shared" si="66"/>
        <v>2</v>
      </c>
      <c r="I325" s="985">
        <v>0</v>
      </c>
      <c r="J325" s="999">
        <f>+NOMINA!BL323</f>
        <v>10.69</v>
      </c>
      <c r="K325" s="999">
        <f>+NOMINA!BM323</f>
        <v>1.34</v>
      </c>
      <c r="L325" s="999">
        <f>+NOMINA!BN323</f>
        <v>2.9</v>
      </c>
      <c r="M325" s="999">
        <f>++NOMINA!BO323</f>
        <v>0</v>
      </c>
      <c r="N325" s="999">
        <f>+NOMINA!BP323</f>
        <v>0</v>
      </c>
      <c r="O325" s="986">
        <f t="shared" si="67"/>
        <v>14.93</v>
      </c>
      <c r="P325" s="999">
        <f>+NOMINA!BR323</f>
        <v>24.06</v>
      </c>
      <c r="Q325" s="999">
        <f>+NOMINA!BS323</f>
        <v>5.35</v>
      </c>
      <c r="R325" s="999">
        <f>+NOMINA!BT323</f>
        <v>5.8</v>
      </c>
      <c r="S325" s="986">
        <f t="shared" si="68"/>
        <v>35.21</v>
      </c>
      <c r="T325" s="986">
        <f t="shared" si="69"/>
        <v>50.14</v>
      </c>
      <c r="U325" s="1005">
        <v>0</v>
      </c>
      <c r="V325" s="443" t="e">
        <f>#REF!+#REF!-O325</f>
        <v>#REF!</v>
      </c>
      <c r="W325" s="975" t="e">
        <f>ROUND((#REF!+#REF!+#REF!+#REF!+#REF!+#REF!+#REF!+#REF!+#REF!),2)</f>
        <v>#REF!</v>
      </c>
      <c r="AA325" s="976" t="e">
        <f>#REF!+#REF!-O325</f>
        <v>#REF!</v>
      </c>
      <c r="AB325" s="977" t="e">
        <f>#REF!</f>
        <v>#REF!</v>
      </c>
      <c r="AC325" s="976" t="e">
        <f>#REF!+#REF!</f>
        <v>#REF!</v>
      </c>
      <c r="AD325" s="977" t="e">
        <f>#REF!</f>
        <v>#REF!</v>
      </c>
      <c r="AE325" s="978">
        <v>0</v>
      </c>
      <c r="AF325" s="977" t="e">
        <f>#REF!</f>
        <v>#REF!</v>
      </c>
      <c r="AG325" s="979" t="e">
        <f>#REF!+#REF!</f>
        <v>#REF!</v>
      </c>
      <c r="AH325" s="979" t="e">
        <f>#REF!+#REF!</f>
        <v>#REF!</v>
      </c>
      <c r="AI325" s="979"/>
      <c r="AJ325" s="977" t="e">
        <f>#REF!</f>
        <v>#REF!</v>
      </c>
      <c r="AK325" s="977" t="e">
        <f t="shared" si="62"/>
        <v>#REF!</v>
      </c>
      <c r="AL325" s="977">
        <f t="shared" si="63"/>
        <v>50.14</v>
      </c>
      <c r="AM325" s="977">
        <f t="shared" si="64"/>
        <v>0</v>
      </c>
      <c r="AN325" s="634"/>
    </row>
    <row r="326" spans="1:40" s="629" customFormat="1" ht="20.100000000000001" customHeight="1">
      <c r="A326" s="771">
        <f t="shared" si="65"/>
        <v>13</v>
      </c>
      <c r="B326" s="980">
        <f>+NOMINA!C324</f>
        <v>9310477</v>
      </c>
      <c r="C326" s="981" t="str">
        <f>+NOMINA!D324</f>
        <v>Campos Muchacho Rafael Angel</v>
      </c>
      <c r="D326" s="978" t="s">
        <v>4622</v>
      </c>
      <c r="E326" s="982">
        <v>32351</v>
      </c>
      <c r="F326" s="978" t="s">
        <v>4620</v>
      </c>
      <c r="G326" s="1004">
        <f>+NOMINA!H324</f>
        <v>44075</v>
      </c>
      <c r="H326" s="984">
        <f t="shared" si="66"/>
        <v>2</v>
      </c>
      <c r="I326" s="985">
        <v>0</v>
      </c>
      <c r="J326" s="999">
        <f>+NOMINA!BL324</f>
        <v>10.64</v>
      </c>
      <c r="K326" s="999">
        <f>+NOMINA!BM324</f>
        <v>1.33</v>
      </c>
      <c r="L326" s="999">
        <f>+NOMINA!BN324</f>
        <v>2.88</v>
      </c>
      <c r="M326" s="999">
        <f>++NOMINA!BO324</f>
        <v>0</v>
      </c>
      <c r="N326" s="999">
        <f>+NOMINA!BP324</f>
        <v>0</v>
      </c>
      <c r="O326" s="986">
        <f t="shared" si="67"/>
        <v>14.85</v>
      </c>
      <c r="P326" s="999">
        <f>+NOMINA!BR324</f>
        <v>23.93</v>
      </c>
      <c r="Q326" s="999">
        <f>+NOMINA!BS324</f>
        <v>5.32</v>
      </c>
      <c r="R326" s="999">
        <f>+NOMINA!BT324</f>
        <v>5.76</v>
      </c>
      <c r="S326" s="986">
        <f t="shared" si="68"/>
        <v>35.01</v>
      </c>
      <c r="T326" s="986">
        <f t="shared" si="69"/>
        <v>49.86</v>
      </c>
      <c r="U326" s="1005">
        <v>0</v>
      </c>
      <c r="V326" s="443" t="e">
        <f>#REF!+#REF!-O326</f>
        <v>#REF!</v>
      </c>
      <c r="W326" s="975" t="e">
        <f>ROUND((#REF!+#REF!+#REF!+#REF!+#REF!+#REF!+#REF!+#REF!+#REF!),2)</f>
        <v>#REF!</v>
      </c>
      <c r="AA326" s="976" t="e">
        <f>#REF!+#REF!-O326</f>
        <v>#REF!</v>
      </c>
      <c r="AB326" s="977" t="e">
        <f>#REF!</f>
        <v>#REF!</v>
      </c>
      <c r="AC326" s="976" t="e">
        <f>#REF!+#REF!</f>
        <v>#REF!</v>
      </c>
      <c r="AD326" s="977" t="e">
        <f>#REF!</f>
        <v>#REF!</v>
      </c>
      <c r="AE326" s="978">
        <v>0</v>
      </c>
      <c r="AF326" s="977" t="e">
        <f>#REF!</f>
        <v>#REF!</v>
      </c>
      <c r="AG326" s="979" t="e">
        <f>#REF!+#REF!</f>
        <v>#REF!</v>
      </c>
      <c r="AH326" s="979" t="e">
        <f>#REF!+#REF!</f>
        <v>#REF!</v>
      </c>
      <c r="AI326" s="979"/>
      <c r="AJ326" s="977" t="e">
        <f>#REF!</f>
        <v>#REF!</v>
      </c>
      <c r="AK326" s="977" t="e">
        <f t="shared" si="62"/>
        <v>#REF!</v>
      </c>
      <c r="AL326" s="977">
        <f t="shared" si="63"/>
        <v>49.86</v>
      </c>
      <c r="AM326" s="977">
        <f t="shared" si="64"/>
        <v>0</v>
      </c>
      <c r="AN326" s="634"/>
    </row>
    <row r="327" spans="1:40" s="629" customFormat="1" ht="20.100000000000001" customHeight="1">
      <c r="A327" s="771">
        <f t="shared" si="65"/>
        <v>14</v>
      </c>
      <c r="B327" s="980">
        <f>+NOMINA!C325</f>
        <v>9323739</v>
      </c>
      <c r="C327" s="981" t="str">
        <f>+NOMINA!D325</f>
        <v>Vargas Benitez Jose Nerio</v>
      </c>
      <c r="D327" s="978" t="s">
        <v>4622</v>
      </c>
      <c r="E327" s="982">
        <v>32351</v>
      </c>
      <c r="F327" s="978" t="s">
        <v>4620</v>
      </c>
      <c r="G327" s="1004">
        <f>+NOMINA!H325</f>
        <v>39300</v>
      </c>
      <c r="H327" s="984">
        <f t="shared" si="66"/>
        <v>15</v>
      </c>
      <c r="I327" s="985">
        <v>0</v>
      </c>
      <c r="J327" s="999">
        <f>+NOMINA!BL325</f>
        <v>11.6</v>
      </c>
      <c r="K327" s="999">
        <f>+NOMINA!BM325</f>
        <v>1.45</v>
      </c>
      <c r="L327" s="999">
        <f>+NOMINA!BN325</f>
        <v>3.14</v>
      </c>
      <c r="M327" s="999">
        <f>++NOMINA!BO325</f>
        <v>0</v>
      </c>
      <c r="N327" s="999">
        <f>+NOMINA!BP325</f>
        <v>0</v>
      </c>
      <c r="O327" s="986">
        <f t="shared" si="67"/>
        <v>16.190000000000001</v>
      </c>
      <c r="P327" s="999">
        <f>+NOMINA!BR325</f>
        <v>26.1</v>
      </c>
      <c r="Q327" s="999">
        <f>+NOMINA!BS325</f>
        <v>5.8</v>
      </c>
      <c r="R327" s="999">
        <f>+NOMINA!BT325</f>
        <v>6.28</v>
      </c>
      <c r="S327" s="986">
        <f t="shared" si="68"/>
        <v>38.18</v>
      </c>
      <c r="T327" s="986">
        <f t="shared" si="69"/>
        <v>54.370000000000005</v>
      </c>
      <c r="U327" s="1005">
        <v>0</v>
      </c>
      <c r="V327" s="443" t="e">
        <f>#REF!+#REF!-O327</f>
        <v>#REF!</v>
      </c>
      <c r="W327" s="975" t="e">
        <f>ROUND((#REF!+#REF!+#REF!+#REF!+#REF!+#REF!+#REF!+#REF!+#REF!),2)</f>
        <v>#REF!</v>
      </c>
      <c r="AA327" s="976" t="e">
        <f>#REF!+#REF!-O327</f>
        <v>#REF!</v>
      </c>
      <c r="AB327" s="977" t="e">
        <f>#REF!</f>
        <v>#REF!</v>
      </c>
      <c r="AC327" s="976" t="e">
        <f>#REF!+#REF!</f>
        <v>#REF!</v>
      </c>
      <c r="AD327" s="977" t="e">
        <f>#REF!</f>
        <v>#REF!</v>
      </c>
      <c r="AE327" s="978">
        <v>0</v>
      </c>
      <c r="AF327" s="977" t="e">
        <f>#REF!</f>
        <v>#REF!</v>
      </c>
      <c r="AG327" s="979" t="e">
        <f>#REF!+#REF!</f>
        <v>#REF!</v>
      </c>
      <c r="AH327" s="979" t="e">
        <f>#REF!+#REF!</f>
        <v>#REF!</v>
      </c>
      <c r="AI327" s="979"/>
      <c r="AJ327" s="977" t="e">
        <f>#REF!</f>
        <v>#REF!</v>
      </c>
      <c r="AK327" s="977" t="e">
        <f t="shared" si="62"/>
        <v>#REF!</v>
      </c>
      <c r="AL327" s="977">
        <f t="shared" si="63"/>
        <v>54.370000000000005</v>
      </c>
      <c r="AM327" s="977">
        <f t="shared" si="64"/>
        <v>0</v>
      </c>
      <c r="AN327" s="634"/>
    </row>
    <row r="328" spans="1:40" s="629" customFormat="1" ht="20.100000000000001" customHeight="1">
      <c r="A328" s="771">
        <f t="shared" si="65"/>
        <v>15</v>
      </c>
      <c r="B328" s="980">
        <f>+NOMINA!C326</f>
        <v>9325664</v>
      </c>
      <c r="C328" s="981" t="str">
        <f>+NOMINA!D326</f>
        <v>Lobo Mendoza Luz Marina</v>
      </c>
      <c r="D328" s="978" t="s">
        <v>4622</v>
      </c>
      <c r="E328" s="982">
        <v>32351</v>
      </c>
      <c r="F328" s="978" t="s">
        <v>4620</v>
      </c>
      <c r="G328" s="1004">
        <f>+NOMINA!H326</f>
        <v>42948</v>
      </c>
      <c r="H328" s="984">
        <f t="shared" si="66"/>
        <v>5</v>
      </c>
      <c r="I328" s="985">
        <v>0</v>
      </c>
      <c r="J328" s="999">
        <f>+NOMINA!BL326</f>
        <v>10.83</v>
      </c>
      <c r="K328" s="999">
        <f>+NOMINA!BM326</f>
        <v>1.35</v>
      </c>
      <c r="L328" s="999">
        <f>+NOMINA!BN326</f>
        <v>2.93</v>
      </c>
      <c r="M328" s="999">
        <f>++NOMINA!BO326</f>
        <v>0</v>
      </c>
      <c r="N328" s="999">
        <f>+NOMINA!BP326</f>
        <v>0</v>
      </c>
      <c r="O328" s="986">
        <f t="shared" si="67"/>
        <v>15.11</v>
      </c>
      <c r="P328" s="999">
        <f>+NOMINA!BR326</f>
        <v>24.36</v>
      </c>
      <c r="Q328" s="999">
        <f>+NOMINA!BS326</f>
        <v>5.41</v>
      </c>
      <c r="R328" s="999">
        <f>+NOMINA!BT326</f>
        <v>5.86</v>
      </c>
      <c r="S328" s="986">
        <f t="shared" si="68"/>
        <v>35.630000000000003</v>
      </c>
      <c r="T328" s="986">
        <f t="shared" si="69"/>
        <v>50.74</v>
      </c>
      <c r="U328" s="1005">
        <v>0</v>
      </c>
      <c r="V328" s="443" t="e">
        <f>#REF!+#REF!-O328</f>
        <v>#REF!</v>
      </c>
      <c r="W328" s="975" t="e">
        <f>ROUND((#REF!+#REF!+#REF!+#REF!+#REF!+#REF!+#REF!+#REF!+#REF!),2)</f>
        <v>#REF!</v>
      </c>
      <c r="AA328" s="976" t="e">
        <f>#REF!+#REF!-O328</f>
        <v>#REF!</v>
      </c>
      <c r="AB328" s="977" t="e">
        <f>#REF!</f>
        <v>#REF!</v>
      </c>
      <c r="AC328" s="976" t="e">
        <f>#REF!+#REF!</f>
        <v>#REF!</v>
      </c>
      <c r="AD328" s="977" t="e">
        <f>#REF!</f>
        <v>#REF!</v>
      </c>
      <c r="AE328" s="978">
        <v>0</v>
      </c>
      <c r="AF328" s="977" t="e">
        <f>#REF!</f>
        <v>#REF!</v>
      </c>
      <c r="AG328" s="979" t="e">
        <f>#REF!+#REF!</f>
        <v>#REF!</v>
      </c>
      <c r="AH328" s="979" t="e">
        <f>#REF!+#REF!</f>
        <v>#REF!</v>
      </c>
      <c r="AI328" s="979"/>
      <c r="AJ328" s="977" t="e">
        <f>#REF!</f>
        <v>#REF!</v>
      </c>
      <c r="AK328" s="977" t="e">
        <f t="shared" si="62"/>
        <v>#REF!</v>
      </c>
      <c r="AL328" s="977">
        <f t="shared" si="63"/>
        <v>50.74</v>
      </c>
      <c r="AM328" s="977">
        <f t="shared" si="64"/>
        <v>0</v>
      </c>
      <c r="AN328" s="634"/>
    </row>
    <row r="329" spans="1:40" s="629" customFormat="1" ht="20.100000000000001" customHeight="1">
      <c r="A329" s="771">
        <f t="shared" si="65"/>
        <v>16</v>
      </c>
      <c r="B329" s="980">
        <f>+NOMINA!C327</f>
        <v>9328045</v>
      </c>
      <c r="C329" s="981" t="str">
        <f>+NOMINA!D327</f>
        <v>Paredes Quintero Jose Benigno</v>
      </c>
      <c r="D329" s="978" t="s">
        <v>4622</v>
      </c>
      <c r="E329" s="982">
        <v>32351</v>
      </c>
      <c r="F329" s="978" t="s">
        <v>4620</v>
      </c>
      <c r="G329" s="1004">
        <f>+NOMINA!H327</f>
        <v>44212</v>
      </c>
      <c r="H329" s="984">
        <f t="shared" si="66"/>
        <v>1</v>
      </c>
      <c r="I329" s="985">
        <v>0</v>
      </c>
      <c r="J329" s="999">
        <f>+NOMINA!BL327</f>
        <v>10.64</v>
      </c>
      <c r="K329" s="999">
        <f>+NOMINA!BM327</f>
        <v>1.33</v>
      </c>
      <c r="L329" s="999">
        <f>+NOMINA!BN327</f>
        <v>2.88</v>
      </c>
      <c r="M329" s="999">
        <f>++NOMINA!BO327</f>
        <v>0</v>
      </c>
      <c r="N329" s="999">
        <f>+NOMINA!BP327</f>
        <v>0</v>
      </c>
      <c r="O329" s="986">
        <f t="shared" si="67"/>
        <v>14.85</v>
      </c>
      <c r="P329" s="999">
        <f>+NOMINA!BR327</f>
        <v>23.93</v>
      </c>
      <c r="Q329" s="999">
        <f>+NOMINA!BS327</f>
        <v>5.32</v>
      </c>
      <c r="R329" s="999">
        <f>+NOMINA!BT327</f>
        <v>5.76</v>
      </c>
      <c r="S329" s="986">
        <f t="shared" si="68"/>
        <v>35.01</v>
      </c>
      <c r="T329" s="986">
        <f t="shared" si="69"/>
        <v>49.86</v>
      </c>
      <c r="U329" s="1005">
        <v>0</v>
      </c>
      <c r="V329" s="443" t="e">
        <f>#REF!+#REF!-O329</f>
        <v>#REF!</v>
      </c>
      <c r="W329" s="975" t="e">
        <f>ROUND((#REF!+#REF!+#REF!+#REF!+#REF!+#REF!+#REF!+#REF!+#REF!),2)</f>
        <v>#REF!</v>
      </c>
      <c r="AA329" s="976" t="e">
        <f>#REF!+#REF!-O329</f>
        <v>#REF!</v>
      </c>
      <c r="AB329" s="977" t="e">
        <f>#REF!</f>
        <v>#REF!</v>
      </c>
      <c r="AC329" s="976" t="e">
        <f>#REF!+#REF!</f>
        <v>#REF!</v>
      </c>
      <c r="AD329" s="977" t="e">
        <f>#REF!</f>
        <v>#REF!</v>
      </c>
      <c r="AE329" s="978">
        <v>0</v>
      </c>
      <c r="AF329" s="977" t="e">
        <f>#REF!</f>
        <v>#REF!</v>
      </c>
      <c r="AG329" s="979" t="e">
        <f>#REF!+#REF!</f>
        <v>#REF!</v>
      </c>
      <c r="AH329" s="979" t="e">
        <f>#REF!+#REF!</f>
        <v>#REF!</v>
      </c>
      <c r="AI329" s="979"/>
      <c r="AJ329" s="977" t="e">
        <f>#REF!</f>
        <v>#REF!</v>
      </c>
      <c r="AK329" s="977" t="e">
        <f t="shared" si="62"/>
        <v>#REF!</v>
      </c>
      <c r="AL329" s="977">
        <f t="shared" si="63"/>
        <v>49.86</v>
      </c>
      <c r="AM329" s="977">
        <f t="shared" si="64"/>
        <v>0</v>
      </c>
      <c r="AN329" s="634"/>
    </row>
    <row r="330" spans="1:40" s="629" customFormat="1" ht="20.100000000000001" customHeight="1">
      <c r="A330" s="771">
        <f t="shared" si="65"/>
        <v>17</v>
      </c>
      <c r="B330" s="980">
        <f>+NOMINA!C328</f>
        <v>10178456</v>
      </c>
      <c r="C330" s="981" t="str">
        <f>+NOMINA!D328</f>
        <v>Figueroa Roa Yudith Griselda</v>
      </c>
      <c r="D330" s="978" t="s">
        <v>4622</v>
      </c>
      <c r="E330" s="982">
        <v>32351</v>
      </c>
      <c r="F330" s="978" t="s">
        <v>4620</v>
      </c>
      <c r="G330" s="1004">
        <f>+NOMINA!H328</f>
        <v>44287</v>
      </c>
      <c r="H330" s="984">
        <f t="shared" si="66"/>
        <v>1</v>
      </c>
      <c r="I330" s="985">
        <v>0</v>
      </c>
      <c r="J330" s="999">
        <f>+NOMINA!BL328</f>
        <v>9.74</v>
      </c>
      <c r="K330" s="999">
        <f>+NOMINA!BM328</f>
        <v>1.22</v>
      </c>
      <c r="L330" s="999">
        <f>+NOMINA!BN328</f>
        <v>2.64</v>
      </c>
      <c r="M330" s="999">
        <f>++NOMINA!BO328</f>
        <v>0</v>
      </c>
      <c r="N330" s="999">
        <f>+NOMINA!BP328</f>
        <v>0</v>
      </c>
      <c r="O330" s="986">
        <f t="shared" si="67"/>
        <v>13.6</v>
      </c>
      <c r="P330" s="999">
        <f>+NOMINA!BR328</f>
        <v>21.92</v>
      </c>
      <c r="Q330" s="999">
        <f>+NOMINA!BS328</f>
        <v>4.87</v>
      </c>
      <c r="R330" s="999">
        <f>+NOMINA!BT328</f>
        <v>5.28</v>
      </c>
      <c r="S330" s="986">
        <f t="shared" si="68"/>
        <v>32.07</v>
      </c>
      <c r="T330" s="986">
        <f t="shared" si="69"/>
        <v>45.67</v>
      </c>
      <c r="U330" s="1005">
        <v>0</v>
      </c>
      <c r="V330" s="443" t="e">
        <f>#REF!+#REF!-O330</f>
        <v>#REF!</v>
      </c>
      <c r="W330" s="975" t="e">
        <f>ROUND((#REF!+#REF!+#REF!+#REF!+#REF!+#REF!+#REF!+#REF!+#REF!),2)</f>
        <v>#REF!</v>
      </c>
      <c r="AA330" s="976" t="e">
        <f>#REF!+#REF!-O330</f>
        <v>#REF!</v>
      </c>
      <c r="AB330" s="977" t="e">
        <f>#REF!</f>
        <v>#REF!</v>
      </c>
      <c r="AC330" s="976" t="e">
        <f>#REF!+#REF!</f>
        <v>#REF!</v>
      </c>
      <c r="AD330" s="977" t="e">
        <f>#REF!</f>
        <v>#REF!</v>
      </c>
      <c r="AE330" s="978">
        <v>0</v>
      </c>
      <c r="AF330" s="977" t="e">
        <f>#REF!</f>
        <v>#REF!</v>
      </c>
      <c r="AG330" s="979" t="e">
        <f>#REF!+#REF!</f>
        <v>#REF!</v>
      </c>
      <c r="AH330" s="979" t="e">
        <f>#REF!+#REF!</f>
        <v>#REF!</v>
      </c>
      <c r="AI330" s="979"/>
      <c r="AJ330" s="977" t="e">
        <f>#REF!</f>
        <v>#REF!</v>
      </c>
      <c r="AK330" s="977" t="e">
        <f t="shared" si="62"/>
        <v>#REF!</v>
      </c>
      <c r="AL330" s="977">
        <f t="shared" si="63"/>
        <v>45.67</v>
      </c>
      <c r="AM330" s="977">
        <f t="shared" si="64"/>
        <v>0</v>
      </c>
      <c r="AN330" s="634"/>
    </row>
    <row r="331" spans="1:40" s="629" customFormat="1" ht="20.100000000000001" customHeight="1">
      <c r="A331" s="771">
        <f t="shared" si="65"/>
        <v>18</v>
      </c>
      <c r="B331" s="980">
        <f>+NOMINA!C329</f>
        <v>10317435</v>
      </c>
      <c r="C331" s="981" t="str">
        <f>+NOMINA!D329</f>
        <v>Milla Ana Julia</v>
      </c>
      <c r="D331" s="978" t="s">
        <v>4622</v>
      </c>
      <c r="E331" s="982">
        <v>32351</v>
      </c>
      <c r="F331" s="978" t="s">
        <v>4620</v>
      </c>
      <c r="G331" s="1004">
        <f>+NOMINA!H329</f>
        <v>39559</v>
      </c>
      <c r="H331" s="984">
        <f t="shared" si="66"/>
        <v>14</v>
      </c>
      <c r="I331" s="985">
        <v>0</v>
      </c>
      <c r="J331" s="999">
        <f>+NOMINA!BL329</f>
        <v>10.54</v>
      </c>
      <c r="K331" s="999">
        <f>+NOMINA!BM329</f>
        <v>1.32</v>
      </c>
      <c r="L331" s="999">
        <f>+NOMINA!BN329</f>
        <v>2.85</v>
      </c>
      <c r="M331" s="999">
        <f>++NOMINA!BO329</f>
        <v>0</v>
      </c>
      <c r="N331" s="999">
        <f>+NOMINA!BP329</f>
        <v>0</v>
      </c>
      <c r="O331" s="986">
        <f t="shared" si="67"/>
        <v>14.71</v>
      </c>
      <c r="P331" s="999">
        <f>+NOMINA!BR329</f>
        <v>23.72</v>
      </c>
      <c r="Q331" s="999">
        <f>+NOMINA!BS329</f>
        <v>5.27</v>
      </c>
      <c r="R331" s="999">
        <f>+NOMINA!BT329</f>
        <v>5.7</v>
      </c>
      <c r="S331" s="986">
        <f t="shared" si="68"/>
        <v>34.69</v>
      </c>
      <c r="T331" s="986">
        <f t="shared" si="69"/>
        <v>49.4</v>
      </c>
      <c r="U331" s="1005">
        <v>0</v>
      </c>
      <c r="V331" s="443" t="e">
        <f>#REF!+#REF!-O331</f>
        <v>#REF!</v>
      </c>
      <c r="W331" s="975" t="e">
        <f>ROUND((#REF!+#REF!+#REF!+#REF!+#REF!+#REF!+#REF!+#REF!+#REF!),2)</f>
        <v>#REF!</v>
      </c>
      <c r="AA331" s="976" t="e">
        <f>#REF!+#REF!-O331</f>
        <v>#REF!</v>
      </c>
      <c r="AB331" s="977" t="e">
        <f>#REF!</f>
        <v>#REF!</v>
      </c>
      <c r="AC331" s="976" t="e">
        <f>#REF!+#REF!</f>
        <v>#REF!</v>
      </c>
      <c r="AD331" s="977" t="e">
        <f>#REF!</f>
        <v>#REF!</v>
      </c>
      <c r="AE331" s="978">
        <v>0</v>
      </c>
      <c r="AF331" s="977" t="e">
        <f>#REF!</f>
        <v>#REF!</v>
      </c>
      <c r="AG331" s="979" t="e">
        <f>#REF!+#REF!</f>
        <v>#REF!</v>
      </c>
      <c r="AH331" s="979" t="e">
        <f>#REF!+#REF!</f>
        <v>#REF!</v>
      </c>
      <c r="AI331" s="979"/>
      <c r="AJ331" s="977" t="e">
        <f>#REF!</f>
        <v>#REF!</v>
      </c>
      <c r="AK331" s="977" t="e">
        <f t="shared" si="62"/>
        <v>#REF!</v>
      </c>
      <c r="AL331" s="977">
        <f t="shared" si="63"/>
        <v>49.4</v>
      </c>
      <c r="AM331" s="977">
        <f t="shared" si="64"/>
        <v>0</v>
      </c>
      <c r="AN331" s="634"/>
    </row>
    <row r="332" spans="1:40" s="629" customFormat="1" ht="20.100000000000001" customHeight="1">
      <c r="A332" s="771">
        <f t="shared" si="65"/>
        <v>19</v>
      </c>
      <c r="B332" s="980">
        <f>+NOMINA!C330</f>
        <v>10396367</v>
      </c>
      <c r="C332" s="981" t="str">
        <f>+NOMINA!D330</f>
        <v>Hidalgo Linares Gloria Margarita</v>
      </c>
      <c r="D332" s="978" t="s">
        <v>4622</v>
      </c>
      <c r="E332" s="982">
        <v>32351</v>
      </c>
      <c r="F332" s="978" t="s">
        <v>4620</v>
      </c>
      <c r="G332" s="1004">
        <f>+NOMINA!H330</f>
        <v>39722</v>
      </c>
      <c r="H332" s="984">
        <f t="shared" si="66"/>
        <v>14</v>
      </c>
      <c r="I332" s="985">
        <v>0</v>
      </c>
      <c r="J332" s="999">
        <f>+NOMINA!BL330</f>
        <v>12.35</v>
      </c>
      <c r="K332" s="999">
        <f>+NOMINA!BM330</f>
        <v>1.54</v>
      </c>
      <c r="L332" s="999">
        <f>+NOMINA!BN330</f>
        <v>3.35</v>
      </c>
      <c r="M332" s="999">
        <f>++NOMINA!BO330</f>
        <v>0</v>
      </c>
      <c r="N332" s="999">
        <f>+NOMINA!BP330</f>
        <v>0</v>
      </c>
      <c r="O332" s="986">
        <f t="shared" si="67"/>
        <v>17.239999999999998</v>
      </c>
      <c r="P332" s="999">
        <f>+NOMINA!BR330</f>
        <v>27.79</v>
      </c>
      <c r="Q332" s="999">
        <f>+NOMINA!BS330</f>
        <v>6.18</v>
      </c>
      <c r="R332" s="999">
        <f>+NOMINA!BT330</f>
        <v>6.7</v>
      </c>
      <c r="S332" s="986">
        <f t="shared" si="68"/>
        <v>40.67</v>
      </c>
      <c r="T332" s="986">
        <f t="shared" si="69"/>
        <v>57.91</v>
      </c>
      <c r="U332" s="1005">
        <v>0</v>
      </c>
      <c r="V332" s="443" t="e">
        <f>#REF!+#REF!-O332</f>
        <v>#REF!</v>
      </c>
      <c r="W332" s="975" t="e">
        <f>ROUND((#REF!+#REF!+#REF!+#REF!+#REF!+#REF!+#REF!+#REF!+#REF!),2)</f>
        <v>#REF!</v>
      </c>
      <c r="AA332" s="976" t="e">
        <f>#REF!+#REF!-O332</f>
        <v>#REF!</v>
      </c>
      <c r="AB332" s="977" t="e">
        <f>#REF!</f>
        <v>#REF!</v>
      </c>
      <c r="AC332" s="976" t="e">
        <f>#REF!+#REF!</f>
        <v>#REF!</v>
      </c>
      <c r="AD332" s="977" t="e">
        <f>#REF!</f>
        <v>#REF!</v>
      </c>
      <c r="AE332" s="978">
        <v>0</v>
      </c>
      <c r="AF332" s="977" t="e">
        <f>#REF!</f>
        <v>#REF!</v>
      </c>
      <c r="AG332" s="979" t="e">
        <f>#REF!+#REF!</f>
        <v>#REF!</v>
      </c>
      <c r="AH332" s="979" t="e">
        <f>#REF!+#REF!</f>
        <v>#REF!</v>
      </c>
      <c r="AI332" s="979"/>
      <c r="AJ332" s="977" t="e">
        <f>#REF!</f>
        <v>#REF!</v>
      </c>
      <c r="AK332" s="977" t="e">
        <f t="shared" si="62"/>
        <v>#REF!</v>
      </c>
      <c r="AL332" s="977">
        <f t="shared" si="63"/>
        <v>57.91</v>
      </c>
      <c r="AM332" s="977">
        <f t="shared" si="64"/>
        <v>0</v>
      </c>
      <c r="AN332" s="634"/>
    </row>
    <row r="333" spans="1:40" s="629" customFormat="1" ht="20.100000000000001" customHeight="1">
      <c r="A333" s="771">
        <f t="shared" si="65"/>
        <v>20</v>
      </c>
      <c r="B333" s="980">
        <f>+NOMINA!C331</f>
        <v>10399474</v>
      </c>
      <c r="C333" s="981" t="str">
        <f>+NOMINA!D331</f>
        <v>Ramirez Araujo Teresa Maria</v>
      </c>
      <c r="D333" s="978" t="s">
        <v>4622</v>
      </c>
      <c r="E333" s="982">
        <v>32351</v>
      </c>
      <c r="F333" s="978" t="s">
        <v>4620</v>
      </c>
      <c r="G333" s="1004">
        <f>+NOMINA!H331</f>
        <v>45597</v>
      </c>
      <c r="H333" s="984">
        <f t="shared" si="66"/>
        <v>0</v>
      </c>
      <c r="I333" s="985">
        <v>0</v>
      </c>
      <c r="J333" s="999">
        <f>+NOMINA!BL331</f>
        <v>10.039999999999999</v>
      </c>
      <c r="K333" s="999">
        <f>+NOMINA!BM331</f>
        <v>1.26</v>
      </c>
      <c r="L333" s="999">
        <f>+NOMINA!BN331</f>
        <v>2.72</v>
      </c>
      <c r="M333" s="999">
        <f>++NOMINA!BO331</f>
        <v>0</v>
      </c>
      <c r="N333" s="999">
        <f>+NOMINA!BP331</f>
        <v>0</v>
      </c>
      <c r="O333" s="986">
        <f t="shared" si="67"/>
        <v>14.02</v>
      </c>
      <c r="P333" s="999">
        <f>+NOMINA!BR331</f>
        <v>22.6</v>
      </c>
      <c r="Q333" s="999">
        <f>+NOMINA!BS331</f>
        <v>5.0199999999999996</v>
      </c>
      <c r="R333" s="999">
        <f>+NOMINA!BT331</f>
        <v>5.44</v>
      </c>
      <c r="S333" s="986">
        <f t="shared" si="68"/>
        <v>33.06</v>
      </c>
      <c r="T333" s="986">
        <f t="shared" si="69"/>
        <v>47.08</v>
      </c>
      <c r="U333" s="1005">
        <v>0</v>
      </c>
      <c r="V333" s="443" t="e">
        <f>#REF!+#REF!-O333</f>
        <v>#REF!</v>
      </c>
      <c r="W333" s="975" t="e">
        <f>ROUND((#REF!+#REF!+#REF!+#REF!+#REF!+#REF!+#REF!+#REF!+#REF!),2)</f>
        <v>#REF!</v>
      </c>
      <c r="AA333" s="976" t="e">
        <f>#REF!+#REF!-O333</f>
        <v>#REF!</v>
      </c>
      <c r="AB333" s="977" t="e">
        <f>#REF!</f>
        <v>#REF!</v>
      </c>
      <c r="AC333" s="976" t="e">
        <f>#REF!+#REF!</f>
        <v>#REF!</v>
      </c>
      <c r="AD333" s="977" t="e">
        <f>#REF!</f>
        <v>#REF!</v>
      </c>
      <c r="AE333" s="978">
        <v>0</v>
      </c>
      <c r="AF333" s="977" t="e">
        <f>#REF!</f>
        <v>#REF!</v>
      </c>
      <c r="AG333" s="979" t="e">
        <f>#REF!+#REF!</f>
        <v>#REF!</v>
      </c>
      <c r="AH333" s="979" t="e">
        <f>#REF!+#REF!</f>
        <v>#REF!</v>
      </c>
      <c r="AI333" s="979"/>
      <c r="AJ333" s="977" t="e">
        <f>#REF!</f>
        <v>#REF!</v>
      </c>
      <c r="AK333" s="977" t="e">
        <f t="shared" si="62"/>
        <v>#REF!</v>
      </c>
      <c r="AL333" s="977">
        <f t="shared" si="63"/>
        <v>47.08</v>
      </c>
      <c r="AM333" s="977">
        <f t="shared" si="64"/>
        <v>0</v>
      </c>
      <c r="AN333" s="634"/>
    </row>
    <row r="334" spans="1:40" s="629" customFormat="1" ht="20.100000000000001" customHeight="1">
      <c r="A334" s="771">
        <f t="shared" si="65"/>
        <v>21</v>
      </c>
      <c r="B334" s="980">
        <f>+NOMINA!C332</f>
        <v>10401329</v>
      </c>
      <c r="C334" s="981" t="str">
        <f>+NOMINA!D332</f>
        <v>Gonzalez Torres Orangel Ramon</v>
      </c>
      <c r="D334" s="978" t="s">
        <v>4622</v>
      </c>
      <c r="E334" s="982">
        <v>32351</v>
      </c>
      <c r="F334" s="978" t="s">
        <v>4620</v>
      </c>
      <c r="G334" s="1004">
        <f>+NOMINA!H332</f>
        <v>39539</v>
      </c>
      <c r="H334" s="984">
        <f t="shared" si="66"/>
        <v>14</v>
      </c>
      <c r="I334" s="985">
        <v>0</v>
      </c>
      <c r="J334" s="999">
        <f>+NOMINA!BL332</f>
        <v>16.059999999999999</v>
      </c>
      <c r="K334" s="999">
        <f>+NOMINA!BM332</f>
        <v>2.0099999999999998</v>
      </c>
      <c r="L334" s="999">
        <f>+NOMINA!BN332</f>
        <v>4.3499999999999996</v>
      </c>
      <c r="M334" s="999">
        <f>++NOMINA!BO332</f>
        <v>0</v>
      </c>
      <c r="N334" s="999">
        <f>+NOMINA!BP332</f>
        <v>0</v>
      </c>
      <c r="O334" s="986">
        <f t="shared" si="67"/>
        <v>22.42</v>
      </c>
      <c r="P334" s="999">
        <f>+NOMINA!BR332</f>
        <v>36.130000000000003</v>
      </c>
      <c r="Q334" s="999">
        <f>+NOMINA!BS332</f>
        <v>8.0299999999999994</v>
      </c>
      <c r="R334" s="999">
        <f>+NOMINA!BT332</f>
        <v>8.6999999999999993</v>
      </c>
      <c r="S334" s="986">
        <f t="shared" si="68"/>
        <v>52.86</v>
      </c>
      <c r="T334" s="986">
        <f t="shared" si="69"/>
        <v>75.28</v>
      </c>
      <c r="U334" s="1005">
        <v>0</v>
      </c>
      <c r="V334" s="443" t="e">
        <f>#REF!+#REF!-O334</f>
        <v>#REF!</v>
      </c>
      <c r="W334" s="975" t="e">
        <f>ROUND((#REF!+#REF!+#REF!+#REF!+#REF!+#REF!+#REF!+#REF!+#REF!),2)</f>
        <v>#REF!</v>
      </c>
      <c r="AA334" s="976" t="e">
        <f>#REF!+#REF!-O334</f>
        <v>#REF!</v>
      </c>
      <c r="AB334" s="977" t="e">
        <f>#REF!</f>
        <v>#REF!</v>
      </c>
      <c r="AC334" s="976" t="e">
        <f>#REF!+#REF!</f>
        <v>#REF!</v>
      </c>
      <c r="AD334" s="977" t="e">
        <f>#REF!</f>
        <v>#REF!</v>
      </c>
      <c r="AE334" s="978">
        <v>0</v>
      </c>
      <c r="AF334" s="977" t="e">
        <f>#REF!</f>
        <v>#REF!</v>
      </c>
      <c r="AG334" s="979" t="e">
        <f>#REF!+#REF!</f>
        <v>#REF!</v>
      </c>
      <c r="AH334" s="979" t="e">
        <f>#REF!+#REF!</f>
        <v>#REF!</v>
      </c>
      <c r="AI334" s="979"/>
      <c r="AJ334" s="977" t="e">
        <f>#REF!</f>
        <v>#REF!</v>
      </c>
      <c r="AK334" s="977" t="e">
        <f t="shared" si="62"/>
        <v>#REF!</v>
      </c>
      <c r="AL334" s="977">
        <f t="shared" si="63"/>
        <v>75.28</v>
      </c>
      <c r="AM334" s="977">
        <f t="shared" si="64"/>
        <v>0</v>
      </c>
      <c r="AN334" s="634"/>
    </row>
    <row r="335" spans="1:40" s="629" customFormat="1" ht="20.100000000000001" customHeight="1">
      <c r="A335" s="771">
        <f t="shared" si="65"/>
        <v>22</v>
      </c>
      <c r="B335" s="980">
        <f>+NOMINA!C333</f>
        <v>10907687</v>
      </c>
      <c r="C335" s="981" t="str">
        <f>+NOMINA!D333</f>
        <v>Viloria Garcia Karina Liseth</v>
      </c>
      <c r="D335" s="978" t="s">
        <v>4622</v>
      </c>
      <c r="E335" s="982">
        <v>32351</v>
      </c>
      <c r="F335" s="978" t="s">
        <v>4620</v>
      </c>
      <c r="G335" s="1004">
        <f>+NOMINA!H333</f>
        <v>38749</v>
      </c>
      <c r="H335" s="984">
        <f t="shared" si="66"/>
        <v>16</v>
      </c>
      <c r="I335" s="985">
        <v>0</v>
      </c>
      <c r="J335" s="999">
        <f>+NOMINA!BL333</f>
        <v>12.55</v>
      </c>
      <c r="K335" s="999">
        <f>+NOMINA!BM333</f>
        <v>1.57</v>
      </c>
      <c r="L335" s="999">
        <f>+NOMINA!BN333</f>
        <v>3.4</v>
      </c>
      <c r="M335" s="999">
        <f>++NOMINA!BO333</f>
        <v>0</v>
      </c>
      <c r="N335" s="999">
        <f>+NOMINA!BP333</f>
        <v>0</v>
      </c>
      <c r="O335" s="986">
        <f t="shared" si="67"/>
        <v>17.52</v>
      </c>
      <c r="P335" s="999">
        <f>+NOMINA!BR333</f>
        <v>28.25</v>
      </c>
      <c r="Q335" s="999">
        <f>+NOMINA!BS333</f>
        <v>6.28</v>
      </c>
      <c r="R335" s="999">
        <f>+NOMINA!BT333</f>
        <v>6.8</v>
      </c>
      <c r="S335" s="986">
        <f t="shared" si="68"/>
        <v>41.33</v>
      </c>
      <c r="T335" s="986">
        <f t="shared" si="69"/>
        <v>58.849999999999994</v>
      </c>
      <c r="U335" s="1005">
        <v>0</v>
      </c>
      <c r="V335" s="443" t="e">
        <f>#REF!+#REF!-O335</f>
        <v>#REF!</v>
      </c>
      <c r="W335" s="975" t="e">
        <f>ROUND((#REF!+#REF!+#REF!+#REF!+#REF!+#REF!+#REF!+#REF!+#REF!),2)</f>
        <v>#REF!</v>
      </c>
      <c r="AA335" s="976" t="e">
        <f>#REF!+#REF!-O335</f>
        <v>#REF!</v>
      </c>
      <c r="AB335" s="977" t="e">
        <f>#REF!</f>
        <v>#REF!</v>
      </c>
      <c r="AC335" s="976" t="e">
        <f>#REF!+#REF!</f>
        <v>#REF!</v>
      </c>
      <c r="AD335" s="977" t="e">
        <f>#REF!</f>
        <v>#REF!</v>
      </c>
      <c r="AE335" s="978">
        <v>0</v>
      </c>
      <c r="AF335" s="977" t="e">
        <f>#REF!</f>
        <v>#REF!</v>
      </c>
      <c r="AG335" s="979" t="e">
        <f>#REF!+#REF!</f>
        <v>#REF!</v>
      </c>
      <c r="AH335" s="979" t="e">
        <f>#REF!+#REF!</f>
        <v>#REF!</v>
      </c>
      <c r="AI335" s="979"/>
      <c r="AJ335" s="977" t="e">
        <f>#REF!</f>
        <v>#REF!</v>
      </c>
      <c r="AK335" s="977" t="e">
        <f t="shared" si="62"/>
        <v>#REF!</v>
      </c>
      <c r="AL335" s="977">
        <f t="shared" si="63"/>
        <v>58.849999999999994</v>
      </c>
      <c r="AM335" s="977">
        <f t="shared" si="64"/>
        <v>0</v>
      </c>
      <c r="AN335" s="634"/>
    </row>
    <row r="336" spans="1:40" s="629" customFormat="1" ht="20.100000000000001" customHeight="1">
      <c r="A336" s="771">
        <f t="shared" si="65"/>
        <v>23</v>
      </c>
      <c r="B336" s="980">
        <f>+NOMINA!C334</f>
        <v>10908543</v>
      </c>
      <c r="C336" s="981" t="str">
        <f>+NOMINA!D334</f>
        <v>Quintero Eric Ludwig</v>
      </c>
      <c r="D336" s="978" t="s">
        <v>4622</v>
      </c>
      <c r="E336" s="982">
        <v>32351</v>
      </c>
      <c r="F336" s="978" t="s">
        <v>4620</v>
      </c>
      <c r="G336" s="1004">
        <f>+NOMINA!H334</f>
        <v>42751</v>
      </c>
      <c r="H336" s="984">
        <f t="shared" si="66"/>
        <v>5</v>
      </c>
      <c r="I336" s="985">
        <v>0</v>
      </c>
      <c r="J336" s="999">
        <f>+NOMINA!BL334</f>
        <v>11.66</v>
      </c>
      <c r="K336" s="999">
        <f>+NOMINA!BM334</f>
        <v>1.46</v>
      </c>
      <c r="L336" s="999">
        <f>+NOMINA!BN334</f>
        <v>3.16</v>
      </c>
      <c r="M336" s="999">
        <f>++NOMINA!BO334</f>
        <v>0</v>
      </c>
      <c r="N336" s="999">
        <f>+NOMINA!BP334</f>
        <v>0</v>
      </c>
      <c r="O336" s="986">
        <f t="shared" si="67"/>
        <v>16.28</v>
      </c>
      <c r="P336" s="999">
        <f>+NOMINA!BR334</f>
        <v>26.23</v>
      </c>
      <c r="Q336" s="999">
        <f>+NOMINA!BS334</f>
        <v>5.83</v>
      </c>
      <c r="R336" s="999">
        <f>+NOMINA!BT334</f>
        <v>6.32</v>
      </c>
      <c r="S336" s="986">
        <f t="shared" si="68"/>
        <v>38.380000000000003</v>
      </c>
      <c r="T336" s="986">
        <f t="shared" si="69"/>
        <v>54.660000000000004</v>
      </c>
      <c r="U336" s="1005">
        <v>0</v>
      </c>
      <c r="V336" s="443" t="e">
        <f>#REF!+#REF!-O336</f>
        <v>#REF!</v>
      </c>
      <c r="W336" s="975" t="e">
        <f>ROUND((#REF!+#REF!+#REF!+#REF!+#REF!+#REF!+#REF!+#REF!+#REF!),2)</f>
        <v>#REF!</v>
      </c>
      <c r="AA336" s="976" t="e">
        <f>#REF!+#REF!-O336</f>
        <v>#REF!</v>
      </c>
      <c r="AB336" s="977" t="e">
        <f>#REF!</f>
        <v>#REF!</v>
      </c>
      <c r="AC336" s="976" t="e">
        <f>#REF!+#REF!</f>
        <v>#REF!</v>
      </c>
      <c r="AD336" s="977" t="e">
        <f>#REF!</f>
        <v>#REF!</v>
      </c>
      <c r="AE336" s="978">
        <v>0</v>
      </c>
      <c r="AF336" s="977" t="e">
        <f>#REF!</f>
        <v>#REF!</v>
      </c>
      <c r="AG336" s="979" t="e">
        <f>#REF!+#REF!</f>
        <v>#REF!</v>
      </c>
      <c r="AH336" s="979" t="e">
        <f>#REF!+#REF!</f>
        <v>#REF!</v>
      </c>
      <c r="AI336" s="979"/>
      <c r="AJ336" s="977" t="e">
        <f>#REF!</f>
        <v>#REF!</v>
      </c>
      <c r="AK336" s="977" t="e">
        <f t="shared" si="62"/>
        <v>#REF!</v>
      </c>
      <c r="AL336" s="977">
        <f t="shared" si="63"/>
        <v>54.660000000000004</v>
      </c>
      <c r="AM336" s="977">
        <f t="shared" si="64"/>
        <v>0</v>
      </c>
      <c r="AN336" s="634"/>
    </row>
    <row r="337" spans="1:40" s="629" customFormat="1" ht="20.100000000000001" customHeight="1">
      <c r="A337" s="771">
        <f t="shared" si="65"/>
        <v>24</v>
      </c>
      <c r="B337" s="980">
        <f>+NOMINA!C335</f>
        <v>10909678</v>
      </c>
      <c r="C337" s="981" t="str">
        <f>+NOMINA!D335</f>
        <v>Delgado Jose Argenis</v>
      </c>
      <c r="D337" s="978" t="s">
        <v>4622</v>
      </c>
      <c r="E337" s="982">
        <v>32351</v>
      </c>
      <c r="F337" s="978" t="s">
        <v>4620</v>
      </c>
      <c r="G337" s="1004">
        <f>+NOMINA!H335</f>
        <v>43952</v>
      </c>
      <c r="H337" s="984">
        <f t="shared" si="66"/>
        <v>2</v>
      </c>
      <c r="I337" s="985">
        <v>0</v>
      </c>
      <c r="J337" s="999">
        <f>+NOMINA!BL335</f>
        <v>9.7899999999999991</v>
      </c>
      <c r="K337" s="999">
        <f>+NOMINA!BM335</f>
        <v>1.22</v>
      </c>
      <c r="L337" s="999">
        <f>+NOMINA!BN335</f>
        <v>2.65</v>
      </c>
      <c r="M337" s="999">
        <f>++NOMINA!BO335</f>
        <v>0</v>
      </c>
      <c r="N337" s="999">
        <f>+NOMINA!BP335</f>
        <v>0</v>
      </c>
      <c r="O337" s="986">
        <f t="shared" si="67"/>
        <v>13.66</v>
      </c>
      <c r="P337" s="999">
        <f>+NOMINA!BR335</f>
        <v>22.03</v>
      </c>
      <c r="Q337" s="999">
        <f>+NOMINA!BS335</f>
        <v>4.9000000000000004</v>
      </c>
      <c r="R337" s="999">
        <f>+NOMINA!BT335</f>
        <v>5.3</v>
      </c>
      <c r="S337" s="986">
        <f t="shared" si="68"/>
        <v>32.229999999999997</v>
      </c>
      <c r="T337" s="986">
        <f t="shared" si="69"/>
        <v>45.89</v>
      </c>
      <c r="U337" s="1005">
        <v>0</v>
      </c>
      <c r="V337" s="443" t="e">
        <f>#REF!+#REF!-O337</f>
        <v>#REF!</v>
      </c>
      <c r="W337" s="975" t="e">
        <f>ROUND((#REF!+#REF!+#REF!+#REF!+#REF!+#REF!+#REF!+#REF!+#REF!),2)</f>
        <v>#REF!</v>
      </c>
      <c r="AA337" s="976" t="e">
        <f>#REF!+#REF!-O337</f>
        <v>#REF!</v>
      </c>
      <c r="AB337" s="977" t="e">
        <f>#REF!</f>
        <v>#REF!</v>
      </c>
      <c r="AC337" s="976" t="e">
        <f>#REF!+#REF!</f>
        <v>#REF!</v>
      </c>
      <c r="AD337" s="977" t="e">
        <f>#REF!</f>
        <v>#REF!</v>
      </c>
      <c r="AE337" s="978">
        <v>0</v>
      </c>
      <c r="AF337" s="977" t="e">
        <f>#REF!</f>
        <v>#REF!</v>
      </c>
      <c r="AG337" s="979" t="e">
        <f>#REF!+#REF!</f>
        <v>#REF!</v>
      </c>
      <c r="AH337" s="979" t="e">
        <f>#REF!+#REF!</f>
        <v>#REF!</v>
      </c>
      <c r="AI337" s="979"/>
      <c r="AJ337" s="977" t="e">
        <f>#REF!</f>
        <v>#REF!</v>
      </c>
      <c r="AK337" s="977" t="e">
        <f t="shared" si="62"/>
        <v>#REF!</v>
      </c>
      <c r="AL337" s="977">
        <f t="shared" si="63"/>
        <v>45.89</v>
      </c>
      <c r="AM337" s="977">
        <f t="shared" si="64"/>
        <v>0</v>
      </c>
      <c r="AN337" s="634"/>
    </row>
    <row r="338" spans="1:40" s="629" customFormat="1" ht="20.100000000000001" customHeight="1">
      <c r="A338" s="771">
        <f t="shared" si="65"/>
        <v>25</v>
      </c>
      <c r="B338" s="980">
        <f>+NOMINA!C336</f>
        <v>10909819</v>
      </c>
      <c r="C338" s="981" t="str">
        <f>+NOMINA!D336</f>
        <v>Carrizo Jose Waldo</v>
      </c>
      <c r="D338" s="978" t="s">
        <v>4622</v>
      </c>
      <c r="E338" s="982">
        <v>32351</v>
      </c>
      <c r="F338" s="978" t="s">
        <v>4620</v>
      </c>
      <c r="G338" s="1004">
        <f>+NOMINA!H336</f>
        <v>43359</v>
      </c>
      <c r="H338" s="984">
        <f t="shared" si="66"/>
        <v>4</v>
      </c>
      <c r="I338" s="985">
        <v>0</v>
      </c>
      <c r="J338" s="999">
        <f>+NOMINA!BL336</f>
        <v>11.51</v>
      </c>
      <c r="K338" s="999">
        <f>+NOMINA!BM336</f>
        <v>1.44</v>
      </c>
      <c r="L338" s="999">
        <f>+NOMINA!BN336</f>
        <v>3.12</v>
      </c>
      <c r="M338" s="999">
        <f>++NOMINA!BO336</f>
        <v>0</v>
      </c>
      <c r="N338" s="999">
        <f>+NOMINA!BP336</f>
        <v>0</v>
      </c>
      <c r="O338" s="986">
        <f t="shared" si="67"/>
        <v>16.07</v>
      </c>
      <c r="P338" s="999">
        <f>+NOMINA!BR336</f>
        <v>25.89</v>
      </c>
      <c r="Q338" s="999">
        <f>+NOMINA!BS336</f>
        <v>5.75</v>
      </c>
      <c r="R338" s="999">
        <f>+NOMINA!BT336</f>
        <v>6.24</v>
      </c>
      <c r="S338" s="986">
        <f t="shared" si="68"/>
        <v>37.880000000000003</v>
      </c>
      <c r="T338" s="986">
        <f t="shared" si="69"/>
        <v>53.95</v>
      </c>
      <c r="U338" s="1005">
        <v>0</v>
      </c>
      <c r="V338" s="443" t="e">
        <f>#REF!+#REF!-O338</f>
        <v>#REF!</v>
      </c>
      <c r="W338" s="975" t="e">
        <f>ROUND((#REF!+#REF!+#REF!+#REF!+#REF!+#REF!+#REF!+#REF!+#REF!),2)</f>
        <v>#REF!</v>
      </c>
      <c r="AA338" s="976" t="e">
        <f>#REF!+#REF!-O338</f>
        <v>#REF!</v>
      </c>
      <c r="AB338" s="977" t="e">
        <f>#REF!</f>
        <v>#REF!</v>
      </c>
      <c r="AC338" s="976" t="e">
        <f>#REF!+#REF!</f>
        <v>#REF!</v>
      </c>
      <c r="AD338" s="977" t="e">
        <f>#REF!</f>
        <v>#REF!</v>
      </c>
      <c r="AE338" s="978">
        <v>0</v>
      </c>
      <c r="AF338" s="977" t="e">
        <f>#REF!</f>
        <v>#REF!</v>
      </c>
      <c r="AG338" s="979" t="e">
        <f>#REF!+#REF!</f>
        <v>#REF!</v>
      </c>
      <c r="AH338" s="979" t="e">
        <f>#REF!+#REF!</f>
        <v>#REF!</v>
      </c>
      <c r="AI338" s="979"/>
      <c r="AJ338" s="977" t="e">
        <f>#REF!</f>
        <v>#REF!</v>
      </c>
      <c r="AK338" s="977" t="e">
        <f t="shared" si="62"/>
        <v>#REF!</v>
      </c>
      <c r="AL338" s="977">
        <f t="shared" si="63"/>
        <v>53.95</v>
      </c>
      <c r="AM338" s="977">
        <f t="shared" si="64"/>
        <v>0</v>
      </c>
      <c r="AN338" s="634"/>
    </row>
    <row r="339" spans="1:40" s="629" customFormat="1" ht="20.100000000000001" customHeight="1">
      <c r="A339" s="771">
        <f t="shared" si="65"/>
        <v>26</v>
      </c>
      <c r="B339" s="980">
        <f>+NOMINA!C337</f>
        <v>10912635</v>
      </c>
      <c r="C339" s="981" t="str">
        <f>+NOMINA!D337</f>
        <v>Gutierrez Briceño Jose Orangel</v>
      </c>
      <c r="D339" s="978" t="s">
        <v>4622</v>
      </c>
      <c r="E339" s="982">
        <v>32351</v>
      </c>
      <c r="F339" s="978" t="s">
        <v>4620</v>
      </c>
      <c r="G339" s="1004">
        <f>+NOMINA!H337</f>
        <v>44348</v>
      </c>
      <c r="H339" s="984">
        <f t="shared" si="66"/>
        <v>1</v>
      </c>
      <c r="I339" s="985">
        <v>0</v>
      </c>
      <c r="J339" s="999">
        <f>+NOMINA!BL337</f>
        <v>10.58</v>
      </c>
      <c r="K339" s="999">
        <f>+NOMINA!BM337</f>
        <v>1.32</v>
      </c>
      <c r="L339" s="999">
        <f>+NOMINA!BN337</f>
        <v>2.87</v>
      </c>
      <c r="M339" s="999">
        <f>++NOMINA!BO337</f>
        <v>0</v>
      </c>
      <c r="N339" s="999">
        <f>+NOMINA!BP337</f>
        <v>0</v>
      </c>
      <c r="O339" s="986">
        <f t="shared" si="67"/>
        <v>14.77</v>
      </c>
      <c r="P339" s="999">
        <f>+NOMINA!BR337</f>
        <v>23.81</v>
      </c>
      <c r="Q339" s="999">
        <f>+NOMINA!BS337</f>
        <v>5.29</v>
      </c>
      <c r="R339" s="999">
        <f>+NOMINA!BT337</f>
        <v>5.74</v>
      </c>
      <c r="S339" s="986">
        <f t="shared" si="68"/>
        <v>34.840000000000003</v>
      </c>
      <c r="T339" s="986">
        <f t="shared" si="69"/>
        <v>49.61</v>
      </c>
      <c r="U339" s="1005">
        <v>0</v>
      </c>
      <c r="V339" s="443" t="e">
        <f>#REF!+#REF!-O339</f>
        <v>#REF!</v>
      </c>
      <c r="W339" s="975" t="e">
        <f>ROUND((#REF!+#REF!+#REF!+#REF!+#REF!+#REF!+#REF!+#REF!+#REF!),2)</f>
        <v>#REF!</v>
      </c>
      <c r="AA339" s="976" t="e">
        <f>#REF!+#REF!-O339</f>
        <v>#REF!</v>
      </c>
      <c r="AB339" s="977" t="e">
        <f>#REF!</f>
        <v>#REF!</v>
      </c>
      <c r="AC339" s="976" t="e">
        <f>#REF!+#REF!</f>
        <v>#REF!</v>
      </c>
      <c r="AD339" s="977" t="e">
        <f>#REF!</f>
        <v>#REF!</v>
      </c>
      <c r="AE339" s="978">
        <v>0</v>
      </c>
      <c r="AF339" s="977" t="e">
        <f>#REF!</f>
        <v>#REF!</v>
      </c>
      <c r="AG339" s="979" t="e">
        <f>#REF!+#REF!</f>
        <v>#REF!</v>
      </c>
      <c r="AH339" s="979" t="e">
        <f>#REF!+#REF!</f>
        <v>#REF!</v>
      </c>
      <c r="AI339" s="979"/>
      <c r="AJ339" s="977" t="e">
        <f>#REF!</f>
        <v>#REF!</v>
      </c>
      <c r="AK339" s="977" t="e">
        <f t="shared" si="62"/>
        <v>#REF!</v>
      </c>
      <c r="AL339" s="977">
        <f t="shared" si="63"/>
        <v>49.61</v>
      </c>
      <c r="AM339" s="977">
        <f t="shared" si="64"/>
        <v>0</v>
      </c>
      <c r="AN339" s="634"/>
    </row>
    <row r="340" spans="1:40" s="629" customFormat="1" ht="20.100000000000001" customHeight="1">
      <c r="A340" s="771">
        <f t="shared" si="65"/>
        <v>27</v>
      </c>
      <c r="B340" s="980">
        <f>+NOMINA!C338</f>
        <v>10915274</v>
      </c>
      <c r="C340" s="981" t="str">
        <f>+NOMINA!D338</f>
        <v>Montilla Vergara Belkys Josefina</v>
      </c>
      <c r="D340" s="978" t="s">
        <v>4622</v>
      </c>
      <c r="E340" s="982">
        <v>32351</v>
      </c>
      <c r="F340" s="978" t="s">
        <v>4620</v>
      </c>
      <c r="G340" s="1004">
        <f>+NOMINA!H338</f>
        <v>44635</v>
      </c>
      <c r="H340" s="984">
        <f t="shared" si="66"/>
        <v>0</v>
      </c>
      <c r="I340" s="985">
        <v>0</v>
      </c>
      <c r="J340" s="999">
        <f>+NOMINA!BL338</f>
        <v>10.52</v>
      </c>
      <c r="K340" s="999">
        <f>+NOMINA!BM338</f>
        <v>1.32</v>
      </c>
      <c r="L340" s="999">
        <f>+NOMINA!BN338</f>
        <v>2.85</v>
      </c>
      <c r="M340" s="999">
        <f>++NOMINA!BO338</f>
        <v>0</v>
      </c>
      <c r="N340" s="999">
        <f>+NOMINA!BP338</f>
        <v>0</v>
      </c>
      <c r="O340" s="986">
        <f t="shared" si="67"/>
        <v>14.69</v>
      </c>
      <c r="P340" s="999">
        <f>+NOMINA!BR338</f>
        <v>23.68</v>
      </c>
      <c r="Q340" s="999">
        <f>+NOMINA!BS338</f>
        <v>5.26</v>
      </c>
      <c r="R340" s="999">
        <f>+NOMINA!BT338</f>
        <v>5.7</v>
      </c>
      <c r="S340" s="986">
        <f t="shared" si="68"/>
        <v>34.64</v>
      </c>
      <c r="T340" s="986">
        <f t="shared" si="69"/>
        <v>49.33</v>
      </c>
      <c r="U340" s="1005">
        <v>0</v>
      </c>
      <c r="V340" s="443" t="e">
        <f>#REF!+#REF!-O340</f>
        <v>#REF!</v>
      </c>
      <c r="W340" s="975" t="e">
        <f>ROUND((#REF!+#REF!+#REF!+#REF!+#REF!+#REF!+#REF!+#REF!+#REF!),2)</f>
        <v>#REF!</v>
      </c>
      <c r="AA340" s="976" t="e">
        <f>#REF!+#REF!-O340</f>
        <v>#REF!</v>
      </c>
      <c r="AB340" s="977" t="e">
        <f>#REF!</f>
        <v>#REF!</v>
      </c>
      <c r="AC340" s="976" t="e">
        <f>#REF!+#REF!</f>
        <v>#REF!</v>
      </c>
      <c r="AD340" s="977" t="e">
        <f>#REF!</f>
        <v>#REF!</v>
      </c>
      <c r="AE340" s="978">
        <v>0</v>
      </c>
      <c r="AF340" s="977" t="e">
        <f>#REF!</f>
        <v>#REF!</v>
      </c>
      <c r="AG340" s="979" t="e">
        <f>#REF!+#REF!</f>
        <v>#REF!</v>
      </c>
      <c r="AH340" s="979" t="e">
        <f>#REF!+#REF!</f>
        <v>#REF!</v>
      </c>
      <c r="AI340" s="979"/>
      <c r="AJ340" s="977" t="e">
        <f>#REF!</f>
        <v>#REF!</v>
      </c>
      <c r="AK340" s="977" t="e">
        <f t="shared" si="62"/>
        <v>#REF!</v>
      </c>
      <c r="AL340" s="977">
        <f t="shared" si="63"/>
        <v>49.33</v>
      </c>
      <c r="AM340" s="977">
        <f t="shared" si="64"/>
        <v>0</v>
      </c>
      <c r="AN340" s="634"/>
    </row>
    <row r="341" spans="1:40" s="629" customFormat="1" ht="20.100000000000001" customHeight="1">
      <c r="A341" s="771">
        <f t="shared" si="65"/>
        <v>28</v>
      </c>
      <c r="B341" s="980">
        <f>+NOMINA!C339</f>
        <v>11129355</v>
      </c>
      <c r="C341" s="981" t="str">
        <f>+NOMINA!D339</f>
        <v xml:space="preserve">Luque Azuaje Rigoberto </v>
      </c>
      <c r="D341" s="978" t="s">
        <v>4622</v>
      </c>
      <c r="E341" s="982">
        <v>32351</v>
      </c>
      <c r="F341" s="978" t="s">
        <v>4620</v>
      </c>
      <c r="G341" s="1004">
        <f>+NOMINA!H339</f>
        <v>39539</v>
      </c>
      <c r="H341" s="984">
        <f t="shared" si="66"/>
        <v>14</v>
      </c>
      <c r="I341" s="985">
        <v>0</v>
      </c>
      <c r="J341" s="999">
        <f>+NOMINA!BL339</f>
        <v>14.97</v>
      </c>
      <c r="K341" s="999">
        <f>+NOMINA!BM339</f>
        <v>1.87</v>
      </c>
      <c r="L341" s="999">
        <f>+NOMINA!BN339</f>
        <v>4.05</v>
      </c>
      <c r="M341" s="999">
        <f>++NOMINA!BO339</f>
        <v>0</v>
      </c>
      <c r="N341" s="999">
        <f>+NOMINA!BP339</f>
        <v>0.76</v>
      </c>
      <c r="O341" s="986">
        <f t="shared" si="67"/>
        <v>21.65</v>
      </c>
      <c r="P341" s="999">
        <f>+NOMINA!BR339</f>
        <v>33.67</v>
      </c>
      <c r="Q341" s="999">
        <f>+NOMINA!BS339</f>
        <v>7.48</v>
      </c>
      <c r="R341" s="999">
        <f>+NOMINA!BT339</f>
        <v>8.1</v>
      </c>
      <c r="S341" s="986">
        <f t="shared" si="68"/>
        <v>49.25</v>
      </c>
      <c r="T341" s="986">
        <f t="shared" si="69"/>
        <v>70.900000000000006</v>
      </c>
      <c r="U341" s="1005">
        <v>0</v>
      </c>
      <c r="V341" s="443" t="e">
        <f>#REF!+#REF!-O341</f>
        <v>#REF!</v>
      </c>
      <c r="W341" s="975" t="e">
        <f>ROUND((#REF!+#REF!+#REF!+#REF!+#REF!+#REF!+#REF!+#REF!+#REF!),2)</f>
        <v>#REF!</v>
      </c>
      <c r="AA341" s="976" t="e">
        <f>#REF!+#REF!-O341</f>
        <v>#REF!</v>
      </c>
      <c r="AB341" s="977" t="e">
        <f>#REF!</f>
        <v>#REF!</v>
      </c>
      <c r="AC341" s="976" t="e">
        <f>#REF!+#REF!</f>
        <v>#REF!</v>
      </c>
      <c r="AD341" s="977" t="e">
        <f>#REF!</f>
        <v>#REF!</v>
      </c>
      <c r="AE341" s="978">
        <v>0</v>
      </c>
      <c r="AF341" s="977" t="e">
        <f>#REF!</f>
        <v>#REF!</v>
      </c>
      <c r="AG341" s="979" t="e">
        <f>#REF!+#REF!</f>
        <v>#REF!</v>
      </c>
      <c r="AH341" s="979" t="e">
        <f>#REF!+#REF!</f>
        <v>#REF!</v>
      </c>
      <c r="AI341" s="979"/>
      <c r="AJ341" s="977" t="e">
        <f>#REF!</f>
        <v>#REF!</v>
      </c>
      <c r="AK341" s="977" t="e">
        <f t="shared" si="62"/>
        <v>#REF!</v>
      </c>
      <c r="AL341" s="977">
        <f t="shared" si="63"/>
        <v>70.900000000000006</v>
      </c>
      <c r="AM341" s="977">
        <f t="shared" si="64"/>
        <v>0</v>
      </c>
      <c r="AN341" s="634"/>
    </row>
    <row r="342" spans="1:40" s="629" customFormat="1" ht="20.100000000000001" customHeight="1">
      <c r="A342" s="771">
        <f t="shared" si="65"/>
        <v>29</v>
      </c>
      <c r="B342" s="980">
        <f>+NOMINA!C340</f>
        <v>11315202</v>
      </c>
      <c r="C342" s="981" t="str">
        <f>+NOMINA!D340</f>
        <v>Barreto Maria Ramona</v>
      </c>
      <c r="D342" s="978" t="s">
        <v>4622</v>
      </c>
      <c r="E342" s="982">
        <v>32351</v>
      </c>
      <c r="F342" s="978" t="s">
        <v>4620</v>
      </c>
      <c r="G342" s="1004">
        <f>+NOMINA!H340</f>
        <v>39539</v>
      </c>
      <c r="H342" s="984">
        <f t="shared" si="66"/>
        <v>14</v>
      </c>
      <c r="I342" s="985">
        <v>0</v>
      </c>
      <c r="J342" s="999">
        <f>+NOMINA!BL340</f>
        <v>12.35</v>
      </c>
      <c r="K342" s="999">
        <f>+NOMINA!BM340</f>
        <v>1.54</v>
      </c>
      <c r="L342" s="999">
        <f>+NOMINA!BN340</f>
        <v>3.35</v>
      </c>
      <c r="M342" s="999">
        <f>++NOMINA!BO340</f>
        <v>0</v>
      </c>
      <c r="N342" s="999">
        <f>+NOMINA!BP340</f>
        <v>0</v>
      </c>
      <c r="O342" s="986">
        <f t="shared" si="67"/>
        <v>17.239999999999998</v>
      </c>
      <c r="P342" s="999">
        <f>+NOMINA!BR340</f>
        <v>27.79</v>
      </c>
      <c r="Q342" s="999">
        <f>+NOMINA!BS340</f>
        <v>6.18</v>
      </c>
      <c r="R342" s="999">
        <f>+NOMINA!BT340</f>
        <v>6.7</v>
      </c>
      <c r="S342" s="986">
        <f t="shared" si="68"/>
        <v>40.67</v>
      </c>
      <c r="T342" s="986">
        <f t="shared" si="69"/>
        <v>57.91</v>
      </c>
      <c r="U342" s="1005">
        <v>0</v>
      </c>
      <c r="V342" s="443" t="e">
        <f>#REF!+#REF!-O342</f>
        <v>#REF!</v>
      </c>
      <c r="W342" s="975" t="e">
        <f>ROUND((#REF!+#REF!+#REF!+#REF!+#REF!+#REF!+#REF!+#REF!+#REF!),2)</f>
        <v>#REF!</v>
      </c>
      <c r="AA342" s="976" t="e">
        <f>#REF!+#REF!-O342</f>
        <v>#REF!</v>
      </c>
      <c r="AB342" s="977" t="e">
        <f>#REF!</f>
        <v>#REF!</v>
      </c>
      <c r="AC342" s="976" t="e">
        <f>#REF!+#REF!</f>
        <v>#REF!</v>
      </c>
      <c r="AD342" s="977" t="e">
        <f>#REF!</f>
        <v>#REF!</v>
      </c>
      <c r="AE342" s="978">
        <v>0</v>
      </c>
      <c r="AF342" s="977" t="e">
        <f>#REF!</f>
        <v>#REF!</v>
      </c>
      <c r="AG342" s="979" t="e">
        <f>#REF!+#REF!</f>
        <v>#REF!</v>
      </c>
      <c r="AH342" s="979" t="e">
        <f>#REF!+#REF!</f>
        <v>#REF!</v>
      </c>
      <c r="AI342" s="979"/>
      <c r="AJ342" s="977" t="e">
        <f>#REF!</f>
        <v>#REF!</v>
      </c>
      <c r="AK342" s="977" t="e">
        <f t="shared" si="62"/>
        <v>#REF!</v>
      </c>
      <c r="AL342" s="977">
        <f t="shared" si="63"/>
        <v>57.91</v>
      </c>
      <c r="AM342" s="977">
        <f t="shared" si="64"/>
        <v>0</v>
      </c>
      <c r="AN342" s="634"/>
    </row>
    <row r="343" spans="1:40" s="629" customFormat="1" ht="20.100000000000001" customHeight="1">
      <c r="A343" s="771">
        <f t="shared" si="65"/>
        <v>30</v>
      </c>
      <c r="B343" s="980">
        <f>+NOMINA!C341</f>
        <v>11321681</v>
      </c>
      <c r="C343" s="981" t="str">
        <f>+NOMINA!D341</f>
        <v>Bentancourt Rivas Luis Enrique</v>
      </c>
      <c r="D343" s="978" t="s">
        <v>4622</v>
      </c>
      <c r="E343" s="982">
        <v>32351</v>
      </c>
      <c r="F343" s="978" t="s">
        <v>4620</v>
      </c>
      <c r="G343" s="1004">
        <f>+NOMINA!H341</f>
        <v>44805</v>
      </c>
      <c r="H343" s="984">
        <f t="shared" si="66"/>
        <v>0</v>
      </c>
      <c r="I343" s="985">
        <v>0</v>
      </c>
      <c r="J343" s="999">
        <f>+NOMINA!BL341</f>
        <v>10.52</v>
      </c>
      <c r="K343" s="999">
        <f>+NOMINA!BM341</f>
        <v>1.32</v>
      </c>
      <c r="L343" s="999">
        <f>+NOMINA!BN341</f>
        <v>2.85</v>
      </c>
      <c r="M343" s="999">
        <f>++NOMINA!BO341</f>
        <v>0</v>
      </c>
      <c r="N343" s="999">
        <f>+NOMINA!BP341</f>
        <v>0</v>
      </c>
      <c r="O343" s="986">
        <f t="shared" si="67"/>
        <v>14.69</v>
      </c>
      <c r="P343" s="999">
        <f>+NOMINA!BR341</f>
        <v>23.68</v>
      </c>
      <c r="Q343" s="999">
        <f>+NOMINA!BS341</f>
        <v>5.26</v>
      </c>
      <c r="R343" s="999">
        <f>+NOMINA!BT341</f>
        <v>5.7</v>
      </c>
      <c r="S343" s="986">
        <f t="shared" si="68"/>
        <v>34.64</v>
      </c>
      <c r="T343" s="986">
        <f t="shared" si="69"/>
        <v>49.33</v>
      </c>
      <c r="U343" s="1005">
        <v>0</v>
      </c>
      <c r="V343" s="443" t="e">
        <f>#REF!+#REF!-O343</f>
        <v>#REF!</v>
      </c>
      <c r="W343" s="975" t="e">
        <f>ROUND((#REF!+#REF!+#REF!+#REF!+#REF!+#REF!+#REF!+#REF!+#REF!),2)</f>
        <v>#REF!</v>
      </c>
      <c r="AA343" s="976" t="e">
        <f>#REF!+#REF!-O343</f>
        <v>#REF!</v>
      </c>
      <c r="AB343" s="977" t="e">
        <f>#REF!</f>
        <v>#REF!</v>
      </c>
      <c r="AC343" s="976" t="e">
        <f>#REF!+#REF!</f>
        <v>#REF!</v>
      </c>
      <c r="AD343" s="977" t="e">
        <f>#REF!</f>
        <v>#REF!</v>
      </c>
      <c r="AE343" s="978">
        <v>0</v>
      </c>
      <c r="AF343" s="977" t="e">
        <f>#REF!</f>
        <v>#REF!</v>
      </c>
      <c r="AG343" s="979" t="e">
        <f>#REF!+#REF!</f>
        <v>#REF!</v>
      </c>
      <c r="AH343" s="979" t="e">
        <f>#REF!+#REF!</f>
        <v>#REF!</v>
      </c>
      <c r="AI343" s="979"/>
      <c r="AJ343" s="977" t="e">
        <f>#REF!</f>
        <v>#REF!</v>
      </c>
      <c r="AK343" s="977" t="e">
        <f t="shared" si="62"/>
        <v>#REF!</v>
      </c>
      <c r="AL343" s="977">
        <f t="shared" si="63"/>
        <v>49.33</v>
      </c>
      <c r="AM343" s="977">
        <f t="shared" si="64"/>
        <v>0</v>
      </c>
      <c r="AN343" s="634"/>
    </row>
    <row r="344" spans="1:40" s="629" customFormat="1" ht="20.100000000000001" customHeight="1">
      <c r="A344" s="771">
        <f t="shared" si="65"/>
        <v>31</v>
      </c>
      <c r="B344" s="980">
        <f>+NOMINA!C342</f>
        <v>11321782</v>
      </c>
      <c r="C344" s="981" t="str">
        <f>+NOMINA!D342</f>
        <v>Flores Camacho Maria Zoraida</v>
      </c>
      <c r="D344" s="978" t="s">
        <v>4622</v>
      </c>
      <c r="E344" s="982">
        <v>32351</v>
      </c>
      <c r="F344" s="978" t="s">
        <v>4620</v>
      </c>
      <c r="G344" s="1004">
        <f>+NOMINA!H342</f>
        <v>43815</v>
      </c>
      <c r="H344" s="984">
        <f t="shared" si="66"/>
        <v>3</v>
      </c>
      <c r="I344" s="985">
        <v>0</v>
      </c>
      <c r="J344" s="999">
        <f>+NOMINA!BL342</f>
        <v>11.43</v>
      </c>
      <c r="K344" s="999">
        <f>+NOMINA!BM342</f>
        <v>1.43</v>
      </c>
      <c r="L344" s="999">
        <f>+NOMINA!BN342</f>
        <v>3.1</v>
      </c>
      <c r="M344" s="999">
        <f>++NOMINA!BO342</f>
        <v>0</v>
      </c>
      <c r="N344" s="999">
        <f>+NOMINA!BP342</f>
        <v>0</v>
      </c>
      <c r="O344" s="986">
        <f t="shared" si="67"/>
        <v>15.96</v>
      </c>
      <c r="P344" s="999">
        <f>+NOMINA!BR342</f>
        <v>25.72</v>
      </c>
      <c r="Q344" s="999">
        <f>+NOMINA!BS342</f>
        <v>5.71</v>
      </c>
      <c r="R344" s="999">
        <f>+NOMINA!BT342</f>
        <v>6.2</v>
      </c>
      <c r="S344" s="986">
        <f t="shared" si="68"/>
        <v>37.630000000000003</v>
      </c>
      <c r="T344" s="986">
        <f t="shared" si="69"/>
        <v>53.59</v>
      </c>
      <c r="U344" s="1005">
        <v>0</v>
      </c>
      <c r="V344" s="443" t="e">
        <f>#REF!+#REF!-O344</f>
        <v>#REF!</v>
      </c>
      <c r="W344" s="975" t="e">
        <f>ROUND((#REF!+#REF!+#REF!+#REF!+#REF!+#REF!+#REF!+#REF!+#REF!),2)</f>
        <v>#REF!</v>
      </c>
      <c r="AA344" s="976" t="e">
        <f>#REF!+#REF!-O344</f>
        <v>#REF!</v>
      </c>
      <c r="AB344" s="977" t="e">
        <f>#REF!</f>
        <v>#REF!</v>
      </c>
      <c r="AC344" s="976" t="e">
        <f>#REF!+#REF!</f>
        <v>#REF!</v>
      </c>
      <c r="AD344" s="977" t="e">
        <f>#REF!</f>
        <v>#REF!</v>
      </c>
      <c r="AE344" s="978">
        <v>0</v>
      </c>
      <c r="AF344" s="977" t="e">
        <f>#REF!</f>
        <v>#REF!</v>
      </c>
      <c r="AG344" s="979" t="e">
        <f>#REF!+#REF!</f>
        <v>#REF!</v>
      </c>
      <c r="AH344" s="979" t="e">
        <f>#REF!+#REF!</f>
        <v>#REF!</v>
      </c>
      <c r="AI344" s="979"/>
      <c r="AJ344" s="977" t="e">
        <f>#REF!</f>
        <v>#REF!</v>
      </c>
      <c r="AK344" s="977" t="e">
        <f t="shared" si="62"/>
        <v>#REF!</v>
      </c>
      <c r="AL344" s="977">
        <f t="shared" si="63"/>
        <v>53.59</v>
      </c>
      <c r="AM344" s="977">
        <f t="shared" si="64"/>
        <v>0</v>
      </c>
      <c r="AN344" s="634"/>
    </row>
    <row r="345" spans="1:40" s="629" customFormat="1" ht="20.100000000000001" customHeight="1">
      <c r="A345" s="771">
        <f t="shared" si="65"/>
        <v>32</v>
      </c>
      <c r="B345" s="980">
        <f>+NOMINA!C343</f>
        <v>11324931</v>
      </c>
      <c r="C345" s="981" t="str">
        <f>+NOMINA!D343</f>
        <v xml:space="preserve">Sulbaran De Araujo Magaly </v>
      </c>
      <c r="D345" s="978" t="s">
        <v>4622</v>
      </c>
      <c r="E345" s="982">
        <v>32351</v>
      </c>
      <c r="F345" s="978" t="s">
        <v>4620</v>
      </c>
      <c r="G345" s="1004">
        <f>+NOMINA!H343</f>
        <v>38784</v>
      </c>
      <c r="H345" s="984">
        <f t="shared" si="66"/>
        <v>16</v>
      </c>
      <c r="I345" s="985">
        <v>0</v>
      </c>
      <c r="J345" s="999">
        <f>+NOMINA!BL343</f>
        <v>12.55</v>
      </c>
      <c r="K345" s="999">
        <f>+NOMINA!BM343</f>
        <v>1.57</v>
      </c>
      <c r="L345" s="999">
        <f>+NOMINA!BN343</f>
        <v>3.4</v>
      </c>
      <c r="M345" s="999">
        <f>++NOMINA!BO343</f>
        <v>0</v>
      </c>
      <c r="N345" s="999">
        <f>+NOMINA!BP343</f>
        <v>0</v>
      </c>
      <c r="O345" s="986">
        <f t="shared" si="67"/>
        <v>17.52</v>
      </c>
      <c r="P345" s="999">
        <f>+NOMINA!BR343</f>
        <v>28.25</v>
      </c>
      <c r="Q345" s="999">
        <f>+NOMINA!BS343</f>
        <v>6.28</v>
      </c>
      <c r="R345" s="999">
        <f>+NOMINA!BT343</f>
        <v>6.8</v>
      </c>
      <c r="S345" s="986">
        <f t="shared" si="68"/>
        <v>41.33</v>
      </c>
      <c r="T345" s="986">
        <f t="shared" si="69"/>
        <v>58.849999999999994</v>
      </c>
      <c r="U345" s="1005">
        <v>0</v>
      </c>
      <c r="V345" s="443" t="e">
        <f>#REF!+#REF!-O345</f>
        <v>#REF!</v>
      </c>
      <c r="W345" s="975" t="e">
        <f>ROUND((#REF!+#REF!+#REF!+#REF!+#REF!+#REF!+#REF!+#REF!+#REF!),2)</f>
        <v>#REF!</v>
      </c>
      <c r="AA345" s="976" t="e">
        <f>#REF!+#REF!-O345</f>
        <v>#REF!</v>
      </c>
      <c r="AB345" s="977" t="e">
        <f>#REF!</f>
        <v>#REF!</v>
      </c>
      <c r="AC345" s="976" t="e">
        <f>#REF!+#REF!</f>
        <v>#REF!</v>
      </c>
      <c r="AD345" s="977" t="e">
        <f>#REF!</f>
        <v>#REF!</v>
      </c>
      <c r="AE345" s="978">
        <v>0</v>
      </c>
      <c r="AF345" s="977" t="e">
        <f>#REF!</f>
        <v>#REF!</v>
      </c>
      <c r="AG345" s="979" t="e">
        <f>#REF!+#REF!</f>
        <v>#REF!</v>
      </c>
      <c r="AH345" s="979" t="e">
        <f>#REF!+#REF!</f>
        <v>#REF!</v>
      </c>
      <c r="AI345" s="979"/>
      <c r="AJ345" s="977" t="e">
        <f>#REF!</f>
        <v>#REF!</v>
      </c>
      <c r="AK345" s="977" t="e">
        <f t="shared" si="62"/>
        <v>#REF!</v>
      </c>
      <c r="AL345" s="977">
        <f t="shared" si="63"/>
        <v>58.849999999999994</v>
      </c>
      <c r="AM345" s="977">
        <f t="shared" si="64"/>
        <v>0</v>
      </c>
      <c r="AN345" s="634"/>
    </row>
    <row r="346" spans="1:40" s="629" customFormat="1" ht="20.100000000000001" customHeight="1">
      <c r="A346" s="771">
        <f t="shared" si="65"/>
        <v>33</v>
      </c>
      <c r="B346" s="980">
        <f>+NOMINA!C344</f>
        <v>11894400</v>
      </c>
      <c r="C346" s="981" t="str">
        <f>+NOMINA!D344</f>
        <v>Aldana Olivar Maria del Carmen</v>
      </c>
      <c r="D346" s="978" t="s">
        <v>4622</v>
      </c>
      <c r="E346" s="982">
        <v>32351</v>
      </c>
      <c r="F346" s="978" t="s">
        <v>4620</v>
      </c>
      <c r="G346" s="1004">
        <f>+NOMINA!H344</f>
        <v>44287</v>
      </c>
      <c r="H346" s="984">
        <f t="shared" si="66"/>
        <v>1</v>
      </c>
      <c r="I346" s="985">
        <v>0</v>
      </c>
      <c r="J346" s="999">
        <f>+NOMINA!BL344</f>
        <v>11.3</v>
      </c>
      <c r="K346" s="999">
        <f>+NOMINA!BM344</f>
        <v>1.41</v>
      </c>
      <c r="L346" s="999">
        <f>+NOMINA!BN344</f>
        <v>3.06</v>
      </c>
      <c r="M346" s="999">
        <f>++NOMINA!BO344</f>
        <v>0</v>
      </c>
      <c r="N346" s="999">
        <f>+NOMINA!BP344</f>
        <v>0</v>
      </c>
      <c r="O346" s="986">
        <f t="shared" si="67"/>
        <v>15.77</v>
      </c>
      <c r="P346" s="999">
        <f>+NOMINA!BR344</f>
        <v>25.43</v>
      </c>
      <c r="Q346" s="999">
        <f>+NOMINA!BS344</f>
        <v>5.65</v>
      </c>
      <c r="R346" s="999">
        <f>+NOMINA!BT344</f>
        <v>6.12</v>
      </c>
      <c r="S346" s="986">
        <f t="shared" si="68"/>
        <v>37.200000000000003</v>
      </c>
      <c r="T346" s="986">
        <f t="shared" si="69"/>
        <v>52.97</v>
      </c>
      <c r="U346" s="1005">
        <v>0</v>
      </c>
      <c r="V346" s="443" t="e">
        <f>#REF!+#REF!-O346</f>
        <v>#REF!</v>
      </c>
      <c r="W346" s="975" t="e">
        <f>ROUND((#REF!+#REF!+#REF!+#REF!+#REF!+#REF!+#REF!+#REF!+#REF!),2)</f>
        <v>#REF!</v>
      </c>
      <c r="AA346" s="976" t="e">
        <f>#REF!+#REF!-O346</f>
        <v>#REF!</v>
      </c>
      <c r="AB346" s="977" t="e">
        <f>#REF!</f>
        <v>#REF!</v>
      </c>
      <c r="AC346" s="976" t="e">
        <f>#REF!+#REF!</f>
        <v>#REF!</v>
      </c>
      <c r="AD346" s="977" t="e">
        <f>#REF!</f>
        <v>#REF!</v>
      </c>
      <c r="AE346" s="978">
        <v>0</v>
      </c>
      <c r="AF346" s="977" t="e">
        <f>#REF!</f>
        <v>#REF!</v>
      </c>
      <c r="AG346" s="979" t="e">
        <f>#REF!+#REF!</f>
        <v>#REF!</v>
      </c>
      <c r="AH346" s="979" t="e">
        <f>#REF!+#REF!</f>
        <v>#REF!</v>
      </c>
      <c r="AI346" s="979"/>
      <c r="AJ346" s="977" t="e">
        <f>#REF!</f>
        <v>#REF!</v>
      </c>
      <c r="AK346" s="977" t="e">
        <f t="shared" si="62"/>
        <v>#REF!</v>
      </c>
      <c r="AL346" s="977">
        <f t="shared" si="63"/>
        <v>52.97</v>
      </c>
      <c r="AM346" s="977">
        <f t="shared" si="64"/>
        <v>0</v>
      </c>
      <c r="AN346" s="634"/>
    </row>
    <row r="347" spans="1:40" s="629" customFormat="1" ht="20.100000000000001" customHeight="1">
      <c r="A347" s="771">
        <f t="shared" si="65"/>
        <v>34</v>
      </c>
      <c r="B347" s="980">
        <f>+NOMINA!C345</f>
        <v>11897863</v>
      </c>
      <c r="C347" s="981" t="str">
        <f>+NOMINA!D345</f>
        <v>Rodriguez Maria Ibel</v>
      </c>
      <c r="D347" s="978" t="s">
        <v>4622</v>
      </c>
      <c r="E347" s="982">
        <v>32351</v>
      </c>
      <c r="F347" s="978" t="s">
        <v>4620</v>
      </c>
      <c r="G347" s="1004">
        <f>+NOMINA!H345</f>
        <v>41548</v>
      </c>
      <c r="H347" s="984">
        <f t="shared" si="66"/>
        <v>9</v>
      </c>
      <c r="I347" s="985">
        <v>0</v>
      </c>
      <c r="J347" s="999">
        <f>+NOMINA!BL345</f>
        <v>10.199999999999999</v>
      </c>
      <c r="K347" s="999">
        <f>+NOMINA!BM345</f>
        <v>1.27</v>
      </c>
      <c r="L347" s="999">
        <f>+NOMINA!BN345</f>
        <v>2.76</v>
      </c>
      <c r="M347" s="999">
        <f>++NOMINA!BO345</f>
        <v>0</v>
      </c>
      <c r="N347" s="999">
        <f>+NOMINA!BP345</f>
        <v>0</v>
      </c>
      <c r="O347" s="986">
        <f t="shared" si="67"/>
        <v>14.23</v>
      </c>
      <c r="P347" s="999">
        <f>+NOMINA!BR345</f>
        <v>22.94</v>
      </c>
      <c r="Q347" s="999">
        <f>+NOMINA!BS345</f>
        <v>5.0999999999999996</v>
      </c>
      <c r="R347" s="999">
        <f>+NOMINA!BT345</f>
        <v>5.52</v>
      </c>
      <c r="S347" s="986">
        <f t="shared" si="68"/>
        <v>33.56</v>
      </c>
      <c r="T347" s="986">
        <f t="shared" si="69"/>
        <v>47.790000000000006</v>
      </c>
      <c r="U347" s="1005">
        <v>0</v>
      </c>
      <c r="V347" s="443" t="e">
        <f>#REF!+#REF!-O347</f>
        <v>#REF!</v>
      </c>
      <c r="W347" s="975" t="e">
        <f>ROUND((#REF!+#REF!+#REF!+#REF!+#REF!+#REF!+#REF!+#REF!+#REF!),2)</f>
        <v>#REF!</v>
      </c>
      <c r="AA347" s="976" t="e">
        <f>#REF!+#REF!-O347</f>
        <v>#REF!</v>
      </c>
      <c r="AB347" s="977" t="e">
        <f>#REF!</f>
        <v>#REF!</v>
      </c>
      <c r="AC347" s="976" t="e">
        <f>#REF!+#REF!</f>
        <v>#REF!</v>
      </c>
      <c r="AD347" s="977" t="e">
        <f>#REF!</f>
        <v>#REF!</v>
      </c>
      <c r="AE347" s="978">
        <v>0</v>
      </c>
      <c r="AF347" s="977" t="e">
        <f>#REF!</f>
        <v>#REF!</v>
      </c>
      <c r="AG347" s="979" t="e">
        <f>#REF!+#REF!</f>
        <v>#REF!</v>
      </c>
      <c r="AH347" s="979" t="e">
        <f>#REF!+#REF!</f>
        <v>#REF!</v>
      </c>
      <c r="AI347" s="979"/>
      <c r="AJ347" s="977" t="e">
        <f>#REF!</f>
        <v>#REF!</v>
      </c>
      <c r="AK347" s="977" t="e">
        <f t="shared" si="62"/>
        <v>#REF!</v>
      </c>
      <c r="AL347" s="977">
        <f t="shared" si="63"/>
        <v>47.790000000000006</v>
      </c>
      <c r="AM347" s="977">
        <f t="shared" si="64"/>
        <v>0</v>
      </c>
      <c r="AN347" s="634"/>
    </row>
    <row r="348" spans="1:40" s="629" customFormat="1" ht="20.100000000000001" customHeight="1">
      <c r="A348" s="771">
        <f t="shared" si="65"/>
        <v>35</v>
      </c>
      <c r="B348" s="980">
        <f>+NOMINA!C346</f>
        <v>12038359</v>
      </c>
      <c r="C348" s="981" t="str">
        <f>+NOMINA!D346</f>
        <v>Amaya Perez Carmen Elena</v>
      </c>
      <c r="D348" s="978" t="s">
        <v>4622</v>
      </c>
      <c r="E348" s="982">
        <v>32351</v>
      </c>
      <c r="F348" s="978" t="s">
        <v>4620</v>
      </c>
      <c r="G348" s="1004">
        <f>+NOMINA!H346</f>
        <v>38103</v>
      </c>
      <c r="H348" s="984">
        <f t="shared" si="66"/>
        <v>18</v>
      </c>
      <c r="I348" s="985">
        <v>0</v>
      </c>
      <c r="J348" s="999">
        <f>+NOMINA!BL346</f>
        <v>12.76</v>
      </c>
      <c r="K348" s="999">
        <f>+NOMINA!BM346</f>
        <v>1.59</v>
      </c>
      <c r="L348" s="999">
        <f>+NOMINA!BN346</f>
        <v>3.45</v>
      </c>
      <c r="M348" s="999">
        <f>++NOMINA!BO346</f>
        <v>0</v>
      </c>
      <c r="N348" s="999">
        <f>+NOMINA!BP346</f>
        <v>0</v>
      </c>
      <c r="O348" s="986">
        <f t="shared" si="67"/>
        <v>17.8</v>
      </c>
      <c r="P348" s="999">
        <f>+NOMINA!BR346</f>
        <v>28.7</v>
      </c>
      <c r="Q348" s="999">
        <f>+NOMINA!BS346</f>
        <v>6.38</v>
      </c>
      <c r="R348" s="999">
        <f>+NOMINA!BT346</f>
        <v>6.9</v>
      </c>
      <c r="S348" s="986">
        <f t="shared" si="68"/>
        <v>41.98</v>
      </c>
      <c r="T348" s="986">
        <f t="shared" si="69"/>
        <v>59.78</v>
      </c>
      <c r="U348" s="1005">
        <v>0</v>
      </c>
      <c r="V348" s="443" t="e">
        <f>#REF!+#REF!-O348</f>
        <v>#REF!</v>
      </c>
      <c r="W348" s="975" t="e">
        <f>ROUND((#REF!+#REF!+#REF!+#REF!+#REF!+#REF!+#REF!+#REF!+#REF!),2)</f>
        <v>#REF!</v>
      </c>
      <c r="AA348" s="976" t="e">
        <f>#REF!+#REF!-O348</f>
        <v>#REF!</v>
      </c>
      <c r="AB348" s="977" t="e">
        <f>#REF!</f>
        <v>#REF!</v>
      </c>
      <c r="AC348" s="976" t="e">
        <f>#REF!+#REF!</f>
        <v>#REF!</v>
      </c>
      <c r="AD348" s="977" t="e">
        <f>#REF!</f>
        <v>#REF!</v>
      </c>
      <c r="AE348" s="978">
        <v>0</v>
      </c>
      <c r="AF348" s="977" t="e">
        <f>#REF!</f>
        <v>#REF!</v>
      </c>
      <c r="AG348" s="979" t="e">
        <f>#REF!+#REF!</f>
        <v>#REF!</v>
      </c>
      <c r="AH348" s="979" t="e">
        <f>#REF!+#REF!</f>
        <v>#REF!</v>
      </c>
      <c r="AI348" s="979"/>
      <c r="AJ348" s="977" t="e">
        <f>#REF!</f>
        <v>#REF!</v>
      </c>
      <c r="AK348" s="977" t="e">
        <f t="shared" si="62"/>
        <v>#REF!</v>
      </c>
      <c r="AL348" s="977">
        <f t="shared" si="63"/>
        <v>59.78</v>
      </c>
      <c r="AM348" s="977">
        <f t="shared" si="64"/>
        <v>0</v>
      </c>
      <c r="AN348" s="634"/>
    </row>
    <row r="349" spans="1:40" s="629" customFormat="1" ht="20.100000000000001" customHeight="1">
      <c r="A349" s="771">
        <f t="shared" si="65"/>
        <v>36</v>
      </c>
      <c r="B349" s="980">
        <f>+NOMINA!C347</f>
        <v>12042930</v>
      </c>
      <c r="C349" s="981" t="str">
        <f>+NOMINA!D347</f>
        <v>Barroeta Cardozo Leonid Andrei</v>
      </c>
      <c r="D349" s="978" t="s">
        <v>4622</v>
      </c>
      <c r="E349" s="982">
        <v>32351</v>
      </c>
      <c r="F349" s="978" t="s">
        <v>4620</v>
      </c>
      <c r="G349" s="1004">
        <f>+NOMINA!H347</f>
        <v>44986</v>
      </c>
      <c r="H349" s="984">
        <f t="shared" si="66"/>
        <v>0</v>
      </c>
      <c r="I349" s="985">
        <v>0</v>
      </c>
      <c r="J349" s="999">
        <f>+NOMINA!BL347</f>
        <v>10.47</v>
      </c>
      <c r="K349" s="999">
        <f>+NOMINA!BM347</f>
        <v>1.31</v>
      </c>
      <c r="L349" s="999">
        <f>+NOMINA!BN347</f>
        <v>2.84</v>
      </c>
      <c r="M349" s="999">
        <f>++NOMINA!BO347</f>
        <v>0</v>
      </c>
      <c r="N349" s="999">
        <f>+NOMINA!BP347</f>
        <v>0</v>
      </c>
      <c r="O349" s="986">
        <f t="shared" si="67"/>
        <v>14.62</v>
      </c>
      <c r="P349" s="999">
        <f>+NOMINA!BR347</f>
        <v>23.55</v>
      </c>
      <c r="Q349" s="999">
        <f>+NOMINA!BS347</f>
        <v>5.23</v>
      </c>
      <c r="R349" s="999">
        <f>+NOMINA!BT347</f>
        <v>5.68</v>
      </c>
      <c r="S349" s="986">
        <f t="shared" si="68"/>
        <v>34.46</v>
      </c>
      <c r="T349" s="986">
        <f t="shared" si="69"/>
        <v>49.08</v>
      </c>
      <c r="U349" s="1005">
        <v>0</v>
      </c>
      <c r="V349" s="443" t="e">
        <f>#REF!+#REF!-O349</f>
        <v>#REF!</v>
      </c>
      <c r="W349" s="975" t="e">
        <f>ROUND((#REF!+#REF!+#REF!+#REF!+#REF!+#REF!+#REF!+#REF!+#REF!),2)</f>
        <v>#REF!</v>
      </c>
      <c r="AA349" s="976" t="e">
        <f>#REF!+#REF!-O349</f>
        <v>#REF!</v>
      </c>
      <c r="AB349" s="977" t="e">
        <f>#REF!</f>
        <v>#REF!</v>
      </c>
      <c r="AC349" s="976" t="e">
        <f>#REF!+#REF!</f>
        <v>#REF!</v>
      </c>
      <c r="AD349" s="977" t="e">
        <f>#REF!</f>
        <v>#REF!</v>
      </c>
      <c r="AE349" s="978">
        <v>0</v>
      </c>
      <c r="AF349" s="977" t="e">
        <f>#REF!</f>
        <v>#REF!</v>
      </c>
      <c r="AG349" s="979" t="e">
        <f>#REF!+#REF!</f>
        <v>#REF!</v>
      </c>
      <c r="AH349" s="979" t="e">
        <f>#REF!+#REF!</f>
        <v>#REF!</v>
      </c>
      <c r="AI349" s="979"/>
      <c r="AJ349" s="977" t="e">
        <f>#REF!</f>
        <v>#REF!</v>
      </c>
      <c r="AK349" s="977" t="e">
        <f t="shared" si="62"/>
        <v>#REF!</v>
      </c>
      <c r="AL349" s="977">
        <f t="shared" si="63"/>
        <v>49.08</v>
      </c>
      <c r="AM349" s="977">
        <f t="shared" si="64"/>
        <v>0</v>
      </c>
      <c r="AN349" s="634"/>
    </row>
    <row r="350" spans="1:40" s="629" customFormat="1" ht="20.100000000000001" customHeight="1">
      <c r="A350" s="771">
        <f t="shared" si="65"/>
        <v>37</v>
      </c>
      <c r="B350" s="980">
        <f>+NOMINA!C348</f>
        <v>12043135</v>
      </c>
      <c r="C350" s="981" t="str">
        <f>+NOMINA!D348</f>
        <v>Avila Salvio Rodolfo</v>
      </c>
      <c r="D350" s="978" t="s">
        <v>4622</v>
      </c>
      <c r="E350" s="982">
        <v>32351</v>
      </c>
      <c r="F350" s="978" t="s">
        <v>4620</v>
      </c>
      <c r="G350" s="1004">
        <f>+NOMINA!H348</f>
        <v>43724</v>
      </c>
      <c r="H350" s="984">
        <f t="shared" si="66"/>
        <v>3</v>
      </c>
      <c r="I350" s="985">
        <v>0</v>
      </c>
      <c r="J350" s="999">
        <f>+NOMINA!BL348</f>
        <v>11.43</v>
      </c>
      <c r="K350" s="999">
        <f>+NOMINA!BM348</f>
        <v>1.43</v>
      </c>
      <c r="L350" s="999">
        <f>+NOMINA!BN348</f>
        <v>3.1</v>
      </c>
      <c r="M350" s="999">
        <f>++NOMINA!BO348</f>
        <v>0</v>
      </c>
      <c r="N350" s="999">
        <f>+NOMINA!BP348</f>
        <v>0</v>
      </c>
      <c r="O350" s="986">
        <f t="shared" si="67"/>
        <v>15.96</v>
      </c>
      <c r="P350" s="999">
        <f>+NOMINA!BR348</f>
        <v>25.72</v>
      </c>
      <c r="Q350" s="999">
        <f>+NOMINA!BS348</f>
        <v>5.71</v>
      </c>
      <c r="R350" s="999">
        <f>+NOMINA!BT348</f>
        <v>6.2</v>
      </c>
      <c r="S350" s="986">
        <f t="shared" si="68"/>
        <v>37.630000000000003</v>
      </c>
      <c r="T350" s="986">
        <f t="shared" si="69"/>
        <v>53.59</v>
      </c>
      <c r="U350" s="1005">
        <v>0</v>
      </c>
      <c r="V350" s="443" t="e">
        <f>#REF!+#REF!-O350</f>
        <v>#REF!</v>
      </c>
      <c r="W350" s="975" t="e">
        <f>ROUND((#REF!+#REF!+#REF!+#REF!+#REF!+#REF!+#REF!+#REF!+#REF!),2)</f>
        <v>#REF!</v>
      </c>
      <c r="AA350" s="976" t="e">
        <f>#REF!+#REF!-O350</f>
        <v>#REF!</v>
      </c>
      <c r="AB350" s="977" t="e">
        <f>#REF!</f>
        <v>#REF!</v>
      </c>
      <c r="AC350" s="976" t="e">
        <f>#REF!+#REF!</f>
        <v>#REF!</v>
      </c>
      <c r="AD350" s="977" t="e">
        <f>#REF!</f>
        <v>#REF!</v>
      </c>
      <c r="AE350" s="978">
        <v>0</v>
      </c>
      <c r="AF350" s="977" t="e">
        <f>#REF!</f>
        <v>#REF!</v>
      </c>
      <c r="AG350" s="979" t="e">
        <f>#REF!+#REF!</f>
        <v>#REF!</v>
      </c>
      <c r="AH350" s="979" t="e">
        <f>#REF!+#REF!</f>
        <v>#REF!</v>
      </c>
      <c r="AI350" s="979"/>
      <c r="AJ350" s="977" t="e">
        <f>#REF!</f>
        <v>#REF!</v>
      </c>
      <c r="AK350" s="977" t="e">
        <f t="shared" si="62"/>
        <v>#REF!</v>
      </c>
      <c r="AL350" s="977">
        <f t="shared" si="63"/>
        <v>53.59</v>
      </c>
      <c r="AM350" s="977">
        <f t="shared" si="64"/>
        <v>0</v>
      </c>
      <c r="AN350" s="634"/>
    </row>
    <row r="351" spans="1:40" s="629" customFormat="1" ht="20.100000000000001" customHeight="1">
      <c r="A351" s="771">
        <f t="shared" si="65"/>
        <v>38</v>
      </c>
      <c r="B351" s="980">
        <f>+NOMINA!C349</f>
        <v>12044124</v>
      </c>
      <c r="C351" s="981" t="str">
        <f>+NOMINA!D349</f>
        <v>Rivas Carlos Luis</v>
      </c>
      <c r="D351" s="978" t="s">
        <v>4622</v>
      </c>
      <c r="E351" s="982">
        <v>32351</v>
      </c>
      <c r="F351" s="978" t="s">
        <v>4620</v>
      </c>
      <c r="G351" s="1004">
        <f>+NOMINA!H349</f>
        <v>39539</v>
      </c>
      <c r="H351" s="984">
        <f t="shared" si="66"/>
        <v>14</v>
      </c>
      <c r="I351" s="985">
        <v>0</v>
      </c>
      <c r="J351" s="999">
        <f>+NOMINA!BL349</f>
        <v>14.97</v>
      </c>
      <c r="K351" s="999">
        <f>+NOMINA!BM349</f>
        <v>1.87</v>
      </c>
      <c r="L351" s="999">
        <f>+NOMINA!BN349</f>
        <v>4.05</v>
      </c>
      <c r="M351" s="999">
        <f>++NOMINA!BO349</f>
        <v>0</v>
      </c>
      <c r="N351" s="999">
        <f>+NOMINA!BP349</f>
        <v>0</v>
      </c>
      <c r="O351" s="986">
        <f t="shared" si="67"/>
        <v>20.89</v>
      </c>
      <c r="P351" s="999">
        <f>+NOMINA!BR349</f>
        <v>33.67</v>
      </c>
      <c r="Q351" s="999">
        <f>+NOMINA!BS349</f>
        <v>7.48</v>
      </c>
      <c r="R351" s="999">
        <f>+NOMINA!BT349</f>
        <v>8.1</v>
      </c>
      <c r="S351" s="986">
        <f t="shared" si="68"/>
        <v>49.25</v>
      </c>
      <c r="T351" s="986">
        <f t="shared" si="69"/>
        <v>70.14</v>
      </c>
      <c r="U351" s="1005">
        <v>0</v>
      </c>
      <c r="V351" s="443" t="e">
        <f>#REF!+#REF!-O351</f>
        <v>#REF!</v>
      </c>
      <c r="W351" s="975" t="e">
        <f>ROUND((#REF!+#REF!+#REF!+#REF!+#REF!+#REF!+#REF!+#REF!+#REF!),2)</f>
        <v>#REF!</v>
      </c>
      <c r="AA351" s="976" t="e">
        <f>#REF!+#REF!-O351</f>
        <v>#REF!</v>
      </c>
      <c r="AB351" s="977" t="e">
        <f>#REF!</f>
        <v>#REF!</v>
      </c>
      <c r="AC351" s="976" t="e">
        <f>#REF!+#REF!</f>
        <v>#REF!</v>
      </c>
      <c r="AD351" s="977" t="e">
        <f>#REF!</f>
        <v>#REF!</v>
      </c>
      <c r="AE351" s="978">
        <v>0</v>
      </c>
      <c r="AF351" s="977" t="e">
        <f>#REF!</f>
        <v>#REF!</v>
      </c>
      <c r="AG351" s="979" t="e">
        <f>#REF!+#REF!</f>
        <v>#REF!</v>
      </c>
      <c r="AH351" s="979" t="e">
        <f>#REF!+#REF!</f>
        <v>#REF!</v>
      </c>
      <c r="AI351" s="979"/>
      <c r="AJ351" s="977" t="e">
        <f>#REF!</f>
        <v>#REF!</v>
      </c>
      <c r="AK351" s="977" t="e">
        <f t="shared" si="62"/>
        <v>#REF!</v>
      </c>
      <c r="AL351" s="977">
        <f t="shared" si="63"/>
        <v>70.14</v>
      </c>
      <c r="AM351" s="977">
        <f t="shared" si="64"/>
        <v>0</v>
      </c>
      <c r="AN351" s="634"/>
    </row>
    <row r="352" spans="1:40" s="629" customFormat="1" ht="20.100000000000001" customHeight="1">
      <c r="A352" s="771">
        <f t="shared" si="65"/>
        <v>39</v>
      </c>
      <c r="B352" s="980">
        <f>+NOMINA!C350</f>
        <v>12044754</v>
      </c>
      <c r="C352" s="981" t="str">
        <f>+NOMINA!D350</f>
        <v>Briceño Graterol Oscar Antonio</v>
      </c>
      <c r="D352" s="978" t="s">
        <v>4622</v>
      </c>
      <c r="E352" s="982">
        <v>32351</v>
      </c>
      <c r="F352" s="978" t="s">
        <v>4620</v>
      </c>
      <c r="G352" s="1004">
        <f>+NOMINA!H350</f>
        <v>43481</v>
      </c>
      <c r="H352" s="984">
        <f t="shared" si="66"/>
        <v>3</v>
      </c>
      <c r="I352" s="985">
        <v>0</v>
      </c>
      <c r="J352" s="999">
        <f>+NOMINA!BL350</f>
        <v>10.76</v>
      </c>
      <c r="K352" s="999">
        <f>+NOMINA!BM350</f>
        <v>1.35</v>
      </c>
      <c r="L352" s="999">
        <f>+NOMINA!BN350</f>
        <v>2.91</v>
      </c>
      <c r="M352" s="999">
        <f>++NOMINA!BO350</f>
        <v>0</v>
      </c>
      <c r="N352" s="999">
        <f>+NOMINA!BP350</f>
        <v>0</v>
      </c>
      <c r="O352" s="986">
        <f t="shared" si="67"/>
        <v>15.02</v>
      </c>
      <c r="P352" s="999">
        <f>+NOMINA!BR350</f>
        <v>24.21</v>
      </c>
      <c r="Q352" s="999">
        <f>+NOMINA!BS350</f>
        <v>5.38</v>
      </c>
      <c r="R352" s="999">
        <f>+NOMINA!BT350</f>
        <v>5.82</v>
      </c>
      <c r="S352" s="986">
        <f t="shared" si="68"/>
        <v>35.409999999999997</v>
      </c>
      <c r="T352" s="986">
        <f t="shared" si="69"/>
        <v>50.429999999999993</v>
      </c>
      <c r="U352" s="1005">
        <v>0</v>
      </c>
      <c r="V352" s="443" t="e">
        <f>#REF!+#REF!-O352</f>
        <v>#REF!</v>
      </c>
      <c r="W352" s="975" t="e">
        <f>ROUND((#REF!+#REF!+#REF!+#REF!+#REF!+#REF!+#REF!+#REF!+#REF!),2)</f>
        <v>#REF!</v>
      </c>
      <c r="AA352" s="976" t="e">
        <f>#REF!+#REF!-O352</f>
        <v>#REF!</v>
      </c>
      <c r="AB352" s="977" t="e">
        <f>#REF!</f>
        <v>#REF!</v>
      </c>
      <c r="AC352" s="976" t="e">
        <f>#REF!+#REF!</f>
        <v>#REF!</v>
      </c>
      <c r="AD352" s="977" t="e">
        <f>#REF!</f>
        <v>#REF!</v>
      </c>
      <c r="AE352" s="978">
        <v>0</v>
      </c>
      <c r="AF352" s="977" t="e">
        <f>#REF!</f>
        <v>#REF!</v>
      </c>
      <c r="AG352" s="979" t="e">
        <f>#REF!+#REF!</f>
        <v>#REF!</v>
      </c>
      <c r="AH352" s="979" t="e">
        <f>#REF!+#REF!</f>
        <v>#REF!</v>
      </c>
      <c r="AI352" s="979"/>
      <c r="AJ352" s="977" t="e">
        <f>#REF!</f>
        <v>#REF!</v>
      </c>
      <c r="AK352" s="977" t="e">
        <f t="shared" si="62"/>
        <v>#REF!</v>
      </c>
      <c r="AL352" s="977">
        <f t="shared" si="63"/>
        <v>50.429999999999993</v>
      </c>
      <c r="AM352" s="977">
        <f t="shared" si="64"/>
        <v>0</v>
      </c>
      <c r="AN352" s="634"/>
    </row>
    <row r="353" spans="1:40" s="629" customFormat="1" ht="20.100000000000001" customHeight="1">
      <c r="A353" s="771">
        <f t="shared" si="65"/>
        <v>40</v>
      </c>
      <c r="B353" s="980">
        <f>+NOMINA!C351</f>
        <v>12046834</v>
      </c>
      <c r="C353" s="981" t="str">
        <f>+NOMINA!D351</f>
        <v>Perez Montilla William Jose</v>
      </c>
      <c r="D353" s="978" t="s">
        <v>4622</v>
      </c>
      <c r="E353" s="982">
        <v>32351</v>
      </c>
      <c r="F353" s="978" t="s">
        <v>4620</v>
      </c>
      <c r="G353" s="1004">
        <f>+NOMINA!H351</f>
        <v>43313</v>
      </c>
      <c r="H353" s="984">
        <f t="shared" si="66"/>
        <v>4</v>
      </c>
      <c r="I353" s="985">
        <v>0</v>
      </c>
      <c r="J353" s="999">
        <f>+NOMINA!BL351</f>
        <v>13.22</v>
      </c>
      <c r="K353" s="999">
        <f>+NOMINA!BM351</f>
        <v>1.65</v>
      </c>
      <c r="L353" s="999">
        <f>+NOMINA!BN351</f>
        <v>3.58</v>
      </c>
      <c r="M353" s="999">
        <f>++NOMINA!BO351</f>
        <v>0</v>
      </c>
      <c r="N353" s="999">
        <f>+NOMINA!BP351</f>
        <v>0</v>
      </c>
      <c r="O353" s="986">
        <f t="shared" si="67"/>
        <v>18.45</v>
      </c>
      <c r="P353" s="999">
        <f>+NOMINA!BR351</f>
        <v>29.74</v>
      </c>
      <c r="Q353" s="999">
        <f>+NOMINA!BS351</f>
        <v>6.61</v>
      </c>
      <c r="R353" s="999">
        <f>+NOMINA!BT351</f>
        <v>7.16</v>
      </c>
      <c r="S353" s="986">
        <f t="shared" si="68"/>
        <v>43.51</v>
      </c>
      <c r="T353" s="986">
        <f t="shared" si="69"/>
        <v>61.959999999999994</v>
      </c>
      <c r="U353" s="1005">
        <v>0</v>
      </c>
      <c r="V353" s="443" t="e">
        <f>#REF!+#REF!-O353</f>
        <v>#REF!</v>
      </c>
      <c r="W353" s="975" t="e">
        <f>ROUND((#REF!+#REF!+#REF!+#REF!+#REF!+#REF!+#REF!+#REF!+#REF!),2)</f>
        <v>#REF!</v>
      </c>
      <c r="AA353" s="976" t="e">
        <f>#REF!+#REF!-O353</f>
        <v>#REF!</v>
      </c>
      <c r="AB353" s="977" t="e">
        <f>#REF!</f>
        <v>#REF!</v>
      </c>
      <c r="AC353" s="976" t="e">
        <f>#REF!+#REF!</f>
        <v>#REF!</v>
      </c>
      <c r="AD353" s="977" t="e">
        <f>#REF!</f>
        <v>#REF!</v>
      </c>
      <c r="AE353" s="978">
        <v>0</v>
      </c>
      <c r="AF353" s="977" t="e">
        <f>#REF!</f>
        <v>#REF!</v>
      </c>
      <c r="AG353" s="979" t="e">
        <f>#REF!+#REF!</f>
        <v>#REF!</v>
      </c>
      <c r="AH353" s="979" t="e">
        <f>#REF!+#REF!</f>
        <v>#REF!</v>
      </c>
      <c r="AI353" s="979"/>
      <c r="AJ353" s="977" t="e">
        <f>#REF!</f>
        <v>#REF!</v>
      </c>
      <c r="AK353" s="977" t="e">
        <f t="shared" si="62"/>
        <v>#REF!</v>
      </c>
      <c r="AL353" s="977">
        <f t="shared" si="63"/>
        <v>61.959999999999994</v>
      </c>
      <c r="AM353" s="977">
        <f t="shared" si="64"/>
        <v>0</v>
      </c>
      <c r="AN353" s="634"/>
    </row>
    <row r="354" spans="1:40" s="629" customFormat="1" ht="20.100000000000001" customHeight="1">
      <c r="A354" s="771">
        <f t="shared" si="65"/>
        <v>41</v>
      </c>
      <c r="B354" s="980">
        <f>+NOMINA!C352</f>
        <v>12047016</v>
      </c>
      <c r="C354" s="981" t="str">
        <f>+NOMINA!D352</f>
        <v>Lozada de Estenoz Maria Edicta</v>
      </c>
      <c r="D354" s="978" t="s">
        <v>4622</v>
      </c>
      <c r="E354" s="982">
        <v>32351</v>
      </c>
      <c r="F354" s="978" t="s">
        <v>4620</v>
      </c>
      <c r="G354" s="1004">
        <f>+NOMINA!H352</f>
        <v>42948</v>
      </c>
      <c r="H354" s="984">
        <f t="shared" si="66"/>
        <v>5</v>
      </c>
      <c r="I354" s="985">
        <v>0</v>
      </c>
      <c r="J354" s="999">
        <f>+NOMINA!BL352</f>
        <v>12.04</v>
      </c>
      <c r="K354" s="999">
        <f>+NOMINA!BM352</f>
        <v>1.51</v>
      </c>
      <c r="L354" s="999">
        <f>+NOMINA!BN352</f>
        <v>3.26</v>
      </c>
      <c r="M354" s="999">
        <f>++NOMINA!BO352</f>
        <v>0</v>
      </c>
      <c r="N354" s="999">
        <f>+NOMINA!BP352</f>
        <v>0</v>
      </c>
      <c r="O354" s="986">
        <f t="shared" si="67"/>
        <v>16.809999999999999</v>
      </c>
      <c r="P354" s="999">
        <f>+NOMINA!BR352</f>
        <v>27.1</v>
      </c>
      <c r="Q354" s="999">
        <f>+NOMINA!BS352</f>
        <v>6.02</v>
      </c>
      <c r="R354" s="999">
        <f>+NOMINA!BT352</f>
        <v>6.52</v>
      </c>
      <c r="S354" s="986">
        <f t="shared" si="68"/>
        <v>39.64</v>
      </c>
      <c r="T354" s="986">
        <f t="shared" si="69"/>
        <v>56.45</v>
      </c>
      <c r="U354" s="1005">
        <v>0</v>
      </c>
      <c r="V354" s="443" t="e">
        <f>#REF!+#REF!-O354</f>
        <v>#REF!</v>
      </c>
      <c r="W354" s="975" t="e">
        <f>ROUND((#REF!+#REF!+#REF!+#REF!+#REF!+#REF!+#REF!+#REF!+#REF!),2)</f>
        <v>#REF!</v>
      </c>
      <c r="AA354" s="976" t="e">
        <f>#REF!+#REF!-O354</f>
        <v>#REF!</v>
      </c>
      <c r="AB354" s="977" t="e">
        <f>#REF!</f>
        <v>#REF!</v>
      </c>
      <c r="AC354" s="976" t="e">
        <f>#REF!+#REF!</f>
        <v>#REF!</v>
      </c>
      <c r="AD354" s="977" t="e">
        <f>#REF!</f>
        <v>#REF!</v>
      </c>
      <c r="AE354" s="978">
        <v>0</v>
      </c>
      <c r="AF354" s="977" t="e">
        <f>#REF!</f>
        <v>#REF!</v>
      </c>
      <c r="AG354" s="979" t="e">
        <f>#REF!+#REF!</f>
        <v>#REF!</v>
      </c>
      <c r="AH354" s="979" t="e">
        <f>#REF!+#REF!</f>
        <v>#REF!</v>
      </c>
      <c r="AI354" s="979"/>
      <c r="AJ354" s="977" t="e">
        <f>#REF!</f>
        <v>#REF!</v>
      </c>
      <c r="AK354" s="977" t="e">
        <f t="shared" si="62"/>
        <v>#REF!</v>
      </c>
      <c r="AL354" s="977">
        <f t="shared" si="63"/>
        <v>56.45</v>
      </c>
      <c r="AM354" s="977">
        <f t="shared" si="64"/>
        <v>0</v>
      </c>
      <c r="AN354" s="634"/>
    </row>
    <row r="355" spans="1:40" s="629" customFormat="1" ht="20.100000000000001" customHeight="1">
      <c r="A355" s="771">
        <f t="shared" si="65"/>
        <v>42</v>
      </c>
      <c r="B355" s="980">
        <f>+NOMINA!C353</f>
        <v>12797543</v>
      </c>
      <c r="C355" s="981" t="str">
        <f>+NOMINA!D353</f>
        <v>Carrizo Blanco Doris Coromoto</v>
      </c>
      <c r="D355" s="978" t="s">
        <v>4622</v>
      </c>
      <c r="E355" s="982">
        <v>32351</v>
      </c>
      <c r="F355" s="978" t="s">
        <v>4620</v>
      </c>
      <c r="G355" s="1004">
        <f>+NOMINA!H353</f>
        <v>42948</v>
      </c>
      <c r="H355" s="984">
        <f t="shared" si="66"/>
        <v>5</v>
      </c>
      <c r="I355" s="985">
        <v>0</v>
      </c>
      <c r="J355" s="999">
        <f>+NOMINA!BL353</f>
        <v>10.83</v>
      </c>
      <c r="K355" s="999">
        <f>+NOMINA!BM353</f>
        <v>1.35</v>
      </c>
      <c r="L355" s="999">
        <f>+NOMINA!BN353</f>
        <v>2.93</v>
      </c>
      <c r="M355" s="999">
        <f>++NOMINA!BO353</f>
        <v>0</v>
      </c>
      <c r="N355" s="999">
        <f>+NOMINA!BP353</f>
        <v>0</v>
      </c>
      <c r="O355" s="986">
        <f t="shared" si="67"/>
        <v>15.11</v>
      </c>
      <c r="P355" s="999">
        <f>+NOMINA!BR353</f>
        <v>24.36</v>
      </c>
      <c r="Q355" s="999">
        <f>+NOMINA!BS353</f>
        <v>5.41</v>
      </c>
      <c r="R355" s="999">
        <f>+NOMINA!BT353</f>
        <v>5.86</v>
      </c>
      <c r="S355" s="986">
        <f t="shared" si="68"/>
        <v>35.630000000000003</v>
      </c>
      <c r="T355" s="986">
        <f t="shared" si="69"/>
        <v>50.74</v>
      </c>
      <c r="U355" s="1005">
        <v>0</v>
      </c>
      <c r="V355" s="443" t="e">
        <f>#REF!+#REF!-O355</f>
        <v>#REF!</v>
      </c>
      <c r="W355" s="975" t="e">
        <f>ROUND((#REF!+#REF!+#REF!+#REF!+#REF!+#REF!+#REF!+#REF!+#REF!),2)</f>
        <v>#REF!</v>
      </c>
      <c r="AA355" s="976" t="e">
        <f>#REF!+#REF!-O355</f>
        <v>#REF!</v>
      </c>
      <c r="AB355" s="977" t="e">
        <f>#REF!</f>
        <v>#REF!</v>
      </c>
      <c r="AC355" s="976" t="e">
        <f>#REF!+#REF!</f>
        <v>#REF!</v>
      </c>
      <c r="AD355" s="977" t="e">
        <f>#REF!</f>
        <v>#REF!</v>
      </c>
      <c r="AE355" s="978">
        <v>0</v>
      </c>
      <c r="AF355" s="977" t="e">
        <f>#REF!</f>
        <v>#REF!</v>
      </c>
      <c r="AG355" s="979" t="e">
        <f>#REF!+#REF!</f>
        <v>#REF!</v>
      </c>
      <c r="AH355" s="979" t="e">
        <f>#REF!+#REF!</f>
        <v>#REF!</v>
      </c>
      <c r="AI355" s="979"/>
      <c r="AJ355" s="977" t="e">
        <f>#REF!</f>
        <v>#REF!</v>
      </c>
      <c r="AK355" s="977" t="e">
        <f t="shared" si="62"/>
        <v>#REF!</v>
      </c>
      <c r="AL355" s="977">
        <f t="shared" si="63"/>
        <v>50.74</v>
      </c>
      <c r="AM355" s="977">
        <f t="shared" si="64"/>
        <v>0</v>
      </c>
      <c r="AN355" s="634"/>
    </row>
    <row r="356" spans="1:40" s="629" customFormat="1" ht="20.100000000000001" customHeight="1">
      <c r="A356" s="771">
        <f t="shared" si="65"/>
        <v>43</v>
      </c>
      <c r="B356" s="980">
        <f>+NOMINA!C354</f>
        <v>12797598</v>
      </c>
      <c r="C356" s="981" t="str">
        <f>+NOMINA!D354</f>
        <v>Gutierrez Briceño Jose Gabriel</v>
      </c>
      <c r="D356" s="978" t="s">
        <v>4622</v>
      </c>
      <c r="E356" s="982">
        <v>32351</v>
      </c>
      <c r="F356" s="978" t="s">
        <v>4620</v>
      </c>
      <c r="G356" s="1004">
        <f>+NOMINA!H354</f>
        <v>44635</v>
      </c>
      <c r="H356" s="984">
        <f t="shared" si="66"/>
        <v>0</v>
      </c>
      <c r="I356" s="985">
        <v>0</v>
      </c>
      <c r="J356" s="999">
        <f>+NOMINA!BL354</f>
        <v>11.7</v>
      </c>
      <c r="K356" s="999">
        <f>+NOMINA!BM354</f>
        <v>1.46</v>
      </c>
      <c r="L356" s="999">
        <f>+NOMINA!BN354</f>
        <v>3.17</v>
      </c>
      <c r="M356" s="999">
        <f>++NOMINA!BO354</f>
        <v>0</v>
      </c>
      <c r="N356" s="999">
        <f>+NOMINA!BP354</f>
        <v>0</v>
      </c>
      <c r="O356" s="986">
        <f t="shared" si="67"/>
        <v>16.329999999999998</v>
      </c>
      <c r="P356" s="999">
        <f>+NOMINA!BR354</f>
        <v>26.33</v>
      </c>
      <c r="Q356" s="999">
        <f>+NOMINA!BS354</f>
        <v>5.85</v>
      </c>
      <c r="R356" s="999">
        <f>+NOMINA!BT354</f>
        <v>6.34</v>
      </c>
      <c r="S356" s="986">
        <f t="shared" si="68"/>
        <v>38.520000000000003</v>
      </c>
      <c r="T356" s="986">
        <f t="shared" si="69"/>
        <v>54.85</v>
      </c>
      <c r="U356" s="1005">
        <v>0</v>
      </c>
      <c r="V356" s="443" t="e">
        <f>#REF!+#REF!-O356</f>
        <v>#REF!</v>
      </c>
      <c r="W356" s="975" t="e">
        <f>ROUND((#REF!+#REF!+#REF!+#REF!+#REF!+#REF!+#REF!+#REF!+#REF!),2)</f>
        <v>#REF!</v>
      </c>
      <c r="AA356" s="976" t="e">
        <f>#REF!+#REF!-O356</f>
        <v>#REF!</v>
      </c>
      <c r="AB356" s="977" t="e">
        <f>#REF!</f>
        <v>#REF!</v>
      </c>
      <c r="AC356" s="976" t="e">
        <f>#REF!+#REF!</f>
        <v>#REF!</v>
      </c>
      <c r="AD356" s="977" t="e">
        <f>#REF!</f>
        <v>#REF!</v>
      </c>
      <c r="AE356" s="978">
        <v>0</v>
      </c>
      <c r="AF356" s="977" t="e">
        <f>#REF!</f>
        <v>#REF!</v>
      </c>
      <c r="AG356" s="979" t="e">
        <f>#REF!+#REF!</f>
        <v>#REF!</v>
      </c>
      <c r="AH356" s="979" t="e">
        <f>#REF!+#REF!</f>
        <v>#REF!</v>
      </c>
      <c r="AI356" s="979"/>
      <c r="AJ356" s="977" t="e">
        <f>#REF!</f>
        <v>#REF!</v>
      </c>
      <c r="AK356" s="977" t="e">
        <f t="shared" si="62"/>
        <v>#REF!</v>
      </c>
      <c r="AL356" s="977">
        <f t="shared" si="63"/>
        <v>54.85</v>
      </c>
      <c r="AM356" s="977">
        <f t="shared" si="64"/>
        <v>0</v>
      </c>
      <c r="AN356" s="634"/>
    </row>
    <row r="357" spans="1:40" s="629" customFormat="1" ht="20.100000000000001" customHeight="1">
      <c r="A357" s="771">
        <f t="shared" si="65"/>
        <v>44</v>
      </c>
      <c r="B357" s="980">
        <f>+NOMINA!C355</f>
        <v>13049800</v>
      </c>
      <c r="C357" s="981" t="str">
        <f>+NOMINA!D355</f>
        <v>Artigas Sanchez Mereldes Corina</v>
      </c>
      <c r="D357" s="978" t="s">
        <v>4622</v>
      </c>
      <c r="E357" s="982">
        <v>32351</v>
      </c>
      <c r="F357" s="978" t="s">
        <v>4620</v>
      </c>
      <c r="G357" s="1004">
        <f>+NOMINA!H355</f>
        <v>42171</v>
      </c>
      <c r="H357" s="984">
        <f t="shared" si="66"/>
        <v>7</v>
      </c>
      <c r="I357" s="985">
        <v>0</v>
      </c>
      <c r="J357" s="999">
        <f>+NOMINA!BL355</f>
        <v>10.07</v>
      </c>
      <c r="K357" s="999">
        <f>+NOMINA!BM355</f>
        <v>1.26</v>
      </c>
      <c r="L357" s="999">
        <f>+NOMINA!BN355</f>
        <v>2.73</v>
      </c>
      <c r="M357" s="999">
        <f>++NOMINA!BO355</f>
        <v>0</v>
      </c>
      <c r="N357" s="999">
        <f>+NOMINA!BP355</f>
        <v>0</v>
      </c>
      <c r="O357" s="986">
        <f t="shared" si="67"/>
        <v>14.06</v>
      </c>
      <c r="P357" s="999">
        <f>+NOMINA!BR355</f>
        <v>22.66</v>
      </c>
      <c r="Q357" s="999">
        <f>+NOMINA!BS355</f>
        <v>5.04</v>
      </c>
      <c r="R357" s="999">
        <f>+NOMINA!BT355</f>
        <v>5.46</v>
      </c>
      <c r="S357" s="986">
        <f t="shared" si="68"/>
        <v>33.159999999999997</v>
      </c>
      <c r="T357" s="986">
        <f t="shared" si="69"/>
        <v>47.22</v>
      </c>
      <c r="U357" s="1005">
        <v>0</v>
      </c>
      <c r="V357" s="443" t="e">
        <f>#REF!+#REF!-O357</f>
        <v>#REF!</v>
      </c>
      <c r="W357" s="975" t="e">
        <f>ROUND((#REF!+#REF!+#REF!+#REF!+#REF!+#REF!+#REF!+#REF!+#REF!),2)</f>
        <v>#REF!</v>
      </c>
      <c r="AA357" s="976" t="e">
        <f>#REF!+#REF!-O357</f>
        <v>#REF!</v>
      </c>
      <c r="AB357" s="977" t="e">
        <f>#REF!</f>
        <v>#REF!</v>
      </c>
      <c r="AC357" s="976" t="e">
        <f>#REF!+#REF!</f>
        <v>#REF!</v>
      </c>
      <c r="AD357" s="977" t="e">
        <f>#REF!</f>
        <v>#REF!</v>
      </c>
      <c r="AE357" s="978">
        <v>0</v>
      </c>
      <c r="AF357" s="977" t="e">
        <f>#REF!</f>
        <v>#REF!</v>
      </c>
      <c r="AG357" s="979" t="e">
        <f>#REF!+#REF!</f>
        <v>#REF!</v>
      </c>
      <c r="AH357" s="979" t="e">
        <f>#REF!+#REF!</f>
        <v>#REF!</v>
      </c>
      <c r="AI357" s="979"/>
      <c r="AJ357" s="977" t="e">
        <f>#REF!</f>
        <v>#REF!</v>
      </c>
      <c r="AK357" s="977" t="e">
        <f t="shared" si="62"/>
        <v>#REF!</v>
      </c>
      <c r="AL357" s="977">
        <f t="shared" si="63"/>
        <v>47.22</v>
      </c>
      <c r="AM357" s="977">
        <f t="shared" si="64"/>
        <v>0</v>
      </c>
      <c r="AN357" s="634"/>
    </row>
    <row r="358" spans="1:40" s="629" customFormat="1" ht="20.100000000000001" customHeight="1">
      <c r="A358" s="771">
        <f t="shared" si="65"/>
        <v>45</v>
      </c>
      <c r="B358" s="980">
        <f>+NOMINA!C356</f>
        <v>13260758</v>
      </c>
      <c r="C358" s="981" t="str">
        <f>+NOMINA!D356</f>
        <v>Zerpa Silva Frank Michael</v>
      </c>
      <c r="D358" s="978" t="s">
        <v>4622</v>
      </c>
      <c r="E358" s="982">
        <v>32351</v>
      </c>
      <c r="F358" s="978" t="s">
        <v>4620</v>
      </c>
      <c r="G358" s="1004">
        <f>+NOMINA!H356</f>
        <v>39118</v>
      </c>
      <c r="H358" s="984">
        <f t="shared" si="66"/>
        <v>15</v>
      </c>
      <c r="I358" s="985">
        <v>0</v>
      </c>
      <c r="J358" s="999">
        <f>+NOMINA!BL356</f>
        <v>16.190000000000001</v>
      </c>
      <c r="K358" s="999">
        <f>+NOMINA!BM356</f>
        <v>2.02</v>
      </c>
      <c r="L358" s="999">
        <f>+NOMINA!BN356</f>
        <v>4.38</v>
      </c>
      <c r="M358" s="999">
        <f>++NOMINA!BO356</f>
        <v>0</v>
      </c>
      <c r="N358" s="999">
        <f>+NOMINA!BP356</f>
        <v>0</v>
      </c>
      <c r="O358" s="986">
        <f t="shared" si="67"/>
        <v>22.59</v>
      </c>
      <c r="P358" s="999">
        <f>+NOMINA!BR356</f>
        <v>36.42</v>
      </c>
      <c r="Q358" s="999">
        <f>+NOMINA!BS356</f>
        <v>8.09</v>
      </c>
      <c r="R358" s="999">
        <f>+NOMINA!BT356</f>
        <v>8.76</v>
      </c>
      <c r="S358" s="986">
        <f t="shared" si="68"/>
        <v>53.27</v>
      </c>
      <c r="T358" s="986">
        <f t="shared" si="69"/>
        <v>75.86</v>
      </c>
      <c r="U358" s="1005">
        <v>0</v>
      </c>
      <c r="V358" s="443" t="e">
        <f>#REF!+#REF!-O358</f>
        <v>#REF!</v>
      </c>
      <c r="W358" s="975" t="e">
        <f>ROUND((#REF!+#REF!+#REF!+#REF!+#REF!+#REF!+#REF!+#REF!+#REF!),2)</f>
        <v>#REF!</v>
      </c>
      <c r="AA358" s="976" t="e">
        <f>#REF!+#REF!-O358</f>
        <v>#REF!</v>
      </c>
      <c r="AB358" s="977" t="e">
        <f>#REF!</f>
        <v>#REF!</v>
      </c>
      <c r="AC358" s="976" t="e">
        <f>#REF!+#REF!</f>
        <v>#REF!</v>
      </c>
      <c r="AD358" s="977" t="e">
        <f>#REF!</f>
        <v>#REF!</v>
      </c>
      <c r="AE358" s="978">
        <v>0</v>
      </c>
      <c r="AF358" s="977" t="e">
        <f>#REF!</f>
        <v>#REF!</v>
      </c>
      <c r="AG358" s="979" t="e">
        <f>#REF!+#REF!</f>
        <v>#REF!</v>
      </c>
      <c r="AH358" s="979" t="e">
        <f>#REF!+#REF!</f>
        <v>#REF!</v>
      </c>
      <c r="AI358" s="979"/>
      <c r="AJ358" s="977" t="e">
        <f>#REF!</f>
        <v>#REF!</v>
      </c>
      <c r="AK358" s="977" t="e">
        <f t="shared" si="62"/>
        <v>#REF!</v>
      </c>
      <c r="AL358" s="977">
        <f t="shared" si="63"/>
        <v>75.86</v>
      </c>
      <c r="AM358" s="977">
        <f t="shared" si="64"/>
        <v>0</v>
      </c>
      <c r="AN358" s="634"/>
    </row>
    <row r="359" spans="1:40" s="629" customFormat="1" ht="20.100000000000001" customHeight="1">
      <c r="A359" s="771">
        <f t="shared" si="65"/>
        <v>46</v>
      </c>
      <c r="B359" s="980">
        <f>+NOMINA!C357</f>
        <v>13376729</v>
      </c>
      <c r="C359" s="981" t="str">
        <f>+NOMINA!D357</f>
        <v>Briceño Aldana Yhon Mario</v>
      </c>
      <c r="D359" s="978" t="s">
        <v>4622</v>
      </c>
      <c r="E359" s="982">
        <v>32351</v>
      </c>
      <c r="F359" s="978" t="s">
        <v>4620</v>
      </c>
      <c r="G359" s="1004">
        <f>+NOMINA!H357</f>
        <v>42948</v>
      </c>
      <c r="H359" s="984">
        <f t="shared" si="66"/>
        <v>5</v>
      </c>
      <c r="I359" s="985">
        <v>0</v>
      </c>
      <c r="J359" s="999">
        <f>+NOMINA!BL357</f>
        <v>15.66</v>
      </c>
      <c r="K359" s="999">
        <f>+NOMINA!BM357</f>
        <v>1.96</v>
      </c>
      <c r="L359" s="999">
        <f>+NOMINA!BN357</f>
        <v>4.24</v>
      </c>
      <c r="M359" s="999">
        <f>++NOMINA!BO357</f>
        <v>0</v>
      </c>
      <c r="N359" s="999">
        <f>+NOMINA!BP357</f>
        <v>0</v>
      </c>
      <c r="O359" s="986">
        <f t="shared" si="67"/>
        <v>21.86</v>
      </c>
      <c r="P359" s="999">
        <f>+NOMINA!BR357</f>
        <v>35.22</v>
      </c>
      <c r="Q359" s="999">
        <f>+NOMINA!BS357</f>
        <v>7.83</v>
      </c>
      <c r="R359" s="999">
        <f>+NOMINA!BT357</f>
        <v>8.48</v>
      </c>
      <c r="S359" s="986">
        <f t="shared" si="68"/>
        <v>51.53</v>
      </c>
      <c r="T359" s="986">
        <f t="shared" si="69"/>
        <v>73.39</v>
      </c>
      <c r="U359" s="1005">
        <v>0</v>
      </c>
      <c r="V359" s="443" t="e">
        <f>#REF!+#REF!-O359</f>
        <v>#REF!</v>
      </c>
      <c r="W359" s="975" t="e">
        <f>ROUND((#REF!+#REF!+#REF!+#REF!+#REF!+#REF!+#REF!+#REF!+#REF!),2)</f>
        <v>#REF!</v>
      </c>
      <c r="AA359" s="976" t="e">
        <f>#REF!+#REF!-O359</f>
        <v>#REF!</v>
      </c>
      <c r="AB359" s="977" t="e">
        <f>#REF!</f>
        <v>#REF!</v>
      </c>
      <c r="AC359" s="976" t="e">
        <f>#REF!+#REF!</f>
        <v>#REF!</v>
      </c>
      <c r="AD359" s="977" t="e">
        <f>#REF!</f>
        <v>#REF!</v>
      </c>
      <c r="AE359" s="978">
        <v>0</v>
      </c>
      <c r="AF359" s="977" t="e">
        <f>#REF!</f>
        <v>#REF!</v>
      </c>
      <c r="AG359" s="979" t="e">
        <f>#REF!+#REF!</f>
        <v>#REF!</v>
      </c>
      <c r="AH359" s="979" t="e">
        <f>#REF!+#REF!</f>
        <v>#REF!</v>
      </c>
      <c r="AI359" s="979"/>
      <c r="AJ359" s="977" t="e">
        <f>#REF!</f>
        <v>#REF!</v>
      </c>
      <c r="AK359" s="977" t="e">
        <f t="shared" si="62"/>
        <v>#REF!</v>
      </c>
      <c r="AL359" s="977">
        <f t="shared" si="63"/>
        <v>73.39</v>
      </c>
      <c r="AM359" s="977">
        <f t="shared" si="64"/>
        <v>0</v>
      </c>
      <c r="AN359" s="634"/>
    </row>
    <row r="360" spans="1:40" s="629" customFormat="1" ht="20.100000000000001" customHeight="1">
      <c r="A360" s="771">
        <f t="shared" si="65"/>
        <v>47</v>
      </c>
      <c r="B360" s="980">
        <f>+NOMINA!C358</f>
        <v>13404824</v>
      </c>
      <c r="C360" s="981" t="str">
        <f>+NOMINA!D358</f>
        <v>Malpica Rivas Julio Enrique</v>
      </c>
      <c r="D360" s="978" t="s">
        <v>4622</v>
      </c>
      <c r="E360" s="982">
        <v>32351</v>
      </c>
      <c r="F360" s="978" t="s">
        <v>4620</v>
      </c>
      <c r="G360" s="1004">
        <f>+NOMINA!H358</f>
        <v>45474</v>
      </c>
      <c r="H360" s="984">
        <f t="shared" si="66"/>
        <v>0</v>
      </c>
      <c r="I360" s="985">
        <v>0</v>
      </c>
      <c r="J360" s="999">
        <f>+NOMINA!BL358</f>
        <v>10.41</v>
      </c>
      <c r="K360" s="999">
        <f>+NOMINA!BM358</f>
        <v>1.3</v>
      </c>
      <c r="L360" s="999">
        <f>+NOMINA!BN358</f>
        <v>2.82</v>
      </c>
      <c r="M360" s="999">
        <f>++NOMINA!BO358</f>
        <v>0</v>
      </c>
      <c r="N360" s="999">
        <f>+NOMINA!BP358</f>
        <v>0</v>
      </c>
      <c r="O360" s="986">
        <f t="shared" si="67"/>
        <v>14.53</v>
      </c>
      <c r="P360" s="999">
        <f>+NOMINA!BR358</f>
        <v>23.43</v>
      </c>
      <c r="Q360" s="999">
        <f>+NOMINA!BS358</f>
        <v>5.21</v>
      </c>
      <c r="R360" s="999">
        <f>+NOMINA!BT358</f>
        <v>5.64</v>
      </c>
      <c r="S360" s="986">
        <f t="shared" si="68"/>
        <v>34.28</v>
      </c>
      <c r="T360" s="986">
        <f t="shared" si="69"/>
        <v>48.81</v>
      </c>
      <c r="U360" s="1005">
        <v>0</v>
      </c>
      <c r="V360" s="443" t="e">
        <f>#REF!+#REF!-O360</f>
        <v>#REF!</v>
      </c>
      <c r="W360" s="975" t="e">
        <f>ROUND((#REF!+#REF!+#REF!+#REF!+#REF!+#REF!+#REF!+#REF!+#REF!),2)</f>
        <v>#REF!</v>
      </c>
      <c r="AA360" s="976" t="e">
        <f>#REF!+#REF!-O360</f>
        <v>#REF!</v>
      </c>
      <c r="AB360" s="977" t="e">
        <f>#REF!</f>
        <v>#REF!</v>
      </c>
      <c r="AC360" s="976" t="e">
        <f>#REF!+#REF!</f>
        <v>#REF!</v>
      </c>
      <c r="AD360" s="977" t="e">
        <f>#REF!</f>
        <v>#REF!</v>
      </c>
      <c r="AE360" s="978">
        <v>0</v>
      </c>
      <c r="AF360" s="977" t="e">
        <f>#REF!</f>
        <v>#REF!</v>
      </c>
      <c r="AG360" s="979" t="e">
        <f>#REF!+#REF!</f>
        <v>#REF!</v>
      </c>
      <c r="AH360" s="979" t="e">
        <f>#REF!+#REF!</f>
        <v>#REF!</v>
      </c>
      <c r="AI360" s="979"/>
      <c r="AJ360" s="977" t="e">
        <f>#REF!</f>
        <v>#REF!</v>
      </c>
      <c r="AK360" s="977" t="e">
        <f t="shared" si="62"/>
        <v>#REF!</v>
      </c>
      <c r="AL360" s="977">
        <f t="shared" si="63"/>
        <v>48.81</v>
      </c>
      <c r="AM360" s="977">
        <f t="shared" si="64"/>
        <v>0</v>
      </c>
      <c r="AN360" s="634"/>
    </row>
    <row r="361" spans="1:40" s="629" customFormat="1" ht="20.100000000000001" customHeight="1">
      <c r="A361" s="771">
        <f t="shared" si="65"/>
        <v>48</v>
      </c>
      <c r="B361" s="980">
        <f>+NOMINA!C359</f>
        <v>13522771</v>
      </c>
      <c r="C361" s="981" t="str">
        <f>+NOMINA!D359</f>
        <v>Briceño Leal Ana Edelmira</v>
      </c>
      <c r="D361" s="978" t="s">
        <v>4622</v>
      </c>
      <c r="E361" s="982">
        <v>32351</v>
      </c>
      <c r="F361" s="978" t="s">
        <v>4620</v>
      </c>
      <c r="G361" s="1004">
        <f>+NOMINA!H359</f>
        <v>44228</v>
      </c>
      <c r="H361" s="984">
        <f t="shared" si="66"/>
        <v>1</v>
      </c>
      <c r="I361" s="985">
        <v>0</v>
      </c>
      <c r="J361" s="999">
        <f>+NOMINA!BL359</f>
        <v>10.210000000000001</v>
      </c>
      <c r="K361" s="999">
        <f>+NOMINA!BM359</f>
        <v>1.28</v>
      </c>
      <c r="L361" s="999">
        <f>+NOMINA!BN359</f>
        <v>2.76</v>
      </c>
      <c r="M361" s="999">
        <f>++NOMINA!BO359</f>
        <v>0</v>
      </c>
      <c r="N361" s="999">
        <f>+NOMINA!BP359</f>
        <v>0</v>
      </c>
      <c r="O361" s="986">
        <f t="shared" si="67"/>
        <v>14.25</v>
      </c>
      <c r="P361" s="999">
        <f>+NOMINA!BR359</f>
        <v>22.96</v>
      </c>
      <c r="Q361" s="999">
        <f>+NOMINA!BS359</f>
        <v>5.0999999999999996</v>
      </c>
      <c r="R361" s="999">
        <f>+NOMINA!BT359</f>
        <v>5.52</v>
      </c>
      <c r="S361" s="986">
        <f t="shared" si="68"/>
        <v>33.58</v>
      </c>
      <c r="T361" s="986">
        <f t="shared" si="69"/>
        <v>47.83</v>
      </c>
      <c r="U361" s="1005">
        <v>0</v>
      </c>
      <c r="V361" s="443" t="e">
        <f>#REF!+#REF!-O361</f>
        <v>#REF!</v>
      </c>
      <c r="W361" s="975" t="e">
        <f>ROUND((#REF!+#REF!+#REF!+#REF!+#REF!+#REF!+#REF!+#REF!+#REF!),2)</f>
        <v>#REF!</v>
      </c>
      <c r="AA361" s="976" t="e">
        <f>#REF!+#REF!-O361</f>
        <v>#REF!</v>
      </c>
      <c r="AB361" s="977" t="e">
        <f>#REF!</f>
        <v>#REF!</v>
      </c>
      <c r="AC361" s="976" t="e">
        <f>#REF!+#REF!</f>
        <v>#REF!</v>
      </c>
      <c r="AD361" s="977" t="e">
        <f>#REF!</f>
        <v>#REF!</v>
      </c>
      <c r="AE361" s="978">
        <v>0</v>
      </c>
      <c r="AF361" s="977" t="e">
        <f>#REF!</f>
        <v>#REF!</v>
      </c>
      <c r="AG361" s="979" t="e">
        <f>#REF!+#REF!</f>
        <v>#REF!</v>
      </c>
      <c r="AH361" s="979" t="e">
        <f>#REF!+#REF!</f>
        <v>#REF!</v>
      </c>
      <c r="AI361" s="979"/>
      <c r="AJ361" s="977" t="e">
        <f>#REF!</f>
        <v>#REF!</v>
      </c>
      <c r="AK361" s="977" t="e">
        <f t="shared" si="62"/>
        <v>#REF!</v>
      </c>
      <c r="AL361" s="977">
        <f t="shared" si="63"/>
        <v>47.83</v>
      </c>
      <c r="AM361" s="977">
        <f t="shared" si="64"/>
        <v>0</v>
      </c>
      <c r="AN361" s="634"/>
    </row>
    <row r="362" spans="1:40" s="629" customFormat="1" ht="20.100000000000001" customHeight="1">
      <c r="A362" s="771">
        <f t="shared" si="65"/>
        <v>49</v>
      </c>
      <c r="B362" s="980">
        <f>+NOMINA!C360</f>
        <v>13745328</v>
      </c>
      <c r="C362" s="981" t="str">
        <f>+NOMINA!D360</f>
        <v>Arroyo Williams Jose</v>
      </c>
      <c r="D362" s="978" t="s">
        <v>4622</v>
      </c>
      <c r="E362" s="982">
        <v>32351</v>
      </c>
      <c r="F362" s="978" t="s">
        <v>4620</v>
      </c>
      <c r="G362" s="1004">
        <f>+NOMINA!H360</f>
        <v>44805</v>
      </c>
      <c r="H362" s="984">
        <f t="shared" si="66"/>
        <v>0</v>
      </c>
      <c r="I362" s="985">
        <v>0</v>
      </c>
      <c r="J362" s="999">
        <f>+NOMINA!BL360</f>
        <v>14.28</v>
      </c>
      <c r="K362" s="999">
        <f>+NOMINA!BM360</f>
        <v>1.79</v>
      </c>
      <c r="L362" s="999">
        <f>+NOMINA!BN360</f>
        <v>3.87</v>
      </c>
      <c r="M362" s="999">
        <f>++NOMINA!BO360</f>
        <v>0</v>
      </c>
      <c r="N362" s="999">
        <f>+NOMINA!BP360</f>
        <v>0</v>
      </c>
      <c r="O362" s="986">
        <f t="shared" si="67"/>
        <v>19.940000000000001</v>
      </c>
      <c r="P362" s="999">
        <f>+NOMINA!BR360</f>
        <v>32.130000000000003</v>
      </c>
      <c r="Q362" s="999">
        <f>+NOMINA!BS360</f>
        <v>7.14</v>
      </c>
      <c r="R362" s="999">
        <f>+NOMINA!BT360</f>
        <v>7.74</v>
      </c>
      <c r="S362" s="986">
        <f t="shared" si="68"/>
        <v>47.01</v>
      </c>
      <c r="T362" s="986">
        <f t="shared" si="69"/>
        <v>66.95</v>
      </c>
      <c r="U362" s="1005">
        <v>0</v>
      </c>
      <c r="V362" s="443" t="e">
        <f>#REF!+#REF!-O362</f>
        <v>#REF!</v>
      </c>
      <c r="W362" s="975" t="e">
        <f>ROUND((#REF!+#REF!+#REF!+#REF!+#REF!+#REF!+#REF!+#REF!+#REF!),2)</f>
        <v>#REF!</v>
      </c>
      <c r="AA362" s="976" t="e">
        <f>#REF!+#REF!-O362</f>
        <v>#REF!</v>
      </c>
      <c r="AB362" s="977" t="e">
        <f>#REF!</f>
        <v>#REF!</v>
      </c>
      <c r="AC362" s="976" t="e">
        <f>#REF!+#REF!</f>
        <v>#REF!</v>
      </c>
      <c r="AD362" s="977" t="e">
        <f>#REF!</f>
        <v>#REF!</v>
      </c>
      <c r="AE362" s="978">
        <v>0</v>
      </c>
      <c r="AF362" s="977" t="e">
        <f>#REF!</f>
        <v>#REF!</v>
      </c>
      <c r="AG362" s="979" t="e">
        <f>#REF!+#REF!</f>
        <v>#REF!</v>
      </c>
      <c r="AH362" s="979" t="e">
        <f>#REF!+#REF!</f>
        <v>#REF!</v>
      </c>
      <c r="AI362" s="979"/>
      <c r="AJ362" s="977" t="e">
        <f>#REF!</f>
        <v>#REF!</v>
      </c>
      <c r="AK362" s="977" t="e">
        <f t="shared" si="62"/>
        <v>#REF!</v>
      </c>
      <c r="AL362" s="977">
        <f t="shared" si="63"/>
        <v>66.95</v>
      </c>
      <c r="AM362" s="977">
        <f t="shared" si="64"/>
        <v>0</v>
      </c>
      <c r="AN362" s="634"/>
    </row>
    <row r="363" spans="1:40" s="629" customFormat="1" ht="20.100000000000001" customHeight="1">
      <c r="A363" s="771">
        <f t="shared" si="65"/>
        <v>50</v>
      </c>
      <c r="B363" s="980">
        <f>+NOMINA!C361</f>
        <v>13996661</v>
      </c>
      <c r="C363" s="981" t="str">
        <f>+NOMINA!D361</f>
        <v>Perez Montilla Yosmer Alexander</v>
      </c>
      <c r="D363" s="978" t="s">
        <v>4622</v>
      </c>
      <c r="E363" s="982">
        <v>32351</v>
      </c>
      <c r="F363" s="978" t="s">
        <v>4620</v>
      </c>
      <c r="G363" s="1004">
        <f>+NOMINA!H361</f>
        <v>44743</v>
      </c>
      <c r="H363" s="984">
        <f t="shared" si="66"/>
        <v>0</v>
      </c>
      <c r="I363" s="985">
        <v>0</v>
      </c>
      <c r="J363" s="999">
        <f>+NOMINA!BL361</f>
        <v>14.72</v>
      </c>
      <c r="K363" s="999">
        <f>+NOMINA!BM361</f>
        <v>1.84</v>
      </c>
      <c r="L363" s="999">
        <f>+NOMINA!BN361</f>
        <v>3.99</v>
      </c>
      <c r="M363" s="999">
        <f>++NOMINA!BO361</f>
        <v>0</v>
      </c>
      <c r="N363" s="999">
        <f>+NOMINA!BP361</f>
        <v>0</v>
      </c>
      <c r="O363" s="986">
        <f t="shared" si="67"/>
        <v>20.55</v>
      </c>
      <c r="P363" s="999">
        <f>+NOMINA!BR361</f>
        <v>33.130000000000003</v>
      </c>
      <c r="Q363" s="999">
        <f>+NOMINA!BS361</f>
        <v>7.36</v>
      </c>
      <c r="R363" s="999">
        <f>+NOMINA!BT361</f>
        <v>7.98</v>
      </c>
      <c r="S363" s="986">
        <f t="shared" si="68"/>
        <v>48.47</v>
      </c>
      <c r="T363" s="986">
        <f t="shared" si="69"/>
        <v>69.02</v>
      </c>
      <c r="U363" s="1005">
        <v>0</v>
      </c>
      <c r="V363" s="443" t="e">
        <f>#REF!+#REF!-O363</f>
        <v>#REF!</v>
      </c>
      <c r="W363" s="975" t="e">
        <f>ROUND((#REF!+#REF!+#REF!+#REF!+#REF!+#REF!+#REF!+#REF!+#REF!),2)</f>
        <v>#REF!</v>
      </c>
      <c r="AA363" s="976" t="e">
        <f>#REF!+#REF!-O363</f>
        <v>#REF!</v>
      </c>
      <c r="AB363" s="977" t="e">
        <f>#REF!</f>
        <v>#REF!</v>
      </c>
      <c r="AC363" s="976" t="e">
        <f>#REF!+#REF!</f>
        <v>#REF!</v>
      </c>
      <c r="AD363" s="977" t="e">
        <f>#REF!</f>
        <v>#REF!</v>
      </c>
      <c r="AE363" s="978">
        <v>0</v>
      </c>
      <c r="AF363" s="977" t="e">
        <f>#REF!</f>
        <v>#REF!</v>
      </c>
      <c r="AG363" s="979" t="e">
        <f>#REF!+#REF!</f>
        <v>#REF!</v>
      </c>
      <c r="AH363" s="979" t="e">
        <f>#REF!+#REF!</f>
        <v>#REF!</v>
      </c>
      <c r="AI363" s="979"/>
      <c r="AJ363" s="977" t="e">
        <f>#REF!</f>
        <v>#REF!</v>
      </c>
      <c r="AK363" s="977" t="e">
        <f t="shared" si="62"/>
        <v>#REF!</v>
      </c>
      <c r="AL363" s="977">
        <f t="shared" si="63"/>
        <v>69.02</v>
      </c>
      <c r="AM363" s="977">
        <f t="shared" si="64"/>
        <v>0</v>
      </c>
      <c r="AN363" s="634"/>
    </row>
    <row r="364" spans="1:40" s="629" customFormat="1" ht="20.100000000000001" customHeight="1">
      <c r="A364" s="771">
        <f t="shared" si="65"/>
        <v>51</v>
      </c>
      <c r="B364" s="980">
        <f>+NOMINA!C362</f>
        <v>13996885</v>
      </c>
      <c r="C364" s="981" t="str">
        <f>+NOMINA!D362</f>
        <v>Pulido Rojo Wilmer Jose</v>
      </c>
      <c r="D364" s="978" t="s">
        <v>4622</v>
      </c>
      <c r="E364" s="982">
        <v>32351</v>
      </c>
      <c r="F364" s="978" t="s">
        <v>4620</v>
      </c>
      <c r="G364" s="1004">
        <f>+NOMINA!H362</f>
        <v>44363</v>
      </c>
      <c r="H364" s="984">
        <f t="shared" si="66"/>
        <v>1</v>
      </c>
      <c r="I364" s="985">
        <v>0</v>
      </c>
      <c r="J364" s="999">
        <f>+NOMINA!BL362</f>
        <v>14.2</v>
      </c>
      <c r="K364" s="999">
        <f>+NOMINA!BM362</f>
        <v>1.77</v>
      </c>
      <c r="L364" s="999">
        <f>+NOMINA!BN362</f>
        <v>3.85</v>
      </c>
      <c r="M364" s="999">
        <f>++NOMINA!BO362</f>
        <v>0</v>
      </c>
      <c r="N364" s="999">
        <f>+NOMINA!BP362</f>
        <v>0</v>
      </c>
      <c r="O364" s="986">
        <f t="shared" si="67"/>
        <v>19.82</v>
      </c>
      <c r="P364" s="999">
        <f>+NOMINA!BR362</f>
        <v>31.95</v>
      </c>
      <c r="Q364" s="999">
        <f>+NOMINA!BS362</f>
        <v>7.1</v>
      </c>
      <c r="R364" s="999">
        <f>+NOMINA!BT362</f>
        <v>7.7</v>
      </c>
      <c r="S364" s="986">
        <f t="shared" si="68"/>
        <v>46.75</v>
      </c>
      <c r="T364" s="986">
        <f t="shared" si="69"/>
        <v>66.569999999999993</v>
      </c>
      <c r="U364" s="1005">
        <v>0</v>
      </c>
      <c r="V364" s="443" t="e">
        <f>#REF!+#REF!-O364</f>
        <v>#REF!</v>
      </c>
      <c r="W364" s="975" t="e">
        <f>ROUND((#REF!+#REF!+#REF!+#REF!+#REF!+#REF!+#REF!+#REF!+#REF!),2)</f>
        <v>#REF!</v>
      </c>
      <c r="AA364" s="976" t="e">
        <f>#REF!+#REF!-O364</f>
        <v>#REF!</v>
      </c>
      <c r="AB364" s="977" t="e">
        <f>#REF!</f>
        <v>#REF!</v>
      </c>
      <c r="AC364" s="976" t="e">
        <f>#REF!+#REF!</f>
        <v>#REF!</v>
      </c>
      <c r="AD364" s="977" t="e">
        <f>#REF!</f>
        <v>#REF!</v>
      </c>
      <c r="AE364" s="978">
        <v>0</v>
      </c>
      <c r="AF364" s="977" t="e">
        <f>#REF!</f>
        <v>#REF!</v>
      </c>
      <c r="AG364" s="979" t="e">
        <f>#REF!+#REF!</f>
        <v>#REF!</v>
      </c>
      <c r="AH364" s="979" t="e">
        <f>#REF!+#REF!</f>
        <v>#REF!</v>
      </c>
      <c r="AI364" s="979"/>
      <c r="AJ364" s="977" t="e">
        <f>#REF!</f>
        <v>#REF!</v>
      </c>
      <c r="AK364" s="977" t="e">
        <f t="shared" si="62"/>
        <v>#REF!</v>
      </c>
      <c r="AL364" s="977">
        <f t="shared" si="63"/>
        <v>66.569999999999993</v>
      </c>
      <c r="AM364" s="977">
        <f t="shared" si="64"/>
        <v>0</v>
      </c>
      <c r="AN364" s="634"/>
    </row>
    <row r="365" spans="1:40" s="629" customFormat="1" ht="20.100000000000001" customHeight="1">
      <c r="A365" s="771">
        <f t="shared" si="65"/>
        <v>52</v>
      </c>
      <c r="B365" s="980">
        <f>+NOMINA!C363</f>
        <v>14149971</v>
      </c>
      <c r="C365" s="981" t="str">
        <f>+NOMINA!D363</f>
        <v>Rivera Virginia del Carmen</v>
      </c>
      <c r="D365" s="978" t="s">
        <v>4622</v>
      </c>
      <c r="E365" s="982">
        <v>32351</v>
      </c>
      <c r="F365" s="978" t="s">
        <v>4620</v>
      </c>
      <c r="G365" s="1004">
        <f>+NOMINA!H363</f>
        <v>41091</v>
      </c>
      <c r="H365" s="984">
        <f t="shared" si="66"/>
        <v>10</v>
      </c>
      <c r="I365" s="985">
        <v>0</v>
      </c>
      <c r="J365" s="999">
        <f>+NOMINA!BL363</f>
        <v>10.72</v>
      </c>
      <c r="K365" s="999">
        <f>+NOMINA!BM363</f>
        <v>1.34</v>
      </c>
      <c r="L365" s="999">
        <f>+NOMINA!BN363</f>
        <v>2.9</v>
      </c>
      <c r="M365" s="999">
        <f>++NOMINA!BO363</f>
        <v>0</v>
      </c>
      <c r="N365" s="999">
        <f>+NOMINA!BP363</f>
        <v>0</v>
      </c>
      <c r="O365" s="986">
        <f t="shared" si="67"/>
        <v>14.96</v>
      </c>
      <c r="P365" s="999">
        <f>+NOMINA!BR363</f>
        <v>24.13</v>
      </c>
      <c r="Q365" s="999">
        <f>+NOMINA!BS363</f>
        <v>5.36</v>
      </c>
      <c r="R365" s="999">
        <f>+NOMINA!BT363</f>
        <v>5.8</v>
      </c>
      <c r="S365" s="986">
        <f t="shared" si="68"/>
        <v>35.29</v>
      </c>
      <c r="T365" s="986">
        <f t="shared" si="69"/>
        <v>50.25</v>
      </c>
      <c r="U365" s="1005">
        <v>0</v>
      </c>
      <c r="V365" s="443" t="e">
        <f>#REF!+#REF!-O365</f>
        <v>#REF!</v>
      </c>
      <c r="W365" s="975" t="e">
        <f>ROUND((#REF!+#REF!+#REF!+#REF!+#REF!+#REF!+#REF!+#REF!+#REF!),2)</f>
        <v>#REF!</v>
      </c>
      <c r="AA365" s="976" t="e">
        <f>#REF!+#REF!-O365</f>
        <v>#REF!</v>
      </c>
      <c r="AB365" s="977" t="e">
        <f>#REF!</f>
        <v>#REF!</v>
      </c>
      <c r="AC365" s="976" t="e">
        <f>#REF!+#REF!</f>
        <v>#REF!</v>
      </c>
      <c r="AD365" s="977" t="e">
        <f>#REF!</f>
        <v>#REF!</v>
      </c>
      <c r="AE365" s="978">
        <v>0</v>
      </c>
      <c r="AF365" s="977" t="e">
        <f>#REF!</f>
        <v>#REF!</v>
      </c>
      <c r="AG365" s="979" t="e">
        <f>#REF!+#REF!</f>
        <v>#REF!</v>
      </c>
      <c r="AH365" s="979" t="e">
        <f>#REF!+#REF!</f>
        <v>#REF!</v>
      </c>
      <c r="AI365" s="979"/>
      <c r="AJ365" s="977" t="e">
        <f>#REF!</f>
        <v>#REF!</v>
      </c>
      <c r="AK365" s="977" t="e">
        <f t="shared" si="62"/>
        <v>#REF!</v>
      </c>
      <c r="AL365" s="977">
        <f t="shared" si="63"/>
        <v>50.25</v>
      </c>
      <c r="AM365" s="977">
        <f t="shared" si="64"/>
        <v>0</v>
      </c>
      <c r="AN365" s="634"/>
    </row>
    <row r="366" spans="1:40" s="629" customFormat="1" ht="20.100000000000001" customHeight="1">
      <c r="A366" s="771">
        <f t="shared" si="65"/>
        <v>53</v>
      </c>
      <c r="B366" s="980">
        <f>+NOMINA!C364</f>
        <v>14150495</v>
      </c>
      <c r="C366" s="981" t="str">
        <f>+NOMINA!D364</f>
        <v>Umbria de Segovia Alexandra del Carmen</v>
      </c>
      <c r="D366" s="978" t="s">
        <v>4622</v>
      </c>
      <c r="E366" s="982">
        <v>32351</v>
      </c>
      <c r="F366" s="978" t="s">
        <v>4620</v>
      </c>
      <c r="G366" s="1004">
        <f>+NOMINA!H364</f>
        <v>44228</v>
      </c>
      <c r="H366" s="984">
        <f t="shared" si="66"/>
        <v>1</v>
      </c>
      <c r="I366" s="985">
        <v>0</v>
      </c>
      <c r="J366" s="999">
        <f>+NOMINA!BL364</f>
        <v>11.3</v>
      </c>
      <c r="K366" s="999">
        <f>+NOMINA!BM364</f>
        <v>1.41</v>
      </c>
      <c r="L366" s="999">
        <f>+NOMINA!BN364</f>
        <v>3.06</v>
      </c>
      <c r="M366" s="999">
        <f>++NOMINA!BO364</f>
        <v>0</v>
      </c>
      <c r="N366" s="999">
        <f>+NOMINA!BP364</f>
        <v>0</v>
      </c>
      <c r="O366" s="986">
        <f t="shared" si="67"/>
        <v>15.77</v>
      </c>
      <c r="P366" s="999">
        <f>+NOMINA!BR364</f>
        <v>25.43</v>
      </c>
      <c r="Q366" s="999">
        <f>+NOMINA!BS364</f>
        <v>5.65</v>
      </c>
      <c r="R366" s="999">
        <f>+NOMINA!BT364</f>
        <v>6.12</v>
      </c>
      <c r="S366" s="986">
        <f t="shared" si="68"/>
        <v>37.200000000000003</v>
      </c>
      <c r="T366" s="986">
        <f t="shared" si="69"/>
        <v>52.97</v>
      </c>
      <c r="U366" s="1005">
        <v>0</v>
      </c>
      <c r="V366" s="443" t="e">
        <f>#REF!+#REF!-O366</f>
        <v>#REF!</v>
      </c>
      <c r="W366" s="975" t="e">
        <f>ROUND((#REF!+#REF!+#REF!+#REF!+#REF!+#REF!+#REF!+#REF!+#REF!),2)</f>
        <v>#REF!</v>
      </c>
      <c r="AA366" s="976" t="e">
        <f>#REF!+#REF!-O366</f>
        <v>#REF!</v>
      </c>
      <c r="AB366" s="977" t="e">
        <f>#REF!</f>
        <v>#REF!</v>
      </c>
      <c r="AC366" s="976" t="e">
        <f>#REF!+#REF!</f>
        <v>#REF!</v>
      </c>
      <c r="AD366" s="977" t="e">
        <f>#REF!</f>
        <v>#REF!</v>
      </c>
      <c r="AE366" s="978">
        <v>0</v>
      </c>
      <c r="AF366" s="977" t="e">
        <f>#REF!</f>
        <v>#REF!</v>
      </c>
      <c r="AG366" s="979" t="e">
        <f>#REF!+#REF!</f>
        <v>#REF!</v>
      </c>
      <c r="AH366" s="979" t="e">
        <f>#REF!+#REF!</f>
        <v>#REF!</v>
      </c>
      <c r="AI366" s="979"/>
      <c r="AJ366" s="977" t="e">
        <f>#REF!</f>
        <v>#REF!</v>
      </c>
      <c r="AK366" s="977" t="e">
        <f t="shared" si="62"/>
        <v>#REF!</v>
      </c>
      <c r="AL366" s="977">
        <f t="shared" si="63"/>
        <v>52.97</v>
      </c>
      <c r="AM366" s="977">
        <f t="shared" si="64"/>
        <v>0</v>
      </c>
      <c r="AN366" s="634"/>
    </row>
    <row r="367" spans="1:40" s="629" customFormat="1" ht="20.100000000000001" customHeight="1">
      <c r="A367" s="771">
        <f t="shared" si="65"/>
        <v>54</v>
      </c>
      <c r="B367" s="980">
        <f>+NOMINA!C365</f>
        <v>14599616</v>
      </c>
      <c r="C367" s="981" t="str">
        <f>+NOMINA!D365</f>
        <v>Andara Briceño Jean Carlos</v>
      </c>
      <c r="D367" s="978" t="s">
        <v>4622</v>
      </c>
      <c r="E367" s="982">
        <v>32351</v>
      </c>
      <c r="F367" s="978" t="s">
        <v>4620</v>
      </c>
      <c r="G367" s="1004">
        <f>+NOMINA!H365</f>
        <v>43525</v>
      </c>
      <c r="H367" s="984">
        <f t="shared" si="66"/>
        <v>3</v>
      </c>
      <c r="I367" s="985">
        <v>0</v>
      </c>
      <c r="J367" s="999">
        <f>+NOMINA!BL365</f>
        <v>9.84</v>
      </c>
      <c r="K367" s="999">
        <f>+NOMINA!BM365</f>
        <v>1.23</v>
      </c>
      <c r="L367" s="999">
        <f>+NOMINA!BN365</f>
        <v>2.67</v>
      </c>
      <c r="M367" s="999">
        <f>++NOMINA!BO365</f>
        <v>0</v>
      </c>
      <c r="N367" s="999">
        <f>+NOMINA!BP365</f>
        <v>0</v>
      </c>
      <c r="O367" s="986">
        <f t="shared" si="67"/>
        <v>13.74</v>
      </c>
      <c r="P367" s="999">
        <f>+NOMINA!BR365</f>
        <v>22.14</v>
      </c>
      <c r="Q367" s="999">
        <f>+NOMINA!BS365</f>
        <v>4.92</v>
      </c>
      <c r="R367" s="999">
        <f>+NOMINA!BT365</f>
        <v>5.34</v>
      </c>
      <c r="S367" s="986">
        <f t="shared" si="68"/>
        <v>32.4</v>
      </c>
      <c r="T367" s="986">
        <f t="shared" si="69"/>
        <v>46.14</v>
      </c>
      <c r="U367" s="1005">
        <v>0</v>
      </c>
      <c r="V367" s="443" t="e">
        <f>#REF!+#REF!-O367</f>
        <v>#REF!</v>
      </c>
      <c r="W367" s="975" t="e">
        <f>ROUND((#REF!+#REF!+#REF!+#REF!+#REF!+#REF!+#REF!+#REF!+#REF!),2)</f>
        <v>#REF!</v>
      </c>
      <c r="AA367" s="976" t="e">
        <f>#REF!+#REF!-O367</f>
        <v>#REF!</v>
      </c>
      <c r="AB367" s="977" t="e">
        <f>#REF!</f>
        <v>#REF!</v>
      </c>
      <c r="AC367" s="976" t="e">
        <f>#REF!+#REF!</f>
        <v>#REF!</v>
      </c>
      <c r="AD367" s="977" t="e">
        <f>#REF!</f>
        <v>#REF!</v>
      </c>
      <c r="AE367" s="978">
        <v>0</v>
      </c>
      <c r="AF367" s="977" t="e">
        <f>#REF!</f>
        <v>#REF!</v>
      </c>
      <c r="AG367" s="979" t="e">
        <f>#REF!+#REF!</f>
        <v>#REF!</v>
      </c>
      <c r="AH367" s="979" t="e">
        <f>#REF!+#REF!</f>
        <v>#REF!</v>
      </c>
      <c r="AI367" s="979"/>
      <c r="AJ367" s="977" t="e">
        <f>#REF!</f>
        <v>#REF!</v>
      </c>
      <c r="AK367" s="977" t="e">
        <f t="shared" si="62"/>
        <v>#REF!</v>
      </c>
      <c r="AL367" s="977">
        <f t="shared" si="63"/>
        <v>46.14</v>
      </c>
      <c r="AM367" s="977">
        <f t="shared" si="64"/>
        <v>0</v>
      </c>
      <c r="AN367" s="634"/>
    </row>
    <row r="368" spans="1:40" s="629" customFormat="1" ht="20.100000000000001" customHeight="1">
      <c r="A368" s="771">
        <f t="shared" si="65"/>
        <v>55</v>
      </c>
      <c r="B368" s="980">
        <f>+NOMINA!C366</f>
        <v>14718369</v>
      </c>
      <c r="C368" s="981" t="str">
        <f>+NOMINA!D366</f>
        <v>Pacheco Yudith Del Valle</v>
      </c>
      <c r="D368" s="978" t="s">
        <v>4622</v>
      </c>
      <c r="E368" s="982">
        <v>32351</v>
      </c>
      <c r="F368" s="978" t="s">
        <v>4620</v>
      </c>
      <c r="G368" s="1004">
        <f>+NOMINA!H366</f>
        <v>43147</v>
      </c>
      <c r="H368" s="984">
        <f t="shared" si="66"/>
        <v>4</v>
      </c>
      <c r="I368" s="985">
        <v>0</v>
      </c>
      <c r="J368" s="999">
        <f>+NOMINA!BL366</f>
        <v>9.9</v>
      </c>
      <c r="K368" s="999">
        <f>+NOMINA!BM366</f>
        <v>1.24</v>
      </c>
      <c r="L368" s="999">
        <f>+NOMINA!BN366</f>
        <v>2.68</v>
      </c>
      <c r="M368" s="999">
        <f>++NOMINA!BO366</f>
        <v>0</v>
      </c>
      <c r="N368" s="999">
        <f>+NOMINA!BP366</f>
        <v>0</v>
      </c>
      <c r="O368" s="986">
        <f t="shared" si="67"/>
        <v>13.82</v>
      </c>
      <c r="P368" s="999">
        <f>+NOMINA!BR366</f>
        <v>22.27</v>
      </c>
      <c r="Q368" s="999">
        <f>+NOMINA!BS366</f>
        <v>4.95</v>
      </c>
      <c r="R368" s="999">
        <f>+NOMINA!BT366</f>
        <v>5.36</v>
      </c>
      <c r="S368" s="986">
        <f t="shared" si="68"/>
        <v>32.58</v>
      </c>
      <c r="T368" s="986">
        <f t="shared" si="69"/>
        <v>46.4</v>
      </c>
      <c r="U368" s="1005">
        <v>0</v>
      </c>
      <c r="V368" s="443" t="e">
        <f>#REF!+#REF!-O368</f>
        <v>#REF!</v>
      </c>
      <c r="W368" s="975" t="e">
        <f>ROUND((#REF!+#REF!+#REF!+#REF!+#REF!+#REF!+#REF!+#REF!+#REF!),2)</f>
        <v>#REF!</v>
      </c>
      <c r="AA368" s="976" t="e">
        <f>#REF!+#REF!-O368</f>
        <v>#REF!</v>
      </c>
      <c r="AB368" s="977" t="e">
        <f>#REF!</f>
        <v>#REF!</v>
      </c>
      <c r="AC368" s="976" t="e">
        <f>#REF!+#REF!</f>
        <v>#REF!</v>
      </c>
      <c r="AD368" s="977" t="e">
        <f>#REF!</f>
        <v>#REF!</v>
      </c>
      <c r="AE368" s="978">
        <v>0</v>
      </c>
      <c r="AF368" s="977" t="e">
        <f>#REF!</f>
        <v>#REF!</v>
      </c>
      <c r="AG368" s="979" t="e">
        <f>#REF!+#REF!</f>
        <v>#REF!</v>
      </c>
      <c r="AH368" s="979" t="e">
        <f>#REF!+#REF!</f>
        <v>#REF!</v>
      </c>
      <c r="AI368" s="979"/>
      <c r="AJ368" s="977" t="e">
        <f>#REF!</f>
        <v>#REF!</v>
      </c>
      <c r="AK368" s="977" t="e">
        <f t="shared" si="62"/>
        <v>#REF!</v>
      </c>
      <c r="AL368" s="977">
        <f t="shared" si="63"/>
        <v>46.4</v>
      </c>
      <c r="AM368" s="977">
        <f t="shared" si="64"/>
        <v>0</v>
      </c>
      <c r="AN368" s="634"/>
    </row>
    <row r="369" spans="1:40" s="629" customFormat="1" ht="20.100000000000001" customHeight="1">
      <c r="A369" s="771">
        <f t="shared" si="65"/>
        <v>56</v>
      </c>
      <c r="B369" s="980">
        <f>+NOMINA!C367</f>
        <v>14718468</v>
      </c>
      <c r="C369" s="981" t="str">
        <f>+NOMINA!D367</f>
        <v>Frias Aldana Yhonny Ramon</v>
      </c>
      <c r="D369" s="978" t="s">
        <v>4622</v>
      </c>
      <c r="E369" s="982">
        <v>32351</v>
      </c>
      <c r="F369" s="978" t="s">
        <v>4620</v>
      </c>
      <c r="G369" s="1004">
        <f>+NOMINA!H367</f>
        <v>42948</v>
      </c>
      <c r="H369" s="984">
        <f t="shared" si="66"/>
        <v>5</v>
      </c>
      <c r="I369" s="985">
        <v>0</v>
      </c>
      <c r="J369" s="999">
        <f>+NOMINA!BL367</f>
        <v>12.04</v>
      </c>
      <c r="K369" s="999">
        <f>+NOMINA!BM367</f>
        <v>1.51</v>
      </c>
      <c r="L369" s="999">
        <f>+NOMINA!BN367</f>
        <v>3.26</v>
      </c>
      <c r="M369" s="999">
        <f>++NOMINA!BO367</f>
        <v>0</v>
      </c>
      <c r="N369" s="999">
        <f>+NOMINA!BP367</f>
        <v>0</v>
      </c>
      <c r="O369" s="986">
        <f t="shared" si="67"/>
        <v>16.809999999999999</v>
      </c>
      <c r="P369" s="999">
        <f>+NOMINA!BR367</f>
        <v>27.1</v>
      </c>
      <c r="Q369" s="999">
        <f>+NOMINA!BS367</f>
        <v>6.02</v>
      </c>
      <c r="R369" s="999">
        <f>+NOMINA!BT367</f>
        <v>6.52</v>
      </c>
      <c r="S369" s="986">
        <f t="shared" si="68"/>
        <v>39.64</v>
      </c>
      <c r="T369" s="986">
        <f t="shared" si="69"/>
        <v>56.45</v>
      </c>
      <c r="U369" s="1005">
        <v>0</v>
      </c>
      <c r="V369" s="443" t="e">
        <f>#REF!+#REF!-O369</f>
        <v>#REF!</v>
      </c>
      <c r="W369" s="975" t="e">
        <f>ROUND((#REF!+#REF!+#REF!+#REF!+#REF!+#REF!+#REF!+#REF!+#REF!),2)</f>
        <v>#REF!</v>
      </c>
      <c r="AA369" s="976" t="e">
        <f>#REF!+#REF!-O369</f>
        <v>#REF!</v>
      </c>
      <c r="AB369" s="977" t="e">
        <f>#REF!</f>
        <v>#REF!</v>
      </c>
      <c r="AC369" s="976" t="e">
        <f>#REF!+#REF!</f>
        <v>#REF!</v>
      </c>
      <c r="AD369" s="977" t="e">
        <f>#REF!</f>
        <v>#REF!</v>
      </c>
      <c r="AE369" s="978">
        <v>0</v>
      </c>
      <c r="AF369" s="977" t="e">
        <f>#REF!</f>
        <v>#REF!</v>
      </c>
      <c r="AG369" s="979" t="e">
        <f>#REF!+#REF!</f>
        <v>#REF!</v>
      </c>
      <c r="AH369" s="979" t="e">
        <f>#REF!+#REF!</f>
        <v>#REF!</v>
      </c>
      <c r="AI369" s="979"/>
      <c r="AJ369" s="977" t="e">
        <f>#REF!</f>
        <v>#REF!</v>
      </c>
      <c r="AK369" s="977" t="e">
        <f t="shared" si="62"/>
        <v>#REF!</v>
      </c>
      <c r="AL369" s="977">
        <f t="shared" si="63"/>
        <v>56.45</v>
      </c>
      <c r="AM369" s="977">
        <f t="shared" si="64"/>
        <v>0</v>
      </c>
      <c r="AN369" s="634"/>
    </row>
    <row r="370" spans="1:40" s="629" customFormat="1" ht="20.100000000000001" customHeight="1">
      <c r="A370" s="771">
        <f t="shared" si="65"/>
        <v>57</v>
      </c>
      <c r="B370" s="980">
        <f>+NOMINA!C368</f>
        <v>14719205</v>
      </c>
      <c r="C370" s="981" t="str">
        <f>+NOMINA!D368</f>
        <v>Chinchilla Perez Jean Carlos</v>
      </c>
      <c r="D370" s="978" t="s">
        <v>4622</v>
      </c>
      <c r="E370" s="982">
        <v>32351</v>
      </c>
      <c r="F370" s="978" t="s">
        <v>4620</v>
      </c>
      <c r="G370" s="1004">
        <f>+NOMINA!H368</f>
        <v>39861</v>
      </c>
      <c r="H370" s="984">
        <f t="shared" si="66"/>
        <v>13</v>
      </c>
      <c r="I370" s="985">
        <v>0</v>
      </c>
      <c r="J370" s="999">
        <f>+NOMINA!BL368</f>
        <v>11.42</v>
      </c>
      <c r="K370" s="999">
        <f>+NOMINA!BM368</f>
        <v>1.43</v>
      </c>
      <c r="L370" s="999">
        <f>+NOMINA!BN368</f>
        <v>3.09</v>
      </c>
      <c r="M370" s="999">
        <f>++NOMINA!BO368</f>
        <v>0</v>
      </c>
      <c r="N370" s="999">
        <f>+NOMINA!BP368</f>
        <v>0</v>
      </c>
      <c r="O370" s="986">
        <f t="shared" si="67"/>
        <v>15.94</v>
      </c>
      <c r="P370" s="999">
        <f>+NOMINA!BR368</f>
        <v>25.7</v>
      </c>
      <c r="Q370" s="999">
        <f>+NOMINA!BS368</f>
        <v>5.71</v>
      </c>
      <c r="R370" s="999">
        <f>+NOMINA!BT368</f>
        <v>6.18</v>
      </c>
      <c r="S370" s="986">
        <f t="shared" si="68"/>
        <v>37.590000000000003</v>
      </c>
      <c r="T370" s="986">
        <f t="shared" si="69"/>
        <v>53.53</v>
      </c>
      <c r="U370" s="1005">
        <v>0</v>
      </c>
      <c r="V370" s="443" t="e">
        <f>#REF!+#REF!-O370</f>
        <v>#REF!</v>
      </c>
      <c r="W370" s="975" t="e">
        <f>ROUND((#REF!+#REF!+#REF!+#REF!+#REF!+#REF!+#REF!+#REF!+#REF!),2)</f>
        <v>#REF!</v>
      </c>
      <c r="AA370" s="976" t="e">
        <f>#REF!+#REF!-O370</f>
        <v>#REF!</v>
      </c>
      <c r="AB370" s="977" t="e">
        <f>#REF!</f>
        <v>#REF!</v>
      </c>
      <c r="AC370" s="976" t="e">
        <f>#REF!+#REF!</f>
        <v>#REF!</v>
      </c>
      <c r="AD370" s="977" t="e">
        <f>#REF!</f>
        <v>#REF!</v>
      </c>
      <c r="AE370" s="978">
        <v>0</v>
      </c>
      <c r="AF370" s="977" t="e">
        <f>#REF!</f>
        <v>#REF!</v>
      </c>
      <c r="AG370" s="979" t="e">
        <f>#REF!+#REF!</f>
        <v>#REF!</v>
      </c>
      <c r="AH370" s="979" t="e">
        <f>#REF!+#REF!</f>
        <v>#REF!</v>
      </c>
      <c r="AI370" s="979"/>
      <c r="AJ370" s="977" t="e">
        <f>#REF!</f>
        <v>#REF!</v>
      </c>
      <c r="AK370" s="977" t="e">
        <f t="shared" si="62"/>
        <v>#REF!</v>
      </c>
      <c r="AL370" s="977">
        <f t="shared" si="63"/>
        <v>53.53</v>
      </c>
      <c r="AM370" s="977">
        <f t="shared" si="64"/>
        <v>0</v>
      </c>
      <c r="AN370" s="634"/>
    </row>
    <row r="371" spans="1:40" s="629" customFormat="1" ht="20.100000000000001" customHeight="1">
      <c r="A371" s="771">
        <f t="shared" si="65"/>
        <v>58</v>
      </c>
      <c r="B371" s="980">
        <f>+NOMINA!C369</f>
        <v>14719356</v>
      </c>
      <c r="C371" s="981" t="str">
        <f>+NOMINA!D369</f>
        <v>Linares Montilla Gerardo Enrique</v>
      </c>
      <c r="D371" s="978" t="s">
        <v>4622</v>
      </c>
      <c r="E371" s="982">
        <v>32351</v>
      </c>
      <c r="F371" s="978" t="s">
        <v>4620</v>
      </c>
      <c r="G371" s="1004">
        <f>+NOMINA!H369</f>
        <v>44348</v>
      </c>
      <c r="H371" s="984">
        <f t="shared" si="66"/>
        <v>1</v>
      </c>
      <c r="I371" s="985">
        <v>0</v>
      </c>
      <c r="J371" s="999">
        <f>+NOMINA!BL369</f>
        <v>11.5</v>
      </c>
      <c r="K371" s="999">
        <f>+NOMINA!BM369</f>
        <v>1.44</v>
      </c>
      <c r="L371" s="999">
        <f>+NOMINA!BN369</f>
        <v>3.12</v>
      </c>
      <c r="M371" s="999">
        <f>++NOMINA!BO369</f>
        <v>0</v>
      </c>
      <c r="N371" s="999">
        <f>+NOMINA!BP369</f>
        <v>0</v>
      </c>
      <c r="O371" s="986">
        <f t="shared" si="67"/>
        <v>16.059999999999999</v>
      </c>
      <c r="P371" s="999">
        <f>+NOMINA!BR369</f>
        <v>25.88</v>
      </c>
      <c r="Q371" s="999">
        <f>+NOMINA!BS369</f>
        <v>5.75</v>
      </c>
      <c r="R371" s="999">
        <f>+NOMINA!BT369</f>
        <v>6.24</v>
      </c>
      <c r="S371" s="986">
        <f t="shared" si="68"/>
        <v>37.869999999999997</v>
      </c>
      <c r="T371" s="986">
        <f t="shared" si="69"/>
        <v>53.929999999999993</v>
      </c>
      <c r="U371" s="1005">
        <v>0</v>
      </c>
      <c r="V371" s="443" t="e">
        <f>#REF!+#REF!-O371</f>
        <v>#REF!</v>
      </c>
      <c r="W371" s="975" t="e">
        <f>ROUND((#REF!+#REF!+#REF!+#REF!+#REF!+#REF!+#REF!+#REF!+#REF!),2)</f>
        <v>#REF!</v>
      </c>
      <c r="AA371" s="976" t="e">
        <f>#REF!+#REF!-O371</f>
        <v>#REF!</v>
      </c>
      <c r="AB371" s="977" t="e">
        <f>#REF!</f>
        <v>#REF!</v>
      </c>
      <c r="AC371" s="976" t="e">
        <f>#REF!+#REF!</f>
        <v>#REF!</v>
      </c>
      <c r="AD371" s="977" t="e">
        <f>#REF!</f>
        <v>#REF!</v>
      </c>
      <c r="AE371" s="978">
        <v>0</v>
      </c>
      <c r="AF371" s="977" t="e">
        <f>#REF!</f>
        <v>#REF!</v>
      </c>
      <c r="AG371" s="979" t="e">
        <f>#REF!+#REF!</f>
        <v>#REF!</v>
      </c>
      <c r="AH371" s="979" t="e">
        <f>#REF!+#REF!</f>
        <v>#REF!</v>
      </c>
      <c r="AI371" s="979"/>
      <c r="AJ371" s="977" t="e">
        <f>#REF!</f>
        <v>#REF!</v>
      </c>
      <c r="AK371" s="977" t="e">
        <f t="shared" si="62"/>
        <v>#REF!</v>
      </c>
      <c r="AL371" s="977">
        <f t="shared" si="63"/>
        <v>53.929999999999993</v>
      </c>
      <c r="AM371" s="977">
        <f t="shared" si="64"/>
        <v>0</v>
      </c>
      <c r="AN371" s="634"/>
    </row>
    <row r="372" spans="1:40" s="629" customFormat="1" ht="20.100000000000001" customHeight="1">
      <c r="A372" s="771">
        <f t="shared" si="65"/>
        <v>59</v>
      </c>
      <c r="B372" s="980">
        <f>+NOMINA!C370</f>
        <v>14780893</v>
      </c>
      <c r="C372" s="981" t="str">
        <f>+NOMINA!D370</f>
        <v>Perez Gonzalez Reinaldo Andre</v>
      </c>
      <c r="D372" s="978" t="s">
        <v>4622</v>
      </c>
      <c r="E372" s="982">
        <v>32351</v>
      </c>
      <c r="F372" s="978" t="s">
        <v>4620</v>
      </c>
      <c r="G372" s="1004">
        <f>+NOMINA!H370</f>
        <v>41570</v>
      </c>
      <c r="H372" s="984">
        <f t="shared" si="66"/>
        <v>9</v>
      </c>
      <c r="I372" s="985">
        <v>0</v>
      </c>
      <c r="J372" s="999">
        <f>+NOMINA!BL370</f>
        <v>11.11</v>
      </c>
      <c r="K372" s="999">
        <f>+NOMINA!BM370</f>
        <v>1.39</v>
      </c>
      <c r="L372" s="999">
        <f>+NOMINA!BN370</f>
        <v>3.01</v>
      </c>
      <c r="M372" s="999">
        <f>++NOMINA!BO370</f>
        <v>0</v>
      </c>
      <c r="N372" s="999">
        <f>+NOMINA!BP370</f>
        <v>0</v>
      </c>
      <c r="O372" s="986">
        <f t="shared" si="67"/>
        <v>15.51</v>
      </c>
      <c r="P372" s="999">
        <f>+NOMINA!BR370</f>
        <v>24.99</v>
      </c>
      <c r="Q372" s="999">
        <f>+NOMINA!BS370</f>
        <v>5.55</v>
      </c>
      <c r="R372" s="999">
        <f>+NOMINA!BT370</f>
        <v>6.02</v>
      </c>
      <c r="S372" s="986">
        <f t="shared" si="68"/>
        <v>36.56</v>
      </c>
      <c r="T372" s="986">
        <f t="shared" si="69"/>
        <v>52.07</v>
      </c>
      <c r="U372" s="1005">
        <v>0</v>
      </c>
      <c r="V372" s="443" t="e">
        <f>#REF!+#REF!-O372</f>
        <v>#REF!</v>
      </c>
      <c r="W372" s="975" t="e">
        <f>ROUND((#REF!+#REF!+#REF!+#REF!+#REF!+#REF!+#REF!+#REF!+#REF!),2)</f>
        <v>#REF!</v>
      </c>
      <c r="AA372" s="976" t="e">
        <f>#REF!+#REF!-O372</f>
        <v>#REF!</v>
      </c>
      <c r="AB372" s="977" t="e">
        <f>#REF!</f>
        <v>#REF!</v>
      </c>
      <c r="AC372" s="976" t="e">
        <f>#REF!+#REF!</f>
        <v>#REF!</v>
      </c>
      <c r="AD372" s="977" t="e">
        <f>#REF!</f>
        <v>#REF!</v>
      </c>
      <c r="AE372" s="978">
        <v>0</v>
      </c>
      <c r="AF372" s="977" t="e">
        <f>#REF!</f>
        <v>#REF!</v>
      </c>
      <c r="AG372" s="979" t="e">
        <f>#REF!+#REF!</f>
        <v>#REF!</v>
      </c>
      <c r="AH372" s="979" t="e">
        <f>#REF!+#REF!</f>
        <v>#REF!</v>
      </c>
      <c r="AI372" s="979"/>
      <c r="AJ372" s="977" t="e">
        <f>#REF!</f>
        <v>#REF!</v>
      </c>
      <c r="AK372" s="977" t="e">
        <f t="shared" si="62"/>
        <v>#REF!</v>
      </c>
      <c r="AL372" s="977">
        <f t="shared" si="63"/>
        <v>52.07</v>
      </c>
      <c r="AM372" s="977">
        <f t="shared" si="64"/>
        <v>0</v>
      </c>
      <c r="AN372" s="634"/>
    </row>
    <row r="373" spans="1:40" s="629" customFormat="1" ht="20.100000000000001" customHeight="1">
      <c r="A373" s="771">
        <f t="shared" si="65"/>
        <v>60</v>
      </c>
      <c r="B373" s="980">
        <f>+NOMINA!C371</f>
        <v>14928047</v>
      </c>
      <c r="C373" s="981" t="str">
        <f>+NOMINA!D371</f>
        <v>Becerra Teran Maria Alejandra</v>
      </c>
      <c r="D373" s="978" t="s">
        <v>4622</v>
      </c>
      <c r="E373" s="982">
        <v>32351</v>
      </c>
      <c r="F373" s="978" t="s">
        <v>4620</v>
      </c>
      <c r="G373" s="1004">
        <f>+NOMINA!H371</f>
        <v>43297</v>
      </c>
      <c r="H373" s="984">
        <f t="shared" si="66"/>
        <v>4</v>
      </c>
      <c r="I373" s="985">
        <v>0</v>
      </c>
      <c r="J373" s="999">
        <f>+NOMINA!BL371</f>
        <v>11.51</v>
      </c>
      <c r="K373" s="999">
        <f>+NOMINA!BM371</f>
        <v>1.44</v>
      </c>
      <c r="L373" s="999">
        <f>+NOMINA!BN371</f>
        <v>3.12</v>
      </c>
      <c r="M373" s="999">
        <f>++NOMINA!BO371</f>
        <v>0</v>
      </c>
      <c r="N373" s="999">
        <f>+NOMINA!BP371</f>
        <v>0</v>
      </c>
      <c r="O373" s="986">
        <f t="shared" si="67"/>
        <v>16.07</v>
      </c>
      <c r="P373" s="999">
        <f>+NOMINA!BR371</f>
        <v>25.89</v>
      </c>
      <c r="Q373" s="999">
        <f>+NOMINA!BS371</f>
        <v>5.75</v>
      </c>
      <c r="R373" s="999">
        <f>+NOMINA!BT371</f>
        <v>6.24</v>
      </c>
      <c r="S373" s="986">
        <f t="shared" si="68"/>
        <v>37.880000000000003</v>
      </c>
      <c r="T373" s="986">
        <f t="shared" si="69"/>
        <v>53.95</v>
      </c>
      <c r="U373" s="1005">
        <v>0</v>
      </c>
      <c r="V373" s="443" t="e">
        <f>#REF!+#REF!-O373</f>
        <v>#REF!</v>
      </c>
      <c r="W373" s="975" t="e">
        <f>ROUND((#REF!+#REF!+#REF!+#REF!+#REF!+#REF!+#REF!+#REF!+#REF!),2)</f>
        <v>#REF!</v>
      </c>
      <c r="AA373" s="976" t="e">
        <f>#REF!+#REF!-O373</f>
        <v>#REF!</v>
      </c>
      <c r="AB373" s="977" t="e">
        <f>#REF!</f>
        <v>#REF!</v>
      </c>
      <c r="AC373" s="976" t="e">
        <f>#REF!+#REF!</f>
        <v>#REF!</v>
      </c>
      <c r="AD373" s="977" t="e">
        <f>#REF!</f>
        <v>#REF!</v>
      </c>
      <c r="AE373" s="978">
        <v>0</v>
      </c>
      <c r="AF373" s="977" t="e">
        <f>#REF!</f>
        <v>#REF!</v>
      </c>
      <c r="AG373" s="979" t="e">
        <f>#REF!+#REF!</f>
        <v>#REF!</v>
      </c>
      <c r="AH373" s="979" t="e">
        <f>#REF!+#REF!</f>
        <v>#REF!</v>
      </c>
      <c r="AI373" s="979"/>
      <c r="AJ373" s="977" t="e">
        <f>#REF!</f>
        <v>#REF!</v>
      </c>
      <c r="AK373" s="977" t="e">
        <f t="shared" si="62"/>
        <v>#REF!</v>
      </c>
      <c r="AL373" s="977">
        <f t="shared" si="63"/>
        <v>53.95</v>
      </c>
      <c r="AM373" s="977">
        <f t="shared" si="64"/>
        <v>0</v>
      </c>
      <c r="AN373" s="634"/>
    </row>
    <row r="374" spans="1:40" s="629" customFormat="1" ht="20.100000000000001" customHeight="1">
      <c r="A374" s="771">
        <f t="shared" si="65"/>
        <v>61</v>
      </c>
      <c r="B374" s="980">
        <f>+NOMINA!C372</f>
        <v>15042683</v>
      </c>
      <c r="C374" s="981" t="str">
        <f>+NOMINA!D372</f>
        <v>Rivera Hermes Edixon</v>
      </c>
      <c r="D374" s="978" t="s">
        <v>4622</v>
      </c>
      <c r="E374" s="982">
        <v>32351</v>
      </c>
      <c r="F374" s="978" t="s">
        <v>4620</v>
      </c>
      <c r="G374" s="1004">
        <f>+NOMINA!H372</f>
        <v>45292</v>
      </c>
      <c r="H374" s="984">
        <f t="shared" si="66"/>
        <v>0</v>
      </c>
      <c r="I374" s="985">
        <v>0</v>
      </c>
      <c r="J374" s="999">
        <f>+NOMINA!BL372</f>
        <v>10.11</v>
      </c>
      <c r="K374" s="999">
        <f>+NOMINA!BM372</f>
        <v>1.26</v>
      </c>
      <c r="L374" s="999">
        <f>+NOMINA!BN372</f>
        <v>2.74</v>
      </c>
      <c r="M374" s="999">
        <f>++NOMINA!BO372</f>
        <v>0</v>
      </c>
      <c r="N374" s="999">
        <f>+NOMINA!BP372</f>
        <v>0</v>
      </c>
      <c r="O374" s="986">
        <f t="shared" si="67"/>
        <v>14.11</v>
      </c>
      <c r="P374" s="999">
        <f>+NOMINA!BR372</f>
        <v>22.75</v>
      </c>
      <c r="Q374" s="999">
        <f>+NOMINA!BS372</f>
        <v>5.05</v>
      </c>
      <c r="R374" s="999">
        <f>+NOMINA!BT372</f>
        <v>5.48</v>
      </c>
      <c r="S374" s="986">
        <f t="shared" si="68"/>
        <v>33.28</v>
      </c>
      <c r="T374" s="986">
        <f t="shared" si="69"/>
        <v>47.39</v>
      </c>
      <c r="U374" s="1005">
        <v>0</v>
      </c>
      <c r="V374" s="443" t="e">
        <f>#REF!+#REF!-O374</f>
        <v>#REF!</v>
      </c>
      <c r="W374" s="975" t="e">
        <f>ROUND((#REF!+#REF!+#REF!+#REF!+#REF!+#REF!+#REF!+#REF!+#REF!),2)</f>
        <v>#REF!</v>
      </c>
      <c r="AA374" s="976" t="e">
        <f>#REF!+#REF!-O374</f>
        <v>#REF!</v>
      </c>
      <c r="AB374" s="977" t="e">
        <f>#REF!</f>
        <v>#REF!</v>
      </c>
      <c r="AC374" s="976" t="e">
        <f>#REF!+#REF!</f>
        <v>#REF!</v>
      </c>
      <c r="AD374" s="977" t="e">
        <f>#REF!</f>
        <v>#REF!</v>
      </c>
      <c r="AE374" s="978">
        <v>0</v>
      </c>
      <c r="AF374" s="977" t="e">
        <f>#REF!</f>
        <v>#REF!</v>
      </c>
      <c r="AG374" s="979" t="e">
        <f>#REF!+#REF!</f>
        <v>#REF!</v>
      </c>
      <c r="AH374" s="979" t="e">
        <f>#REF!+#REF!</f>
        <v>#REF!</v>
      </c>
      <c r="AI374" s="979"/>
      <c r="AJ374" s="977" t="e">
        <f>#REF!</f>
        <v>#REF!</v>
      </c>
      <c r="AK374" s="977" t="e">
        <f t="shared" ref="AK374:AK405" si="70">SUM(AC374:AJ374)</f>
        <v>#REF!</v>
      </c>
      <c r="AL374" s="977">
        <f t="shared" si="63"/>
        <v>47.39</v>
      </c>
      <c r="AM374" s="977">
        <f t="shared" si="64"/>
        <v>0</v>
      </c>
      <c r="AN374" s="634"/>
    </row>
    <row r="375" spans="1:40" s="629" customFormat="1" ht="20.100000000000001" customHeight="1">
      <c r="A375" s="771">
        <f t="shared" si="65"/>
        <v>62</v>
      </c>
      <c r="B375" s="980">
        <f>+NOMINA!C373</f>
        <v>15583194</v>
      </c>
      <c r="C375" s="981" t="str">
        <f>+NOMINA!D373</f>
        <v>Garcia Briceño Wuiston Andres</v>
      </c>
      <c r="D375" s="978" t="s">
        <v>4622</v>
      </c>
      <c r="E375" s="982">
        <v>32351</v>
      </c>
      <c r="F375" s="978" t="s">
        <v>4620</v>
      </c>
      <c r="G375" s="1004">
        <f>+NOMINA!H373</f>
        <v>44166</v>
      </c>
      <c r="H375" s="984">
        <f t="shared" si="66"/>
        <v>2</v>
      </c>
      <c r="I375" s="985">
        <v>0</v>
      </c>
      <c r="J375" s="999">
        <f>+NOMINA!BL373</f>
        <v>12.91</v>
      </c>
      <c r="K375" s="999">
        <f>+NOMINA!BM373</f>
        <v>1.61</v>
      </c>
      <c r="L375" s="999">
        <f>+NOMINA!BN373</f>
        <v>3.5</v>
      </c>
      <c r="M375" s="999">
        <f>++NOMINA!BO373</f>
        <v>0</v>
      </c>
      <c r="N375" s="999">
        <f>+NOMINA!BP373</f>
        <v>0</v>
      </c>
      <c r="O375" s="986">
        <f t="shared" si="67"/>
        <v>18.02</v>
      </c>
      <c r="P375" s="999">
        <f>+NOMINA!BR373</f>
        <v>29.04</v>
      </c>
      <c r="Q375" s="999">
        <f>+NOMINA!BS373</f>
        <v>6.45</v>
      </c>
      <c r="R375" s="999">
        <f>+NOMINA!BT373</f>
        <v>7</v>
      </c>
      <c r="S375" s="986">
        <f t="shared" si="68"/>
        <v>42.49</v>
      </c>
      <c r="T375" s="986">
        <f t="shared" si="69"/>
        <v>60.510000000000005</v>
      </c>
      <c r="U375" s="1005">
        <v>0</v>
      </c>
      <c r="V375" s="443" t="e">
        <f>#REF!+#REF!-O375</f>
        <v>#REF!</v>
      </c>
      <c r="W375" s="975" t="e">
        <f>ROUND((#REF!+#REF!+#REF!+#REF!+#REF!+#REF!+#REF!+#REF!+#REF!),2)</f>
        <v>#REF!</v>
      </c>
      <c r="AA375" s="976" t="e">
        <f>#REF!+#REF!-O375</f>
        <v>#REF!</v>
      </c>
      <c r="AB375" s="977" t="e">
        <f>#REF!</f>
        <v>#REF!</v>
      </c>
      <c r="AC375" s="976" t="e">
        <f>#REF!+#REF!</f>
        <v>#REF!</v>
      </c>
      <c r="AD375" s="977" t="e">
        <f>#REF!</f>
        <v>#REF!</v>
      </c>
      <c r="AE375" s="978">
        <v>0</v>
      </c>
      <c r="AF375" s="977" t="e">
        <f>#REF!</f>
        <v>#REF!</v>
      </c>
      <c r="AG375" s="979" t="e">
        <f>#REF!+#REF!</f>
        <v>#REF!</v>
      </c>
      <c r="AH375" s="979" t="e">
        <f>#REF!+#REF!</f>
        <v>#REF!</v>
      </c>
      <c r="AI375" s="979"/>
      <c r="AJ375" s="977" t="e">
        <f>#REF!</f>
        <v>#REF!</v>
      </c>
      <c r="AK375" s="977" t="e">
        <f t="shared" si="70"/>
        <v>#REF!</v>
      </c>
      <c r="AL375" s="977">
        <f t="shared" si="63"/>
        <v>60.510000000000005</v>
      </c>
      <c r="AM375" s="977">
        <f t="shared" si="64"/>
        <v>0</v>
      </c>
      <c r="AN375" s="634"/>
    </row>
    <row r="376" spans="1:40" s="629" customFormat="1" ht="20.100000000000001" customHeight="1">
      <c r="A376" s="771">
        <f t="shared" si="65"/>
        <v>63</v>
      </c>
      <c r="B376" s="980">
        <f>+NOMINA!C374</f>
        <v>14928592</v>
      </c>
      <c r="C376" s="981" t="str">
        <f>+NOMINA!D374</f>
        <v>Rosales Ruiz Jesus Alberto</v>
      </c>
      <c r="D376" s="978" t="s">
        <v>4622</v>
      </c>
      <c r="E376" s="982">
        <v>32351</v>
      </c>
      <c r="F376" s="978" t="s">
        <v>4620</v>
      </c>
      <c r="G376" s="1004">
        <f>+NOMINA!H374</f>
        <v>45017</v>
      </c>
      <c r="H376" s="984">
        <f t="shared" si="66"/>
        <v>0</v>
      </c>
      <c r="I376" s="985">
        <v>0</v>
      </c>
      <c r="J376" s="999">
        <f>+NOMINA!BL374</f>
        <v>11.18</v>
      </c>
      <c r="K376" s="999">
        <f>+NOMINA!BM374</f>
        <v>1.4</v>
      </c>
      <c r="L376" s="999">
        <f>+NOMINA!BN374</f>
        <v>3.03</v>
      </c>
      <c r="M376" s="999">
        <f>++NOMINA!BO374</f>
        <v>0</v>
      </c>
      <c r="N376" s="999">
        <f>+NOMINA!BP374</f>
        <v>0</v>
      </c>
      <c r="O376" s="986">
        <f t="shared" si="67"/>
        <v>15.61</v>
      </c>
      <c r="P376" s="999">
        <f>+NOMINA!BR374</f>
        <v>25.15</v>
      </c>
      <c r="Q376" s="999">
        <f>+NOMINA!BS374</f>
        <v>5.59</v>
      </c>
      <c r="R376" s="999">
        <f>+NOMINA!BT374</f>
        <v>6.06</v>
      </c>
      <c r="S376" s="986">
        <f t="shared" si="68"/>
        <v>36.799999999999997</v>
      </c>
      <c r="T376" s="986">
        <f t="shared" si="69"/>
        <v>52.41</v>
      </c>
      <c r="U376" s="1005">
        <v>0</v>
      </c>
      <c r="V376" s="443" t="e">
        <f>#REF!+#REF!-O376</f>
        <v>#REF!</v>
      </c>
      <c r="W376" s="975" t="e">
        <f>ROUND((#REF!+#REF!+#REF!+#REF!+#REF!+#REF!+#REF!+#REF!+#REF!),2)</f>
        <v>#REF!</v>
      </c>
      <c r="AA376" s="976" t="e">
        <f>#REF!+#REF!-O376</f>
        <v>#REF!</v>
      </c>
      <c r="AB376" s="977" t="e">
        <f>#REF!</f>
        <v>#REF!</v>
      </c>
      <c r="AC376" s="976" t="e">
        <f>#REF!+#REF!</f>
        <v>#REF!</v>
      </c>
      <c r="AD376" s="977" t="e">
        <f>#REF!</f>
        <v>#REF!</v>
      </c>
      <c r="AE376" s="978">
        <v>0</v>
      </c>
      <c r="AF376" s="977" t="e">
        <f>#REF!</f>
        <v>#REF!</v>
      </c>
      <c r="AG376" s="979" t="e">
        <f>#REF!+#REF!</f>
        <v>#REF!</v>
      </c>
      <c r="AH376" s="979" t="e">
        <f>#REF!+#REF!</f>
        <v>#REF!</v>
      </c>
      <c r="AI376" s="979"/>
      <c r="AJ376" s="977" t="e">
        <f>#REF!</f>
        <v>#REF!</v>
      </c>
      <c r="AK376" s="977" t="e">
        <f t="shared" si="70"/>
        <v>#REF!</v>
      </c>
      <c r="AL376" s="977">
        <f t="shared" si="63"/>
        <v>52.41</v>
      </c>
      <c r="AM376" s="977">
        <f t="shared" si="64"/>
        <v>0</v>
      </c>
      <c r="AN376" s="634"/>
    </row>
    <row r="377" spans="1:40" s="629" customFormat="1" ht="20.100000000000001" customHeight="1">
      <c r="A377" s="771">
        <f t="shared" si="65"/>
        <v>64</v>
      </c>
      <c r="B377" s="980">
        <f>+NOMINA!C375</f>
        <v>15952512</v>
      </c>
      <c r="C377" s="981" t="str">
        <f>+NOMINA!D375</f>
        <v>Graterol Gonzalez Maria Ysela</v>
      </c>
      <c r="D377" s="978" t="s">
        <v>4622</v>
      </c>
      <c r="E377" s="982">
        <v>32351</v>
      </c>
      <c r="F377" s="978" t="s">
        <v>4620</v>
      </c>
      <c r="G377" s="1004">
        <f>+NOMINA!H375</f>
        <v>40725</v>
      </c>
      <c r="H377" s="984">
        <f t="shared" si="66"/>
        <v>11</v>
      </c>
      <c r="I377" s="985">
        <v>0</v>
      </c>
      <c r="J377" s="999">
        <f>+NOMINA!BL375</f>
        <v>10.33</v>
      </c>
      <c r="K377" s="999">
        <f>+NOMINA!BM375</f>
        <v>1.29</v>
      </c>
      <c r="L377" s="999">
        <f>+NOMINA!BN375</f>
        <v>2.8</v>
      </c>
      <c r="M377" s="999">
        <f>++NOMINA!BO375</f>
        <v>0</v>
      </c>
      <c r="N377" s="999">
        <f>+NOMINA!BP375</f>
        <v>0</v>
      </c>
      <c r="O377" s="986">
        <f t="shared" si="67"/>
        <v>14.42</v>
      </c>
      <c r="P377" s="999">
        <f>+NOMINA!BR375</f>
        <v>23.24</v>
      </c>
      <c r="Q377" s="999">
        <f>+NOMINA!BS375</f>
        <v>5.16</v>
      </c>
      <c r="R377" s="999">
        <f>+NOMINA!BT375</f>
        <v>5.6</v>
      </c>
      <c r="S377" s="986">
        <f t="shared" si="68"/>
        <v>34</v>
      </c>
      <c r="T377" s="986">
        <f t="shared" si="69"/>
        <v>48.42</v>
      </c>
      <c r="U377" s="1005">
        <v>0</v>
      </c>
      <c r="V377" s="443" t="e">
        <f>#REF!+#REF!-O377</f>
        <v>#REF!</v>
      </c>
      <c r="W377" s="975" t="e">
        <f>ROUND((#REF!+#REF!+#REF!+#REF!+#REF!+#REF!+#REF!+#REF!+#REF!),2)</f>
        <v>#REF!</v>
      </c>
      <c r="AA377" s="976" t="e">
        <f>#REF!+#REF!-O377</f>
        <v>#REF!</v>
      </c>
      <c r="AB377" s="977" t="e">
        <f>#REF!</f>
        <v>#REF!</v>
      </c>
      <c r="AC377" s="976" t="e">
        <f>#REF!+#REF!</f>
        <v>#REF!</v>
      </c>
      <c r="AD377" s="977" t="e">
        <f>#REF!</f>
        <v>#REF!</v>
      </c>
      <c r="AE377" s="978">
        <v>0</v>
      </c>
      <c r="AF377" s="977" t="e">
        <f>#REF!</f>
        <v>#REF!</v>
      </c>
      <c r="AG377" s="979" t="e">
        <f>#REF!+#REF!</f>
        <v>#REF!</v>
      </c>
      <c r="AH377" s="979" t="e">
        <f>#REF!+#REF!</f>
        <v>#REF!</v>
      </c>
      <c r="AI377" s="979"/>
      <c r="AJ377" s="977" t="e">
        <f>#REF!</f>
        <v>#REF!</v>
      </c>
      <c r="AK377" s="977" t="e">
        <f t="shared" si="70"/>
        <v>#REF!</v>
      </c>
      <c r="AL377" s="977">
        <f t="shared" si="63"/>
        <v>48.42</v>
      </c>
      <c r="AM377" s="977">
        <f t="shared" si="64"/>
        <v>0</v>
      </c>
      <c r="AN377" s="634"/>
    </row>
    <row r="378" spans="1:40" s="629" customFormat="1" ht="20.100000000000001" customHeight="1">
      <c r="A378" s="771">
        <f t="shared" si="65"/>
        <v>65</v>
      </c>
      <c r="B378" s="980">
        <f>+NOMINA!C376</f>
        <v>15953703</v>
      </c>
      <c r="C378" s="981" t="str">
        <f>+NOMINA!D376</f>
        <v>Briceño Salas Jose Leonardo</v>
      </c>
      <c r="D378" s="978" t="s">
        <v>4622</v>
      </c>
      <c r="E378" s="982">
        <v>32351</v>
      </c>
      <c r="F378" s="978" t="s">
        <v>4620</v>
      </c>
      <c r="G378" s="1004">
        <f>+NOMINA!H376</f>
        <v>38718</v>
      </c>
      <c r="H378" s="984">
        <f t="shared" si="66"/>
        <v>16</v>
      </c>
      <c r="I378" s="985">
        <v>0</v>
      </c>
      <c r="J378" s="999">
        <f>+NOMINA!BL376</f>
        <v>12.7</v>
      </c>
      <c r="K378" s="999">
        <f>+NOMINA!BM376</f>
        <v>1.59</v>
      </c>
      <c r="L378" s="999">
        <f>+NOMINA!BN376</f>
        <v>3.44</v>
      </c>
      <c r="M378" s="999">
        <f>++NOMINA!BO376</f>
        <v>0</v>
      </c>
      <c r="N378" s="999">
        <f>+NOMINA!BP376</f>
        <v>0</v>
      </c>
      <c r="O378" s="986">
        <f t="shared" si="67"/>
        <v>17.73</v>
      </c>
      <c r="P378" s="999">
        <f>+NOMINA!BR376</f>
        <v>28.59</v>
      </c>
      <c r="Q378" s="999">
        <f>+NOMINA!BS376</f>
        <v>6.35</v>
      </c>
      <c r="R378" s="999">
        <f>+NOMINA!BT376</f>
        <v>6.88</v>
      </c>
      <c r="S378" s="986">
        <f t="shared" si="68"/>
        <v>41.82</v>
      </c>
      <c r="T378" s="986">
        <f t="shared" si="69"/>
        <v>59.55</v>
      </c>
      <c r="U378" s="1005">
        <v>0</v>
      </c>
      <c r="V378" s="443" t="e">
        <f>#REF!+#REF!-O378</f>
        <v>#REF!</v>
      </c>
      <c r="W378" s="975" t="e">
        <f>ROUND((#REF!+#REF!+#REF!+#REF!+#REF!+#REF!+#REF!+#REF!+#REF!),2)</f>
        <v>#REF!</v>
      </c>
      <c r="AA378" s="976" t="e">
        <f>#REF!+#REF!-O378</f>
        <v>#REF!</v>
      </c>
      <c r="AB378" s="977" t="e">
        <f>#REF!</f>
        <v>#REF!</v>
      </c>
      <c r="AC378" s="976" t="e">
        <f>#REF!+#REF!</f>
        <v>#REF!</v>
      </c>
      <c r="AD378" s="977" t="e">
        <f>#REF!</f>
        <v>#REF!</v>
      </c>
      <c r="AE378" s="978">
        <v>0</v>
      </c>
      <c r="AF378" s="977" t="e">
        <f>#REF!</f>
        <v>#REF!</v>
      </c>
      <c r="AG378" s="979" t="e">
        <f>#REF!+#REF!</f>
        <v>#REF!</v>
      </c>
      <c r="AH378" s="979" t="e">
        <f>#REF!+#REF!</f>
        <v>#REF!</v>
      </c>
      <c r="AI378" s="979"/>
      <c r="AJ378" s="977" t="e">
        <f>#REF!</f>
        <v>#REF!</v>
      </c>
      <c r="AK378" s="977" t="e">
        <f t="shared" si="70"/>
        <v>#REF!</v>
      </c>
      <c r="AL378" s="977">
        <f t="shared" ref="AL378:AL405" si="71">O378+S378</f>
        <v>59.55</v>
      </c>
      <c r="AM378" s="977">
        <f t="shared" ref="AM378:AM405" si="72">U378</f>
        <v>0</v>
      </c>
      <c r="AN378" s="634"/>
    </row>
    <row r="379" spans="1:40" s="629" customFormat="1" ht="20.100000000000001" customHeight="1">
      <c r="A379" s="771">
        <f t="shared" ref="A379:A396" si="73">A378+1</f>
        <v>66</v>
      </c>
      <c r="B379" s="980">
        <f>+NOMINA!C377</f>
        <v>16266801</v>
      </c>
      <c r="C379" s="981" t="str">
        <f>+NOMINA!D377</f>
        <v>Briceño Gonzalez Mirla Carolina</v>
      </c>
      <c r="D379" s="978" t="s">
        <v>4622</v>
      </c>
      <c r="E379" s="982">
        <v>32351</v>
      </c>
      <c r="F379" s="978" t="s">
        <v>4620</v>
      </c>
      <c r="G379" s="1004">
        <f>+NOMINA!H377</f>
        <v>39496</v>
      </c>
      <c r="H379" s="984">
        <f t="shared" ref="H379:H405" si="74">IF(AND(YEAR(G379)&lt;2023,MONTH(G379)&gt;$P$8),2023-YEAR(G379)-1,IF(OR(G379="",YEAR(G379)&gt;2023),0,2023-YEAR(G379)))</f>
        <v>14</v>
      </c>
      <c r="I379" s="985">
        <v>0</v>
      </c>
      <c r="J379" s="999">
        <f>+NOMINA!BL377</f>
        <v>12.81</v>
      </c>
      <c r="K379" s="999">
        <f>+NOMINA!BM377</f>
        <v>1.6</v>
      </c>
      <c r="L379" s="999">
        <f>+NOMINA!BN377</f>
        <v>3.47</v>
      </c>
      <c r="M379" s="999">
        <f>++NOMINA!BO377</f>
        <v>0</v>
      </c>
      <c r="N379" s="999">
        <f>+NOMINA!BP377</f>
        <v>0</v>
      </c>
      <c r="O379" s="986">
        <f t="shared" ref="O379:O405" si="75">ROUND(SUM(J379:N379),2)</f>
        <v>17.88</v>
      </c>
      <c r="P379" s="999">
        <f>+NOMINA!BR377</f>
        <v>28.83</v>
      </c>
      <c r="Q379" s="999">
        <f>+NOMINA!BS377</f>
        <v>6.41</v>
      </c>
      <c r="R379" s="999">
        <f>+NOMINA!BT377</f>
        <v>6.94</v>
      </c>
      <c r="S379" s="986">
        <f t="shared" ref="S379:S405" si="76">ROUND(SUM(P379:R379),2)</f>
        <v>42.18</v>
      </c>
      <c r="T379" s="986">
        <f t="shared" ref="T379:T405" si="77">O379+S379</f>
        <v>60.06</v>
      </c>
      <c r="U379" s="1005">
        <v>0</v>
      </c>
      <c r="V379" s="443" t="e">
        <f>#REF!+#REF!-O379</f>
        <v>#REF!</v>
      </c>
      <c r="W379" s="975" t="e">
        <f>ROUND((#REF!+#REF!+#REF!+#REF!+#REF!+#REF!+#REF!+#REF!+#REF!),2)</f>
        <v>#REF!</v>
      </c>
      <c r="AA379" s="976" t="e">
        <f>#REF!+#REF!-O379</f>
        <v>#REF!</v>
      </c>
      <c r="AB379" s="977" t="e">
        <f>#REF!</f>
        <v>#REF!</v>
      </c>
      <c r="AC379" s="976" t="e">
        <f>#REF!+#REF!</f>
        <v>#REF!</v>
      </c>
      <c r="AD379" s="977" t="e">
        <f>#REF!</f>
        <v>#REF!</v>
      </c>
      <c r="AE379" s="978">
        <v>0</v>
      </c>
      <c r="AF379" s="977" t="e">
        <f>#REF!</f>
        <v>#REF!</v>
      </c>
      <c r="AG379" s="979" t="e">
        <f>#REF!+#REF!</f>
        <v>#REF!</v>
      </c>
      <c r="AH379" s="979" t="e">
        <f>#REF!+#REF!</f>
        <v>#REF!</v>
      </c>
      <c r="AI379" s="979"/>
      <c r="AJ379" s="977" t="e">
        <f>#REF!</f>
        <v>#REF!</v>
      </c>
      <c r="AK379" s="977" t="e">
        <f t="shared" si="70"/>
        <v>#REF!</v>
      </c>
      <c r="AL379" s="977">
        <f t="shared" si="71"/>
        <v>60.06</v>
      </c>
      <c r="AM379" s="977">
        <f t="shared" si="72"/>
        <v>0</v>
      </c>
      <c r="AN379" s="634"/>
    </row>
    <row r="380" spans="1:40" s="629" customFormat="1" ht="20.100000000000001" customHeight="1">
      <c r="A380" s="771">
        <f t="shared" si="73"/>
        <v>67</v>
      </c>
      <c r="B380" s="980">
        <f>+NOMINA!C378</f>
        <v>16739958</v>
      </c>
      <c r="C380" s="981" t="str">
        <f>+NOMINA!D378</f>
        <v>Ramirez Ramirez Natali Gabriela</v>
      </c>
      <c r="D380" s="978" t="s">
        <v>4622</v>
      </c>
      <c r="E380" s="982">
        <v>32351</v>
      </c>
      <c r="F380" s="978" t="s">
        <v>4620</v>
      </c>
      <c r="G380" s="1004">
        <f>+NOMINA!H378</f>
        <v>44866</v>
      </c>
      <c r="H380" s="984">
        <f t="shared" si="74"/>
        <v>0</v>
      </c>
      <c r="I380" s="985">
        <v>0</v>
      </c>
      <c r="J380" s="999">
        <f>+NOMINA!BL378</f>
        <v>11.07</v>
      </c>
      <c r="K380" s="999">
        <f>+NOMINA!BM378</f>
        <v>1.38</v>
      </c>
      <c r="L380" s="999">
        <f>+NOMINA!BN378</f>
        <v>3</v>
      </c>
      <c r="M380" s="999">
        <f>++NOMINA!BO378</f>
        <v>0</v>
      </c>
      <c r="N380" s="999">
        <f>+NOMINA!BP378</f>
        <v>0</v>
      </c>
      <c r="O380" s="986">
        <f t="shared" si="75"/>
        <v>15.45</v>
      </c>
      <c r="P380" s="999">
        <f>+NOMINA!BR378</f>
        <v>24.91</v>
      </c>
      <c r="Q380" s="999">
        <f>+NOMINA!BS378</f>
        <v>5.54</v>
      </c>
      <c r="R380" s="999">
        <f>+NOMINA!BT378</f>
        <v>6</v>
      </c>
      <c r="S380" s="986">
        <f t="shared" si="76"/>
        <v>36.450000000000003</v>
      </c>
      <c r="T380" s="986">
        <f t="shared" si="77"/>
        <v>51.900000000000006</v>
      </c>
      <c r="U380" s="1005">
        <v>0</v>
      </c>
      <c r="V380" s="443" t="e">
        <f>#REF!+#REF!-O380</f>
        <v>#REF!</v>
      </c>
      <c r="W380" s="975" t="e">
        <f>ROUND((#REF!+#REF!+#REF!+#REF!+#REF!+#REF!+#REF!+#REF!+#REF!),2)</f>
        <v>#REF!</v>
      </c>
      <c r="AA380" s="976" t="e">
        <f>#REF!+#REF!-O380</f>
        <v>#REF!</v>
      </c>
      <c r="AB380" s="977" t="e">
        <f>#REF!</f>
        <v>#REF!</v>
      </c>
      <c r="AC380" s="976" t="e">
        <f>#REF!+#REF!</f>
        <v>#REF!</v>
      </c>
      <c r="AD380" s="977" t="e">
        <f>#REF!</f>
        <v>#REF!</v>
      </c>
      <c r="AE380" s="978">
        <v>0</v>
      </c>
      <c r="AF380" s="977" t="e">
        <f>#REF!</f>
        <v>#REF!</v>
      </c>
      <c r="AG380" s="979" t="e">
        <f>#REF!+#REF!</f>
        <v>#REF!</v>
      </c>
      <c r="AH380" s="979" t="e">
        <f>#REF!+#REF!</f>
        <v>#REF!</v>
      </c>
      <c r="AI380" s="979"/>
      <c r="AJ380" s="977" t="e">
        <f>#REF!</f>
        <v>#REF!</v>
      </c>
      <c r="AK380" s="977" t="e">
        <f t="shared" si="70"/>
        <v>#REF!</v>
      </c>
      <c r="AL380" s="977">
        <f t="shared" si="71"/>
        <v>51.900000000000006</v>
      </c>
      <c r="AM380" s="977">
        <f t="shared" si="72"/>
        <v>0</v>
      </c>
      <c r="AN380" s="634"/>
    </row>
    <row r="381" spans="1:40" s="629" customFormat="1" ht="20.100000000000001" customHeight="1">
      <c r="A381" s="771">
        <f t="shared" si="73"/>
        <v>68</v>
      </c>
      <c r="B381" s="980">
        <f>+NOMINA!C379</f>
        <v>16881526</v>
      </c>
      <c r="C381" s="981" t="str">
        <f>+NOMINA!D379</f>
        <v>Montilla Mendoza Addy Coromoto</v>
      </c>
      <c r="D381" s="978" t="s">
        <v>4622</v>
      </c>
      <c r="E381" s="982">
        <v>32351</v>
      </c>
      <c r="F381" s="978" t="s">
        <v>4620</v>
      </c>
      <c r="G381" s="1004">
        <f>+NOMINA!H379</f>
        <v>44470</v>
      </c>
      <c r="H381" s="984">
        <f t="shared" si="74"/>
        <v>1</v>
      </c>
      <c r="I381" s="985">
        <v>0</v>
      </c>
      <c r="J381" s="999">
        <f>+NOMINA!BL379</f>
        <v>10.67</v>
      </c>
      <c r="K381" s="999">
        <f>+NOMINA!BM379</f>
        <v>1.33</v>
      </c>
      <c r="L381" s="999">
        <f>+NOMINA!BN379</f>
        <v>2.89</v>
      </c>
      <c r="M381" s="999">
        <f>++NOMINA!BO379</f>
        <v>0</v>
      </c>
      <c r="N381" s="999">
        <f>+NOMINA!BP379</f>
        <v>0</v>
      </c>
      <c r="O381" s="986">
        <f t="shared" si="75"/>
        <v>14.89</v>
      </c>
      <c r="P381" s="999">
        <f>+NOMINA!BR379</f>
        <v>24</v>
      </c>
      <c r="Q381" s="999">
        <f>+NOMINA!BS379</f>
        <v>5.33</v>
      </c>
      <c r="R381" s="999">
        <f>+NOMINA!BT379</f>
        <v>5.78</v>
      </c>
      <c r="S381" s="986">
        <f t="shared" si="76"/>
        <v>35.11</v>
      </c>
      <c r="T381" s="986">
        <f t="shared" si="77"/>
        <v>50</v>
      </c>
      <c r="U381" s="1005">
        <v>0</v>
      </c>
      <c r="V381" s="443" t="e">
        <f>#REF!+#REF!-O381</f>
        <v>#REF!</v>
      </c>
      <c r="W381" s="975" t="e">
        <f>ROUND((#REF!+#REF!+#REF!+#REF!+#REF!+#REF!+#REF!+#REF!+#REF!),2)</f>
        <v>#REF!</v>
      </c>
      <c r="AA381" s="976" t="e">
        <f>#REF!+#REF!-O381</f>
        <v>#REF!</v>
      </c>
      <c r="AB381" s="977" t="e">
        <f>#REF!</f>
        <v>#REF!</v>
      </c>
      <c r="AC381" s="976" t="e">
        <f>#REF!+#REF!</f>
        <v>#REF!</v>
      </c>
      <c r="AD381" s="977" t="e">
        <f>#REF!</f>
        <v>#REF!</v>
      </c>
      <c r="AE381" s="978">
        <v>0</v>
      </c>
      <c r="AF381" s="977" t="e">
        <f>#REF!</f>
        <v>#REF!</v>
      </c>
      <c r="AG381" s="979" t="e">
        <f>#REF!+#REF!</f>
        <v>#REF!</v>
      </c>
      <c r="AH381" s="979" t="e">
        <f>#REF!+#REF!</f>
        <v>#REF!</v>
      </c>
      <c r="AI381" s="979"/>
      <c r="AJ381" s="977" t="e">
        <f>#REF!</f>
        <v>#REF!</v>
      </c>
      <c r="AK381" s="977" t="e">
        <f t="shared" si="70"/>
        <v>#REF!</v>
      </c>
      <c r="AL381" s="977">
        <f t="shared" si="71"/>
        <v>50</v>
      </c>
      <c r="AM381" s="977">
        <f t="shared" si="72"/>
        <v>0</v>
      </c>
      <c r="AN381" s="634"/>
    </row>
    <row r="382" spans="1:40" s="629" customFormat="1" ht="20.100000000000001" customHeight="1">
      <c r="A382" s="771">
        <f t="shared" si="73"/>
        <v>69</v>
      </c>
      <c r="B382" s="980">
        <f>+NOMINA!C380</f>
        <v>17093567</v>
      </c>
      <c r="C382" s="981" t="str">
        <f>+NOMINA!D380</f>
        <v>Torres Villarreal Yenny del Carmen</v>
      </c>
      <c r="D382" s="978" t="s">
        <v>4622</v>
      </c>
      <c r="E382" s="982">
        <v>32351</v>
      </c>
      <c r="F382" s="978" t="s">
        <v>4620</v>
      </c>
      <c r="G382" s="1004">
        <f>+NOMINA!H380</f>
        <v>39449</v>
      </c>
      <c r="H382" s="984">
        <f t="shared" si="74"/>
        <v>14</v>
      </c>
      <c r="I382" s="985">
        <v>0</v>
      </c>
      <c r="J382" s="999">
        <f>+NOMINA!BL380</f>
        <v>11.6</v>
      </c>
      <c r="K382" s="999">
        <f>+NOMINA!BM380</f>
        <v>1.45</v>
      </c>
      <c r="L382" s="999">
        <f>+NOMINA!BN380</f>
        <v>3.14</v>
      </c>
      <c r="M382" s="999">
        <f>++NOMINA!BO380</f>
        <v>0</v>
      </c>
      <c r="N382" s="999">
        <f>+NOMINA!BP380</f>
        <v>0</v>
      </c>
      <c r="O382" s="986">
        <f t="shared" si="75"/>
        <v>16.190000000000001</v>
      </c>
      <c r="P382" s="999">
        <f>+NOMINA!BR380</f>
        <v>26.1</v>
      </c>
      <c r="Q382" s="999">
        <f>+NOMINA!BS380</f>
        <v>5.8</v>
      </c>
      <c r="R382" s="999">
        <f>+NOMINA!BT380</f>
        <v>6.28</v>
      </c>
      <c r="S382" s="986">
        <f t="shared" si="76"/>
        <v>38.18</v>
      </c>
      <c r="T382" s="986">
        <f t="shared" si="77"/>
        <v>54.370000000000005</v>
      </c>
      <c r="U382" s="1005">
        <v>0</v>
      </c>
      <c r="V382" s="443" t="e">
        <f>#REF!+#REF!-O382</f>
        <v>#REF!</v>
      </c>
      <c r="W382" s="975" t="e">
        <f>ROUND((#REF!+#REF!+#REF!+#REF!+#REF!+#REF!+#REF!+#REF!+#REF!),2)</f>
        <v>#REF!</v>
      </c>
      <c r="AA382" s="976" t="e">
        <f>#REF!+#REF!-O382</f>
        <v>#REF!</v>
      </c>
      <c r="AB382" s="977" t="e">
        <f>#REF!</f>
        <v>#REF!</v>
      </c>
      <c r="AC382" s="976" t="e">
        <f>#REF!+#REF!</f>
        <v>#REF!</v>
      </c>
      <c r="AD382" s="977" t="e">
        <f>#REF!</f>
        <v>#REF!</v>
      </c>
      <c r="AE382" s="978">
        <v>0</v>
      </c>
      <c r="AF382" s="977" t="e">
        <f>#REF!</f>
        <v>#REF!</v>
      </c>
      <c r="AG382" s="979" t="e">
        <f>#REF!+#REF!</f>
        <v>#REF!</v>
      </c>
      <c r="AH382" s="979" t="e">
        <f>#REF!+#REF!</f>
        <v>#REF!</v>
      </c>
      <c r="AI382" s="979"/>
      <c r="AJ382" s="977" t="e">
        <f>#REF!</f>
        <v>#REF!</v>
      </c>
      <c r="AK382" s="977" t="e">
        <f t="shared" si="70"/>
        <v>#REF!</v>
      </c>
      <c r="AL382" s="977">
        <f t="shared" si="71"/>
        <v>54.370000000000005</v>
      </c>
      <c r="AM382" s="977">
        <f t="shared" si="72"/>
        <v>0</v>
      </c>
      <c r="AN382" s="634"/>
    </row>
    <row r="383" spans="1:40" s="629" customFormat="1" ht="20.100000000000001" customHeight="1">
      <c r="A383" s="771">
        <f t="shared" si="73"/>
        <v>70</v>
      </c>
      <c r="B383" s="980">
        <f>+NOMINA!C381</f>
        <v>17093846</v>
      </c>
      <c r="C383" s="981" t="str">
        <f>+NOMINA!D381</f>
        <v>Bastidas Rivera Junior Antonio</v>
      </c>
      <c r="D383" s="978" t="s">
        <v>4622</v>
      </c>
      <c r="E383" s="982">
        <v>32351</v>
      </c>
      <c r="F383" s="978" t="s">
        <v>4620</v>
      </c>
      <c r="G383" s="1004">
        <f>+NOMINA!H381</f>
        <v>45017</v>
      </c>
      <c r="H383" s="984">
        <f t="shared" si="74"/>
        <v>0</v>
      </c>
      <c r="I383" s="985">
        <v>0</v>
      </c>
      <c r="J383" s="999">
        <f>+NOMINA!BL381</f>
        <v>10.47</v>
      </c>
      <c r="K383" s="999">
        <f>+NOMINA!BM381</f>
        <v>1.31</v>
      </c>
      <c r="L383" s="999">
        <f>+NOMINA!BN381</f>
        <v>2.84</v>
      </c>
      <c r="M383" s="999">
        <f>++NOMINA!BO381</f>
        <v>0</v>
      </c>
      <c r="N383" s="999">
        <f>+NOMINA!BP381</f>
        <v>0</v>
      </c>
      <c r="O383" s="986">
        <f t="shared" si="75"/>
        <v>14.62</v>
      </c>
      <c r="P383" s="999">
        <f>+NOMINA!BR381</f>
        <v>23.55</v>
      </c>
      <c r="Q383" s="999">
        <f>+NOMINA!BS381</f>
        <v>5.23</v>
      </c>
      <c r="R383" s="999">
        <f>+NOMINA!BT381</f>
        <v>5.68</v>
      </c>
      <c r="S383" s="986">
        <f t="shared" si="76"/>
        <v>34.46</v>
      </c>
      <c r="T383" s="986">
        <f t="shared" si="77"/>
        <v>49.08</v>
      </c>
      <c r="U383" s="1005">
        <v>0</v>
      </c>
      <c r="V383" s="443" t="e">
        <f>#REF!+#REF!-O383</f>
        <v>#REF!</v>
      </c>
      <c r="W383" s="975" t="e">
        <f>ROUND((#REF!+#REF!+#REF!+#REF!+#REF!+#REF!+#REF!+#REF!+#REF!),2)</f>
        <v>#REF!</v>
      </c>
      <c r="AA383" s="976" t="e">
        <f>#REF!+#REF!-O383</f>
        <v>#REF!</v>
      </c>
      <c r="AB383" s="977" t="e">
        <f>#REF!</f>
        <v>#REF!</v>
      </c>
      <c r="AC383" s="976" t="e">
        <f>#REF!+#REF!</f>
        <v>#REF!</v>
      </c>
      <c r="AD383" s="977" t="e">
        <f>#REF!</f>
        <v>#REF!</v>
      </c>
      <c r="AE383" s="978">
        <v>0</v>
      </c>
      <c r="AF383" s="977" t="e">
        <f>#REF!</f>
        <v>#REF!</v>
      </c>
      <c r="AG383" s="979" t="e">
        <f>#REF!+#REF!</f>
        <v>#REF!</v>
      </c>
      <c r="AH383" s="979" t="e">
        <f>#REF!+#REF!</f>
        <v>#REF!</v>
      </c>
      <c r="AI383" s="979"/>
      <c r="AJ383" s="977" t="e">
        <f>#REF!</f>
        <v>#REF!</v>
      </c>
      <c r="AK383" s="977" t="e">
        <f t="shared" si="70"/>
        <v>#REF!</v>
      </c>
      <c r="AL383" s="977">
        <f t="shared" si="71"/>
        <v>49.08</v>
      </c>
      <c r="AM383" s="977">
        <f t="shared" si="72"/>
        <v>0</v>
      </c>
      <c r="AN383" s="634"/>
    </row>
    <row r="384" spans="1:40" s="629" customFormat="1" ht="20.100000000000001" customHeight="1">
      <c r="A384" s="771">
        <f t="shared" si="73"/>
        <v>71</v>
      </c>
      <c r="B384" s="980">
        <f>+NOMINA!C382</f>
        <v>17095084</v>
      </c>
      <c r="C384" s="981" t="str">
        <f>+NOMINA!D382</f>
        <v>Gonzalez Simancas Yulimar del Valle</v>
      </c>
      <c r="D384" s="978" t="s">
        <v>4622</v>
      </c>
      <c r="E384" s="982">
        <v>32351</v>
      </c>
      <c r="F384" s="978" t="s">
        <v>4620</v>
      </c>
      <c r="G384" s="1004">
        <f>+NOMINA!H382</f>
        <v>44317</v>
      </c>
      <c r="H384" s="984">
        <f t="shared" si="74"/>
        <v>1</v>
      </c>
      <c r="I384" s="985">
        <v>0</v>
      </c>
      <c r="J384" s="999">
        <f>+NOMINA!BL382</f>
        <v>12.23</v>
      </c>
      <c r="K384" s="999">
        <f>+NOMINA!BM382</f>
        <v>1.53</v>
      </c>
      <c r="L384" s="999">
        <f>+NOMINA!BN382</f>
        <v>3.31</v>
      </c>
      <c r="M384" s="999">
        <f>++NOMINA!BO382</f>
        <v>0</v>
      </c>
      <c r="N384" s="999">
        <f>+NOMINA!BP382</f>
        <v>0</v>
      </c>
      <c r="O384" s="986">
        <f t="shared" si="75"/>
        <v>17.07</v>
      </c>
      <c r="P384" s="999">
        <f>+NOMINA!BR382</f>
        <v>27.51</v>
      </c>
      <c r="Q384" s="999">
        <f>+NOMINA!BS382</f>
        <v>6.11</v>
      </c>
      <c r="R384" s="999">
        <f>+NOMINA!BT382</f>
        <v>6.62</v>
      </c>
      <c r="S384" s="986">
        <f t="shared" si="76"/>
        <v>40.24</v>
      </c>
      <c r="T384" s="986">
        <f t="shared" si="77"/>
        <v>57.31</v>
      </c>
      <c r="U384" s="1005">
        <v>0</v>
      </c>
      <c r="V384" s="443" t="e">
        <f>#REF!+#REF!-O384</f>
        <v>#REF!</v>
      </c>
      <c r="W384" s="975" t="e">
        <f>ROUND((#REF!+#REF!+#REF!+#REF!+#REF!+#REF!+#REF!+#REF!+#REF!),2)</f>
        <v>#REF!</v>
      </c>
      <c r="AA384" s="976" t="e">
        <f>#REF!+#REF!-O384</f>
        <v>#REF!</v>
      </c>
      <c r="AB384" s="977" t="e">
        <f>#REF!</f>
        <v>#REF!</v>
      </c>
      <c r="AC384" s="976" t="e">
        <f>#REF!+#REF!</f>
        <v>#REF!</v>
      </c>
      <c r="AD384" s="977" t="e">
        <f>#REF!</f>
        <v>#REF!</v>
      </c>
      <c r="AE384" s="978">
        <v>0</v>
      </c>
      <c r="AF384" s="977" t="e">
        <f>#REF!</f>
        <v>#REF!</v>
      </c>
      <c r="AG384" s="979" t="e">
        <f>#REF!+#REF!</f>
        <v>#REF!</v>
      </c>
      <c r="AH384" s="979" t="e">
        <f>#REF!+#REF!</f>
        <v>#REF!</v>
      </c>
      <c r="AI384" s="979"/>
      <c r="AJ384" s="977" t="e">
        <f>#REF!</f>
        <v>#REF!</v>
      </c>
      <c r="AK384" s="977" t="e">
        <f t="shared" si="70"/>
        <v>#REF!</v>
      </c>
      <c r="AL384" s="977">
        <f t="shared" si="71"/>
        <v>57.31</v>
      </c>
      <c r="AM384" s="977">
        <f t="shared" si="72"/>
        <v>0</v>
      </c>
      <c r="AN384" s="634"/>
    </row>
    <row r="385" spans="1:40" s="629" customFormat="1" ht="20.100000000000001" customHeight="1">
      <c r="A385" s="771">
        <f t="shared" si="73"/>
        <v>72</v>
      </c>
      <c r="B385" s="980">
        <f>+NOMINA!C383</f>
        <v>17267173</v>
      </c>
      <c r="C385" s="981" t="str">
        <f>+NOMINA!D383</f>
        <v>Torres Alvarez Olga Josefina</v>
      </c>
      <c r="D385" s="978" t="s">
        <v>4622</v>
      </c>
      <c r="E385" s="982">
        <v>32351</v>
      </c>
      <c r="F385" s="978" t="s">
        <v>4620</v>
      </c>
      <c r="G385" s="1004">
        <f>+NOMINA!H383</f>
        <v>44317</v>
      </c>
      <c r="H385" s="984">
        <f t="shared" si="74"/>
        <v>1</v>
      </c>
      <c r="I385" s="985">
        <v>0</v>
      </c>
      <c r="J385" s="999">
        <f>+NOMINA!BL383</f>
        <v>11.3</v>
      </c>
      <c r="K385" s="999">
        <f>+NOMINA!BM383</f>
        <v>1.41</v>
      </c>
      <c r="L385" s="999">
        <f>+NOMINA!BN383</f>
        <v>3.06</v>
      </c>
      <c r="M385" s="999">
        <f>++NOMINA!BO383</f>
        <v>0</v>
      </c>
      <c r="N385" s="999">
        <f>+NOMINA!BP383</f>
        <v>0</v>
      </c>
      <c r="O385" s="986">
        <f t="shared" si="75"/>
        <v>15.77</v>
      </c>
      <c r="P385" s="999">
        <f>+NOMINA!BR383</f>
        <v>25.43</v>
      </c>
      <c r="Q385" s="999">
        <f>+NOMINA!BS383</f>
        <v>5.65</v>
      </c>
      <c r="R385" s="999">
        <f>+NOMINA!BT383</f>
        <v>6.12</v>
      </c>
      <c r="S385" s="986">
        <f t="shared" si="76"/>
        <v>37.200000000000003</v>
      </c>
      <c r="T385" s="986">
        <f t="shared" si="77"/>
        <v>52.97</v>
      </c>
      <c r="U385" s="1005">
        <v>0</v>
      </c>
      <c r="V385" s="443" t="e">
        <f>#REF!+#REF!-O385</f>
        <v>#REF!</v>
      </c>
      <c r="W385" s="975" t="e">
        <f>ROUND((#REF!+#REF!+#REF!+#REF!+#REF!+#REF!+#REF!+#REF!+#REF!),2)</f>
        <v>#REF!</v>
      </c>
      <c r="AA385" s="976" t="e">
        <f>#REF!+#REF!-O385</f>
        <v>#REF!</v>
      </c>
      <c r="AB385" s="977" t="e">
        <f>#REF!</f>
        <v>#REF!</v>
      </c>
      <c r="AC385" s="976" t="e">
        <f>#REF!+#REF!</f>
        <v>#REF!</v>
      </c>
      <c r="AD385" s="977" t="e">
        <f>#REF!</f>
        <v>#REF!</v>
      </c>
      <c r="AE385" s="978">
        <v>0</v>
      </c>
      <c r="AF385" s="977" t="e">
        <f>#REF!</f>
        <v>#REF!</v>
      </c>
      <c r="AG385" s="979" t="e">
        <f>#REF!+#REF!</f>
        <v>#REF!</v>
      </c>
      <c r="AH385" s="979" t="e">
        <f>#REF!+#REF!</f>
        <v>#REF!</v>
      </c>
      <c r="AI385" s="979"/>
      <c r="AJ385" s="977" t="e">
        <f>#REF!</f>
        <v>#REF!</v>
      </c>
      <c r="AK385" s="977" t="e">
        <f t="shared" si="70"/>
        <v>#REF!</v>
      </c>
      <c r="AL385" s="977">
        <f t="shared" si="71"/>
        <v>52.97</v>
      </c>
      <c r="AM385" s="977">
        <f t="shared" si="72"/>
        <v>0</v>
      </c>
      <c r="AN385" s="634"/>
    </row>
    <row r="386" spans="1:40" s="629" customFormat="1" ht="20.100000000000001" customHeight="1">
      <c r="A386" s="771">
        <f t="shared" si="73"/>
        <v>73</v>
      </c>
      <c r="B386" s="980">
        <f>+NOMINA!C384</f>
        <v>17267546</v>
      </c>
      <c r="C386" s="981" t="str">
        <f>+NOMINA!D384</f>
        <v>Bastidas Rivera Franklin Enrique</v>
      </c>
      <c r="D386" s="978" t="s">
        <v>4622</v>
      </c>
      <c r="E386" s="982">
        <v>32351</v>
      </c>
      <c r="F386" s="978" t="s">
        <v>4620</v>
      </c>
      <c r="G386" s="1004">
        <f>+NOMINA!H384</f>
        <v>39197</v>
      </c>
      <c r="H386" s="984">
        <f t="shared" si="74"/>
        <v>15</v>
      </c>
      <c r="I386" s="985">
        <v>0</v>
      </c>
      <c r="J386" s="999">
        <f>+NOMINA!BL384</f>
        <v>12.06</v>
      </c>
      <c r="K386" s="999">
        <f>+NOMINA!BM384</f>
        <v>1.51</v>
      </c>
      <c r="L386" s="999">
        <f>+NOMINA!BN384</f>
        <v>3.27</v>
      </c>
      <c r="M386" s="999">
        <f>++NOMINA!BO384</f>
        <v>0</v>
      </c>
      <c r="N386" s="999">
        <f>+NOMINA!BP384</f>
        <v>0</v>
      </c>
      <c r="O386" s="986">
        <f t="shared" si="75"/>
        <v>16.84</v>
      </c>
      <c r="P386" s="999">
        <f>+NOMINA!BR384</f>
        <v>27.14</v>
      </c>
      <c r="Q386" s="999">
        <f>+NOMINA!BS384</f>
        <v>6.03</v>
      </c>
      <c r="R386" s="999">
        <f>+NOMINA!BT384</f>
        <v>6.54</v>
      </c>
      <c r="S386" s="986">
        <f t="shared" si="76"/>
        <v>39.71</v>
      </c>
      <c r="T386" s="986">
        <f t="shared" si="77"/>
        <v>56.55</v>
      </c>
      <c r="U386" s="1005">
        <v>0</v>
      </c>
      <c r="V386" s="443" t="e">
        <f>#REF!+#REF!-O386</f>
        <v>#REF!</v>
      </c>
      <c r="W386" s="975" t="e">
        <f>ROUND((#REF!+#REF!+#REF!+#REF!+#REF!+#REF!+#REF!+#REF!+#REF!),2)</f>
        <v>#REF!</v>
      </c>
      <c r="AA386" s="976" t="e">
        <f>#REF!+#REF!-O386</f>
        <v>#REF!</v>
      </c>
      <c r="AB386" s="977" t="e">
        <f>#REF!</f>
        <v>#REF!</v>
      </c>
      <c r="AC386" s="976" t="e">
        <f>#REF!+#REF!</f>
        <v>#REF!</v>
      </c>
      <c r="AD386" s="977" t="e">
        <f>#REF!</f>
        <v>#REF!</v>
      </c>
      <c r="AE386" s="978">
        <v>0</v>
      </c>
      <c r="AF386" s="977" t="e">
        <f>#REF!</f>
        <v>#REF!</v>
      </c>
      <c r="AG386" s="979" t="e">
        <f>#REF!+#REF!</f>
        <v>#REF!</v>
      </c>
      <c r="AH386" s="979" t="e">
        <f>#REF!+#REF!</f>
        <v>#REF!</v>
      </c>
      <c r="AI386" s="979"/>
      <c r="AJ386" s="977" t="e">
        <f>#REF!</f>
        <v>#REF!</v>
      </c>
      <c r="AK386" s="977" t="e">
        <f t="shared" si="70"/>
        <v>#REF!</v>
      </c>
      <c r="AL386" s="977">
        <f t="shared" si="71"/>
        <v>56.55</v>
      </c>
      <c r="AM386" s="977">
        <f t="shared" si="72"/>
        <v>0</v>
      </c>
      <c r="AN386" s="634"/>
    </row>
    <row r="387" spans="1:40" s="629" customFormat="1" ht="20.100000000000001" customHeight="1">
      <c r="A387" s="771">
        <f t="shared" si="73"/>
        <v>74</v>
      </c>
      <c r="B387" s="980">
        <f>+NOMINA!C385</f>
        <v>18096032</v>
      </c>
      <c r="C387" s="981" t="str">
        <f>+NOMINA!D385</f>
        <v>Graterol Graterol Isidro Antonio</v>
      </c>
      <c r="D387" s="978" t="s">
        <v>4622</v>
      </c>
      <c r="E387" s="982">
        <v>32351</v>
      </c>
      <c r="F387" s="978" t="s">
        <v>4620</v>
      </c>
      <c r="G387" s="1004">
        <f>+NOMINA!H385</f>
        <v>45566</v>
      </c>
      <c r="H387" s="984">
        <f t="shared" si="74"/>
        <v>0</v>
      </c>
      <c r="I387" s="985">
        <v>0</v>
      </c>
      <c r="J387" s="999">
        <f>+NOMINA!BL385</f>
        <v>16.68</v>
      </c>
      <c r="K387" s="999">
        <f>+NOMINA!BM385</f>
        <v>2.09</v>
      </c>
      <c r="L387" s="999">
        <f>+NOMINA!BN385</f>
        <v>4.5199999999999996</v>
      </c>
      <c r="M387" s="999">
        <f>++NOMINA!BO385</f>
        <v>0</v>
      </c>
      <c r="N387" s="999">
        <f>+NOMINA!BP385</f>
        <v>0</v>
      </c>
      <c r="O387" s="986">
        <f t="shared" si="75"/>
        <v>23.29</v>
      </c>
      <c r="P387" s="999">
        <f>+NOMINA!BR385</f>
        <v>37.54</v>
      </c>
      <c r="Q387" s="999">
        <f>+NOMINA!BS385</f>
        <v>8.34</v>
      </c>
      <c r="R387" s="999">
        <f>+NOMINA!BT385</f>
        <v>9.0399999999999991</v>
      </c>
      <c r="S387" s="986">
        <f t="shared" si="76"/>
        <v>54.92</v>
      </c>
      <c r="T387" s="986">
        <f t="shared" si="77"/>
        <v>78.210000000000008</v>
      </c>
      <c r="U387" s="1005">
        <v>0</v>
      </c>
      <c r="V387" s="443" t="e">
        <f>#REF!+#REF!-O387</f>
        <v>#REF!</v>
      </c>
      <c r="W387" s="975" t="e">
        <f>ROUND((#REF!+#REF!+#REF!+#REF!+#REF!+#REF!+#REF!+#REF!+#REF!),2)</f>
        <v>#REF!</v>
      </c>
      <c r="AA387" s="976" t="e">
        <f>#REF!+#REF!-O387</f>
        <v>#REF!</v>
      </c>
      <c r="AB387" s="977" t="e">
        <f>#REF!</f>
        <v>#REF!</v>
      </c>
      <c r="AC387" s="976" t="e">
        <f>#REF!+#REF!</f>
        <v>#REF!</v>
      </c>
      <c r="AD387" s="977" t="e">
        <f>#REF!</f>
        <v>#REF!</v>
      </c>
      <c r="AE387" s="978">
        <v>0</v>
      </c>
      <c r="AF387" s="977" t="e">
        <f>#REF!</f>
        <v>#REF!</v>
      </c>
      <c r="AG387" s="979" t="e">
        <f>#REF!+#REF!</f>
        <v>#REF!</v>
      </c>
      <c r="AH387" s="979" t="e">
        <f>#REF!+#REF!</f>
        <v>#REF!</v>
      </c>
      <c r="AI387" s="979"/>
      <c r="AJ387" s="977" t="e">
        <f>#REF!</f>
        <v>#REF!</v>
      </c>
      <c r="AK387" s="977" t="e">
        <f t="shared" si="70"/>
        <v>#REF!</v>
      </c>
      <c r="AL387" s="977">
        <f t="shared" si="71"/>
        <v>78.210000000000008</v>
      </c>
      <c r="AM387" s="977">
        <f t="shared" si="72"/>
        <v>0</v>
      </c>
      <c r="AN387" s="634"/>
    </row>
    <row r="388" spans="1:40" s="629" customFormat="1" ht="20.100000000000001" customHeight="1">
      <c r="A388" s="771">
        <f t="shared" si="73"/>
        <v>75</v>
      </c>
      <c r="B388" s="980">
        <f>+NOMINA!C386</f>
        <v>18096338</v>
      </c>
      <c r="C388" s="981" t="str">
        <f>+NOMINA!D386</f>
        <v>Ramirez Manzanilla Jose Jesus</v>
      </c>
      <c r="D388" s="978" t="s">
        <v>4622</v>
      </c>
      <c r="E388" s="982">
        <v>32351</v>
      </c>
      <c r="F388" s="978" t="s">
        <v>4620</v>
      </c>
      <c r="G388" s="1004">
        <f>+NOMINA!H386</f>
        <v>39463</v>
      </c>
      <c r="H388" s="984">
        <f t="shared" si="74"/>
        <v>14</v>
      </c>
      <c r="I388" s="985">
        <v>0</v>
      </c>
      <c r="J388" s="999">
        <f>+NOMINA!BL386</f>
        <v>13.22</v>
      </c>
      <c r="K388" s="999">
        <f>+NOMINA!BM386</f>
        <v>1.65</v>
      </c>
      <c r="L388" s="999">
        <f>+NOMINA!BN386</f>
        <v>3.58</v>
      </c>
      <c r="M388" s="999">
        <f>++NOMINA!BO386</f>
        <v>0</v>
      </c>
      <c r="N388" s="999">
        <f>+NOMINA!BP386</f>
        <v>0</v>
      </c>
      <c r="O388" s="986">
        <f t="shared" si="75"/>
        <v>18.45</v>
      </c>
      <c r="P388" s="999">
        <f>+NOMINA!BR386</f>
        <v>29.74</v>
      </c>
      <c r="Q388" s="999">
        <f>+NOMINA!BS386</f>
        <v>6.61</v>
      </c>
      <c r="R388" s="999">
        <f>+NOMINA!BT386</f>
        <v>7.16</v>
      </c>
      <c r="S388" s="986">
        <f t="shared" si="76"/>
        <v>43.51</v>
      </c>
      <c r="T388" s="986">
        <f t="shared" si="77"/>
        <v>61.959999999999994</v>
      </c>
      <c r="U388" s="1005">
        <v>0</v>
      </c>
      <c r="V388" s="443" t="e">
        <f>#REF!+#REF!-O388</f>
        <v>#REF!</v>
      </c>
      <c r="W388" s="975" t="e">
        <f>ROUND((#REF!+#REF!+#REF!+#REF!+#REF!+#REF!+#REF!+#REF!+#REF!),2)</f>
        <v>#REF!</v>
      </c>
      <c r="AA388" s="976" t="e">
        <f>#REF!+#REF!-O388</f>
        <v>#REF!</v>
      </c>
      <c r="AB388" s="977" t="e">
        <f>#REF!</f>
        <v>#REF!</v>
      </c>
      <c r="AC388" s="976" t="e">
        <f>#REF!+#REF!</f>
        <v>#REF!</v>
      </c>
      <c r="AD388" s="977" t="e">
        <f>#REF!</f>
        <v>#REF!</v>
      </c>
      <c r="AE388" s="978">
        <v>0</v>
      </c>
      <c r="AF388" s="977" t="e">
        <f>#REF!</f>
        <v>#REF!</v>
      </c>
      <c r="AG388" s="979" t="e">
        <f>#REF!+#REF!</f>
        <v>#REF!</v>
      </c>
      <c r="AH388" s="979" t="e">
        <f>#REF!+#REF!</f>
        <v>#REF!</v>
      </c>
      <c r="AI388" s="979"/>
      <c r="AJ388" s="977" t="e">
        <f>#REF!</f>
        <v>#REF!</v>
      </c>
      <c r="AK388" s="977" t="e">
        <f t="shared" si="70"/>
        <v>#REF!</v>
      </c>
      <c r="AL388" s="977">
        <f t="shared" si="71"/>
        <v>61.959999999999994</v>
      </c>
      <c r="AM388" s="977">
        <f t="shared" si="72"/>
        <v>0</v>
      </c>
      <c r="AN388" s="634"/>
    </row>
    <row r="389" spans="1:40" s="629" customFormat="1" ht="20.100000000000001" customHeight="1">
      <c r="A389" s="771">
        <f t="shared" si="73"/>
        <v>76</v>
      </c>
      <c r="B389" s="980">
        <f>+NOMINA!C387</f>
        <v>18350780</v>
      </c>
      <c r="C389" s="981" t="str">
        <f>+NOMINA!D387</f>
        <v>Frias Aldana Giovanny Jacinto</v>
      </c>
      <c r="D389" s="978" t="s">
        <v>4622</v>
      </c>
      <c r="E389" s="982">
        <v>32351</v>
      </c>
      <c r="F389" s="978" t="s">
        <v>4620</v>
      </c>
      <c r="G389" s="1004">
        <f>+NOMINA!H387</f>
        <v>43116</v>
      </c>
      <c r="H389" s="984">
        <f t="shared" si="74"/>
        <v>4</v>
      </c>
      <c r="I389" s="985">
        <v>0</v>
      </c>
      <c r="J389" s="999">
        <f>+NOMINA!BL387</f>
        <v>15.66</v>
      </c>
      <c r="K389" s="999">
        <f>+NOMINA!BM387</f>
        <v>1.96</v>
      </c>
      <c r="L389" s="999">
        <f>+NOMINA!BN387</f>
        <v>4.24</v>
      </c>
      <c r="M389" s="999">
        <f>++NOMINA!BO387</f>
        <v>0</v>
      </c>
      <c r="N389" s="999">
        <f>+NOMINA!BP387</f>
        <v>0</v>
      </c>
      <c r="O389" s="986">
        <f t="shared" si="75"/>
        <v>21.86</v>
      </c>
      <c r="P389" s="999">
        <f>+NOMINA!BR387</f>
        <v>35.22</v>
      </c>
      <c r="Q389" s="999">
        <f>+NOMINA!BS387</f>
        <v>7.83</v>
      </c>
      <c r="R389" s="999">
        <f>+NOMINA!BT387</f>
        <v>8.48</v>
      </c>
      <c r="S389" s="986">
        <f t="shared" si="76"/>
        <v>51.53</v>
      </c>
      <c r="T389" s="986">
        <f t="shared" si="77"/>
        <v>73.39</v>
      </c>
      <c r="U389" s="1005">
        <v>0</v>
      </c>
      <c r="V389" s="443" t="e">
        <f>#REF!+#REF!-O389</f>
        <v>#REF!</v>
      </c>
      <c r="W389" s="975" t="e">
        <f>ROUND((#REF!+#REF!+#REF!+#REF!+#REF!+#REF!+#REF!+#REF!+#REF!),2)</f>
        <v>#REF!</v>
      </c>
      <c r="AA389" s="976" t="e">
        <f>#REF!+#REF!-O389</f>
        <v>#REF!</v>
      </c>
      <c r="AB389" s="977" t="e">
        <f>#REF!</f>
        <v>#REF!</v>
      </c>
      <c r="AC389" s="976" t="e">
        <f>#REF!+#REF!</f>
        <v>#REF!</v>
      </c>
      <c r="AD389" s="977" t="e">
        <f>#REF!</f>
        <v>#REF!</v>
      </c>
      <c r="AE389" s="978">
        <v>0</v>
      </c>
      <c r="AF389" s="977" t="e">
        <f>#REF!</f>
        <v>#REF!</v>
      </c>
      <c r="AG389" s="979" t="e">
        <f>#REF!+#REF!</f>
        <v>#REF!</v>
      </c>
      <c r="AH389" s="979" t="e">
        <f>#REF!+#REF!</f>
        <v>#REF!</v>
      </c>
      <c r="AI389" s="979"/>
      <c r="AJ389" s="977" t="e">
        <f>#REF!</f>
        <v>#REF!</v>
      </c>
      <c r="AK389" s="977" t="e">
        <f t="shared" si="70"/>
        <v>#REF!</v>
      </c>
      <c r="AL389" s="977">
        <f t="shared" si="71"/>
        <v>73.39</v>
      </c>
      <c r="AM389" s="977">
        <f t="shared" si="72"/>
        <v>0</v>
      </c>
      <c r="AN389" s="634"/>
    </row>
    <row r="390" spans="1:40" s="629" customFormat="1" ht="20.100000000000001" customHeight="1">
      <c r="A390" s="771">
        <f t="shared" si="73"/>
        <v>77</v>
      </c>
      <c r="B390" s="980">
        <f>+NOMINA!C388</f>
        <v>18456167</v>
      </c>
      <c r="C390" s="981" t="str">
        <f>+NOMINA!D388</f>
        <v>Olmos Linares Luis Alberto</v>
      </c>
      <c r="D390" s="978" t="s">
        <v>4622</v>
      </c>
      <c r="E390" s="982">
        <v>32351</v>
      </c>
      <c r="F390" s="978" t="s">
        <v>4620</v>
      </c>
      <c r="G390" s="1004">
        <f>+NOMINA!H388</f>
        <v>44516</v>
      </c>
      <c r="H390" s="984">
        <f t="shared" si="74"/>
        <v>1</v>
      </c>
      <c r="I390" s="985">
        <v>0</v>
      </c>
      <c r="J390" s="999">
        <f>+NOMINA!BL388</f>
        <v>12.23</v>
      </c>
      <c r="K390" s="999">
        <f>+NOMINA!BM388</f>
        <v>1.53</v>
      </c>
      <c r="L390" s="999">
        <f>+NOMINA!BN388</f>
        <v>3.31</v>
      </c>
      <c r="M390" s="999">
        <f>++NOMINA!BO388</f>
        <v>0</v>
      </c>
      <c r="N390" s="999">
        <f>+NOMINA!BP388</f>
        <v>0</v>
      </c>
      <c r="O390" s="986">
        <f t="shared" si="75"/>
        <v>17.07</v>
      </c>
      <c r="P390" s="999">
        <f>+NOMINA!BR388</f>
        <v>27.51</v>
      </c>
      <c r="Q390" s="999">
        <f>+NOMINA!BS388</f>
        <v>6.11</v>
      </c>
      <c r="R390" s="999">
        <f>+NOMINA!BT388</f>
        <v>6.62</v>
      </c>
      <c r="S390" s="986">
        <f t="shared" si="76"/>
        <v>40.24</v>
      </c>
      <c r="T390" s="986">
        <f t="shared" si="77"/>
        <v>57.31</v>
      </c>
      <c r="U390" s="1005">
        <v>0</v>
      </c>
      <c r="V390" s="443" t="e">
        <f>#REF!+#REF!-O390</f>
        <v>#REF!</v>
      </c>
      <c r="W390" s="975" t="e">
        <f>ROUND((#REF!+#REF!+#REF!+#REF!+#REF!+#REF!+#REF!+#REF!+#REF!),2)</f>
        <v>#REF!</v>
      </c>
      <c r="AA390" s="976" t="e">
        <f>#REF!+#REF!-O390</f>
        <v>#REF!</v>
      </c>
      <c r="AB390" s="977" t="e">
        <f>#REF!</f>
        <v>#REF!</v>
      </c>
      <c r="AC390" s="976" t="e">
        <f>#REF!+#REF!</f>
        <v>#REF!</v>
      </c>
      <c r="AD390" s="977" t="e">
        <f>#REF!</f>
        <v>#REF!</v>
      </c>
      <c r="AE390" s="978">
        <v>0</v>
      </c>
      <c r="AF390" s="977" t="e">
        <f>#REF!</f>
        <v>#REF!</v>
      </c>
      <c r="AG390" s="979" t="e">
        <f>#REF!+#REF!</f>
        <v>#REF!</v>
      </c>
      <c r="AH390" s="979" t="e">
        <f>#REF!+#REF!</f>
        <v>#REF!</v>
      </c>
      <c r="AI390" s="979"/>
      <c r="AJ390" s="977" t="e">
        <f>#REF!</f>
        <v>#REF!</v>
      </c>
      <c r="AK390" s="977" t="e">
        <f t="shared" si="70"/>
        <v>#REF!</v>
      </c>
      <c r="AL390" s="977">
        <f t="shared" si="71"/>
        <v>57.31</v>
      </c>
      <c r="AM390" s="977">
        <f t="shared" si="72"/>
        <v>0</v>
      </c>
      <c r="AN390" s="634"/>
    </row>
    <row r="391" spans="1:40" s="629" customFormat="1" ht="20.100000000000001" customHeight="1">
      <c r="A391" s="771">
        <f t="shared" si="73"/>
        <v>78</v>
      </c>
      <c r="B391" s="980">
        <f>+NOMINA!C389</f>
        <v>18456576</v>
      </c>
      <c r="C391" s="981" t="str">
        <f>+NOMINA!D389</f>
        <v>Quintero Duran Emilio Alfonso</v>
      </c>
      <c r="D391" s="978" t="s">
        <v>4622</v>
      </c>
      <c r="E391" s="982">
        <v>32351</v>
      </c>
      <c r="F391" s="978" t="s">
        <v>4620</v>
      </c>
      <c r="G391" s="1004">
        <f>+NOMINA!H389</f>
        <v>44743</v>
      </c>
      <c r="H391" s="984">
        <f t="shared" si="74"/>
        <v>0</v>
      </c>
      <c r="I391" s="985">
        <v>0</v>
      </c>
      <c r="J391" s="999">
        <f>+NOMINA!BL389</f>
        <v>15.32</v>
      </c>
      <c r="K391" s="999">
        <f>+NOMINA!BM389</f>
        <v>1.92</v>
      </c>
      <c r="L391" s="999">
        <f>+NOMINA!BN389</f>
        <v>4.1500000000000004</v>
      </c>
      <c r="M391" s="999">
        <f>++NOMINA!BO389</f>
        <v>0</v>
      </c>
      <c r="N391" s="999">
        <f>+NOMINA!BP389</f>
        <v>0</v>
      </c>
      <c r="O391" s="986">
        <f t="shared" si="75"/>
        <v>21.39</v>
      </c>
      <c r="P391" s="999">
        <f>+NOMINA!BR389</f>
        <v>34.479999999999997</v>
      </c>
      <c r="Q391" s="999">
        <f>+NOMINA!BS389</f>
        <v>7.66</v>
      </c>
      <c r="R391" s="999">
        <f>+NOMINA!BT389</f>
        <v>8.3000000000000007</v>
      </c>
      <c r="S391" s="986">
        <f t="shared" si="76"/>
        <v>50.44</v>
      </c>
      <c r="T391" s="986">
        <f t="shared" si="77"/>
        <v>71.83</v>
      </c>
      <c r="U391" s="1005">
        <v>0</v>
      </c>
      <c r="V391" s="443" t="e">
        <f>#REF!+#REF!-O391</f>
        <v>#REF!</v>
      </c>
      <c r="W391" s="975" t="e">
        <f>ROUND((#REF!+#REF!+#REF!+#REF!+#REF!+#REF!+#REF!+#REF!+#REF!),2)</f>
        <v>#REF!</v>
      </c>
      <c r="AA391" s="976" t="e">
        <f>#REF!+#REF!-O391</f>
        <v>#REF!</v>
      </c>
      <c r="AB391" s="977" t="e">
        <f>#REF!</f>
        <v>#REF!</v>
      </c>
      <c r="AC391" s="976" t="e">
        <f>#REF!+#REF!</f>
        <v>#REF!</v>
      </c>
      <c r="AD391" s="977" t="e">
        <f>#REF!</f>
        <v>#REF!</v>
      </c>
      <c r="AE391" s="978">
        <v>0</v>
      </c>
      <c r="AF391" s="977" t="e">
        <f>#REF!</f>
        <v>#REF!</v>
      </c>
      <c r="AG391" s="979" t="e">
        <f>#REF!+#REF!</f>
        <v>#REF!</v>
      </c>
      <c r="AH391" s="979" t="e">
        <f>#REF!+#REF!</f>
        <v>#REF!</v>
      </c>
      <c r="AI391" s="979"/>
      <c r="AJ391" s="977" t="e">
        <f>#REF!</f>
        <v>#REF!</v>
      </c>
      <c r="AK391" s="977" t="e">
        <f t="shared" si="70"/>
        <v>#REF!</v>
      </c>
      <c r="AL391" s="977">
        <f t="shared" si="71"/>
        <v>71.83</v>
      </c>
      <c r="AM391" s="977">
        <f t="shared" si="72"/>
        <v>0</v>
      </c>
      <c r="AN391" s="634"/>
    </row>
    <row r="392" spans="1:40" s="629" customFormat="1" ht="20.100000000000001" customHeight="1">
      <c r="A392" s="771">
        <f t="shared" si="73"/>
        <v>79</v>
      </c>
      <c r="B392" s="980">
        <f>+NOMINA!C390</f>
        <v>20039961</v>
      </c>
      <c r="C392" s="981" t="str">
        <f>+NOMINA!D390</f>
        <v>Torres Villarreal Lisbeth Carolina</v>
      </c>
      <c r="D392" s="978" t="s">
        <v>4622</v>
      </c>
      <c r="E392" s="982">
        <v>32351</v>
      </c>
      <c r="F392" s="978" t="s">
        <v>4620</v>
      </c>
      <c r="G392" s="1004">
        <f>+NOMINA!H390</f>
        <v>38412</v>
      </c>
      <c r="H392" s="984">
        <f t="shared" si="74"/>
        <v>17</v>
      </c>
      <c r="I392" s="985">
        <v>0</v>
      </c>
      <c r="J392" s="999">
        <f>+NOMINA!BL390</f>
        <v>11.69</v>
      </c>
      <c r="K392" s="999">
        <f>+NOMINA!BM390</f>
        <v>1.46</v>
      </c>
      <c r="L392" s="999">
        <f>+NOMINA!BN390</f>
        <v>3.17</v>
      </c>
      <c r="M392" s="999">
        <f>++NOMINA!BO390</f>
        <v>0</v>
      </c>
      <c r="N392" s="999">
        <f>+NOMINA!BP390</f>
        <v>0</v>
      </c>
      <c r="O392" s="986">
        <f t="shared" si="75"/>
        <v>16.32</v>
      </c>
      <c r="P392" s="999">
        <f>+NOMINA!BR390</f>
        <v>26.31</v>
      </c>
      <c r="Q392" s="999">
        <f>+NOMINA!BS390</f>
        <v>5.85</v>
      </c>
      <c r="R392" s="999">
        <f>+NOMINA!BT390</f>
        <v>6.34</v>
      </c>
      <c r="S392" s="986">
        <f t="shared" si="76"/>
        <v>38.5</v>
      </c>
      <c r="T392" s="986">
        <f t="shared" si="77"/>
        <v>54.82</v>
      </c>
      <c r="U392" s="1005">
        <v>0</v>
      </c>
      <c r="V392" s="443" t="e">
        <f>#REF!+#REF!-O392</f>
        <v>#REF!</v>
      </c>
      <c r="W392" s="975" t="e">
        <f>ROUND((#REF!+#REF!+#REF!+#REF!+#REF!+#REF!+#REF!+#REF!+#REF!),2)</f>
        <v>#REF!</v>
      </c>
      <c r="AA392" s="976" t="e">
        <f>#REF!+#REF!-O392</f>
        <v>#REF!</v>
      </c>
      <c r="AB392" s="977" t="e">
        <f>#REF!</f>
        <v>#REF!</v>
      </c>
      <c r="AC392" s="976" t="e">
        <f>#REF!+#REF!</f>
        <v>#REF!</v>
      </c>
      <c r="AD392" s="977" t="e">
        <f>#REF!</f>
        <v>#REF!</v>
      </c>
      <c r="AE392" s="978">
        <v>0</v>
      </c>
      <c r="AF392" s="977" t="e">
        <f>#REF!</f>
        <v>#REF!</v>
      </c>
      <c r="AG392" s="979" t="e">
        <f>#REF!+#REF!</f>
        <v>#REF!</v>
      </c>
      <c r="AH392" s="979" t="e">
        <f>#REF!+#REF!</f>
        <v>#REF!</v>
      </c>
      <c r="AI392" s="979"/>
      <c r="AJ392" s="977" t="e">
        <f>#REF!</f>
        <v>#REF!</v>
      </c>
      <c r="AK392" s="977" t="e">
        <f t="shared" si="70"/>
        <v>#REF!</v>
      </c>
      <c r="AL392" s="977">
        <f t="shared" si="71"/>
        <v>54.82</v>
      </c>
      <c r="AM392" s="977">
        <f t="shared" si="72"/>
        <v>0</v>
      </c>
      <c r="AN392" s="634"/>
    </row>
    <row r="393" spans="1:40" s="629" customFormat="1" ht="20.100000000000001" customHeight="1">
      <c r="A393" s="771">
        <f t="shared" si="73"/>
        <v>80</v>
      </c>
      <c r="B393" s="980">
        <f>+NOMINA!C391</f>
        <v>20040649</v>
      </c>
      <c r="C393" s="981" t="str">
        <f>+NOMINA!D391</f>
        <v>Isarra Materan Jose de La Paz</v>
      </c>
      <c r="D393" s="978" t="s">
        <v>4622</v>
      </c>
      <c r="E393" s="982">
        <v>32351</v>
      </c>
      <c r="F393" s="978" t="s">
        <v>4620</v>
      </c>
      <c r="G393" s="1004">
        <f>+NOMINA!H391</f>
        <v>44743</v>
      </c>
      <c r="H393" s="984">
        <f t="shared" si="74"/>
        <v>0</v>
      </c>
      <c r="I393" s="985">
        <v>0</v>
      </c>
      <c r="J393" s="999">
        <f>+NOMINA!BL391</f>
        <v>15.32</v>
      </c>
      <c r="K393" s="999">
        <f>+NOMINA!BM391</f>
        <v>1.92</v>
      </c>
      <c r="L393" s="999">
        <f>+NOMINA!BN391</f>
        <v>4.1500000000000004</v>
      </c>
      <c r="M393" s="999">
        <f>++NOMINA!BO391</f>
        <v>0</v>
      </c>
      <c r="N393" s="999">
        <f>+NOMINA!BP391</f>
        <v>0</v>
      </c>
      <c r="O393" s="986">
        <f t="shared" si="75"/>
        <v>21.39</v>
      </c>
      <c r="P393" s="999">
        <f>+NOMINA!BR391</f>
        <v>34.479999999999997</v>
      </c>
      <c r="Q393" s="999">
        <f>+NOMINA!BS391</f>
        <v>7.66</v>
      </c>
      <c r="R393" s="999">
        <f>+NOMINA!BT391</f>
        <v>8.3000000000000007</v>
      </c>
      <c r="S393" s="986">
        <f t="shared" si="76"/>
        <v>50.44</v>
      </c>
      <c r="T393" s="986">
        <f t="shared" si="77"/>
        <v>71.83</v>
      </c>
      <c r="U393" s="1005">
        <v>0</v>
      </c>
      <c r="V393" s="443" t="e">
        <f>#REF!+#REF!-O393</f>
        <v>#REF!</v>
      </c>
      <c r="W393" s="975" t="e">
        <f>ROUND((#REF!+#REF!+#REF!+#REF!+#REF!+#REF!+#REF!+#REF!+#REF!),2)</f>
        <v>#REF!</v>
      </c>
      <c r="AA393" s="976" t="e">
        <f>#REF!+#REF!-O393</f>
        <v>#REF!</v>
      </c>
      <c r="AB393" s="977" t="e">
        <f>#REF!</f>
        <v>#REF!</v>
      </c>
      <c r="AC393" s="976" t="e">
        <f>#REF!+#REF!</f>
        <v>#REF!</v>
      </c>
      <c r="AD393" s="977" t="e">
        <f>#REF!</f>
        <v>#REF!</v>
      </c>
      <c r="AE393" s="978">
        <v>0</v>
      </c>
      <c r="AF393" s="977" t="e">
        <f>#REF!</f>
        <v>#REF!</v>
      </c>
      <c r="AG393" s="979" t="e">
        <f>#REF!+#REF!</f>
        <v>#REF!</v>
      </c>
      <c r="AH393" s="979" t="e">
        <f>#REF!+#REF!</f>
        <v>#REF!</v>
      </c>
      <c r="AI393" s="979"/>
      <c r="AJ393" s="977" t="e">
        <f>#REF!</f>
        <v>#REF!</v>
      </c>
      <c r="AK393" s="977" t="e">
        <f t="shared" si="70"/>
        <v>#REF!</v>
      </c>
      <c r="AL393" s="977">
        <f t="shared" si="71"/>
        <v>71.83</v>
      </c>
      <c r="AM393" s="977">
        <f t="shared" si="72"/>
        <v>0</v>
      </c>
      <c r="AN393" s="634"/>
    </row>
    <row r="394" spans="1:40" s="629" customFormat="1" ht="20.100000000000001" customHeight="1">
      <c r="A394" s="771">
        <f t="shared" si="73"/>
        <v>81</v>
      </c>
      <c r="B394" s="980">
        <f>+NOMINA!C392</f>
        <v>21366579</v>
      </c>
      <c r="C394" s="981" t="str">
        <f>+NOMINA!D392</f>
        <v>Azuaje Espinoza Erick Enrique</v>
      </c>
      <c r="D394" s="978" t="s">
        <v>4622</v>
      </c>
      <c r="E394" s="982">
        <v>32351</v>
      </c>
      <c r="F394" s="978" t="s">
        <v>4620</v>
      </c>
      <c r="G394" s="1004">
        <f>+NOMINA!H392</f>
        <v>44774</v>
      </c>
      <c r="H394" s="984">
        <f t="shared" si="74"/>
        <v>0</v>
      </c>
      <c r="I394" s="985">
        <v>0</v>
      </c>
      <c r="J394" s="999">
        <f>+NOMINA!BL392</f>
        <v>10.61</v>
      </c>
      <c r="K394" s="999">
        <f>+NOMINA!BM392</f>
        <v>1.33</v>
      </c>
      <c r="L394" s="999">
        <f>+NOMINA!BN392</f>
        <v>2.87</v>
      </c>
      <c r="M394" s="999">
        <f>++NOMINA!BO392</f>
        <v>0</v>
      </c>
      <c r="N394" s="999">
        <f>+NOMINA!BP392</f>
        <v>0</v>
      </c>
      <c r="O394" s="986">
        <f t="shared" si="75"/>
        <v>14.81</v>
      </c>
      <c r="P394" s="999">
        <f>+NOMINA!BR392</f>
        <v>23.87</v>
      </c>
      <c r="Q394" s="999">
        <f>+NOMINA!BS392</f>
        <v>5.3</v>
      </c>
      <c r="R394" s="999">
        <f>+NOMINA!BT392</f>
        <v>5.74</v>
      </c>
      <c r="S394" s="986">
        <f t="shared" si="76"/>
        <v>34.909999999999997</v>
      </c>
      <c r="T394" s="986">
        <f t="shared" si="77"/>
        <v>49.72</v>
      </c>
      <c r="U394" s="1005">
        <v>0</v>
      </c>
      <c r="V394" s="443" t="e">
        <f>#REF!+#REF!-O394</f>
        <v>#REF!</v>
      </c>
      <c r="W394" s="975" t="e">
        <f>ROUND((#REF!+#REF!+#REF!+#REF!+#REF!+#REF!+#REF!+#REF!+#REF!),2)</f>
        <v>#REF!</v>
      </c>
      <c r="AA394" s="976" t="e">
        <f>#REF!+#REF!-O394</f>
        <v>#REF!</v>
      </c>
      <c r="AB394" s="977" t="e">
        <f>#REF!</f>
        <v>#REF!</v>
      </c>
      <c r="AC394" s="976" t="e">
        <f>#REF!+#REF!</f>
        <v>#REF!</v>
      </c>
      <c r="AD394" s="977" t="e">
        <f>#REF!</f>
        <v>#REF!</v>
      </c>
      <c r="AE394" s="978">
        <v>0</v>
      </c>
      <c r="AF394" s="977" t="e">
        <f>#REF!</f>
        <v>#REF!</v>
      </c>
      <c r="AG394" s="979" t="e">
        <f>#REF!+#REF!</f>
        <v>#REF!</v>
      </c>
      <c r="AH394" s="979" t="e">
        <f>#REF!+#REF!</f>
        <v>#REF!</v>
      </c>
      <c r="AI394" s="979"/>
      <c r="AJ394" s="977" t="e">
        <f>#REF!</f>
        <v>#REF!</v>
      </c>
      <c r="AK394" s="977" t="e">
        <f t="shared" si="70"/>
        <v>#REF!</v>
      </c>
      <c r="AL394" s="977">
        <f t="shared" si="71"/>
        <v>49.72</v>
      </c>
      <c r="AM394" s="977">
        <f t="shared" si="72"/>
        <v>0</v>
      </c>
      <c r="AN394" s="634"/>
    </row>
    <row r="395" spans="1:40" s="629" customFormat="1" ht="20.100000000000001" customHeight="1">
      <c r="A395" s="771">
        <f t="shared" si="73"/>
        <v>82</v>
      </c>
      <c r="B395" s="980">
        <f>+NOMINA!C393</f>
        <v>23594381</v>
      </c>
      <c r="C395" s="981" t="str">
        <f>+NOMINA!D393</f>
        <v>Albornoz Montilla Daniel Enrique</v>
      </c>
      <c r="D395" s="978" t="s">
        <v>4622</v>
      </c>
      <c r="E395" s="982">
        <v>32351</v>
      </c>
      <c r="F395" s="978" t="s">
        <v>4620</v>
      </c>
      <c r="G395" s="1004">
        <f>+NOMINA!H393</f>
        <v>45597</v>
      </c>
      <c r="H395" s="984">
        <f t="shared" si="74"/>
        <v>0</v>
      </c>
      <c r="I395" s="985">
        <v>0</v>
      </c>
      <c r="J395" s="999">
        <f>+NOMINA!BL393</f>
        <v>10.5</v>
      </c>
      <c r="K395" s="999">
        <f>+NOMINA!BM393</f>
        <v>1.31</v>
      </c>
      <c r="L395" s="999">
        <f>+NOMINA!BN393</f>
        <v>2.85</v>
      </c>
      <c r="M395" s="999">
        <f>++NOMINA!BO393</f>
        <v>0</v>
      </c>
      <c r="N395" s="999">
        <f>+NOMINA!BP393</f>
        <v>0</v>
      </c>
      <c r="O395" s="986">
        <f t="shared" si="75"/>
        <v>14.66</v>
      </c>
      <c r="P395" s="999">
        <f>+NOMINA!BR393</f>
        <v>23.64</v>
      </c>
      <c r="Q395" s="999">
        <f>+NOMINA!BS393</f>
        <v>5.25</v>
      </c>
      <c r="R395" s="999">
        <f>+NOMINA!BT393</f>
        <v>5.7</v>
      </c>
      <c r="S395" s="986">
        <f t="shared" si="76"/>
        <v>34.590000000000003</v>
      </c>
      <c r="T395" s="986">
        <f t="shared" si="77"/>
        <v>49.25</v>
      </c>
      <c r="U395" s="1005">
        <v>0</v>
      </c>
      <c r="V395" s="443" t="e">
        <f>#REF!+#REF!-O395</f>
        <v>#REF!</v>
      </c>
      <c r="W395" s="975" t="e">
        <f>ROUND((#REF!+#REF!+#REF!+#REF!+#REF!+#REF!+#REF!+#REF!+#REF!),2)</f>
        <v>#REF!</v>
      </c>
      <c r="AA395" s="976" t="e">
        <f>#REF!+#REF!-O395</f>
        <v>#REF!</v>
      </c>
      <c r="AB395" s="977" t="e">
        <f>#REF!</f>
        <v>#REF!</v>
      </c>
      <c r="AC395" s="976" t="e">
        <f>#REF!+#REF!</f>
        <v>#REF!</v>
      </c>
      <c r="AD395" s="977" t="e">
        <f>#REF!</f>
        <v>#REF!</v>
      </c>
      <c r="AE395" s="978">
        <v>0</v>
      </c>
      <c r="AF395" s="977" t="e">
        <f>#REF!</f>
        <v>#REF!</v>
      </c>
      <c r="AG395" s="979" t="e">
        <f>#REF!+#REF!</f>
        <v>#REF!</v>
      </c>
      <c r="AH395" s="979" t="e">
        <f>#REF!+#REF!</f>
        <v>#REF!</v>
      </c>
      <c r="AI395" s="979"/>
      <c r="AJ395" s="977" t="e">
        <f>#REF!</f>
        <v>#REF!</v>
      </c>
      <c r="AK395" s="977" t="e">
        <f t="shared" si="70"/>
        <v>#REF!</v>
      </c>
      <c r="AL395" s="977">
        <f t="shared" si="71"/>
        <v>49.25</v>
      </c>
      <c r="AM395" s="977">
        <f t="shared" si="72"/>
        <v>0</v>
      </c>
      <c r="AN395" s="634"/>
    </row>
    <row r="396" spans="1:40" s="629" customFormat="1" ht="20.100000000000001" customHeight="1">
      <c r="A396" s="771">
        <f t="shared" si="73"/>
        <v>83</v>
      </c>
      <c r="B396" s="980">
        <f>+NOMINA!C394</f>
        <v>25173228</v>
      </c>
      <c r="C396" s="981" t="str">
        <f>+NOMINA!D394</f>
        <v>Davila Sanchez Eduar Alexander</v>
      </c>
      <c r="D396" s="978" t="s">
        <v>4622</v>
      </c>
      <c r="E396" s="982">
        <v>32351</v>
      </c>
      <c r="F396" s="978" t="s">
        <v>4620</v>
      </c>
      <c r="G396" s="1004">
        <f>+NOMINA!H394</f>
        <v>44531</v>
      </c>
      <c r="H396" s="984">
        <f t="shared" si="74"/>
        <v>1</v>
      </c>
      <c r="I396" s="985">
        <v>0</v>
      </c>
      <c r="J396" s="999">
        <f>+NOMINA!BL394</f>
        <v>14.95</v>
      </c>
      <c r="K396" s="999">
        <f>+NOMINA!BM394</f>
        <v>1.87</v>
      </c>
      <c r="L396" s="999">
        <f>+NOMINA!BN394</f>
        <v>4.05</v>
      </c>
      <c r="M396" s="999">
        <f>++NOMINA!BO394</f>
        <v>0</v>
      </c>
      <c r="N396" s="999">
        <f>+NOMINA!BP394</f>
        <v>0</v>
      </c>
      <c r="O396" s="986">
        <f t="shared" si="75"/>
        <v>20.87</v>
      </c>
      <c r="P396" s="999">
        <f>+NOMINA!BR394</f>
        <v>33.65</v>
      </c>
      <c r="Q396" s="999">
        <f>+NOMINA!BS394</f>
        <v>7.48</v>
      </c>
      <c r="R396" s="999">
        <f>+NOMINA!BT394</f>
        <v>8.1</v>
      </c>
      <c r="S396" s="986">
        <f t="shared" si="76"/>
        <v>49.23</v>
      </c>
      <c r="T396" s="986">
        <f t="shared" si="77"/>
        <v>70.099999999999994</v>
      </c>
      <c r="U396" s="1005">
        <v>0</v>
      </c>
      <c r="V396" s="443" t="e">
        <f>#REF!+#REF!-O396</f>
        <v>#REF!</v>
      </c>
      <c r="W396" s="975" t="e">
        <f>ROUND((#REF!+#REF!+#REF!+#REF!+#REF!+#REF!+#REF!+#REF!+#REF!),2)</f>
        <v>#REF!</v>
      </c>
      <c r="AA396" s="976" t="e">
        <f>#REF!+#REF!-O396</f>
        <v>#REF!</v>
      </c>
      <c r="AB396" s="977" t="e">
        <f>#REF!</f>
        <v>#REF!</v>
      </c>
      <c r="AC396" s="976" t="e">
        <f>#REF!+#REF!</f>
        <v>#REF!</v>
      </c>
      <c r="AD396" s="977" t="e">
        <f>#REF!</f>
        <v>#REF!</v>
      </c>
      <c r="AE396" s="978">
        <v>0</v>
      </c>
      <c r="AF396" s="977" t="e">
        <f>#REF!</f>
        <v>#REF!</v>
      </c>
      <c r="AG396" s="979" t="e">
        <f>#REF!+#REF!</f>
        <v>#REF!</v>
      </c>
      <c r="AH396" s="979" t="e">
        <f>#REF!+#REF!</f>
        <v>#REF!</v>
      </c>
      <c r="AI396" s="979"/>
      <c r="AJ396" s="977" t="e">
        <f>#REF!</f>
        <v>#REF!</v>
      </c>
      <c r="AK396" s="977" t="e">
        <f t="shared" si="70"/>
        <v>#REF!</v>
      </c>
      <c r="AL396" s="977">
        <f t="shared" si="71"/>
        <v>70.099999999999994</v>
      </c>
      <c r="AM396" s="977">
        <f t="shared" si="72"/>
        <v>0</v>
      </c>
      <c r="AN396" s="634"/>
    </row>
    <row r="397" spans="1:40" s="629" customFormat="1" ht="20.100000000000001" customHeight="1">
      <c r="A397" s="771">
        <f t="shared" ref="A397:A405" si="78">+A396+1</f>
        <v>84</v>
      </c>
      <c r="B397" s="980">
        <f>+NOMINA!C395</f>
        <v>25631811</v>
      </c>
      <c r="C397" s="981" t="str">
        <f>+NOMINA!D395</f>
        <v>Barrios Briceño Christian Xavier</v>
      </c>
      <c r="D397" s="978" t="s">
        <v>4622</v>
      </c>
      <c r="E397" s="982">
        <v>32351</v>
      </c>
      <c r="F397" s="978" t="s">
        <v>4620</v>
      </c>
      <c r="G397" s="1004">
        <f>+NOMINA!H395</f>
        <v>44440</v>
      </c>
      <c r="H397" s="984">
        <f t="shared" si="74"/>
        <v>1</v>
      </c>
      <c r="I397" s="985">
        <v>0</v>
      </c>
      <c r="J397" s="999">
        <f>+NOMINA!BL395</f>
        <v>11.3</v>
      </c>
      <c r="K397" s="999">
        <f>+NOMINA!BM395</f>
        <v>1.41</v>
      </c>
      <c r="L397" s="999">
        <f>+NOMINA!BN395</f>
        <v>3.06</v>
      </c>
      <c r="M397" s="999">
        <f>++NOMINA!BO395</f>
        <v>0</v>
      </c>
      <c r="N397" s="999">
        <f>+NOMINA!BP395</f>
        <v>0</v>
      </c>
      <c r="O397" s="986">
        <f t="shared" si="75"/>
        <v>15.77</v>
      </c>
      <c r="P397" s="999">
        <f>+NOMINA!BR395</f>
        <v>25.43</v>
      </c>
      <c r="Q397" s="999">
        <f>+NOMINA!BS395</f>
        <v>5.65</v>
      </c>
      <c r="R397" s="999">
        <f>+NOMINA!BT395</f>
        <v>6.12</v>
      </c>
      <c r="S397" s="986">
        <f t="shared" si="76"/>
        <v>37.200000000000003</v>
      </c>
      <c r="T397" s="986">
        <f t="shared" si="77"/>
        <v>52.97</v>
      </c>
      <c r="U397" s="1005"/>
      <c r="V397" s="443"/>
      <c r="W397" s="975"/>
      <c r="AA397" s="976"/>
      <c r="AB397" s="977"/>
      <c r="AC397" s="976"/>
      <c r="AD397" s="977"/>
      <c r="AE397" s="978"/>
      <c r="AF397" s="977"/>
      <c r="AG397" s="979"/>
      <c r="AH397" s="979"/>
      <c r="AI397" s="979"/>
      <c r="AJ397" s="977"/>
      <c r="AK397" s="977"/>
      <c r="AL397" s="977"/>
      <c r="AM397" s="977"/>
      <c r="AN397" s="634"/>
    </row>
    <row r="398" spans="1:40" s="629" customFormat="1" ht="20.100000000000001" customHeight="1">
      <c r="A398" s="771">
        <f t="shared" si="78"/>
        <v>85</v>
      </c>
      <c r="B398" s="980">
        <f>+NOMINA!C396</f>
        <v>25919888</v>
      </c>
      <c r="C398" s="981" t="str">
        <f>+NOMINA!D396</f>
        <v>Rivero Lamus Ninoska del Valle</v>
      </c>
      <c r="D398" s="978" t="s">
        <v>4622</v>
      </c>
      <c r="E398" s="982">
        <v>32351</v>
      </c>
      <c r="F398" s="978" t="s">
        <v>4620</v>
      </c>
      <c r="G398" s="1004">
        <f>+NOMINA!H396</f>
        <v>44805</v>
      </c>
      <c r="H398" s="984">
        <f t="shared" si="74"/>
        <v>0</v>
      </c>
      <c r="I398" s="985">
        <v>0</v>
      </c>
      <c r="J398" s="999">
        <f>+NOMINA!BL396</f>
        <v>10.62</v>
      </c>
      <c r="K398" s="999">
        <f>+NOMINA!BM396</f>
        <v>1.33</v>
      </c>
      <c r="L398" s="999">
        <f>+NOMINA!BN396</f>
        <v>2.88</v>
      </c>
      <c r="M398" s="999">
        <f>++NOMINA!BO396</f>
        <v>0</v>
      </c>
      <c r="N398" s="999">
        <f>+NOMINA!BP396</f>
        <v>0</v>
      </c>
      <c r="O398" s="986">
        <f t="shared" si="75"/>
        <v>14.83</v>
      </c>
      <c r="P398" s="999">
        <f>+NOMINA!BR396</f>
        <v>23.89</v>
      </c>
      <c r="Q398" s="999">
        <f>+NOMINA!BS396</f>
        <v>5.31</v>
      </c>
      <c r="R398" s="999">
        <f>+NOMINA!BT396</f>
        <v>5.76</v>
      </c>
      <c r="S398" s="986">
        <f t="shared" si="76"/>
        <v>34.96</v>
      </c>
      <c r="T398" s="986">
        <f t="shared" si="77"/>
        <v>49.79</v>
      </c>
      <c r="U398" s="1005"/>
      <c r="V398" s="443"/>
      <c r="W398" s="975"/>
      <c r="AA398" s="976"/>
      <c r="AB398" s="977"/>
      <c r="AC398" s="976"/>
      <c r="AD398" s="977"/>
      <c r="AE398" s="978"/>
      <c r="AF398" s="977"/>
      <c r="AG398" s="979"/>
      <c r="AH398" s="979"/>
      <c r="AI398" s="979"/>
      <c r="AJ398" s="977"/>
      <c r="AK398" s="977"/>
      <c r="AL398" s="977"/>
      <c r="AM398" s="977"/>
      <c r="AN398" s="634"/>
    </row>
    <row r="399" spans="1:40" s="629" customFormat="1" ht="20.100000000000001" customHeight="1">
      <c r="A399" s="771">
        <f t="shared" si="78"/>
        <v>86</v>
      </c>
      <c r="B399" s="980">
        <f>+NOMINA!C397</f>
        <v>26235670</v>
      </c>
      <c r="C399" s="981" t="str">
        <f>+NOMINA!D397</f>
        <v>Viloria Garcia Kieny Keyvit</v>
      </c>
      <c r="D399" s="978" t="s">
        <v>4622</v>
      </c>
      <c r="E399" s="982">
        <v>32351</v>
      </c>
      <c r="F399" s="978" t="s">
        <v>4620</v>
      </c>
      <c r="G399" s="1004">
        <f>+NOMINA!H397</f>
        <v>45597</v>
      </c>
      <c r="H399" s="984">
        <f t="shared" si="74"/>
        <v>0</v>
      </c>
      <c r="I399" s="985">
        <v>0</v>
      </c>
      <c r="J399" s="999">
        <f>+NOMINA!BL397</f>
        <v>10.5</v>
      </c>
      <c r="K399" s="999">
        <f>+NOMINA!BM397</f>
        <v>1.31</v>
      </c>
      <c r="L399" s="999">
        <f>+NOMINA!BN397</f>
        <v>2.85</v>
      </c>
      <c r="M399" s="999">
        <f>++NOMINA!BO397</f>
        <v>0</v>
      </c>
      <c r="N399" s="999">
        <f>+NOMINA!BP397</f>
        <v>0</v>
      </c>
      <c r="O399" s="986">
        <f t="shared" si="75"/>
        <v>14.66</v>
      </c>
      <c r="P399" s="999">
        <f>+NOMINA!BR397</f>
        <v>23.64</v>
      </c>
      <c r="Q399" s="999">
        <f>+NOMINA!BS397</f>
        <v>5.25</v>
      </c>
      <c r="R399" s="999">
        <f>+NOMINA!BT397</f>
        <v>5.7</v>
      </c>
      <c r="S399" s="986">
        <f t="shared" si="76"/>
        <v>34.590000000000003</v>
      </c>
      <c r="T399" s="986">
        <f t="shared" si="77"/>
        <v>49.25</v>
      </c>
      <c r="U399" s="1005"/>
      <c r="V399" s="443"/>
      <c r="W399" s="975"/>
      <c r="AA399" s="976"/>
      <c r="AB399" s="977"/>
      <c r="AC399" s="976"/>
      <c r="AD399" s="977"/>
      <c r="AE399" s="978"/>
      <c r="AF399" s="977"/>
      <c r="AG399" s="979"/>
      <c r="AH399" s="979"/>
      <c r="AI399" s="979"/>
      <c r="AJ399" s="977"/>
      <c r="AK399" s="977"/>
      <c r="AL399" s="977"/>
      <c r="AM399" s="977"/>
      <c r="AN399" s="634"/>
    </row>
    <row r="400" spans="1:40" s="629" customFormat="1" ht="20.100000000000001" customHeight="1">
      <c r="A400" s="771">
        <f t="shared" si="78"/>
        <v>87</v>
      </c>
      <c r="B400" s="980">
        <f>+NOMINA!C398</f>
        <v>26482867</v>
      </c>
      <c r="C400" s="981" t="str">
        <f>+NOMINA!D398</f>
        <v>Valecillos Duran Brando Jose</v>
      </c>
      <c r="D400" s="978" t="s">
        <v>4622</v>
      </c>
      <c r="E400" s="982">
        <v>32351</v>
      </c>
      <c r="F400" s="978" t="s">
        <v>4620</v>
      </c>
      <c r="G400" s="1004">
        <f>+NOMINA!H398</f>
        <v>45078</v>
      </c>
      <c r="H400" s="984">
        <f t="shared" si="74"/>
        <v>0</v>
      </c>
      <c r="I400" s="985">
        <v>0</v>
      </c>
      <c r="J400" s="999">
        <f>+NOMINA!BL398</f>
        <v>10.47</v>
      </c>
      <c r="K400" s="999">
        <f>+NOMINA!BM398</f>
        <v>1.31</v>
      </c>
      <c r="L400" s="999">
        <f>+NOMINA!BN398</f>
        <v>2.84</v>
      </c>
      <c r="M400" s="999">
        <f>++NOMINA!BO398</f>
        <v>0</v>
      </c>
      <c r="N400" s="999">
        <f>+NOMINA!BP398</f>
        <v>0</v>
      </c>
      <c r="O400" s="986">
        <f t="shared" si="75"/>
        <v>14.62</v>
      </c>
      <c r="P400" s="999">
        <f>+NOMINA!BR398</f>
        <v>23.55</v>
      </c>
      <c r="Q400" s="999">
        <f>+NOMINA!BS398</f>
        <v>5.23</v>
      </c>
      <c r="R400" s="999">
        <f>+NOMINA!BT398</f>
        <v>5.68</v>
      </c>
      <c r="S400" s="986">
        <f t="shared" si="76"/>
        <v>34.46</v>
      </c>
      <c r="T400" s="986">
        <f t="shared" si="77"/>
        <v>49.08</v>
      </c>
      <c r="U400" s="1155"/>
      <c r="V400" s="1156"/>
      <c r="W400" s="1157"/>
      <c r="AA400" s="1115"/>
      <c r="AB400" s="1158"/>
      <c r="AC400" s="1115"/>
      <c r="AD400" s="1158"/>
      <c r="AE400" s="1147"/>
      <c r="AF400" s="1158"/>
      <c r="AG400" s="1159"/>
      <c r="AH400" s="1159"/>
      <c r="AI400" s="1159"/>
      <c r="AJ400" s="1158"/>
      <c r="AK400" s="1158"/>
      <c r="AL400" s="1158"/>
      <c r="AM400" s="1158"/>
      <c r="AN400" s="634"/>
    </row>
    <row r="401" spans="1:42" s="629" customFormat="1" ht="20.100000000000001" customHeight="1">
      <c r="A401" s="771">
        <f t="shared" si="78"/>
        <v>88</v>
      </c>
      <c r="B401" s="980">
        <f>+NOMINA!C399</f>
        <v>27415509</v>
      </c>
      <c r="C401" s="981" t="str">
        <f>+NOMINA!D399</f>
        <v>Barreto Rivero Luis Diego</v>
      </c>
      <c r="D401" s="978" t="s">
        <v>4622</v>
      </c>
      <c r="E401" s="982">
        <v>32351</v>
      </c>
      <c r="F401" s="978" t="s">
        <v>4620</v>
      </c>
      <c r="G401" s="1004">
        <f>+NOMINA!H399</f>
        <v>43678</v>
      </c>
      <c r="H401" s="984">
        <f t="shared" si="74"/>
        <v>3</v>
      </c>
      <c r="I401" s="985">
        <v>0</v>
      </c>
      <c r="J401" s="999">
        <f>+NOMINA!BL399</f>
        <v>10.69</v>
      </c>
      <c r="K401" s="999">
        <f>+NOMINA!BM399</f>
        <v>1.34</v>
      </c>
      <c r="L401" s="999">
        <f>+NOMINA!BN399</f>
        <v>2.9</v>
      </c>
      <c r="M401" s="999">
        <f>++NOMINA!BO399</f>
        <v>0</v>
      </c>
      <c r="N401" s="999">
        <f>+NOMINA!BP399</f>
        <v>0</v>
      </c>
      <c r="O401" s="986">
        <f t="shared" si="75"/>
        <v>14.93</v>
      </c>
      <c r="P401" s="999">
        <f>+NOMINA!BR399</f>
        <v>24.06</v>
      </c>
      <c r="Q401" s="999">
        <f>+NOMINA!BS399</f>
        <v>5.35</v>
      </c>
      <c r="R401" s="999">
        <f>+NOMINA!BT399</f>
        <v>5.8</v>
      </c>
      <c r="S401" s="986">
        <f t="shared" si="76"/>
        <v>35.21</v>
      </c>
      <c r="T401" s="986">
        <f t="shared" si="77"/>
        <v>50.14</v>
      </c>
      <c r="U401" s="1155"/>
      <c r="V401" s="1156"/>
      <c r="W401" s="1157"/>
      <c r="AA401" s="1115"/>
      <c r="AB401" s="1158"/>
      <c r="AC401" s="1115"/>
      <c r="AD401" s="1158"/>
      <c r="AE401" s="1147"/>
      <c r="AF401" s="1158"/>
      <c r="AG401" s="1159"/>
      <c r="AH401" s="1159"/>
      <c r="AI401" s="1159"/>
      <c r="AJ401" s="1158"/>
      <c r="AK401" s="1158"/>
      <c r="AL401" s="1158"/>
      <c r="AM401" s="1158"/>
      <c r="AN401" s="634"/>
    </row>
    <row r="402" spans="1:42" s="629" customFormat="1" ht="20.100000000000001" customHeight="1">
      <c r="A402" s="771">
        <f t="shared" si="78"/>
        <v>89</v>
      </c>
      <c r="B402" s="980">
        <f>+NOMINA!C400</f>
        <v>27470077</v>
      </c>
      <c r="C402" s="981" t="str">
        <f>+NOMINA!D400</f>
        <v>Gonzalez Castellanos Yusberly Yohandri</v>
      </c>
      <c r="D402" s="978" t="s">
        <v>4622</v>
      </c>
      <c r="E402" s="982">
        <v>32351</v>
      </c>
      <c r="F402" s="978" t="s">
        <v>4620</v>
      </c>
      <c r="G402" s="1004">
        <f>+NOMINA!H400</f>
        <v>44743</v>
      </c>
      <c r="H402" s="984">
        <f t="shared" si="74"/>
        <v>0</v>
      </c>
      <c r="I402" s="985">
        <v>0</v>
      </c>
      <c r="J402" s="999">
        <f>+NOMINA!BL400</f>
        <v>10.16</v>
      </c>
      <c r="K402" s="999">
        <f>+NOMINA!BM400</f>
        <v>1.27</v>
      </c>
      <c r="L402" s="999">
        <f>+NOMINA!BN400</f>
        <v>2.75</v>
      </c>
      <c r="M402" s="999">
        <f>++NOMINA!BO400</f>
        <v>0</v>
      </c>
      <c r="N402" s="999">
        <f>+NOMINA!BP400</f>
        <v>0</v>
      </c>
      <c r="O402" s="986">
        <f t="shared" si="75"/>
        <v>14.18</v>
      </c>
      <c r="P402" s="999">
        <f>+NOMINA!BR400</f>
        <v>22.85</v>
      </c>
      <c r="Q402" s="999">
        <f>+NOMINA!BS400</f>
        <v>5.08</v>
      </c>
      <c r="R402" s="999">
        <f>+NOMINA!BT400</f>
        <v>5.5</v>
      </c>
      <c r="S402" s="986">
        <f t="shared" si="76"/>
        <v>33.43</v>
      </c>
      <c r="T402" s="986">
        <f t="shared" si="77"/>
        <v>47.61</v>
      </c>
      <c r="U402" s="1155"/>
      <c r="V402" s="1156"/>
      <c r="W402" s="1157"/>
      <c r="AA402" s="1115"/>
      <c r="AB402" s="1158"/>
      <c r="AC402" s="1115"/>
      <c r="AD402" s="1158"/>
      <c r="AE402" s="1147"/>
      <c r="AF402" s="1158"/>
      <c r="AG402" s="1159"/>
      <c r="AH402" s="1159"/>
      <c r="AI402" s="1159"/>
      <c r="AJ402" s="1158"/>
      <c r="AK402" s="1158"/>
      <c r="AL402" s="1158"/>
      <c r="AM402" s="1158"/>
      <c r="AN402" s="634"/>
    </row>
    <row r="403" spans="1:42" s="629" customFormat="1" ht="20.100000000000001" customHeight="1">
      <c r="A403" s="771">
        <f t="shared" si="78"/>
        <v>90</v>
      </c>
      <c r="B403" s="980">
        <f>+NOMINA!C401</f>
        <v>29539270</v>
      </c>
      <c r="C403" s="981" t="str">
        <f>+NOMINA!D401</f>
        <v>Rojas Carrillo Laureano Augusto</v>
      </c>
      <c r="D403" s="978" t="s">
        <v>4622</v>
      </c>
      <c r="E403" s="982">
        <v>32351</v>
      </c>
      <c r="F403" s="978" t="s">
        <v>4620</v>
      </c>
      <c r="G403" s="1004">
        <f>+NOMINA!H401</f>
        <v>44287</v>
      </c>
      <c r="H403" s="984">
        <f t="shared" si="74"/>
        <v>1</v>
      </c>
      <c r="I403" s="985">
        <v>0</v>
      </c>
      <c r="J403" s="999">
        <f>+NOMINA!BL401</f>
        <v>10.58</v>
      </c>
      <c r="K403" s="999">
        <f>+NOMINA!BM401</f>
        <v>1.32</v>
      </c>
      <c r="L403" s="999">
        <f>+NOMINA!BN401</f>
        <v>2.87</v>
      </c>
      <c r="M403" s="999">
        <f>++NOMINA!BO401</f>
        <v>0</v>
      </c>
      <c r="N403" s="999">
        <f>+NOMINA!BP401</f>
        <v>0</v>
      </c>
      <c r="O403" s="986">
        <f t="shared" si="75"/>
        <v>14.77</v>
      </c>
      <c r="P403" s="999">
        <f>+NOMINA!BR401</f>
        <v>23.81</v>
      </c>
      <c r="Q403" s="999">
        <f>+NOMINA!BS401</f>
        <v>5.29</v>
      </c>
      <c r="R403" s="999">
        <f>+NOMINA!BT401</f>
        <v>5.74</v>
      </c>
      <c r="S403" s="986">
        <f t="shared" si="76"/>
        <v>34.840000000000003</v>
      </c>
      <c r="T403" s="986">
        <f t="shared" si="77"/>
        <v>49.61</v>
      </c>
      <c r="U403" s="1155"/>
      <c r="V403" s="1156"/>
      <c r="W403" s="1157"/>
      <c r="AA403" s="1115"/>
      <c r="AB403" s="1158"/>
      <c r="AC403" s="1115"/>
      <c r="AD403" s="1158"/>
      <c r="AE403" s="1147"/>
      <c r="AF403" s="1158"/>
      <c r="AG403" s="1159"/>
      <c r="AH403" s="1159"/>
      <c r="AI403" s="1159"/>
      <c r="AJ403" s="1158"/>
      <c r="AK403" s="1158"/>
      <c r="AL403" s="1158"/>
      <c r="AM403" s="1158"/>
      <c r="AN403" s="634"/>
    </row>
    <row r="404" spans="1:42" s="629" customFormat="1" ht="20.100000000000001" customHeight="1">
      <c r="A404" s="771">
        <f t="shared" si="78"/>
        <v>91</v>
      </c>
      <c r="B404" s="980">
        <f>+NOMINA!C402</f>
        <v>29994277</v>
      </c>
      <c r="C404" s="981" t="str">
        <f>+NOMINA!D402</f>
        <v>Quintero Rangel Jose Arsenio</v>
      </c>
      <c r="D404" s="978" t="s">
        <v>4622</v>
      </c>
      <c r="E404" s="982">
        <v>32351</v>
      </c>
      <c r="F404" s="978" t="s">
        <v>4620</v>
      </c>
      <c r="G404" s="1004">
        <f>+NOMINA!H402</f>
        <v>44562</v>
      </c>
      <c r="H404" s="984">
        <f t="shared" si="74"/>
        <v>0</v>
      </c>
      <c r="I404" s="985">
        <v>0</v>
      </c>
      <c r="J404" s="999">
        <f>+NOMINA!BL402</f>
        <v>10.58</v>
      </c>
      <c r="K404" s="999">
        <f>+NOMINA!BM402</f>
        <v>1.32</v>
      </c>
      <c r="L404" s="999">
        <f>+NOMINA!BN402</f>
        <v>2.87</v>
      </c>
      <c r="M404" s="999">
        <f>++NOMINA!BO402</f>
        <v>0</v>
      </c>
      <c r="N404" s="999">
        <f>+NOMINA!BP402</f>
        <v>0</v>
      </c>
      <c r="O404" s="986">
        <f t="shared" si="75"/>
        <v>14.77</v>
      </c>
      <c r="P404" s="999">
        <f>+NOMINA!BR402</f>
        <v>23.81</v>
      </c>
      <c r="Q404" s="999">
        <f>+NOMINA!BS402</f>
        <v>5.29</v>
      </c>
      <c r="R404" s="999">
        <f>+NOMINA!BT402</f>
        <v>5.74</v>
      </c>
      <c r="S404" s="986">
        <f t="shared" si="76"/>
        <v>34.840000000000003</v>
      </c>
      <c r="T404" s="986">
        <f t="shared" si="77"/>
        <v>49.61</v>
      </c>
      <c r="U404" s="1005"/>
      <c r="V404" s="443"/>
      <c r="W404" s="975"/>
      <c r="AA404" s="976"/>
      <c r="AB404" s="977"/>
      <c r="AC404" s="976"/>
      <c r="AD404" s="977"/>
      <c r="AE404" s="978"/>
      <c r="AF404" s="977"/>
      <c r="AG404" s="979"/>
      <c r="AH404" s="979"/>
      <c r="AI404" s="979"/>
      <c r="AJ404" s="977"/>
      <c r="AK404" s="977"/>
      <c r="AL404" s="977"/>
      <c r="AM404" s="977"/>
      <c r="AN404" s="634"/>
    </row>
    <row r="405" spans="1:42" s="629" customFormat="1" ht="20.100000000000001" customHeight="1" thickBot="1">
      <c r="A405" s="771">
        <f t="shared" si="78"/>
        <v>92</v>
      </c>
      <c r="B405" s="980">
        <f>+NOMINA!C403</f>
        <v>32084560</v>
      </c>
      <c r="C405" s="981" t="str">
        <f>+NOMINA!D403</f>
        <v>Hernandez Gomez Carmen Elena</v>
      </c>
      <c r="D405" s="978" t="s">
        <v>4622</v>
      </c>
      <c r="E405" s="982">
        <v>32351</v>
      </c>
      <c r="F405" s="978" t="s">
        <v>4620</v>
      </c>
      <c r="G405" s="1004">
        <f>+NOMINA!H403</f>
        <v>44348</v>
      </c>
      <c r="H405" s="984">
        <f t="shared" si="74"/>
        <v>1</v>
      </c>
      <c r="I405" s="985">
        <v>0</v>
      </c>
      <c r="J405" s="999">
        <f>+NOMINA!BL403</f>
        <v>11.3</v>
      </c>
      <c r="K405" s="999">
        <f>+NOMINA!BM403</f>
        <v>1.41</v>
      </c>
      <c r="L405" s="999">
        <f>+NOMINA!BN403</f>
        <v>3.06</v>
      </c>
      <c r="M405" s="999">
        <f>++NOMINA!BO403</f>
        <v>0</v>
      </c>
      <c r="N405" s="999">
        <f>+NOMINA!BP403</f>
        <v>0</v>
      </c>
      <c r="O405" s="986">
        <f t="shared" si="75"/>
        <v>15.77</v>
      </c>
      <c r="P405" s="999">
        <f>+NOMINA!BR403</f>
        <v>25.43</v>
      </c>
      <c r="Q405" s="999">
        <f>+NOMINA!BS403</f>
        <v>5.65</v>
      </c>
      <c r="R405" s="999">
        <f>+NOMINA!BT403</f>
        <v>6.12</v>
      </c>
      <c r="S405" s="986">
        <f t="shared" si="76"/>
        <v>37.200000000000003</v>
      </c>
      <c r="T405" s="986">
        <f t="shared" si="77"/>
        <v>52.97</v>
      </c>
      <c r="U405" s="1005">
        <v>0</v>
      </c>
      <c r="V405" s="443" t="e">
        <f>#REF!+#REF!-O405</f>
        <v>#REF!</v>
      </c>
      <c r="W405" s="975" t="e">
        <f>ROUND((#REF!+#REF!+#REF!+#REF!+#REF!+#REF!+#REF!+#REF!+#REF!),2)</f>
        <v>#REF!</v>
      </c>
      <c r="AA405" s="976" t="e">
        <f>#REF!+#REF!-O405</f>
        <v>#REF!</v>
      </c>
      <c r="AB405" s="977" t="e">
        <f>#REF!</f>
        <v>#REF!</v>
      </c>
      <c r="AC405" s="976" t="e">
        <f>#REF!+#REF!</f>
        <v>#REF!</v>
      </c>
      <c r="AD405" s="977" t="e">
        <f>#REF!</f>
        <v>#REF!</v>
      </c>
      <c r="AE405" s="978">
        <v>0</v>
      </c>
      <c r="AF405" s="977" t="e">
        <f>#REF!</f>
        <v>#REF!</v>
      </c>
      <c r="AG405" s="979" t="e">
        <f>#REF!+#REF!</f>
        <v>#REF!</v>
      </c>
      <c r="AH405" s="979" t="e">
        <f>#REF!+#REF!</f>
        <v>#REF!</v>
      </c>
      <c r="AI405" s="979"/>
      <c r="AJ405" s="977" t="e">
        <f>#REF!</f>
        <v>#REF!</v>
      </c>
      <c r="AK405" s="977" t="e">
        <f t="shared" si="70"/>
        <v>#REF!</v>
      </c>
      <c r="AL405" s="977">
        <f t="shared" si="71"/>
        <v>52.97</v>
      </c>
      <c r="AM405" s="977">
        <f t="shared" si="72"/>
        <v>0</v>
      </c>
      <c r="AN405" s="634"/>
    </row>
    <row r="406" spans="1:42" s="629" customFormat="1" ht="18.95" customHeight="1" thickBot="1">
      <c r="A406" s="676"/>
      <c r="B406" s="1125" t="s">
        <v>4493</v>
      </c>
      <c r="C406" s="1104"/>
      <c r="D406" s="1104"/>
      <c r="E406" s="1104"/>
      <c r="F406" s="1104"/>
      <c r="G406" s="1104"/>
      <c r="H406" s="1104"/>
      <c r="I406" s="1107"/>
      <c r="J406" s="679">
        <f t="shared" ref="J406:W406" si="79">SUM(J314:J405)</f>
        <v>1064.02</v>
      </c>
      <c r="K406" s="679">
        <f t="shared" si="79"/>
        <v>133.03000000000003</v>
      </c>
      <c r="L406" s="679">
        <f t="shared" si="79"/>
        <v>294.74</v>
      </c>
      <c r="M406" s="679">
        <f t="shared" si="79"/>
        <v>1.52</v>
      </c>
      <c r="N406" s="679">
        <f t="shared" si="79"/>
        <v>0.76</v>
      </c>
      <c r="O406" s="679">
        <f t="shared" si="79"/>
        <v>1494.0699999999997</v>
      </c>
      <c r="P406" s="679">
        <f t="shared" si="79"/>
        <v>2394.12</v>
      </c>
      <c r="Q406" s="679">
        <f t="shared" si="79"/>
        <v>531.96</v>
      </c>
      <c r="R406" s="679">
        <f t="shared" si="79"/>
        <v>589.48</v>
      </c>
      <c r="S406" s="679">
        <f t="shared" si="79"/>
        <v>3515.5600000000009</v>
      </c>
      <c r="T406" s="679">
        <f t="shared" si="79"/>
        <v>5009.6299999999992</v>
      </c>
      <c r="U406" s="679">
        <f t="shared" si="79"/>
        <v>0</v>
      </c>
      <c r="V406" s="680" t="e">
        <f t="shared" si="79"/>
        <v>#REF!</v>
      </c>
      <c r="W406" s="709" t="e">
        <f t="shared" si="79"/>
        <v>#REF!</v>
      </c>
      <c r="X406" s="697"/>
      <c r="Y406" s="697"/>
      <c r="Z406" s="697"/>
      <c r="AA406" s="977" t="e">
        <f t="shared" ref="AA406:AM406" si="80">SUM(AA314:AA405)</f>
        <v>#REF!</v>
      </c>
      <c r="AB406" s="977" t="e">
        <f t="shared" si="80"/>
        <v>#REF!</v>
      </c>
      <c r="AC406" s="977" t="e">
        <f t="shared" si="80"/>
        <v>#REF!</v>
      </c>
      <c r="AD406" s="977" t="e">
        <f t="shared" si="80"/>
        <v>#REF!</v>
      </c>
      <c r="AE406" s="977">
        <f t="shared" si="80"/>
        <v>0</v>
      </c>
      <c r="AF406" s="977" t="e">
        <f t="shared" si="80"/>
        <v>#REF!</v>
      </c>
      <c r="AG406" s="977" t="e">
        <f t="shared" si="80"/>
        <v>#REF!</v>
      </c>
      <c r="AH406" s="977" t="e">
        <f t="shared" si="80"/>
        <v>#REF!</v>
      </c>
      <c r="AI406" s="977">
        <f t="shared" si="80"/>
        <v>0</v>
      </c>
      <c r="AJ406" s="977" t="e">
        <f t="shared" si="80"/>
        <v>#REF!</v>
      </c>
      <c r="AK406" s="977" t="e">
        <f t="shared" si="80"/>
        <v>#REF!</v>
      </c>
      <c r="AL406" s="977">
        <f t="shared" si="80"/>
        <v>4611.57</v>
      </c>
      <c r="AM406" s="977">
        <f t="shared" si="80"/>
        <v>0</v>
      </c>
      <c r="AN406" s="634"/>
      <c r="AO406" s="634">
        <f>+NOMINA!BW395</f>
        <v>52.97</v>
      </c>
      <c r="AP406" s="634">
        <f>+T406-AO406</f>
        <v>4956.6599999999989</v>
      </c>
    </row>
    <row r="407" spans="1:42" s="629" customFormat="1" ht="18.95" customHeight="1">
      <c r="A407" s="628"/>
      <c r="C407" s="631"/>
      <c r="E407" s="631"/>
      <c r="F407" s="941"/>
      <c r="G407" s="847"/>
      <c r="J407" s="628"/>
      <c r="K407" s="628"/>
      <c r="L407" s="628"/>
      <c r="M407" s="628"/>
      <c r="N407" s="628"/>
      <c r="O407" s="628"/>
      <c r="P407" s="633"/>
      <c r="Q407" s="633"/>
      <c r="R407" s="633"/>
      <c r="S407" s="633"/>
      <c r="T407" s="628"/>
      <c r="U407" s="628"/>
      <c r="AA407" s="976"/>
      <c r="AN407" s="634"/>
    </row>
    <row r="408" spans="1:42" s="629" customFormat="1" ht="18.95" customHeight="1" thickBot="1">
      <c r="A408" s="628"/>
      <c r="C408" s="631"/>
      <c r="E408" s="631"/>
      <c r="F408" s="941"/>
      <c r="G408" s="847"/>
      <c r="J408" s="628"/>
      <c r="K408" s="628"/>
      <c r="L408" s="628"/>
      <c r="M408" s="628"/>
      <c r="N408" s="628"/>
      <c r="O408" s="628"/>
      <c r="P408" s="628"/>
      <c r="Q408" s="628"/>
      <c r="R408" s="628"/>
      <c r="S408" s="628"/>
      <c r="T408" s="628"/>
      <c r="U408" s="628"/>
      <c r="AA408" s="976"/>
      <c r="AN408" s="634"/>
    </row>
    <row r="409" spans="1:42" s="711" customFormat="1" ht="18.95" customHeight="1" thickBot="1">
      <c r="A409" s="712">
        <f>+A405+A310+A40+A14</f>
        <v>385</v>
      </c>
      <c r="B409" s="713"/>
      <c r="C409" s="714"/>
      <c r="D409" s="715"/>
      <c r="E409" s="714"/>
      <c r="F409" s="715"/>
      <c r="G409" s="848" t="s">
        <v>2875</v>
      </c>
      <c r="H409" s="715"/>
      <c r="I409" s="715"/>
      <c r="J409" s="717">
        <f t="shared" ref="J409:W409" si="81">J15+J41+J311+J406</f>
        <v>5996.6699999999964</v>
      </c>
      <c r="K409" s="717">
        <f t="shared" si="81"/>
        <v>749.68000000000029</v>
      </c>
      <c r="L409" s="717">
        <f t="shared" si="81"/>
        <v>1640.5500000000009</v>
      </c>
      <c r="M409" s="717">
        <f t="shared" si="81"/>
        <v>1.52</v>
      </c>
      <c r="N409" s="717">
        <f t="shared" si="81"/>
        <v>4.1899999999999995</v>
      </c>
      <c r="O409" s="717">
        <f t="shared" si="81"/>
        <v>8392.6100000000024</v>
      </c>
      <c r="P409" s="717">
        <f t="shared" si="81"/>
        <v>13492.489999999994</v>
      </c>
      <c r="Q409" s="717">
        <f t="shared" si="81"/>
        <v>2998.23</v>
      </c>
      <c r="R409" s="717">
        <f t="shared" si="81"/>
        <v>3281.1000000000017</v>
      </c>
      <c r="S409" s="717">
        <f t="shared" si="81"/>
        <v>19771.820000000007</v>
      </c>
      <c r="T409" s="717">
        <f t="shared" si="81"/>
        <v>28164.43</v>
      </c>
      <c r="U409" s="717">
        <f t="shared" si="81"/>
        <v>0</v>
      </c>
      <c r="V409" s="717" t="e">
        <f t="shared" si="81"/>
        <v>#REF!</v>
      </c>
      <c r="W409" s="717" t="e">
        <f t="shared" si="81"/>
        <v>#REF!</v>
      </c>
      <c r="X409" s="718"/>
      <c r="Y409" s="718"/>
      <c r="Z409" s="718"/>
      <c r="AA409" s="989" t="e">
        <f t="shared" ref="AA409:AH409" si="82">AA406+AA311+AA41</f>
        <v>#REF!</v>
      </c>
      <c r="AB409" s="990" t="e">
        <f t="shared" si="82"/>
        <v>#REF!</v>
      </c>
      <c r="AC409" s="989" t="e">
        <f t="shared" si="82"/>
        <v>#REF!</v>
      </c>
      <c r="AD409" s="989" t="e">
        <f t="shared" si="82"/>
        <v>#REF!</v>
      </c>
      <c r="AE409" s="989">
        <f t="shared" si="82"/>
        <v>0</v>
      </c>
      <c r="AF409" s="989" t="e">
        <f t="shared" si="82"/>
        <v>#REF!</v>
      </c>
      <c r="AG409" s="989" t="e">
        <f t="shared" si="82"/>
        <v>#REF!</v>
      </c>
      <c r="AH409" s="989" t="e">
        <f t="shared" si="82"/>
        <v>#REF!</v>
      </c>
      <c r="AI409" s="989"/>
      <c r="AJ409" s="989" t="e">
        <f>AJ406+AJ311+AJ41</f>
        <v>#REF!</v>
      </c>
      <c r="AK409" s="989" t="e">
        <f>AK406+AK311+AK41</f>
        <v>#REF!</v>
      </c>
      <c r="AL409" s="989">
        <f>AL406+AL311+AL41</f>
        <v>25630.67</v>
      </c>
      <c r="AM409" s="989">
        <f>AM406+AM311+AM41</f>
        <v>0</v>
      </c>
      <c r="AO409" s="634">
        <f>+NOMINA!BW399</f>
        <v>50.14</v>
      </c>
      <c r="AP409" s="634">
        <f>+T409-AO409</f>
        <v>28114.29</v>
      </c>
    </row>
    <row r="410" spans="1:42" s="629" customFormat="1" ht="21.75" customHeight="1">
      <c r="A410" s="628"/>
      <c r="C410" s="631"/>
      <c r="E410" s="631"/>
      <c r="F410" s="941"/>
      <c r="G410" s="830"/>
      <c r="H410" s="941"/>
      <c r="I410" s="941"/>
      <c r="J410" s="633"/>
      <c r="K410" s="633"/>
      <c r="L410" s="633"/>
      <c r="M410" s="633"/>
      <c r="N410" s="633"/>
      <c r="O410" s="633"/>
      <c r="P410" s="633"/>
      <c r="Q410" s="633"/>
      <c r="R410" s="633"/>
      <c r="S410" s="633"/>
      <c r="T410" s="633"/>
      <c r="U410" s="633"/>
      <c r="V410" s="634"/>
      <c r="W410" s="634"/>
      <c r="X410" s="634"/>
      <c r="Y410" s="634"/>
      <c r="Z410" s="634"/>
      <c r="AA410" s="634"/>
      <c r="AB410" s="634"/>
      <c r="AC410" s="634"/>
      <c r="AD410" s="634"/>
      <c r="AE410" s="634"/>
      <c r="AF410" s="634"/>
      <c r="AG410" s="1729" t="e">
        <f>AG409+AH409</f>
        <v>#REF!</v>
      </c>
      <c r="AH410" s="1730"/>
      <c r="AI410" s="719"/>
      <c r="AJ410" s="634"/>
      <c r="AK410" s="634"/>
      <c r="AL410" s="634"/>
      <c r="AM410" s="634"/>
      <c r="AN410" s="634"/>
      <c r="AP410" s="634"/>
    </row>
    <row r="411" spans="1:42" s="629" customFormat="1">
      <c r="A411" s="720" t="s">
        <v>4664</v>
      </c>
      <c r="B411" s="721"/>
      <c r="C411" s="722"/>
      <c r="E411" s="631"/>
      <c r="F411" s="941"/>
      <c r="G411" s="847"/>
      <c r="J411" s="628"/>
      <c r="K411" s="628"/>
      <c r="L411" s="628"/>
      <c r="M411" s="628"/>
      <c r="N411" s="628"/>
      <c r="O411" s="628"/>
      <c r="P411" s="633"/>
      <c r="Q411" s="633"/>
      <c r="R411" s="633"/>
      <c r="S411" s="633"/>
      <c r="T411" s="633"/>
      <c r="U411" s="633"/>
      <c r="V411" s="634"/>
      <c r="W411" s="634"/>
      <c r="X411" s="634"/>
      <c r="Y411" s="634"/>
      <c r="Z411" s="634"/>
      <c r="AA411" s="634"/>
      <c r="AB411" s="634"/>
      <c r="AC411" s="634"/>
      <c r="AD411" s="634"/>
      <c r="AE411" s="634"/>
      <c r="AF411" s="634"/>
      <c r="AG411" s="634"/>
      <c r="AH411" s="634"/>
      <c r="AI411" s="634"/>
      <c r="AJ411" s="634"/>
      <c r="AK411" s="634"/>
      <c r="AL411" s="634"/>
      <c r="AM411" s="634"/>
      <c r="AN411" s="634"/>
      <c r="AP411" s="634"/>
    </row>
    <row r="412" spans="1:42" s="629" customFormat="1">
      <c r="A412" s="720" t="s">
        <v>4665</v>
      </c>
      <c r="B412" s="721"/>
      <c r="C412" s="722"/>
      <c r="E412" s="631"/>
      <c r="F412" s="941"/>
      <c r="G412" s="830"/>
      <c r="H412" s="941"/>
      <c r="I412" s="941"/>
      <c r="J412" s="628"/>
      <c r="K412" s="628"/>
      <c r="L412" s="628"/>
      <c r="M412" s="628"/>
      <c r="N412" s="628"/>
      <c r="O412" s="628"/>
      <c r="P412" s="633"/>
      <c r="Q412" s="633"/>
      <c r="R412" s="633"/>
      <c r="S412" s="633"/>
      <c r="T412" s="633"/>
      <c r="U412" s="633"/>
      <c r="V412" s="634"/>
      <c r="W412" s="634"/>
      <c r="X412" s="634"/>
      <c r="Y412" s="634"/>
      <c r="Z412" s="634"/>
      <c r="AA412" s="634"/>
      <c r="AB412" s="634"/>
      <c r="AC412" s="634"/>
      <c r="AD412" s="634"/>
      <c r="AE412" s="634"/>
      <c r="AF412" s="634"/>
      <c r="AG412" s="634"/>
      <c r="AH412" s="634"/>
      <c r="AI412" s="634"/>
      <c r="AJ412" s="634"/>
      <c r="AK412" s="634"/>
      <c r="AL412" s="634"/>
      <c r="AM412" s="634"/>
      <c r="AN412" s="634"/>
      <c r="AP412" s="634"/>
    </row>
    <row r="413" spans="1:42" s="629" customFormat="1">
      <c r="A413" s="628"/>
      <c r="C413" s="631"/>
      <c r="E413" s="631"/>
      <c r="F413" s="941"/>
      <c r="G413" s="830"/>
      <c r="H413" s="941"/>
      <c r="I413" s="941"/>
      <c r="J413" s="633"/>
      <c r="K413" s="633"/>
      <c r="L413" s="633"/>
      <c r="M413" s="633"/>
      <c r="N413" s="633"/>
      <c r="O413" s="628"/>
      <c r="P413" s="633"/>
      <c r="Q413" s="633"/>
      <c r="R413" s="633"/>
      <c r="S413" s="633"/>
      <c r="T413" s="633"/>
      <c r="U413" s="633"/>
      <c r="V413" s="634"/>
      <c r="W413" s="634"/>
      <c r="X413" s="634"/>
      <c r="Y413" s="634"/>
      <c r="Z413" s="634"/>
      <c r="AA413" s="634"/>
      <c r="AB413" s="634"/>
      <c r="AC413" s="634"/>
      <c r="AD413" s="634"/>
      <c r="AE413" s="634"/>
      <c r="AF413" s="634"/>
      <c r="AG413" s="634"/>
      <c r="AH413" s="634"/>
      <c r="AI413" s="634"/>
      <c r="AJ413" s="634"/>
      <c r="AK413" s="634"/>
      <c r="AL413" s="634"/>
      <c r="AM413" s="634"/>
      <c r="AN413" s="634"/>
      <c r="AP413" s="634"/>
    </row>
    <row r="414" spans="1:42" s="629" customFormat="1">
      <c r="A414" s="628"/>
      <c r="C414" s="631"/>
      <c r="E414" s="631"/>
      <c r="F414" s="941"/>
      <c r="G414" s="830"/>
      <c r="H414" s="941"/>
      <c r="I414" s="941"/>
      <c r="J414" s="633"/>
      <c r="K414" s="633"/>
      <c r="L414" s="633"/>
      <c r="M414" s="633"/>
      <c r="N414" s="633"/>
      <c r="O414" s="628"/>
      <c r="P414" s="633"/>
      <c r="Q414" s="633"/>
      <c r="R414" s="633"/>
      <c r="S414" s="633"/>
      <c r="T414" s="633"/>
      <c r="U414" s="633"/>
      <c r="V414" s="634"/>
      <c r="W414" s="634"/>
      <c r="X414" s="634"/>
      <c r="Y414" s="634"/>
      <c r="Z414" s="634"/>
      <c r="AA414" s="634"/>
      <c r="AB414" s="634"/>
      <c r="AC414" s="634"/>
      <c r="AD414" s="634"/>
      <c r="AE414" s="634"/>
      <c r="AF414" s="634"/>
      <c r="AG414" s="634"/>
      <c r="AH414" s="634"/>
      <c r="AI414" s="634"/>
      <c r="AJ414" s="634"/>
      <c r="AK414" s="634"/>
      <c r="AL414" s="634"/>
      <c r="AM414" s="634"/>
      <c r="AN414" s="634"/>
      <c r="AP414" s="634"/>
    </row>
    <row r="415" spans="1:42" s="629" customFormat="1">
      <c r="A415" s="628"/>
      <c r="C415" s="631"/>
      <c r="E415" s="631"/>
      <c r="F415" s="941"/>
      <c r="G415" s="830"/>
      <c r="H415" s="941"/>
      <c r="I415" s="941"/>
      <c r="J415" s="628"/>
      <c r="K415" s="628"/>
      <c r="L415" s="628"/>
      <c r="M415" s="628"/>
      <c r="N415" s="628"/>
      <c r="O415" s="628"/>
      <c r="P415" s="633"/>
      <c r="Q415" s="633"/>
      <c r="R415" s="633"/>
      <c r="S415" s="633"/>
      <c r="T415" s="633"/>
      <c r="U415" s="633"/>
      <c r="V415" s="634"/>
      <c r="W415" s="634"/>
      <c r="X415" s="634"/>
      <c r="Y415" s="634"/>
      <c r="Z415" s="634"/>
      <c r="AA415" s="634"/>
      <c r="AB415" s="634"/>
      <c r="AC415" s="634"/>
      <c r="AD415" s="634"/>
      <c r="AE415" s="634"/>
      <c r="AF415" s="634"/>
      <c r="AG415" s="634"/>
      <c r="AH415" s="634"/>
      <c r="AI415" s="634"/>
      <c r="AJ415" s="634"/>
      <c r="AK415" s="634"/>
      <c r="AL415" s="634"/>
      <c r="AM415" s="634"/>
      <c r="AN415" s="634"/>
      <c r="AP415" s="634"/>
    </row>
    <row r="416" spans="1:42" s="629" customFormat="1">
      <c r="B416" s="723"/>
      <c r="C416" s="735" t="s">
        <v>5860</v>
      </c>
      <c r="D416" s="725"/>
      <c r="E416" s="725"/>
      <c r="F416" s="725"/>
      <c r="G416" s="847"/>
      <c r="H416" s="724"/>
      <c r="J416" s="628"/>
      <c r="K416" s="628"/>
      <c r="L416" s="628"/>
      <c r="M416" s="726" t="s">
        <v>5861</v>
      </c>
      <c r="N416" s="628"/>
      <c r="O416" s="628"/>
      <c r="P416" s="633"/>
      <c r="Q416" s="633"/>
      <c r="R416" s="724" t="s">
        <v>5862</v>
      </c>
      <c r="S416" s="633"/>
      <c r="T416" s="633"/>
      <c r="U416" s="633"/>
      <c r="V416" s="634"/>
      <c r="W416" s="634"/>
      <c r="X416" s="634"/>
      <c r="Y416" s="634"/>
      <c r="Z416" s="634"/>
      <c r="AA416" s="634"/>
      <c r="AB416" s="634"/>
      <c r="AC416" s="634"/>
      <c r="AD416" s="634"/>
      <c r="AE416" s="634"/>
      <c r="AF416" s="634"/>
      <c r="AG416" s="634"/>
      <c r="AH416" s="634"/>
      <c r="AI416" s="634"/>
      <c r="AJ416" s="634"/>
      <c r="AK416" s="634"/>
      <c r="AL416" s="634"/>
      <c r="AM416" s="634"/>
      <c r="AN416" s="634"/>
      <c r="AP416" s="634"/>
    </row>
    <row r="417" spans="1:42" s="629" customFormat="1">
      <c r="A417" s="723"/>
      <c r="B417" s="723"/>
      <c r="C417" s="727"/>
      <c r="D417" s="725"/>
      <c r="E417" s="725"/>
      <c r="F417" s="725"/>
      <c r="G417" s="847"/>
      <c r="H417" s="723"/>
      <c r="J417" s="628"/>
      <c r="K417" s="628"/>
      <c r="L417" s="628"/>
      <c r="M417" s="728"/>
      <c r="N417" s="628"/>
      <c r="O417" s="628"/>
      <c r="P417" s="633"/>
      <c r="Q417" s="633"/>
      <c r="R417" s="729"/>
      <c r="S417" s="633"/>
      <c r="T417" s="633"/>
      <c r="U417" s="633"/>
      <c r="V417" s="634"/>
      <c r="W417" s="634"/>
      <c r="X417" s="634"/>
      <c r="Y417" s="634"/>
      <c r="Z417" s="634"/>
      <c r="AA417" s="634"/>
      <c r="AB417" s="634"/>
      <c r="AC417" s="634"/>
      <c r="AD417" s="634"/>
      <c r="AE417" s="634"/>
      <c r="AF417" s="634"/>
      <c r="AG417" s="634"/>
      <c r="AH417" s="634"/>
      <c r="AI417" s="634"/>
      <c r="AJ417" s="634"/>
      <c r="AK417" s="634"/>
      <c r="AL417" s="634"/>
      <c r="AM417" s="634"/>
      <c r="AN417" s="634"/>
      <c r="AP417" s="634"/>
    </row>
    <row r="418" spans="1:42" s="629" customFormat="1">
      <c r="A418" s="730"/>
      <c r="B418" s="731"/>
      <c r="C418" s="732"/>
      <c r="D418" s="733"/>
      <c r="E418" s="733"/>
      <c r="F418" s="733"/>
      <c r="G418" s="847"/>
      <c r="H418" s="730"/>
      <c r="J418" s="628"/>
      <c r="K418" s="628"/>
      <c r="L418" s="628"/>
      <c r="M418" s="731"/>
      <c r="N418" s="628"/>
      <c r="O418" s="628"/>
      <c r="P418" s="633"/>
      <c r="Q418" s="633"/>
      <c r="R418" s="724"/>
      <c r="S418" s="633"/>
      <c r="T418" s="633"/>
      <c r="U418" s="633"/>
      <c r="V418" s="634"/>
      <c r="W418" s="634"/>
      <c r="X418" s="634"/>
      <c r="Y418" s="634"/>
      <c r="Z418" s="634"/>
      <c r="AA418" s="634"/>
      <c r="AB418" s="634"/>
      <c r="AC418" s="634"/>
      <c r="AD418" s="634"/>
      <c r="AE418" s="634"/>
      <c r="AF418" s="634"/>
      <c r="AG418" s="634"/>
      <c r="AH418" s="634"/>
      <c r="AI418" s="634"/>
      <c r="AJ418" s="634"/>
      <c r="AK418" s="634"/>
      <c r="AL418" s="634"/>
      <c r="AM418" s="634"/>
      <c r="AN418" s="634"/>
      <c r="AP418" s="634"/>
    </row>
    <row r="419" spans="1:42" s="629" customFormat="1">
      <c r="A419" s="734" t="s">
        <v>6879</v>
      </c>
      <c r="B419" s="735"/>
      <c r="C419" s="733"/>
      <c r="D419" s="733"/>
      <c r="E419" s="733"/>
      <c r="F419" s="733"/>
      <c r="G419" s="734" t="s">
        <v>6152</v>
      </c>
      <c r="H419" s="734"/>
      <c r="J419" s="628"/>
      <c r="K419" s="628"/>
      <c r="L419" s="628"/>
      <c r="M419" s="736" t="s">
        <v>5863</v>
      </c>
      <c r="N419" s="628"/>
      <c r="O419" s="628"/>
      <c r="P419" s="633"/>
      <c r="Q419" s="633"/>
      <c r="R419" s="724" t="s">
        <v>5874</v>
      </c>
      <c r="S419" s="633"/>
      <c r="T419" s="633"/>
      <c r="U419" s="633"/>
      <c r="V419" s="634"/>
      <c r="W419" s="634"/>
      <c r="X419" s="634"/>
      <c r="Y419" s="634"/>
      <c r="Z419" s="634"/>
      <c r="AA419" s="634"/>
      <c r="AB419" s="634"/>
      <c r="AC419" s="634"/>
      <c r="AD419" s="634"/>
      <c r="AE419" s="634"/>
      <c r="AF419" s="634"/>
      <c r="AG419" s="634"/>
      <c r="AH419" s="634"/>
      <c r="AI419" s="634"/>
      <c r="AJ419" s="634"/>
      <c r="AK419" s="634"/>
      <c r="AL419" s="634"/>
      <c r="AM419" s="634"/>
      <c r="AN419" s="634"/>
      <c r="AP419" s="634"/>
    </row>
    <row r="420" spans="1:42" s="629" customFormat="1">
      <c r="A420" s="734" t="s">
        <v>6880</v>
      </c>
      <c r="B420" s="735"/>
      <c r="C420" s="733"/>
      <c r="D420" s="733"/>
      <c r="E420" s="733"/>
      <c r="F420" s="733"/>
      <c r="G420" s="734" t="s">
        <v>6153</v>
      </c>
      <c r="H420" s="734"/>
      <c r="J420" s="628"/>
      <c r="K420" s="628"/>
      <c r="L420" s="628"/>
      <c r="M420" s="736" t="s">
        <v>5865</v>
      </c>
      <c r="N420" s="628"/>
      <c r="O420" s="628"/>
      <c r="P420" s="633"/>
      <c r="Q420" s="633"/>
      <c r="R420" s="734" t="s">
        <v>5866</v>
      </c>
      <c r="S420" s="633"/>
      <c r="T420" s="633"/>
      <c r="U420" s="633"/>
      <c r="V420" s="634"/>
      <c r="W420" s="634"/>
      <c r="X420" s="634"/>
      <c r="Y420" s="634"/>
      <c r="Z420" s="634"/>
      <c r="AA420" s="634"/>
      <c r="AB420" s="634"/>
      <c r="AC420" s="634"/>
      <c r="AD420" s="634"/>
      <c r="AE420" s="634"/>
      <c r="AF420" s="634"/>
      <c r="AG420" s="634"/>
      <c r="AH420" s="634"/>
      <c r="AI420" s="634"/>
      <c r="AJ420" s="634"/>
      <c r="AK420" s="634"/>
      <c r="AL420" s="634"/>
      <c r="AM420" s="634"/>
      <c r="AN420" s="634"/>
      <c r="AP420" s="634"/>
    </row>
    <row r="421" spans="1:42" s="629" customFormat="1">
      <c r="A421" s="734" t="s">
        <v>5244</v>
      </c>
      <c r="B421" s="735"/>
      <c r="C421" s="733"/>
      <c r="D421" s="733"/>
      <c r="E421" s="733"/>
      <c r="F421" s="733"/>
      <c r="G421" s="734" t="s">
        <v>5265</v>
      </c>
      <c r="H421" s="734"/>
      <c r="J421" s="628"/>
      <c r="K421" s="628"/>
      <c r="L421" s="628"/>
      <c r="M421" s="736" t="s">
        <v>5867</v>
      </c>
      <c r="N421" s="628"/>
      <c r="O421" s="628"/>
      <c r="P421" s="633"/>
      <c r="Q421" s="633"/>
      <c r="R421" s="724" t="s">
        <v>5868</v>
      </c>
      <c r="S421" s="633"/>
      <c r="T421" s="633"/>
      <c r="U421" s="633"/>
      <c r="V421" s="634"/>
      <c r="W421" s="634"/>
      <c r="X421" s="634"/>
      <c r="Y421" s="634"/>
      <c r="Z421" s="634"/>
      <c r="AA421" s="634"/>
      <c r="AB421" s="634"/>
      <c r="AC421" s="634"/>
      <c r="AD421" s="634"/>
      <c r="AE421" s="634"/>
      <c r="AF421" s="634"/>
      <c r="AG421" s="634"/>
      <c r="AH421" s="634"/>
      <c r="AI421" s="634"/>
      <c r="AJ421" s="634"/>
      <c r="AK421" s="634"/>
      <c r="AL421" s="634"/>
      <c r="AM421" s="634"/>
      <c r="AN421" s="634"/>
      <c r="AP421" s="634"/>
    </row>
  </sheetData>
  <sheetProtection formatCells="0" formatColumns="0" formatRows="0" insertColumns="0" insertRows="0" deleteColumns="0" deleteRows="0" sort="0" autoFilter="0"/>
  <dataConsolidate/>
  <mergeCells count="5">
    <mergeCell ref="B9:G9"/>
    <mergeCell ref="AA9:AF9"/>
    <mergeCell ref="J10:N10"/>
    <mergeCell ref="AK10:AL10"/>
    <mergeCell ref="AG410:AH410"/>
  </mergeCells>
  <dataValidations disablePrompts="1" count="3">
    <dataValidation type="list" allowBlank="1" showInputMessage="1" showErrorMessage="1" sqref="U314:U405 U16:U40 U13:U14 U44:U310">
      <formula1>CESTAT</formula1>
    </dataValidation>
    <dataValidation type="list" allowBlank="1" showInputMessage="1" showErrorMessage="1" sqref="D44:D310 D13:D40 D314:D405">
      <formula1>NAC</formula1>
    </dataValidation>
    <dataValidation type="list" allowBlank="1" showInputMessage="1" showErrorMessage="1" sqref="F44:F310 F13:F40 F314:F405">
      <formula1>GEN</formula1>
    </dataValidation>
  </dataValidations>
  <pageMargins left="0.98425196850393704" right="0" top="0.39370078740157483" bottom="0.39370078740157483" header="0.31496062992125984" footer="0.31496062992125984"/>
  <pageSetup paperSize="14" scale="5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2">
    <tabColor rgb="FFFF0000"/>
  </sheetPr>
  <dimension ref="A1:AB447"/>
  <sheetViews>
    <sheetView view="pageBreakPreview" topLeftCell="B11" zoomScale="80" zoomScaleNormal="60" zoomScaleSheetLayoutView="80" workbookViewId="0">
      <pane ySplit="1500" activePane="bottomLeft"/>
      <selection activeCell="AA11" sqref="AA1:AA1048576"/>
      <selection pane="bottomLeft" activeCell="C14" sqref="C14"/>
    </sheetView>
  </sheetViews>
  <sheetFormatPr baseColWidth="10" defaultRowHeight="15"/>
  <cols>
    <col min="1" max="1" width="16.5703125" style="603" hidden="1" customWidth="1"/>
    <col min="2" max="2" width="7.5703125" style="263" customWidth="1"/>
    <col min="3" max="3" width="14.85546875" style="265" customWidth="1"/>
    <col min="4" max="4" width="43.85546875" style="737" customWidth="1"/>
    <col min="5" max="5" width="13.42578125" style="265" hidden="1" customWidth="1"/>
    <col min="6" max="6" width="17" style="737" hidden="1" customWidth="1"/>
    <col min="7" max="7" width="8.7109375" style="603" hidden="1" customWidth="1"/>
    <col min="8" max="8" width="15.140625" style="738" customWidth="1"/>
    <col min="9" max="9" width="9" style="603" hidden="1" customWidth="1"/>
    <col min="10" max="10" width="11.5703125" style="603" customWidth="1"/>
    <col min="11" max="11" width="10.140625" style="603" hidden="1" customWidth="1"/>
    <col min="12" max="12" width="21.42578125" style="603" hidden="1" customWidth="1"/>
    <col min="13" max="13" width="14.140625" style="603" hidden="1" customWidth="1"/>
    <col min="14" max="14" width="39.7109375" style="265" customWidth="1"/>
    <col min="15" max="15" width="13.7109375" style="263" customWidth="1"/>
    <col min="16" max="16" width="14.28515625" style="739" customWidth="1"/>
    <col min="17" max="17" width="14.42578125" style="739" customWidth="1"/>
    <col min="18" max="18" width="11.28515625" style="739" customWidth="1"/>
    <col min="19" max="19" width="12.42578125" style="739" customWidth="1"/>
    <col min="20" max="20" width="13" style="739" hidden="1" customWidth="1"/>
    <col min="21" max="22" width="10.5703125" style="263" customWidth="1"/>
    <col min="23" max="23" width="11" style="263" customWidth="1"/>
    <col min="24" max="24" width="12" style="263" customWidth="1"/>
    <col min="25" max="25" width="12.42578125" style="263" customWidth="1"/>
    <col min="26" max="26" width="13.85546875" style="263" hidden="1" customWidth="1"/>
    <col min="27" max="27" width="12.5703125" style="263" hidden="1" customWidth="1"/>
    <col min="28" max="28" width="14.7109375" style="740" customWidth="1"/>
    <col min="29" max="16384" width="11.42578125" style="265"/>
  </cols>
  <sheetData>
    <row r="1" spans="1:28" s="629" customFormat="1" ht="22.5" customHeight="1">
      <c r="A1" s="941"/>
      <c r="B1" s="628"/>
      <c r="D1" s="630" t="str">
        <f>F9</f>
        <v>MARZO</v>
      </c>
      <c r="F1" s="631"/>
      <c r="G1" s="941"/>
      <c r="H1" s="632"/>
      <c r="I1" s="941"/>
      <c r="J1" s="941"/>
      <c r="K1" s="941"/>
      <c r="L1" s="941"/>
      <c r="M1" s="941"/>
      <c r="O1" s="628"/>
      <c r="P1" s="633"/>
      <c r="Q1" s="633"/>
      <c r="R1" s="633"/>
      <c r="S1" s="633"/>
      <c r="T1" s="633"/>
      <c r="U1" s="628"/>
      <c r="V1" s="628"/>
      <c r="W1" s="628"/>
      <c r="X1" s="628"/>
      <c r="Y1" s="628"/>
      <c r="Z1" s="628"/>
      <c r="AA1" s="628"/>
      <c r="AB1" s="634"/>
    </row>
    <row r="2" spans="1:28" s="629" customFormat="1" hidden="1">
      <c r="A2" s="941"/>
      <c r="B2" s="628"/>
      <c r="D2" s="631"/>
      <c r="F2" s="631"/>
      <c r="G2" s="941"/>
      <c r="H2" s="632"/>
      <c r="I2" s="941"/>
      <c r="J2" s="941"/>
      <c r="K2" s="941"/>
      <c r="L2" s="941"/>
      <c r="M2" s="941"/>
      <c r="O2" s="628"/>
      <c r="P2" s="633"/>
      <c r="Q2" s="633"/>
      <c r="R2" s="633"/>
      <c r="S2" s="633"/>
      <c r="T2" s="633"/>
      <c r="U2" s="628"/>
      <c r="V2" s="628"/>
      <c r="W2" s="628"/>
      <c r="X2" s="628"/>
      <c r="Y2" s="628"/>
      <c r="Z2" s="628"/>
      <c r="AA2" s="628"/>
      <c r="AB2" s="634"/>
    </row>
    <row r="3" spans="1:28" s="629" customFormat="1" hidden="1">
      <c r="A3" s="941"/>
      <c r="B3" s="628"/>
      <c r="D3" s="631"/>
      <c r="F3" s="631"/>
      <c r="G3" s="941"/>
      <c r="H3" s="632"/>
      <c r="I3" s="941"/>
      <c r="J3" s="941"/>
      <c r="K3" s="941"/>
      <c r="L3" s="941"/>
      <c r="M3" s="941"/>
      <c r="O3" s="628"/>
      <c r="P3" s="633"/>
      <c r="Q3" s="633"/>
      <c r="R3" s="633"/>
      <c r="S3" s="633"/>
      <c r="T3" s="633"/>
      <c r="U3" s="628"/>
      <c r="V3" s="628"/>
      <c r="W3" s="628"/>
      <c r="X3" s="628"/>
      <c r="Y3" s="628"/>
      <c r="Z3" s="628"/>
      <c r="AA3" s="628"/>
      <c r="AB3" s="634"/>
    </row>
    <row r="4" spans="1:28" s="629" customFormat="1" hidden="1">
      <c r="A4" s="941"/>
      <c r="B4" s="628"/>
      <c r="D4" s="631"/>
      <c r="F4" s="631"/>
      <c r="G4" s="941"/>
      <c r="H4" s="632"/>
      <c r="I4" s="941"/>
      <c r="J4" s="941"/>
      <c r="K4" s="941"/>
      <c r="L4" s="941"/>
      <c r="M4" s="941"/>
      <c r="O4" s="628"/>
      <c r="P4" s="633"/>
      <c r="Q4" s="633"/>
      <c r="R4" s="633"/>
      <c r="S4" s="633"/>
      <c r="T4" s="633"/>
      <c r="U4" s="628"/>
      <c r="V4" s="628"/>
      <c r="W4" s="628"/>
      <c r="X4" s="628"/>
      <c r="Y4" s="628"/>
      <c r="Z4" s="628"/>
      <c r="AA4" s="628"/>
      <c r="AB4" s="634"/>
    </row>
    <row r="5" spans="1:28" s="629" customFormat="1">
      <c r="A5" s="941"/>
      <c r="B5" s="628"/>
      <c r="D5" s="631"/>
      <c r="F5" s="631"/>
      <c r="G5" s="941"/>
      <c r="H5" s="632"/>
      <c r="I5" s="941"/>
      <c r="J5" s="941"/>
      <c r="K5" s="941"/>
      <c r="L5" s="941"/>
      <c r="M5" s="941"/>
      <c r="O5" s="628"/>
      <c r="P5" s="633"/>
      <c r="Q5" s="633"/>
      <c r="R5" s="633"/>
      <c r="S5" s="633"/>
      <c r="T5" s="633"/>
      <c r="U5" s="628"/>
      <c r="V5" s="628"/>
      <c r="W5" s="628"/>
      <c r="X5" s="628"/>
      <c r="Y5" s="628"/>
      <c r="Z5" s="628"/>
      <c r="AA5" s="628"/>
      <c r="AB5" s="634"/>
    </row>
    <row r="6" spans="1:28" s="629" customFormat="1">
      <c r="A6" s="941"/>
      <c r="B6" s="628"/>
      <c r="D6" s="631"/>
      <c r="F6" s="631"/>
      <c r="G6" s="941"/>
      <c r="H6" s="632"/>
      <c r="I6" s="941"/>
      <c r="J6" s="941"/>
      <c r="K6" s="941"/>
      <c r="L6" s="941"/>
      <c r="M6" s="941"/>
      <c r="O6" s="628"/>
      <c r="P6" s="633"/>
      <c r="Q6" s="633"/>
      <c r="R6" s="633"/>
      <c r="S6" s="633"/>
      <c r="T6" s="633"/>
      <c r="U6" s="628"/>
      <c r="V6" s="628"/>
      <c r="W6" s="628"/>
      <c r="X6" s="628"/>
      <c r="Y6" s="628"/>
      <c r="Z6" s="628"/>
      <c r="AA6" s="628"/>
      <c r="AB6" s="634"/>
    </row>
    <row r="7" spans="1:28" s="629" customFormat="1" ht="37.5" customHeight="1">
      <c r="A7" s="941"/>
      <c r="B7" s="628"/>
      <c r="D7" s="631"/>
      <c r="F7" s="631"/>
      <c r="G7" s="941"/>
      <c r="H7" s="632"/>
      <c r="I7" s="941"/>
      <c r="J7" s="941"/>
      <c r="K7" s="941"/>
      <c r="L7" s="941"/>
      <c r="M7" s="941"/>
      <c r="O7" s="628"/>
      <c r="P7" s="633"/>
      <c r="Q7" s="633"/>
      <c r="R7" s="633"/>
      <c r="S7" s="633"/>
      <c r="T7" s="633"/>
      <c r="U7" s="628"/>
      <c r="V7" s="628"/>
      <c r="W7" s="628"/>
      <c r="X7" s="628"/>
      <c r="Y7" s="628"/>
      <c r="Z7" s="628"/>
      <c r="AA7" s="628"/>
      <c r="AB7" s="634"/>
    </row>
    <row r="8" spans="1:28" s="629" customFormat="1" ht="21" customHeight="1">
      <c r="A8" s="941"/>
      <c r="B8" s="628"/>
      <c r="D8" s="631"/>
      <c r="F8" s="631"/>
      <c r="G8" s="941"/>
      <c r="H8" s="632"/>
      <c r="I8" s="941"/>
      <c r="J8" s="941"/>
      <c r="K8" s="941"/>
      <c r="L8" s="941"/>
      <c r="M8" s="941"/>
      <c r="O8" s="628"/>
      <c r="P8" s="633"/>
      <c r="Q8" s="633"/>
      <c r="R8" s="633"/>
      <c r="S8" s="633"/>
      <c r="T8" s="633"/>
      <c r="U8" s="628"/>
      <c r="V8" s="628"/>
      <c r="W8" s="628"/>
      <c r="X8" s="628"/>
      <c r="Y8" s="628"/>
      <c r="Z8" s="628"/>
      <c r="AA8" s="628"/>
      <c r="AB8" s="634"/>
    </row>
    <row r="9" spans="1:28" s="629" customFormat="1" ht="29.25" customHeight="1" thickBot="1">
      <c r="A9" s="941"/>
      <c r="B9" s="628"/>
      <c r="C9" s="971" t="str">
        <f>+"PRIMERA QUINCENA MES DE "&amp;NOMINA!F9&amp;" "&amp;NOMINA!H9</f>
        <v>PRIMERA QUINCENA MES DE ENERO 2025</v>
      </c>
      <c r="D9" s="972"/>
      <c r="E9" s="636" t="s">
        <v>4632</v>
      </c>
      <c r="F9" s="973" t="s">
        <v>2867</v>
      </c>
      <c r="G9" s="637" t="s">
        <v>4633</v>
      </c>
      <c r="H9" s="638"/>
      <c r="I9" s="639"/>
      <c r="J9" s="639"/>
      <c r="K9" s="639"/>
      <c r="L9" s="639"/>
      <c r="M9" s="941"/>
      <c r="O9" s="628"/>
      <c r="P9" s="633"/>
      <c r="Q9" s="633"/>
      <c r="R9" s="633"/>
      <c r="S9" s="633"/>
      <c r="T9" s="633"/>
      <c r="U9" s="628"/>
      <c r="V9" s="628"/>
      <c r="W9" s="628"/>
      <c r="X9" s="628"/>
      <c r="Y9" s="628"/>
      <c r="Z9" s="628"/>
      <c r="AA9" s="628"/>
      <c r="AB9" s="634"/>
    </row>
    <row r="10" spans="1:28" s="642" customFormat="1" ht="12.75" customHeight="1" thickBot="1">
      <c r="A10" s="641"/>
      <c r="B10" s="641"/>
      <c r="D10" s="643"/>
      <c r="F10" s="643"/>
      <c r="G10" s="641"/>
      <c r="H10" s="644"/>
      <c r="I10" s="641"/>
      <c r="J10" s="641"/>
      <c r="K10" s="641"/>
      <c r="L10" s="1738" t="s">
        <v>4627</v>
      </c>
      <c r="M10" s="1739"/>
      <c r="N10" s="629"/>
      <c r="O10" s="641"/>
      <c r="P10" s="1740"/>
      <c r="Q10" s="1740"/>
      <c r="R10" s="1740"/>
      <c r="S10" s="946"/>
      <c r="T10" s="850" t="s">
        <v>4628</v>
      </c>
      <c r="U10" s="1735" t="s">
        <v>4575</v>
      </c>
      <c r="V10" s="1736"/>
      <c r="W10" s="1736"/>
      <c r="X10" s="1736"/>
      <c r="Y10" s="1737"/>
      <c r="Z10" s="628"/>
      <c r="AA10" s="628"/>
      <c r="AB10" s="645">
        <v>3</v>
      </c>
    </row>
    <row r="11" spans="1:28" s="629" customFormat="1" ht="78.75" customHeight="1" thickBot="1">
      <c r="A11" s="851" t="s">
        <v>2840</v>
      </c>
      <c r="B11" s="652" t="s">
        <v>0</v>
      </c>
      <c r="C11" s="852" t="s">
        <v>2</v>
      </c>
      <c r="D11" s="853" t="s">
        <v>3</v>
      </c>
      <c r="E11" s="852" t="s">
        <v>4619</v>
      </c>
      <c r="F11" s="854" t="s">
        <v>4580</v>
      </c>
      <c r="G11" s="852" t="s">
        <v>4623</v>
      </c>
      <c r="H11" s="852" t="s">
        <v>4</v>
      </c>
      <c r="I11" s="852" t="s">
        <v>4625</v>
      </c>
      <c r="J11" s="852" t="s">
        <v>5998</v>
      </c>
      <c r="K11" s="852" t="s">
        <v>4574</v>
      </c>
      <c r="L11" s="855" t="s">
        <v>4636</v>
      </c>
      <c r="M11" s="855" t="s">
        <v>4573</v>
      </c>
      <c r="N11" s="852" t="s">
        <v>5</v>
      </c>
      <c r="O11" s="852" t="s">
        <v>5869</v>
      </c>
      <c r="P11" s="852" t="s">
        <v>5870</v>
      </c>
      <c r="Q11" s="852" t="s">
        <v>5871</v>
      </c>
      <c r="R11" s="852" t="s">
        <v>4491</v>
      </c>
      <c r="S11" s="852" t="s">
        <v>5875</v>
      </c>
      <c r="T11" s="856" t="s">
        <v>4629</v>
      </c>
      <c r="U11" s="857" t="s">
        <v>4577</v>
      </c>
      <c r="V11" s="857" t="s">
        <v>4578</v>
      </c>
      <c r="W11" s="857" t="s">
        <v>4579</v>
      </c>
      <c r="X11" s="857" t="s">
        <v>5876</v>
      </c>
      <c r="Y11" s="902" t="s">
        <v>5100</v>
      </c>
      <c r="Z11" s="852" t="s">
        <v>4576</v>
      </c>
      <c r="AA11" s="857" t="s">
        <v>6832</v>
      </c>
      <c r="AB11" s="901" t="s">
        <v>4568</v>
      </c>
    </row>
    <row r="12" spans="1:28" s="629" customFormat="1" ht="36" customHeight="1" thickBot="1">
      <c r="A12" s="757"/>
      <c r="B12" s="758" t="str">
        <f>+"PERSONAL EN COMISION DE SERVICIO_NOMINA_1RA QUINCENA_"&amp;NOMINA!F9&amp;"_"&amp;NOMINA!H9</f>
        <v>PERSONAL EN COMISION DE SERVICIO_NOMINA_1RA QUINCENA_ENERO_2025</v>
      </c>
      <c r="C12" s="858"/>
      <c r="D12" s="859"/>
      <c r="E12" s="858"/>
      <c r="F12" s="859"/>
      <c r="G12" s="860"/>
      <c r="H12" s="861"/>
      <c r="I12" s="862"/>
      <c r="J12" s="862"/>
      <c r="K12" s="862"/>
      <c r="L12" s="862"/>
      <c r="M12" s="862"/>
      <c r="N12" s="863"/>
      <c r="O12" s="768"/>
      <c r="P12" s="769"/>
      <c r="Q12" s="769"/>
      <c r="R12" s="769"/>
      <c r="S12" s="769"/>
      <c r="T12" s="769"/>
      <c r="U12" s="768"/>
      <c r="V12" s="768"/>
      <c r="W12" s="768"/>
      <c r="X12" s="768"/>
      <c r="Y12" s="768"/>
      <c r="Z12" s="768"/>
      <c r="AA12" s="864"/>
      <c r="AB12" s="865"/>
    </row>
    <row r="13" spans="1:28" s="629" customFormat="1" ht="30" customHeight="1">
      <c r="A13" s="770" t="s">
        <v>2846</v>
      </c>
      <c r="B13" s="510">
        <v>1</v>
      </c>
      <c r="C13" s="992">
        <f>+NOMINA!C13</f>
        <v>19591141</v>
      </c>
      <c r="D13" s="993" t="str">
        <f>+NOMINA!D13</f>
        <v>Almazan Barragan Maria de los Angeles</v>
      </c>
      <c r="E13" s="994" t="s">
        <v>4622</v>
      </c>
      <c r="F13" s="995">
        <v>32351</v>
      </c>
      <c r="G13" s="994" t="s">
        <v>4620</v>
      </c>
      <c r="H13" s="983">
        <f>+NOMINA!H13</f>
        <v>44537</v>
      </c>
      <c r="I13" s="996">
        <f>+NOMINA!I13</f>
        <v>3</v>
      </c>
      <c r="J13" s="997">
        <f>+NOMINA!J13</f>
        <v>0</v>
      </c>
      <c r="K13" s="996">
        <f>I13+J13</f>
        <v>3</v>
      </c>
      <c r="L13" s="997" t="s">
        <v>4932</v>
      </c>
      <c r="M13" s="997"/>
      <c r="N13" s="998" t="str">
        <f>+NOMINA!O13</f>
        <v>DIRECTOR GENERAL</v>
      </c>
      <c r="O13" s="999">
        <f>ROUND(NOMINA!W13,2)</f>
        <v>0</v>
      </c>
      <c r="P13" s="999">
        <f>NOMINA!AF13</f>
        <v>0</v>
      </c>
      <c r="Q13" s="999">
        <f>NOMINA!AH13</f>
        <v>0</v>
      </c>
      <c r="R13" s="999">
        <f>NOMINA!AC13</f>
        <v>0</v>
      </c>
      <c r="S13" s="999">
        <f>NOMINA!AJ13</f>
        <v>0</v>
      </c>
      <c r="T13" s="986">
        <f>+P13+Q13+R13+S13</f>
        <v>0</v>
      </c>
      <c r="U13" s="999">
        <f>ROUND(NOMINA!BL13,2)</f>
        <v>0</v>
      </c>
      <c r="V13" s="999">
        <f>ROUND(NOMINA!BM13,2)</f>
        <v>0</v>
      </c>
      <c r="W13" s="999">
        <f>ROUND(+NOMINA!BN13,2)</f>
        <v>0</v>
      </c>
      <c r="X13" s="999">
        <f>ROUND(NOMINA!BO13,2)</f>
        <v>0</v>
      </c>
      <c r="Y13" s="999">
        <f>ROUND(NOMINA!BP13,2)</f>
        <v>0</v>
      </c>
      <c r="Z13" s="986">
        <f>ROUND(SUM(U13:Y13),2)</f>
        <v>0</v>
      </c>
      <c r="AA13" s="999">
        <f>ROUND(NOMINA!BH13,2)</f>
        <v>0</v>
      </c>
      <c r="AB13" s="866">
        <f>+O13+P13+Q13+R13+S13-(U13+V13+W13+X13+Y13)+AA13</f>
        <v>0</v>
      </c>
    </row>
    <row r="14" spans="1:28" s="629" customFormat="1" ht="30" customHeight="1" thickBot="1">
      <c r="A14" s="1181"/>
      <c r="B14" s="510">
        <v>2</v>
      </c>
      <c r="C14" s="1182">
        <f>+NOMINA!C14</f>
        <v>15827671</v>
      </c>
      <c r="D14" s="1183" t="str">
        <f>+NOMINA!D14</f>
        <v>Montilla Macias Lucy Margarita</v>
      </c>
      <c r="E14" s="1180" t="s">
        <v>4622</v>
      </c>
      <c r="F14" s="1184">
        <v>32351</v>
      </c>
      <c r="G14" s="1180" t="s">
        <v>4620</v>
      </c>
      <c r="H14" s="1161">
        <f>+NOMINA!H14</f>
        <v>44545</v>
      </c>
      <c r="I14" s="1185">
        <f>+NOMINA!I14</f>
        <v>3</v>
      </c>
      <c r="J14" s="1177">
        <f>+NOMINA!J14</f>
        <v>1</v>
      </c>
      <c r="K14" s="1185">
        <f t="shared" ref="K14" si="0">I14+J14</f>
        <v>4</v>
      </c>
      <c r="L14" s="1177" t="s">
        <v>4932</v>
      </c>
      <c r="M14" s="1177"/>
      <c r="N14" s="1040" t="str">
        <f>+NOMINA!O14</f>
        <v>JEFE DE DEPARTAMENTO</v>
      </c>
      <c r="O14" s="1150">
        <f>ROUND(NOMINA!W14,2)</f>
        <v>26.5</v>
      </c>
      <c r="P14" s="1150">
        <f>NOMINA!AF14</f>
        <v>1.06</v>
      </c>
      <c r="Q14" s="1150">
        <f>NOMINA!AH14</f>
        <v>0</v>
      </c>
      <c r="R14" s="1150">
        <f>NOMINA!AC14</f>
        <v>0</v>
      </c>
      <c r="S14" s="1150">
        <f>NOMINA!AJ14</f>
        <v>6.89</v>
      </c>
      <c r="T14" s="1151">
        <f t="shared" ref="T14" si="1">+P14+Q14+R14+S14</f>
        <v>7.9499999999999993</v>
      </c>
      <c r="U14" s="1150">
        <f>ROUND(NOMINA!BL14,2)</f>
        <v>0</v>
      </c>
      <c r="V14" s="1150">
        <f>ROUND(NOMINA!BM14,2)</f>
        <v>0</v>
      </c>
      <c r="W14" s="1150">
        <f>ROUND(+NOMINA!BN14,2)</f>
        <v>0</v>
      </c>
      <c r="X14" s="1150">
        <f>ROUND(NOMINA!BO14,2)</f>
        <v>0</v>
      </c>
      <c r="Y14" s="1150">
        <f>ROUND(NOMINA!BP14,2)</f>
        <v>0</v>
      </c>
      <c r="Z14" s="1151">
        <f t="shared" ref="Z14" si="2">ROUND(SUM(U14:Y14),2)</f>
        <v>0</v>
      </c>
      <c r="AA14" s="1150">
        <f>ROUND(NOMINA!BK14,2)</f>
        <v>0</v>
      </c>
      <c r="AB14" s="1152">
        <f t="shared" ref="AB14" si="3">+O14+P14+Q14+R14+S14-(U14+V14+W14+X14+Y14)+AA14</f>
        <v>34.449999999999996</v>
      </c>
    </row>
    <row r="15" spans="1:28" s="629" customFormat="1" ht="39.950000000000003" customHeight="1" thickBot="1">
      <c r="A15" s="664"/>
      <c r="B15" s="676"/>
      <c r="C15" s="1089" t="s">
        <v>6015</v>
      </c>
      <c r="D15" s="1090"/>
      <c r="E15" s="1091"/>
      <c r="F15" s="1092"/>
      <c r="G15" s="1091"/>
      <c r="H15" s="1093"/>
      <c r="I15" s="1094"/>
      <c r="J15" s="1095"/>
      <c r="K15" s="1096" t="s">
        <v>5873</v>
      </c>
      <c r="L15" s="1097"/>
      <c r="M15" s="1098"/>
      <c r="N15" s="1099"/>
      <c r="O15" s="694">
        <f>SUM(O13:O14)</f>
        <v>26.5</v>
      </c>
      <c r="P15" s="694">
        <f t="shared" ref="P15:AB15" si="4">SUM(P13:P14)</f>
        <v>1.06</v>
      </c>
      <c r="Q15" s="694">
        <f t="shared" si="4"/>
        <v>0</v>
      </c>
      <c r="R15" s="694">
        <f t="shared" si="4"/>
        <v>0</v>
      </c>
      <c r="S15" s="694">
        <f t="shared" si="4"/>
        <v>6.89</v>
      </c>
      <c r="T15" s="694">
        <f t="shared" si="4"/>
        <v>7.9499999999999993</v>
      </c>
      <c r="U15" s="694">
        <f t="shared" si="4"/>
        <v>0</v>
      </c>
      <c r="V15" s="694">
        <f t="shared" si="4"/>
        <v>0</v>
      </c>
      <c r="W15" s="694">
        <f t="shared" si="4"/>
        <v>0</v>
      </c>
      <c r="X15" s="694">
        <f t="shared" si="4"/>
        <v>0</v>
      </c>
      <c r="Y15" s="694">
        <f t="shared" si="4"/>
        <v>0</v>
      </c>
      <c r="Z15" s="694">
        <f t="shared" si="4"/>
        <v>0</v>
      </c>
      <c r="AA15" s="694">
        <f t="shared" si="4"/>
        <v>0</v>
      </c>
      <c r="AB15" s="694">
        <f t="shared" si="4"/>
        <v>34.449999999999996</v>
      </c>
    </row>
    <row r="16" spans="1:28" s="629" customFormat="1" ht="20.100000000000001" customHeight="1">
      <c r="A16" s="664"/>
      <c r="B16" s="778"/>
      <c r="C16" s="779"/>
      <c r="D16" s="780"/>
      <c r="E16" s="781"/>
      <c r="F16" s="782"/>
      <c r="G16" s="781"/>
      <c r="H16" s="783"/>
      <c r="I16" s="784"/>
      <c r="J16" s="785"/>
      <c r="K16" s="786"/>
      <c r="L16" s="787"/>
      <c r="M16" s="785"/>
      <c r="N16" s="788"/>
      <c r="O16" s="789"/>
      <c r="P16" s="789"/>
      <c r="Q16" s="789"/>
      <c r="R16" s="789"/>
      <c r="S16" s="789"/>
      <c r="T16" s="789"/>
      <c r="U16" s="789"/>
      <c r="V16" s="789"/>
      <c r="W16" s="789"/>
      <c r="X16" s="789"/>
      <c r="Y16" s="789"/>
      <c r="Z16" s="789"/>
      <c r="AA16" s="789"/>
      <c r="AB16" s="789"/>
    </row>
    <row r="17" spans="1:28" s="629" customFormat="1" ht="20.100000000000001" customHeight="1">
      <c r="A17" s="664"/>
      <c r="B17" s="790"/>
      <c r="C17" s="791"/>
      <c r="D17" s="792"/>
      <c r="E17" s="708"/>
      <c r="F17" s="793"/>
      <c r="G17" s="708"/>
      <c r="H17" s="794"/>
      <c r="I17" s="795"/>
      <c r="J17" s="796"/>
      <c r="K17" s="611"/>
      <c r="L17" s="797"/>
      <c r="M17" s="796"/>
      <c r="N17" s="798"/>
      <c r="O17" s="799"/>
      <c r="P17" s="799"/>
      <c r="Q17" s="799"/>
      <c r="R17" s="799"/>
      <c r="S17" s="799"/>
      <c r="T17" s="799"/>
      <c r="U17" s="799"/>
      <c r="V17" s="799"/>
      <c r="W17" s="799"/>
      <c r="X17" s="799"/>
      <c r="Y17" s="799"/>
      <c r="Z17" s="799"/>
      <c r="AA17" s="799"/>
      <c r="AB17" s="799"/>
    </row>
    <row r="18" spans="1:28" s="629" customFormat="1" ht="20.100000000000001" customHeight="1">
      <c r="A18" s="664"/>
      <c r="B18" s="790"/>
      <c r="C18" s="791"/>
      <c r="D18" s="792"/>
      <c r="E18" s="708"/>
      <c r="F18" s="793"/>
      <c r="G18" s="708"/>
      <c r="H18" s="794"/>
      <c r="I18" s="795"/>
      <c r="J18" s="796"/>
      <c r="K18" s="611"/>
      <c r="L18" s="797"/>
      <c r="M18" s="796"/>
      <c r="N18" s="798"/>
      <c r="O18" s="799"/>
      <c r="P18" s="799"/>
      <c r="Q18" s="799"/>
      <c r="R18" s="799"/>
      <c r="S18" s="799"/>
      <c r="T18" s="799"/>
      <c r="U18" s="799"/>
      <c r="V18" s="799"/>
      <c r="W18" s="799"/>
      <c r="X18" s="799"/>
      <c r="Y18" s="799"/>
      <c r="Z18" s="799"/>
      <c r="AA18" s="799"/>
      <c r="AB18" s="799"/>
    </row>
    <row r="19" spans="1:28" s="629" customFormat="1" ht="20.100000000000001" customHeight="1">
      <c r="A19" s="664"/>
      <c r="B19" s="790"/>
      <c r="C19" s="791"/>
      <c r="D19" s="792"/>
      <c r="E19" s="708"/>
      <c r="F19" s="793"/>
      <c r="G19" s="708"/>
      <c r="H19" s="794"/>
      <c r="I19" s="795"/>
      <c r="J19" s="796"/>
      <c r="K19" s="611"/>
      <c r="L19" s="797"/>
      <c r="M19" s="796"/>
      <c r="N19" s="798"/>
      <c r="O19" s="799"/>
      <c r="P19" s="799"/>
      <c r="Q19" s="799"/>
      <c r="R19" s="799"/>
      <c r="S19" s="799"/>
      <c r="T19" s="799"/>
      <c r="U19" s="799"/>
      <c r="V19" s="799"/>
      <c r="W19" s="799"/>
      <c r="X19" s="799"/>
      <c r="Y19" s="799"/>
      <c r="Z19" s="799"/>
      <c r="AA19" s="799"/>
      <c r="AB19" s="799"/>
    </row>
    <row r="20" spans="1:28" s="629" customFormat="1" ht="20.100000000000001" customHeight="1">
      <c r="A20" s="664"/>
      <c r="B20" s="790"/>
      <c r="C20" s="791"/>
      <c r="D20" s="792"/>
      <c r="E20" s="708"/>
      <c r="F20" s="793"/>
      <c r="G20" s="708"/>
      <c r="H20" s="794"/>
      <c r="I20" s="795"/>
      <c r="J20" s="796"/>
      <c r="K20" s="611"/>
      <c r="L20" s="797"/>
      <c r="M20" s="796"/>
      <c r="N20" s="798"/>
      <c r="O20" s="799"/>
      <c r="P20" s="799"/>
      <c r="Q20" s="799"/>
      <c r="R20" s="799"/>
      <c r="S20" s="799"/>
      <c r="T20" s="799"/>
      <c r="U20" s="799"/>
      <c r="V20" s="799"/>
      <c r="W20" s="799"/>
      <c r="X20" s="799"/>
      <c r="Y20" s="799"/>
      <c r="Z20" s="799"/>
      <c r="AA20" s="799"/>
      <c r="AB20" s="799"/>
    </row>
    <row r="21" spans="1:28" s="629" customFormat="1" ht="20.100000000000001" customHeight="1">
      <c r="A21" s="664"/>
      <c r="B21" s="790"/>
      <c r="C21" s="791"/>
      <c r="D21" s="792"/>
      <c r="E21" s="708"/>
      <c r="F21" s="793"/>
      <c r="G21" s="708"/>
      <c r="H21" s="794"/>
      <c r="I21" s="795"/>
      <c r="J21" s="796"/>
      <c r="K21" s="611"/>
      <c r="L21" s="797"/>
      <c r="M21" s="796"/>
      <c r="N21" s="798"/>
      <c r="O21" s="799"/>
      <c r="P21" s="799"/>
      <c r="Q21" s="799"/>
      <c r="R21" s="799"/>
      <c r="S21" s="799"/>
      <c r="T21" s="799"/>
      <c r="U21" s="799"/>
      <c r="V21" s="799"/>
      <c r="W21" s="799"/>
      <c r="X21" s="799"/>
      <c r="Y21" s="799"/>
      <c r="Z21" s="799"/>
      <c r="AA21" s="799"/>
      <c r="AB21" s="799"/>
    </row>
    <row r="22" spans="1:28" s="629" customFormat="1" ht="20.100000000000001" customHeight="1">
      <c r="A22" s="664"/>
      <c r="B22" s="790"/>
      <c r="C22" s="791"/>
      <c r="D22" s="792"/>
      <c r="E22" s="708"/>
      <c r="F22" s="793"/>
      <c r="G22" s="708"/>
      <c r="H22" s="794"/>
      <c r="I22" s="795"/>
      <c r="J22" s="796"/>
      <c r="K22" s="611"/>
      <c r="L22" s="797"/>
      <c r="M22" s="796"/>
      <c r="N22" s="798"/>
      <c r="O22" s="799"/>
      <c r="P22" s="799"/>
      <c r="Q22" s="799"/>
      <c r="R22" s="799"/>
      <c r="S22" s="799"/>
      <c r="T22" s="799"/>
      <c r="U22" s="799"/>
      <c r="V22" s="799"/>
      <c r="W22" s="799"/>
      <c r="X22" s="799"/>
      <c r="Y22" s="799"/>
      <c r="Z22" s="799"/>
      <c r="AA22" s="799"/>
      <c r="AB22" s="799"/>
    </row>
    <row r="23" spans="1:28" s="629" customFormat="1" ht="20.100000000000001" customHeight="1">
      <c r="A23" s="664"/>
      <c r="C23" s="723"/>
      <c r="D23" s="735" t="s">
        <v>5860</v>
      </c>
      <c r="E23" s="725"/>
      <c r="F23" s="725"/>
      <c r="G23" s="725"/>
      <c r="I23" s="724"/>
      <c r="L23" s="725"/>
      <c r="M23" s="725"/>
      <c r="N23" s="725"/>
      <c r="O23" s="726" t="s">
        <v>5861</v>
      </c>
      <c r="P23" s="725"/>
      <c r="Q23" s="725"/>
      <c r="R23" s="725"/>
      <c r="S23" s="826"/>
      <c r="T23" s="826"/>
      <c r="U23" s="628"/>
      <c r="V23" s="628"/>
      <c r="W23" s="724" t="s">
        <v>5862</v>
      </c>
      <c r="Y23" s="628"/>
      <c r="Z23" s="628"/>
      <c r="AA23" s="628"/>
      <c r="AB23" s="634"/>
    </row>
    <row r="24" spans="1:28" s="629" customFormat="1" ht="20.100000000000001" customHeight="1">
      <c r="A24" s="664"/>
      <c r="B24" s="723"/>
      <c r="C24" s="723"/>
      <c r="D24" s="727"/>
      <c r="E24" s="725"/>
      <c r="F24" s="725"/>
      <c r="G24" s="725"/>
      <c r="I24" s="723"/>
      <c r="L24" s="725"/>
      <c r="M24" s="725"/>
      <c r="N24" s="728"/>
      <c r="O24" s="728"/>
      <c r="P24" s="725"/>
      <c r="Q24" s="725"/>
      <c r="R24" s="725"/>
      <c r="S24" s="728"/>
      <c r="T24" s="728"/>
      <c r="U24" s="628"/>
      <c r="V24" s="628"/>
      <c r="W24" s="729"/>
      <c r="Y24" s="628"/>
      <c r="Z24" s="628"/>
      <c r="AA24" s="628"/>
      <c r="AB24" s="634"/>
    </row>
    <row r="25" spans="1:28" s="629" customFormat="1" ht="20.100000000000001" customHeight="1">
      <c r="A25" s="664"/>
      <c r="B25" s="734" t="s">
        <v>6879</v>
      </c>
      <c r="C25" s="735"/>
      <c r="D25" s="733"/>
      <c r="E25" s="733"/>
      <c r="F25" s="733"/>
      <c r="G25" s="733"/>
      <c r="H25" s="734" t="s">
        <v>6152</v>
      </c>
      <c r="I25" s="734"/>
      <c r="L25" s="733"/>
      <c r="M25" s="733"/>
      <c r="N25" s="733"/>
      <c r="O25" s="736" t="s">
        <v>5863</v>
      </c>
      <c r="P25" s="733"/>
      <c r="Q25" s="733"/>
      <c r="R25" s="733"/>
      <c r="S25" s="733"/>
      <c r="T25" s="733"/>
      <c r="U25" s="628"/>
      <c r="V25" s="628"/>
      <c r="W25" s="724" t="s">
        <v>5874</v>
      </c>
      <c r="Y25" s="628"/>
      <c r="Z25" s="628"/>
      <c r="AA25" s="628"/>
      <c r="AB25" s="634"/>
    </row>
    <row r="26" spans="1:28" s="629" customFormat="1" ht="20.100000000000001" customHeight="1">
      <c r="A26" s="664"/>
      <c r="B26" s="734" t="s">
        <v>6880</v>
      </c>
      <c r="C26" s="735"/>
      <c r="D26" s="733"/>
      <c r="E26" s="733"/>
      <c r="F26" s="733"/>
      <c r="G26" s="733"/>
      <c r="H26" s="734" t="s">
        <v>6153</v>
      </c>
      <c r="I26" s="734"/>
      <c r="L26" s="733"/>
      <c r="M26" s="733"/>
      <c r="N26" s="733"/>
      <c r="O26" s="736" t="s">
        <v>5865</v>
      </c>
      <c r="P26" s="733"/>
      <c r="Q26" s="733"/>
      <c r="R26" s="733"/>
      <c r="S26" s="733"/>
      <c r="T26" s="733"/>
      <c r="U26" s="628"/>
      <c r="V26" s="628"/>
      <c r="W26" s="734" t="s">
        <v>5866</v>
      </c>
      <c r="Y26" s="628"/>
      <c r="Z26" s="628"/>
      <c r="AA26" s="628"/>
      <c r="AB26" s="634"/>
    </row>
    <row r="27" spans="1:28" s="629" customFormat="1" ht="20.100000000000001" customHeight="1">
      <c r="A27" s="664"/>
      <c r="B27" s="734" t="s">
        <v>5244</v>
      </c>
      <c r="C27" s="735"/>
      <c r="D27" s="733"/>
      <c r="E27" s="733"/>
      <c r="F27" s="733"/>
      <c r="G27" s="733"/>
      <c r="H27" s="734" t="s">
        <v>5265</v>
      </c>
      <c r="I27" s="734"/>
      <c r="L27" s="733"/>
      <c r="M27" s="733"/>
      <c r="N27" s="733"/>
      <c r="O27" s="736" t="s">
        <v>5867</v>
      </c>
      <c r="P27" s="733"/>
      <c r="Q27" s="733"/>
      <c r="R27" s="733"/>
      <c r="S27" s="733"/>
      <c r="T27" s="733"/>
      <c r="U27" s="628"/>
      <c r="V27" s="628"/>
      <c r="W27" s="724" t="s">
        <v>5868</v>
      </c>
      <c r="Y27" s="628"/>
      <c r="Z27" s="628"/>
      <c r="AA27" s="628"/>
      <c r="AB27" s="634"/>
    </row>
    <row r="28" spans="1:28" s="629" customFormat="1" ht="20.100000000000001" customHeight="1" thickBot="1">
      <c r="A28" s="664"/>
      <c r="B28" s="790"/>
      <c r="C28" s="791"/>
      <c r="D28" s="792"/>
      <c r="E28" s="708"/>
      <c r="F28" s="793"/>
      <c r="G28" s="708"/>
      <c r="H28" s="794"/>
      <c r="I28" s="795"/>
      <c r="J28" s="796"/>
      <c r="K28" s="611"/>
      <c r="L28" s="797"/>
      <c r="M28" s="796"/>
      <c r="N28" s="798"/>
      <c r="O28" s="799"/>
      <c r="P28" s="799"/>
      <c r="Q28" s="799"/>
      <c r="R28" s="799"/>
      <c r="S28" s="799"/>
      <c r="T28" s="799"/>
      <c r="U28" s="799"/>
      <c r="V28" s="799"/>
      <c r="W28" s="799"/>
      <c r="X28" s="799"/>
      <c r="Y28" s="799"/>
      <c r="Z28" s="799"/>
      <c r="AA28" s="799"/>
      <c r="AB28" s="799"/>
    </row>
    <row r="29" spans="1:28" s="629" customFormat="1" ht="20.100000000000001" customHeight="1">
      <c r="A29" s="664"/>
      <c r="B29" s="665" t="str">
        <f>+"ALTO NIVEL Y DIRECCION_NOMINA_1RA_QUINCENA_"&amp;NOMINA!F9&amp;"_"&amp;NOMINA!H9</f>
        <v>ALTO NIVEL Y DIRECCION_NOMINA_1RA_QUINCENA_ENERO_2025</v>
      </c>
      <c r="C29" s="666"/>
      <c r="D29" s="667"/>
      <c r="E29" s="668"/>
      <c r="F29" s="669"/>
      <c r="G29" s="668"/>
      <c r="H29" s="670"/>
      <c r="I29" s="671"/>
      <c r="J29" s="672"/>
      <c r="K29" s="671"/>
      <c r="L29" s="867"/>
      <c r="M29" s="672"/>
      <c r="N29" s="868"/>
      <c r="O29" s="844"/>
      <c r="P29" s="844"/>
      <c r="Q29" s="844"/>
      <c r="R29" s="844"/>
      <c r="S29" s="844"/>
      <c r="T29" s="343"/>
      <c r="U29" s="844"/>
      <c r="V29" s="844"/>
      <c r="W29" s="844"/>
      <c r="X29" s="844"/>
      <c r="Y29" s="844"/>
      <c r="Z29" s="343"/>
      <c r="AA29" s="869"/>
      <c r="AB29" s="674"/>
    </row>
    <row r="30" spans="1:28" s="629" customFormat="1" ht="20.100000000000001" customHeight="1">
      <c r="A30" s="664" t="s">
        <v>2846</v>
      </c>
      <c r="B30" s="510">
        <v>1</v>
      </c>
      <c r="C30" s="980">
        <f>+NOMINA!C17</f>
        <v>11894534</v>
      </c>
      <c r="D30" s="981" t="str">
        <f>+NOMINA!D17</f>
        <v>Olmos Rodriguez Eberto de Jesus</v>
      </c>
      <c r="E30" s="978" t="s">
        <v>4622</v>
      </c>
      <c r="F30" s="982">
        <v>27853</v>
      </c>
      <c r="G30" s="978" t="s">
        <v>4620</v>
      </c>
      <c r="H30" s="1001">
        <f>+NOMINA!H17</f>
        <v>40909</v>
      </c>
      <c r="I30" s="984">
        <f>+NOMINA!I17</f>
        <v>13</v>
      </c>
      <c r="J30" s="985">
        <f>+NOMINA!J17</f>
        <v>13</v>
      </c>
      <c r="K30" s="984">
        <f t="shared" ref="K30" si="5">I30+J30</f>
        <v>26</v>
      </c>
      <c r="L30" s="985" t="s">
        <v>4932</v>
      </c>
      <c r="M30" s="985"/>
      <c r="N30" s="1002" t="str">
        <f>+NOMINA!O17</f>
        <v>JEFE DE DEPARTAMENTO</v>
      </c>
      <c r="O30" s="999">
        <f>ROUND(NOMINA!W17,2)</f>
        <v>181.5</v>
      </c>
      <c r="P30" s="999">
        <f>NOMINA!AF17</f>
        <v>54.45</v>
      </c>
      <c r="Q30" s="999">
        <f>NOMINA!AH17</f>
        <v>65</v>
      </c>
      <c r="R30" s="999">
        <f>NOMINA!AC17</f>
        <v>0</v>
      </c>
      <c r="S30" s="999">
        <f>NOMINA!AJ17</f>
        <v>75.239999999999995</v>
      </c>
      <c r="T30" s="986">
        <f t="shared" ref="T30" si="6">+P17+Q17+R17+S17</f>
        <v>0</v>
      </c>
      <c r="U30" s="999">
        <f>ROUND(NOMINA!BL17,2)</f>
        <v>27.78</v>
      </c>
      <c r="V30" s="999">
        <f>ROUND(NOMINA!BM17,2)</f>
        <v>3.47</v>
      </c>
      <c r="W30" s="999">
        <f>ROUND(+NOMINA!BN17,2)</f>
        <v>7.52</v>
      </c>
      <c r="X30" s="999">
        <f>ROUND(NOMINA!BO17,2)</f>
        <v>0</v>
      </c>
      <c r="Y30" s="999">
        <f>ROUND(NOMINA!BP17,2)</f>
        <v>0</v>
      </c>
      <c r="Z30" s="986">
        <f t="shared" ref="Z30" si="7">ROUND(SUM(U17:Y17),2)</f>
        <v>0</v>
      </c>
      <c r="AA30" s="999">
        <f>ROUND(NOMINA!BK17,2)</f>
        <v>0</v>
      </c>
      <c r="AB30" s="866">
        <f>+O30+P30+Q30+R30+S30-(U30+V30+W30+X30+Y30)+AA30</f>
        <v>337.42</v>
      </c>
    </row>
    <row r="31" spans="1:28" s="629" customFormat="1" ht="20.100000000000001" customHeight="1">
      <c r="A31" s="664" t="s">
        <v>2846</v>
      </c>
      <c r="B31" s="510">
        <f t="shared" ref="B31:B53" ca="1" si="8">OFFSET(B31,-1,0)+1</f>
        <v>2</v>
      </c>
      <c r="C31" s="980">
        <f>+NOMINA!C18</f>
        <v>12458942</v>
      </c>
      <c r="D31" s="981" t="str">
        <f>+NOMINA!D18</f>
        <v>Mendoza Mendoza Mirian del Milagro</v>
      </c>
      <c r="E31" s="978" t="s">
        <v>4622</v>
      </c>
      <c r="F31" s="982">
        <v>27853</v>
      </c>
      <c r="G31" s="978" t="s">
        <v>4620</v>
      </c>
      <c r="H31" s="1001">
        <f>+NOMINA!H18</f>
        <v>44424</v>
      </c>
      <c r="I31" s="984">
        <f>+NOMINA!I18</f>
        <v>3</v>
      </c>
      <c r="J31" s="985">
        <f>+NOMINA!J18</f>
        <v>19</v>
      </c>
      <c r="K31" s="984">
        <f t="shared" ref="K31:K53" si="9">I31+J31</f>
        <v>22</v>
      </c>
      <c r="L31" s="985" t="s">
        <v>4932</v>
      </c>
      <c r="M31" s="985"/>
      <c r="N31" s="1002" t="str">
        <f>+NOMINA!O18</f>
        <v>JEFE DE DEPARTAMENTO</v>
      </c>
      <c r="O31" s="999">
        <f>ROUND(NOMINA!W18,2)</f>
        <v>181.5</v>
      </c>
      <c r="P31" s="999">
        <f>NOMINA!AF18</f>
        <v>53.73</v>
      </c>
      <c r="Q31" s="999">
        <f>NOMINA!AH18</f>
        <v>65</v>
      </c>
      <c r="R31" s="999">
        <f>NOMINA!AC18</f>
        <v>0</v>
      </c>
      <c r="S31" s="999">
        <f>NOMINA!AJ18</f>
        <v>90.07</v>
      </c>
      <c r="T31" s="986">
        <f t="shared" ref="T31:T53" si="10">+P18+Q18+R18+S18</f>
        <v>0</v>
      </c>
      <c r="U31" s="999">
        <f>ROUND(NOMINA!BL18,2)</f>
        <v>28.82</v>
      </c>
      <c r="V31" s="999">
        <f>ROUND(NOMINA!BM18,2)</f>
        <v>3.6</v>
      </c>
      <c r="W31" s="999">
        <f>ROUND(+NOMINA!BN18,2)</f>
        <v>7.81</v>
      </c>
      <c r="X31" s="999">
        <f>ROUND(NOMINA!BO18,2)</f>
        <v>0</v>
      </c>
      <c r="Y31" s="999">
        <f>ROUND(NOMINA!BP18,2)</f>
        <v>0</v>
      </c>
      <c r="Z31" s="986">
        <f t="shared" ref="Z31:Z53" si="11">ROUND(SUM(U18:Y18),2)</f>
        <v>0</v>
      </c>
      <c r="AA31" s="999">
        <f>ROUND(NOMINA!BK18,2)</f>
        <v>0</v>
      </c>
      <c r="AB31" s="866">
        <f t="shared" ref="AB31:AB53" si="12">+O31+P31+Q31+R31+S31-(U31+V31+W31+X31+Y31)+AA31</f>
        <v>350.07</v>
      </c>
    </row>
    <row r="32" spans="1:28" s="629" customFormat="1" ht="20.100000000000001" customHeight="1">
      <c r="A32" s="664" t="s">
        <v>2846</v>
      </c>
      <c r="B32" s="510">
        <f t="shared" ca="1" si="8"/>
        <v>3</v>
      </c>
      <c r="C32" s="980">
        <f>+NOMINA!C19</f>
        <v>8719807</v>
      </c>
      <c r="D32" s="981" t="str">
        <f>+NOMINA!D19</f>
        <v>Perez Saavedra Isabel Teresa</v>
      </c>
      <c r="E32" s="978" t="s">
        <v>4622</v>
      </c>
      <c r="F32" s="982">
        <v>27853</v>
      </c>
      <c r="G32" s="978" t="s">
        <v>4620</v>
      </c>
      <c r="H32" s="1001">
        <f>+NOMINA!H19</f>
        <v>39874</v>
      </c>
      <c r="I32" s="984">
        <f>+NOMINA!I19</f>
        <v>15</v>
      </c>
      <c r="J32" s="985">
        <f>+NOMINA!J19</f>
        <v>4</v>
      </c>
      <c r="K32" s="984">
        <f t="shared" si="9"/>
        <v>19</v>
      </c>
      <c r="L32" s="985" t="s">
        <v>4932</v>
      </c>
      <c r="M32" s="985"/>
      <c r="N32" s="1002" t="str">
        <f>+NOMINA!O19</f>
        <v>JEFE DE DEPARTAMENTO</v>
      </c>
      <c r="O32" s="999">
        <f>ROUND(NOMINA!W19,2)</f>
        <v>181.5</v>
      </c>
      <c r="P32" s="999">
        <f>NOMINA!AF19</f>
        <v>44.29</v>
      </c>
      <c r="Q32" s="999">
        <f>NOMINA!AH19</f>
        <v>65</v>
      </c>
      <c r="R32" s="999">
        <f>NOMINA!AC19</f>
        <v>0</v>
      </c>
      <c r="S32" s="999">
        <f>NOMINA!AJ19</f>
        <v>72.7</v>
      </c>
      <c r="T32" s="986">
        <f t="shared" si="10"/>
        <v>0</v>
      </c>
      <c r="U32" s="999">
        <f>ROUND(NOMINA!BL19,2)</f>
        <v>26.84</v>
      </c>
      <c r="V32" s="999">
        <f>ROUND(NOMINA!BM19,2)</f>
        <v>3.36</v>
      </c>
      <c r="W32" s="999">
        <f>ROUND(+NOMINA!BN19,2)</f>
        <v>7.27</v>
      </c>
      <c r="X32" s="999">
        <f>ROUND(NOMINA!BO19,2)</f>
        <v>0</v>
      </c>
      <c r="Y32" s="999">
        <f>ROUND(NOMINA!BP19,2)</f>
        <v>0</v>
      </c>
      <c r="Z32" s="986">
        <f t="shared" si="11"/>
        <v>0</v>
      </c>
      <c r="AA32" s="999">
        <f>ROUND(NOMINA!BK19,2)</f>
        <v>0</v>
      </c>
      <c r="AB32" s="866">
        <f t="shared" si="12"/>
        <v>326.02</v>
      </c>
    </row>
    <row r="33" spans="1:28" s="629" customFormat="1" ht="20.100000000000001" customHeight="1">
      <c r="A33" s="664" t="s">
        <v>2846</v>
      </c>
      <c r="B33" s="510">
        <f t="shared" ca="1" si="8"/>
        <v>4</v>
      </c>
      <c r="C33" s="980">
        <f>+NOMINA!C20</f>
        <v>10404528</v>
      </c>
      <c r="D33" s="981" t="str">
        <f>+NOMINA!D20</f>
        <v>Perez Castellano Javier Horacio</v>
      </c>
      <c r="E33" s="978" t="s">
        <v>4622</v>
      </c>
      <c r="F33" s="982">
        <v>27853</v>
      </c>
      <c r="G33" s="978" t="s">
        <v>4620</v>
      </c>
      <c r="H33" s="1001">
        <f>+NOMINA!H20</f>
        <v>37622</v>
      </c>
      <c r="I33" s="984">
        <f>+NOMINA!I20</f>
        <v>22</v>
      </c>
      <c r="J33" s="985">
        <f>+NOMINA!J20</f>
        <v>0</v>
      </c>
      <c r="K33" s="984">
        <f t="shared" si="9"/>
        <v>22</v>
      </c>
      <c r="L33" s="985" t="s">
        <v>4932</v>
      </c>
      <c r="M33" s="985"/>
      <c r="N33" s="1002" t="str">
        <f>+NOMINA!O20</f>
        <v>JEFE DE DEPARTAMENTO</v>
      </c>
      <c r="O33" s="999">
        <f>ROUND(NOMINA!W20,2)</f>
        <v>181.5</v>
      </c>
      <c r="P33" s="999">
        <f>NOMINA!AF20</f>
        <v>53.73</v>
      </c>
      <c r="Q33" s="999">
        <f>NOMINA!AH20</f>
        <v>65</v>
      </c>
      <c r="R33" s="999">
        <f>NOMINA!AC20</f>
        <v>12.5</v>
      </c>
      <c r="S33" s="999">
        <f>NOMINA!AJ20</f>
        <v>76.62</v>
      </c>
      <c r="T33" s="986">
        <f t="shared" si="10"/>
        <v>0</v>
      </c>
      <c r="U33" s="999">
        <f>ROUND(NOMINA!BL20,2)</f>
        <v>28.29</v>
      </c>
      <c r="V33" s="999">
        <f>ROUND(NOMINA!BM20,2)</f>
        <v>3.54</v>
      </c>
      <c r="W33" s="999">
        <f>ROUND(+NOMINA!BN20,2)</f>
        <v>7.66</v>
      </c>
      <c r="X33" s="999">
        <f>ROUND(NOMINA!BO20,2)</f>
        <v>0</v>
      </c>
      <c r="Y33" s="999">
        <f>ROUND(NOMINA!BP20,2)</f>
        <v>0</v>
      </c>
      <c r="Z33" s="986">
        <f t="shared" si="11"/>
        <v>0</v>
      </c>
      <c r="AA33" s="999">
        <f>ROUND(NOMINA!BK20,2)</f>
        <v>0</v>
      </c>
      <c r="AB33" s="866">
        <f t="shared" si="12"/>
        <v>349.86</v>
      </c>
    </row>
    <row r="34" spans="1:28" s="629" customFormat="1" ht="20.100000000000001" customHeight="1">
      <c r="A34" s="664" t="s">
        <v>2846</v>
      </c>
      <c r="B34" s="510">
        <f t="shared" ca="1" si="8"/>
        <v>5</v>
      </c>
      <c r="C34" s="980">
        <f>+NOMINA!C21</f>
        <v>9311822</v>
      </c>
      <c r="D34" s="981" t="str">
        <f>+NOMINA!D21</f>
        <v>Rojo Sanchez Alexis O.</v>
      </c>
      <c r="E34" s="978" t="s">
        <v>4622</v>
      </c>
      <c r="F34" s="982">
        <v>27853</v>
      </c>
      <c r="G34" s="978" t="s">
        <v>4620</v>
      </c>
      <c r="H34" s="1001">
        <f>+NOMINA!H21</f>
        <v>37662</v>
      </c>
      <c r="I34" s="984">
        <f>+NOMINA!I21</f>
        <v>21</v>
      </c>
      <c r="J34" s="985">
        <f>+NOMINA!J21</f>
        <v>0</v>
      </c>
      <c r="K34" s="984">
        <f t="shared" si="9"/>
        <v>21</v>
      </c>
      <c r="L34" s="985" t="s">
        <v>4932</v>
      </c>
      <c r="M34" s="985"/>
      <c r="N34" s="1002" t="str">
        <f>+NOMINA!O21</f>
        <v>JEFE DE DEPARTAMENTO</v>
      </c>
      <c r="O34" s="999">
        <f>ROUND(NOMINA!W21,2)</f>
        <v>181.5</v>
      </c>
      <c r="P34" s="999">
        <f>NOMINA!AF21</f>
        <v>50.46</v>
      </c>
      <c r="Q34" s="999">
        <f>NOMINA!AH21</f>
        <v>65</v>
      </c>
      <c r="R34" s="999">
        <f>NOMINA!AC21</f>
        <v>0</v>
      </c>
      <c r="S34" s="999">
        <f>NOMINA!AJ21</f>
        <v>0</v>
      </c>
      <c r="T34" s="986">
        <f t="shared" si="10"/>
        <v>0</v>
      </c>
      <c r="U34" s="999">
        <f>ROUND(NOMINA!BL21,2)</f>
        <v>21.93</v>
      </c>
      <c r="V34" s="999">
        <f>ROUND(NOMINA!BM21,2)</f>
        <v>2.74</v>
      </c>
      <c r="W34" s="999">
        <f>ROUND(+NOMINA!BN21,2)</f>
        <v>5.94</v>
      </c>
      <c r="X34" s="999">
        <f>ROUND(NOMINA!BO21,2)</f>
        <v>0</v>
      </c>
      <c r="Y34" s="999">
        <f>ROUND(NOMINA!BP21,2)</f>
        <v>0</v>
      </c>
      <c r="Z34" s="986">
        <f t="shared" si="11"/>
        <v>0</v>
      </c>
      <c r="AA34" s="999">
        <f>ROUND(NOMINA!BK21,2)</f>
        <v>0</v>
      </c>
      <c r="AB34" s="866">
        <f t="shared" si="12"/>
        <v>266.35000000000002</v>
      </c>
    </row>
    <row r="35" spans="1:28" s="629" customFormat="1" ht="20.100000000000001" customHeight="1">
      <c r="A35" s="664" t="s">
        <v>2846</v>
      </c>
      <c r="B35" s="510">
        <f t="shared" ca="1" si="8"/>
        <v>6</v>
      </c>
      <c r="C35" s="980">
        <f>+NOMINA!C22</f>
        <v>21592108</v>
      </c>
      <c r="D35" s="981" t="str">
        <f>+NOMINA!D22</f>
        <v>Coy Andara Darlin Gabriela</v>
      </c>
      <c r="E35" s="978" t="s">
        <v>4622</v>
      </c>
      <c r="F35" s="982">
        <v>27853</v>
      </c>
      <c r="G35" s="978" t="s">
        <v>4620</v>
      </c>
      <c r="H35" s="1001">
        <f>+NOMINA!H22</f>
        <v>43024</v>
      </c>
      <c r="I35" s="984">
        <f>+NOMINA!I22</f>
        <v>7</v>
      </c>
      <c r="J35" s="985">
        <f>+NOMINA!J22</f>
        <v>0</v>
      </c>
      <c r="K35" s="984">
        <f t="shared" si="9"/>
        <v>7</v>
      </c>
      <c r="L35" s="985" t="s">
        <v>4932</v>
      </c>
      <c r="M35" s="985"/>
      <c r="N35" s="1002" t="str">
        <f>+NOMINA!O22</f>
        <v>JEFE DE DEPARTAMENTO</v>
      </c>
      <c r="O35" s="999">
        <f>ROUND(NOMINA!W22,2)</f>
        <v>181.5</v>
      </c>
      <c r="P35" s="999">
        <f>NOMINA!AF22</f>
        <v>13.43</v>
      </c>
      <c r="Q35" s="999">
        <f>NOMINA!AH22</f>
        <v>65</v>
      </c>
      <c r="R35" s="999">
        <f>NOMINA!AC22</f>
        <v>12.5</v>
      </c>
      <c r="S35" s="999">
        <f>NOMINA!AJ22</f>
        <v>53.24</v>
      </c>
      <c r="T35" s="986">
        <f t="shared" si="10"/>
        <v>0</v>
      </c>
      <c r="U35" s="999">
        <f>ROUND(NOMINA!BL22,2)</f>
        <v>23.59</v>
      </c>
      <c r="V35" s="999">
        <f>ROUND(NOMINA!BM22,2)</f>
        <v>2.95</v>
      </c>
      <c r="W35" s="999">
        <f>ROUND(+NOMINA!BN22,2)</f>
        <v>6.39</v>
      </c>
      <c r="X35" s="999">
        <f>ROUND(NOMINA!BO22,2)</f>
        <v>0</v>
      </c>
      <c r="Y35" s="999">
        <f>ROUND(NOMINA!BP22,2)</f>
        <v>0</v>
      </c>
      <c r="Z35" s="986">
        <f t="shared" si="11"/>
        <v>0</v>
      </c>
      <c r="AA35" s="999">
        <f>ROUND(NOMINA!BK22,2)</f>
        <v>0</v>
      </c>
      <c r="AB35" s="866">
        <f t="shared" si="12"/>
        <v>292.74</v>
      </c>
    </row>
    <row r="36" spans="1:28" s="629" customFormat="1" ht="20.100000000000001" customHeight="1">
      <c r="A36" s="664" t="s">
        <v>2846</v>
      </c>
      <c r="B36" s="510">
        <f t="shared" ca="1" si="8"/>
        <v>7</v>
      </c>
      <c r="C36" s="980">
        <f>+NOMINA!C23</f>
        <v>13206767</v>
      </c>
      <c r="D36" s="981" t="str">
        <f>+NOMINA!D23</f>
        <v>Bastidas Guerra Soralis del Valle</v>
      </c>
      <c r="E36" s="978" t="s">
        <v>4622</v>
      </c>
      <c r="F36" s="982">
        <v>27853</v>
      </c>
      <c r="G36" s="978" t="s">
        <v>4620</v>
      </c>
      <c r="H36" s="1001">
        <f>+NOMINA!H23</f>
        <v>44713</v>
      </c>
      <c r="I36" s="984">
        <f>+NOMINA!I23</f>
        <v>2</v>
      </c>
      <c r="J36" s="985">
        <f>+NOMINA!J23</f>
        <v>0</v>
      </c>
      <c r="K36" s="984">
        <f t="shared" si="9"/>
        <v>2</v>
      </c>
      <c r="L36" s="985" t="s">
        <v>4932</v>
      </c>
      <c r="M36" s="985"/>
      <c r="N36" s="1002" t="str">
        <f>+NOMINA!O23</f>
        <v>COORDINADOR DE PROGRAMA (SAPNNAET)</v>
      </c>
      <c r="O36" s="999">
        <f>ROUND(NOMINA!W23,2)</f>
        <v>174</v>
      </c>
      <c r="P36" s="999">
        <f>NOMINA!AF23</f>
        <v>3.48</v>
      </c>
      <c r="Q36" s="999">
        <f>NOMINA!AH23</f>
        <v>65</v>
      </c>
      <c r="R36" s="999">
        <f>NOMINA!AC23</f>
        <v>0</v>
      </c>
      <c r="S36" s="999">
        <f>NOMINA!AJ23</f>
        <v>60.62</v>
      </c>
      <c r="T36" s="986">
        <f t="shared" si="10"/>
        <v>0</v>
      </c>
      <c r="U36" s="999">
        <f>ROUND(NOMINA!BL23,2)</f>
        <v>22.38</v>
      </c>
      <c r="V36" s="999">
        <f>ROUND(NOMINA!BM23,2)</f>
        <v>2.8</v>
      </c>
      <c r="W36" s="999">
        <f>ROUND(+NOMINA!BN23,2)</f>
        <v>6.06</v>
      </c>
      <c r="X36" s="999">
        <f>ROUND(NOMINA!BO23,2)</f>
        <v>0</v>
      </c>
      <c r="Y36" s="999">
        <f>ROUND(NOMINA!BP23,2)</f>
        <v>0</v>
      </c>
      <c r="Z36" s="986">
        <f t="shared" si="11"/>
        <v>0</v>
      </c>
      <c r="AA36" s="999">
        <f>ROUND(NOMINA!BK23,2)</f>
        <v>0</v>
      </c>
      <c r="AB36" s="866">
        <f t="shared" si="12"/>
        <v>271.85999999999996</v>
      </c>
    </row>
    <row r="37" spans="1:28" s="629" customFormat="1" ht="20.100000000000001" customHeight="1">
      <c r="A37" s="664" t="s">
        <v>2846</v>
      </c>
      <c r="B37" s="510">
        <f t="shared" ca="1" si="8"/>
        <v>8</v>
      </c>
      <c r="C37" s="980">
        <f>+NOMINA!C24</f>
        <v>13462933</v>
      </c>
      <c r="D37" s="981" t="str">
        <f>+NOMINA!D24</f>
        <v>Frias Aldana Maria Yaritza</v>
      </c>
      <c r="E37" s="978" t="s">
        <v>4622</v>
      </c>
      <c r="F37" s="982">
        <v>27853</v>
      </c>
      <c r="G37" s="978" t="s">
        <v>4620</v>
      </c>
      <c r="H37" s="1001">
        <f>+NOMINA!H24</f>
        <v>39454</v>
      </c>
      <c r="I37" s="984">
        <f>+NOMINA!I24</f>
        <v>17</v>
      </c>
      <c r="J37" s="985">
        <f>+NOMINA!J24</f>
        <v>6</v>
      </c>
      <c r="K37" s="984">
        <f t="shared" si="9"/>
        <v>23</v>
      </c>
      <c r="L37" s="985" t="s">
        <v>4932</v>
      </c>
      <c r="M37" s="985"/>
      <c r="N37" s="1002" t="str">
        <f>+NOMINA!O24</f>
        <v>COORDINADOR DE PROGRAMA (SAPNNAET)</v>
      </c>
      <c r="O37" s="999">
        <f>ROUND(NOMINA!W24,2)</f>
        <v>174</v>
      </c>
      <c r="P37" s="999">
        <f>NOMINA!AF24</f>
        <v>52.2</v>
      </c>
      <c r="Q37" s="999">
        <f>NOMINA!AH24</f>
        <v>65</v>
      </c>
      <c r="R37" s="999">
        <f>NOMINA!AC24</f>
        <v>12.5</v>
      </c>
      <c r="S37" s="999">
        <f>NOMINA!AJ24</f>
        <v>59.49</v>
      </c>
      <c r="T37" s="986">
        <f t="shared" si="10"/>
        <v>0</v>
      </c>
      <c r="U37" s="999">
        <f>ROUND(NOMINA!BL24,2)</f>
        <v>26.36</v>
      </c>
      <c r="V37" s="999">
        <f>ROUND(NOMINA!BM24,2)</f>
        <v>3.29</v>
      </c>
      <c r="W37" s="999">
        <f>ROUND(+NOMINA!BN24,2)</f>
        <v>7.14</v>
      </c>
      <c r="X37" s="999">
        <f>ROUND(NOMINA!BO24,2)</f>
        <v>0</v>
      </c>
      <c r="Y37" s="999">
        <f>ROUND(NOMINA!BP24,2)</f>
        <v>0</v>
      </c>
      <c r="Z37" s="986">
        <f t="shared" si="11"/>
        <v>0</v>
      </c>
      <c r="AA37" s="999">
        <f>ROUND(NOMINA!BK24,2)</f>
        <v>0</v>
      </c>
      <c r="AB37" s="866">
        <f t="shared" si="12"/>
        <v>326.39999999999998</v>
      </c>
    </row>
    <row r="38" spans="1:28" s="629" customFormat="1" ht="20.100000000000001" customHeight="1">
      <c r="A38" s="664" t="s">
        <v>2846</v>
      </c>
      <c r="B38" s="510">
        <f t="shared" ca="1" si="8"/>
        <v>9</v>
      </c>
      <c r="C38" s="980">
        <f>+NOMINA!C25</f>
        <v>11315315</v>
      </c>
      <c r="D38" s="981" t="str">
        <f>+NOMINA!D25</f>
        <v>Guillen Mendoza Edgar Daniel</v>
      </c>
      <c r="E38" s="978" t="s">
        <v>4622</v>
      </c>
      <c r="F38" s="982">
        <v>27853</v>
      </c>
      <c r="G38" s="978" t="s">
        <v>4620</v>
      </c>
      <c r="H38" s="1001">
        <f>+NOMINA!H25</f>
        <v>45505</v>
      </c>
      <c r="I38" s="984">
        <f>+NOMINA!I25</f>
        <v>0</v>
      </c>
      <c r="J38" s="985">
        <f>+NOMINA!J25</f>
        <v>0</v>
      </c>
      <c r="K38" s="984">
        <f t="shared" si="9"/>
        <v>0</v>
      </c>
      <c r="L38" s="985" t="s">
        <v>4932</v>
      </c>
      <c r="M38" s="985"/>
      <c r="N38" s="1002" t="str">
        <f>+NOMINA!O25</f>
        <v>COORDINADOR DE PROGRAMA (SAPNNAET)</v>
      </c>
      <c r="O38" s="999">
        <f>ROUND(NOMINA!W25,2)</f>
        <v>174</v>
      </c>
      <c r="P38" s="999">
        <f>NOMINA!AF25</f>
        <v>0</v>
      </c>
      <c r="Q38" s="999">
        <f>NOMINA!AH25</f>
        <v>65</v>
      </c>
      <c r="R38" s="999">
        <f>NOMINA!AC25</f>
        <v>0</v>
      </c>
      <c r="S38" s="999">
        <f>NOMINA!AJ25</f>
        <v>0</v>
      </c>
      <c r="T38" s="986">
        <f t="shared" si="10"/>
        <v>0</v>
      </c>
      <c r="U38" s="999">
        <f>ROUND(NOMINA!BL25,2)</f>
        <v>17.649999999999999</v>
      </c>
      <c r="V38" s="999">
        <f>ROUND(NOMINA!BM25,2)</f>
        <v>2.21</v>
      </c>
      <c r="W38" s="999">
        <f>ROUND(+NOMINA!BN25,2)</f>
        <v>4.78</v>
      </c>
      <c r="X38" s="999">
        <f>ROUND(NOMINA!BO25,2)</f>
        <v>0</v>
      </c>
      <c r="Y38" s="999">
        <f>ROUND(NOMINA!BP25,2)</f>
        <v>0</v>
      </c>
      <c r="Z38" s="986">
        <f t="shared" si="11"/>
        <v>0</v>
      </c>
      <c r="AA38" s="999">
        <f>ROUND(NOMINA!BK25,2)</f>
        <v>0</v>
      </c>
      <c r="AB38" s="866">
        <f t="shared" si="12"/>
        <v>214.36</v>
      </c>
    </row>
    <row r="39" spans="1:28" s="629" customFormat="1" ht="20.100000000000001" customHeight="1">
      <c r="A39" s="664" t="s">
        <v>2846</v>
      </c>
      <c r="B39" s="510">
        <f t="shared" ca="1" si="8"/>
        <v>10</v>
      </c>
      <c r="C39" s="980">
        <f>+NOMINA!C26</f>
        <v>12542413</v>
      </c>
      <c r="D39" s="981" t="str">
        <f>+NOMINA!D26</f>
        <v>Aponte Matheus Richard Alexander</v>
      </c>
      <c r="E39" s="978" t="s">
        <v>4622</v>
      </c>
      <c r="F39" s="982">
        <v>27853</v>
      </c>
      <c r="G39" s="978" t="s">
        <v>4620</v>
      </c>
      <c r="H39" s="1001">
        <f>+NOMINA!H26</f>
        <v>36434</v>
      </c>
      <c r="I39" s="984">
        <f>+NOMINA!I26</f>
        <v>25</v>
      </c>
      <c r="J39" s="985">
        <f>+NOMINA!J26</f>
        <v>0</v>
      </c>
      <c r="K39" s="984">
        <f t="shared" si="9"/>
        <v>25</v>
      </c>
      <c r="L39" s="985" t="s">
        <v>4932</v>
      </c>
      <c r="M39" s="985"/>
      <c r="N39" s="1002" t="str">
        <f>+NOMINA!O26</f>
        <v>COORDINADOR DE PROGRAMA (SAPNNAET)</v>
      </c>
      <c r="O39" s="999">
        <f>ROUND(NOMINA!W26,2)</f>
        <v>174</v>
      </c>
      <c r="P39" s="999">
        <f>NOMINA!AF26</f>
        <v>52.2</v>
      </c>
      <c r="Q39" s="999">
        <f>NOMINA!AH26</f>
        <v>65</v>
      </c>
      <c r="R39" s="999">
        <f>NOMINA!AC26</f>
        <v>0</v>
      </c>
      <c r="S39" s="999">
        <f>NOMINA!AJ26</f>
        <v>0</v>
      </c>
      <c r="T39" s="986">
        <f t="shared" si="10"/>
        <v>0</v>
      </c>
      <c r="U39" s="999">
        <f>ROUND(NOMINA!BL26,2)</f>
        <v>21.5</v>
      </c>
      <c r="V39" s="999">
        <f>ROUND(NOMINA!BM26,2)</f>
        <v>2.69</v>
      </c>
      <c r="W39" s="999">
        <f>ROUND(+NOMINA!BN26,2)</f>
        <v>5.82</v>
      </c>
      <c r="X39" s="999">
        <f>ROUND(NOMINA!BO26,2)</f>
        <v>0</v>
      </c>
      <c r="Y39" s="999">
        <f>ROUND(NOMINA!BP26,2)</f>
        <v>0</v>
      </c>
      <c r="Z39" s="986">
        <f t="shared" si="11"/>
        <v>0</v>
      </c>
      <c r="AA39" s="999">
        <f>ROUND(NOMINA!BK26,2)</f>
        <v>0</v>
      </c>
      <c r="AB39" s="866">
        <f t="shared" si="12"/>
        <v>261.19</v>
      </c>
    </row>
    <row r="40" spans="1:28" s="629" customFormat="1" ht="20.100000000000001" customHeight="1">
      <c r="A40" s="664" t="s">
        <v>2846</v>
      </c>
      <c r="B40" s="510">
        <f t="shared" ca="1" si="8"/>
        <v>11</v>
      </c>
      <c r="C40" s="980">
        <f>+NOMINA!C27</f>
        <v>18457406</v>
      </c>
      <c r="D40" s="981" t="str">
        <f>+NOMINA!D27</f>
        <v>Rivero Zambrano Herluis Jose</v>
      </c>
      <c r="E40" s="978" t="s">
        <v>4622</v>
      </c>
      <c r="F40" s="982">
        <v>27853</v>
      </c>
      <c r="G40" s="978" t="s">
        <v>4620</v>
      </c>
      <c r="H40" s="1001">
        <f>+NOMINA!H27</f>
        <v>41548</v>
      </c>
      <c r="I40" s="984">
        <f>+NOMINA!I27</f>
        <v>11</v>
      </c>
      <c r="J40" s="985">
        <f>+NOMINA!J27</f>
        <v>0</v>
      </c>
      <c r="K40" s="984">
        <f t="shared" si="9"/>
        <v>11</v>
      </c>
      <c r="L40" s="985" t="s">
        <v>4932</v>
      </c>
      <c r="M40" s="985"/>
      <c r="N40" s="1002" t="str">
        <f>+NOMINA!O27</f>
        <v>COORDINADOR DE PROGRAMA (SAPNNAET)</v>
      </c>
      <c r="O40" s="999">
        <f>ROUND(NOMINA!W27,2)</f>
        <v>174</v>
      </c>
      <c r="P40" s="999">
        <f>NOMINA!AF27</f>
        <v>21.58</v>
      </c>
      <c r="Q40" s="999">
        <f>NOMINA!AH27</f>
        <v>65</v>
      </c>
      <c r="R40" s="999">
        <f>NOMINA!AC27</f>
        <v>12.5</v>
      </c>
      <c r="S40" s="999">
        <f>NOMINA!AJ27</f>
        <v>66.709999999999994</v>
      </c>
      <c r="T40" s="986">
        <f t="shared" si="10"/>
        <v>0</v>
      </c>
      <c r="U40" s="999">
        <f>ROUND(NOMINA!BL27,2)</f>
        <v>24.63</v>
      </c>
      <c r="V40" s="999">
        <f>ROUND(NOMINA!BM27,2)</f>
        <v>3.08</v>
      </c>
      <c r="W40" s="999">
        <f>ROUND(+NOMINA!BN27,2)</f>
        <v>6.67</v>
      </c>
      <c r="X40" s="999">
        <f>ROUND(NOMINA!BO27,2)</f>
        <v>0</v>
      </c>
      <c r="Y40" s="999">
        <f>ROUND(NOMINA!BP27,2)</f>
        <v>0</v>
      </c>
      <c r="Z40" s="986">
        <f t="shared" si="11"/>
        <v>0</v>
      </c>
      <c r="AA40" s="999">
        <f>ROUND(NOMINA!BK27,2)</f>
        <v>0</v>
      </c>
      <c r="AB40" s="866">
        <f t="shared" si="12"/>
        <v>305.40999999999997</v>
      </c>
    </row>
    <row r="41" spans="1:28" s="629" customFormat="1" ht="20.100000000000001" customHeight="1">
      <c r="A41" s="664" t="s">
        <v>2846</v>
      </c>
      <c r="B41" s="510">
        <f t="shared" ca="1" si="8"/>
        <v>12</v>
      </c>
      <c r="C41" s="980">
        <f>+NOMINA!C28</f>
        <v>11895772</v>
      </c>
      <c r="D41" s="981" t="str">
        <f>+NOMINA!D28</f>
        <v>Rangel Rivas Ildemaro</v>
      </c>
      <c r="E41" s="978" t="s">
        <v>4622</v>
      </c>
      <c r="F41" s="982">
        <v>27853</v>
      </c>
      <c r="G41" s="978" t="s">
        <v>4620</v>
      </c>
      <c r="H41" s="1001">
        <f>+NOMINA!H28</f>
        <v>44743</v>
      </c>
      <c r="I41" s="984">
        <f>+NOMINA!I28</f>
        <v>2</v>
      </c>
      <c r="J41" s="985">
        <f>+NOMINA!J28</f>
        <v>0</v>
      </c>
      <c r="K41" s="984">
        <f t="shared" si="9"/>
        <v>2</v>
      </c>
      <c r="L41" s="985" t="s">
        <v>4932</v>
      </c>
      <c r="M41" s="985"/>
      <c r="N41" s="1002" t="str">
        <f>+NOMINA!O28</f>
        <v>COORDINADOR DE PROGRAMA (SAPNNAET)</v>
      </c>
      <c r="O41" s="999">
        <f>ROUND(NOMINA!W28,2)</f>
        <v>174</v>
      </c>
      <c r="P41" s="999">
        <f>NOMINA!AF28</f>
        <v>3.48</v>
      </c>
      <c r="Q41" s="999">
        <f>NOMINA!AH28</f>
        <v>65</v>
      </c>
      <c r="R41" s="999">
        <f>NOMINA!AC28</f>
        <v>12.5</v>
      </c>
      <c r="S41" s="999">
        <f>NOMINA!AJ28</f>
        <v>49.75</v>
      </c>
      <c r="T41" s="986">
        <f t="shared" si="10"/>
        <v>0</v>
      </c>
      <c r="U41" s="999">
        <f>ROUND(NOMINA!BL28,2)</f>
        <v>22.04</v>
      </c>
      <c r="V41" s="999">
        <f>ROUND(NOMINA!BM28,2)</f>
        <v>2.76</v>
      </c>
      <c r="W41" s="999">
        <f>ROUND(+NOMINA!BN28,2)</f>
        <v>5.97</v>
      </c>
      <c r="X41" s="999">
        <f>ROUND(NOMINA!BO28,2)</f>
        <v>0</v>
      </c>
      <c r="Y41" s="999">
        <f>ROUND(NOMINA!BP28,2)</f>
        <v>0</v>
      </c>
      <c r="Z41" s="986">
        <f t="shared" si="11"/>
        <v>0</v>
      </c>
      <c r="AA41" s="999">
        <f>ROUND(NOMINA!BK28,2)</f>
        <v>0</v>
      </c>
      <c r="AB41" s="866">
        <f t="shared" si="12"/>
        <v>273.96000000000004</v>
      </c>
    </row>
    <row r="42" spans="1:28" s="629" customFormat="1" ht="20.100000000000001" customHeight="1">
      <c r="A42" s="664" t="s">
        <v>2846</v>
      </c>
      <c r="B42" s="510">
        <f t="shared" ca="1" si="8"/>
        <v>13</v>
      </c>
      <c r="C42" s="980">
        <f>+NOMINA!C29</f>
        <v>9495661</v>
      </c>
      <c r="D42" s="981" t="str">
        <f>+NOMINA!D29</f>
        <v>Aguial Carrillo Gregoria Coromoto</v>
      </c>
      <c r="E42" s="978" t="s">
        <v>4622</v>
      </c>
      <c r="F42" s="982">
        <v>27853</v>
      </c>
      <c r="G42" s="978" t="s">
        <v>4620</v>
      </c>
      <c r="H42" s="1001">
        <f>+NOMINA!H29</f>
        <v>39692</v>
      </c>
      <c r="I42" s="984">
        <f>+NOMINA!I29</f>
        <v>16</v>
      </c>
      <c r="J42" s="985">
        <f>+NOMINA!J29</f>
        <v>0</v>
      </c>
      <c r="K42" s="984">
        <f t="shared" si="9"/>
        <v>16</v>
      </c>
      <c r="L42" s="985" t="s">
        <v>4932</v>
      </c>
      <c r="M42" s="985"/>
      <c r="N42" s="1002" t="str">
        <f>+NOMINA!O29</f>
        <v>COORDINADOR DE PROGRAMA (SAPNNAET)</v>
      </c>
      <c r="O42" s="999">
        <f>ROUND(NOMINA!W29,2)</f>
        <v>174</v>
      </c>
      <c r="P42" s="999">
        <f>NOMINA!AF29</f>
        <v>34.11</v>
      </c>
      <c r="Q42" s="999">
        <f>NOMINA!AH29</f>
        <v>65</v>
      </c>
      <c r="R42" s="999">
        <f>NOMINA!AC29</f>
        <v>0</v>
      </c>
      <c r="S42" s="999">
        <f>NOMINA!AJ29</f>
        <v>0</v>
      </c>
      <c r="T42" s="986">
        <f t="shared" si="10"/>
        <v>0</v>
      </c>
      <c r="U42" s="999">
        <f>ROUND(NOMINA!BL29,2)</f>
        <v>20.170000000000002</v>
      </c>
      <c r="V42" s="999">
        <f>ROUND(NOMINA!BM29,2)</f>
        <v>2.52</v>
      </c>
      <c r="W42" s="999">
        <f>ROUND(+NOMINA!BN29,2)</f>
        <v>5.46</v>
      </c>
      <c r="X42" s="999">
        <f>ROUND(NOMINA!BO29,2)</f>
        <v>0</v>
      </c>
      <c r="Y42" s="999">
        <f>ROUND(NOMINA!BP29,2)</f>
        <v>0</v>
      </c>
      <c r="Z42" s="986">
        <f t="shared" si="11"/>
        <v>0</v>
      </c>
      <c r="AA42" s="999">
        <f>ROUND(NOMINA!BK29,2)</f>
        <v>0</v>
      </c>
      <c r="AB42" s="866">
        <f t="shared" si="12"/>
        <v>244.96</v>
      </c>
    </row>
    <row r="43" spans="1:28" s="629" customFormat="1" ht="20.100000000000001" customHeight="1">
      <c r="A43" s="664" t="s">
        <v>2846</v>
      </c>
      <c r="B43" s="510">
        <f t="shared" ca="1" si="8"/>
        <v>14</v>
      </c>
      <c r="C43" s="980">
        <f>+NOMINA!C30</f>
        <v>5348397</v>
      </c>
      <c r="D43" s="981" t="str">
        <f>+NOMINA!D30</f>
        <v>Araujo Manzanilla Carlos Antonio</v>
      </c>
      <c r="E43" s="978" t="s">
        <v>4622</v>
      </c>
      <c r="F43" s="982">
        <v>27853</v>
      </c>
      <c r="G43" s="978" t="s">
        <v>4620</v>
      </c>
      <c r="H43" s="1001">
        <f>+NOMINA!H30</f>
        <v>43359</v>
      </c>
      <c r="I43" s="984">
        <f>+NOMINA!I30</f>
        <v>6</v>
      </c>
      <c r="J43" s="985">
        <f>+NOMINA!J30</f>
        <v>0</v>
      </c>
      <c r="K43" s="984">
        <f t="shared" si="9"/>
        <v>6</v>
      </c>
      <c r="L43" s="985" t="s">
        <v>4932</v>
      </c>
      <c r="M43" s="985"/>
      <c r="N43" s="1002" t="str">
        <f>+NOMINA!O30</f>
        <v>COORDINADOR DE PROGRAMA (SAPNNAET)</v>
      </c>
      <c r="O43" s="999">
        <f>ROUND(NOMINA!W30,2)</f>
        <v>174</v>
      </c>
      <c r="P43" s="999">
        <f>NOMINA!AF30</f>
        <v>10.79</v>
      </c>
      <c r="Q43" s="999">
        <f>NOMINA!AH30</f>
        <v>65</v>
      </c>
      <c r="R43" s="999">
        <f>NOMINA!AC30</f>
        <v>12.5</v>
      </c>
      <c r="S43" s="999">
        <f>NOMINA!AJ30</f>
        <v>89.62</v>
      </c>
      <c r="T43" s="986">
        <f t="shared" si="10"/>
        <v>194.69</v>
      </c>
      <c r="U43" s="999">
        <f>ROUND(NOMINA!BL30,2)</f>
        <v>25.53</v>
      </c>
      <c r="V43" s="999">
        <f>ROUND(NOMINA!BM30,2)</f>
        <v>3.19</v>
      </c>
      <c r="W43" s="999">
        <f>ROUND(+NOMINA!BN30,2)</f>
        <v>6.91</v>
      </c>
      <c r="X43" s="999">
        <f>ROUND(NOMINA!BO30,2)</f>
        <v>0</v>
      </c>
      <c r="Y43" s="999">
        <f>ROUND(NOMINA!BP30,2)</f>
        <v>0</v>
      </c>
      <c r="Z43" s="986">
        <f t="shared" si="11"/>
        <v>38.770000000000003</v>
      </c>
      <c r="AA43" s="999">
        <f>ROUND(NOMINA!BK30,2)</f>
        <v>0</v>
      </c>
      <c r="AB43" s="866">
        <f t="shared" si="12"/>
        <v>316.27999999999997</v>
      </c>
    </row>
    <row r="44" spans="1:28" s="629" customFormat="1" ht="20.100000000000001" customHeight="1">
      <c r="A44" s="664" t="s">
        <v>2846</v>
      </c>
      <c r="B44" s="510">
        <f t="shared" ca="1" si="8"/>
        <v>15</v>
      </c>
      <c r="C44" s="980">
        <f>+NOMINA!C31</f>
        <v>9314132</v>
      </c>
      <c r="D44" s="981" t="str">
        <f>+NOMINA!D31</f>
        <v>Viloria Montilla Gerardo</v>
      </c>
      <c r="E44" s="978" t="s">
        <v>4622</v>
      </c>
      <c r="F44" s="982">
        <v>27853</v>
      </c>
      <c r="G44" s="978" t="s">
        <v>4620</v>
      </c>
      <c r="H44" s="1001">
        <f>+NOMINA!H31</f>
        <v>44348</v>
      </c>
      <c r="I44" s="984">
        <f>+NOMINA!I31</f>
        <v>3</v>
      </c>
      <c r="J44" s="985">
        <f>+NOMINA!J31</f>
        <v>0</v>
      </c>
      <c r="K44" s="984">
        <f t="shared" si="9"/>
        <v>3</v>
      </c>
      <c r="L44" s="985" t="s">
        <v>4932</v>
      </c>
      <c r="M44" s="985"/>
      <c r="N44" s="1002" t="str">
        <f>+NOMINA!O31</f>
        <v>COORDINADOR DE PROGRAMA (SAPNNAET)</v>
      </c>
      <c r="O44" s="999">
        <f>ROUND(NOMINA!W31,2)</f>
        <v>174</v>
      </c>
      <c r="P44" s="999">
        <f>NOMINA!AF31</f>
        <v>5.22</v>
      </c>
      <c r="Q44" s="999">
        <f>NOMINA!AH31</f>
        <v>65</v>
      </c>
      <c r="R44" s="999">
        <f>NOMINA!AC31</f>
        <v>0</v>
      </c>
      <c r="S44" s="999">
        <f>NOMINA!AJ31</f>
        <v>85.48</v>
      </c>
      <c r="T44" s="986">
        <f t="shared" si="10"/>
        <v>208.79999999999998</v>
      </c>
      <c r="U44" s="999">
        <f>ROUND(NOMINA!BL31,2)</f>
        <v>24.35</v>
      </c>
      <c r="V44" s="999">
        <f>ROUND(NOMINA!BM31,2)</f>
        <v>3.04</v>
      </c>
      <c r="W44" s="999">
        <f>ROUND(+NOMINA!BN31,2)</f>
        <v>6.59</v>
      </c>
      <c r="X44" s="999">
        <f>ROUND(NOMINA!BO31,2)</f>
        <v>0</v>
      </c>
      <c r="Y44" s="999">
        <f>ROUND(NOMINA!BP31,2)</f>
        <v>0</v>
      </c>
      <c r="Z44" s="986">
        <f t="shared" si="11"/>
        <v>40.229999999999997</v>
      </c>
      <c r="AA44" s="999">
        <f>ROUND(NOMINA!BK31,2)</f>
        <v>0</v>
      </c>
      <c r="AB44" s="866">
        <f t="shared" si="12"/>
        <v>295.71999999999997</v>
      </c>
    </row>
    <row r="45" spans="1:28" s="629" customFormat="1" ht="20.100000000000001" customHeight="1">
      <c r="A45" s="664" t="s">
        <v>2846</v>
      </c>
      <c r="B45" s="510">
        <f t="shared" ca="1" si="8"/>
        <v>16</v>
      </c>
      <c r="C45" s="980">
        <f>+NOMINA!C32</f>
        <v>11320533</v>
      </c>
      <c r="D45" s="981" t="str">
        <f>+NOMINA!D32</f>
        <v>Suarez Chiquin Yaritza Josefina</v>
      </c>
      <c r="E45" s="978" t="s">
        <v>4622</v>
      </c>
      <c r="F45" s="982">
        <v>27853</v>
      </c>
      <c r="G45" s="978" t="s">
        <v>4620</v>
      </c>
      <c r="H45" s="1001">
        <f>+NOMINA!H32</f>
        <v>37629</v>
      </c>
      <c r="I45" s="984">
        <f>+NOMINA!I32</f>
        <v>22</v>
      </c>
      <c r="J45" s="985">
        <f>+NOMINA!J32</f>
        <v>0</v>
      </c>
      <c r="K45" s="984">
        <f t="shared" si="9"/>
        <v>22</v>
      </c>
      <c r="L45" s="985" t="s">
        <v>4932</v>
      </c>
      <c r="M45" s="985"/>
      <c r="N45" s="1002" t="str">
        <f>+NOMINA!O32</f>
        <v>COORDINADOR DE PROGRAMA (SAPNNAET)</v>
      </c>
      <c r="O45" s="999">
        <f>ROUND(NOMINA!W32,2)</f>
        <v>174</v>
      </c>
      <c r="P45" s="999">
        <f>NOMINA!AF32</f>
        <v>51.51</v>
      </c>
      <c r="Q45" s="999">
        <f>NOMINA!AH32</f>
        <v>65</v>
      </c>
      <c r="R45" s="999">
        <f>NOMINA!AC32</f>
        <v>12.5</v>
      </c>
      <c r="S45" s="999">
        <f>NOMINA!AJ32</f>
        <v>74.19</v>
      </c>
      <c r="T45" s="986">
        <f t="shared" si="10"/>
        <v>181.99</v>
      </c>
      <c r="U45" s="999">
        <f>ROUND(NOMINA!BL32,2)</f>
        <v>27.39</v>
      </c>
      <c r="V45" s="999">
        <f>ROUND(NOMINA!BM32,2)</f>
        <v>3.42</v>
      </c>
      <c r="W45" s="999">
        <f>ROUND(+NOMINA!BN32,2)</f>
        <v>7.42</v>
      </c>
      <c r="X45" s="999">
        <f>ROUND(NOMINA!BO32,2)</f>
        <v>0</v>
      </c>
      <c r="Y45" s="999">
        <f>ROUND(NOMINA!BP32,2)</f>
        <v>1.44</v>
      </c>
      <c r="Z45" s="986">
        <f t="shared" si="11"/>
        <v>37.47</v>
      </c>
      <c r="AA45" s="999">
        <f>ROUND(NOMINA!BK32,2)</f>
        <v>0</v>
      </c>
      <c r="AB45" s="866">
        <f t="shared" si="12"/>
        <v>337.53</v>
      </c>
    </row>
    <row r="46" spans="1:28" s="629" customFormat="1" ht="20.100000000000001" customHeight="1">
      <c r="A46" s="664" t="s">
        <v>2846</v>
      </c>
      <c r="B46" s="510">
        <f t="shared" ca="1" si="8"/>
        <v>17</v>
      </c>
      <c r="C46" s="980">
        <f>+NOMINA!C33</f>
        <v>10912595</v>
      </c>
      <c r="D46" s="981" t="str">
        <f>+NOMINA!D33</f>
        <v>Delfin Bustos Jose Hercilio</v>
      </c>
      <c r="E46" s="978" t="s">
        <v>4622</v>
      </c>
      <c r="F46" s="982">
        <v>27853</v>
      </c>
      <c r="G46" s="978" t="s">
        <v>4620</v>
      </c>
      <c r="H46" s="1001">
        <f>+NOMINA!H33</f>
        <v>36039</v>
      </c>
      <c r="I46" s="984">
        <f>+NOMINA!I33</f>
        <v>26</v>
      </c>
      <c r="J46" s="985">
        <f>+NOMINA!J33</f>
        <v>0</v>
      </c>
      <c r="K46" s="984">
        <f t="shared" si="9"/>
        <v>26</v>
      </c>
      <c r="L46" s="985" t="s">
        <v>4932</v>
      </c>
      <c r="M46" s="985"/>
      <c r="N46" s="1002" t="str">
        <f>+NOMINA!O33</f>
        <v>COORDINADOR DE PROGRAMA (SAPNNAET)</v>
      </c>
      <c r="O46" s="999">
        <f>ROUND(NOMINA!W33,2)</f>
        <v>174</v>
      </c>
      <c r="P46" s="999">
        <f>NOMINA!AF33</f>
        <v>52.2</v>
      </c>
      <c r="Q46" s="999">
        <f>NOMINA!AH33</f>
        <v>65</v>
      </c>
      <c r="R46" s="999">
        <f>NOMINA!AC33</f>
        <v>0</v>
      </c>
      <c r="S46" s="999">
        <f>NOMINA!AJ33</f>
        <v>0</v>
      </c>
      <c r="T46" s="986">
        <f t="shared" si="10"/>
        <v>207.85</v>
      </c>
      <c r="U46" s="999">
        <f>ROUND(NOMINA!BL33,2)</f>
        <v>21.5</v>
      </c>
      <c r="V46" s="999">
        <f>ROUND(NOMINA!BM33,2)</f>
        <v>2.69</v>
      </c>
      <c r="W46" s="999">
        <f>ROUND(+NOMINA!BN33,2)</f>
        <v>5.82</v>
      </c>
      <c r="X46" s="999">
        <f>ROUND(NOMINA!BO33,2)</f>
        <v>0</v>
      </c>
      <c r="Y46" s="999">
        <f>ROUND(NOMINA!BP33,2)</f>
        <v>0</v>
      </c>
      <c r="Z46" s="986">
        <f t="shared" si="11"/>
        <v>39.49</v>
      </c>
      <c r="AA46" s="999">
        <f>ROUND(NOMINA!BK33,2)</f>
        <v>0</v>
      </c>
      <c r="AB46" s="866">
        <f t="shared" si="12"/>
        <v>261.19</v>
      </c>
    </row>
    <row r="47" spans="1:28" s="629" customFormat="1" ht="20.100000000000001" customHeight="1">
      <c r="A47" s="664" t="s">
        <v>2846</v>
      </c>
      <c r="B47" s="510">
        <f t="shared" ca="1" si="8"/>
        <v>18</v>
      </c>
      <c r="C47" s="980">
        <f>+NOMINA!C34</f>
        <v>4306476</v>
      </c>
      <c r="D47" s="981" t="str">
        <f>+NOMINA!D34</f>
        <v xml:space="preserve">Triviño De Bastidas Dioni De La Coromoto </v>
      </c>
      <c r="E47" s="978" t="s">
        <v>4622</v>
      </c>
      <c r="F47" s="982">
        <v>27853</v>
      </c>
      <c r="G47" s="978" t="s">
        <v>4620</v>
      </c>
      <c r="H47" s="1001">
        <f>+NOMINA!H34</f>
        <v>44409</v>
      </c>
      <c r="I47" s="984">
        <f>+NOMINA!I34</f>
        <v>3</v>
      </c>
      <c r="J47" s="985">
        <f>+NOMINA!J34</f>
        <v>25</v>
      </c>
      <c r="K47" s="984">
        <f t="shared" si="9"/>
        <v>28</v>
      </c>
      <c r="L47" s="985" t="s">
        <v>4932</v>
      </c>
      <c r="M47" s="985"/>
      <c r="N47" s="1002" t="str">
        <f>+NOMINA!O34</f>
        <v>COORDINADOR DE PROGRAMA (SAPNNAET)</v>
      </c>
      <c r="O47" s="999">
        <f>ROUND(NOMINA!W34,2)</f>
        <v>174</v>
      </c>
      <c r="P47" s="999">
        <f>NOMINA!AF34</f>
        <v>52.2</v>
      </c>
      <c r="Q47" s="999">
        <f>NOMINA!AH34</f>
        <v>65</v>
      </c>
      <c r="R47" s="999">
        <f>NOMINA!AC34</f>
        <v>0</v>
      </c>
      <c r="S47" s="999">
        <f>NOMINA!AJ34</f>
        <v>101.92</v>
      </c>
      <c r="T47" s="986">
        <f t="shared" si="10"/>
        <v>115.46000000000001</v>
      </c>
      <c r="U47" s="999">
        <f>ROUND(NOMINA!BL34,2)</f>
        <v>29.03</v>
      </c>
      <c r="V47" s="999">
        <f>ROUND(NOMINA!BM34,2)</f>
        <v>3.63</v>
      </c>
      <c r="W47" s="999">
        <f>ROUND(+NOMINA!BN34,2)</f>
        <v>7.86</v>
      </c>
      <c r="X47" s="999">
        <f>ROUND(NOMINA!BO34,2)</f>
        <v>0</v>
      </c>
      <c r="Y47" s="999">
        <f>ROUND(NOMINA!BP34,2)</f>
        <v>0</v>
      </c>
      <c r="Z47" s="986">
        <f t="shared" si="11"/>
        <v>30.61</v>
      </c>
      <c r="AA47" s="999">
        <f>ROUND(NOMINA!BK34,2)</f>
        <v>0</v>
      </c>
      <c r="AB47" s="866">
        <f t="shared" si="12"/>
        <v>352.6</v>
      </c>
    </row>
    <row r="48" spans="1:28" s="629" customFormat="1" ht="20.100000000000001" customHeight="1">
      <c r="A48" s="664" t="s">
        <v>2846</v>
      </c>
      <c r="B48" s="510">
        <f t="shared" ca="1" si="8"/>
        <v>19</v>
      </c>
      <c r="C48" s="980">
        <f>+NOMINA!C35</f>
        <v>13568733</v>
      </c>
      <c r="D48" s="981" t="str">
        <f>+NOMINA!D35</f>
        <v>Campos de Velazquez Nilda Carolina</v>
      </c>
      <c r="E48" s="978" t="s">
        <v>4622</v>
      </c>
      <c r="F48" s="982">
        <v>27853</v>
      </c>
      <c r="G48" s="978" t="s">
        <v>4620</v>
      </c>
      <c r="H48" s="1001">
        <f>+NOMINA!H35</f>
        <v>44805</v>
      </c>
      <c r="I48" s="984">
        <f>+NOMINA!I35</f>
        <v>2</v>
      </c>
      <c r="J48" s="985">
        <f>+NOMINA!J35</f>
        <v>0</v>
      </c>
      <c r="K48" s="984">
        <f t="shared" si="9"/>
        <v>2</v>
      </c>
      <c r="L48" s="985" t="s">
        <v>4932</v>
      </c>
      <c r="M48" s="985"/>
      <c r="N48" s="1002" t="str">
        <f>+NOMINA!O35</f>
        <v>COORDINADOR DE PROGRAMA (SAPNNAET)</v>
      </c>
      <c r="O48" s="999">
        <f>ROUND(NOMINA!W35,2)</f>
        <v>174</v>
      </c>
      <c r="P48" s="999">
        <f>NOMINA!AF35</f>
        <v>3.48</v>
      </c>
      <c r="Q48" s="999">
        <f>NOMINA!AH35</f>
        <v>65</v>
      </c>
      <c r="R48" s="999">
        <f>NOMINA!AC35</f>
        <v>12.5</v>
      </c>
      <c r="S48" s="999">
        <f>NOMINA!AJ35</f>
        <v>62.19</v>
      </c>
      <c r="T48" s="986">
        <f t="shared" si="10"/>
        <v>144.17000000000002</v>
      </c>
      <c r="U48" s="999">
        <f>ROUND(NOMINA!BL35,2)</f>
        <v>22.96</v>
      </c>
      <c r="V48" s="999">
        <f>ROUND(NOMINA!BM35,2)</f>
        <v>2.87</v>
      </c>
      <c r="W48" s="999">
        <f>ROUND(+NOMINA!BN35,2)</f>
        <v>6.22</v>
      </c>
      <c r="X48" s="999">
        <f>ROUND(NOMINA!BO35,2)</f>
        <v>0</v>
      </c>
      <c r="Y48" s="999">
        <f>ROUND(NOMINA!BP35,2)</f>
        <v>0</v>
      </c>
      <c r="Z48" s="986">
        <f t="shared" si="11"/>
        <v>32.93</v>
      </c>
      <c r="AA48" s="999">
        <f>ROUND(NOMINA!BK35,2)</f>
        <v>0</v>
      </c>
      <c r="AB48" s="866">
        <f t="shared" si="12"/>
        <v>285.11999999999995</v>
      </c>
    </row>
    <row r="49" spans="1:28" s="629" customFormat="1" ht="20.100000000000001" customHeight="1">
      <c r="A49" s="664" t="s">
        <v>2846</v>
      </c>
      <c r="B49" s="510">
        <f t="shared" ca="1" si="8"/>
        <v>20</v>
      </c>
      <c r="C49" s="980">
        <f>+NOMINA!C36</f>
        <v>20790947</v>
      </c>
      <c r="D49" s="981" t="str">
        <f>+NOMINA!D36</f>
        <v>Urbina Cuellar Tannessy Lenery</v>
      </c>
      <c r="E49" s="978" t="s">
        <v>4622</v>
      </c>
      <c r="F49" s="982">
        <v>27853</v>
      </c>
      <c r="G49" s="978" t="s">
        <v>4620</v>
      </c>
      <c r="H49" s="1001">
        <f>+NOMINA!H36</f>
        <v>43967</v>
      </c>
      <c r="I49" s="984">
        <f>+NOMINA!I36</f>
        <v>4</v>
      </c>
      <c r="J49" s="985">
        <f>+NOMINA!J36</f>
        <v>0</v>
      </c>
      <c r="K49" s="984">
        <f t="shared" si="9"/>
        <v>4</v>
      </c>
      <c r="L49" s="985" t="s">
        <v>4932</v>
      </c>
      <c r="M49" s="985"/>
      <c r="N49" s="1002" t="str">
        <f>+NOMINA!O36</f>
        <v>COORDINADOR DE PROGRAMA (SAPNNAET)</v>
      </c>
      <c r="O49" s="999">
        <f>ROUND(NOMINA!W36,2)</f>
        <v>174</v>
      </c>
      <c r="P49" s="999">
        <f>NOMINA!AF36</f>
        <v>6.96</v>
      </c>
      <c r="Q49" s="999">
        <f>NOMINA!AH36</f>
        <v>65</v>
      </c>
      <c r="R49" s="999">
        <f>NOMINA!AC36</f>
        <v>12.5</v>
      </c>
      <c r="S49" s="999">
        <f>NOMINA!AJ36</f>
        <v>63.06</v>
      </c>
      <c r="T49" s="986">
        <f t="shared" si="10"/>
        <v>129.1</v>
      </c>
      <c r="U49" s="999">
        <f>ROUND(NOMINA!BL36,2)</f>
        <v>23.28</v>
      </c>
      <c r="V49" s="999">
        <f>ROUND(NOMINA!BM36,2)</f>
        <v>2.91</v>
      </c>
      <c r="W49" s="999">
        <f>ROUND(+NOMINA!BN36,2)</f>
        <v>6.31</v>
      </c>
      <c r="X49" s="999">
        <f>ROUND(NOMINA!BO36,2)</f>
        <v>0</v>
      </c>
      <c r="Y49" s="999">
        <f>ROUND(NOMINA!BP36,2)</f>
        <v>0</v>
      </c>
      <c r="Z49" s="986">
        <f t="shared" si="11"/>
        <v>31.24</v>
      </c>
      <c r="AA49" s="999">
        <f>ROUND(NOMINA!BK36,2)</f>
        <v>0</v>
      </c>
      <c r="AB49" s="866">
        <f t="shared" si="12"/>
        <v>289.02000000000004</v>
      </c>
    </row>
    <row r="50" spans="1:28" s="629" customFormat="1" ht="20.100000000000001" customHeight="1">
      <c r="A50" s="664" t="s">
        <v>2846</v>
      </c>
      <c r="B50" s="510">
        <f t="shared" ca="1" si="8"/>
        <v>21</v>
      </c>
      <c r="C50" s="980">
        <f>+NOMINA!C37</f>
        <v>15752183</v>
      </c>
      <c r="D50" s="981" t="str">
        <f>+NOMINA!D37</f>
        <v>Delduca Adriana Del Valle</v>
      </c>
      <c r="E50" s="978" t="s">
        <v>4622</v>
      </c>
      <c r="F50" s="982">
        <v>27853</v>
      </c>
      <c r="G50" s="978" t="s">
        <v>4620</v>
      </c>
      <c r="H50" s="1001">
        <f>+NOMINA!H37</f>
        <v>38930</v>
      </c>
      <c r="I50" s="984">
        <f>+NOMINA!I37</f>
        <v>18</v>
      </c>
      <c r="J50" s="985">
        <f>+NOMINA!J37</f>
        <v>0</v>
      </c>
      <c r="K50" s="984">
        <f t="shared" si="9"/>
        <v>18</v>
      </c>
      <c r="L50" s="985" t="s">
        <v>4932</v>
      </c>
      <c r="M50" s="985"/>
      <c r="N50" s="1002" t="str">
        <f>+NOMINA!O37</f>
        <v>COORDINADOR DE PROGRAMA (SAPNNAET)</v>
      </c>
      <c r="O50" s="999">
        <f>ROUND(NOMINA!W37,2)</f>
        <v>174</v>
      </c>
      <c r="P50" s="999">
        <f>NOMINA!AF37</f>
        <v>39.67</v>
      </c>
      <c r="Q50" s="999">
        <f>NOMINA!AH37</f>
        <v>65</v>
      </c>
      <c r="R50" s="999">
        <f>NOMINA!AC37</f>
        <v>25</v>
      </c>
      <c r="S50" s="999">
        <f>NOMINA!AJ37</f>
        <v>0</v>
      </c>
      <c r="T50" s="986">
        <f t="shared" si="10"/>
        <v>189.19</v>
      </c>
      <c r="U50" s="999">
        <f>ROUND(NOMINA!BL37,2)</f>
        <v>21.5</v>
      </c>
      <c r="V50" s="999">
        <f>ROUND(NOMINA!BM37,2)</f>
        <v>2.69</v>
      </c>
      <c r="W50" s="999">
        <f>ROUND(+NOMINA!BN37,2)</f>
        <v>5.82</v>
      </c>
      <c r="X50" s="999">
        <f>ROUND(NOMINA!BO37,2)</f>
        <v>0</v>
      </c>
      <c r="Y50" s="999">
        <f>ROUND(NOMINA!BP37,2)</f>
        <v>0</v>
      </c>
      <c r="Z50" s="986">
        <f t="shared" si="11"/>
        <v>36.79</v>
      </c>
      <c r="AA50" s="999">
        <f>ROUND(NOMINA!BK37,2)</f>
        <v>0</v>
      </c>
      <c r="AB50" s="866">
        <f t="shared" si="12"/>
        <v>273.66000000000003</v>
      </c>
    </row>
    <row r="51" spans="1:28" s="629" customFormat="1" ht="20.100000000000001" customHeight="1">
      <c r="A51" s="664" t="s">
        <v>2846</v>
      </c>
      <c r="B51" s="510">
        <f t="shared" ca="1" si="8"/>
        <v>22</v>
      </c>
      <c r="C51" s="980">
        <f>+NOMINA!C38</f>
        <v>16739081</v>
      </c>
      <c r="D51" s="981" t="str">
        <f>+NOMINA!D38</f>
        <v>Albarran Araujo Yely Coromoto</v>
      </c>
      <c r="E51" s="978" t="s">
        <v>4622</v>
      </c>
      <c r="F51" s="982">
        <v>27853</v>
      </c>
      <c r="G51" s="978" t="s">
        <v>4620</v>
      </c>
      <c r="H51" s="1001">
        <f>+NOMINA!H38</f>
        <v>42948</v>
      </c>
      <c r="I51" s="984">
        <f>+NOMINA!I38</f>
        <v>7</v>
      </c>
      <c r="J51" s="985">
        <f>+NOMINA!J38</f>
        <v>0</v>
      </c>
      <c r="K51" s="984">
        <f t="shared" si="9"/>
        <v>7</v>
      </c>
      <c r="L51" s="985" t="s">
        <v>4932</v>
      </c>
      <c r="M51" s="985"/>
      <c r="N51" s="1002" t="str">
        <f>+NOMINA!O38</f>
        <v>COORDINADOR DE PROGRAMA (SAPNNAET)</v>
      </c>
      <c r="O51" s="999">
        <f>ROUND(NOMINA!W38,2)</f>
        <v>174</v>
      </c>
      <c r="P51" s="999">
        <f>NOMINA!AF38</f>
        <v>12.88</v>
      </c>
      <c r="Q51" s="999">
        <f>NOMINA!AH38</f>
        <v>65</v>
      </c>
      <c r="R51" s="999">
        <f>NOMINA!AC38</f>
        <v>25</v>
      </c>
      <c r="S51" s="999">
        <f>NOMINA!AJ38</f>
        <v>52.88</v>
      </c>
      <c r="T51" s="986">
        <f t="shared" si="10"/>
        <v>65</v>
      </c>
      <c r="U51" s="999">
        <f>ROUND(NOMINA!BL38,2)</f>
        <v>23.43</v>
      </c>
      <c r="V51" s="999">
        <f>ROUND(NOMINA!BM38,2)</f>
        <v>2.93</v>
      </c>
      <c r="W51" s="999">
        <f>ROUND(+NOMINA!BN38,2)</f>
        <v>6.35</v>
      </c>
      <c r="X51" s="999">
        <f>ROUND(NOMINA!BO38,2)</f>
        <v>0</v>
      </c>
      <c r="Y51" s="999">
        <f>ROUND(NOMINA!BP38,2)</f>
        <v>0</v>
      </c>
      <c r="Z51" s="986">
        <f t="shared" si="11"/>
        <v>24.64</v>
      </c>
      <c r="AA51" s="999">
        <f>ROUND(NOMINA!BK38,2)</f>
        <v>0</v>
      </c>
      <c r="AB51" s="866">
        <f t="shared" si="12"/>
        <v>297.05</v>
      </c>
    </row>
    <row r="52" spans="1:28" s="629" customFormat="1" ht="20.100000000000001" customHeight="1">
      <c r="A52" s="664"/>
      <c r="B52" s="510">
        <f t="shared" ca="1" si="8"/>
        <v>23</v>
      </c>
      <c r="C52" s="980">
        <f>+NOMINA!C39</f>
        <v>12781930</v>
      </c>
      <c r="D52" s="981" t="str">
        <f>+NOMINA!D39</f>
        <v>Berrios Gomez Neida Marina</v>
      </c>
      <c r="E52" s="978" t="s">
        <v>4622</v>
      </c>
      <c r="F52" s="982">
        <v>27853</v>
      </c>
      <c r="G52" s="978" t="s">
        <v>4620</v>
      </c>
      <c r="H52" s="1001">
        <f>+NOMINA!H39</f>
        <v>44652</v>
      </c>
      <c r="I52" s="984">
        <f>+NOMINA!I39</f>
        <v>2</v>
      </c>
      <c r="J52" s="985">
        <f>+NOMINA!J39</f>
        <v>0</v>
      </c>
      <c r="K52" s="984">
        <f t="shared" si="9"/>
        <v>2</v>
      </c>
      <c r="L52" s="985" t="s">
        <v>4932</v>
      </c>
      <c r="M52" s="985"/>
      <c r="N52" s="1002" t="str">
        <f>+NOMINA!O39</f>
        <v>COORDINADOR DE PROGRAMA (SAPNNAET)</v>
      </c>
      <c r="O52" s="999">
        <f>ROUND(NOMINA!W39,2)</f>
        <v>174</v>
      </c>
      <c r="P52" s="999">
        <f>NOMINA!AF39</f>
        <v>3.48</v>
      </c>
      <c r="Q52" s="999">
        <f>NOMINA!AH39</f>
        <v>65</v>
      </c>
      <c r="R52" s="999">
        <f>NOMINA!AC39</f>
        <v>0</v>
      </c>
      <c r="S52" s="999">
        <f>NOMINA!AJ39</f>
        <v>60.62</v>
      </c>
      <c r="T52" s="986">
        <f t="shared" si="10"/>
        <v>117.2</v>
      </c>
      <c r="U52" s="999">
        <f>ROUND(NOMINA!BL39,2)</f>
        <v>22.38</v>
      </c>
      <c r="V52" s="999">
        <f>ROUND(NOMINA!BM39,2)</f>
        <v>2.8</v>
      </c>
      <c r="W52" s="999">
        <f>ROUND(+NOMINA!BN39,2)</f>
        <v>6.06</v>
      </c>
      <c r="X52" s="999">
        <f>ROUND(NOMINA!BO39,2)</f>
        <v>0</v>
      </c>
      <c r="Y52" s="999">
        <f>ROUND(NOMINA!BP39,2)</f>
        <v>0</v>
      </c>
      <c r="Z52" s="986">
        <f t="shared" si="11"/>
        <v>30.01</v>
      </c>
      <c r="AA52" s="999">
        <f>ROUND(NOMINA!BK39,2)</f>
        <v>0</v>
      </c>
      <c r="AB52" s="866">
        <f t="shared" si="12"/>
        <v>271.85999999999996</v>
      </c>
    </row>
    <row r="53" spans="1:28" s="629" customFormat="1" ht="20.100000000000001" customHeight="1" thickBot="1">
      <c r="A53" s="664"/>
      <c r="B53" s="510">
        <f t="shared" ca="1" si="8"/>
        <v>24</v>
      </c>
      <c r="C53" s="980">
        <f>+NOMINA!C40</f>
        <v>13896239</v>
      </c>
      <c r="D53" s="981" t="str">
        <f>+NOMINA!D40</f>
        <v>Sulbaran Campos Yusneida Ayarith</v>
      </c>
      <c r="E53" s="978" t="s">
        <v>4622</v>
      </c>
      <c r="F53" s="982">
        <v>27853</v>
      </c>
      <c r="G53" s="978" t="s">
        <v>4620</v>
      </c>
      <c r="H53" s="1001">
        <f>+NOMINA!H40</f>
        <v>42416</v>
      </c>
      <c r="I53" s="984">
        <f>+NOMINA!I40</f>
        <v>8</v>
      </c>
      <c r="J53" s="985">
        <f>+NOMINA!J40</f>
        <v>0</v>
      </c>
      <c r="K53" s="984">
        <f t="shared" si="9"/>
        <v>8</v>
      </c>
      <c r="L53" s="985" t="s">
        <v>4932</v>
      </c>
      <c r="M53" s="985"/>
      <c r="N53" s="1002" t="str">
        <f>+NOMINA!O40</f>
        <v>COORDINADOR DE PROGRAMA (SAPNNAET)</v>
      </c>
      <c r="O53" s="999">
        <f>ROUND(NOMINA!W40,2)</f>
        <v>174</v>
      </c>
      <c r="P53" s="999">
        <f>NOMINA!AF40</f>
        <v>14.97</v>
      </c>
      <c r="Q53" s="999">
        <f>NOMINA!AH40</f>
        <v>65</v>
      </c>
      <c r="R53" s="999">
        <f>NOMINA!AC40</f>
        <v>12.5</v>
      </c>
      <c r="S53" s="999">
        <f>NOMINA!AJ40</f>
        <v>0</v>
      </c>
      <c r="T53" s="986">
        <f t="shared" si="10"/>
        <v>165.79</v>
      </c>
      <c r="U53" s="999">
        <f>ROUND(NOMINA!BL40,2)</f>
        <v>19.22</v>
      </c>
      <c r="V53" s="999">
        <f>ROUND(NOMINA!BM40,2)</f>
        <v>2.4</v>
      </c>
      <c r="W53" s="999">
        <f>ROUND(+NOMINA!BN40,2)</f>
        <v>5.2</v>
      </c>
      <c r="X53" s="999">
        <f>ROUND(NOMINA!BO40,2)</f>
        <v>0</v>
      </c>
      <c r="Y53" s="999">
        <f>ROUND(NOMINA!BP40,2)</f>
        <v>0</v>
      </c>
      <c r="Z53" s="986">
        <f t="shared" si="11"/>
        <v>34.380000000000003</v>
      </c>
      <c r="AA53" s="999">
        <f>ROUND(NOMINA!BK40,2)</f>
        <v>0</v>
      </c>
      <c r="AB53" s="866">
        <f t="shared" si="12"/>
        <v>239.65000000000003</v>
      </c>
    </row>
    <row r="54" spans="1:28" s="629" customFormat="1" ht="39.950000000000003" customHeight="1" thickBot="1">
      <c r="A54" s="675"/>
      <c r="B54" s="676"/>
      <c r="C54" s="1089" t="s">
        <v>5997</v>
      </c>
      <c r="D54" s="1104"/>
      <c r="E54" s="1104"/>
      <c r="F54" s="1104"/>
      <c r="G54" s="1104"/>
      <c r="H54" s="1105"/>
      <c r="I54" s="1104"/>
      <c r="J54" s="1104"/>
      <c r="K54" s="1106" t="s">
        <v>5839</v>
      </c>
      <c r="L54" s="1104"/>
      <c r="M54" s="1104"/>
      <c r="N54" s="1107"/>
      <c r="O54" s="679">
        <f t="shared" ref="O54:AB54" si="13">SUM(O30:O53)</f>
        <v>4221</v>
      </c>
      <c r="P54" s="679">
        <f t="shared" si="13"/>
        <v>690.50000000000011</v>
      </c>
      <c r="Q54" s="679">
        <f t="shared" si="13"/>
        <v>1560</v>
      </c>
      <c r="R54" s="679">
        <f t="shared" si="13"/>
        <v>175</v>
      </c>
      <c r="S54" s="679">
        <f t="shared" si="13"/>
        <v>1194.3999999999999</v>
      </c>
      <c r="T54" s="679">
        <f t="shared" si="13"/>
        <v>1719.24</v>
      </c>
      <c r="U54" s="679">
        <f t="shared" si="13"/>
        <v>572.55000000000007</v>
      </c>
      <c r="V54" s="679">
        <f t="shared" si="13"/>
        <v>71.580000000000013</v>
      </c>
      <c r="W54" s="679">
        <f t="shared" si="13"/>
        <v>155.04999999999995</v>
      </c>
      <c r="X54" s="679">
        <f t="shared" si="13"/>
        <v>0</v>
      </c>
      <c r="Y54" s="679">
        <f t="shared" si="13"/>
        <v>1.44</v>
      </c>
      <c r="Z54" s="679">
        <f t="shared" si="13"/>
        <v>376.56</v>
      </c>
      <c r="AA54" s="679">
        <f t="shared" si="13"/>
        <v>0</v>
      </c>
      <c r="AB54" s="679">
        <f t="shared" si="13"/>
        <v>7040.28</v>
      </c>
    </row>
    <row r="55" spans="1:28" s="629" customFormat="1" ht="19.5" customHeight="1">
      <c r="A55" s="675"/>
      <c r="B55" s="790"/>
      <c r="C55" s="700"/>
      <c r="D55" s="700"/>
      <c r="E55" s="700"/>
      <c r="F55" s="700"/>
      <c r="G55" s="700"/>
      <c r="H55" s="820"/>
      <c r="I55" s="700"/>
      <c r="J55" s="700"/>
      <c r="K55" s="611"/>
      <c r="L55" s="700"/>
      <c r="M55" s="700"/>
      <c r="N55" s="700"/>
      <c r="O55" s="817"/>
      <c r="P55" s="817"/>
      <c r="Q55" s="817"/>
      <c r="R55" s="817"/>
      <c r="S55" s="817"/>
      <c r="T55" s="817"/>
      <c r="U55" s="817"/>
      <c r="V55" s="817"/>
      <c r="W55" s="817"/>
      <c r="X55" s="817"/>
      <c r="Y55" s="817"/>
      <c r="Z55" s="817"/>
      <c r="AA55" s="817"/>
      <c r="AB55" s="817"/>
    </row>
    <row r="56" spans="1:28" s="629" customFormat="1" ht="19.5" customHeight="1">
      <c r="A56" s="675"/>
      <c r="C56" s="723"/>
      <c r="D56" s="735" t="s">
        <v>5860</v>
      </c>
      <c r="E56" s="725"/>
      <c r="F56" s="725"/>
      <c r="G56" s="725"/>
      <c r="I56" s="724"/>
      <c r="L56" s="725"/>
      <c r="M56" s="725"/>
      <c r="N56" s="725"/>
      <c r="O56" s="726" t="s">
        <v>5861</v>
      </c>
      <c r="P56" s="725"/>
      <c r="Q56" s="725"/>
      <c r="R56" s="725"/>
      <c r="S56" s="826"/>
      <c r="T56" s="826"/>
      <c r="U56" s="628"/>
      <c r="V56" s="628"/>
      <c r="W56" s="724" t="s">
        <v>5862</v>
      </c>
      <c r="Y56" s="628"/>
      <c r="Z56" s="628"/>
      <c r="AA56" s="628"/>
      <c r="AB56" s="634"/>
    </row>
    <row r="57" spans="1:28" s="629" customFormat="1" ht="19.5" customHeight="1">
      <c r="A57" s="675"/>
      <c r="C57" s="723"/>
      <c r="D57" s="735"/>
      <c r="E57" s="725"/>
      <c r="F57" s="725"/>
      <c r="G57" s="725"/>
      <c r="I57" s="724"/>
      <c r="L57" s="725"/>
      <c r="M57" s="725"/>
      <c r="N57" s="725"/>
      <c r="O57" s="726"/>
      <c r="P57" s="725"/>
      <c r="Q57" s="725"/>
      <c r="R57" s="725"/>
      <c r="S57" s="826"/>
      <c r="T57" s="826"/>
      <c r="U57" s="628"/>
      <c r="V57" s="628"/>
      <c r="W57" s="724"/>
      <c r="Y57" s="628"/>
      <c r="Z57" s="628"/>
      <c r="AA57" s="628"/>
      <c r="AB57" s="634"/>
    </row>
    <row r="58" spans="1:28" s="629" customFormat="1" ht="19.5" customHeight="1">
      <c r="A58" s="675"/>
      <c r="C58" s="723"/>
      <c r="D58" s="735"/>
      <c r="E58" s="725"/>
      <c r="F58" s="725"/>
      <c r="G58" s="725"/>
      <c r="I58" s="724"/>
      <c r="L58" s="725"/>
      <c r="M58" s="725"/>
      <c r="N58" s="725"/>
      <c r="O58" s="726"/>
      <c r="P58" s="725"/>
      <c r="Q58" s="725"/>
      <c r="R58" s="725"/>
      <c r="S58" s="826"/>
      <c r="T58" s="826"/>
      <c r="U58" s="628"/>
      <c r="V58" s="628"/>
      <c r="W58" s="724"/>
      <c r="Y58" s="628"/>
      <c r="Z58" s="628"/>
      <c r="AA58" s="628"/>
      <c r="AB58" s="634"/>
    </row>
    <row r="59" spans="1:28" s="629" customFormat="1" ht="19.5" customHeight="1">
      <c r="A59" s="675"/>
      <c r="B59" s="723"/>
      <c r="C59" s="723"/>
      <c r="D59" s="727"/>
      <c r="E59" s="725"/>
      <c r="F59" s="725"/>
      <c r="G59" s="725"/>
      <c r="I59" s="723"/>
      <c r="L59" s="725"/>
      <c r="M59" s="725"/>
      <c r="N59" s="728"/>
      <c r="O59" s="728"/>
      <c r="P59" s="725"/>
      <c r="Q59" s="725"/>
      <c r="R59" s="725"/>
      <c r="S59" s="728"/>
      <c r="T59" s="728"/>
      <c r="U59" s="628"/>
      <c r="V59" s="628"/>
      <c r="W59" s="729"/>
      <c r="Y59" s="628"/>
      <c r="Z59" s="628"/>
      <c r="AA59" s="628"/>
      <c r="AB59" s="634"/>
    </row>
    <row r="60" spans="1:28" s="629" customFormat="1" ht="19.5" customHeight="1">
      <c r="A60" s="675"/>
      <c r="B60" s="734" t="s">
        <v>6879</v>
      </c>
      <c r="C60" s="735"/>
      <c r="D60" s="733"/>
      <c r="E60" s="733"/>
      <c r="F60" s="733"/>
      <c r="G60" s="733"/>
      <c r="H60" s="734" t="s">
        <v>6152</v>
      </c>
      <c r="I60" s="734"/>
      <c r="L60" s="733"/>
      <c r="M60" s="733"/>
      <c r="N60" s="733"/>
      <c r="O60" s="736" t="s">
        <v>5863</v>
      </c>
      <c r="P60" s="733"/>
      <c r="Q60" s="733"/>
      <c r="R60" s="733"/>
      <c r="S60" s="733"/>
      <c r="T60" s="733"/>
      <c r="U60" s="628"/>
      <c r="V60" s="628"/>
      <c r="W60" s="724" t="s">
        <v>5874</v>
      </c>
      <c r="Y60" s="628"/>
      <c r="Z60" s="628"/>
      <c r="AA60" s="628"/>
      <c r="AB60" s="634"/>
    </row>
    <row r="61" spans="1:28" s="629" customFormat="1" ht="19.5" customHeight="1">
      <c r="A61" s="675"/>
      <c r="B61" s="734" t="s">
        <v>6880</v>
      </c>
      <c r="C61" s="735"/>
      <c r="D61" s="733"/>
      <c r="E61" s="733"/>
      <c r="F61" s="733"/>
      <c r="G61" s="733"/>
      <c r="H61" s="734" t="s">
        <v>6153</v>
      </c>
      <c r="I61" s="734"/>
      <c r="L61" s="733"/>
      <c r="M61" s="733"/>
      <c r="N61" s="733"/>
      <c r="O61" s="736" t="s">
        <v>5865</v>
      </c>
      <c r="P61" s="733"/>
      <c r="Q61" s="733"/>
      <c r="R61" s="733"/>
      <c r="S61" s="733"/>
      <c r="T61" s="733"/>
      <c r="U61" s="628"/>
      <c r="V61" s="628"/>
      <c r="W61" s="734" t="s">
        <v>5866</v>
      </c>
      <c r="Y61" s="628"/>
      <c r="Z61" s="628"/>
      <c r="AA61" s="628"/>
      <c r="AB61" s="634"/>
    </row>
    <row r="62" spans="1:28" s="629" customFormat="1" ht="19.5" customHeight="1" thickBot="1">
      <c r="A62" s="675"/>
      <c r="B62" s="734" t="s">
        <v>5244</v>
      </c>
      <c r="C62" s="735"/>
      <c r="D62" s="733"/>
      <c r="E62" s="733"/>
      <c r="F62" s="733"/>
      <c r="G62" s="733"/>
      <c r="H62" s="734" t="s">
        <v>5265</v>
      </c>
      <c r="I62" s="734"/>
      <c r="L62" s="733"/>
      <c r="M62" s="733"/>
      <c r="N62" s="733"/>
      <c r="O62" s="736" t="s">
        <v>5867</v>
      </c>
      <c r="P62" s="733"/>
      <c r="Q62" s="733"/>
      <c r="R62" s="733"/>
      <c r="S62" s="733"/>
      <c r="T62" s="733"/>
      <c r="U62" s="628"/>
      <c r="V62" s="628"/>
      <c r="W62" s="724" t="s">
        <v>5868</v>
      </c>
      <c r="Y62" s="628"/>
      <c r="Z62" s="628"/>
      <c r="AA62" s="628"/>
      <c r="AB62" s="634"/>
    </row>
    <row r="63" spans="1:28" s="692" customFormat="1" ht="25.5" customHeight="1" thickBot="1">
      <c r="A63" s="683" t="s">
        <v>4561</v>
      </c>
      <c r="B63" s="758" t="str">
        <f>+"EMPLEADOS FIJOS_NOMINA_1RA QNA_"&amp;NOMINA!F9&amp;"_"&amp;NOMINA!H9</f>
        <v>EMPLEADOS FIJOS_NOMINA_1RA QNA_ENERO_2025</v>
      </c>
      <c r="C63" s="870"/>
      <c r="D63" s="871"/>
      <c r="E63" s="870"/>
      <c r="F63" s="871"/>
      <c r="G63" s="872"/>
      <c r="H63" s="873"/>
      <c r="I63" s="874"/>
      <c r="J63" s="874"/>
      <c r="K63" s="874"/>
      <c r="L63" s="874"/>
      <c r="M63" s="874"/>
      <c r="N63" s="875"/>
      <c r="O63" s="874"/>
      <c r="P63" s="876"/>
      <c r="Q63" s="876"/>
      <c r="R63" s="876"/>
      <c r="S63" s="876"/>
      <c r="T63" s="876"/>
      <c r="U63" s="874"/>
      <c r="V63" s="874"/>
      <c r="W63" s="874"/>
      <c r="X63" s="874"/>
      <c r="Y63" s="874"/>
      <c r="Z63" s="874"/>
      <c r="AA63" s="877"/>
      <c r="AB63" s="878"/>
    </row>
    <row r="64" spans="1:28" s="629" customFormat="1" ht="20.100000000000001" customHeight="1" thickBot="1">
      <c r="A64" s="770" t="s">
        <v>2846</v>
      </c>
      <c r="B64" s="510">
        <v>1</v>
      </c>
      <c r="C64" s="980">
        <f>+NOMINA!C43</f>
        <v>4324055</v>
      </c>
      <c r="D64" s="981" t="str">
        <f>+NOMINA!D43</f>
        <v>Mejia Linares Alexis de Jesus</v>
      </c>
      <c r="E64" s="978" t="s">
        <v>4622</v>
      </c>
      <c r="F64" s="1006">
        <v>27853</v>
      </c>
      <c r="G64" s="978" t="s">
        <v>4620</v>
      </c>
      <c r="H64" s="1007">
        <f>+NOMINA!H43</f>
        <v>44470</v>
      </c>
      <c r="I64" s="984">
        <f>+NOMINA!I43</f>
        <v>3</v>
      </c>
      <c r="J64" s="985">
        <f>+NOMINA!J43</f>
        <v>0</v>
      </c>
      <c r="K64" s="984">
        <f>I64+J64</f>
        <v>3</v>
      </c>
      <c r="L64" s="985" t="s">
        <v>4932</v>
      </c>
      <c r="M64" s="985"/>
      <c r="N64" s="1002" t="str">
        <f>+NOMINA!O43</f>
        <v>Abogado II</v>
      </c>
      <c r="O64" s="999">
        <f>ROUND(NOMINA!W43,2)</f>
        <v>138.5</v>
      </c>
      <c r="P64" s="999">
        <f>NOMINA!AF43</f>
        <v>4.16</v>
      </c>
      <c r="Q64" s="999">
        <f>NOMINA!AH43</f>
        <v>65</v>
      </c>
      <c r="R64" s="999">
        <f>NOMINA!AC43</f>
        <v>0</v>
      </c>
      <c r="S64" s="999">
        <f>NOMINA!AJ43</f>
        <v>51.92</v>
      </c>
      <c r="T64" s="986">
        <f t="shared" ref="T64" si="14">+P42+Q42+R42+S42</f>
        <v>99.11</v>
      </c>
      <c r="U64" s="999">
        <f>ROUND(NOMINA!BL43,2)</f>
        <v>19.170000000000002</v>
      </c>
      <c r="V64" s="999">
        <f>ROUND(NOMINA!BM43,2)</f>
        <v>2.4</v>
      </c>
      <c r="W64" s="999">
        <f>ROUND(+NOMINA!BN43,2)</f>
        <v>5.19</v>
      </c>
      <c r="X64" s="999">
        <f>ROUND(NOMINA!BO43,2)</f>
        <v>0</v>
      </c>
      <c r="Y64" s="999">
        <f>ROUND(NOMINA!BP43,2)</f>
        <v>0</v>
      </c>
      <c r="Z64" s="986">
        <f t="shared" ref="Z64" si="15">ROUND(SUM(U49:Y49),2)</f>
        <v>32.5</v>
      </c>
      <c r="AA64" s="999">
        <f>ROUND(NOMINA!BK43,2)</f>
        <v>0</v>
      </c>
      <c r="AB64" s="866">
        <f t="shared" ref="AB64" si="16">+O64+P64+Q64+R64+S64-(U64+V64+W64+X64+Y64)+AA64</f>
        <v>232.82</v>
      </c>
    </row>
    <row r="65" spans="1:28" s="629" customFormat="1" ht="20.100000000000001" customHeight="1" thickBot="1">
      <c r="A65" s="770"/>
      <c r="B65" s="510">
        <f>+B64+1</f>
        <v>2</v>
      </c>
      <c r="C65" s="980">
        <f>+NOMINA!C44</f>
        <v>4657974</v>
      </c>
      <c r="D65" s="981" t="str">
        <f>+NOMINA!D44</f>
        <v>Balestrini Nuñez Ulises Ramon</v>
      </c>
      <c r="E65" s="978" t="s">
        <v>4622</v>
      </c>
      <c r="F65" s="1006">
        <v>27853</v>
      </c>
      <c r="G65" s="978" t="s">
        <v>4620</v>
      </c>
      <c r="H65" s="1007">
        <f>+NOMINA!H44</f>
        <v>39463</v>
      </c>
      <c r="I65" s="984">
        <f>+NOMINA!I44</f>
        <v>17</v>
      </c>
      <c r="J65" s="985">
        <f>+NOMINA!J44</f>
        <v>0</v>
      </c>
      <c r="K65" s="984">
        <f t="shared" ref="K65:K128" si="17">I65+J65</f>
        <v>17</v>
      </c>
      <c r="L65" s="985" t="s">
        <v>4932</v>
      </c>
      <c r="M65" s="985"/>
      <c r="N65" s="1002" t="str">
        <f>+NOMINA!O44</f>
        <v>Promotor Cultural I</v>
      </c>
      <c r="O65" s="999">
        <f>ROUND(NOMINA!W44,2)</f>
        <v>88</v>
      </c>
      <c r="P65" s="999">
        <f>NOMINA!AF44</f>
        <v>18.66</v>
      </c>
      <c r="Q65" s="999">
        <f>NOMINA!AH44</f>
        <v>65</v>
      </c>
      <c r="R65" s="999">
        <f>NOMINA!AC44</f>
        <v>0</v>
      </c>
      <c r="S65" s="999">
        <f>NOMINA!AJ44</f>
        <v>0</v>
      </c>
      <c r="T65" s="986">
        <f t="shared" ref="T65:T128" si="18">+P43+Q43+R43+S43</f>
        <v>177.91</v>
      </c>
      <c r="U65" s="999">
        <f>ROUND(NOMINA!BL44,2)</f>
        <v>12.68</v>
      </c>
      <c r="V65" s="999">
        <f>ROUND(NOMINA!BM44,2)</f>
        <v>1.58</v>
      </c>
      <c r="W65" s="999">
        <f>ROUND(+NOMINA!BN44,2)</f>
        <v>3.43</v>
      </c>
      <c r="X65" s="999">
        <f>ROUND(NOMINA!BO44,2)</f>
        <v>0</v>
      </c>
      <c r="Y65" s="999">
        <f>ROUND(NOMINA!BP44,2)</f>
        <v>0</v>
      </c>
      <c r="Z65" s="986">
        <f t="shared" ref="Z65:Z128" si="19">ROUND(SUM(U50:Y50),2)</f>
        <v>30.01</v>
      </c>
      <c r="AA65" s="999">
        <f>ROUND(NOMINA!BK44,2)</f>
        <v>0</v>
      </c>
      <c r="AB65" s="866">
        <f t="shared" ref="AB65:AB128" si="20">+O65+P65+Q65+R65+S65-(U65+V65+W65+X65+Y65)+AA65</f>
        <v>153.97</v>
      </c>
    </row>
    <row r="66" spans="1:28" s="629" customFormat="1" ht="20.100000000000001" customHeight="1" thickBot="1">
      <c r="A66" s="770" t="s">
        <v>2846</v>
      </c>
      <c r="B66" s="510">
        <f>+B65+1</f>
        <v>3</v>
      </c>
      <c r="C66" s="980">
        <f>+NOMINA!C45</f>
        <v>5762861</v>
      </c>
      <c r="D66" s="981" t="str">
        <f>+NOMINA!D45</f>
        <v>Aldana Duran Delia Mercedes</v>
      </c>
      <c r="E66" s="978" t="s">
        <v>4622</v>
      </c>
      <c r="F66" s="1006">
        <v>27853</v>
      </c>
      <c r="G66" s="978" t="s">
        <v>4620</v>
      </c>
      <c r="H66" s="1007">
        <f>+NOMINA!H45</f>
        <v>37851</v>
      </c>
      <c r="I66" s="984">
        <f>+NOMINA!I45</f>
        <v>21</v>
      </c>
      <c r="J66" s="985">
        <f>+NOMINA!J45</f>
        <v>4</v>
      </c>
      <c r="K66" s="984">
        <f t="shared" si="17"/>
        <v>25</v>
      </c>
      <c r="L66" s="985" t="s">
        <v>4932</v>
      </c>
      <c r="M66" s="985"/>
      <c r="N66" s="1002" t="str">
        <f>+NOMINA!O45</f>
        <v>Jefe de Centro</v>
      </c>
      <c r="O66" s="999">
        <f>ROUND(NOMINA!W45,2)</f>
        <v>143.5</v>
      </c>
      <c r="P66" s="999">
        <f>NOMINA!AF45</f>
        <v>43.05</v>
      </c>
      <c r="Q66" s="999">
        <f>NOMINA!AH45</f>
        <v>65</v>
      </c>
      <c r="R66" s="999">
        <f>NOMINA!AC45</f>
        <v>0</v>
      </c>
      <c r="S66" s="999">
        <f>NOMINA!AJ45</f>
        <v>62.89</v>
      </c>
      <c r="T66" s="986">
        <f t="shared" si="18"/>
        <v>155.69999999999999</v>
      </c>
      <c r="U66" s="999">
        <f>ROUND(NOMINA!BL45,2)</f>
        <v>0</v>
      </c>
      <c r="V66" s="999">
        <f>ROUND(NOMINA!BM45,2)</f>
        <v>0</v>
      </c>
      <c r="W66" s="999">
        <f>ROUND(+NOMINA!BN45,2)</f>
        <v>6.29</v>
      </c>
      <c r="X66" s="999">
        <f>ROUND(NOMINA!BO45,2)</f>
        <v>0</v>
      </c>
      <c r="Y66" s="999">
        <f>ROUND(NOMINA!BP45,2)</f>
        <v>0</v>
      </c>
      <c r="Z66" s="986">
        <f t="shared" si="19"/>
        <v>32.71</v>
      </c>
      <c r="AA66" s="999">
        <f>ROUND(NOMINA!BK45,2)</f>
        <v>0</v>
      </c>
      <c r="AB66" s="866">
        <f t="shared" si="20"/>
        <v>308.14999999999998</v>
      </c>
    </row>
    <row r="67" spans="1:28" s="629" customFormat="1" ht="20.100000000000001" customHeight="1" thickBot="1">
      <c r="A67" s="770" t="s">
        <v>2846</v>
      </c>
      <c r="B67" s="510">
        <f t="shared" ref="B67:B150" ca="1" si="21">OFFSET(B67,-1,0)+1</f>
        <v>4</v>
      </c>
      <c r="C67" s="980">
        <f>+NOMINA!C46</f>
        <v>5782060</v>
      </c>
      <c r="D67" s="981" t="str">
        <f>+NOMINA!D46</f>
        <v>Linares Araujo Adolfo Jose</v>
      </c>
      <c r="E67" s="978" t="s">
        <v>4622</v>
      </c>
      <c r="F67" s="1006">
        <v>27853</v>
      </c>
      <c r="G67" s="978" t="s">
        <v>4620</v>
      </c>
      <c r="H67" s="1007">
        <f>+NOMINA!H46</f>
        <v>39539</v>
      </c>
      <c r="I67" s="984">
        <f>+NOMINA!I46</f>
        <v>16</v>
      </c>
      <c r="J67" s="985">
        <f>+NOMINA!J46</f>
        <v>0</v>
      </c>
      <c r="K67" s="984">
        <f t="shared" si="17"/>
        <v>16</v>
      </c>
      <c r="L67" s="985" t="s">
        <v>4932</v>
      </c>
      <c r="M67" s="985"/>
      <c r="N67" s="1002" t="str">
        <f>+NOMINA!O46</f>
        <v>Asistente Administrativo III</v>
      </c>
      <c r="O67" s="999">
        <f>ROUND(NOMINA!W46,2)</f>
        <v>113</v>
      </c>
      <c r="P67" s="999">
        <f>NOMINA!AF46</f>
        <v>22.15</v>
      </c>
      <c r="Q67" s="999">
        <f>NOMINA!AH46</f>
        <v>65</v>
      </c>
      <c r="R67" s="999">
        <f>NOMINA!AC46</f>
        <v>0</v>
      </c>
      <c r="S67" s="999">
        <f>NOMINA!AJ46</f>
        <v>40.03</v>
      </c>
      <c r="T67" s="986">
        <f t="shared" si="18"/>
        <v>203.2</v>
      </c>
      <c r="U67" s="999">
        <f>ROUND(NOMINA!BL46,2)</f>
        <v>17.739999999999998</v>
      </c>
      <c r="V67" s="999">
        <f>ROUND(NOMINA!BM46,2)</f>
        <v>2.2200000000000002</v>
      </c>
      <c r="W67" s="999">
        <f>ROUND(+NOMINA!BN46,2)</f>
        <v>4.8</v>
      </c>
      <c r="X67" s="999">
        <f>ROUND(NOMINA!BO46,2)</f>
        <v>0</v>
      </c>
      <c r="Y67" s="999">
        <f>ROUND(NOMINA!BP46,2)</f>
        <v>0</v>
      </c>
      <c r="Z67" s="986">
        <f t="shared" si="19"/>
        <v>31.24</v>
      </c>
      <c r="AA67" s="999">
        <f>ROUND(NOMINA!BK46,2)</f>
        <v>0</v>
      </c>
      <c r="AB67" s="866">
        <f t="shared" si="20"/>
        <v>215.42000000000002</v>
      </c>
    </row>
    <row r="68" spans="1:28" s="629" customFormat="1" ht="20.100000000000001" customHeight="1" thickBot="1">
      <c r="A68" s="770" t="s">
        <v>2846</v>
      </c>
      <c r="B68" s="510">
        <f t="shared" ca="1" si="21"/>
        <v>5</v>
      </c>
      <c r="C68" s="980">
        <f>+NOMINA!C47</f>
        <v>5790501</v>
      </c>
      <c r="D68" s="981" t="str">
        <f>+NOMINA!D47</f>
        <v>Castellanos de Araujo Maria Eustoquia</v>
      </c>
      <c r="E68" s="978" t="s">
        <v>4622</v>
      </c>
      <c r="F68" s="1006">
        <v>27853</v>
      </c>
      <c r="G68" s="978" t="s">
        <v>4620</v>
      </c>
      <c r="H68" s="1007">
        <f>+NOMINA!H47</f>
        <v>39707</v>
      </c>
      <c r="I68" s="984">
        <f>+NOMINA!I47</f>
        <v>16</v>
      </c>
      <c r="J68" s="985">
        <f>+NOMINA!J47</f>
        <v>3</v>
      </c>
      <c r="K68" s="984">
        <f t="shared" si="17"/>
        <v>19</v>
      </c>
      <c r="L68" s="985" t="s">
        <v>4932</v>
      </c>
      <c r="M68" s="985"/>
      <c r="N68" s="1002" t="str">
        <f>+NOMINA!O47</f>
        <v>Asistente de Analista III</v>
      </c>
      <c r="O68" s="999">
        <f>ROUND(NOMINA!W47,2)</f>
        <v>114</v>
      </c>
      <c r="P68" s="999">
        <f>NOMINA!AF47</f>
        <v>27.82</v>
      </c>
      <c r="Q68" s="999">
        <f>NOMINA!AH47</f>
        <v>65</v>
      </c>
      <c r="R68" s="999">
        <f>NOMINA!AC47</f>
        <v>0</v>
      </c>
      <c r="S68" s="999">
        <f>NOMINA!AJ47</f>
        <v>51.71</v>
      </c>
      <c r="T68" s="986">
        <f t="shared" si="18"/>
        <v>117.2</v>
      </c>
      <c r="U68" s="999">
        <f>ROUND(NOMINA!BL47,2)</f>
        <v>19.09</v>
      </c>
      <c r="V68" s="999">
        <f>ROUND(NOMINA!BM47,2)</f>
        <v>2.39</v>
      </c>
      <c r="W68" s="999">
        <f>ROUND(+NOMINA!BN47,2)</f>
        <v>5.17</v>
      </c>
      <c r="X68" s="999">
        <f>ROUND(NOMINA!BO47,2)</f>
        <v>0</v>
      </c>
      <c r="Y68" s="999">
        <f>ROUND(NOMINA!BP47,2)</f>
        <v>0</v>
      </c>
      <c r="Z68" s="986">
        <f t="shared" si="19"/>
        <v>26.82</v>
      </c>
      <c r="AA68" s="999">
        <f>ROUND(NOMINA!BK47,2)</f>
        <v>0</v>
      </c>
      <c r="AB68" s="866">
        <f t="shared" si="20"/>
        <v>231.87999999999997</v>
      </c>
    </row>
    <row r="69" spans="1:28" s="629" customFormat="1" ht="20.100000000000001" customHeight="1" thickBot="1">
      <c r="A69" s="770" t="s">
        <v>2846</v>
      </c>
      <c r="B69" s="510">
        <f t="shared" ca="1" si="21"/>
        <v>6</v>
      </c>
      <c r="C69" s="980">
        <f>+NOMINA!C48</f>
        <v>7744688</v>
      </c>
      <c r="D69" s="981" t="str">
        <f>+NOMINA!D48</f>
        <v>Aguilera Carroz Gerardo Raul</v>
      </c>
      <c r="E69" s="978" t="s">
        <v>4622</v>
      </c>
      <c r="F69" s="1006">
        <v>27853</v>
      </c>
      <c r="G69" s="978" t="s">
        <v>4620</v>
      </c>
      <c r="H69" s="1007">
        <f>+NOMINA!H48</f>
        <v>44713</v>
      </c>
      <c r="I69" s="984">
        <f>+NOMINA!I48</f>
        <v>2</v>
      </c>
      <c r="J69" s="985">
        <f>+NOMINA!J48</f>
        <v>0</v>
      </c>
      <c r="K69" s="984">
        <f t="shared" si="17"/>
        <v>2</v>
      </c>
      <c r="L69" s="985" t="s">
        <v>4932</v>
      </c>
      <c r="M69" s="985"/>
      <c r="N69" s="1002" t="str">
        <f>+NOMINA!O48</f>
        <v>Asistente Administrativo III</v>
      </c>
      <c r="O69" s="999">
        <f>ROUND(NOMINA!W48,2)</f>
        <v>96</v>
      </c>
      <c r="P69" s="999">
        <f>NOMINA!AF48</f>
        <v>1.92</v>
      </c>
      <c r="Q69" s="999">
        <f>NOMINA!AH48</f>
        <v>65</v>
      </c>
      <c r="R69" s="999">
        <f>NOMINA!AC48</f>
        <v>0</v>
      </c>
      <c r="S69" s="999">
        <f>NOMINA!AJ48</f>
        <v>32.590000000000003</v>
      </c>
      <c r="T69" s="986">
        <f t="shared" si="18"/>
        <v>219.12</v>
      </c>
      <c r="U69" s="999">
        <f>ROUND(NOMINA!BL48,2)</f>
        <v>14.44</v>
      </c>
      <c r="V69" s="999">
        <f>ROUND(NOMINA!BM48,2)</f>
        <v>1.8</v>
      </c>
      <c r="W69" s="999">
        <f>ROUND(+NOMINA!BN48,2)</f>
        <v>3.91</v>
      </c>
      <c r="X69" s="999">
        <f>ROUND(NOMINA!BO48,2)</f>
        <v>0</v>
      </c>
      <c r="Y69" s="999">
        <f>ROUND(NOMINA!BP48,2)</f>
        <v>0</v>
      </c>
      <c r="Z69" s="986">
        <f t="shared" si="19"/>
        <v>800.62</v>
      </c>
      <c r="AA69" s="999">
        <f>ROUND(NOMINA!BK48,2)</f>
        <v>0</v>
      </c>
      <c r="AB69" s="866">
        <f t="shared" si="20"/>
        <v>175.36</v>
      </c>
    </row>
    <row r="70" spans="1:28" s="629" customFormat="1" ht="20.100000000000001" customHeight="1" thickBot="1">
      <c r="A70" s="770" t="s">
        <v>2846</v>
      </c>
      <c r="B70" s="510">
        <f t="shared" ca="1" si="21"/>
        <v>7</v>
      </c>
      <c r="C70" s="980">
        <f>+NOMINA!C49</f>
        <v>7890070</v>
      </c>
      <c r="D70" s="981" t="str">
        <f>+NOMINA!D49</f>
        <v>Pacheco Bermudez Bebsabeth Coromoto</v>
      </c>
      <c r="E70" s="978" t="s">
        <v>4622</v>
      </c>
      <c r="F70" s="1006">
        <v>27853</v>
      </c>
      <c r="G70" s="978" t="s">
        <v>4620</v>
      </c>
      <c r="H70" s="1007">
        <f>+NOMINA!H49</f>
        <v>38930</v>
      </c>
      <c r="I70" s="984">
        <f>+NOMINA!I49</f>
        <v>18</v>
      </c>
      <c r="J70" s="985">
        <f>+NOMINA!J49</f>
        <v>5</v>
      </c>
      <c r="K70" s="984">
        <f t="shared" si="17"/>
        <v>23</v>
      </c>
      <c r="L70" s="985" t="s">
        <v>4932</v>
      </c>
      <c r="M70" s="985"/>
      <c r="N70" s="1002" t="str">
        <f>+NOMINA!O49</f>
        <v>Guia de Centro II</v>
      </c>
      <c r="O70" s="999">
        <f>ROUND(NOMINA!W49,2)</f>
        <v>88.5</v>
      </c>
      <c r="P70" s="999">
        <f>NOMINA!AF49</f>
        <v>26.55</v>
      </c>
      <c r="Q70" s="999">
        <f>NOMINA!AH49</f>
        <v>65</v>
      </c>
      <c r="R70" s="999">
        <f>NOMINA!AC49</f>
        <v>0</v>
      </c>
      <c r="S70" s="999">
        <f>NOMINA!AJ49</f>
        <v>0</v>
      </c>
      <c r="T70" s="986">
        <f t="shared" si="18"/>
        <v>143.17000000000002</v>
      </c>
      <c r="U70" s="999">
        <f>ROUND(NOMINA!BL49,2)</f>
        <v>13.3</v>
      </c>
      <c r="V70" s="999">
        <f>ROUND(NOMINA!BM49,2)</f>
        <v>1.66</v>
      </c>
      <c r="W70" s="999">
        <f>ROUND(+NOMINA!BN49,2)</f>
        <v>3.6</v>
      </c>
      <c r="X70" s="999">
        <f>ROUND(NOMINA!BO49,2)</f>
        <v>0</v>
      </c>
      <c r="Y70" s="999">
        <f>ROUND(NOMINA!BP49,2)</f>
        <v>0</v>
      </c>
      <c r="Z70" s="986">
        <f t="shared" si="19"/>
        <v>0</v>
      </c>
      <c r="AA70" s="999">
        <f>ROUND(NOMINA!BK49,2)</f>
        <v>0</v>
      </c>
      <c r="AB70" s="866">
        <f t="shared" si="20"/>
        <v>161.49</v>
      </c>
    </row>
    <row r="71" spans="1:28" s="629" customFormat="1" ht="20.100000000000001" customHeight="1" thickBot="1">
      <c r="A71" s="770" t="s">
        <v>2846</v>
      </c>
      <c r="B71" s="510">
        <f t="shared" ca="1" si="21"/>
        <v>8</v>
      </c>
      <c r="C71" s="980">
        <f>+NOMINA!C50</f>
        <v>8719807</v>
      </c>
      <c r="D71" s="981" t="str">
        <f>+NOMINA!D50</f>
        <v>Perez Saavedra Isabel Teresa</v>
      </c>
      <c r="E71" s="978" t="s">
        <v>4622</v>
      </c>
      <c r="F71" s="1006">
        <v>27853</v>
      </c>
      <c r="G71" s="978" t="s">
        <v>4620</v>
      </c>
      <c r="H71" s="1007">
        <f>+NOMINA!H50</f>
        <v>39874</v>
      </c>
      <c r="I71" s="984">
        <f>+NOMINA!I50</f>
        <v>15</v>
      </c>
      <c r="J71" s="985">
        <f>+NOMINA!J50</f>
        <v>4</v>
      </c>
      <c r="K71" s="984">
        <f t="shared" si="17"/>
        <v>19</v>
      </c>
      <c r="L71" s="985" t="s">
        <v>4932</v>
      </c>
      <c r="M71" s="985"/>
      <c r="N71" s="1002" t="str">
        <f>+NOMINA!O50</f>
        <v>Abogado Jefe</v>
      </c>
      <c r="O71" s="999">
        <f>ROUND(NOMINA!W50,2)</f>
        <v>0</v>
      </c>
      <c r="P71" s="999">
        <f>NOMINA!AF50</f>
        <v>0</v>
      </c>
      <c r="Q71" s="999">
        <f>NOMINA!AH50</f>
        <v>0</v>
      </c>
      <c r="R71" s="999">
        <f>NOMINA!AC50</f>
        <v>0</v>
      </c>
      <c r="S71" s="999">
        <f>NOMINA!AJ50</f>
        <v>0</v>
      </c>
      <c r="T71" s="986">
        <f t="shared" si="18"/>
        <v>147.51999999999998</v>
      </c>
      <c r="U71" s="999">
        <f>ROUND(NOMINA!BL50,2)</f>
        <v>0</v>
      </c>
      <c r="V71" s="999">
        <f>ROUND(NOMINA!BM50,2)</f>
        <v>0</v>
      </c>
      <c r="W71" s="999">
        <f>ROUND(+NOMINA!BN50,2)</f>
        <v>0</v>
      </c>
      <c r="X71" s="999">
        <f>ROUND(NOMINA!BO50,2)</f>
        <v>0</v>
      </c>
      <c r="Y71" s="999">
        <f>ROUND(NOMINA!BP50,2)</f>
        <v>0</v>
      </c>
      <c r="Z71" s="986">
        <f t="shared" si="19"/>
        <v>0</v>
      </c>
      <c r="AA71" s="999">
        <f>ROUND(NOMINA!BK50,2)</f>
        <v>0</v>
      </c>
      <c r="AB71" s="866">
        <f t="shared" si="20"/>
        <v>0</v>
      </c>
    </row>
    <row r="72" spans="1:28" s="629" customFormat="1" ht="20.100000000000001" customHeight="1" thickBot="1">
      <c r="A72" s="770" t="s">
        <v>2846</v>
      </c>
      <c r="B72" s="510">
        <f t="shared" ca="1" si="21"/>
        <v>9</v>
      </c>
      <c r="C72" s="980">
        <f>+NOMINA!C51</f>
        <v>8266170</v>
      </c>
      <c r="D72" s="981" t="str">
        <f>+NOMINA!D51</f>
        <v>Aguana Sanchez Yraida Josefina</v>
      </c>
      <c r="E72" s="978" t="s">
        <v>4622</v>
      </c>
      <c r="F72" s="1006">
        <v>27853</v>
      </c>
      <c r="G72" s="978" t="s">
        <v>4620</v>
      </c>
      <c r="H72" s="1007">
        <f>+NOMINA!H51</f>
        <v>45323</v>
      </c>
      <c r="I72" s="984">
        <f>+NOMINA!I51</f>
        <v>0</v>
      </c>
      <c r="J72" s="985">
        <f>+NOMINA!J51</f>
        <v>5</v>
      </c>
      <c r="K72" s="984">
        <f t="shared" si="17"/>
        <v>5</v>
      </c>
      <c r="L72" s="985" t="s">
        <v>4932</v>
      </c>
      <c r="M72" s="985"/>
      <c r="N72" s="1002" t="str">
        <f>+NOMINA!O51</f>
        <v>Guia de Centro I</v>
      </c>
      <c r="O72" s="999">
        <f>ROUND(NOMINA!W51,2)</f>
        <v>96</v>
      </c>
      <c r="P72" s="999">
        <f>NOMINA!AF51</f>
        <v>4.8</v>
      </c>
      <c r="Q72" s="999">
        <f>NOMINA!AH51</f>
        <v>65</v>
      </c>
      <c r="R72" s="999">
        <f>NOMINA!AC51</f>
        <v>12.5</v>
      </c>
      <c r="S72" s="999">
        <f>NOMINA!AJ51</f>
        <v>43.02</v>
      </c>
      <c r="T72" s="986">
        <f t="shared" si="18"/>
        <v>129.67000000000002</v>
      </c>
      <c r="U72" s="999">
        <f>ROUND(NOMINA!BL51,2)</f>
        <v>20.65</v>
      </c>
      <c r="V72" s="999">
        <f>ROUND(NOMINA!BM51,2)</f>
        <v>2.58</v>
      </c>
      <c r="W72" s="999">
        <f>ROUND(+NOMINA!BN51,2)</f>
        <v>5.59</v>
      </c>
      <c r="X72" s="999">
        <f>ROUND(NOMINA!BO51,2)</f>
        <v>0</v>
      </c>
      <c r="Y72" s="999">
        <f>ROUND(NOMINA!BP51,2)</f>
        <v>0</v>
      </c>
      <c r="Z72" s="986">
        <f t="shared" si="19"/>
        <v>0</v>
      </c>
      <c r="AA72" s="999">
        <f>ROUND(NOMINA!BK51,2)</f>
        <v>0</v>
      </c>
      <c r="AB72" s="866">
        <f t="shared" si="20"/>
        <v>192.50000000000003</v>
      </c>
    </row>
    <row r="73" spans="1:28" s="629" customFormat="1" ht="20.100000000000001" customHeight="1" thickBot="1">
      <c r="A73" s="770" t="s">
        <v>2846</v>
      </c>
      <c r="B73" s="510">
        <f t="shared" ca="1" si="21"/>
        <v>10</v>
      </c>
      <c r="C73" s="980">
        <f>+NOMINA!C52</f>
        <v>9162178</v>
      </c>
      <c r="D73" s="981" t="str">
        <f>+NOMINA!D52</f>
        <v>Duarte de Bastidas Gladys Margarita</v>
      </c>
      <c r="E73" s="978" t="s">
        <v>4622</v>
      </c>
      <c r="F73" s="1006">
        <v>27853</v>
      </c>
      <c r="G73" s="978" t="s">
        <v>4620</v>
      </c>
      <c r="H73" s="1007">
        <f>+NOMINA!H52</f>
        <v>39566</v>
      </c>
      <c r="I73" s="984">
        <f>+NOMINA!I52</f>
        <v>16</v>
      </c>
      <c r="J73" s="985">
        <f>+NOMINA!J52</f>
        <v>4</v>
      </c>
      <c r="K73" s="984">
        <f t="shared" si="17"/>
        <v>20</v>
      </c>
      <c r="L73" s="985" t="s">
        <v>4932</v>
      </c>
      <c r="M73" s="985"/>
      <c r="N73" s="1002" t="str">
        <f>+NOMINA!O52</f>
        <v>Guia de Centro II</v>
      </c>
      <c r="O73" s="999">
        <f>ROUND(NOMINA!W52,2)</f>
        <v>88.5</v>
      </c>
      <c r="P73" s="999">
        <f>NOMINA!AF52</f>
        <v>23.01</v>
      </c>
      <c r="Q73" s="999">
        <f>NOMINA!AH52</f>
        <v>65</v>
      </c>
      <c r="R73" s="999">
        <f>NOMINA!AC52</f>
        <v>0</v>
      </c>
      <c r="S73" s="999">
        <f>NOMINA!AJ52</f>
        <v>0</v>
      </c>
      <c r="T73" s="986">
        <f t="shared" si="18"/>
        <v>155.76</v>
      </c>
      <c r="U73" s="999">
        <f>ROUND(NOMINA!BL52,2)</f>
        <v>16.95</v>
      </c>
      <c r="V73" s="999">
        <f>ROUND(NOMINA!BM52,2)</f>
        <v>2.12</v>
      </c>
      <c r="W73" s="999">
        <f>ROUND(+NOMINA!BN52,2)</f>
        <v>4.59</v>
      </c>
      <c r="X73" s="999">
        <f>ROUND(NOMINA!BO52,2)</f>
        <v>0</v>
      </c>
      <c r="Y73" s="999">
        <f>ROUND(NOMINA!BP52,2)</f>
        <v>0</v>
      </c>
      <c r="Z73" s="986">
        <f t="shared" si="19"/>
        <v>0</v>
      </c>
      <c r="AA73" s="999">
        <f>ROUND(NOMINA!BK52,2)</f>
        <v>0</v>
      </c>
      <c r="AB73" s="866">
        <f t="shared" si="20"/>
        <v>152.85</v>
      </c>
    </row>
    <row r="74" spans="1:28" s="629" customFormat="1" ht="20.100000000000001" customHeight="1" thickBot="1">
      <c r="A74" s="770" t="s">
        <v>2846</v>
      </c>
      <c r="B74" s="510">
        <f t="shared" ca="1" si="21"/>
        <v>11</v>
      </c>
      <c r="C74" s="980">
        <f>+NOMINA!C53</f>
        <v>9162243</v>
      </c>
      <c r="D74" s="981" t="str">
        <f>+NOMINA!D53</f>
        <v>Valera Borrero Marcos Tulio</v>
      </c>
      <c r="E74" s="978" t="s">
        <v>4622</v>
      </c>
      <c r="F74" s="1006">
        <v>27853</v>
      </c>
      <c r="G74" s="978" t="s">
        <v>4620</v>
      </c>
      <c r="H74" s="1007">
        <f>+NOMINA!H53</f>
        <v>35535</v>
      </c>
      <c r="I74" s="984">
        <f>+NOMINA!I53</f>
        <v>27</v>
      </c>
      <c r="J74" s="985">
        <f>+NOMINA!J53</f>
        <v>0</v>
      </c>
      <c r="K74" s="984">
        <f t="shared" si="17"/>
        <v>27</v>
      </c>
      <c r="L74" s="985" t="s">
        <v>4932</v>
      </c>
      <c r="M74" s="985"/>
      <c r="N74" s="1002" t="str">
        <f>+NOMINA!O53</f>
        <v>Guia de Centro II</v>
      </c>
      <c r="O74" s="999">
        <f>ROUND(NOMINA!W53,2)</f>
        <v>88.5</v>
      </c>
      <c r="P74" s="999">
        <f>NOMINA!AF53</f>
        <v>26.55</v>
      </c>
      <c r="Q74" s="999">
        <f>NOMINA!AH53</f>
        <v>65</v>
      </c>
      <c r="R74" s="999">
        <f>NOMINA!AC53</f>
        <v>0</v>
      </c>
      <c r="S74" s="999">
        <f>NOMINA!AJ53</f>
        <v>0</v>
      </c>
      <c r="T74" s="986">
        <f t="shared" si="18"/>
        <v>129.1</v>
      </c>
      <c r="U74" s="999">
        <f>ROUND(NOMINA!BL53,2)</f>
        <v>13.3</v>
      </c>
      <c r="V74" s="999">
        <f>ROUND(NOMINA!BM53,2)</f>
        <v>1.66</v>
      </c>
      <c r="W74" s="999">
        <f>ROUND(+NOMINA!BN53,2)</f>
        <v>3.6</v>
      </c>
      <c r="X74" s="999">
        <f>ROUND(NOMINA!BO53,2)</f>
        <v>0</v>
      </c>
      <c r="Y74" s="999">
        <f>ROUND(NOMINA!BP53,2)</f>
        <v>0</v>
      </c>
      <c r="Z74" s="986">
        <f t="shared" si="19"/>
        <v>0</v>
      </c>
      <c r="AA74" s="999">
        <f>ROUND(NOMINA!BK53,2)</f>
        <v>0</v>
      </c>
      <c r="AB74" s="866">
        <f t="shared" si="20"/>
        <v>161.49</v>
      </c>
    </row>
    <row r="75" spans="1:28" s="629" customFormat="1" ht="20.100000000000001" customHeight="1" thickBot="1">
      <c r="A75" s="770" t="s">
        <v>2846</v>
      </c>
      <c r="B75" s="510">
        <f t="shared" ca="1" si="21"/>
        <v>12</v>
      </c>
      <c r="C75" s="980">
        <f>+NOMINA!C54</f>
        <v>9170647</v>
      </c>
      <c r="D75" s="981" t="str">
        <f>+NOMINA!D54</f>
        <v>Torres Gonzalez Meris Del Carmen</v>
      </c>
      <c r="E75" s="978" t="s">
        <v>4622</v>
      </c>
      <c r="F75" s="1006">
        <v>27853</v>
      </c>
      <c r="G75" s="978" t="s">
        <v>4620</v>
      </c>
      <c r="H75" s="1007">
        <f>+NOMINA!H54</f>
        <v>39238</v>
      </c>
      <c r="I75" s="984">
        <f>+NOMINA!I54</f>
        <v>17</v>
      </c>
      <c r="J75" s="985">
        <f>+NOMINA!J54</f>
        <v>0</v>
      </c>
      <c r="K75" s="984">
        <f t="shared" si="17"/>
        <v>17</v>
      </c>
      <c r="L75" s="985" t="s">
        <v>4932</v>
      </c>
      <c r="M75" s="985"/>
      <c r="N75" s="1002" t="str">
        <f>+NOMINA!O54</f>
        <v>Guia de Centro II</v>
      </c>
      <c r="O75" s="999">
        <f>ROUND(NOMINA!W54,2)</f>
        <v>113</v>
      </c>
      <c r="P75" s="999">
        <f>NOMINA!AF54</f>
        <v>23.96</v>
      </c>
      <c r="Q75" s="999">
        <f>NOMINA!AH54</f>
        <v>65</v>
      </c>
      <c r="R75" s="999">
        <f>NOMINA!AC54</f>
        <v>0</v>
      </c>
      <c r="S75" s="999">
        <f>NOMINA!AJ54</f>
        <v>40.39</v>
      </c>
      <c r="T75" s="986">
        <f t="shared" si="18"/>
        <v>92.47</v>
      </c>
      <c r="U75" s="999">
        <f>ROUND(NOMINA!BL54,2)</f>
        <v>23.27</v>
      </c>
      <c r="V75" s="999">
        <f>ROUND(NOMINA!BM54,2)</f>
        <v>2.91</v>
      </c>
      <c r="W75" s="999">
        <f>ROUND(+NOMINA!BN54,2)</f>
        <v>6.3</v>
      </c>
      <c r="X75" s="999">
        <f>ROUND(NOMINA!BO54,2)</f>
        <v>0</v>
      </c>
      <c r="Y75" s="999">
        <f>ROUND(NOMINA!BP54,2)</f>
        <v>0</v>
      </c>
      <c r="Z75" s="986">
        <f t="shared" si="19"/>
        <v>0</v>
      </c>
      <c r="AA75" s="999">
        <f>ROUND(NOMINA!BK54,2)</f>
        <v>0</v>
      </c>
      <c r="AB75" s="866">
        <f t="shared" si="20"/>
        <v>209.87000000000003</v>
      </c>
    </row>
    <row r="76" spans="1:28" s="629" customFormat="1" ht="20.100000000000001" customHeight="1" thickBot="1">
      <c r="A76" s="770" t="s">
        <v>2846</v>
      </c>
      <c r="B76" s="510">
        <f t="shared" ca="1" si="21"/>
        <v>13</v>
      </c>
      <c r="C76" s="980">
        <f>+NOMINA!C55</f>
        <v>9177323</v>
      </c>
      <c r="D76" s="981" t="str">
        <f>+NOMINA!D55</f>
        <v>Simancas De Mendoza Alix Josefina</v>
      </c>
      <c r="E76" s="978" t="s">
        <v>4622</v>
      </c>
      <c r="F76" s="1006">
        <v>27853</v>
      </c>
      <c r="G76" s="978" t="s">
        <v>4620</v>
      </c>
      <c r="H76" s="1007">
        <f>+NOMINA!H55</f>
        <v>37879</v>
      </c>
      <c r="I76" s="984">
        <f>+NOMINA!I55</f>
        <v>21</v>
      </c>
      <c r="J76" s="985">
        <f>+NOMINA!J55</f>
        <v>0</v>
      </c>
      <c r="K76" s="984">
        <f t="shared" si="17"/>
        <v>21</v>
      </c>
      <c r="L76" s="985" t="s">
        <v>4932</v>
      </c>
      <c r="M76" s="985"/>
      <c r="N76" s="1002" t="str">
        <f>+NOMINA!O55</f>
        <v>Asistente Administrativo III</v>
      </c>
      <c r="O76" s="999">
        <f>ROUND(NOMINA!W55,2)</f>
        <v>88.5</v>
      </c>
      <c r="P76" s="999">
        <f>NOMINA!AF55</f>
        <v>24.61</v>
      </c>
      <c r="Q76" s="999">
        <f>NOMINA!AH55</f>
        <v>65</v>
      </c>
      <c r="R76" s="999">
        <f>NOMINA!AC55</f>
        <v>0</v>
      </c>
      <c r="S76" s="999">
        <f>NOMINA!AJ55</f>
        <v>0</v>
      </c>
      <c r="T76" s="986">
        <f t="shared" si="18"/>
        <v>3619.8999999999996</v>
      </c>
      <c r="U76" s="999">
        <f>ROUND(NOMINA!BL55,2)</f>
        <v>0</v>
      </c>
      <c r="V76" s="999">
        <f>ROUND(NOMINA!BM55,2)</f>
        <v>0</v>
      </c>
      <c r="W76" s="999">
        <f>ROUND(+NOMINA!BN55,2)</f>
        <v>3.56</v>
      </c>
      <c r="X76" s="999">
        <f>ROUND(NOMINA!BO55,2)</f>
        <v>0</v>
      </c>
      <c r="Y76" s="999">
        <f>ROUND(NOMINA!BP55,2)</f>
        <v>0</v>
      </c>
      <c r="Z76" s="986">
        <f t="shared" si="19"/>
        <v>0</v>
      </c>
      <c r="AA76" s="999">
        <f>ROUND(NOMINA!BK55,2)</f>
        <v>0</v>
      </c>
      <c r="AB76" s="866">
        <f t="shared" si="20"/>
        <v>174.55</v>
      </c>
    </row>
    <row r="77" spans="1:28" s="629" customFormat="1" ht="20.100000000000001" customHeight="1" thickBot="1">
      <c r="A77" s="770" t="s">
        <v>2846</v>
      </c>
      <c r="B77" s="510">
        <f t="shared" ca="1" si="21"/>
        <v>14</v>
      </c>
      <c r="C77" s="980">
        <f>+NOMINA!C56</f>
        <v>9178087</v>
      </c>
      <c r="D77" s="981" t="str">
        <f>+NOMINA!D56</f>
        <v>Saavedra Juan Jose</v>
      </c>
      <c r="E77" s="978" t="s">
        <v>4622</v>
      </c>
      <c r="F77" s="1006">
        <v>27853</v>
      </c>
      <c r="G77" s="978" t="s">
        <v>4620</v>
      </c>
      <c r="H77" s="1007">
        <f>+NOMINA!H56</f>
        <v>37622</v>
      </c>
      <c r="I77" s="984">
        <f>+NOMINA!I56</f>
        <v>22</v>
      </c>
      <c r="J77" s="985">
        <f>+NOMINA!J56</f>
        <v>0</v>
      </c>
      <c r="K77" s="984">
        <f t="shared" si="17"/>
        <v>22</v>
      </c>
      <c r="L77" s="985" t="s">
        <v>4932</v>
      </c>
      <c r="M77" s="985"/>
      <c r="N77" s="1002" t="str">
        <f>+NOMINA!O56</f>
        <v>Asistente Administrativo III</v>
      </c>
      <c r="O77" s="999">
        <f>ROUND(NOMINA!W56,2)</f>
        <v>88.5</v>
      </c>
      <c r="P77" s="999">
        <f>NOMINA!AF56</f>
        <v>26.2</v>
      </c>
      <c r="Q77" s="999">
        <f>NOMINA!AH56</f>
        <v>65</v>
      </c>
      <c r="R77" s="999">
        <f>NOMINA!AC56</f>
        <v>0</v>
      </c>
      <c r="S77" s="999">
        <f>NOMINA!AJ56</f>
        <v>0</v>
      </c>
      <c r="T77" s="986">
        <f t="shared" si="18"/>
        <v>0</v>
      </c>
      <c r="U77" s="999">
        <f>ROUND(NOMINA!BL56,2)</f>
        <v>13.27</v>
      </c>
      <c r="V77" s="999">
        <f>ROUND(NOMINA!BM56,2)</f>
        <v>1.66</v>
      </c>
      <c r="W77" s="999">
        <f>ROUND(+NOMINA!BN56,2)</f>
        <v>3.59</v>
      </c>
      <c r="X77" s="999">
        <f>ROUND(NOMINA!BO56,2)</f>
        <v>0</v>
      </c>
      <c r="Y77" s="999">
        <f>ROUND(NOMINA!BP56,2)</f>
        <v>0</v>
      </c>
      <c r="Z77" s="986">
        <f t="shared" si="19"/>
        <v>0</v>
      </c>
      <c r="AA77" s="999">
        <f>ROUND(NOMINA!BK56,2)</f>
        <v>0</v>
      </c>
      <c r="AB77" s="866">
        <f t="shared" si="20"/>
        <v>161.17999999999998</v>
      </c>
    </row>
    <row r="78" spans="1:28" s="629" customFormat="1" ht="20.100000000000001" customHeight="1" thickBot="1">
      <c r="A78" s="770" t="s">
        <v>2846</v>
      </c>
      <c r="B78" s="510">
        <f t="shared" ca="1" si="21"/>
        <v>15</v>
      </c>
      <c r="C78" s="980">
        <f>+NOMINA!C57</f>
        <v>9179981</v>
      </c>
      <c r="D78" s="981" t="str">
        <f>+NOMINA!D57</f>
        <v>Manzanilla Molina Alfredo Jose</v>
      </c>
      <c r="E78" s="978" t="s">
        <v>4622</v>
      </c>
      <c r="F78" s="1006">
        <v>27853</v>
      </c>
      <c r="G78" s="978" t="s">
        <v>4620</v>
      </c>
      <c r="H78" s="1007">
        <f>+NOMINA!H57</f>
        <v>45597</v>
      </c>
      <c r="I78" s="984">
        <f>+NOMINA!I57</f>
        <v>0</v>
      </c>
      <c r="J78" s="985">
        <f>+NOMINA!J57</f>
        <v>18</v>
      </c>
      <c r="K78" s="984">
        <f t="shared" si="17"/>
        <v>18</v>
      </c>
      <c r="L78" s="985" t="s">
        <v>4932</v>
      </c>
      <c r="M78" s="985"/>
      <c r="N78" s="1002" t="str">
        <f>+NOMINA!O57</f>
        <v>Instructor Agropecuario III</v>
      </c>
      <c r="O78" s="999">
        <f>ROUND(NOMINA!W57,2)</f>
        <v>88.5</v>
      </c>
      <c r="P78" s="999">
        <f>NOMINA!AF57</f>
        <v>20.18</v>
      </c>
      <c r="Q78" s="999">
        <f>NOMINA!AH57</f>
        <v>65</v>
      </c>
      <c r="R78" s="999">
        <f>NOMINA!AC57</f>
        <v>12.5</v>
      </c>
      <c r="S78" s="999">
        <f>NOMINA!AJ57</f>
        <v>44.99</v>
      </c>
      <c r="T78" s="986">
        <f t="shared" si="18"/>
        <v>0</v>
      </c>
      <c r="U78" s="999">
        <f>ROUND(NOMINA!BL57,2)</f>
        <v>16.61</v>
      </c>
      <c r="V78" s="999">
        <f>ROUND(NOMINA!BM57,2)</f>
        <v>2.08</v>
      </c>
      <c r="W78" s="999">
        <f>ROUND(+NOMINA!BN57,2)</f>
        <v>4.5</v>
      </c>
      <c r="X78" s="999">
        <f>ROUND(NOMINA!BO57,2)</f>
        <v>0</v>
      </c>
      <c r="Y78" s="999">
        <f>ROUND(NOMINA!BP57,2)</f>
        <v>0</v>
      </c>
      <c r="Z78" s="986">
        <f t="shared" si="19"/>
        <v>0</v>
      </c>
      <c r="AA78" s="999">
        <f>ROUND(NOMINA!BK57,2)</f>
        <v>0</v>
      </c>
      <c r="AB78" s="866">
        <f t="shared" si="20"/>
        <v>207.98000000000002</v>
      </c>
    </row>
    <row r="79" spans="1:28" s="629" customFormat="1" ht="20.100000000000001" customHeight="1" thickBot="1">
      <c r="A79" s="770" t="s">
        <v>2846</v>
      </c>
      <c r="B79" s="510">
        <f t="shared" ca="1" si="21"/>
        <v>16</v>
      </c>
      <c r="C79" s="980">
        <f>+NOMINA!C58</f>
        <v>9311822</v>
      </c>
      <c r="D79" s="981" t="str">
        <f>+NOMINA!D58</f>
        <v>Rojo Sanchez Alexis O.</v>
      </c>
      <c r="E79" s="978" t="s">
        <v>4622</v>
      </c>
      <c r="F79" s="1006">
        <v>27853</v>
      </c>
      <c r="G79" s="978" t="s">
        <v>4620</v>
      </c>
      <c r="H79" s="1007">
        <f>+NOMINA!H58</f>
        <v>37662</v>
      </c>
      <c r="I79" s="984">
        <f>+NOMINA!I58</f>
        <v>21</v>
      </c>
      <c r="J79" s="985">
        <f>+NOMINA!J58</f>
        <v>0</v>
      </c>
      <c r="K79" s="984">
        <f t="shared" si="17"/>
        <v>21</v>
      </c>
      <c r="L79" s="985" t="s">
        <v>4932</v>
      </c>
      <c r="M79" s="985"/>
      <c r="N79" s="1002" t="str">
        <f>+NOMINA!O58</f>
        <v>Asistente Administrativo III</v>
      </c>
      <c r="O79" s="999">
        <f>ROUND(NOMINA!W58,2)</f>
        <v>0</v>
      </c>
      <c r="P79" s="999">
        <f>NOMINA!AF58</f>
        <v>0</v>
      </c>
      <c r="Q79" s="999">
        <f>NOMINA!AH58</f>
        <v>0</v>
      </c>
      <c r="R79" s="999">
        <f>NOMINA!AC58</f>
        <v>0</v>
      </c>
      <c r="S79" s="999">
        <f>NOMINA!AJ58</f>
        <v>0</v>
      </c>
      <c r="T79" s="986">
        <f t="shared" si="18"/>
        <v>0</v>
      </c>
      <c r="U79" s="999">
        <f>ROUND(NOMINA!BL58,2)</f>
        <v>0</v>
      </c>
      <c r="V79" s="999">
        <f>ROUND(NOMINA!BM58,2)</f>
        <v>0</v>
      </c>
      <c r="W79" s="999">
        <f>ROUND(+NOMINA!BN58,2)</f>
        <v>0</v>
      </c>
      <c r="X79" s="999">
        <f>ROUND(NOMINA!BO58,2)</f>
        <v>0</v>
      </c>
      <c r="Y79" s="999">
        <f>ROUND(NOMINA!BP58,2)</f>
        <v>0</v>
      </c>
      <c r="Z79" s="986">
        <f t="shared" si="19"/>
        <v>26.76</v>
      </c>
      <c r="AA79" s="999">
        <f>ROUND(NOMINA!BK58,2)</f>
        <v>0</v>
      </c>
      <c r="AB79" s="866">
        <f t="shared" si="20"/>
        <v>0</v>
      </c>
    </row>
    <row r="80" spans="1:28" s="629" customFormat="1" ht="20.100000000000001" customHeight="1" thickBot="1">
      <c r="A80" s="770" t="s">
        <v>2846</v>
      </c>
      <c r="B80" s="510">
        <f t="shared" ca="1" si="21"/>
        <v>17</v>
      </c>
      <c r="C80" s="980">
        <f>+NOMINA!C59</f>
        <v>9315117</v>
      </c>
      <c r="D80" s="981" t="str">
        <f>+NOMINA!D59</f>
        <v>Palma de Briceño Sonia Josefina</v>
      </c>
      <c r="E80" s="978" t="s">
        <v>4622</v>
      </c>
      <c r="F80" s="1006">
        <v>27853</v>
      </c>
      <c r="G80" s="978" t="s">
        <v>4620</v>
      </c>
      <c r="H80" s="1007">
        <f>+NOMINA!H59</f>
        <v>38412</v>
      </c>
      <c r="I80" s="984">
        <f>+NOMINA!I59</f>
        <v>19</v>
      </c>
      <c r="J80" s="985">
        <f>+NOMINA!J59</f>
        <v>0</v>
      </c>
      <c r="K80" s="984">
        <f t="shared" si="17"/>
        <v>19</v>
      </c>
      <c r="L80" s="985" t="s">
        <v>4932</v>
      </c>
      <c r="M80" s="985"/>
      <c r="N80" s="1002" t="str">
        <f>+NOMINA!O59</f>
        <v>Analista de Personal V</v>
      </c>
      <c r="O80" s="999">
        <f>ROUND(NOMINA!W59,2)</f>
        <v>143.5</v>
      </c>
      <c r="P80" s="999">
        <f>NOMINA!AF59</f>
        <v>35.020000000000003</v>
      </c>
      <c r="Q80" s="999">
        <f>NOMINA!AH59</f>
        <v>65</v>
      </c>
      <c r="R80" s="999">
        <f>NOMINA!AC59</f>
        <v>0</v>
      </c>
      <c r="S80" s="999">
        <f>NOMINA!AJ59</f>
        <v>60.88</v>
      </c>
      <c r="T80" s="986">
        <f t="shared" si="18"/>
        <v>0</v>
      </c>
      <c r="U80" s="999">
        <f>ROUND(NOMINA!BL59,2)</f>
        <v>22.48</v>
      </c>
      <c r="V80" s="999">
        <f>ROUND(NOMINA!BM59,2)</f>
        <v>2.81</v>
      </c>
      <c r="W80" s="999">
        <f>ROUND(+NOMINA!BN59,2)</f>
        <v>6.09</v>
      </c>
      <c r="X80" s="999">
        <f>ROUND(NOMINA!BO59,2)</f>
        <v>0</v>
      </c>
      <c r="Y80" s="999">
        <f>ROUND(NOMINA!BP59,2)</f>
        <v>0</v>
      </c>
      <c r="Z80" s="986">
        <f t="shared" si="19"/>
        <v>17.690000000000001</v>
      </c>
      <c r="AA80" s="999">
        <f>ROUND(NOMINA!BK59,2)</f>
        <v>0</v>
      </c>
      <c r="AB80" s="866">
        <f t="shared" si="20"/>
        <v>273.02000000000004</v>
      </c>
    </row>
    <row r="81" spans="1:28" s="629" customFormat="1" ht="20.100000000000001" customHeight="1" thickBot="1">
      <c r="A81" s="770" t="s">
        <v>2846</v>
      </c>
      <c r="B81" s="510">
        <f t="shared" ca="1" si="21"/>
        <v>18</v>
      </c>
      <c r="C81" s="980">
        <f>+NOMINA!C60</f>
        <v>9315325</v>
      </c>
      <c r="D81" s="981" t="str">
        <f>+NOMINA!D60</f>
        <v>Gonzalez Hernandez Marianela</v>
      </c>
      <c r="E81" s="978" t="s">
        <v>4622</v>
      </c>
      <c r="F81" s="1006">
        <v>27853</v>
      </c>
      <c r="G81" s="978" t="s">
        <v>4620</v>
      </c>
      <c r="H81" s="1007">
        <f>+NOMINA!H60</f>
        <v>39678</v>
      </c>
      <c r="I81" s="984">
        <f>+NOMINA!I60</f>
        <v>16</v>
      </c>
      <c r="J81" s="985">
        <f>+NOMINA!J60</f>
        <v>2</v>
      </c>
      <c r="K81" s="984">
        <f t="shared" si="17"/>
        <v>18</v>
      </c>
      <c r="L81" s="985" t="s">
        <v>4932</v>
      </c>
      <c r="M81" s="985"/>
      <c r="N81" s="1002" t="str">
        <f>+NOMINA!O60</f>
        <v>Asistente Administrativo IV</v>
      </c>
      <c r="O81" s="999">
        <f>ROUND(NOMINA!W60,2)</f>
        <v>114</v>
      </c>
      <c r="P81" s="999">
        <f>NOMINA!AF60</f>
        <v>25.99</v>
      </c>
      <c r="Q81" s="999">
        <f>NOMINA!AH60</f>
        <v>65</v>
      </c>
      <c r="R81" s="999">
        <f>NOMINA!AC60</f>
        <v>0</v>
      </c>
      <c r="S81" s="999">
        <f>NOMINA!AJ60</f>
        <v>41</v>
      </c>
      <c r="T81" s="986">
        <f t="shared" si="18"/>
        <v>0</v>
      </c>
      <c r="U81" s="999">
        <f>ROUND(NOMINA!BL60,2)</f>
        <v>18.170000000000002</v>
      </c>
      <c r="V81" s="999">
        <f>ROUND(NOMINA!BM60,2)</f>
        <v>2.27</v>
      </c>
      <c r="W81" s="999">
        <f>ROUND(+NOMINA!BN60,2)</f>
        <v>4.92</v>
      </c>
      <c r="X81" s="999">
        <f>ROUND(NOMINA!BO60,2)</f>
        <v>0</v>
      </c>
      <c r="Y81" s="999">
        <f>ROUND(NOMINA!BP60,2)</f>
        <v>0</v>
      </c>
      <c r="Z81" s="986">
        <f t="shared" si="19"/>
        <v>6.29</v>
      </c>
      <c r="AA81" s="999">
        <f>ROUND(NOMINA!BK60,2)</f>
        <v>0</v>
      </c>
      <c r="AB81" s="866">
        <f t="shared" si="20"/>
        <v>220.63</v>
      </c>
    </row>
    <row r="82" spans="1:28" s="629" customFormat="1" ht="20.100000000000001" customHeight="1" thickBot="1">
      <c r="A82" s="770" t="s">
        <v>2846</v>
      </c>
      <c r="B82" s="510">
        <f t="shared" ca="1" si="21"/>
        <v>19</v>
      </c>
      <c r="C82" s="980">
        <f>+NOMINA!C61</f>
        <v>9316224</v>
      </c>
      <c r="D82" s="981" t="str">
        <f>+NOMINA!D61</f>
        <v>Sanchez Barrios Magalis del Carmen</v>
      </c>
      <c r="E82" s="978" t="s">
        <v>4622</v>
      </c>
      <c r="F82" s="1006">
        <v>27853</v>
      </c>
      <c r="G82" s="978" t="s">
        <v>4620</v>
      </c>
      <c r="H82" s="1007">
        <f>+NOMINA!H61</f>
        <v>44317</v>
      </c>
      <c r="I82" s="984">
        <f>+NOMINA!I61</f>
        <v>3</v>
      </c>
      <c r="J82" s="985">
        <f>+NOMINA!J61</f>
        <v>0</v>
      </c>
      <c r="K82" s="984">
        <f t="shared" si="17"/>
        <v>3</v>
      </c>
      <c r="L82" s="985" t="s">
        <v>4932</v>
      </c>
      <c r="M82" s="985"/>
      <c r="N82" s="1002" t="str">
        <f>+NOMINA!O61</f>
        <v>Tecnico Superior en Trabajo Social II</v>
      </c>
      <c r="O82" s="999">
        <f>ROUND(NOMINA!W61,2)</f>
        <v>109.5</v>
      </c>
      <c r="P82" s="999">
        <f>NOMINA!AF61</f>
        <v>3.29</v>
      </c>
      <c r="Q82" s="999">
        <f>NOMINA!AH61</f>
        <v>65</v>
      </c>
      <c r="R82" s="999">
        <f>NOMINA!AC61</f>
        <v>0</v>
      </c>
      <c r="S82" s="999">
        <f>NOMINA!AJ61</f>
        <v>35.56</v>
      </c>
      <c r="T82" s="986">
        <f t="shared" si="18"/>
        <v>0</v>
      </c>
      <c r="U82" s="999">
        <f>ROUND(NOMINA!BL61,2)</f>
        <v>15.75</v>
      </c>
      <c r="V82" s="999">
        <f>ROUND(NOMINA!BM61,2)</f>
        <v>1.97</v>
      </c>
      <c r="W82" s="999">
        <f>ROUND(+NOMINA!BN61,2)</f>
        <v>4.2699999999999996</v>
      </c>
      <c r="X82" s="999">
        <f>ROUND(NOMINA!BO61,2)</f>
        <v>0</v>
      </c>
      <c r="Y82" s="999">
        <f>ROUND(NOMINA!BP61,2)</f>
        <v>0</v>
      </c>
      <c r="Z82" s="986">
        <f t="shared" si="19"/>
        <v>24.76</v>
      </c>
      <c r="AA82" s="999">
        <f>ROUND(NOMINA!BK61,2)</f>
        <v>0</v>
      </c>
      <c r="AB82" s="866">
        <f t="shared" si="20"/>
        <v>191.36</v>
      </c>
    </row>
    <row r="83" spans="1:28" s="629" customFormat="1" ht="20.100000000000001" customHeight="1" thickBot="1">
      <c r="A83" s="770" t="s">
        <v>2846</v>
      </c>
      <c r="B83" s="510">
        <f t="shared" ca="1" si="21"/>
        <v>20</v>
      </c>
      <c r="C83" s="980">
        <f>+NOMINA!C62</f>
        <v>9323927</v>
      </c>
      <c r="D83" s="981" t="str">
        <f>+NOMINA!D62</f>
        <v>Cardozo Garcia Jorge Antonio</v>
      </c>
      <c r="E83" s="978" t="s">
        <v>4622</v>
      </c>
      <c r="F83" s="1006">
        <v>27853</v>
      </c>
      <c r="G83" s="978" t="s">
        <v>4620</v>
      </c>
      <c r="H83" s="1007">
        <f>+NOMINA!H62</f>
        <v>35704</v>
      </c>
      <c r="I83" s="984">
        <f>+NOMINA!I62</f>
        <v>27</v>
      </c>
      <c r="J83" s="985">
        <f>+NOMINA!J62</f>
        <v>0</v>
      </c>
      <c r="K83" s="984">
        <f t="shared" si="17"/>
        <v>27</v>
      </c>
      <c r="L83" s="985" t="s">
        <v>4932</v>
      </c>
      <c r="M83" s="985"/>
      <c r="N83" s="1002" t="str">
        <f>+NOMINA!O62</f>
        <v>Guia de Centro II</v>
      </c>
      <c r="O83" s="999">
        <f>ROUND(NOMINA!W62,2)</f>
        <v>88.5</v>
      </c>
      <c r="P83" s="999">
        <f>NOMINA!AF62</f>
        <v>26.55</v>
      </c>
      <c r="Q83" s="999">
        <f>NOMINA!AH62</f>
        <v>65</v>
      </c>
      <c r="R83" s="999">
        <f>NOMINA!AC62</f>
        <v>0</v>
      </c>
      <c r="S83" s="999">
        <f>NOMINA!AJ62</f>
        <v>0</v>
      </c>
      <c r="T83" s="986">
        <f t="shared" si="18"/>
        <v>0</v>
      </c>
      <c r="U83" s="999">
        <f>ROUND(NOMINA!BL62,2)</f>
        <v>13.3</v>
      </c>
      <c r="V83" s="999">
        <f>ROUND(NOMINA!BM62,2)</f>
        <v>1.66</v>
      </c>
      <c r="W83" s="999">
        <f>ROUND(+NOMINA!BN62,2)</f>
        <v>3.6</v>
      </c>
      <c r="X83" s="999">
        <f>ROUND(NOMINA!BO62,2)</f>
        <v>0</v>
      </c>
      <c r="Y83" s="999">
        <f>ROUND(NOMINA!BP62,2)</f>
        <v>0</v>
      </c>
      <c r="Z83" s="986">
        <f t="shared" si="19"/>
        <v>26.65</v>
      </c>
      <c r="AA83" s="999">
        <f>ROUND(NOMINA!BK62,2)</f>
        <v>0</v>
      </c>
      <c r="AB83" s="866">
        <f t="shared" si="20"/>
        <v>161.49</v>
      </c>
    </row>
    <row r="84" spans="1:28" s="629" customFormat="1" ht="20.100000000000001" customHeight="1" thickBot="1">
      <c r="A84" s="770" t="s">
        <v>2846</v>
      </c>
      <c r="B84" s="510">
        <f t="shared" ca="1" si="21"/>
        <v>21</v>
      </c>
      <c r="C84" s="980">
        <f>+NOMINA!C63</f>
        <v>9327253</v>
      </c>
      <c r="D84" s="981" t="str">
        <f>+NOMINA!D63</f>
        <v>Garcia Araujo Jose Domingo</v>
      </c>
      <c r="E84" s="978" t="s">
        <v>4622</v>
      </c>
      <c r="F84" s="1006">
        <v>27853</v>
      </c>
      <c r="G84" s="978" t="s">
        <v>4620</v>
      </c>
      <c r="H84" s="1007">
        <f>+NOMINA!H63</f>
        <v>38930</v>
      </c>
      <c r="I84" s="984">
        <f>+NOMINA!I63</f>
        <v>18</v>
      </c>
      <c r="J84" s="985">
        <f>+NOMINA!J63</f>
        <v>0</v>
      </c>
      <c r="K84" s="984">
        <f t="shared" si="17"/>
        <v>18</v>
      </c>
      <c r="L84" s="985" t="s">
        <v>4932</v>
      </c>
      <c r="M84" s="985"/>
      <c r="N84" s="1002" t="str">
        <f>+NOMINA!O63</f>
        <v>Analista de Presupuesto III</v>
      </c>
      <c r="O84" s="999">
        <f>ROUND(NOMINA!W63,2)</f>
        <v>143.5</v>
      </c>
      <c r="P84" s="999">
        <f>NOMINA!AF63</f>
        <v>32.72</v>
      </c>
      <c r="Q84" s="999">
        <f>NOMINA!AH63</f>
        <v>65</v>
      </c>
      <c r="R84" s="999">
        <f>NOMINA!AC63</f>
        <v>12.5</v>
      </c>
      <c r="S84" s="999">
        <f>NOMINA!AJ63</f>
        <v>0</v>
      </c>
      <c r="T84" s="986">
        <f t="shared" si="18"/>
        <v>0</v>
      </c>
      <c r="U84" s="999">
        <f>ROUND(NOMINA!BL63,2)</f>
        <v>18.27</v>
      </c>
      <c r="V84" s="999">
        <f>ROUND(NOMINA!BM63,2)</f>
        <v>2.2799999999999998</v>
      </c>
      <c r="W84" s="999">
        <f>ROUND(+NOMINA!BN63,2)</f>
        <v>4.95</v>
      </c>
      <c r="X84" s="999">
        <f>ROUND(NOMINA!BO63,2)</f>
        <v>0</v>
      </c>
      <c r="Y84" s="999">
        <f>ROUND(NOMINA!BP63,2)</f>
        <v>0</v>
      </c>
      <c r="Z84" s="986">
        <f t="shared" si="19"/>
        <v>20.149999999999999</v>
      </c>
      <c r="AA84" s="999">
        <f>ROUND(NOMINA!BK63,2)</f>
        <v>0</v>
      </c>
      <c r="AB84" s="866">
        <f t="shared" si="20"/>
        <v>228.22</v>
      </c>
    </row>
    <row r="85" spans="1:28" s="629" customFormat="1" ht="20.100000000000001" customHeight="1" thickBot="1">
      <c r="A85" s="770" t="s">
        <v>2846</v>
      </c>
      <c r="B85" s="510">
        <f t="shared" ca="1" si="21"/>
        <v>22</v>
      </c>
      <c r="C85" s="980">
        <f>+NOMINA!C64</f>
        <v>9328157</v>
      </c>
      <c r="D85" s="981" t="str">
        <f>+NOMINA!D64</f>
        <v>Perez Salas Olga Margarita</v>
      </c>
      <c r="E85" s="978" t="s">
        <v>4622</v>
      </c>
      <c r="F85" s="1006">
        <v>27853</v>
      </c>
      <c r="G85" s="978" t="s">
        <v>4620</v>
      </c>
      <c r="H85" s="1007">
        <f>+NOMINA!H64</f>
        <v>41153</v>
      </c>
      <c r="I85" s="984">
        <f>+NOMINA!I64</f>
        <v>12</v>
      </c>
      <c r="J85" s="985">
        <f>+NOMINA!J64</f>
        <v>0</v>
      </c>
      <c r="K85" s="984">
        <f t="shared" si="17"/>
        <v>12</v>
      </c>
      <c r="L85" s="985" t="s">
        <v>4932</v>
      </c>
      <c r="M85" s="985"/>
      <c r="N85" s="1002" t="str">
        <f>+NOMINA!O64</f>
        <v>Guia de Centro II</v>
      </c>
      <c r="O85" s="999">
        <f>ROUND(NOMINA!W64,2)</f>
        <v>87</v>
      </c>
      <c r="P85" s="999">
        <f>NOMINA!AF64</f>
        <v>12.01</v>
      </c>
      <c r="Q85" s="999">
        <f>NOMINA!AH64</f>
        <v>65</v>
      </c>
      <c r="R85" s="999">
        <f>NOMINA!AC64</f>
        <v>0</v>
      </c>
      <c r="S85" s="999">
        <f>NOMINA!AJ64</f>
        <v>0</v>
      </c>
      <c r="T85" s="986">
        <f t="shared" si="18"/>
        <v>0</v>
      </c>
      <c r="U85" s="999">
        <f>ROUND(NOMINA!BL64,2)</f>
        <v>12.11</v>
      </c>
      <c r="V85" s="999">
        <f>ROUND(NOMINA!BM64,2)</f>
        <v>1.51</v>
      </c>
      <c r="W85" s="999">
        <f>ROUND(+NOMINA!BN64,2)</f>
        <v>3.28</v>
      </c>
      <c r="X85" s="999">
        <f>ROUND(NOMINA!BO64,2)</f>
        <v>0</v>
      </c>
      <c r="Y85" s="999">
        <f>ROUND(NOMINA!BP64,2)</f>
        <v>0</v>
      </c>
      <c r="Z85" s="986">
        <f t="shared" si="19"/>
        <v>18.559999999999999</v>
      </c>
      <c r="AA85" s="999">
        <f>ROUND(NOMINA!BK64,2)</f>
        <v>0</v>
      </c>
      <c r="AB85" s="866">
        <f t="shared" si="20"/>
        <v>147.10999999999999</v>
      </c>
    </row>
    <row r="86" spans="1:28" s="629" customFormat="1" ht="20.100000000000001" customHeight="1" thickBot="1">
      <c r="A86" s="770" t="s">
        <v>2846</v>
      </c>
      <c r="B86" s="510">
        <f t="shared" ca="1" si="21"/>
        <v>23</v>
      </c>
      <c r="C86" s="980">
        <f>+NOMINA!C65</f>
        <v>9328224</v>
      </c>
      <c r="D86" s="981" t="str">
        <f>+NOMINA!D65</f>
        <v>Abreu Araujo Omar Antonio</v>
      </c>
      <c r="E86" s="978" t="s">
        <v>4622</v>
      </c>
      <c r="F86" s="1006">
        <v>27853</v>
      </c>
      <c r="G86" s="978" t="s">
        <v>4620</v>
      </c>
      <c r="H86" s="1007">
        <f>+NOMINA!H65</f>
        <v>39356</v>
      </c>
      <c r="I86" s="984">
        <f>+NOMINA!I65</f>
        <v>17</v>
      </c>
      <c r="J86" s="985">
        <f>+NOMINA!J65</f>
        <v>2</v>
      </c>
      <c r="K86" s="984">
        <f t="shared" si="17"/>
        <v>19</v>
      </c>
      <c r="L86" s="985" t="s">
        <v>4932</v>
      </c>
      <c r="M86" s="985"/>
      <c r="N86" s="1002" t="str">
        <f>+NOMINA!O65</f>
        <v>Tecnico Agropecuario III</v>
      </c>
      <c r="O86" s="999">
        <f>ROUND(NOMINA!W65,2)</f>
        <v>114</v>
      </c>
      <c r="P86" s="999">
        <f>NOMINA!AF65</f>
        <v>27.82</v>
      </c>
      <c r="Q86" s="999">
        <f>NOMINA!AH65</f>
        <v>65</v>
      </c>
      <c r="R86" s="999">
        <f>NOMINA!AC65</f>
        <v>0</v>
      </c>
      <c r="S86" s="999">
        <f>NOMINA!AJ65</f>
        <v>0</v>
      </c>
      <c r="T86" s="986">
        <f t="shared" si="18"/>
        <v>121.08</v>
      </c>
      <c r="U86" s="999">
        <f>ROUND(NOMINA!BL65,2)</f>
        <v>15.27</v>
      </c>
      <c r="V86" s="999">
        <f>ROUND(NOMINA!BM65,2)</f>
        <v>1.91</v>
      </c>
      <c r="W86" s="999">
        <f>ROUND(+NOMINA!BN65,2)</f>
        <v>4.1399999999999997</v>
      </c>
      <c r="X86" s="999">
        <f>ROUND(NOMINA!BO65,2)</f>
        <v>0</v>
      </c>
      <c r="Y86" s="999">
        <f>ROUND(NOMINA!BP65,2)</f>
        <v>1.1299999999999999</v>
      </c>
      <c r="Z86" s="986">
        <f t="shared" si="19"/>
        <v>0</v>
      </c>
      <c r="AA86" s="999">
        <f>ROUND(NOMINA!BK65,2)</f>
        <v>0</v>
      </c>
      <c r="AB86" s="866">
        <f t="shared" si="20"/>
        <v>184.37</v>
      </c>
    </row>
    <row r="87" spans="1:28" s="629" customFormat="1" ht="20.100000000000001" customHeight="1" thickBot="1">
      <c r="A87" s="770" t="s">
        <v>2846</v>
      </c>
      <c r="B87" s="510">
        <f t="shared" ca="1" si="21"/>
        <v>24</v>
      </c>
      <c r="C87" s="980">
        <f>+NOMINA!C66</f>
        <v>9495661</v>
      </c>
      <c r="D87" s="981" t="str">
        <f>+NOMINA!D66</f>
        <v>Aguial Carrillo Gregoria Coromoto</v>
      </c>
      <c r="E87" s="978" t="s">
        <v>4622</v>
      </c>
      <c r="F87" s="1006">
        <v>27853</v>
      </c>
      <c r="G87" s="978" t="s">
        <v>4620</v>
      </c>
      <c r="H87" s="1007">
        <f>+NOMINA!H66</f>
        <v>39692</v>
      </c>
      <c r="I87" s="984">
        <f>+NOMINA!I66</f>
        <v>16</v>
      </c>
      <c r="J87" s="985">
        <f>+NOMINA!J66</f>
        <v>0</v>
      </c>
      <c r="K87" s="984">
        <f t="shared" si="17"/>
        <v>16</v>
      </c>
      <c r="L87" s="985" t="s">
        <v>4932</v>
      </c>
      <c r="M87" s="985"/>
      <c r="N87" s="1002" t="str">
        <f>+NOMINA!O66</f>
        <v>Jefe de Centro</v>
      </c>
      <c r="O87" s="999">
        <f>ROUND(NOMINA!W66,2)</f>
        <v>0</v>
      </c>
      <c r="P87" s="999">
        <f>NOMINA!AF66</f>
        <v>0</v>
      </c>
      <c r="Q87" s="999">
        <f>NOMINA!AH66</f>
        <v>0</v>
      </c>
      <c r="R87" s="999">
        <f>NOMINA!AC66</f>
        <v>0</v>
      </c>
      <c r="S87" s="999">
        <f>NOMINA!AJ66</f>
        <v>0</v>
      </c>
      <c r="T87" s="986">
        <f t="shared" si="18"/>
        <v>83.66</v>
      </c>
      <c r="U87" s="999">
        <f>ROUND(NOMINA!BL66,2)</f>
        <v>0</v>
      </c>
      <c r="V87" s="999">
        <f>ROUND(NOMINA!BM66,2)</f>
        <v>0</v>
      </c>
      <c r="W87" s="999">
        <f>ROUND(+NOMINA!BN66,2)</f>
        <v>0</v>
      </c>
      <c r="X87" s="999">
        <f>ROUND(NOMINA!BO66,2)</f>
        <v>0</v>
      </c>
      <c r="Y87" s="999">
        <f>ROUND(NOMINA!BP66,2)</f>
        <v>0</v>
      </c>
      <c r="Z87" s="986">
        <f t="shared" si="19"/>
        <v>28.82</v>
      </c>
      <c r="AA87" s="999">
        <f>ROUND(NOMINA!BK66,2)</f>
        <v>0</v>
      </c>
      <c r="AB87" s="866">
        <f t="shared" si="20"/>
        <v>0</v>
      </c>
    </row>
    <row r="88" spans="1:28" s="629" customFormat="1" ht="20.100000000000001" customHeight="1" thickBot="1">
      <c r="A88" s="770" t="s">
        <v>2846</v>
      </c>
      <c r="B88" s="510">
        <f t="shared" ca="1" si="21"/>
        <v>25</v>
      </c>
      <c r="C88" s="980">
        <f>+NOMINA!C67</f>
        <v>9496860</v>
      </c>
      <c r="D88" s="981" t="str">
        <f>+NOMINA!D67</f>
        <v>Hernandez Valero Jose Alfredo</v>
      </c>
      <c r="E88" s="978" t="s">
        <v>4622</v>
      </c>
      <c r="F88" s="1006">
        <v>27853</v>
      </c>
      <c r="G88" s="978" t="s">
        <v>4620</v>
      </c>
      <c r="H88" s="1007">
        <f>+NOMINA!H67</f>
        <v>43877</v>
      </c>
      <c r="I88" s="984">
        <f>+NOMINA!I67</f>
        <v>4</v>
      </c>
      <c r="J88" s="985">
        <f>+NOMINA!J67</f>
        <v>9</v>
      </c>
      <c r="K88" s="984">
        <f t="shared" si="17"/>
        <v>13</v>
      </c>
      <c r="L88" s="985" t="s">
        <v>4932</v>
      </c>
      <c r="M88" s="985"/>
      <c r="N88" s="1002" t="str">
        <f>+NOMINA!O67</f>
        <v>AUDITOR III</v>
      </c>
      <c r="O88" s="999">
        <f>ROUND(NOMINA!W67,2)</f>
        <v>141.5</v>
      </c>
      <c r="P88" s="999">
        <f>NOMINA!AF67</f>
        <v>21.51</v>
      </c>
      <c r="Q88" s="999">
        <f>NOMINA!AH67</f>
        <v>65</v>
      </c>
      <c r="R88" s="999">
        <f>NOMINA!AC67</f>
        <v>0</v>
      </c>
      <c r="S88" s="999">
        <f>NOMINA!AJ67</f>
        <v>57.01</v>
      </c>
      <c r="T88" s="986">
        <f t="shared" si="18"/>
        <v>170.94</v>
      </c>
      <c r="U88" s="999">
        <f>ROUND(NOMINA!BL67,2)</f>
        <v>21.05</v>
      </c>
      <c r="V88" s="999">
        <f>ROUND(NOMINA!BM67,2)</f>
        <v>2.63</v>
      </c>
      <c r="W88" s="999">
        <f>ROUND(+NOMINA!BN67,2)</f>
        <v>5.7</v>
      </c>
      <c r="X88" s="999">
        <f>ROUND(NOMINA!BO67,2)</f>
        <v>0</v>
      </c>
      <c r="Y88" s="999">
        <f>ROUND(NOMINA!BP67,2)</f>
        <v>0</v>
      </c>
      <c r="Z88" s="986">
        <f t="shared" si="19"/>
        <v>23.66</v>
      </c>
      <c r="AA88" s="999">
        <f>ROUND(NOMINA!BK67,2)</f>
        <v>0</v>
      </c>
      <c r="AB88" s="866">
        <f t="shared" si="20"/>
        <v>255.64</v>
      </c>
    </row>
    <row r="89" spans="1:28" s="629" customFormat="1" ht="20.100000000000001" customHeight="1" thickBot="1">
      <c r="A89" s="770" t="s">
        <v>2846</v>
      </c>
      <c r="B89" s="510">
        <f t="shared" ca="1" si="21"/>
        <v>26</v>
      </c>
      <c r="C89" s="980">
        <f>+NOMINA!C68</f>
        <v>9497151</v>
      </c>
      <c r="D89" s="981" t="str">
        <f>+NOMINA!D68</f>
        <v>Mendoza Vieras Pedro Luis</v>
      </c>
      <c r="E89" s="978" t="s">
        <v>4622</v>
      </c>
      <c r="F89" s="1006">
        <v>27853</v>
      </c>
      <c r="G89" s="978" t="s">
        <v>4620</v>
      </c>
      <c r="H89" s="1007">
        <f>+NOMINA!H68</f>
        <v>36770</v>
      </c>
      <c r="I89" s="984">
        <f>+NOMINA!I68</f>
        <v>24</v>
      </c>
      <c r="J89" s="985">
        <f>+NOMINA!J68</f>
        <v>0</v>
      </c>
      <c r="K89" s="984">
        <f t="shared" si="17"/>
        <v>24</v>
      </c>
      <c r="L89" s="985" t="s">
        <v>4932</v>
      </c>
      <c r="M89" s="985"/>
      <c r="N89" s="1002" t="str">
        <f>+NOMINA!O68</f>
        <v>Ingeniero Industrial II</v>
      </c>
      <c r="O89" s="999">
        <f>ROUND(NOMINA!W68,2)</f>
        <v>143.5</v>
      </c>
      <c r="P89" s="999">
        <f>NOMINA!AF68</f>
        <v>43.05</v>
      </c>
      <c r="Q89" s="999">
        <f>NOMINA!AH68</f>
        <v>65</v>
      </c>
      <c r="R89" s="999">
        <f>NOMINA!AC68</f>
        <v>0</v>
      </c>
      <c r="S89" s="999">
        <f>NOMINA!AJ68</f>
        <v>62.89</v>
      </c>
      <c r="T89" s="986">
        <f t="shared" si="18"/>
        <v>127.18</v>
      </c>
      <c r="U89" s="999">
        <f>ROUND(NOMINA!BL68,2)</f>
        <v>23.22</v>
      </c>
      <c r="V89" s="999">
        <f>ROUND(NOMINA!BM68,2)</f>
        <v>2.9</v>
      </c>
      <c r="W89" s="999">
        <f>ROUND(+NOMINA!BN68,2)</f>
        <v>6.29</v>
      </c>
      <c r="X89" s="999">
        <f>ROUND(NOMINA!BO68,2)</f>
        <v>0</v>
      </c>
      <c r="Y89" s="999">
        <f>ROUND(NOMINA!BP68,2)</f>
        <v>0</v>
      </c>
      <c r="Z89" s="986">
        <f t="shared" si="19"/>
        <v>18.559999999999999</v>
      </c>
      <c r="AA89" s="999">
        <f>ROUND(NOMINA!BK68,2)</f>
        <v>0</v>
      </c>
      <c r="AB89" s="866">
        <f t="shared" si="20"/>
        <v>282.02999999999997</v>
      </c>
    </row>
    <row r="90" spans="1:28" s="629" customFormat="1" ht="20.100000000000001" customHeight="1" thickBot="1">
      <c r="A90" s="770" t="s">
        <v>2846</v>
      </c>
      <c r="B90" s="510">
        <f t="shared" ca="1" si="21"/>
        <v>27</v>
      </c>
      <c r="C90" s="980">
        <f>+NOMINA!C69</f>
        <v>10033119</v>
      </c>
      <c r="D90" s="981" t="str">
        <f>+NOMINA!D69</f>
        <v>Artigas de Hernandez Ana Maria</v>
      </c>
      <c r="E90" s="978" t="s">
        <v>4622</v>
      </c>
      <c r="F90" s="1006">
        <v>27853</v>
      </c>
      <c r="G90" s="978" t="s">
        <v>4620</v>
      </c>
      <c r="H90" s="1007">
        <f>+NOMINA!H69</f>
        <v>43359</v>
      </c>
      <c r="I90" s="984">
        <f>+NOMINA!I69</f>
        <v>6</v>
      </c>
      <c r="J90" s="985">
        <f>+NOMINA!J69</f>
        <v>0</v>
      </c>
      <c r="K90" s="984">
        <f t="shared" si="17"/>
        <v>6</v>
      </c>
      <c r="L90" s="985" t="s">
        <v>4932</v>
      </c>
      <c r="M90" s="985"/>
      <c r="N90" s="1002" t="str">
        <f>+NOMINA!O69</f>
        <v>Tutor Facilitador III</v>
      </c>
      <c r="O90" s="999">
        <f>ROUND(NOMINA!W69,2)</f>
        <v>139.5</v>
      </c>
      <c r="P90" s="999">
        <f>NOMINA!AF69</f>
        <v>8.65</v>
      </c>
      <c r="Q90" s="999">
        <f>NOMINA!AH69</f>
        <v>65</v>
      </c>
      <c r="R90" s="999">
        <f>NOMINA!AC69</f>
        <v>0</v>
      </c>
      <c r="S90" s="999">
        <f>NOMINA!AJ69</f>
        <v>53.29</v>
      </c>
      <c r="T90" s="986">
        <f t="shared" si="18"/>
        <v>144.53</v>
      </c>
      <c r="U90" s="999">
        <f>ROUND(NOMINA!BL69,2)</f>
        <v>19.68</v>
      </c>
      <c r="V90" s="999">
        <f>ROUND(NOMINA!BM69,2)</f>
        <v>2.46</v>
      </c>
      <c r="W90" s="999">
        <f>ROUND(+NOMINA!BN69,2)</f>
        <v>5.33</v>
      </c>
      <c r="X90" s="999">
        <f>ROUND(NOMINA!BO69,2)</f>
        <v>0</v>
      </c>
      <c r="Y90" s="999">
        <f>ROUND(NOMINA!BP69,2)</f>
        <v>0</v>
      </c>
      <c r="Z90" s="986">
        <f t="shared" si="19"/>
        <v>32.479999999999997</v>
      </c>
      <c r="AA90" s="999">
        <f>ROUND(NOMINA!BK69,2)</f>
        <v>0</v>
      </c>
      <c r="AB90" s="866">
        <f t="shared" si="20"/>
        <v>238.97</v>
      </c>
    </row>
    <row r="91" spans="1:28" s="629" customFormat="1" ht="20.100000000000001" customHeight="1" thickBot="1">
      <c r="A91" s="770" t="s">
        <v>2846</v>
      </c>
      <c r="B91" s="510">
        <f t="shared" ca="1" si="21"/>
        <v>28</v>
      </c>
      <c r="C91" s="980">
        <f>+NOMINA!C70</f>
        <v>10035540</v>
      </c>
      <c r="D91" s="981" t="str">
        <f>+NOMINA!D70</f>
        <v xml:space="preserve">Linares Linares Emma Teresa </v>
      </c>
      <c r="E91" s="978" t="s">
        <v>4622</v>
      </c>
      <c r="F91" s="1006">
        <v>27853</v>
      </c>
      <c r="G91" s="978" t="s">
        <v>4620</v>
      </c>
      <c r="H91" s="1007">
        <f>+NOMINA!H70</f>
        <v>43236</v>
      </c>
      <c r="I91" s="984">
        <f>+NOMINA!I70</f>
        <v>6</v>
      </c>
      <c r="J91" s="985">
        <f>+NOMINA!J70</f>
        <v>0</v>
      </c>
      <c r="K91" s="984">
        <f t="shared" si="17"/>
        <v>6</v>
      </c>
      <c r="L91" s="985" t="s">
        <v>4932</v>
      </c>
      <c r="M91" s="985"/>
      <c r="N91" s="1002" t="str">
        <f>+NOMINA!O70</f>
        <v>Tecnico Superior en Trabajo Social II</v>
      </c>
      <c r="O91" s="999">
        <f>ROUND(NOMINA!W70,2)</f>
        <v>110.5</v>
      </c>
      <c r="P91" s="999">
        <f>NOMINA!AF70</f>
        <v>6.85</v>
      </c>
      <c r="Q91" s="999">
        <f>NOMINA!AH70</f>
        <v>65</v>
      </c>
      <c r="R91" s="999">
        <f>NOMINA!AC70</f>
        <v>0</v>
      </c>
      <c r="S91" s="999">
        <f>NOMINA!AJ70</f>
        <v>45.59</v>
      </c>
      <c r="T91" s="986">
        <f t="shared" si="18"/>
        <v>99.51</v>
      </c>
      <c r="U91" s="999">
        <f>ROUND(NOMINA!BL70,2)</f>
        <v>16.829999999999998</v>
      </c>
      <c r="V91" s="999">
        <f>ROUND(NOMINA!BM70,2)</f>
        <v>2.1</v>
      </c>
      <c r="W91" s="999">
        <f>ROUND(+NOMINA!BN70,2)</f>
        <v>4.5599999999999996</v>
      </c>
      <c r="X91" s="999">
        <f>ROUND(NOMINA!BO70,2)</f>
        <v>0</v>
      </c>
      <c r="Y91" s="999">
        <f>ROUND(NOMINA!BP70,2)</f>
        <v>0</v>
      </c>
      <c r="Z91" s="986">
        <f t="shared" si="19"/>
        <v>3.56</v>
      </c>
      <c r="AA91" s="999">
        <f>ROUND(NOMINA!BK70,2)</f>
        <v>0</v>
      </c>
      <c r="AB91" s="866">
        <f t="shared" si="20"/>
        <v>204.45</v>
      </c>
    </row>
    <row r="92" spans="1:28" s="629" customFormat="1" ht="20.100000000000001" customHeight="1" thickBot="1">
      <c r="A92" s="770" t="s">
        <v>2846</v>
      </c>
      <c r="B92" s="510">
        <f t="shared" ca="1" si="21"/>
        <v>29</v>
      </c>
      <c r="C92" s="980">
        <f>+NOMINA!C71</f>
        <v>10037054</v>
      </c>
      <c r="D92" s="981" t="str">
        <f>+NOMINA!D71</f>
        <v>Aguial Carrillo Deris Margarita</v>
      </c>
      <c r="E92" s="978" t="s">
        <v>4622</v>
      </c>
      <c r="F92" s="1006">
        <v>27853</v>
      </c>
      <c r="G92" s="978" t="s">
        <v>4620</v>
      </c>
      <c r="H92" s="1007">
        <f>+NOMINA!H71</f>
        <v>39820</v>
      </c>
      <c r="I92" s="984">
        <f>+NOMINA!I71</f>
        <v>16</v>
      </c>
      <c r="J92" s="985">
        <f>+NOMINA!J71</f>
        <v>0</v>
      </c>
      <c r="K92" s="984">
        <f t="shared" si="17"/>
        <v>16</v>
      </c>
      <c r="L92" s="985" t="s">
        <v>4932</v>
      </c>
      <c r="M92" s="985"/>
      <c r="N92" s="1002" t="str">
        <f>+NOMINA!O71</f>
        <v>Guia de Centro II</v>
      </c>
      <c r="O92" s="999">
        <f>ROUND(NOMINA!W71,2)</f>
        <v>88</v>
      </c>
      <c r="P92" s="999">
        <f>NOMINA!AF71</f>
        <v>17.25</v>
      </c>
      <c r="Q92" s="999">
        <f>NOMINA!AH71</f>
        <v>65</v>
      </c>
      <c r="R92" s="999">
        <f>NOMINA!AC71</f>
        <v>0</v>
      </c>
      <c r="S92" s="999">
        <f>NOMINA!AJ71</f>
        <v>0</v>
      </c>
      <c r="T92" s="986">
        <f t="shared" si="18"/>
        <v>91.55</v>
      </c>
      <c r="U92" s="999">
        <f>ROUND(NOMINA!BL71,2)</f>
        <v>16.34</v>
      </c>
      <c r="V92" s="999">
        <f>ROUND(NOMINA!BM71,2)</f>
        <v>2.04</v>
      </c>
      <c r="W92" s="999">
        <f>ROUND(+NOMINA!BN71,2)</f>
        <v>4.43</v>
      </c>
      <c r="X92" s="999">
        <f>ROUND(NOMINA!BO71,2)</f>
        <v>0</v>
      </c>
      <c r="Y92" s="999">
        <f>ROUND(NOMINA!BP71,2)</f>
        <v>0</v>
      </c>
      <c r="Z92" s="986">
        <f t="shared" si="19"/>
        <v>18.52</v>
      </c>
      <c r="AA92" s="999">
        <f>ROUND(NOMINA!BK71,2)</f>
        <v>0</v>
      </c>
      <c r="AB92" s="866">
        <f t="shared" si="20"/>
        <v>147.44</v>
      </c>
    </row>
    <row r="93" spans="1:28" s="629" customFormat="1" ht="20.100000000000001" customHeight="1" thickBot="1">
      <c r="A93" s="770" t="s">
        <v>2846</v>
      </c>
      <c r="B93" s="510">
        <f t="shared" ca="1" si="21"/>
        <v>30</v>
      </c>
      <c r="C93" s="980">
        <f>+NOMINA!C72</f>
        <v>10175616</v>
      </c>
      <c r="D93" s="981" t="str">
        <f>+NOMINA!D72</f>
        <v>Carrillo Prato Blanca Isabel</v>
      </c>
      <c r="E93" s="978" t="s">
        <v>4622</v>
      </c>
      <c r="F93" s="1006">
        <v>27853</v>
      </c>
      <c r="G93" s="978" t="s">
        <v>4620</v>
      </c>
      <c r="H93" s="1007">
        <f>+NOMINA!H72</f>
        <v>44228</v>
      </c>
      <c r="I93" s="984">
        <f>+NOMINA!I72</f>
        <v>3</v>
      </c>
      <c r="J93" s="985">
        <f>+NOMINA!J72</f>
        <v>0</v>
      </c>
      <c r="K93" s="984">
        <f t="shared" si="17"/>
        <v>3</v>
      </c>
      <c r="L93" s="985" t="s">
        <v>4932</v>
      </c>
      <c r="M93" s="985"/>
      <c r="N93" s="1002" t="str">
        <f>+NOMINA!O72</f>
        <v>Medico jefe I</v>
      </c>
      <c r="O93" s="999">
        <f>ROUND(NOMINA!W72,2)</f>
        <v>153.5</v>
      </c>
      <c r="P93" s="999">
        <f>NOMINA!AF72</f>
        <v>4.6100000000000003</v>
      </c>
      <c r="Q93" s="999">
        <f>NOMINA!AH72</f>
        <v>65</v>
      </c>
      <c r="R93" s="999">
        <f>NOMINA!AC72</f>
        <v>0</v>
      </c>
      <c r="S93" s="999">
        <f>NOMINA!AJ72</f>
        <v>66.930000000000007</v>
      </c>
      <c r="T93" s="986">
        <f t="shared" si="18"/>
        <v>0</v>
      </c>
      <c r="U93" s="999">
        <f>ROUND(NOMINA!BL72,2)</f>
        <v>21.42</v>
      </c>
      <c r="V93" s="999">
        <f>ROUND(NOMINA!BM72,2)</f>
        <v>2.68</v>
      </c>
      <c r="W93" s="999">
        <f>ROUND(+NOMINA!BN72,2)</f>
        <v>5.8</v>
      </c>
      <c r="X93" s="999">
        <f>ROUND(NOMINA!BO72,2)</f>
        <v>0</v>
      </c>
      <c r="Y93" s="999">
        <f>ROUND(NOMINA!BP72,2)</f>
        <v>0</v>
      </c>
      <c r="Z93" s="986">
        <f t="shared" si="19"/>
        <v>23.19</v>
      </c>
      <c r="AA93" s="999">
        <f>ROUND(NOMINA!BK72,2)</f>
        <v>0</v>
      </c>
      <c r="AB93" s="866">
        <f t="shared" si="20"/>
        <v>260.14000000000004</v>
      </c>
    </row>
    <row r="94" spans="1:28" s="629" customFormat="1" ht="20.100000000000001" customHeight="1" thickBot="1">
      <c r="A94" s="770" t="s">
        <v>2846</v>
      </c>
      <c r="B94" s="510">
        <f t="shared" ca="1" si="21"/>
        <v>31</v>
      </c>
      <c r="C94" s="980">
        <f>+NOMINA!C73</f>
        <v>10257016</v>
      </c>
      <c r="D94" s="981" t="str">
        <f>+NOMINA!D73</f>
        <v>Torres Dulma Ramona</v>
      </c>
      <c r="E94" s="978" t="s">
        <v>4622</v>
      </c>
      <c r="F94" s="1006">
        <v>27853</v>
      </c>
      <c r="G94" s="978" t="s">
        <v>4620</v>
      </c>
      <c r="H94" s="1007">
        <f>+NOMINA!H73</f>
        <v>35947</v>
      </c>
      <c r="I94" s="984">
        <f>+NOMINA!I73</f>
        <v>26</v>
      </c>
      <c r="J94" s="985">
        <f>+NOMINA!J73</f>
        <v>0</v>
      </c>
      <c r="K94" s="984">
        <f t="shared" si="17"/>
        <v>26</v>
      </c>
      <c r="L94" s="985" t="s">
        <v>4932</v>
      </c>
      <c r="M94" s="985"/>
      <c r="N94" s="1002" t="str">
        <f>+NOMINA!O73</f>
        <v>Tutor Facilitador III</v>
      </c>
      <c r="O94" s="999">
        <f>ROUND(NOMINA!W73,2)</f>
        <v>143.5</v>
      </c>
      <c r="P94" s="999">
        <f>NOMINA!AF73</f>
        <v>43.05</v>
      </c>
      <c r="Q94" s="999">
        <f>NOMINA!AH73</f>
        <v>65</v>
      </c>
      <c r="R94" s="999">
        <f>NOMINA!AC73</f>
        <v>0</v>
      </c>
      <c r="S94" s="999">
        <f>NOMINA!AJ73</f>
        <v>62.89</v>
      </c>
      <c r="T94" s="986">
        <f t="shared" si="18"/>
        <v>125.32</v>
      </c>
      <c r="U94" s="999">
        <f>ROUND(NOMINA!BL73,2)</f>
        <v>23.22</v>
      </c>
      <c r="V94" s="999">
        <f>ROUND(NOMINA!BM73,2)</f>
        <v>2.9</v>
      </c>
      <c r="W94" s="999">
        <f>ROUND(+NOMINA!BN73,2)</f>
        <v>6.29</v>
      </c>
      <c r="X94" s="999">
        <f>ROUND(NOMINA!BO73,2)</f>
        <v>0</v>
      </c>
      <c r="Y94" s="999">
        <f>ROUND(NOMINA!BP73,2)</f>
        <v>0</v>
      </c>
      <c r="Z94" s="986">
        <f t="shared" si="19"/>
        <v>0</v>
      </c>
      <c r="AA94" s="999">
        <f>ROUND(NOMINA!BK73,2)</f>
        <v>0</v>
      </c>
      <c r="AB94" s="866">
        <f t="shared" si="20"/>
        <v>282.02999999999997</v>
      </c>
    </row>
    <row r="95" spans="1:28" s="629" customFormat="1" ht="20.100000000000001" customHeight="1" thickBot="1">
      <c r="A95" s="770" t="s">
        <v>2846</v>
      </c>
      <c r="B95" s="510">
        <f t="shared" ca="1" si="21"/>
        <v>32</v>
      </c>
      <c r="C95" s="980">
        <f>+NOMINA!C74</f>
        <v>10315803</v>
      </c>
      <c r="D95" s="981" t="str">
        <f>+NOMINA!D74</f>
        <v>Frias Jacson Daniel</v>
      </c>
      <c r="E95" s="978" t="s">
        <v>4622</v>
      </c>
      <c r="F95" s="1006">
        <v>27853</v>
      </c>
      <c r="G95" s="978" t="s">
        <v>4620</v>
      </c>
      <c r="H95" s="1007">
        <f>+NOMINA!H74</f>
        <v>35415</v>
      </c>
      <c r="I95" s="984">
        <f>+NOMINA!I74</f>
        <v>28</v>
      </c>
      <c r="J95" s="985">
        <f>+NOMINA!J74</f>
        <v>0</v>
      </c>
      <c r="K95" s="984">
        <f t="shared" si="17"/>
        <v>28</v>
      </c>
      <c r="L95" s="985" t="s">
        <v>4932</v>
      </c>
      <c r="M95" s="985"/>
      <c r="N95" s="1002" t="str">
        <f>+NOMINA!O74</f>
        <v>Guia de Centro II</v>
      </c>
      <c r="O95" s="999">
        <f>ROUND(NOMINA!W74,2)</f>
        <v>88.5</v>
      </c>
      <c r="P95" s="999">
        <f>NOMINA!AF74</f>
        <v>26.55</v>
      </c>
      <c r="Q95" s="999">
        <f>NOMINA!AH74</f>
        <v>65</v>
      </c>
      <c r="R95" s="999">
        <f>NOMINA!AC74</f>
        <v>0</v>
      </c>
      <c r="S95" s="999">
        <f>NOMINA!AJ74</f>
        <v>0</v>
      </c>
      <c r="T95" s="986">
        <f t="shared" si="18"/>
        <v>88.01</v>
      </c>
      <c r="U95" s="999">
        <f>ROUND(NOMINA!BL74,2)</f>
        <v>17.28</v>
      </c>
      <c r="V95" s="999">
        <f>ROUND(NOMINA!BM74,2)</f>
        <v>2.16</v>
      </c>
      <c r="W95" s="999">
        <f>ROUND(+NOMINA!BN74,2)</f>
        <v>4.68</v>
      </c>
      <c r="X95" s="999">
        <f>ROUND(NOMINA!BO74,2)</f>
        <v>0</v>
      </c>
      <c r="Y95" s="999">
        <f>ROUND(NOMINA!BP74,2)</f>
        <v>0</v>
      </c>
      <c r="Z95" s="986">
        <f t="shared" si="19"/>
        <v>31.38</v>
      </c>
      <c r="AA95" s="999">
        <f>ROUND(NOMINA!BK74,2)</f>
        <v>0</v>
      </c>
      <c r="AB95" s="866">
        <f t="shared" si="20"/>
        <v>155.93</v>
      </c>
    </row>
    <row r="96" spans="1:28" s="629" customFormat="1" ht="20.100000000000001" customHeight="1" thickBot="1">
      <c r="A96" s="770" t="s">
        <v>2846</v>
      </c>
      <c r="B96" s="510">
        <f t="shared" ca="1" si="21"/>
        <v>33</v>
      </c>
      <c r="C96" s="980">
        <f>+NOMINA!C75</f>
        <v>10319457</v>
      </c>
      <c r="D96" s="981" t="str">
        <f>+NOMINA!D75</f>
        <v>Marquez Marquez Maribel del Valle</v>
      </c>
      <c r="E96" s="978" t="s">
        <v>4622</v>
      </c>
      <c r="F96" s="1006">
        <v>27853</v>
      </c>
      <c r="G96" s="978" t="s">
        <v>4620</v>
      </c>
      <c r="H96" s="1007">
        <f>+NOMINA!H75</f>
        <v>38831</v>
      </c>
      <c r="I96" s="984">
        <f>+NOMINA!I75</f>
        <v>18</v>
      </c>
      <c r="J96" s="985">
        <f>+NOMINA!J75</f>
        <v>0</v>
      </c>
      <c r="K96" s="984">
        <f t="shared" si="17"/>
        <v>18</v>
      </c>
      <c r="L96" s="985" t="s">
        <v>4932</v>
      </c>
      <c r="M96" s="985"/>
      <c r="N96" s="1002" t="str">
        <f>+NOMINA!O75</f>
        <v>Secretario Ejecutivo III</v>
      </c>
      <c r="O96" s="999">
        <f>ROUND(NOMINA!W75,2)</f>
        <v>88.5</v>
      </c>
      <c r="P96" s="999">
        <f>NOMINA!AF75</f>
        <v>20.18</v>
      </c>
      <c r="Q96" s="999">
        <f>NOMINA!AH75</f>
        <v>65</v>
      </c>
      <c r="R96" s="999">
        <f>NOMINA!AC75</f>
        <v>12.5</v>
      </c>
      <c r="S96" s="999">
        <f>NOMINA!AJ75</f>
        <v>0</v>
      </c>
      <c r="T96" s="986">
        <f t="shared" si="18"/>
        <v>91.55</v>
      </c>
      <c r="U96" s="999">
        <f>ROUND(NOMINA!BL75,2)</f>
        <v>13.29</v>
      </c>
      <c r="V96" s="999">
        <f>ROUND(NOMINA!BM75,2)</f>
        <v>1.66</v>
      </c>
      <c r="W96" s="999">
        <f>ROUND(+NOMINA!BN75,2)</f>
        <v>3.6</v>
      </c>
      <c r="X96" s="999">
        <f>ROUND(NOMINA!BO75,2)</f>
        <v>0</v>
      </c>
      <c r="Y96" s="999">
        <f>ROUND(NOMINA!BP75,2)</f>
        <v>0</v>
      </c>
      <c r="Z96" s="986">
        <f t="shared" si="19"/>
        <v>25.36</v>
      </c>
      <c r="AA96" s="999">
        <f>ROUND(NOMINA!BK75,2)</f>
        <v>0</v>
      </c>
      <c r="AB96" s="866">
        <f t="shared" si="20"/>
        <v>167.63</v>
      </c>
    </row>
    <row r="97" spans="1:28" s="629" customFormat="1" ht="20.100000000000001" customHeight="1" thickBot="1">
      <c r="A97" s="770" t="s">
        <v>2846</v>
      </c>
      <c r="B97" s="510">
        <f t="shared" ca="1" si="21"/>
        <v>34</v>
      </c>
      <c r="C97" s="980">
        <f>+NOMINA!C76</f>
        <v>10396379</v>
      </c>
      <c r="D97" s="981" t="str">
        <f>+NOMINA!D76</f>
        <v>Ruiz Luis Alfonzo</v>
      </c>
      <c r="E97" s="978" t="s">
        <v>4622</v>
      </c>
      <c r="F97" s="1006">
        <v>27853</v>
      </c>
      <c r="G97" s="978" t="s">
        <v>4620</v>
      </c>
      <c r="H97" s="1007">
        <f>+NOMINA!H76</f>
        <v>44743</v>
      </c>
      <c r="I97" s="984">
        <f>+NOMINA!I76</f>
        <v>2</v>
      </c>
      <c r="J97" s="985">
        <f>+NOMINA!J76</f>
        <v>0</v>
      </c>
      <c r="K97" s="984">
        <f t="shared" si="17"/>
        <v>2</v>
      </c>
      <c r="L97" s="985" t="s">
        <v>4932</v>
      </c>
      <c r="M97" s="985"/>
      <c r="N97" s="1002" t="str">
        <f>+NOMINA!O76</f>
        <v>ENTRENADOR DEPORTIVO II</v>
      </c>
      <c r="O97" s="999">
        <f>ROUND(NOMINA!W76,2)</f>
        <v>65</v>
      </c>
      <c r="P97" s="999">
        <f>NOMINA!AF76</f>
        <v>1.3</v>
      </c>
      <c r="Q97" s="999">
        <f>NOMINA!AH76</f>
        <v>65</v>
      </c>
      <c r="R97" s="999">
        <f>NOMINA!AC76</f>
        <v>0</v>
      </c>
      <c r="S97" s="999">
        <f>NOMINA!AJ76</f>
        <v>0</v>
      </c>
      <c r="T97" s="986">
        <f t="shared" si="18"/>
        <v>129.35000000000002</v>
      </c>
      <c r="U97" s="999">
        <f>ROUND(NOMINA!BL76,2)</f>
        <v>9.6999999999999993</v>
      </c>
      <c r="V97" s="999">
        <f>ROUND(NOMINA!BM76,2)</f>
        <v>1.21</v>
      </c>
      <c r="W97" s="999">
        <f>ROUND(+NOMINA!BN76,2)</f>
        <v>2.63</v>
      </c>
      <c r="X97" s="999">
        <f>ROUND(NOMINA!BO76,2)</f>
        <v>0</v>
      </c>
      <c r="Y97" s="999">
        <f>ROUND(NOMINA!BP76,2)</f>
        <v>0</v>
      </c>
      <c r="Z97" s="986">
        <f t="shared" si="19"/>
        <v>21.99</v>
      </c>
      <c r="AA97" s="999">
        <f>ROUND(NOMINA!BK76,2)</f>
        <v>0</v>
      </c>
      <c r="AB97" s="866">
        <f t="shared" si="20"/>
        <v>117.76000000000002</v>
      </c>
    </row>
    <row r="98" spans="1:28" s="629" customFormat="1" ht="20.100000000000001" customHeight="1" thickBot="1">
      <c r="A98" s="770" t="s">
        <v>2846</v>
      </c>
      <c r="B98" s="510">
        <f t="shared" ca="1" si="21"/>
        <v>35</v>
      </c>
      <c r="C98" s="980">
        <f>+NOMINA!C77</f>
        <v>10398694</v>
      </c>
      <c r="D98" s="981" t="str">
        <f>+NOMINA!D77</f>
        <v>Santana Briceño Jose Gregorio</v>
      </c>
      <c r="E98" s="978" t="s">
        <v>4622</v>
      </c>
      <c r="F98" s="1006">
        <v>27853</v>
      </c>
      <c r="G98" s="978" t="s">
        <v>4620</v>
      </c>
      <c r="H98" s="1007">
        <f>+NOMINA!H77</f>
        <v>44743</v>
      </c>
      <c r="I98" s="984">
        <f>+NOMINA!I77</f>
        <v>2</v>
      </c>
      <c r="J98" s="985">
        <f>+NOMINA!J77</f>
        <v>23</v>
      </c>
      <c r="K98" s="984">
        <f t="shared" si="17"/>
        <v>25</v>
      </c>
      <c r="L98" s="985" t="s">
        <v>4932</v>
      </c>
      <c r="M98" s="985"/>
      <c r="N98" s="1002" t="str">
        <f>+NOMINA!O77</f>
        <v>Guia de Centro I</v>
      </c>
      <c r="O98" s="999">
        <f>ROUND(NOMINA!W77,2)</f>
        <v>114</v>
      </c>
      <c r="P98" s="999">
        <f>NOMINA!AF77</f>
        <v>34.200000000000003</v>
      </c>
      <c r="Q98" s="999">
        <f>NOMINA!AH77</f>
        <v>65</v>
      </c>
      <c r="R98" s="999">
        <f>NOMINA!AC77</f>
        <v>0</v>
      </c>
      <c r="S98" s="999">
        <f>NOMINA!AJ77</f>
        <v>42.64</v>
      </c>
      <c r="T98" s="986">
        <f t="shared" si="18"/>
        <v>89.61</v>
      </c>
      <c r="U98" s="999">
        <f>ROUND(NOMINA!BL77,2)</f>
        <v>24.56</v>
      </c>
      <c r="V98" s="999">
        <f>ROUND(NOMINA!BM77,2)</f>
        <v>3.07</v>
      </c>
      <c r="W98" s="999">
        <f>ROUND(+NOMINA!BN77,2)</f>
        <v>6.65</v>
      </c>
      <c r="X98" s="999">
        <f>ROUND(NOMINA!BO77,2)</f>
        <v>0</v>
      </c>
      <c r="Y98" s="999">
        <f>ROUND(NOMINA!BP77,2)</f>
        <v>0</v>
      </c>
      <c r="Z98" s="986">
        <f t="shared" si="19"/>
        <v>18.559999999999999</v>
      </c>
      <c r="AA98" s="999">
        <f>ROUND(NOMINA!BK77,2)</f>
        <v>0</v>
      </c>
      <c r="AB98" s="866">
        <f t="shared" si="20"/>
        <v>221.55999999999997</v>
      </c>
    </row>
    <row r="99" spans="1:28" s="629" customFormat="1" ht="20.100000000000001" customHeight="1" thickBot="1">
      <c r="A99" s="770" t="s">
        <v>2846</v>
      </c>
      <c r="B99" s="510">
        <f t="shared" ca="1" si="21"/>
        <v>36</v>
      </c>
      <c r="C99" s="980">
        <f>+NOMINA!C78</f>
        <v>10399064</v>
      </c>
      <c r="D99" s="981" t="str">
        <f>+NOMINA!D78</f>
        <v>Perdomo Perdomo Angela Aurora</v>
      </c>
      <c r="E99" s="978" t="s">
        <v>4622</v>
      </c>
      <c r="F99" s="1006">
        <v>27853</v>
      </c>
      <c r="G99" s="978" t="s">
        <v>4620</v>
      </c>
      <c r="H99" s="1007">
        <f>+NOMINA!H78</f>
        <v>39328</v>
      </c>
      <c r="I99" s="984">
        <f>+NOMINA!I78</f>
        <v>17</v>
      </c>
      <c r="J99" s="985">
        <f>+NOMINA!J78</f>
        <v>0</v>
      </c>
      <c r="K99" s="984">
        <f t="shared" si="17"/>
        <v>17</v>
      </c>
      <c r="L99" s="985" t="s">
        <v>4932</v>
      </c>
      <c r="M99" s="985"/>
      <c r="N99" s="1002" t="str">
        <f>+NOMINA!O78</f>
        <v>Guia de Centro II</v>
      </c>
      <c r="O99" s="999">
        <f>ROUND(NOMINA!W78,2)</f>
        <v>113</v>
      </c>
      <c r="P99" s="999">
        <f>NOMINA!AF78</f>
        <v>23.96</v>
      </c>
      <c r="Q99" s="999">
        <f>NOMINA!AH78</f>
        <v>65</v>
      </c>
      <c r="R99" s="999">
        <f>NOMINA!AC78</f>
        <v>0</v>
      </c>
      <c r="S99" s="999">
        <f>NOMINA!AJ78</f>
        <v>40.39</v>
      </c>
      <c r="T99" s="986">
        <f t="shared" si="18"/>
        <v>91.2</v>
      </c>
      <c r="U99" s="999">
        <f>ROUND(NOMINA!BL78,2)</f>
        <v>23.27</v>
      </c>
      <c r="V99" s="999">
        <f>ROUND(NOMINA!BM78,2)</f>
        <v>2.91</v>
      </c>
      <c r="W99" s="999">
        <f>ROUND(+NOMINA!BN78,2)</f>
        <v>6.3</v>
      </c>
      <c r="X99" s="999">
        <f>ROUND(NOMINA!BO78,2)</f>
        <v>0</v>
      </c>
      <c r="Y99" s="999">
        <f>ROUND(NOMINA!BP78,2)</f>
        <v>0</v>
      </c>
      <c r="Z99" s="986">
        <f t="shared" si="19"/>
        <v>25.5</v>
      </c>
      <c r="AA99" s="999">
        <f>ROUND(NOMINA!BK78,2)</f>
        <v>0</v>
      </c>
      <c r="AB99" s="866">
        <f t="shared" si="20"/>
        <v>209.87000000000003</v>
      </c>
    </row>
    <row r="100" spans="1:28" s="629" customFormat="1" ht="20.100000000000001" customHeight="1" thickBot="1">
      <c r="A100" s="770" t="s">
        <v>2846</v>
      </c>
      <c r="B100" s="510">
        <f t="shared" ca="1" si="21"/>
        <v>37</v>
      </c>
      <c r="C100" s="980">
        <f>+NOMINA!C79</f>
        <v>10400214</v>
      </c>
      <c r="D100" s="981" t="str">
        <f>+NOMINA!D79</f>
        <v>Bastidas Yanitza Del Valle</v>
      </c>
      <c r="E100" s="978" t="s">
        <v>4622</v>
      </c>
      <c r="F100" s="1006">
        <v>27853</v>
      </c>
      <c r="G100" s="978" t="s">
        <v>4620</v>
      </c>
      <c r="H100" s="1007">
        <f>+NOMINA!H79</f>
        <v>41153</v>
      </c>
      <c r="I100" s="984">
        <f>+NOMINA!I79</f>
        <v>12</v>
      </c>
      <c r="J100" s="985">
        <f>+NOMINA!J79</f>
        <v>0</v>
      </c>
      <c r="K100" s="984">
        <f t="shared" si="17"/>
        <v>12</v>
      </c>
      <c r="L100" s="985" t="s">
        <v>4932</v>
      </c>
      <c r="M100" s="985"/>
      <c r="N100" s="1002" t="str">
        <f>+NOMINA!O79</f>
        <v>Guia de Centro II</v>
      </c>
      <c r="O100" s="999">
        <f>ROUND(NOMINA!W79,2)</f>
        <v>112.5</v>
      </c>
      <c r="P100" s="999">
        <f>NOMINA!AF79</f>
        <v>15.53</v>
      </c>
      <c r="Q100" s="999">
        <f>NOMINA!AH79</f>
        <v>65</v>
      </c>
      <c r="R100" s="999">
        <f>NOMINA!AC79</f>
        <v>0</v>
      </c>
      <c r="S100" s="999">
        <f>NOMINA!AJ79</f>
        <v>38.61</v>
      </c>
      <c r="T100" s="986">
        <f t="shared" si="18"/>
        <v>142.67000000000002</v>
      </c>
      <c r="U100" s="999">
        <f>ROUND(NOMINA!BL79,2)</f>
        <v>22.24</v>
      </c>
      <c r="V100" s="999">
        <f>ROUND(NOMINA!BM79,2)</f>
        <v>2.78</v>
      </c>
      <c r="W100" s="999">
        <f>ROUND(+NOMINA!BN79,2)</f>
        <v>6.02</v>
      </c>
      <c r="X100" s="999">
        <f>ROUND(NOMINA!BO79,2)</f>
        <v>0</v>
      </c>
      <c r="Y100" s="999">
        <f>ROUND(NOMINA!BP79,2)</f>
        <v>0</v>
      </c>
      <c r="Z100" s="986">
        <f t="shared" si="19"/>
        <v>16.899999999999999</v>
      </c>
      <c r="AA100" s="999">
        <f>ROUND(NOMINA!BK79,2)</f>
        <v>0</v>
      </c>
      <c r="AB100" s="866">
        <f t="shared" si="20"/>
        <v>200.6</v>
      </c>
    </row>
    <row r="101" spans="1:28" s="629" customFormat="1" ht="20.100000000000001" customHeight="1" thickBot="1">
      <c r="A101" s="770" t="s">
        <v>2846</v>
      </c>
      <c r="B101" s="510">
        <f t="shared" ca="1" si="21"/>
        <v>38</v>
      </c>
      <c r="C101" s="980">
        <f>+NOMINA!C80</f>
        <v>10400365</v>
      </c>
      <c r="D101" s="981" t="str">
        <f>+NOMINA!D80</f>
        <v>Briceño Ruiz Sara Josefina</v>
      </c>
      <c r="E101" s="978" t="s">
        <v>4622</v>
      </c>
      <c r="F101" s="1006">
        <v>27853</v>
      </c>
      <c r="G101" s="978" t="s">
        <v>4620</v>
      </c>
      <c r="H101" s="1007">
        <f>+NOMINA!H80</f>
        <v>39328</v>
      </c>
      <c r="I101" s="984">
        <f>+NOMINA!I80</f>
        <v>17</v>
      </c>
      <c r="J101" s="985">
        <f>+NOMINA!J80</f>
        <v>0</v>
      </c>
      <c r="K101" s="984">
        <f t="shared" si="17"/>
        <v>17</v>
      </c>
      <c r="L101" s="985" t="s">
        <v>4932</v>
      </c>
      <c r="M101" s="985"/>
      <c r="N101" s="1002" t="str">
        <f>+NOMINA!O80</f>
        <v>Supervisor de Servicios Generales IV</v>
      </c>
      <c r="O101" s="999">
        <f>ROUND(NOMINA!W80,2)</f>
        <v>113</v>
      </c>
      <c r="P101" s="999">
        <f>NOMINA!AF80</f>
        <v>23.96</v>
      </c>
      <c r="Q101" s="999">
        <f>NOMINA!AH80</f>
        <v>65</v>
      </c>
      <c r="R101" s="999">
        <f>NOMINA!AC80</f>
        <v>0</v>
      </c>
      <c r="S101" s="999">
        <f>NOMINA!AJ80</f>
        <v>40.39</v>
      </c>
      <c r="T101" s="986">
        <f t="shared" si="18"/>
        <v>0</v>
      </c>
      <c r="U101" s="999">
        <f>ROUND(NOMINA!BL80,2)</f>
        <v>17.899999999999999</v>
      </c>
      <c r="V101" s="999">
        <f>ROUND(NOMINA!BM80,2)</f>
        <v>2.2400000000000002</v>
      </c>
      <c r="W101" s="999">
        <f>ROUND(+NOMINA!BN80,2)</f>
        <v>4.8499999999999996</v>
      </c>
      <c r="X101" s="999">
        <f>ROUND(NOMINA!BO80,2)</f>
        <v>0</v>
      </c>
      <c r="Y101" s="999">
        <f>ROUND(NOMINA!BP80,2)</f>
        <v>0</v>
      </c>
      <c r="Z101" s="986">
        <f t="shared" si="19"/>
        <v>22.45</v>
      </c>
      <c r="AA101" s="999">
        <f>ROUND(NOMINA!BK80,2)</f>
        <v>0</v>
      </c>
      <c r="AB101" s="866">
        <f t="shared" si="20"/>
        <v>217.36</v>
      </c>
    </row>
    <row r="102" spans="1:28" s="629" customFormat="1" ht="20.100000000000001" customHeight="1" thickBot="1">
      <c r="A102" s="770" t="s">
        <v>2846</v>
      </c>
      <c r="B102" s="510">
        <f t="shared" ca="1" si="21"/>
        <v>39</v>
      </c>
      <c r="C102" s="980">
        <f>+NOMINA!C81</f>
        <v>10400876</v>
      </c>
      <c r="D102" s="981" t="str">
        <f>+NOMINA!D81</f>
        <v>Ramirez Vergara Graciela De Jesus</v>
      </c>
      <c r="E102" s="978" t="s">
        <v>4622</v>
      </c>
      <c r="F102" s="1006">
        <v>27853</v>
      </c>
      <c r="G102" s="978" t="s">
        <v>4620</v>
      </c>
      <c r="H102" s="1007">
        <f>+NOMINA!H81</f>
        <v>43556</v>
      </c>
      <c r="I102" s="984">
        <f>+NOMINA!I81</f>
        <v>5</v>
      </c>
      <c r="J102" s="985">
        <f>+NOMINA!J81</f>
        <v>10</v>
      </c>
      <c r="K102" s="984">
        <f t="shared" si="17"/>
        <v>15</v>
      </c>
      <c r="L102" s="985" t="s">
        <v>4932</v>
      </c>
      <c r="M102" s="985"/>
      <c r="N102" s="1002" t="str">
        <f>+NOMINA!O81</f>
        <v>Analista de Procesamiento de Datos I</v>
      </c>
      <c r="O102" s="999">
        <f>ROUND(NOMINA!W81,2)</f>
        <v>113</v>
      </c>
      <c r="P102" s="999">
        <f>NOMINA!AF81</f>
        <v>20.34</v>
      </c>
      <c r="Q102" s="999">
        <f>NOMINA!AH81</f>
        <v>65</v>
      </c>
      <c r="R102" s="999">
        <f>NOMINA!AC81</f>
        <v>0</v>
      </c>
      <c r="S102" s="999">
        <f>NOMINA!AJ81</f>
        <v>39.67</v>
      </c>
      <c r="T102" s="986">
        <f t="shared" si="18"/>
        <v>160.9</v>
      </c>
      <c r="U102" s="999">
        <f>ROUND(NOMINA!BL81,2)</f>
        <v>17.579999999999998</v>
      </c>
      <c r="V102" s="999">
        <f>ROUND(NOMINA!BM81,2)</f>
        <v>2.2000000000000002</v>
      </c>
      <c r="W102" s="999">
        <f>ROUND(+NOMINA!BN81,2)</f>
        <v>4.76</v>
      </c>
      <c r="X102" s="999">
        <f>ROUND(NOMINA!BO81,2)</f>
        <v>0</v>
      </c>
      <c r="Y102" s="999">
        <f>ROUND(NOMINA!BP81,2)</f>
        <v>0</v>
      </c>
      <c r="Z102" s="986">
        <f t="shared" si="19"/>
        <v>0</v>
      </c>
      <c r="AA102" s="999">
        <f>ROUND(NOMINA!BK81,2)</f>
        <v>0</v>
      </c>
      <c r="AB102" s="866">
        <f t="shared" si="20"/>
        <v>213.47</v>
      </c>
    </row>
    <row r="103" spans="1:28" s="629" customFormat="1" ht="20.100000000000001" customHeight="1" thickBot="1">
      <c r="A103" s="770" t="s">
        <v>2846</v>
      </c>
      <c r="B103" s="510">
        <f t="shared" ca="1" si="21"/>
        <v>40</v>
      </c>
      <c r="C103" s="980">
        <f>+NOMINA!C82</f>
        <v>10404528</v>
      </c>
      <c r="D103" s="981" t="str">
        <f>+NOMINA!D82</f>
        <v>Perez Castellano Javier Horacio</v>
      </c>
      <c r="E103" s="978" t="s">
        <v>4622</v>
      </c>
      <c r="F103" s="1006">
        <v>27853</v>
      </c>
      <c r="G103" s="978" t="s">
        <v>4620</v>
      </c>
      <c r="H103" s="1007">
        <f>+NOMINA!H82</f>
        <v>37622</v>
      </c>
      <c r="I103" s="984">
        <f>+NOMINA!I82</f>
        <v>22</v>
      </c>
      <c r="J103" s="985">
        <f>+NOMINA!J82</f>
        <v>0</v>
      </c>
      <c r="K103" s="984">
        <f t="shared" si="17"/>
        <v>22</v>
      </c>
      <c r="L103" s="985" t="s">
        <v>4932</v>
      </c>
      <c r="M103" s="985"/>
      <c r="N103" s="1002" t="str">
        <f>+NOMINA!O82</f>
        <v>Administrador IV</v>
      </c>
      <c r="O103" s="999">
        <f>ROUND(NOMINA!W82,2)</f>
        <v>0</v>
      </c>
      <c r="P103" s="999">
        <f>NOMINA!AF82</f>
        <v>0</v>
      </c>
      <c r="Q103" s="999">
        <f>NOMINA!AH82</f>
        <v>0</v>
      </c>
      <c r="R103" s="999">
        <f>NOMINA!AC82</f>
        <v>0</v>
      </c>
      <c r="S103" s="999">
        <f>NOMINA!AJ82</f>
        <v>0</v>
      </c>
      <c r="T103" s="986">
        <f t="shared" si="18"/>
        <v>131.99</v>
      </c>
      <c r="U103" s="999">
        <f>ROUND(NOMINA!BL82,2)</f>
        <v>0</v>
      </c>
      <c r="V103" s="999">
        <f>ROUND(NOMINA!BM82,2)</f>
        <v>0</v>
      </c>
      <c r="W103" s="999">
        <f>ROUND(+NOMINA!BN82,2)</f>
        <v>0</v>
      </c>
      <c r="X103" s="999">
        <f>ROUND(NOMINA!BO82,2)</f>
        <v>0</v>
      </c>
      <c r="Y103" s="999">
        <f>ROUND(NOMINA!BP82,2)</f>
        <v>0</v>
      </c>
      <c r="Z103" s="986">
        <f t="shared" si="19"/>
        <v>29.38</v>
      </c>
      <c r="AA103" s="999">
        <f>ROUND(NOMINA!BK82,2)</f>
        <v>0</v>
      </c>
      <c r="AB103" s="866">
        <f t="shared" si="20"/>
        <v>0</v>
      </c>
    </row>
    <row r="104" spans="1:28" s="629" customFormat="1" ht="20.100000000000001" customHeight="1" thickBot="1">
      <c r="A104" s="770" t="s">
        <v>2846</v>
      </c>
      <c r="B104" s="510">
        <f t="shared" ca="1" si="21"/>
        <v>41</v>
      </c>
      <c r="C104" s="980">
        <f>+NOMINA!C83</f>
        <v>10906110</v>
      </c>
      <c r="D104" s="981" t="str">
        <f>+NOMINA!D83</f>
        <v>Linares Prato Yraima Gregoria</v>
      </c>
      <c r="E104" s="978" t="s">
        <v>4622</v>
      </c>
      <c r="F104" s="1006">
        <v>27853</v>
      </c>
      <c r="G104" s="978" t="s">
        <v>4620</v>
      </c>
      <c r="H104" s="1007">
        <f>+NOMINA!H83</f>
        <v>45292</v>
      </c>
      <c r="I104" s="984">
        <f>+NOMINA!I83</f>
        <v>1</v>
      </c>
      <c r="J104" s="985">
        <f>+NOMINA!J83</f>
        <v>0</v>
      </c>
      <c r="K104" s="984">
        <f t="shared" si="17"/>
        <v>1</v>
      </c>
      <c r="L104" s="985" t="s">
        <v>4932</v>
      </c>
      <c r="M104" s="985"/>
      <c r="N104" s="1002" t="str">
        <f>+NOMINA!O83</f>
        <v>Guia de Centro I</v>
      </c>
      <c r="O104" s="999">
        <f>ROUND(NOMINA!W83,2)</f>
        <v>65</v>
      </c>
      <c r="P104" s="999">
        <f>NOMINA!AF83</f>
        <v>0.65</v>
      </c>
      <c r="Q104" s="999">
        <f>NOMINA!AH83</f>
        <v>65</v>
      </c>
      <c r="R104" s="999">
        <f>NOMINA!AC83</f>
        <v>0</v>
      </c>
      <c r="S104" s="999">
        <f>NOMINA!AJ83</f>
        <v>0</v>
      </c>
      <c r="T104" s="986">
        <f t="shared" si="18"/>
        <v>103.85000000000001</v>
      </c>
      <c r="U104" s="999">
        <f>ROUND(NOMINA!BL83,2)</f>
        <v>12.54</v>
      </c>
      <c r="V104" s="999">
        <f>ROUND(NOMINA!BM83,2)</f>
        <v>1.57</v>
      </c>
      <c r="W104" s="999">
        <f>ROUND(+NOMINA!BN83,2)</f>
        <v>3.4</v>
      </c>
      <c r="X104" s="999">
        <f>ROUND(NOMINA!BO83,2)</f>
        <v>0</v>
      </c>
      <c r="Y104" s="999">
        <f>ROUND(NOMINA!BP83,2)</f>
        <v>0</v>
      </c>
      <c r="Z104" s="986">
        <f t="shared" si="19"/>
        <v>32.409999999999997</v>
      </c>
      <c r="AA104" s="999">
        <f>ROUND(NOMINA!BK83,2)</f>
        <v>0</v>
      </c>
      <c r="AB104" s="866">
        <f t="shared" si="20"/>
        <v>113.14000000000001</v>
      </c>
    </row>
    <row r="105" spans="1:28" s="629" customFormat="1" ht="20.100000000000001" customHeight="1" thickBot="1">
      <c r="A105" s="770" t="s">
        <v>2846</v>
      </c>
      <c r="B105" s="510">
        <f t="shared" ca="1" si="21"/>
        <v>42</v>
      </c>
      <c r="C105" s="980">
        <f>+NOMINA!C84</f>
        <v>10906923</v>
      </c>
      <c r="D105" s="981" t="str">
        <f>+NOMINA!D84</f>
        <v>Cruz de Rodriguez Yanet Coromoto</v>
      </c>
      <c r="E105" s="978" t="s">
        <v>4622</v>
      </c>
      <c r="F105" s="1006">
        <v>27853</v>
      </c>
      <c r="G105" s="978" t="s">
        <v>4620</v>
      </c>
      <c r="H105" s="1007">
        <f>+NOMINA!H84</f>
        <v>44636</v>
      </c>
      <c r="I105" s="984">
        <f>+NOMINA!I84</f>
        <v>2</v>
      </c>
      <c r="J105" s="985">
        <f>+NOMINA!J84</f>
        <v>0</v>
      </c>
      <c r="K105" s="984">
        <f t="shared" si="17"/>
        <v>2</v>
      </c>
      <c r="L105" s="985" t="s">
        <v>4932</v>
      </c>
      <c r="M105" s="985"/>
      <c r="N105" s="1002" t="str">
        <f>+NOMINA!O84</f>
        <v>Guia de Centro I</v>
      </c>
      <c r="O105" s="999">
        <f>ROUND(NOMINA!W84,2)</f>
        <v>96</v>
      </c>
      <c r="P105" s="999">
        <f>NOMINA!AF84</f>
        <v>1.92</v>
      </c>
      <c r="Q105" s="999">
        <f>NOMINA!AH84</f>
        <v>65</v>
      </c>
      <c r="R105" s="999">
        <f>NOMINA!AC84</f>
        <v>12.5</v>
      </c>
      <c r="S105" s="999">
        <f>NOMINA!AJ84</f>
        <v>33.840000000000003</v>
      </c>
      <c r="T105" s="986">
        <f t="shared" si="18"/>
        <v>91.55</v>
      </c>
      <c r="U105" s="999">
        <f>ROUND(NOMINA!BL84,2)</f>
        <v>14.99</v>
      </c>
      <c r="V105" s="999">
        <f>ROUND(NOMINA!BM84,2)</f>
        <v>1.87</v>
      </c>
      <c r="W105" s="999">
        <f>ROUND(+NOMINA!BN84,2)</f>
        <v>4.0599999999999996</v>
      </c>
      <c r="X105" s="999">
        <f>ROUND(NOMINA!BO84,2)</f>
        <v>0</v>
      </c>
      <c r="Y105" s="999">
        <f>ROUND(NOMINA!BP84,2)</f>
        <v>0</v>
      </c>
      <c r="Z105" s="986">
        <f t="shared" si="19"/>
        <v>27.47</v>
      </c>
      <c r="AA105" s="999">
        <f>ROUND(NOMINA!BK84,2)</f>
        <v>0</v>
      </c>
      <c r="AB105" s="866">
        <f t="shared" si="20"/>
        <v>188.34000000000003</v>
      </c>
    </row>
    <row r="106" spans="1:28" s="629" customFormat="1" ht="20.100000000000001" customHeight="1" thickBot="1">
      <c r="A106" s="770" t="s">
        <v>2846</v>
      </c>
      <c r="B106" s="510">
        <f t="shared" ca="1" si="21"/>
        <v>43</v>
      </c>
      <c r="C106" s="980">
        <f>+NOMINA!C85</f>
        <v>10908510</v>
      </c>
      <c r="D106" s="981" t="str">
        <f>+NOMINA!D85</f>
        <v>Castro de Vielma Yanira Rosa</v>
      </c>
      <c r="E106" s="978" t="s">
        <v>4622</v>
      </c>
      <c r="F106" s="1006">
        <v>27853</v>
      </c>
      <c r="G106" s="978" t="s">
        <v>4620</v>
      </c>
      <c r="H106" s="1007">
        <f>+NOMINA!H85</f>
        <v>39874</v>
      </c>
      <c r="I106" s="984">
        <f>+NOMINA!I85</f>
        <v>15</v>
      </c>
      <c r="J106" s="985">
        <f>+NOMINA!J85</f>
        <v>6</v>
      </c>
      <c r="K106" s="984">
        <f t="shared" si="17"/>
        <v>21</v>
      </c>
      <c r="L106" s="985" t="s">
        <v>4932</v>
      </c>
      <c r="M106" s="985"/>
      <c r="N106" s="1002" t="str">
        <f>+NOMINA!O85</f>
        <v>Jefe de Centro</v>
      </c>
      <c r="O106" s="999">
        <f>ROUND(NOMINA!W85,2)</f>
        <v>143.5</v>
      </c>
      <c r="P106" s="999">
        <f>NOMINA!AF85</f>
        <v>39.9</v>
      </c>
      <c r="Q106" s="999">
        <f>NOMINA!AH85</f>
        <v>65</v>
      </c>
      <c r="R106" s="999">
        <f>NOMINA!AC85</f>
        <v>0</v>
      </c>
      <c r="S106" s="999">
        <f>NOMINA!AJ85</f>
        <v>62.1</v>
      </c>
      <c r="T106" s="986">
        <f t="shared" si="18"/>
        <v>110.22</v>
      </c>
      <c r="U106" s="999">
        <f>ROUND(NOMINA!BL85,2)</f>
        <v>22.93</v>
      </c>
      <c r="V106" s="999">
        <f>ROUND(NOMINA!BM85,2)</f>
        <v>2.87</v>
      </c>
      <c r="W106" s="999">
        <f>ROUND(+NOMINA!BN85,2)</f>
        <v>6.21</v>
      </c>
      <c r="X106" s="999">
        <f>ROUND(NOMINA!BO85,2)</f>
        <v>0</v>
      </c>
      <c r="Y106" s="999">
        <f>ROUND(NOMINA!BP85,2)</f>
        <v>0</v>
      </c>
      <c r="Z106" s="986">
        <f t="shared" si="19"/>
        <v>23.49</v>
      </c>
      <c r="AA106" s="999">
        <f>ROUND(NOMINA!BK85,2)</f>
        <v>0</v>
      </c>
      <c r="AB106" s="866">
        <f t="shared" si="20"/>
        <v>278.49</v>
      </c>
    </row>
    <row r="107" spans="1:28" s="629" customFormat="1" ht="20.100000000000001" customHeight="1" thickBot="1">
      <c r="A107" s="770" t="s">
        <v>2846</v>
      </c>
      <c r="B107" s="510">
        <f t="shared" ca="1" si="21"/>
        <v>44</v>
      </c>
      <c r="C107" s="980">
        <f>+NOMINA!C86</f>
        <v>10909245</v>
      </c>
      <c r="D107" s="981" t="str">
        <f>+NOMINA!D86</f>
        <v>Delduca Moreno Luisa</v>
      </c>
      <c r="E107" s="978" t="s">
        <v>4622</v>
      </c>
      <c r="F107" s="1006">
        <v>27853</v>
      </c>
      <c r="G107" s="978" t="s">
        <v>4620</v>
      </c>
      <c r="H107" s="1007">
        <f>+NOMINA!H86</f>
        <v>36054</v>
      </c>
      <c r="I107" s="984">
        <f>+NOMINA!I86</f>
        <v>26</v>
      </c>
      <c r="J107" s="985">
        <f>+NOMINA!J86</f>
        <v>0</v>
      </c>
      <c r="K107" s="984">
        <f t="shared" si="17"/>
        <v>26</v>
      </c>
      <c r="L107" s="985" t="s">
        <v>4932</v>
      </c>
      <c r="M107" s="985"/>
      <c r="N107" s="1002" t="str">
        <f>+NOMINA!O86</f>
        <v>Guia de Centro II</v>
      </c>
      <c r="O107" s="999">
        <f>ROUND(NOMINA!W86,2)</f>
        <v>114</v>
      </c>
      <c r="P107" s="999">
        <f>NOMINA!AF86</f>
        <v>34.200000000000003</v>
      </c>
      <c r="Q107" s="999">
        <f>NOMINA!AH86</f>
        <v>65</v>
      </c>
      <c r="R107" s="999">
        <f>NOMINA!AC86</f>
        <v>0</v>
      </c>
      <c r="S107" s="999">
        <f>NOMINA!AJ86</f>
        <v>42.64</v>
      </c>
      <c r="T107" s="986">
        <f t="shared" si="18"/>
        <v>77.010000000000005</v>
      </c>
      <c r="U107" s="999">
        <f>ROUND(NOMINA!BL86,2)</f>
        <v>24.56</v>
      </c>
      <c r="V107" s="999">
        <f>ROUND(NOMINA!BM86,2)</f>
        <v>3.07</v>
      </c>
      <c r="W107" s="999">
        <f>ROUND(+NOMINA!BN86,2)</f>
        <v>6.65</v>
      </c>
      <c r="X107" s="999">
        <f>ROUND(NOMINA!BO86,2)</f>
        <v>0</v>
      </c>
      <c r="Y107" s="999">
        <f>ROUND(NOMINA!BP86,2)</f>
        <v>0</v>
      </c>
      <c r="Z107" s="986">
        <f t="shared" si="19"/>
        <v>22.81</v>
      </c>
      <c r="AA107" s="999">
        <f>ROUND(NOMINA!BK86,2)</f>
        <v>0</v>
      </c>
      <c r="AB107" s="866">
        <f t="shared" si="20"/>
        <v>221.55999999999997</v>
      </c>
    </row>
    <row r="108" spans="1:28" s="629" customFormat="1" ht="20.100000000000001" customHeight="1" thickBot="1">
      <c r="A108" s="770" t="s">
        <v>2846</v>
      </c>
      <c r="B108" s="510">
        <f t="shared" ca="1" si="21"/>
        <v>45</v>
      </c>
      <c r="C108" s="980">
        <f>+NOMINA!C87</f>
        <v>10910698</v>
      </c>
      <c r="D108" s="981" t="str">
        <f>+NOMINA!D87</f>
        <v>Rangel Briceño Marcial Segundo</v>
      </c>
      <c r="E108" s="978" t="s">
        <v>4622</v>
      </c>
      <c r="F108" s="1006">
        <v>27853</v>
      </c>
      <c r="G108" s="978" t="s">
        <v>4620</v>
      </c>
      <c r="H108" s="1007">
        <f>+NOMINA!H87</f>
        <v>43891</v>
      </c>
      <c r="I108" s="984">
        <f>+NOMINA!I87</f>
        <v>4</v>
      </c>
      <c r="J108" s="985">
        <f>+NOMINA!J87</f>
        <v>0</v>
      </c>
      <c r="K108" s="984">
        <f t="shared" si="17"/>
        <v>4</v>
      </c>
      <c r="L108" s="985" t="s">
        <v>4932</v>
      </c>
      <c r="M108" s="985"/>
      <c r="N108" s="1002" t="str">
        <f>+NOMINA!O87</f>
        <v>Asistente Administrativo II</v>
      </c>
      <c r="O108" s="999">
        <f>ROUND(NOMINA!W87,2)</f>
        <v>75</v>
      </c>
      <c r="P108" s="999">
        <f>NOMINA!AF87</f>
        <v>3</v>
      </c>
      <c r="Q108" s="999">
        <f>NOMINA!AH87</f>
        <v>65</v>
      </c>
      <c r="R108" s="999">
        <f>NOMINA!AC87</f>
        <v>0</v>
      </c>
      <c r="S108" s="999">
        <f>NOMINA!AJ87</f>
        <v>0</v>
      </c>
      <c r="T108" s="986">
        <f t="shared" si="18"/>
        <v>92.82</v>
      </c>
      <c r="U108" s="999">
        <f>ROUND(NOMINA!BL87,2)</f>
        <v>10.56</v>
      </c>
      <c r="V108" s="999">
        <f>ROUND(NOMINA!BM87,2)</f>
        <v>1.32</v>
      </c>
      <c r="W108" s="999">
        <f>ROUND(+NOMINA!BN87,2)</f>
        <v>2.86</v>
      </c>
      <c r="X108" s="999">
        <f>ROUND(NOMINA!BO87,2)</f>
        <v>0</v>
      </c>
      <c r="Y108" s="999">
        <f>ROUND(NOMINA!BP87,2)</f>
        <v>0</v>
      </c>
      <c r="Z108" s="986">
        <f t="shared" si="19"/>
        <v>29.9</v>
      </c>
      <c r="AA108" s="999">
        <f>ROUND(NOMINA!BK87,2)</f>
        <v>0</v>
      </c>
      <c r="AB108" s="866">
        <f t="shared" si="20"/>
        <v>128.26</v>
      </c>
    </row>
    <row r="109" spans="1:28" s="629" customFormat="1" ht="20.100000000000001" customHeight="1" thickBot="1">
      <c r="A109" s="770" t="s">
        <v>2846</v>
      </c>
      <c r="B109" s="510">
        <f t="shared" ca="1" si="21"/>
        <v>46</v>
      </c>
      <c r="C109" s="980">
        <f>+NOMINA!C88</f>
        <v>10912595</v>
      </c>
      <c r="D109" s="981" t="str">
        <f>+NOMINA!D88</f>
        <v>Delfin Bustos Jose Hercilio</v>
      </c>
      <c r="E109" s="978" t="s">
        <v>4622</v>
      </c>
      <c r="F109" s="1006">
        <v>27853</v>
      </c>
      <c r="G109" s="978" t="s">
        <v>4620</v>
      </c>
      <c r="H109" s="1007">
        <f>+NOMINA!H88</f>
        <v>36039</v>
      </c>
      <c r="I109" s="984">
        <f>+NOMINA!I88</f>
        <v>26</v>
      </c>
      <c r="J109" s="985">
        <f>+NOMINA!J88</f>
        <v>0</v>
      </c>
      <c r="K109" s="984">
        <f t="shared" si="17"/>
        <v>26</v>
      </c>
      <c r="L109" s="985" t="s">
        <v>4932</v>
      </c>
      <c r="M109" s="985"/>
      <c r="N109" s="1002" t="str">
        <f>+NOMINA!O88</f>
        <v>Guia de Centro II</v>
      </c>
      <c r="O109" s="999">
        <f>ROUND(NOMINA!W88,2)</f>
        <v>0</v>
      </c>
      <c r="P109" s="999">
        <f>NOMINA!AF88</f>
        <v>0</v>
      </c>
      <c r="Q109" s="999">
        <f>NOMINA!AH88</f>
        <v>0</v>
      </c>
      <c r="R109" s="999">
        <f>NOMINA!AC88</f>
        <v>0</v>
      </c>
      <c r="S109" s="999">
        <f>NOMINA!AJ88</f>
        <v>0</v>
      </c>
      <c r="T109" s="986">
        <f t="shared" si="18"/>
        <v>0</v>
      </c>
      <c r="U109" s="999">
        <f>ROUND(NOMINA!BL88,2)</f>
        <v>0</v>
      </c>
      <c r="V109" s="999">
        <f>ROUND(NOMINA!BM88,2)</f>
        <v>0</v>
      </c>
      <c r="W109" s="999">
        <f>ROUND(+NOMINA!BN88,2)</f>
        <v>0</v>
      </c>
      <c r="X109" s="999">
        <f>ROUND(NOMINA!BO88,2)</f>
        <v>0</v>
      </c>
      <c r="Y109" s="999">
        <f>ROUND(NOMINA!BP88,2)</f>
        <v>0</v>
      </c>
      <c r="Z109" s="986">
        <f t="shared" si="19"/>
        <v>32.409999999999997</v>
      </c>
      <c r="AA109" s="999">
        <f>ROUND(NOMINA!BK88,2)</f>
        <v>0</v>
      </c>
      <c r="AB109" s="866">
        <f t="shared" si="20"/>
        <v>0</v>
      </c>
    </row>
    <row r="110" spans="1:28" s="629" customFormat="1" ht="20.100000000000001" customHeight="1" thickBot="1">
      <c r="A110" s="770" t="s">
        <v>2846</v>
      </c>
      <c r="B110" s="510">
        <f t="shared" ca="1" si="21"/>
        <v>47</v>
      </c>
      <c r="C110" s="980">
        <f>+NOMINA!C89</f>
        <v>10913178</v>
      </c>
      <c r="D110" s="981" t="str">
        <f>+NOMINA!D89</f>
        <v>Garcia Moreno Iris Josefina</v>
      </c>
      <c r="E110" s="978" t="s">
        <v>4622</v>
      </c>
      <c r="F110" s="1006">
        <v>27853</v>
      </c>
      <c r="G110" s="978" t="s">
        <v>4620</v>
      </c>
      <c r="H110" s="1007">
        <f>+NOMINA!H89</f>
        <v>44805</v>
      </c>
      <c r="I110" s="984">
        <f>+NOMINA!I89</f>
        <v>2</v>
      </c>
      <c r="J110" s="985">
        <f>+NOMINA!J89</f>
        <v>9</v>
      </c>
      <c r="K110" s="984">
        <f t="shared" si="17"/>
        <v>11</v>
      </c>
      <c r="L110" s="985" t="s">
        <v>4932</v>
      </c>
      <c r="M110" s="985"/>
      <c r="N110" s="1002" t="str">
        <f>+NOMINA!O89</f>
        <v>Asistente de Servicio Social</v>
      </c>
      <c r="O110" s="999">
        <f>ROUND(NOMINA!W89,2)</f>
        <v>86</v>
      </c>
      <c r="P110" s="999">
        <f>NOMINA!AF89</f>
        <v>10.67</v>
      </c>
      <c r="Q110" s="999">
        <f>NOMINA!AH89</f>
        <v>65</v>
      </c>
      <c r="R110" s="999">
        <f>NOMINA!AC89</f>
        <v>0</v>
      </c>
      <c r="S110" s="999">
        <f>NOMINA!AJ89</f>
        <v>0</v>
      </c>
      <c r="T110" s="986">
        <f t="shared" si="18"/>
        <v>143.52000000000001</v>
      </c>
      <c r="U110" s="999">
        <f>ROUND(NOMINA!BL89,2)</f>
        <v>11.94</v>
      </c>
      <c r="V110" s="999">
        <f>ROUND(NOMINA!BM89,2)</f>
        <v>1.49</v>
      </c>
      <c r="W110" s="999">
        <f>ROUND(+NOMINA!BN89,2)</f>
        <v>3.23</v>
      </c>
      <c r="X110" s="999">
        <f>ROUND(NOMINA!BO89,2)</f>
        <v>0</v>
      </c>
      <c r="Y110" s="999">
        <f>ROUND(NOMINA!BP89,2)</f>
        <v>0</v>
      </c>
      <c r="Z110" s="986">
        <f t="shared" si="19"/>
        <v>24.12</v>
      </c>
      <c r="AA110" s="999">
        <f>ROUND(NOMINA!BK89,2)</f>
        <v>0</v>
      </c>
      <c r="AB110" s="866">
        <f t="shared" si="20"/>
        <v>145.01000000000002</v>
      </c>
    </row>
    <row r="111" spans="1:28" s="629" customFormat="1" ht="20.100000000000001" customHeight="1" thickBot="1">
      <c r="A111" s="770" t="s">
        <v>2846</v>
      </c>
      <c r="B111" s="510">
        <f t="shared" ca="1" si="21"/>
        <v>48</v>
      </c>
      <c r="C111" s="980">
        <f>+NOMINA!C90</f>
        <v>10913637</v>
      </c>
      <c r="D111" s="981" t="str">
        <f>+NOMINA!D90</f>
        <v>Angarita Hernandez Ana Del Carmen</v>
      </c>
      <c r="E111" s="978" t="s">
        <v>4622</v>
      </c>
      <c r="F111" s="1006">
        <v>27853</v>
      </c>
      <c r="G111" s="978" t="s">
        <v>4620</v>
      </c>
      <c r="H111" s="1007">
        <f>+NOMINA!H90</f>
        <v>40664</v>
      </c>
      <c r="I111" s="984">
        <f>+NOMINA!I90</f>
        <v>13</v>
      </c>
      <c r="J111" s="985">
        <f>+NOMINA!J90</f>
        <v>0</v>
      </c>
      <c r="K111" s="984">
        <f t="shared" si="17"/>
        <v>13</v>
      </c>
      <c r="L111" s="985" t="s">
        <v>4932</v>
      </c>
      <c r="M111" s="985"/>
      <c r="N111" s="1002" t="str">
        <f>+NOMINA!O90</f>
        <v>Guia de Centro II</v>
      </c>
      <c r="O111" s="999">
        <f>ROUND(NOMINA!W90,2)</f>
        <v>141.5</v>
      </c>
      <c r="P111" s="999">
        <f>NOMINA!AF90</f>
        <v>21.51</v>
      </c>
      <c r="Q111" s="999">
        <f>NOMINA!AH90</f>
        <v>65</v>
      </c>
      <c r="R111" s="999">
        <f>NOMINA!AC90</f>
        <v>0</v>
      </c>
      <c r="S111" s="999">
        <f>NOMINA!AJ90</f>
        <v>57.01</v>
      </c>
      <c r="T111" s="986">
        <f t="shared" si="18"/>
        <v>170.94</v>
      </c>
      <c r="U111" s="999">
        <f>ROUND(NOMINA!BL90,2)</f>
        <v>27.36</v>
      </c>
      <c r="V111" s="999">
        <f>ROUND(NOMINA!BM90,2)</f>
        <v>3.42</v>
      </c>
      <c r="W111" s="999">
        <f>ROUND(+NOMINA!BN90,2)</f>
        <v>7.41</v>
      </c>
      <c r="X111" s="999">
        <f>ROUND(NOMINA!BO90,2)</f>
        <v>0</v>
      </c>
      <c r="Y111" s="999">
        <f>ROUND(NOMINA!BP90,2)</f>
        <v>0</v>
      </c>
      <c r="Z111" s="986">
        <f t="shared" si="19"/>
        <v>18.55</v>
      </c>
      <c r="AA111" s="999">
        <f>ROUND(NOMINA!BK90,2)</f>
        <v>0</v>
      </c>
      <c r="AB111" s="866">
        <f t="shared" si="20"/>
        <v>246.82999999999998</v>
      </c>
    </row>
    <row r="112" spans="1:28" s="629" customFormat="1" ht="20.100000000000001" customHeight="1" thickBot="1">
      <c r="A112" s="770" t="s">
        <v>2846</v>
      </c>
      <c r="B112" s="510">
        <f t="shared" ca="1" si="21"/>
        <v>49</v>
      </c>
      <c r="C112" s="980">
        <f>+NOMINA!C91</f>
        <v>10915223</v>
      </c>
      <c r="D112" s="981" t="str">
        <f>+NOMINA!D91</f>
        <v>Contreras Rojo Gerardo Alexander</v>
      </c>
      <c r="E112" s="978" t="s">
        <v>4622</v>
      </c>
      <c r="F112" s="1006">
        <v>27853</v>
      </c>
      <c r="G112" s="978" t="s">
        <v>4620</v>
      </c>
      <c r="H112" s="1007">
        <f>+NOMINA!H91</f>
        <v>35339</v>
      </c>
      <c r="I112" s="984">
        <f>+NOMINA!I91</f>
        <v>28</v>
      </c>
      <c r="J112" s="985">
        <f>+NOMINA!J91</f>
        <v>0</v>
      </c>
      <c r="K112" s="984">
        <f t="shared" si="17"/>
        <v>28</v>
      </c>
      <c r="L112" s="985" t="s">
        <v>4932</v>
      </c>
      <c r="M112" s="985"/>
      <c r="N112" s="1002" t="str">
        <f>+NOMINA!O91</f>
        <v>Tutor Facilitador III</v>
      </c>
      <c r="O112" s="999">
        <f>ROUND(NOMINA!W91,2)</f>
        <v>158</v>
      </c>
      <c r="P112" s="999">
        <f>NOMINA!AF91</f>
        <v>47.4</v>
      </c>
      <c r="Q112" s="999">
        <f>NOMINA!AH91</f>
        <v>65</v>
      </c>
      <c r="R112" s="999">
        <f>NOMINA!AC91</f>
        <v>0</v>
      </c>
      <c r="S112" s="999">
        <f>NOMINA!AJ91</f>
        <v>94.64</v>
      </c>
      <c r="T112" s="986">
        <f t="shared" si="18"/>
        <v>126.94</v>
      </c>
      <c r="U112" s="999">
        <f>ROUND(NOMINA!BL91,2)</f>
        <v>26.96</v>
      </c>
      <c r="V112" s="999">
        <f>ROUND(NOMINA!BM91,2)</f>
        <v>3.37</v>
      </c>
      <c r="W112" s="999">
        <f>ROUND(+NOMINA!BN91,2)</f>
        <v>7.3</v>
      </c>
      <c r="X112" s="999">
        <f>ROUND(NOMINA!BO91,2)</f>
        <v>0</v>
      </c>
      <c r="Y112" s="999">
        <f>ROUND(NOMINA!BP91,2)</f>
        <v>0</v>
      </c>
      <c r="Z112" s="986">
        <f t="shared" si="19"/>
        <v>13.54</v>
      </c>
      <c r="AA112" s="999">
        <f>ROUND(NOMINA!BK91,2)</f>
        <v>0</v>
      </c>
      <c r="AB112" s="866">
        <f t="shared" si="20"/>
        <v>327.40999999999997</v>
      </c>
    </row>
    <row r="113" spans="1:28" s="629" customFormat="1" ht="20.100000000000001" customHeight="1" thickBot="1">
      <c r="A113" s="770" t="s">
        <v>2846</v>
      </c>
      <c r="B113" s="510">
        <f t="shared" ca="1" si="21"/>
        <v>50</v>
      </c>
      <c r="C113" s="980">
        <f>+NOMINA!C92</f>
        <v>10915384</v>
      </c>
      <c r="D113" s="981" t="str">
        <f>+NOMINA!D92</f>
        <v>Rojas Hernandez Morela Del Carmen</v>
      </c>
      <c r="E113" s="978" t="s">
        <v>4622</v>
      </c>
      <c r="F113" s="1006">
        <v>27853</v>
      </c>
      <c r="G113" s="978" t="s">
        <v>4620</v>
      </c>
      <c r="H113" s="1007">
        <f>+NOMINA!H92</f>
        <v>43147</v>
      </c>
      <c r="I113" s="984">
        <f>+NOMINA!I92</f>
        <v>6</v>
      </c>
      <c r="J113" s="985">
        <f>+NOMINA!J92</f>
        <v>0</v>
      </c>
      <c r="K113" s="984">
        <f t="shared" si="17"/>
        <v>6</v>
      </c>
      <c r="L113" s="985" t="s">
        <v>4932</v>
      </c>
      <c r="M113" s="985"/>
      <c r="N113" s="1002" t="str">
        <f>+NOMINA!O92</f>
        <v>Guia de Centro II</v>
      </c>
      <c r="O113" s="999">
        <f>ROUND(NOMINA!W92,2)</f>
        <v>110.5</v>
      </c>
      <c r="P113" s="999">
        <f>NOMINA!AF92</f>
        <v>6.85</v>
      </c>
      <c r="Q113" s="999">
        <f>NOMINA!AH92</f>
        <v>65</v>
      </c>
      <c r="R113" s="999">
        <f>NOMINA!AC92</f>
        <v>0</v>
      </c>
      <c r="S113" s="999">
        <f>NOMINA!AJ92</f>
        <v>36.47</v>
      </c>
      <c r="T113" s="986">
        <f t="shared" si="18"/>
        <v>117.44</v>
      </c>
      <c r="U113" s="999">
        <f>ROUND(NOMINA!BL92,2)</f>
        <v>21.01</v>
      </c>
      <c r="V113" s="999">
        <f>ROUND(NOMINA!BM92,2)</f>
        <v>2.63</v>
      </c>
      <c r="W113" s="999">
        <f>ROUND(+NOMINA!BN92,2)</f>
        <v>5.69</v>
      </c>
      <c r="X113" s="999">
        <f>ROUND(NOMINA!BO92,2)</f>
        <v>0</v>
      </c>
      <c r="Y113" s="999">
        <f>ROUND(NOMINA!BP92,2)</f>
        <v>0</v>
      </c>
      <c r="Z113" s="986">
        <f t="shared" si="19"/>
        <v>34.28</v>
      </c>
      <c r="AA113" s="999">
        <f>ROUND(NOMINA!BK92,2)</f>
        <v>0</v>
      </c>
      <c r="AB113" s="866">
        <f t="shared" si="20"/>
        <v>189.48999999999998</v>
      </c>
    </row>
    <row r="114" spans="1:28" s="629" customFormat="1" ht="20.100000000000001" customHeight="1" thickBot="1">
      <c r="A114" s="770" t="s">
        <v>2846</v>
      </c>
      <c r="B114" s="510">
        <f t="shared" ca="1" si="21"/>
        <v>51</v>
      </c>
      <c r="C114" s="980">
        <f>+NOMINA!C93</f>
        <v>10915597</v>
      </c>
      <c r="D114" s="981" t="str">
        <f>+NOMINA!D93</f>
        <v>Carrillo Altuve Maria Mercedes</v>
      </c>
      <c r="E114" s="978" t="s">
        <v>4622</v>
      </c>
      <c r="F114" s="1006">
        <v>27853</v>
      </c>
      <c r="G114" s="978" t="s">
        <v>4620</v>
      </c>
      <c r="H114" s="1007">
        <f>+NOMINA!H93</f>
        <v>44501</v>
      </c>
      <c r="I114" s="984">
        <f>+NOMINA!I93</f>
        <v>3</v>
      </c>
      <c r="J114" s="985">
        <f>+NOMINA!J93</f>
        <v>0</v>
      </c>
      <c r="K114" s="984">
        <f t="shared" si="17"/>
        <v>3</v>
      </c>
      <c r="L114" s="985" t="s">
        <v>4932</v>
      </c>
      <c r="M114" s="985"/>
      <c r="N114" s="1002" t="str">
        <f>+NOMINA!O93</f>
        <v>Guia de Centro I</v>
      </c>
      <c r="O114" s="999">
        <f>ROUND(NOMINA!W93,2)</f>
        <v>109.5</v>
      </c>
      <c r="P114" s="999">
        <f>NOMINA!AF93</f>
        <v>3.29</v>
      </c>
      <c r="Q114" s="999">
        <f>NOMINA!AH93</f>
        <v>65</v>
      </c>
      <c r="R114" s="999">
        <f>NOMINA!AC93</f>
        <v>0</v>
      </c>
      <c r="S114" s="999">
        <f>NOMINA!AJ93</f>
        <v>71.12</v>
      </c>
      <c r="T114" s="986">
        <f t="shared" si="18"/>
        <v>82.25</v>
      </c>
      <c r="U114" s="999">
        <f>ROUND(NOMINA!BL93,2)</f>
        <v>23.89</v>
      </c>
      <c r="V114" s="999">
        <f>ROUND(NOMINA!BM93,2)</f>
        <v>2.99</v>
      </c>
      <c r="W114" s="999">
        <f>ROUND(+NOMINA!BN93,2)</f>
        <v>6.47</v>
      </c>
      <c r="X114" s="999">
        <f>ROUND(NOMINA!BO93,2)</f>
        <v>0</v>
      </c>
      <c r="Y114" s="999">
        <f>ROUND(NOMINA!BP93,2)</f>
        <v>0</v>
      </c>
      <c r="Z114" s="986">
        <f t="shared" si="19"/>
        <v>32.479999999999997</v>
      </c>
      <c r="AA114" s="999">
        <f>ROUND(NOMINA!BK93,2)</f>
        <v>0</v>
      </c>
      <c r="AB114" s="866">
        <f t="shared" si="20"/>
        <v>215.56000000000003</v>
      </c>
    </row>
    <row r="115" spans="1:28" s="629" customFormat="1" ht="20.100000000000001" customHeight="1" thickBot="1">
      <c r="A115" s="770" t="s">
        <v>2846</v>
      </c>
      <c r="B115" s="510">
        <f t="shared" ca="1" si="21"/>
        <v>52</v>
      </c>
      <c r="C115" s="980">
        <f>+NOMINA!C94</f>
        <v>11128954</v>
      </c>
      <c r="D115" s="981" t="str">
        <f>+NOMINA!D94</f>
        <v>Soto Lopez Rafael Maria</v>
      </c>
      <c r="E115" s="978" t="s">
        <v>4622</v>
      </c>
      <c r="F115" s="1006">
        <v>27853</v>
      </c>
      <c r="G115" s="978" t="s">
        <v>4620</v>
      </c>
      <c r="H115" s="1007">
        <f>+NOMINA!H94</f>
        <v>45170</v>
      </c>
      <c r="I115" s="984">
        <f>+NOMINA!I94</f>
        <v>1</v>
      </c>
      <c r="J115" s="985">
        <f>+NOMINA!J94</f>
        <v>23</v>
      </c>
      <c r="K115" s="984">
        <f t="shared" si="17"/>
        <v>24</v>
      </c>
      <c r="L115" s="985" t="s">
        <v>4932</v>
      </c>
      <c r="M115" s="985"/>
      <c r="N115" s="1002" t="str">
        <f>+NOMINA!O94</f>
        <v>Guia de Centro I</v>
      </c>
      <c r="O115" s="999">
        <f>ROUND(NOMINA!W94,2)</f>
        <v>114</v>
      </c>
      <c r="P115" s="999">
        <f>NOMINA!AF94</f>
        <v>34.200000000000003</v>
      </c>
      <c r="Q115" s="999">
        <f>NOMINA!AH94</f>
        <v>65</v>
      </c>
      <c r="R115" s="999">
        <f>NOMINA!AC94</f>
        <v>12.5</v>
      </c>
      <c r="S115" s="999">
        <f>NOMINA!AJ94</f>
        <v>43.89</v>
      </c>
      <c r="T115" s="986">
        <f t="shared" si="18"/>
        <v>136.54000000000002</v>
      </c>
      <c r="U115" s="999">
        <f>ROUND(NOMINA!BL94,2)</f>
        <v>25.28</v>
      </c>
      <c r="V115" s="999">
        <f>ROUND(NOMINA!BM94,2)</f>
        <v>3.16</v>
      </c>
      <c r="W115" s="999">
        <f>ROUND(+NOMINA!BN94,2)</f>
        <v>6.85</v>
      </c>
      <c r="X115" s="999">
        <f>ROUND(NOMINA!BO94,2)</f>
        <v>0</v>
      </c>
      <c r="Y115" s="999">
        <f>ROUND(NOMINA!BP94,2)</f>
        <v>0</v>
      </c>
      <c r="Z115" s="986">
        <f t="shared" si="19"/>
        <v>31.04</v>
      </c>
      <c r="AA115" s="999">
        <f>ROUND(NOMINA!BK94,2)</f>
        <v>0</v>
      </c>
      <c r="AB115" s="866">
        <f t="shared" si="20"/>
        <v>234.29999999999998</v>
      </c>
    </row>
    <row r="116" spans="1:28" s="629" customFormat="1" ht="20.100000000000001" customHeight="1" thickBot="1">
      <c r="A116" s="770" t="s">
        <v>2846</v>
      </c>
      <c r="B116" s="510">
        <f t="shared" ca="1" si="21"/>
        <v>53</v>
      </c>
      <c r="C116" s="980">
        <f>+NOMINA!C95</f>
        <v>11132900</v>
      </c>
      <c r="D116" s="981" t="str">
        <f>+NOMINA!D95</f>
        <v>Morillo Valero Ender Ramon</v>
      </c>
      <c r="E116" s="978" t="s">
        <v>4622</v>
      </c>
      <c r="F116" s="1006">
        <v>27853</v>
      </c>
      <c r="G116" s="978" t="s">
        <v>4620</v>
      </c>
      <c r="H116" s="1007">
        <f>+NOMINA!H95</f>
        <v>44866</v>
      </c>
      <c r="I116" s="984">
        <f>+NOMINA!I95</f>
        <v>2</v>
      </c>
      <c r="J116" s="985">
        <f>+NOMINA!J95</f>
        <v>0</v>
      </c>
      <c r="K116" s="984">
        <f t="shared" si="17"/>
        <v>2</v>
      </c>
      <c r="L116" s="985" t="s">
        <v>4932</v>
      </c>
      <c r="M116" s="985"/>
      <c r="N116" s="1002" t="str">
        <f>+NOMINA!O95</f>
        <v>Guia de Centro I</v>
      </c>
      <c r="O116" s="999">
        <f>ROUND(NOMINA!W95,2)</f>
        <v>96</v>
      </c>
      <c r="P116" s="999">
        <f>NOMINA!AF95</f>
        <v>1.92</v>
      </c>
      <c r="Q116" s="999">
        <f>NOMINA!AH95</f>
        <v>65</v>
      </c>
      <c r="R116" s="999">
        <f>NOMINA!AC95</f>
        <v>0</v>
      </c>
      <c r="S116" s="999">
        <f>NOMINA!AJ95</f>
        <v>32.590000000000003</v>
      </c>
      <c r="T116" s="986">
        <f t="shared" si="18"/>
        <v>170.94</v>
      </c>
      <c r="U116" s="999">
        <f>ROUND(NOMINA!BL95,2)</f>
        <v>18.77</v>
      </c>
      <c r="V116" s="999">
        <f>ROUND(NOMINA!BM95,2)</f>
        <v>2.35</v>
      </c>
      <c r="W116" s="999">
        <f>ROUND(+NOMINA!BN95,2)</f>
        <v>5.08</v>
      </c>
      <c r="X116" s="999">
        <f>ROUND(NOMINA!BO95,2)</f>
        <v>0</v>
      </c>
      <c r="Y116" s="999">
        <f>ROUND(NOMINA!BP95,2)</f>
        <v>0</v>
      </c>
      <c r="Z116" s="986">
        <f t="shared" si="19"/>
        <v>24.99</v>
      </c>
      <c r="AA116" s="999">
        <f>ROUND(NOMINA!BK95,2)</f>
        <v>0</v>
      </c>
      <c r="AB116" s="866">
        <f t="shared" si="20"/>
        <v>169.31</v>
      </c>
    </row>
    <row r="117" spans="1:28" s="629" customFormat="1" ht="20.100000000000001" customHeight="1" thickBot="1">
      <c r="A117" s="770" t="s">
        <v>2846</v>
      </c>
      <c r="B117" s="510">
        <f t="shared" ca="1" si="21"/>
        <v>54</v>
      </c>
      <c r="C117" s="980">
        <f>+NOMINA!C96</f>
        <v>11132943</v>
      </c>
      <c r="D117" s="981" t="str">
        <f>+NOMINA!D96</f>
        <v>Materano Delgado Yoleida Josefina</v>
      </c>
      <c r="E117" s="978" t="s">
        <v>4622</v>
      </c>
      <c r="F117" s="1006">
        <v>27853</v>
      </c>
      <c r="G117" s="978" t="s">
        <v>4620</v>
      </c>
      <c r="H117" s="1007">
        <f>+NOMINA!H96</f>
        <v>39738</v>
      </c>
      <c r="I117" s="984">
        <f>+NOMINA!I96</f>
        <v>16</v>
      </c>
      <c r="J117" s="985">
        <f>+NOMINA!J96</f>
        <v>0</v>
      </c>
      <c r="K117" s="984">
        <f t="shared" si="17"/>
        <v>16</v>
      </c>
      <c r="L117" s="985" t="s">
        <v>4932</v>
      </c>
      <c r="M117" s="985"/>
      <c r="N117" s="1002" t="str">
        <f>+NOMINA!O96</f>
        <v>Guia de Centro II</v>
      </c>
      <c r="O117" s="999">
        <f>ROUND(NOMINA!W96,2)</f>
        <v>88</v>
      </c>
      <c r="P117" s="999">
        <f>NOMINA!AF96</f>
        <v>17.25</v>
      </c>
      <c r="Q117" s="999">
        <f>NOMINA!AH96</f>
        <v>65</v>
      </c>
      <c r="R117" s="999">
        <f>NOMINA!AC96</f>
        <v>0</v>
      </c>
      <c r="S117" s="999">
        <f>NOMINA!AJ96</f>
        <v>0</v>
      </c>
      <c r="T117" s="986">
        <f t="shared" si="18"/>
        <v>91.55</v>
      </c>
      <c r="U117" s="999">
        <f>ROUND(NOMINA!BL96,2)</f>
        <v>12.57</v>
      </c>
      <c r="V117" s="999">
        <f>ROUND(NOMINA!BM96,2)</f>
        <v>1.57</v>
      </c>
      <c r="W117" s="999">
        <f>ROUND(+NOMINA!BN96,2)</f>
        <v>3.41</v>
      </c>
      <c r="X117" s="999">
        <f>ROUND(NOMINA!BO96,2)</f>
        <v>0</v>
      </c>
      <c r="Y117" s="999">
        <f>ROUND(NOMINA!BP96,2)</f>
        <v>0</v>
      </c>
      <c r="Z117" s="986">
        <f t="shared" si="19"/>
        <v>24.54</v>
      </c>
      <c r="AA117" s="999">
        <f>ROUND(NOMINA!BK96,2)</f>
        <v>0</v>
      </c>
      <c r="AB117" s="866">
        <f t="shared" si="20"/>
        <v>152.69999999999999</v>
      </c>
    </row>
    <row r="118" spans="1:28" s="629" customFormat="1" ht="20.100000000000001" customHeight="1" thickBot="1">
      <c r="A118" s="770" t="s">
        <v>2846</v>
      </c>
      <c r="B118" s="510">
        <f t="shared" ca="1" si="21"/>
        <v>55</v>
      </c>
      <c r="C118" s="980">
        <f>+NOMINA!C97</f>
        <v>11132979</v>
      </c>
      <c r="D118" s="981" t="str">
        <f>+NOMINA!D97</f>
        <v>Olivar Santana Maria Valbina</v>
      </c>
      <c r="E118" s="978" t="s">
        <v>4622</v>
      </c>
      <c r="F118" s="1006">
        <v>27853</v>
      </c>
      <c r="G118" s="978" t="s">
        <v>4620</v>
      </c>
      <c r="H118" s="1007">
        <f>+NOMINA!H97</f>
        <v>44348</v>
      </c>
      <c r="I118" s="984">
        <f>+NOMINA!I97</f>
        <v>3</v>
      </c>
      <c r="J118" s="985">
        <f>+NOMINA!J97</f>
        <v>12</v>
      </c>
      <c r="K118" s="984">
        <f t="shared" si="17"/>
        <v>15</v>
      </c>
      <c r="L118" s="985" t="s">
        <v>4932</v>
      </c>
      <c r="M118" s="985"/>
      <c r="N118" s="1002" t="str">
        <f>+NOMINA!O97</f>
        <v>Guia de Centro II</v>
      </c>
      <c r="O118" s="999">
        <f>ROUND(NOMINA!W97,2)</f>
        <v>142.5</v>
      </c>
      <c r="P118" s="999">
        <f>NOMINA!AF97</f>
        <v>25.65</v>
      </c>
      <c r="Q118" s="999">
        <f>NOMINA!AH97</f>
        <v>65</v>
      </c>
      <c r="R118" s="999">
        <f>NOMINA!AC97</f>
        <v>12.5</v>
      </c>
      <c r="S118" s="999">
        <f>NOMINA!AJ97</f>
        <v>59.85</v>
      </c>
      <c r="T118" s="986">
        <f t="shared" si="18"/>
        <v>97.68</v>
      </c>
      <c r="U118" s="999">
        <f>ROUND(NOMINA!BL97,2)</f>
        <v>28.73</v>
      </c>
      <c r="V118" s="999">
        <f>ROUND(NOMINA!BM97,2)</f>
        <v>3.59</v>
      </c>
      <c r="W118" s="999">
        <f>ROUND(+NOMINA!BN97,2)</f>
        <v>7.78</v>
      </c>
      <c r="X118" s="999">
        <f>ROUND(NOMINA!BO97,2)</f>
        <v>0</v>
      </c>
      <c r="Y118" s="999">
        <f>ROUND(NOMINA!BP97,2)</f>
        <v>0</v>
      </c>
      <c r="Z118" s="986">
        <f t="shared" si="19"/>
        <v>0</v>
      </c>
      <c r="AA118" s="999">
        <f>ROUND(NOMINA!BK97,2)</f>
        <v>0</v>
      </c>
      <c r="AB118" s="866">
        <f t="shared" si="20"/>
        <v>265.39999999999998</v>
      </c>
    </row>
    <row r="119" spans="1:28" s="629" customFormat="1" ht="20.100000000000001" customHeight="1" thickBot="1">
      <c r="A119" s="770" t="s">
        <v>2846</v>
      </c>
      <c r="B119" s="510">
        <f t="shared" ca="1" si="21"/>
        <v>56</v>
      </c>
      <c r="C119" s="980">
        <f>+NOMINA!C98</f>
        <v>11257247</v>
      </c>
      <c r="D119" s="981" t="str">
        <f>+NOMINA!D98</f>
        <v>Chacin Sanchez Eduard Fabian</v>
      </c>
      <c r="E119" s="978" t="s">
        <v>4622</v>
      </c>
      <c r="F119" s="1006">
        <v>27853</v>
      </c>
      <c r="G119" s="978" t="s">
        <v>4620</v>
      </c>
      <c r="H119" s="1007">
        <f>+NOMINA!H98</f>
        <v>42492</v>
      </c>
      <c r="I119" s="984">
        <f>+NOMINA!I98</f>
        <v>8</v>
      </c>
      <c r="J119" s="985">
        <f>+NOMINA!J98</f>
        <v>0</v>
      </c>
      <c r="K119" s="984">
        <f t="shared" si="17"/>
        <v>8</v>
      </c>
      <c r="L119" s="985" t="s">
        <v>4932</v>
      </c>
      <c r="M119" s="985"/>
      <c r="N119" s="1002" t="str">
        <f>+NOMINA!O98</f>
        <v>DELEGADO PRUEBA III</v>
      </c>
      <c r="O119" s="999">
        <f>ROUND(NOMINA!W98,2)</f>
        <v>139.5</v>
      </c>
      <c r="P119" s="999">
        <f>NOMINA!AF98</f>
        <v>12</v>
      </c>
      <c r="Q119" s="999">
        <f>NOMINA!AH98</f>
        <v>65</v>
      </c>
      <c r="R119" s="999">
        <f>NOMINA!AC98</f>
        <v>12.5</v>
      </c>
      <c r="S119" s="999">
        <f>NOMINA!AJ98</f>
        <v>55.69</v>
      </c>
      <c r="T119" s="986">
        <f t="shared" si="18"/>
        <v>66.3</v>
      </c>
      <c r="U119" s="999">
        <f>ROUND(NOMINA!BL98,2)</f>
        <v>20.56</v>
      </c>
      <c r="V119" s="999">
        <f>ROUND(NOMINA!BM98,2)</f>
        <v>2.57</v>
      </c>
      <c r="W119" s="999">
        <f>ROUND(+NOMINA!BN98,2)</f>
        <v>5.57</v>
      </c>
      <c r="X119" s="999">
        <f>ROUND(NOMINA!BO98,2)</f>
        <v>0</v>
      </c>
      <c r="Y119" s="999">
        <f>ROUND(NOMINA!BP98,2)</f>
        <v>0</v>
      </c>
      <c r="Z119" s="986">
        <f t="shared" si="19"/>
        <v>17.510000000000002</v>
      </c>
      <c r="AA119" s="999">
        <f>ROUND(NOMINA!BK98,2)</f>
        <v>0</v>
      </c>
      <c r="AB119" s="866">
        <f t="shared" si="20"/>
        <v>255.99</v>
      </c>
    </row>
    <row r="120" spans="1:28" s="629" customFormat="1" ht="20.100000000000001" customHeight="1" thickBot="1">
      <c r="A120" s="770" t="s">
        <v>2846</v>
      </c>
      <c r="B120" s="510">
        <f t="shared" ca="1" si="21"/>
        <v>57</v>
      </c>
      <c r="C120" s="980">
        <f>+NOMINA!C99</f>
        <v>11318142</v>
      </c>
      <c r="D120" s="981" t="str">
        <f>+NOMINA!D99</f>
        <v>Perdomo Rosales Modesto Ramon</v>
      </c>
      <c r="E120" s="978" t="s">
        <v>4622</v>
      </c>
      <c r="F120" s="1006">
        <v>27853</v>
      </c>
      <c r="G120" s="978" t="s">
        <v>4620</v>
      </c>
      <c r="H120" s="1007">
        <f>+NOMINA!H99</f>
        <v>43983</v>
      </c>
      <c r="I120" s="984">
        <f>+NOMINA!I99</f>
        <v>4</v>
      </c>
      <c r="J120" s="985">
        <f>+NOMINA!J99</f>
        <v>0</v>
      </c>
      <c r="K120" s="984">
        <f t="shared" si="17"/>
        <v>4</v>
      </c>
      <c r="L120" s="985" t="s">
        <v>4932</v>
      </c>
      <c r="M120" s="985"/>
      <c r="N120" s="1002" t="str">
        <f>+NOMINA!O99</f>
        <v>Almacenista II</v>
      </c>
      <c r="O120" s="999">
        <f>ROUND(NOMINA!W99,2)</f>
        <v>75</v>
      </c>
      <c r="P120" s="999">
        <f>NOMINA!AF99</f>
        <v>3</v>
      </c>
      <c r="Q120" s="999">
        <f>NOMINA!AH99</f>
        <v>65</v>
      </c>
      <c r="R120" s="999">
        <f>NOMINA!AC99</f>
        <v>0</v>
      </c>
      <c r="S120" s="999">
        <f>NOMINA!AJ99</f>
        <v>0</v>
      </c>
      <c r="T120" s="986">
        <f t="shared" si="18"/>
        <v>141.84</v>
      </c>
      <c r="U120" s="999">
        <f>ROUND(NOMINA!BL99,2)</f>
        <v>10.56</v>
      </c>
      <c r="V120" s="999">
        <f>ROUND(NOMINA!BM99,2)</f>
        <v>1.32</v>
      </c>
      <c r="W120" s="999">
        <f>ROUND(+NOMINA!BN99,2)</f>
        <v>2.86</v>
      </c>
      <c r="X120" s="999">
        <f>ROUND(NOMINA!BO99,2)</f>
        <v>0</v>
      </c>
      <c r="Y120" s="999">
        <f>ROUND(NOMINA!BP99,2)</f>
        <v>0</v>
      </c>
      <c r="Z120" s="986">
        <f t="shared" si="19"/>
        <v>20.92</v>
      </c>
      <c r="AA120" s="999">
        <f>ROUND(NOMINA!BK99,2)</f>
        <v>0</v>
      </c>
      <c r="AB120" s="866">
        <f t="shared" si="20"/>
        <v>128.26</v>
      </c>
    </row>
    <row r="121" spans="1:28" s="629" customFormat="1" ht="20.100000000000001" customHeight="1" thickBot="1">
      <c r="A121" s="770" t="s">
        <v>2846</v>
      </c>
      <c r="B121" s="510">
        <f t="shared" ca="1" si="21"/>
        <v>58</v>
      </c>
      <c r="C121" s="980">
        <f>+NOMINA!C100</f>
        <v>11318697</v>
      </c>
      <c r="D121" s="981" t="str">
        <f>+NOMINA!D100</f>
        <v>Sardi Hernandez Gladis Josefina</v>
      </c>
      <c r="E121" s="978" t="s">
        <v>4622</v>
      </c>
      <c r="F121" s="1006">
        <v>27853</v>
      </c>
      <c r="G121" s="978" t="s">
        <v>4620</v>
      </c>
      <c r="H121" s="1007">
        <f>+NOMINA!H100</f>
        <v>39539</v>
      </c>
      <c r="I121" s="984">
        <f>+NOMINA!I100</f>
        <v>16</v>
      </c>
      <c r="J121" s="985">
        <f>+NOMINA!J100</f>
        <v>0</v>
      </c>
      <c r="K121" s="984">
        <f t="shared" si="17"/>
        <v>16</v>
      </c>
      <c r="L121" s="985" t="s">
        <v>4932</v>
      </c>
      <c r="M121" s="985"/>
      <c r="N121" s="1002" t="str">
        <f>+NOMINA!O100</f>
        <v>Asistente Administrativo III</v>
      </c>
      <c r="O121" s="999">
        <f>ROUND(NOMINA!W100,2)</f>
        <v>88</v>
      </c>
      <c r="P121" s="999">
        <f>NOMINA!AF100</f>
        <v>17.25</v>
      </c>
      <c r="Q121" s="999">
        <f>NOMINA!AH100</f>
        <v>65</v>
      </c>
      <c r="R121" s="999">
        <f>NOMINA!AC100</f>
        <v>0</v>
      </c>
      <c r="S121" s="999">
        <f>NOMINA!AJ100</f>
        <v>0</v>
      </c>
      <c r="T121" s="986">
        <f t="shared" si="18"/>
        <v>129.35000000000002</v>
      </c>
      <c r="U121" s="999">
        <f>ROUND(NOMINA!BL100,2)</f>
        <v>12.57</v>
      </c>
      <c r="V121" s="999">
        <f>ROUND(NOMINA!BM100,2)</f>
        <v>1.57</v>
      </c>
      <c r="W121" s="999">
        <f>ROUND(+NOMINA!BN100,2)</f>
        <v>3.41</v>
      </c>
      <c r="X121" s="999">
        <f>ROUND(NOMINA!BO100,2)</f>
        <v>0</v>
      </c>
      <c r="Y121" s="999">
        <f>ROUND(NOMINA!BP100,2)</f>
        <v>0</v>
      </c>
      <c r="Z121" s="986">
        <f t="shared" si="19"/>
        <v>32.01</v>
      </c>
      <c r="AA121" s="999">
        <f>ROUND(NOMINA!BK100,2)</f>
        <v>0</v>
      </c>
      <c r="AB121" s="866">
        <f t="shared" si="20"/>
        <v>152.69999999999999</v>
      </c>
    </row>
    <row r="122" spans="1:28" s="629" customFormat="1" ht="20.100000000000001" customHeight="1" thickBot="1">
      <c r="A122" s="770" t="s">
        <v>2846</v>
      </c>
      <c r="B122" s="510">
        <f t="shared" ca="1" si="21"/>
        <v>59</v>
      </c>
      <c r="C122" s="980">
        <f>+NOMINA!C101</f>
        <v>11319154</v>
      </c>
      <c r="D122" s="981" t="str">
        <f>+NOMINA!D101</f>
        <v>Peña Villegas Lisette Carolina</v>
      </c>
      <c r="E122" s="978" t="s">
        <v>4622</v>
      </c>
      <c r="F122" s="1006">
        <v>27853</v>
      </c>
      <c r="G122" s="978" t="s">
        <v>4620</v>
      </c>
      <c r="H122" s="1007">
        <f>+NOMINA!H101</f>
        <v>34428</v>
      </c>
      <c r="I122" s="984">
        <f>+NOMINA!I101</f>
        <v>30</v>
      </c>
      <c r="J122" s="985">
        <f>+NOMINA!J101</f>
        <v>0</v>
      </c>
      <c r="K122" s="984">
        <f t="shared" si="17"/>
        <v>30</v>
      </c>
      <c r="L122" s="985" t="s">
        <v>4932</v>
      </c>
      <c r="M122" s="985"/>
      <c r="N122" s="1002" t="str">
        <f>+NOMINA!O101</f>
        <v>Guia de Centro II</v>
      </c>
      <c r="O122" s="999">
        <f>ROUND(NOMINA!W101,2)</f>
        <v>158</v>
      </c>
      <c r="P122" s="999">
        <f>NOMINA!AF101</f>
        <v>47.4</v>
      </c>
      <c r="Q122" s="999">
        <f>NOMINA!AH101</f>
        <v>65</v>
      </c>
      <c r="R122" s="999">
        <f>NOMINA!AC101</f>
        <v>0</v>
      </c>
      <c r="S122" s="999">
        <f>NOMINA!AJ101</f>
        <v>94.64</v>
      </c>
      <c r="T122" s="986">
        <f t="shared" si="18"/>
        <v>119.14</v>
      </c>
      <c r="U122" s="999">
        <f>ROUND(NOMINA!BL101,2)</f>
        <v>26.96</v>
      </c>
      <c r="V122" s="999">
        <f>ROUND(NOMINA!BM101,2)</f>
        <v>3.37</v>
      </c>
      <c r="W122" s="999">
        <f>ROUND(+NOMINA!BN101,2)</f>
        <v>7.3</v>
      </c>
      <c r="X122" s="999">
        <f>ROUND(NOMINA!BO101,2)</f>
        <v>0</v>
      </c>
      <c r="Y122" s="999">
        <f>ROUND(NOMINA!BP101,2)</f>
        <v>0</v>
      </c>
      <c r="Z122" s="986">
        <f t="shared" si="19"/>
        <v>34.28</v>
      </c>
      <c r="AA122" s="999">
        <f>ROUND(NOMINA!BK101,2)</f>
        <v>0</v>
      </c>
      <c r="AB122" s="866">
        <f t="shared" si="20"/>
        <v>327.40999999999997</v>
      </c>
    </row>
    <row r="123" spans="1:28" s="629" customFormat="1" ht="20.100000000000001" customHeight="1" thickBot="1">
      <c r="A123" s="770" t="s">
        <v>2846</v>
      </c>
      <c r="B123" s="510">
        <f t="shared" ca="1" si="21"/>
        <v>60</v>
      </c>
      <c r="C123" s="980">
        <f>+NOMINA!C102</f>
        <v>11320533</v>
      </c>
      <c r="D123" s="981" t="str">
        <f>+NOMINA!D102</f>
        <v>Suarez Chiquin Yaritza Josefina</v>
      </c>
      <c r="E123" s="978" t="s">
        <v>4622</v>
      </c>
      <c r="F123" s="1006">
        <v>27853</v>
      </c>
      <c r="G123" s="978" t="s">
        <v>4620</v>
      </c>
      <c r="H123" s="1007">
        <f>+NOMINA!H102</f>
        <v>37629</v>
      </c>
      <c r="I123" s="984">
        <f>+NOMINA!I102</f>
        <v>22</v>
      </c>
      <c r="J123" s="985">
        <f>+NOMINA!J102</f>
        <v>0</v>
      </c>
      <c r="K123" s="984">
        <f t="shared" si="17"/>
        <v>22</v>
      </c>
      <c r="L123" s="985" t="s">
        <v>4932</v>
      </c>
      <c r="M123" s="985"/>
      <c r="N123" s="1002" t="str">
        <f>+NOMINA!O102</f>
        <v>Administrador IV</v>
      </c>
      <c r="O123" s="999">
        <f>ROUND(NOMINA!W102,2)</f>
        <v>0</v>
      </c>
      <c r="P123" s="999">
        <f>NOMINA!AF102</f>
        <v>0</v>
      </c>
      <c r="Q123" s="999">
        <f>NOMINA!AH102</f>
        <v>0</v>
      </c>
      <c r="R123" s="999">
        <f>NOMINA!AC102</f>
        <v>0</v>
      </c>
      <c r="S123" s="999">
        <f>NOMINA!AJ102</f>
        <v>0</v>
      </c>
      <c r="T123" s="986">
        <f t="shared" si="18"/>
        <v>129.35000000000002</v>
      </c>
      <c r="U123" s="999">
        <f>ROUND(NOMINA!BL102,2)</f>
        <v>0</v>
      </c>
      <c r="V123" s="999">
        <f>ROUND(NOMINA!BM102,2)</f>
        <v>0</v>
      </c>
      <c r="W123" s="999">
        <f>ROUND(+NOMINA!BN102,2)</f>
        <v>0</v>
      </c>
      <c r="X123" s="999">
        <f>ROUND(NOMINA!BO102,2)</f>
        <v>0</v>
      </c>
      <c r="Y123" s="999">
        <f>ROUND(NOMINA!BP102,2)</f>
        <v>0</v>
      </c>
      <c r="Z123" s="986">
        <f t="shared" si="19"/>
        <v>14.74</v>
      </c>
      <c r="AA123" s="999">
        <f>ROUND(NOMINA!BK102,2)</f>
        <v>0</v>
      </c>
      <c r="AB123" s="866">
        <f t="shared" si="20"/>
        <v>0</v>
      </c>
    </row>
    <row r="124" spans="1:28" s="629" customFormat="1" ht="20.100000000000001" customHeight="1" thickBot="1">
      <c r="A124" s="770" t="s">
        <v>2846</v>
      </c>
      <c r="B124" s="510">
        <f t="shared" ca="1" si="21"/>
        <v>61</v>
      </c>
      <c r="C124" s="980">
        <f>+NOMINA!C103</f>
        <v>11322871</v>
      </c>
      <c r="D124" s="981" t="str">
        <f>+NOMINA!D103</f>
        <v>Rivas Albarran Martin Antonio</v>
      </c>
      <c r="E124" s="978" t="s">
        <v>4622</v>
      </c>
      <c r="F124" s="1006">
        <v>27853</v>
      </c>
      <c r="G124" s="978" t="s">
        <v>4620</v>
      </c>
      <c r="H124" s="1007">
        <f>+NOMINA!H103</f>
        <v>38718</v>
      </c>
      <c r="I124" s="984">
        <f>+NOMINA!I103</f>
        <v>19</v>
      </c>
      <c r="J124" s="985">
        <f>+NOMINA!J103</f>
        <v>0</v>
      </c>
      <c r="K124" s="984">
        <f t="shared" si="17"/>
        <v>19</v>
      </c>
      <c r="L124" s="985" t="s">
        <v>4932</v>
      </c>
      <c r="M124" s="985"/>
      <c r="N124" s="1002" t="str">
        <f>+NOMINA!O103</f>
        <v>Tutor Facilitador III</v>
      </c>
      <c r="O124" s="999">
        <f>ROUND(NOMINA!W103,2)</f>
        <v>143.5</v>
      </c>
      <c r="P124" s="999">
        <f>NOMINA!AF103</f>
        <v>35.020000000000003</v>
      </c>
      <c r="Q124" s="999">
        <f>NOMINA!AH103</f>
        <v>65</v>
      </c>
      <c r="R124" s="999">
        <f>NOMINA!AC103</f>
        <v>0</v>
      </c>
      <c r="S124" s="999">
        <f>NOMINA!AJ103</f>
        <v>60.88</v>
      </c>
      <c r="T124" s="986">
        <f t="shared" si="18"/>
        <v>125.01</v>
      </c>
      <c r="U124" s="999">
        <f>ROUND(NOMINA!BL103,2)</f>
        <v>22.48</v>
      </c>
      <c r="V124" s="999">
        <f>ROUND(NOMINA!BM103,2)</f>
        <v>2.81</v>
      </c>
      <c r="W124" s="999">
        <f>ROUND(+NOMINA!BN103,2)</f>
        <v>6.09</v>
      </c>
      <c r="X124" s="999">
        <f>ROUND(NOMINA!BO103,2)</f>
        <v>0</v>
      </c>
      <c r="Y124" s="999">
        <f>ROUND(NOMINA!BP103,2)</f>
        <v>0</v>
      </c>
      <c r="Z124" s="986">
        <f t="shared" si="19"/>
        <v>0</v>
      </c>
      <c r="AA124" s="999">
        <f>ROUND(NOMINA!BK103,2)</f>
        <v>0</v>
      </c>
      <c r="AB124" s="866">
        <f t="shared" si="20"/>
        <v>273.02000000000004</v>
      </c>
    </row>
    <row r="125" spans="1:28" s="629" customFormat="1" ht="20.100000000000001" customHeight="1" thickBot="1">
      <c r="A125" s="770" t="s">
        <v>2846</v>
      </c>
      <c r="B125" s="510">
        <f t="shared" ca="1" si="21"/>
        <v>62</v>
      </c>
      <c r="C125" s="980">
        <f>+NOMINA!C104</f>
        <v>11616673</v>
      </c>
      <c r="D125" s="981" t="str">
        <f>+NOMINA!D104</f>
        <v>Perdomo Orlando Jose</v>
      </c>
      <c r="E125" s="978" t="s">
        <v>4622</v>
      </c>
      <c r="F125" s="1006">
        <v>27853</v>
      </c>
      <c r="G125" s="978" t="s">
        <v>4620</v>
      </c>
      <c r="H125" s="1007">
        <f>+NOMINA!H104</f>
        <v>35066</v>
      </c>
      <c r="I125" s="984">
        <f>+NOMINA!I104</f>
        <v>29</v>
      </c>
      <c r="J125" s="985">
        <f>+NOMINA!J104</f>
        <v>0</v>
      </c>
      <c r="K125" s="984">
        <f t="shared" si="17"/>
        <v>29</v>
      </c>
      <c r="L125" s="985" t="s">
        <v>4932</v>
      </c>
      <c r="M125" s="985"/>
      <c r="N125" s="1002" t="str">
        <f>+NOMINA!O104</f>
        <v>Tutor Facilitador III</v>
      </c>
      <c r="O125" s="999">
        <f>ROUND(NOMINA!W104,2)</f>
        <v>143.5</v>
      </c>
      <c r="P125" s="999">
        <f>NOMINA!AF104</f>
        <v>43.05</v>
      </c>
      <c r="Q125" s="999">
        <f>NOMINA!AH104</f>
        <v>65</v>
      </c>
      <c r="R125" s="999">
        <f>NOMINA!AC104</f>
        <v>0</v>
      </c>
      <c r="S125" s="999">
        <f>NOMINA!AJ104</f>
        <v>62.89</v>
      </c>
      <c r="T125" s="986">
        <f t="shared" si="18"/>
        <v>0</v>
      </c>
      <c r="U125" s="999">
        <f>ROUND(NOMINA!BL104,2)</f>
        <v>23.22</v>
      </c>
      <c r="V125" s="999">
        <f>ROUND(NOMINA!BM104,2)</f>
        <v>2.9</v>
      </c>
      <c r="W125" s="999">
        <f>ROUND(+NOMINA!BN104,2)</f>
        <v>6.29</v>
      </c>
      <c r="X125" s="999">
        <f>ROUND(NOMINA!BO104,2)</f>
        <v>0</v>
      </c>
      <c r="Y125" s="999">
        <f>ROUND(NOMINA!BP104,2)</f>
        <v>0</v>
      </c>
      <c r="Z125" s="986">
        <f t="shared" si="19"/>
        <v>16.66</v>
      </c>
      <c r="AA125" s="999">
        <f>ROUND(NOMINA!BK104,2)</f>
        <v>0</v>
      </c>
      <c r="AB125" s="866">
        <f t="shared" si="20"/>
        <v>282.02999999999997</v>
      </c>
    </row>
    <row r="126" spans="1:28" s="629" customFormat="1" ht="20.100000000000001" customHeight="1" thickBot="1">
      <c r="A126" s="770" t="s">
        <v>2846</v>
      </c>
      <c r="B126" s="510">
        <f t="shared" ca="1" si="21"/>
        <v>63</v>
      </c>
      <c r="C126" s="980">
        <f>+NOMINA!C105</f>
        <v>11734553</v>
      </c>
      <c r="D126" s="981" t="str">
        <f>+NOMINA!D105</f>
        <v>Teran Torres Olga del Carmen</v>
      </c>
      <c r="E126" s="978" t="s">
        <v>4622</v>
      </c>
      <c r="F126" s="1006">
        <v>27853</v>
      </c>
      <c r="G126" s="978" t="s">
        <v>4620</v>
      </c>
      <c r="H126" s="1007">
        <f>+NOMINA!H105</f>
        <v>43206</v>
      </c>
      <c r="I126" s="984">
        <f>+NOMINA!I105</f>
        <v>6</v>
      </c>
      <c r="J126" s="985">
        <f>+NOMINA!J105</f>
        <v>0</v>
      </c>
      <c r="K126" s="984">
        <f t="shared" si="17"/>
        <v>6</v>
      </c>
      <c r="L126" s="985" t="s">
        <v>4932</v>
      </c>
      <c r="M126" s="985"/>
      <c r="N126" s="1002" t="str">
        <f>+NOMINA!O105</f>
        <v>Tutor Facilitador III</v>
      </c>
      <c r="O126" s="999">
        <f>ROUND(NOMINA!W105,2)</f>
        <v>154</v>
      </c>
      <c r="P126" s="999">
        <f>NOMINA!AF105</f>
        <v>9.5500000000000007</v>
      </c>
      <c r="Q126" s="999">
        <f>NOMINA!AH105</f>
        <v>65</v>
      </c>
      <c r="R126" s="999">
        <f>NOMINA!AC105</f>
        <v>0</v>
      </c>
      <c r="S126" s="999">
        <f>NOMINA!AJ105</f>
        <v>80</v>
      </c>
      <c r="T126" s="986">
        <f t="shared" si="18"/>
        <v>65.650000000000006</v>
      </c>
      <c r="U126" s="999">
        <f>ROUND(NOMINA!BL105,2)</f>
        <v>22.78</v>
      </c>
      <c r="V126" s="999">
        <f>ROUND(NOMINA!BM105,2)</f>
        <v>2.85</v>
      </c>
      <c r="W126" s="999">
        <f>ROUND(+NOMINA!BN105,2)</f>
        <v>6.17</v>
      </c>
      <c r="X126" s="999">
        <f>ROUND(NOMINA!BO105,2)</f>
        <v>0</v>
      </c>
      <c r="Y126" s="999">
        <f>ROUND(NOMINA!BP105,2)</f>
        <v>0</v>
      </c>
      <c r="Z126" s="986">
        <f t="shared" si="19"/>
        <v>38.19</v>
      </c>
      <c r="AA126" s="999">
        <f>ROUND(NOMINA!BK105,2)</f>
        <v>0</v>
      </c>
      <c r="AB126" s="866">
        <f t="shared" si="20"/>
        <v>276.75</v>
      </c>
    </row>
    <row r="127" spans="1:28" s="629" customFormat="1" ht="20.100000000000001" customHeight="1" thickBot="1">
      <c r="A127" s="770" t="s">
        <v>2846</v>
      </c>
      <c r="B127" s="510">
        <f t="shared" ca="1" si="21"/>
        <v>64</v>
      </c>
      <c r="C127" s="980">
        <f>+NOMINA!C106</f>
        <v>11894534</v>
      </c>
      <c r="D127" s="981" t="str">
        <f>+NOMINA!D106</f>
        <v>Olmos Rodriguez Eberto de Jesus</v>
      </c>
      <c r="E127" s="978" t="s">
        <v>4622</v>
      </c>
      <c r="F127" s="1006">
        <v>27853</v>
      </c>
      <c r="G127" s="978" t="s">
        <v>4620</v>
      </c>
      <c r="H127" s="1007">
        <f>+NOMINA!H106</f>
        <v>40909</v>
      </c>
      <c r="I127" s="984">
        <f>+NOMINA!I106</f>
        <v>13</v>
      </c>
      <c r="J127" s="985">
        <f>+NOMINA!J106</f>
        <v>13</v>
      </c>
      <c r="K127" s="984">
        <f t="shared" si="17"/>
        <v>26</v>
      </c>
      <c r="L127" s="985" t="s">
        <v>4932</v>
      </c>
      <c r="M127" s="985"/>
      <c r="N127" s="1002" t="str">
        <f>+NOMINA!O106</f>
        <v>Administrador Jefe</v>
      </c>
      <c r="O127" s="999">
        <f>ROUND(NOMINA!W106,2)</f>
        <v>0</v>
      </c>
      <c r="P127" s="999">
        <f>NOMINA!AF106</f>
        <v>0</v>
      </c>
      <c r="Q127" s="999">
        <f>NOMINA!AH106</f>
        <v>0</v>
      </c>
      <c r="R127" s="999">
        <f>NOMINA!AC106</f>
        <v>0</v>
      </c>
      <c r="S127" s="999">
        <f>NOMINA!AJ106</f>
        <v>0</v>
      </c>
      <c r="T127" s="986">
        <f t="shared" si="18"/>
        <v>113.26</v>
      </c>
      <c r="U127" s="999">
        <f>ROUND(NOMINA!BL106,2)</f>
        <v>0</v>
      </c>
      <c r="V127" s="999">
        <f>ROUND(NOMINA!BM106,2)</f>
        <v>0</v>
      </c>
      <c r="W127" s="999">
        <f>ROUND(+NOMINA!BN106,2)</f>
        <v>0</v>
      </c>
      <c r="X127" s="999">
        <f>ROUND(NOMINA!BO106,2)</f>
        <v>0</v>
      </c>
      <c r="Y127" s="999">
        <f>ROUND(NOMINA!BP106,2)</f>
        <v>0</v>
      </c>
      <c r="Z127" s="986">
        <f t="shared" si="19"/>
        <v>37.630000000000003</v>
      </c>
      <c r="AA127" s="999">
        <f>ROUND(NOMINA!BK106,2)</f>
        <v>0</v>
      </c>
      <c r="AB127" s="866">
        <f t="shared" si="20"/>
        <v>0</v>
      </c>
    </row>
    <row r="128" spans="1:28" s="629" customFormat="1" ht="20.100000000000001" customHeight="1" thickBot="1">
      <c r="A128" s="770" t="s">
        <v>2846</v>
      </c>
      <c r="B128" s="510">
        <f t="shared" ca="1" si="21"/>
        <v>65</v>
      </c>
      <c r="C128" s="980">
        <f>+NOMINA!C107</f>
        <v>11895772</v>
      </c>
      <c r="D128" s="981" t="str">
        <f>+NOMINA!D107</f>
        <v>Rangel Rivas Ildemaro</v>
      </c>
      <c r="E128" s="978" t="s">
        <v>4622</v>
      </c>
      <c r="F128" s="1006">
        <v>27853</v>
      </c>
      <c r="G128" s="978" t="s">
        <v>4620</v>
      </c>
      <c r="H128" s="1007">
        <f>+NOMINA!H107</f>
        <v>44743</v>
      </c>
      <c r="I128" s="984">
        <f>+NOMINA!I107</f>
        <v>2</v>
      </c>
      <c r="J128" s="985">
        <f>+NOMINA!J107</f>
        <v>0</v>
      </c>
      <c r="K128" s="984">
        <f t="shared" si="17"/>
        <v>2</v>
      </c>
      <c r="L128" s="985" t="s">
        <v>4932</v>
      </c>
      <c r="M128" s="985"/>
      <c r="N128" s="1002" t="str">
        <f>+NOMINA!O107</f>
        <v>Entrenador Deportivo II</v>
      </c>
      <c r="O128" s="999">
        <f>ROUND(NOMINA!W107,2)</f>
        <v>0</v>
      </c>
      <c r="P128" s="999">
        <f>NOMINA!AF107</f>
        <v>0</v>
      </c>
      <c r="Q128" s="999">
        <f>NOMINA!AH107</f>
        <v>0</v>
      </c>
      <c r="R128" s="999">
        <f>NOMINA!AC107</f>
        <v>0</v>
      </c>
      <c r="S128" s="999">
        <f>NOMINA!AJ107</f>
        <v>0</v>
      </c>
      <c r="T128" s="986">
        <f t="shared" si="18"/>
        <v>167</v>
      </c>
      <c r="U128" s="999">
        <f>ROUND(NOMINA!BL107,2)</f>
        <v>0</v>
      </c>
      <c r="V128" s="999">
        <f>ROUND(NOMINA!BM107,2)</f>
        <v>0</v>
      </c>
      <c r="W128" s="999">
        <f>ROUND(+NOMINA!BN107,2)</f>
        <v>0</v>
      </c>
      <c r="X128" s="999">
        <f>ROUND(NOMINA!BO107,2)</f>
        <v>0</v>
      </c>
      <c r="Y128" s="999">
        <f>ROUND(NOMINA!BP107,2)</f>
        <v>0</v>
      </c>
      <c r="Z128" s="986">
        <f t="shared" si="19"/>
        <v>29.33</v>
      </c>
      <c r="AA128" s="999">
        <f>ROUND(NOMINA!BK107,2)</f>
        <v>0</v>
      </c>
      <c r="AB128" s="866">
        <f t="shared" si="20"/>
        <v>0</v>
      </c>
    </row>
    <row r="129" spans="1:28" s="629" customFormat="1" ht="20.100000000000001" customHeight="1" thickBot="1">
      <c r="A129" s="770" t="s">
        <v>2846</v>
      </c>
      <c r="B129" s="510">
        <f t="shared" ca="1" si="21"/>
        <v>66</v>
      </c>
      <c r="C129" s="980">
        <f>+NOMINA!C108</f>
        <v>11896941</v>
      </c>
      <c r="D129" s="981" t="str">
        <f>+NOMINA!D108</f>
        <v>Justo Angel Jannessy</v>
      </c>
      <c r="E129" s="978" t="s">
        <v>4622</v>
      </c>
      <c r="F129" s="1006">
        <v>27853</v>
      </c>
      <c r="G129" s="978" t="s">
        <v>4620</v>
      </c>
      <c r="H129" s="1007">
        <f>+NOMINA!H108</f>
        <v>38698</v>
      </c>
      <c r="I129" s="984">
        <f>+NOMINA!I108</f>
        <v>19</v>
      </c>
      <c r="J129" s="985">
        <f>+NOMINA!J108</f>
        <v>0</v>
      </c>
      <c r="K129" s="984">
        <f t="shared" ref="K129:K192" si="22">I129+J129</f>
        <v>19</v>
      </c>
      <c r="L129" s="985" t="s">
        <v>4932</v>
      </c>
      <c r="M129" s="985"/>
      <c r="N129" s="1002" t="str">
        <f>+NOMINA!O108</f>
        <v>Analista de Presupuesto III</v>
      </c>
      <c r="O129" s="999">
        <f>ROUND(NOMINA!W108,2)</f>
        <v>0</v>
      </c>
      <c r="P129" s="999">
        <f>NOMINA!AF108</f>
        <v>0</v>
      </c>
      <c r="Q129" s="999">
        <f>NOMINA!AH108</f>
        <v>0</v>
      </c>
      <c r="R129" s="999">
        <f>NOMINA!AC108</f>
        <v>0</v>
      </c>
      <c r="S129" s="999">
        <f>NOMINA!AJ108</f>
        <v>0</v>
      </c>
      <c r="T129" s="986">
        <f t="shared" ref="T129:T192" si="23">+P107+Q107+R107+S107</f>
        <v>141.84</v>
      </c>
      <c r="U129" s="999">
        <f>ROUND(NOMINA!BL108,2)</f>
        <v>0</v>
      </c>
      <c r="V129" s="999">
        <f>ROUND(NOMINA!BM108,2)</f>
        <v>0</v>
      </c>
      <c r="W129" s="999">
        <f>ROUND(+NOMINA!BN108,2)</f>
        <v>0</v>
      </c>
      <c r="X129" s="999">
        <f>ROUND(NOMINA!BO108,2)</f>
        <v>0</v>
      </c>
      <c r="Y129" s="999">
        <f>ROUND(NOMINA!BP108,2)</f>
        <v>0</v>
      </c>
      <c r="Z129" s="986">
        <f t="shared" ref="Z129:Z192" si="24">ROUND(SUM(U114:Y114),2)</f>
        <v>33.35</v>
      </c>
      <c r="AA129" s="999">
        <f>ROUND(NOMINA!BK108,2)</f>
        <v>0</v>
      </c>
      <c r="AB129" s="866">
        <f t="shared" ref="AB129:AB192" si="25">+O129+P129+Q129+R129+S129-(U129+V129+W129+X129+Y129)+AA129</f>
        <v>0</v>
      </c>
    </row>
    <row r="130" spans="1:28" s="629" customFormat="1" ht="20.100000000000001" customHeight="1" thickBot="1">
      <c r="A130" s="770" t="s">
        <v>2846</v>
      </c>
      <c r="B130" s="510">
        <f t="shared" ca="1" si="21"/>
        <v>67</v>
      </c>
      <c r="C130" s="980">
        <f>+NOMINA!C109</f>
        <v>11898486</v>
      </c>
      <c r="D130" s="981" t="str">
        <f>+NOMINA!D109</f>
        <v>Linares Hernandez Thaiz Yoconda</v>
      </c>
      <c r="E130" s="978" t="s">
        <v>4622</v>
      </c>
      <c r="F130" s="1006">
        <v>27853</v>
      </c>
      <c r="G130" s="978" t="s">
        <v>4620</v>
      </c>
      <c r="H130" s="1007">
        <f>+NOMINA!H109</f>
        <v>40065</v>
      </c>
      <c r="I130" s="984">
        <f>+NOMINA!I109</f>
        <v>15</v>
      </c>
      <c r="J130" s="985">
        <f>+NOMINA!J109</f>
        <v>0</v>
      </c>
      <c r="K130" s="984">
        <f t="shared" si="22"/>
        <v>15</v>
      </c>
      <c r="L130" s="985" t="s">
        <v>4932</v>
      </c>
      <c r="M130" s="985"/>
      <c r="N130" s="1002" t="str">
        <f>+NOMINA!O109</f>
        <v>Asistente Administrativo III</v>
      </c>
      <c r="O130" s="999">
        <f>ROUND(NOMINA!W109,2)</f>
        <v>113</v>
      </c>
      <c r="P130" s="999">
        <f>NOMINA!AF109</f>
        <v>20.34</v>
      </c>
      <c r="Q130" s="999">
        <f>NOMINA!AH109</f>
        <v>65</v>
      </c>
      <c r="R130" s="999">
        <f>NOMINA!AC109</f>
        <v>0</v>
      </c>
      <c r="S130" s="999">
        <f>NOMINA!AJ109</f>
        <v>39.67</v>
      </c>
      <c r="T130" s="986">
        <f t="shared" si="23"/>
        <v>68</v>
      </c>
      <c r="U130" s="999">
        <f>ROUND(NOMINA!BL109,2)</f>
        <v>17.579999999999998</v>
      </c>
      <c r="V130" s="999">
        <f>ROUND(NOMINA!BM109,2)</f>
        <v>2.2000000000000002</v>
      </c>
      <c r="W130" s="999">
        <f>ROUND(+NOMINA!BN109,2)</f>
        <v>4.76</v>
      </c>
      <c r="X130" s="999">
        <f>ROUND(NOMINA!BO109,2)</f>
        <v>0</v>
      </c>
      <c r="Y130" s="999">
        <f>ROUND(NOMINA!BP109,2)</f>
        <v>0</v>
      </c>
      <c r="Z130" s="986">
        <f t="shared" si="24"/>
        <v>35.29</v>
      </c>
      <c r="AA130" s="999">
        <f>ROUND(NOMINA!BK109,2)</f>
        <v>0</v>
      </c>
      <c r="AB130" s="866">
        <f t="shared" si="25"/>
        <v>213.47</v>
      </c>
    </row>
    <row r="131" spans="1:28" s="629" customFormat="1" ht="20.100000000000001" customHeight="1" thickBot="1">
      <c r="A131" s="770" t="s">
        <v>2846</v>
      </c>
      <c r="B131" s="510">
        <f t="shared" ca="1" si="21"/>
        <v>68</v>
      </c>
      <c r="C131" s="980">
        <f>+NOMINA!C110</f>
        <v>12040792</v>
      </c>
      <c r="D131" s="981" t="str">
        <f>+NOMINA!D110</f>
        <v>Sulbaran Campos Jesus Alberto</v>
      </c>
      <c r="E131" s="978" t="s">
        <v>4622</v>
      </c>
      <c r="F131" s="1006">
        <v>27853</v>
      </c>
      <c r="G131" s="978" t="s">
        <v>4620</v>
      </c>
      <c r="H131" s="1007">
        <f>+NOMINA!H110</f>
        <v>43236</v>
      </c>
      <c r="I131" s="984">
        <f>+NOMINA!I110</f>
        <v>6</v>
      </c>
      <c r="J131" s="985">
        <f>+NOMINA!J110</f>
        <v>0</v>
      </c>
      <c r="K131" s="984">
        <f t="shared" si="22"/>
        <v>6</v>
      </c>
      <c r="L131" s="985" t="s">
        <v>4932</v>
      </c>
      <c r="M131" s="985"/>
      <c r="N131" s="1002" t="str">
        <f>+NOMINA!O110</f>
        <v>Supervisor de Servicios Generales III</v>
      </c>
      <c r="O131" s="999">
        <f>ROUND(NOMINA!W110,2)</f>
        <v>110.5</v>
      </c>
      <c r="P131" s="999">
        <f>NOMINA!AF110</f>
        <v>6.85</v>
      </c>
      <c r="Q131" s="999">
        <f>NOMINA!AH110</f>
        <v>65</v>
      </c>
      <c r="R131" s="999">
        <f>NOMINA!AC110</f>
        <v>12.5</v>
      </c>
      <c r="S131" s="999">
        <f>NOMINA!AJ110</f>
        <v>0</v>
      </c>
      <c r="T131" s="986">
        <f t="shared" si="23"/>
        <v>0</v>
      </c>
      <c r="U131" s="999">
        <f>ROUND(NOMINA!BL110,2)</f>
        <v>13.93</v>
      </c>
      <c r="V131" s="999">
        <f>ROUND(NOMINA!BM110,2)</f>
        <v>1.74</v>
      </c>
      <c r="W131" s="999">
        <f>ROUND(+NOMINA!BN110,2)</f>
        <v>3.77</v>
      </c>
      <c r="X131" s="999">
        <f>ROUND(NOMINA!BO110,2)</f>
        <v>0</v>
      </c>
      <c r="Y131" s="999">
        <f>ROUND(NOMINA!BP110,2)</f>
        <v>0</v>
      </c>
      <c r="Z131" s="986">
        <f t="shared" si="24"/>
        <v>26.2</v>
      </c>
      <c r="AA131" s="999">
        <f>ROUND(NOMINA!BK110,2)</f>
        <v>0</v>
      </c>
      <c r="AB131" s="866">
        <f t="shared" si="25"/>
        <v>175.41</v>
      </c>
    </row>
    <row r="132" spans="1:28" s="629" customFormat="1" ht="20.100000000000001" customHeight="1" thickBot="1">
      <c r="A132" s="770" t="s">
        <v>2846</v>
      </c>
      <c r="B132" s="510">
        <f t="shared" ca="1" si="21"/>
        <v>69</v>
      </c>
      <c r="C132" s="980">
        <f>+NOMINA!C111</f>
        <v>12042855</v>
      </c>
      <c r="D132" s="981" t="str">
        <f>+NOMINA!D111</f>
        <v>Alburguez  Manzanilla Neira Josefina</v>
      </c>
      <c r="E132" s="978" t="s">
        <v>4622</v>
      </c>
      <c r="F132" s="1006">
        <v>27853</v>
      </c>
      <c r="G132" s="978" t="s">
        <v>4620</v>
      </c>
      <c r="H132" s="1007">
        <f>+NOMINA!H111</f>
        <v>44028</v>
      </c>
      <c r="I132" s="984">
        <f>+NOMINA!I111</f>
        <v>4</v>
      </c>
      <c r="J132" s="985">
        <f>+NOMINA!J111</f>
        <v>0</v>
      </c>
      <c r="K132" s="984">
        <f t="shared" si="22"/>
        <v>4</v>
      </c>
      <c r="L132" s="985" t="s">
        <v>4932</v>
      </c>
      <c r="M132" s="985"/>
      <c r="N132" s="1002" t="str">
        <f>+NOMINA!O111</f>
        <v>Enfermera Jefe I</v>
      </c>
      <c r="O132" s="999">
        <f>ROUND(NOMINA!W111,2)</f>
        <v>109.5</v>
      </c>
      <c r="P132" s="999">
        <f>NOMINA!AF111</f>
        <v>4.38</v>
      </c>
      <c r="Q132" s="999">
        <f>NOMINA!AH111</f>
        <v>65</v>
      </c>
      <c r="R132" s="999">
        <f>NOMINA!AC111</f>
        <v>0</v>
      </c>
      <c r="S132" s="999">
        <f>NOMINA!AJ111</f>
        <v>44.72</v>
      </c>
      <c r="T132" s="986">
        <f t="shared" si="23"/>
        <v>75.67</v>
      </c>
      <c r="U132" s="999">
        <f>ROUND(NOMINA!BL111,2)</f>
        <v>16.510000000000002</v>
      </c>
      <c r="V132" s="999">
        <f>ROUND(NOMINA!BM111,2)</f>
        <v>2.06</v>
      </c>
      <c r="W132" s="999">
        <f>ROUND(+NOMINA!BN111,2)</f>
        <v>4.47</v>
      </c>
      <c r="X132" s="999">
        <f>ROUND(NOMINA!BO111,2)</f>
        <v>0</v>
      </c>
      <c r="Y132" s="999">
        <f>ROUND(NOMINA!BP111,2)</f>
        <v>0</v>
      </c>
      <c r="Z132" s="986">
        <f t="shared" si="24"/>
        <v>17.55</v>
      </c>
      <c r="AA132" s="999">
        <f>ROUND(NOMINA!BK111,2)</f>
        <v>0</v>
      </c>
      <c r="AB132" s="866">
        <f t="shared" si="25"/>
        <v>200.56</v>
      </c>
    </row>
    <row r="133" spans="1:28" s="629" customFormat="1" ht="20.100000000000001" customHeight="1" thickBot="1">
      <c r="A133" s="770" t="s">
        <v>2846</v>
      </c>
      <c r="B133" s="510">
        <f t="shared" ca="1" si="21"/>
        <v>70</v>
      </c>
      <c r="C133" s="980">
        <f>+NOMINA!C112</f>
        <v>12045335</v>
      </c>
      <c r="D133" s="981" t="str">
        <f>+NOMINA!D112</f>
        <v>Gonzalez De Briceño Yasmin Coromoto</v>
      </c>
      <c r="E133" s="978" t="s">
        <v>4622</v>
      </c>
      <c r="F133" s="1006">
        <v>27853</v>
      </c>
      <c r="G133" s="978" t="s">
        <v>4620</v>
      </c>
      <c r="H133" s="1007">
        <f>+NOMINA!H112</f>
        <v>45505</v>
      </c>
      <c r="I133" s="984">
        <f>+NOMINA!I112</f>
        <v>0</v>
      </c>
      <c r="J133" s="985">
        <f>+NOMINA!J112</f>
        <v>0</v>
      </c>
      <c r="K133" s="984">
        <f t="shared" si="22"/>
        <v>0</v>
      </c>
      <c r="L133" s="985" t="s">
        <v>4932</v>
      </c>
      <c r="M133" s="985"/>
      <c r="N133" s="1002" t="str">
        <f>+NOMINA!O112</f>
        <v>Guia de Centro I</v>
      </c>
      <c r="O133" s="999">
        <f>ROUND(NOMINA!W112,2)</f>
        <v>123</v>
      </c>
      <c r="P133" s="999">
        <f>NOMINA!AF112</f>
        <v>0</v>
      </c>
      <c r="Q133" s="999">
        <f>NOMINA!AH112</f>
        <v>65</v>
      </c>
      <c r="R133" s="999">
        <f>NOMINA!AC112</f>
        <v>0</v>
      </c>
      <c r="S133" s="999">
        <f>NOMINA!AJ112</f>
        <v>47</v>
      </c>
      <c r="T133" s="986">
        <f t="shared" si="23"/>
        <v>143.52000000000001</v>
      </c>
      <c r="U133" s="999">
        <f>ROUND(NOMINA!BL112,2)</f>
        <v>22.56</v>
      </c>
      <c r="V133" s="999">
        <f>ROUND(NOMINA!BM112,2)</f>
        <v>2.82</v>
      </c>
      <c r="W133" s="999">
        <f>ROUND(+NOMINA!BN112,2)</f>
        <v>6.11</v>
      </c>
      <c r="X133" s="999">
        <f>ROUND(NOMINA!BO112,2)</f>
        <v>0</v>
      </c>
      <c r="Y133" s="999">
        <f>ROUND(NOMINA!BP112,2)</f>
        <v>0</v>
      </c>
      <c r="Z133" s="986">
        <f t="shared" si="24"/>
        <v>40.1</v>
      </c>
      <c r="AA133" s="999">
        <f>ROUND(NOMINA!BK112,2)</f>
        <v>0</v>
      </c>
      <c r="AB133" s="866">
        <f t="shared" si="25"/>
        <v>203.51</v>
      </c>
    </row>
    <row r="134" spans="1:28" s="629" customFormat="1" ht="20.100000000000001" customHeight="1" thickBot="1">
      <c r="A134" s="770" t="s">
        <v>2846</v>
      </c>
      <c r="B134" s="510">
        <f t="shared" ca="1" si="21"/>
        <v>71</v>
      </c>
      <c r="C134" s="980">
        <f>+NOMINA!C113</f>
        <v>12045360</v>
      </c>
      <c r="D134" s="981" t="str">
        <f>+NOMINA!D113</f>
        <v>Montilla Lamus Ana Cristina</v>
      </c>
      <c r="E134" s="978" t="s">
        <v>4622</v>
      </c>
      <c r="F134" s="1006">
        <v>27853</v>
      </c>
      <c r="G134" s="978" t="s">
        <v>4620</v>
      </c>
      <c r="H134" s="1007">
        <f>+NOMINA!H113</f>
        <v>39238</v>
      </c>
      <c r="I134" s="984">
        <f>+NOMINA!I113</f>
        <v>17</v>
      </c>
      <c r="J134" s="985">
        <f>+NOMINA!J113</f>
        <v>0</v>
      </c>
      <c r="K134" s="984">
        <f t="shared" si="22"/>
        <v>17</v>
      </c>
      <c r="L134" s="985" t="s">
        <v>4932</v>
      </c>
      <c r="M134" s="985"/>
      <c r="N134" s="1002" t="str">
        <f>+NOMINA!O113</f>
        <v>Guia de Centro I</v>
      </c>
      <c r="O134" s="999">
        <f>ROUND(NOMINA!W113,2)</f>
        <v>88</v>
      </c>
      <c r="P134" s="999">
        <f>NOMINA!AF113</f>
        <v>18.66</v>
      </c>
      <c r="Q134" s="999">
        <f>NOMINA!AH113</f>
        <v>65</v>
      </c>
      <c r="R134" s="999">
        <f>NOMINA!AC113</f>
        <v>12.5</v>
      </c>
      <c r="S134" s="999">
        <f>NOMINA!AJ113</f>
        <v>0</v>
      </c>
      <c r="T134" s="986">
        <f t="shared" si="23"/>
        <v>207.04000000000002</v>
      </c>
      <c r="U134" s="999">
        <f>ROUND(NOMINA!BL113,2)</f>
        <v>13.14</v>
      </c>
      <c r="V134" s="999">
        <f>ROUND(NOMINA!BM113,2)</f>
        <v>1.64</v>
      </c>
      <c r="W134" s="999">
        <f>ROUND(+NOMINA!BN113,2)</f>
        <v>3.56</v>
      </c>
      <c r="X134" s="999">
        <f>ROUND(NOMINA!BO113,2)</f>
        <v>0</v>
      </c>
      <c r="Y134" s="999">
        <f>ROUND(NOMINA!BP113,2)</f>
        <v>0</v>
      </c>
      <c r="Z134" s="986">
        <f t="shared" si="24"/>
        <v>28.7</v>
      </c>
      <c r="AA134" s="999">
        <f>ROUND(NOMINA!BK113,2)</f>
        <v>0</v>
      </c>
      <c r="AB134" s="866">
        <f t="shared" si="25"/>
        <v>165.82</v>
      </c>
    </row>
    <row r="135" spans="1:28" s="629" customFormat="1" ht="20.100000000000001" customHeight="1" thickBot="1">
      <c r="A135" s="770" t="s">
        <v>2846</v>
      </c>
      <c r="B135" s="510">
        <f t="shared" ca="1" si="21"/>
        <v>72</v>
      </c>
      <c r="C135" s="980">
        <f>+NOMINA!C114</f>
        <v>12045504</v>
      </c>
      <c r="D135" s="981" t="str">
        <f>+NOMINA!D114</f>
        <v>Sanchez Olivar Denis Josefina</v>
      </c>
      <c r="E135" s="978" t="s">
        <v>4622</v>
      </c>
      <c r="F135" s="1006">
        <v>27853</v>
      </c>
      <c r="G135" s="978" t="s">
        <v>4620</v>
      </c>
      <c r="H135" s="1007">
        <f>+NOMINA!H114</f>
        <v>43862</v>
      </c>
      <c r="I135" s="984">
        <f>+NOMINA!I114</f>
        <v>4</v>
      </c>
      <c r="J135" s="985">
        <f>+NOMINA!J114</f>
        <v>0</v>
      </c>
      <c r="K135" s="984">
        <f t="shared" si="22"/>
        <v>4</v>
      </c>
      <c r="L135" s="985" t="s">
        <v>4932</v>
      </c>
      <c r="M135" s="985"/>
      <c r="N135" s="1002" t="str">
        <f>+NOMINA!O114</f>
        <v>Asistente Administrativo II</v>
      </c>
      <c r="O135" s="999">
        <f>ROUND(NOMINA!W114,2)</f>
        <v>75</v>
      </c>
      <c r="P135" s="999">
        <f>NOMINA!AF114</f>
        <v>3</v>
      </c>
      <c r="Q135" s="999">
        <f>NOMINA!AH114</f>
        <v>65</v>
      </c>
      <c r="R135" s="999">
        <f>NOMINA!AC114</f>
        <v>25</v>
      </c>
      <c r="S135" s="999">
        <f>NOMINA!AJ114</f>
        <v>0</v>
      </c>
      <c r="T135" s="986">
        <f t="shared" si="23"/>
        <v>108.32</v>
      </c>
      <c r="U135" s="999">
        <f>ROUND(NOMINA!BL114,2)</f>
        <v>11.48</v>
      </c>
      <c r="V135" s="999">
        <f>ROUND(NOMINA!BM114,2)</f>
        <v>1.44</v>
      </c>
      <c r="W135" s="999">
        <f>ROUND(+NOMINA!BN114,2)</f>
        <v>3.11</v>
      </c>
      <c r="X135" s="999">
        <f>ROUND(NOMINA!BO114,2)</f>
        <v>0</v>
      </c>
      <c r="Y135" s="999">
        <f>ROUND(NOMINA!BP114,2)</f>
        <v>0</v>
      </c>
      <c r="Z135" s="986">
        <f t="shared" si="24"/>
        <v>14.74</v>
      </c>
      <c r="AA135" s="999">
        <f>ROUND(NOMINA!BK114,2)</f>
        <v>0</v>
      </c>
      <c r="AB135" s="866">
        <f t="shared" si="25"/>
        <v>151.97</v>
      </c>
    </row>
    <row r="136" spans="1:28" s="629" customFormat="1" ht="20.100000000000001" customHeight="1" thickBot="1">
      <c r="A136" s="770" t="s">
        <v>2846</v>
      </c>
      <c r="B136" s="510">
        <f t="shared" ca="1" si="21"/>
        <v>73</v>
      </c>
      <c r="C136" s="980">
        <f>+NOMINA!C115</f>
        <v>12045934</v>
      </c>
      <c r="D136" s="981" t="str">
        <f>+NOMINA!D115</f>
        <v>Mendez Olmos Tulio Enrique</v>
      </c>
      <c r="E136" s="978" t="s">
        <v>4622</v>
      </c>
      <c r="F136" s="1006">
        <v>27853</v>
      </c>
      <c r="G136" s="978" t="s">
        <v>4620</v>
      </c>
      <c r="H136" s="1007">
        <f>+NOMINA!H115</f>
        <v>36342</v>
      </c>
      <c r="I136" s="984">
        <f>+NOMINA!I115</f>
        <v>25</v>
      </c>
      <c r="J136" s="985">
        <f>+NOMINA!J115</f>
        <v>1</v>
      </c>
      <c r="K136" s="984">
        <f t="shared" si="22"/>
        <v>26</v>
      </c>
      <c r="L136" s="985" t="s">
        <v>4932</v>
      </c>
      <c r="M136" s="985"/>
      <c r="N136" s="1002" t="str">
        <f>+NOMINA!O115</f>
        <v>Especialista en Informatica I</v>
      </c>
      <c r="O136" s="999">
        <f>ROUND(NOMINA!W115,2)</f>
        <v>143.5</v>
      </c>
      <c r="P136" s="999">
        <f>NOMINA!AF115</f>
        <v>43.05</v>
      </c>
      <c r="Q136" s="999">
        <f>NOMINA!AH115</f>
        <v>65</v>
      </c>
      <c r="R136" s="999">
        <f>NOMINA!AC115</f>
        <v>0</v>
      </c>
      <c r="S136" s="999">
        <f>NOMINA!AJ115</f>
        <v>62.89</v>
      </c>
      <c r="T136" s="986">
        <f t="shared" si="23"/>
        <v>139.41000000000003</v>
      </c>
      <c r="U136" s="999">
        <f>ROUND(NOMINA!BL115,2)</f>
        <v>23.22</v>
      </c>
      <c r="V136" s="999">
        <f>ROUND(NOMINA!BM115,2)</f>
        <v>2.9</v>
      </c>
      <c r="W136" s="999">
        <f>ROUND(+NOMINA!BN115,2)</f>
        <v>6.29</v>
      </c>
      <c r="X136" s="999">
        <f>ROUND(NOMINA!BO115,2)</f>
        <v>0</v>
      </c>
      <c r="Y136" s="999">
        <f>ROUND(NOMINA!BP115,2)</f>
        <v>0</v>
      </c>
      <c r="Z136" s="986">
        <f t="shared" si="24"/>
        <v>17.55</v>
      </c>
      <c r="AA136" s="999">
        <f>ROUND(NOMINA!BK115,2)</f>
        <v>0</v>
      </c>
      <c r="AB136" s="866">
        <f t="shared" si="25"/>
        <v>282.02999999999997</v>
      </c>
    </row>
    <row r="137" spans="1:28" s="629" customFormat="1" ht="20.100000000000001" customHeight="1" thickBot="1">
      <c r="A137" s="770" t="s">
        <v>2846</v>
      </c>
      <c r="B137" s="510">
        <f t="shared" ca="1" si="21"/>
        <v>74</v>
      </c>
      <c r="C137" s="980">
        <f>+NOMINA!C116</f>
        <v>12457981</v>
      </c>
      <c r="D137" s="981" t="str">
        <f>+NOMINA!D116</f>
        <v>Escalona Ruiz Luis Alberto</v>
      </c>
      <c r="E137" s="978" t="s">
        <v>4622</v>
      </c>
      <c r="F137" s="1006">
        <v>27853</v>
      </c>
      <c r="G137" s="978" t="s">
        <v>4620</v>
      </c>
      <c r="H137" s="1007">
        <f>+NOMINA!H116</f>
        <v>44348</v>
      </c>
      <c r="I137" s="984">
        <f>+NOMINA!I116</f>
        <v>3</v>
      </c>
      <c r="J137" s="985">
        <f>+NOMINA!J116</f>
        <v>4</v>
      </c>
      <c r="K137" s="984">
        <f t="shared" si="22"/>
        <v>7</v>
      </c>
      <c r="L137" s="985" t="s">
        <v>4932</v>
      </c>
      <c r="M137" s="985"/>
      <c r="N137" s="1002" t="str">
        <f>+NOMINA!O116</f>
        <v>Medico Especialista II</v>
      </c>
      <c r="O137" s="999">
        <f>ROUND(NOMINA!W116,2)</f>
        <v>139.5</v>
      </c>
      <c r="P137" s="999">
        <f>NOMINA!AF116</f>
        <v>10.33</v>
      </c>
      <c r="Q137" s="999">
        <f>NOMINA!AH116</f>
        <v>65</v>
      </c>
      <c r="R137" s="999">
        <f>NOMINA!AC116</f>
        <v>12.5</v>
      </c>
      <c r="S137" s="999">
        <f>NOMINA!AJ116</f>
        <v>0</v>
      </c>
      <c r="T137" s="986">
        <f t="shared" si="23"/>
        <v>155.59</v>
      </c>
      <c r="U137" s="999">
        <f>ROUND(NOMINA!BL116,2)</f>
        <v>16.329999999999998</v>
      </c>
      <c r="V137" s="999">
        <f>ROUND(NOMINA!BM116,2)</f>
        <v>2.04</v>
      </c>
      <c r="W137" s="999">
        <f>ROUND(+NOMINA!BN116,2)</f>
        <v>4.42</v>
      </c>
      <c r="X137" s="999">
        <f>ROUND(NOMINA!BO116,2)</f>
        <v>0</v>
      </c>
      <c r="Y137" s="999">
        <f>ROUND(NOMINA!BP116,2)</f>
        <v>0</v>
      </c>
      <c r="Z137" s="986">
        <f t="shared" si="24"/>
        <v>37.630000000000003</v>
      </c>
      <c r="AA137" s="999">
        <f>ROUND(NOMINA!BK116,2)</f>
        <v>0</v>
      </c>
      <c r="AB137" s="866">
        <f t="shared" si="25"/>
        <v>204.54000000000002</v>
      </c>
    </row>
    <row r="138" spans="1:28" s="629" customFormat="1" ht="20.100000000000001" customHeight="1" thickBot="1">
      <c r="A138" s="770" t="s">
        <v>2846</v>
      </c>
      <c r="B138" s="510">
        <f t="shared" ca="1" si="21"/>
        <v>75</v>
      </c>
      <c r="C138" s="980">
        <f>+NOMINA!C117</f>
        <v>12458811</v>
      </c>
      <c r="D138" s="981" t="str">
        <f>+NOMINA!D117</f>
        <v>Segovia Rondon Milagros Del Valle</v>
      </c>
      <c r="E138" s="978" t="s">
        <v>4622</v>
      </c>
      <c r="F138" s="1006">
        <v>27853</v>
      </c>
      <c r="G138" s="978" t="s">
        <v>4620</v>
      </c>
      <c r="H138" s="1007">
        <f>+NOMINA!H117</f>
        <v>39514</v>
      </c>
      <c r="I138" s="984">
        <f>+NOMINA!I117</f>
        <v>16</v>
      </c>
      <c r="J138" s="985">
        <f>+NOMINA!J117</f>
        <v>7</v>
      </c>
      <c r="K138" s="984">
        <f t="shared" si="22"/>
        <v>23</v>
      </c>
      <c r="L138" s="985" t="s">
        <v>4932</v>
      </c>
      <c r="M138" s="985"/>
      <c r="N138" s="1002" t="str">
        <f>+NOMINA!O117</f>
        <v>Analista de Presupuesto Jefe</v>
      </c>
      <c r="O138" s="999">
        <f>ROUND(NOMINA!W117,2)</f>
        <v>158</v>
      </c>
      <c r="P138" s="999">
        <f>NOMINA!AF117</f>
        <v>47.4</v>
      </c>
      <c r="Q138" s="999">
        <f>NOMINA!AH117</f>
        <v>65</v>
      </c>
      <c r="R138" s="999">
        <f>NOMINA!AC117</f>
        <v>12.5</v>
      </c>
      <c r="S138" s="999">
        <f>NOMINA!AJ117</f>
        <v>83</v>
      </c>
      <c r="T138" s="986">
        <f t="shared" si="23"/>
        <v>99.51</v>
      </c>
      <c r="U138" s="999">
        <f>ROUND(NOMINA!BL117,2)</f>
        <v>26.56</v>
      </c>
      <c r="V138" s="999">
        <f>ROUND(NOMINA!BM117,2)</f>
        <v>3.32</v>
      </c>
      <c r="W138" s="999">
        <f>ROUND(+NOMINA!BN117,2)</f>
        <v>7.19</v>
      </c>
      <c r="X138" s="999">
        <f>ROUND(NOMINA!BO117,2)</f>
        <v>0</v>
      </c>
      <c r="Y138" s="999">
        <f>ROUND(NOMINA!BP117,2)</f>
        <v>0</v>
      </c>
      <c r="Z138" s="986">
        <f t="shared" si="24"/>
        <v>0</v>
      </c>
      <c r="AA138" s="999">
        <f>ROUND(NOMINA!BK117,2)</f>
        <v>0</v>
      </c>
      <c r="AB138" s="866">
        <f t="shared" si="25"/>
        <v>328.83</v>
      </c>
    </row>
    <row r="139" spans="1:28" s="629" customFormat="1" ht="20.100000000000001" customHeight="1" thickBot="1">
      <c r="A139" s="770" t="s">
        <v>2846</v>
      </c>
      <c r="B139" s="510">
        <f t="shared" ca="1" si="21"/>
        <v>76</v>
      </c>
      <c r="C139" s="980">
        <f>+NOMINA!C118</f>
        <v>12458942</v>
      </c>
      <c r="D139" s="981" t="str">
        <f>+NOMINA!D118</f>
        <v>Mendoza Mendoza Mirian Del Milagro</v>
      </c>
      <c r="E139" s="978" t="s">
        <v>4622</v>
      </c>
      <c r="F139" s="1006">
        <v>27853</v>
      </c>
      <c r="G139" s="978" t="s">
        <v>4620</v>
      </c>
      <c r="H139" s="1007">
        <f>+NOMINA!H118</f>
        <v>44424</v>
      </c>
      <c r="I139" s="984">
        <f>+NOMINA!I118</f>
        <v>3</v>
      </c>
      <c r="J139" s="985">
        <f>+NOMINA!J118</f>
        <v>19</v>
      </c>
      <c r="K139" s="984">
        <f t="shared" si="22"/>
        <v>22</v>
      </c>
      <c r="L139" s="985" t="s">
        <v>4932</v>
      </c>
      <c r="M139" s="985"/>
      <c r="N139" s="1002" t="str">
        <f>+NOMINA!O118</f>
        <v>Administrador Jefe</v>
      </c>
      <c r="O139" s="999">
        <f>ROUND(NOMINA!W118,2)</f>
        <v>0</v>
      </c>
      <c r="P139" s="999">
        <f>NOMINA!AF118</f>
        <v>0</v>
      </c>
      <c r="Q139" s="999">
        <f>NOMINA!AH118</f>
        <v>0</v>
      </c>
      <c r="R139" s="999">
        <f>NOMINA!AC118</f>
        <v>0</v>
      </c>
      <c r="S139" s="999">
        <f>NOMINA!AJ118</f>
        <v>0</v>
      </c>
      <c r="T139" s="986">
        <f t="shared" si="23"/>
        <v>82.25</v>
      </c>
      <c r="U139" s="999">
        <f>ROUND(NOMINA!BL118,2)</f>
        <v>0</v>
      </c>
      <c r="V139" s="999">
        <f>ROUND(NOMINA!BM118,2)</f>
        <v>0</v>
      </c>
      <c r="W139" s="999">
        <f>ROUND(+NOMINA!BN118,2)</f>
        <v>0</v>
      </c>
      <c r="X139" s="999">
        <f>ROUND(NOMINA!BO118,2)</f>
        <v>0</v>
      </c>
      <c r="Y139" s="999">
        <f>ROUND(NOMINA!BP118,2)</f>
        <v>0</v>
      </c>
      <c r="Z139" s="986">
        <f t="shared" si="24"/>
        <v>31.38</v>
      </c>
      <c r="AA139" s="999">
        <f>ROUND(NOMINA!BK118,2)</f>
        <v>0</v>
      </c>
      <c r="AB139" s="866">
        <f t="shared" si="25"/>
        <v>0</v>
      </c>
    </row>
    <row r="140" spans="1:28" s="629" customFormat="1" ht="20.100000000000001" customHeight="1" thickBot="1">
      <c r="A140" s="770" t="s">
        <v>2846</v>
      </c>
      <c r="B140" s="510">
        <f t="shared" ca="1" si="21"/>
        <v>77</v>
      </c>
      <c r="C140" s="980">
        <f>+NOMINA!C119</f>
        <v>12541044</v>
      </c>
      <c r="D140" s="981" t="str">
        <f>+NOMINA!D119</f>
        <v>Rojas Telles Lisbeth Josefina</v>
      </c>
      <c r="E140" s="978" t="s">
        <v>4622</v>
      </c>
      <c r="F140" s="1006">
        <v>27853</v>
      </c>
      <c r="G140" s="978" t="s">
        <v>4620</v>
      </c>
      <c r="H140" s="1007">
        <f>+NOMINA!H119</f>
        <v>45597</v>
      </c>
      <c r="I140" s="984">
        <f>+NOMINA!I119</f>
        <v>0</v>
      </c>
      <c r="J140" s="985">
        <f>+NOMINA!J119</f>
        <v>0</v>
      </c>
      <c r="K140" s="984">
        <f t="shared" si="22"/>
        <v>0</v>
      </c>
      <c r="L140" s="985" t="s">
        <v>4932</v>
      </c>
      <c r="M140" s="985"/>
      <c r="N140" s="1002" t="str">
        <f>+NOMINA!O119</f>
        <v>Tutor Facilitador I</v>
      </c>
      <c r="O140" s="999">
        <f>ROUND(NOMINA!W119,2)</f>
        <v>123</v>
      </c>
      <c r="P140" s="999">
        <f>NOMINA!AF119</f>
        <v>0</v>
      </c>
      <c r="Q140" s="999">
        <f>NOMINA!AH119</f>
        <v>65</v>
      </c>
      <c r="R140" s="999">
        <f>NOMINA!AC119</f>
        <v>12.5</v>
      </c>
      <c r="S140" s="999">
        <f>NOMINA!AJ119</f>
        <v>48.57</v>
      </c>
      <c r="T140" s="986">
        <f t="shared" si="23"/>
        <v>163</v>
      </c>
      <c r="U140" s="999">
        <f>ROUND(NOMINA!BL119,2)</f>
        <v>17.93</v>
      </c>
      <c r="V140" s="999">
        <f>ROUND(NOMINA!BM119,2)</f>
        <v>2.2400000000000002</v>
      </c>
      <c r="W140" s="999">
        <f>ROUND(+NOMINA!BN119,2)</f>
        <v>4.8600000000000003</v>
      </c>
      <c r="X140" s="999">
        <f>ROUND(NOMINA!BO119,2)</f>
        <v>0</v>
      </c>
      <c r="Y140" s="999">
        <f>ROUND(NOMINA!BP119,2)</f>
        <v>0</v>
      </c>
      <c r="Z140" s="986">
        <f t="shared" si="24"/>
        <v>32.409999999999997</v>
      </c>
      <c r="AA140" s="999">
        <f>ROUND(NOMINA!BK119,2)</f>
        <v>0</v>
      </c>
      <c r="AB140" s="866">
        <f t="shared" si="25"/>
        <v>224.04</v>
      </c>
    </row>
    <row r="141" spans="1:28" s="629" customFormat="1" ht="20.100000000000001" customHeight="1" thickBot="1">
      <c r="A141" s="770" t="s">
        <v>2846</v>
      </c>
      <c r="B141" s="510">
        <f t="shared" ca="1" si="21"/>
        <v>78</v>
      </c>
      <c r="C141" s="980">
        <f>+NOMINA!C120</f>
        <v>12542413</v>
      </c>
      <c r="D141" s="981" t="str">
        <f>+NOMINA!D120</f>
        <v>Aponte Matheus Richard Alexander</v>
      </c>
      <c r="E141" s="978" t="s">
        <v>4622</v>
      </c>
      <c r="F141" s="1006">
        <v>27853</v>
      </c>
      <c r="G141" s="978" t="s">
        <v>4620</v>
      </c>
      <c r="H141" s="1007">
        <f>+NOMINA!H120</f>
        <v>36434</v>
      </c>
      <c r="I141" s="984">
        <f>+NOMINA!I120</f>
        <v>25</v>
      </c>
      <c r="J141" s="985">
        <f>+NOMINA!J120</f>
        <v>0</v>
      </c>
      <c r="K141" s="984">
        <f t="shared" si="22"/>
        <v>25</v>
      </c>
      <c r="L141" s="985" t="s">
        <v>4932</v>
      </c>
      <c r="M141" s="985"/>
      <c r="N141" s="1002" t="str">
        <f>+NOMINA!O120</f>
        <v>Guia de Centro II</v>
      </c>
      <c r="O141" s="999">
        <f>ROUND(NOMINA!W120,2)</f>
        <v>0</v>
      </c>
      <c r="P141" s="999">
        <f>NOMINA!AF120</f>
        <v>0</v>
      </c>
      <c r="Q141" s="999">
        <f>NOMINA!AH120</f>
        <v>0</v>
      </c>
      <c r="R141" s="999">
        <f>NOMINA!AC120</f>
        <v>0</v>
      </c>
      <c r="S141" s="999">
        <f>NOMINA!AJ120</f>
        <v>0</v>
      </c>
      <c r="T141" s="986">
        <f t="shared" si="23"/>
        <v>145.19</v>
      </c>
      <c r="U141" s="999">
        <f>ROUND(NOMINA!BL120,2)</f>
        <v>0</v>
      </c>
      <c r="V141" s="999">
        <f>ROUND(NOMINA!BM120,2)</f>
        <v>0</v>
      </c>
      <c r="W141" s="999">
        <f>ROUND(+NOMINA!BN120,2)</f>
        <v>0</v>
      </c>
      <c r="X141" s="999">
        <f>ROUND(NOMINA!BO120,2)</f>
        <v>0</v>
      </c>
      <c r="Y141" s="999">
        <f>ROUND(NOMINA!BP120,2)</f>
        <v>0</v>
      </c>
      <c r="Z141" s="986">
        <f t="shared" si="24"/>
        <v>31.8</v>
      </c>
      <c r="AA141" s="999">
        <f>ROUND(NOMINA!BK120,2)</f>
        <v>0</v>
      </c>
      <c r="AB141" s="866">
        <f t="shared" si="25"/>
        <v>0</v>
      </c>
    </row>
    <row r="142" spans="1:28" s="629" customFormat="1" ht="20.100000000000001" customHeight="1" thickBot="1">
      <c r="A142" s="770" t="s">
        <v>2846</v>
      </c>
      <c r="B142" s="510">
        <f t="shared" ca="1" si="21"/>
        <v>79</v>
      </c>
      <c r="C142" s="980">
        <f>+NOMINA!C121</f>
        <v>12798604</v>
      </c>
      <c r="D142" s="981" t="str">
        <f>+NOMINA!D121</f>
        <v>Camacho Gomez Trina Margarita</v>
      </c>
      <c r="E142" s="978" t="s">
        <v>4622</v>
      </c>
      <c r="F142" s="1006">
        <v>27853</v>
      </c>
      <c r="G142" s="978" t="s">
        <v>4620</v>
      </c>
      <c r="H142" s="1007">
        <f>+NOMINA!H121</f>
        <v>35384</v>
      </c>
      <c r="I142" s="984">
        <f>+NOMINA!I121</f>
        <v>28</v>
      </c>
      <c r="J142" s="985">
        <f>+NOMINA!J121</f>
        <v>0</v>
      </c>
      <c r="K142" s="984">
        <f t="shared" si="22"/>
        <v>28</v>
      </c>
      <c r="L142" s="985" t="s">
        <v>4932</v>
      </c>
      <c r="M142" s="985"/>
      <c r="N142" s="1002" t="str">
        <f>+NOMINA!O121</f>
        <v>Guia de Centro II</v>
      </c>
      <c r="O142" s="999">
        <f>ROUND(NOMINA!W121,2)</f>
        <v>88.5</v>
      </c>
      <c r="P142" s="999">
        <f>NOMINA!AF121</f>
        <v>26.55</v>
      </c>
      <c r="Q142" s="999">
        <f>NOMINA!AH121</f>
        <v>65</v>
      </c>
      <c r="R142" s="999">
        <f>NOMINA!AC121</f>
        <v>12.5</v>
      </c>
      <c r="S142" s="999">
        <f>NOMINA!AJ121</f>
        <v>0</v>
      </c>
      <c r="T142" s="986">
        <f t="shared" si="23"/>
        <v>68</v>
      </c>
      <c r="U142" s="999">
        <f>ROUND(NOMINA!BL121,2)</f>
        <v>13.76</v>
      </c>
      <c r="V142" s="999">
        <f>ROUND(NOMINA!BM121,2)</f>
        <v>1.72</v>
      </c>
      <c r="W142" s="999">
        <f>ROUND(+NOMINA!BN121,2)</f>
        <v>3.73</v>
      </c>
      <c r="X142" s="999">
        <f>ROUND(NOMINA!BO121,2)</f>
        <v>0</v>
      </c>
      <c r="Y142" s="999">
        <f>ROUND(NOMINA!BP121,2)</f>
        <v>0</v>
      </c>
      <c r="Z142" s="986">
        <f t="shared" si="24"/>
        <v>0</v>
      </c>
      <c r="AA142" s="999">
        <f>ROUND(NOMINA!BK121,2)</f>
        <v>0</v>
      </c>
      <c r="AB142" s="866">
        <f t="shared" si="25"/>
        <v>173.34</v>
      </c>
    </row>
    <row r="143" spans="1:28" s="629" customFormat="1" ht="20.100000000000001" customHeight="1" thickBot="1">
      <c r="A143" s="770" t="s">
        <v>2846</v>
      </c>
      <c r="B143" s="510">
        <f t="shared" ca="1" si="21"/>
        <v>80</v>
      </c>
      <c r="C143" s="980">
        <f>+NOMINA!C122</f>
        <v>12798736</v>
      </c>
      <c r="D143" s="981" t="str">
        <f>+NOMINA!D122</f>
        <v>Gonzalez Pabon Marianela</v>
      </c>
      <c r="E143" s="978" t="s">
        <v>4622</v>
      </c>
      <c r="F143" s="1006">
        <v>27853</v>
      </c>
      <c r="G143" s="978" t="s">
        <v>4620</v>
      </c>
      <c r="H143" s="1007">
        <f>+NOMINA!H122</f>
        <v>39479</v>
      </c>
      <c r="I143" s="984">
        <f>+NOMINA!I122</f>
        <v>16</v>
      </c>
      <c r="J143" s="985">
        <f>+NOMINA!J122</f>
        <v>7</v>
      </c>
      <c r="K143" s="984">
        <f t="shared" si="22"/>
        <v>23</v>
      </c>
      <c r="L143" s="985" t="s">
        <v>4932</v>
      </c>
      <c r="M143" s="985"/>
      <c r="N143" s="1002" t="str">
        <f>+NOMINA!O122</f>
        <v>Analista de Personal VI</v>
      </c>
      <c r="O143" s="999">
        <f>ROUND(NOMINA!W122,2)</f>
        <v>158</v>
      </c>
      <c r="P143" s="999">
        <f>NOMINA!AF122</f>
        <v>47.4</v>
      </c>
      <c r="Q143" s="999">
        <f>NOMINA!AH122</f>
        <v>65</v>
      </c>
      <c r="R143" s="999">
        <f>NOMINA!AC122</f>
        <v>12.5</v>
      </c>
      <c r="S143" s="999">
        <f>NOMINA!AJ122</f>
        <v>69.17</v>
      </c>
      <c r="T143" s="986">
        <f t="shared" si="23"/>
        <v>82.25</v>
      </c>
      <c r="U143" s="999">
        <f>ROUND(NOMINA!BL122,2)</f>
        <v>25.54</v>
      </c>
      <c r="V143" s="999">
        <f>ROUND(NOMINA!BM122,2)</f>
        <v>3.19</v>
      </c>
      <c r="W143" s="999">
        <f>ROUND(+NOMINA!BN122,2)</f>
        <v>6.92</v>
      </c>
      <c r="X143" s="999">
        <f>ROUND(NOMINA!BO122,2)</f>
        <v>0</v>
      </c>
      <c r="Y143" s="999">
        <f>ROUND(NOMINA!BP122,2)</f>
        <v>0</v>
      </c>
      <c r="Z143" s="986">
        <f t="shared" si="24"/>
        <v>0</v>
      </c>
      <c r="AA143" s="999">
        <f>ROUND(NOMINA!BK122,2)</f>
        <v>0</v>
      </c>
      <c r="AB143" s="866">
        <f t="shared" si="25"/>
        <v>316.42</v>
      </c>
    </row>
    <row r="144" spans="1:28" s="629" customFormat="1" ht="20.100000000000001" customHeight="1" thickBot="1">
      <c r="A144" s="770" t="s">
        <v>2846</v>
      </c>
      <c r="B144" s="510">
        <f t="shared" ca="1" si="21"/>
        <v>81</v>
      </c>
      <c r="C144" s="980">
        <f>+NOMINA!C123</f>
        <v>12939010</v>
      </c>
      <c r="D144" s="981" t="str">
        <f>+NOMINA!D123</f>
        <v>Mendez de Viloria Yelitza Del Valle</v>
      </c>
      <c r="E144" s="978" t="s">
        <v>4622</v>
      </c>
      <c r="F144" s="1006">
        <v>27853</v>
      </c>
      <c r="G144" s="978" t="s">
        <v>4620</v>
      </c>
      <c r="H144" s="1007">
        <f>+NOMINA!H123</f>
        <v>42948</v>
      </c>
      <c r="I144" s="984">
        <f>+NOMINA!I123</f>
        <v>7</v>
      </c>
      <c r="J144" s="985">
        <f>+NOMINA!J123</f>
        <v>0</v>
      </c>
      <c r="K144" s="984">
        <f t="shared" si="22"/>
        <v>7</v>
      </c>
      <c r="L144" s="985" t="s">
        <v>4932</v>
      </c>
      <c r="M144" s="985"/>
      <c r="N144" s="1002" t="str">
        <f>+NOMINA!O123</f>
        <v>Asistente Administrativo III</v>
      </c>
      <c r="O144" s="999">
        <f>ROUND(NOMINA!W123,2)</f>
        <v>110.5</v>
      </c>
      <c r="P144" s="999">
        <f>NOMINA!AF123</f>
        <v>8.18</v>
      </c>
      <c r="Q144" s="999">
        <f>NOMINA!AH123</f>
        <v>65</v>
      </c>
      <c r="R144" s="999">
        <f>NOMINA!AC123</f>
        <v>0</v>
      </c>
      <c r="S144" s="999">
        <f>NOMINA!AJ123</f>
        <v>45.92</v>
      </c>
      <c r="T144" s="986">
        <f t="shared" si="23"/>
        <v>207.04000000000002</v>
      </c>
      <c r="U144" s="999">
        <f>ROUND(NOMINA!BL123,2)</f>
        <v>16.95</v>
      </c>
      <c r="V144" s="999">
        <f>ROUND(NOMINA!BM123,2)</f>
        <v>2.12</v>
      </c>
      <c r="W144" s="999">
        <f>ROUND(+NOMINA!BN123,2)</f>
        <v>4.59</v>
      </c>
      <c r="X144" s="999">
        <f>ROUND(NOMINA!BO123,2)</f>
        <v>0</v>
      </c>
      <c r="Y144" s="999">
        <f>ROUND(NOMINA!BP123,2)</f>
        <v>0</v>
      </c>
      <c r="Z144" s="986">
        <f t="shared" si="24"/>
        <v>0</v>
      </c>
      <c r="AA144" s="999">
        <f>ROUND(NOMINA!BK123,2)</f>
        <v>0</v>
      </c>
      <c r="AB144" s="866">
        <f t="shared" si="25"/>
        <v>205.94000000000003</v>
      </c>
    </row>
    <row r="145" spans="1:28" s="629" customFormat="1" ht="20.100000000000001" customHeight="1" thickBot="1">
      <c r="A145" s="770" t="s">
        <v>2846</v>
      </c>
      <c r="B145" s="510">
        <f t="shared" ca="1" si="21"/>
        <v>82</v>
      </c>
      <c r="C145" s="980">
        <f>+NOMINA!C124</f>
        <v>12941385</v>
      </c>
      <c r="D145" s="981" t="str">
        <f>+NOMINA!D124</f>
        <v>Torres de Gonzalez Milangela Maria</v>
      </c>
      <c r="E145" s="978" t="s">
        <v>4622</v>
      </c>
      <c r="F145" s="1006">
        <v>27853</v>
      </c>
      <c r="G145" s="978" t="s">
        <v>4620</v>
      </c>
      <c r="H145" s="1007">
        <f>+NOMINA!H124</f>
        <v>42948</v>
      </c>
      <c r="I145" s="984">
        <f>+NOMINA!I124</f>
        <v>7</v>
      </c>
      <c r="J145" s="985">
        <f>+NOMINA!J124</f>
        <v>0</v>
      </c>
      <c r="K145" s="984">
        <f t="shared" si="22"/>
        <v>7</v>
      </c>
      <c r="L145" s="985" t="s">
        <v>4932</v>
      </c>
      <c r="M145" s="985"/>
      <c r="N145" s="1002" t="str">
        <f>+NOMINA!O124</f>
        <v>Tutor Facilitador III</v>
      </c>
      <c r="O145" s="999">
        <f>ROUND(NOMINA!W124,2)</f>
        <v>139.5</v>
      </c>
      <c r="P145" s="999">
        <f>NOMINA!AF124</f>
        <v>10.33</v>
      </c>
      <c r="Q145" s="999">
        <f>NOMINA!AH124</f>
        <v>65</v>
      </c>
      <c r="R145" s="999">
        <f>NOMINA!AC124</f>
        <v>0</v>
      </c>
      <c r="S145" s="999">
        <f>NOMINA!AJ124</f>
        <v>53.71</v>
      </c>
      <c r="T145" s="986">
        <f t="shared" si="23"/>
        <v>0</v>
      </c>
      <c r="U145" s="999">
        <f>ROUND(NOMINA!BL124,2)</f>
        <v>19.829999999999998</v>
      </c>
      <c r="V145" s="999">
        <f>ROUND(NOMINA!BM124,2)</f>
        <v>2.48</v>
      </c>
      <c r="W145" s="999">
        <f>ROUND(+NOMINA!BN124,2)</f>
        <v>5.37</v>
      </c>
      <c r="X145" s="999">
        <f>ROUND(NOMINA!BO124,2)</f>
        <v>0</v>
      </c>
      <c r="Y145" s="999">
        <f>ROUND(NOMINA!BP124,2)</f>
        <v>0</v>
      </c>
      <c r="Z145" s="986">
        <f t="shared" si="24"/>
        <v>24.54</v>
      </c>
      <c r="AA145" s="999">
        <f>ROUND(NOMINA!BK124,2)</f>
        <v>0</v>
      </c>
      <c r="AB145" s="866">
        <f t="shared" si="25"/>
        <v>240.86</v>
      </c>
    </row>
    <row r="146" spans="1:28" s="629" customFormat="1" ht="20.100000000000001" customHeight="1" thickBot="1">
      <c r="A146" s="770" t="s">
        <v>2846</v>
      </c>
      <c r="B146" s="510">
        <f t="shared" ca="1" si="21"/>
        <v>83</v>
      </c>
      <c r="C146" s="980">
        <f>+NOMINA!C125</f>
        <v>13117904</v>
      </c>
      <c r="D146" s="981" t="str">
        <f>+NOMINA!D125</f>
        <v>Villegas Jaime Antonio</v>
      </c>
      <c r="E146" s="978" t="s">
        <v>4622</v>
      </c>
      <c r="F146" s="1006">
        <v>27853</v>
      </c>
      <c r="G146" s="978" t="s">
        <v>4620</v>
      </c>
      <c r="H146" s="1007">
        <f>+NOMINA!H125</f>
        <v>43693</v>
      </c>
      <c r="I146" s="984">
        <f>+NOMINA!I125</f>
        <v>5</v>
      </c>
      <c r="J146" s="985">
        <f>+NOMINA!J125</f>
        <v>0</v>
      </c>
      <c r="K146" s="984">
        <f t="shared" si="22"/>
        <v>5</v>
      </c>
      <c r="L146" s="985" t="s">
        <v>4932</v>
      </c>
      <c r="M146" s="985"/>
      <c r="N146" s="1002" t="str">
        <f>+NOMINA!O125</f>
        <v>Guia de Centro I</v>
      </c>
      <c r="O146" s="999">
        <f>ROUND(NOMINA!W125,2)</f>
        <v>75</v>
      </c>
      <c r="P146" s="999">
        <f>NOMINA!AF125</f>
        <v>3.75</v>
      </c>
      <c r="Q146" s="999">
        <f>NOMINA!AH125</f>
        <v>65</v>
      </c>
      <c r="R146" s="999">
        <f>NOMINA!AC125</f>
        <v>12.5</v>
      </c>
      <c r="S146" s="999">
        <f>NOMINA!AJ125</f>
        <v>0</v>
      </c>
      <c r="T146" s="986">
        <f t="shared" si="23"/>
        <v>160.9</v>
      </c>
      <c r="U146" s="999">
        <f>ROUND(NOMINA!BL125,2)</f>
        <v>14.4</v>
      </c>
      <c r="V146" s="999">
        <f>ROUND(NOMINA!BM125,2)</f>
        <v>1.8</v>
      </c>
      <c r="W146" s="999">
        <f>ROUND(+NOMINA!BN125,2)</f>
        <v>3.9</v>
      </c>
      <c r="X146" s="999">
        <f>ROUND(NOMINA!BO125,2)</f>
        <v>0</v>
      </c>
      <c r="Y146" s="999">
        <f>ROUND(NOMINA!BP125,2)</f>
        <v>0</v>
      </c>
      <c r="Z146" s="986">
        <f t="shared" si="24"/>
        <v>19.440000000000001</v>
      </c>
      <c r="AA146" s="999">
        <f>ROUND(NOMINA!BK125,2)</f>
        <v>0</v>
      </c>
      <c r="AB146" s="866">
        <f t="shared" si="25"/>
        <v>136.15</v>
      </c>
    </row>
    <row r="147" spans="1:28" s="629" customFormat="1" ht="20.100000000000001" customHeight="1" thickBot="1">
      <c r="A147" s="770" t="s">
        <v>2846</v>
      </c>
      <c r="B147" s="510">
        <f t="shared" ca="1" si="21"/>
        <v>84</v>
      </c>
      <c r="C147" s="980">
        <f>+NOMINA!C126</f>
        <v>13206767</v>
      </c>
      <c r="D147" s="981" t="str">
        <f>+NOMINA!D126</f>
        <v>Bastidas Guerra Soralis del Valle</v>
      </c>
      <c r="E147" s="978" t="s">
        <v>4622</v>
      </c>
      <c r="F147" s="1006">
        <v>27853</v>
      </c>
      <c r="G147" s="978" t="s">
        <v>4620</v>
      </c>
      <c r="H147" s="1007">
        <f>+NOMINA!H126</f>
        <v>44713</v>
      </c>
      <c r="I147" s="984">
        <f>+NOMINA!I126</f>
        <v>2</v>
      </c>
      <c r="J147" s="985">
        <f>+NOMINA!J126</f>
        <v>0</v>
      </c>
      <c r="K147" s="984">
        <f t="shared" si="22"/>
        <v>2</v>
      </c>
      <c r="L147" s="985" t="s">
        <v>4932</v>
      </c>
      <c r="M147" s="985"/>
      <c r="N147" s="1002" t="str">
        <f>+NOMINA!O126</f>
        <v>Abogado I</v>
      </c>
      <c r="O147" s="999">
        <f>ROUND(NOMINA!W126,2)</f>
        <v>0</v>
      </c>
      <c r="P147" s="999">
        <f>NOMINA!AF126</f>
        <v>0</v>
      </c>
      <c r="Q147" s="999">
        <f>NOMINA!AH126</f>
        <v>0</v>
      </c>
      <c r="R147" s="999">
        <f>NOMINA!AC126</f>
        <v>0</v>
      </c>
      <c r="S147" s="999">
        <f>NOMINA!AJ126</f>
        <v>0</v>
      </c>
      <c r="T147" s="986">
        <f t="shared" si="23"/>
        <v>170.94</v>
      </c>
      <c r="U147" s="999">
        <f>ROUND(NOMINA!BL126,2)</f>
        <v>0</v>
      </c>
      <c r="V147" s="999">
        <f>ROUND(NOMINA!BM126,2)</f>
        <v>0</v>
      </c>
      <c r="W147" s="999">
        <f>ROUND(+NOMINA!BN126,2)</f>
        <v>0</v>
      </c>
      <c r="X147" s="999">
        <f>ROUND(NOMINA!BO126,2)</f>
        <v>0</v>
      </c>
      <c r="Y147" s="999">
        <f>ROUND(NOMINA!BP126,2)</f>
        <v>0</v>
      </c>
      <c r="Z147" s="986">
        <f t="shared" si="24"/>
        <v>23.04</v>
      </c>
      <c r="AA147" s="999">
        <f>ROUND(NOMINA!BK126,2)</f>
        <v>0</v>
      </c>
      <c r="AB147" s="866">
        <f t="shared" si="25"/>
        <v>0</v>
      </c>
    </row>
    <row r="148" spans="1:28" s="629" customFormat="1" ht="20.100000000000001" customHeight="1" thickBot="1">
      <c r="A148" s="770" t="s">
        <v>2846</v>
      </c>
      <c r="B148" s="510">
        <f t="shared" ca="1" si="21"/>
        <v>85</v>
      </c>
      <c r="C148" s="980">
        <f>+NOMINA!C127</f>
        <v>13207692</v>
      </c>
      <c r="D148" s="981" t="str">
        <f>+NOMINA!D127</f>
        <v>Macias Briceño Alejandra Coromoto</v>
      </c>
      <c r="E148" s="978" t="s">
        <v>4622</v>
      </c>
      <c r="F148" s="1006">
        <v>27853</v>
      </c>
      <c r="G148" s="978" t="s">
        <v>4620</v>
      </c>
      <c r="H148" s="1007">
        <f>+NOMINA!H127</f>
        <v>38504</v>
      </c>
      <c r="I148" s="984">
        <f>+NOMINA!I127</f>
        <v>19</v>
      </c>
      <c r="J148" s="985">
        <f>+NOMINA!J127</f>
        <v>0</v>
      </c>
      <c r="K148" s="984">
        <f t="shared" si="22"/>
        <v>19</v>
      </c>
      <c r="L148" s="985" t="s">
        <v>4932</v>
      </c>
      <c r="M148" s="985"/>
      <c r="N148" s="1002" t="str">
        <f>+NOMINA!O127</f>
        <v>Administrador III</v>
      </c>
      <c r="O148" s="999">
        <f>ROUND(NOMINA!W127,2)</f>
        <v>143.5</v>
      </c>
      <c r="P148" s="999">
        <f>NOMINA!AF127</f>
        <v>35.020000000000003</v>
      </c>
      <c r="Q148" s="999">
        <f>NOMINA!AH127</f>
        <v>65</v>
      </c>
      <c r="R148" s="999">
        <f>NOMINA!AC127</f>
        <v>25</v>
      </c>
      <c r="S148" s="999">
        <f>NOMINA!AJ127</f>
        <v>64.010000000000005</v>
      </c>
      <c r="T148" s="986">
        <f t="shared" si="23"/>
        <v>154.55000000000001</v>
      </c>
      <c r="U148" s="999">
        <f>ROUND(NOMINA!BL127,2)</f>
        <v>23.63</v>
      </c>
      <c r="V148" s="999">
        <f>ROUND(NOMINA!BM127,2)</f>
        <v>2.95</v>
      </c>
      <c r="W148" s="999">
        <f>ROUND(+NOMINA!BN127,2)</f>
        <v>6.4</v>
      </c>
      <c r="X148" s="999">
        <f>ROUND(NOMINA!BO127,2)</f>
        <v>0</v>
      </c>
      <c r="Y148" s="999">
        <f>ROUND(NOMINA!BP127,2)</f>
        <v>0</v>
      </c>
      <c r="Z148" s="986">
        <f t="shared" si="24"/>
        <v>31.49</v>
      </c>
      <c r="AA148" s="999">
        <f>ROUND(NOMINA!BK127,2)</f>
        <v>0</v>
      </c>
      <c r="AB148" s="866">
        <f t="shared" si="25"/>
        <v>299.54999999999995</v>
      </c>
    </row>
    <row r="149" spans="1:28" s="629" customFormat="1" ht="20.100000000000001" customHeight="1" thickBot="1">
      <c r="A149" s="770" t="s">
        <v>2846</v>
      </c>
      <c r="B149" s="510">
        <f t="shared" ca="1" si="21"/>
        <v>86</v>
      </c>
      <c r="C149" s="980">
        <f>+NOMINA!C128</f>
        <v>13260050</v>
      </c>
      <c r="D149" s="981" t="str">
        <f>+NOMINA!D128</f>
        <v>Mendoza Vieras Maria Elena</v>
      </c>
      <c r="E149" s="978" t="s">
        <v>4622</v>
      </c>
      <c r="F149" s="1006">
        <v>27853</v>
      </c>
      <c r="G149" s="978" t="s">
        <v>4620</v>
      </c>
      <c r="H149" s="1007">
        <f>+NOMINA!H128</f>
        <v>45444</v>
      </c>
      <c r="I149" s="984">
        <f>+NOMINA!I128</f>
        <v>0</v>
      </c>
      <c r="J149" s="985">
        <f>+NOMINA!J128</f>
        <v>12</v>
      </c>
      <c r="K149" s="984">
        <f t="shared" si="22"/>
        <v>12</v>
      </c>
      <c r="L149" s="985" t="s">
        <v>4932</v>
      </c>
      <c r="M149" s="985"/>
      <c r="N149" s="1002" t="str">
        <f>+NOMINA!O128</f>
        <v>ADMINISTRADOR III</v>
      </c>
      <c r="O149" s="999">
        <f>ROUND(NOMINA!W128,2)</f>
        <v>141.5</v>
      </c>
      <c r="P149" s="999">
        <f>NOMINA!AF128</f>
        <v>19.53</v>
      </c>
      <c r="Q149" s="999">
        <f>NOMINA!AH128</f>
        <v>65</v>
      </c>
      <c r="R149" s="999">
        <f>NOMINA!AC128</f>
        <v>0</v>
      </c>
      <c r="S149" s="999">
        <f>NOMINA!AJ128</f>
        <v>56.51</v>
      </c>
      <c r="T149" s="986">
        <f t="shared" si="23"/>
        <v>0</v>
      </c>
      <c r="U149" s="999">
        <f>ROUND(NOMINA!BL128,2)</f>
        <v>20.86</v>
      </c>
      <c r="V149" s="999">
        <f>ROUND(NOMINA!BM128,2)</f>
        <v>2.61</v>
      </c>
      <c r="W149" s="999">
        <f>ROUND(+NOMINA!BN128,2)</f>
        <v>5.65</v>
      </c>
      <c r="X149" s="999">
        <f>ROUND(NOMINA!BO128,2)</f>
        <v>0</v>
      </c>
      <c r="Y149" s="999">
        <f>ROUND(NOMINA!BP128,2)</f>
        <v>0</v>
      </c>
      <c r="Z149" s="986">
        <f t="shared" si="24"/>
        <v>18.34</v>
      </c>
      <c r="AA149" s="999">
        <f>ROUND(NOMINA!BK128,2)</f>
        <v>0</v>
      </c>
      <c r="AB149" s="866">
        <f t="shared" si="25"/>
        <v>253.42000000000002</v>
      </c>
    </row>
    <row r="150" spans="1:28" s="629" customFormat="1" ht="20.100000000000001" customHeight="1" thickBot="1">
      <c r="A150" s="770" t="s">
        <v>2846</v>
      </c>
      <c r="B150" s="510">
        <f t="shared" ca="1" si="21"/>
        <v>87</v>
      </c>
      <c r="C150" s="980">
        <f>+NOMINA!C129</f>
        <v>13260933</v>
      </c>
      <c r="D150" s="981" t="str">
        <f>+NOMINA!D129</f>
        <v>Venegas Azuaje Freddy Jose</v>
      </c>
      <c r="E150" s="978" t="s">
        <v>4622</v>
      </c>
      <c r="F150" s="1006">
        <v>27853</v>
      </c>
      <c r="G150" s="978" t="s">
        <v>4620</v>
      </c>
      <c r="H150" s="1007">
        <f>+NOMINA!H129</f>
        <v>45474</v>
      </c>
      <c r="I150" s="984">
        <f>+NOMINA!I129</f>
        <v>0</v>
      </c>
      <c r="J150" s="985">
        <f>+NOMINA!J129</f>
        <v>0</v>
      </c>
      <c r="K150" s="984">
        <f t="shared" si="22"/>
        <v>0</v>
      </c>
      <c r="L150" s="985" t="s">
        <v>4932</v>
      </c>
      <c r="M150" s="985"/>
      <c r="N150" s="1002" t="str">
        <f>+NOMINA!O129</f>
        <v>Guia de Centro I</v>
      </c>
      <c r="O150" s="999">
        <f>ROUND(NOMINA!W129,2)</f>
        <v>65</v>
      </c>
      <c r="P150" s="999">
        <f>NOMINA!AF129</f>
        <v>0</v>
      </c>
      <c r="Q150" s="999">
        <f>NOMINA!AH129</f>
        <v>65</v>
      </c>
      <c r="R150" s="999">
        <f>NOMINA!AC129</f>
        <v>0</v>
      </c>
      <c r="S150" s="999">
        <f>NOMINA!AJ129</f>
        <v>0</v>
      </c>
      <c r="T150" s="986">
        <f t="shared" si="23"/>
        <v>0</v>
      </c>
      <c r="U150" s="999">
        <f>ROUND(NOMINA!BL129,2)</f>
        <v>12.48</v>
      </c>
      <c r="V150" s="999">
        <f>ROUND(NOMINA!BM129,2)</f>
        <v>1.56</v>
      </c>
      <c r="W150" s="999">
        <f>ROUND(+NOMINA!BN129,2)</f>
        <v>3.38</v>
      </c>
      <c r="X150" s="999">
        <f>ROUND(NOMINA!BO129,2)</f>
        <v>0</v>
      </c>
      <c r="Y150" s="999">
        <f>ROUND(NOMINA!BP129,2)</f>
        <v>0</v>
      </c>
      <c r="Z150" s="986">
        <f t="shared" si="24"/>
        <v>16.03</v>
      </c>
      <c r="AA150" s="999">
        <f>ROUND(NOMINA!BK129,2)</f>
        <v>0</v>
      </c>
      <c r="AB150" s="866">
        <f t="shared" si="25"/>
        <v>112.58</v>
      </c>
    </row>
    <row r="151" spans="1:28" s="629" customFormat="1" ht="20.100000000000001" customHeight="1" thickBot="1">
      <c r="A151" s="770" t="s">
        <v>2846</v>
      </c>
      <c r="B151" s="510">
        <f t="shared" ref="B151:B213" ca="1" si="26">OFFSET(B151,-1,0)+1</f>
        <v>88</v>
      </c>
      <c r="C151" s="980">
        <f>+NOMINA!C130</f>
        <v>13261035</v>
      </c>
      <c r="D151" s="981" t="str">
        <f>+NOMINA!D130</f>
        <v>Henry Peña Yokary Nakary</v>
      </c>
      <c r="E151" s="978" t="s">
        <v>4622</v>
      </c>
      <c r="F151" s="1006">
        <v>27853</v>
      </c>
      <c r="G151" s="978" t="s">
        <v>4620</v>
      </c>
      <c r="H151" s="1007">
        <f>+NOMINA!H130</f>
        <v>43770</v>
      </c>
      <c r="I151" s="984">
        <f>+NOMINA!I130</f>
        <v>5</v>
      </c>
      <c r="J151" s="985">
        <f>+NOMINA!J130</f>
        <v>0</v>
      </c>
      <c r="K151" s="984">
        <f t="shared" si="22"/>
        <v>5</v>
      </c>
      <c r="L151" s="985" t="s">
        <v>4932</v>
      </c>
      <c r="M151" s="985"/>
      <c r="N151" s="1002" t="str">
        <f>+NOMINA!O130</f>
        <v>Entrenador Deportivo V</v>
      </c>
      <c r="O151" s="999">
        <f>ROUND(NOMINA!W130,2)</f>
        <v>138.5</v>
      </c>
      <c r="P151" s="999">
        <f>NOMINA!AF130</f>
        <v>6.93</v>
      </c>
      <c r="Q151" s="999">
        <f>NOMINA!AH130</f>
        <v>65</v>
      </c>
      <c r="R151" s="999">
        <f>NOMINA!AC130</f>
        <v>0</v>
      </c>
      <c r="S151" s="999">
        <f>NOMINA!AJ130</f>
        <v>52.61</v>
      </c>
      <c r="T151" s="986">
        <f t="shared" si="23"/>
        <v>0</v>
      </c>
      <c r="U151" s="999">
        <f>ROUND(NOMINA!BL130,2)</f>
        <v>19.420000000000002</v>
      </c>
      <c r="V151" s="999">
        <f>ROUND(NOMINA!BM130,2)</f>
        <v>2.4300000000000002</v>
      </c>
      <c r="W151" s="999">
        <f>ROUND(+NOMINA!BN130,2)</f>
        <v>5.26</v>
      </c>
      <c r="X151" s="999">
        <f>ROUND(NOMINA!BO130,2)</f>
        <v>0</v>
      </c>
      <c r="Y151" s="999">
        <f>ROUND(NOMINA!BP130,2)</f>
        <v>0</v>
      </c>
      <c r="Z151" s="986">
        <f t="shared" si="24"/>
        <v>32.409999999999997</v>
      </c>
      <c r="AA151" s="999">
        <f>ROUND(NOMINA!BK130,2)</f>
        <v>0</v>
      </c>
      <c r="AB151" s="866">
        <f t="shared" si="25"/>
        <v>235.93</v>
      </c>
    </row>
    <row r="152" spans="1:28" s="629" customFormat="1" ht="20.100000000000001" customHeight="1" thickBot="1">
      <c r="A152" s="770" t="s">
        <v>2846</v>
      </c>
      <c r="B152" s="510">
        <f t="shared" ca="1" si="26"/>
        <v>89</v>
      </c>
      <c r="C152" s="980">
        <f>+NOMINA!C131</f>
        <v>13261229</v>
      </c>
      <c r="D152" s="981" t="str">
        <f>+NOMINA!D131</f>
        <v>Abreu Rodriguez Eva Del Carmen</v>
      </c>
      <c r="E152" s="978" t="s">
        <v>4622</v>
      </c>
      <c r="F152" s="1006">
        <v>27853</v>
      </c>
      <c r="G152" s="978" t="s">
        <v>4620</v>
      </c>
      <c r="H152" s="1007">
        <f>+NOMINA!H131</f>
        <v>42644</v>
      </c>
      <c r="I152" s="984">
        <f>+NOMINA!I131</f>
        <v>8</v>
      </c>
      <c r="J152" s="985">
        <f>+NOMINA!J131</f>
        <v>0</v>
      </c>
      <c r="K152" s="984">
        <f t="shared" si="22"/>
        <v>8</v>
      </c>
      <c r="L152" s="985" t="s">
        <v>4932</v>
      </c>
      <c r="M152" s="985"/>
      <c r="N152" s="1002" t="str">
        <f>+NOMINA!O131</f>
        <v>Asistente Administrativo III</v>
      </c>
      <c r="O152" s="999">
        <f>ROUND(NOMINA!W131,2)</f>
        <v>110.5</v>
      </c>
      <c r="P152" s="999">
        <f>NOMINA!AF131</f>
        <v>9.51</v>
      </c>
      <c r="Q152" s="999">
        <f>NOMINA!AH131</f>
        <v>65</v>
      </c>
      <c r="R152" s="999">
        <f>NOMINA!AC131</f>
        <v>12.5</v>
      </c>
      <c r="S152" s="999">
        <f>NOMINA!AJ131</f>
        <v>38.25</v>
      </c>
      <c r="T152" s="986">
        <f t="shared" si="23"/>
        <v>125.01</v>
      </c>
      <c r="U152" s="999">
        <f>ROUND(NOMINA!BL131,2)</f>
        <v>16.95</v>
      </c>
      <c r="V152" s="999">
        <f>ROUND(NOMINA!BM131,2)</f>
        <v>2.12</v>
      </c>
      <c r="W152" s="999">
        <f>ROUND(+NOMINA!BN131,2)</f>
        <v>4.59</v>
      </c>
      <c r="X152" s="999">
        <f>ROUND(NOMINA!BO131,2)</f>
        <v>0</v>
      </c>
      <c r="Y152" s="999">
        <f>ROUND(NOMINA!BP131,2)</f>
        <v>0</v>
      </c>
      <c r="Z152" s="986">
        <f t="shared" si="24"/>
        <v>22.79</v>
      </c>
      <c r="AA152" s="999">
        <f>ROUND(NOMINA!BK131,2)</f>
        <v>0</v>
      </c>
      <c r="AB152" s="866">
        <f t="shared" si="25"/>
        <v>212.1</v>
      </c>
    </row>
    <row r="153" spans="1:28" s="629" customFormat="1" ht="20.100000000000001" customHeight="1" thickBot="1">
      <c r="A153" s="770" t="s">
        <v>2846</v>
      </c>
      <c r="B153" s="510">
        <f t="shared" ca="1" si="26"/>
        <v>90</v>
      </c>
      <c r="C153" s="980">
        <f>+NOMINA!C132</f>
        <v>13461747</v>
      </c>
      <c r="D153" s="981" t="str">
        <f>+NOMINA!D132</f>
        <v>Santos Hernandez Karine Yenilet</v>
      </c>
      <c r="E153" s="978" t="s">
        <v>4622</v>
      </c>
      <c r="F153" s="1006">
        <v>27853</v>
      </c>
      <c r="G153" s="978" t="s">
        <v>4620</v>
      </c>
      <c r="H153" s="1007">
        <f>+NOMINA!H132</f>
        <v>44683</v>
      </c>
      <c r="I153" s="984">
        <f>+NOMINA!I132</f>
        <v>2</v>
      </c>
      <c r="J153" s="985">
        <f>+NOMINA!J132</f>
        <v>2</v>
      </c>
      <c r="K153" s="984">
        <f t="shared" si="22"/>
        <v>4</v>
      </c>
      <c r="L153" s="985" t="s">
        <v>4932</v>
      </c>
      <c r="M153" s="985"/>
      <c r="N153" s="1002" t="str">
        <f>+NOMINA!O132</f>
        <v>Asistente Administrativo III</v>
      </c>
      <c r="O153" s="999">
        <f>ROUND(NOMINA!W132,2)</f>
        <v>109.5</v>
      </c>
      <c r="P153" s="999">
        <f>NOMINA!AF132</f>
        <v>4.38</v>
      </c>
      <c r="Q153" s="999">
        <f>NOMINA!AH132</f>
        <v>65</v>
      </c>
      <c r="R153" s="999">
        <f>NOMINA!AC132</f>
        <v>0</v>
      </c>
      <c r="S153" s="999">
        <f>NOMINA!AJ132</f>
        <v>35.78</v>
      </c>
      <c r="T153" s="986">
        <f t="shared" si="23"/>
        <v>84.35</v>
      </c>
      <c r="U153" s="999">
        <f>ROUND(NOMINA!BL132,2)</f>
        <v>15.85</v>
      </c>
      <c r="V153" s="999">
        <f>ROUND(NOMINA!BM132,2)</f>
        <v>1.98</v>
      </c>
      <c r="W153" s="999">
        <f>ROUND(+NOMINA!BN132,2)</f>
        <v>4.29</v>
      </c>
      <c r="X153" s="999">
        <f>ROUND(NOMINA!BO132,2)</f>
        <v>0</v>
      </c>
      <c r="Y153" s="999">
        <f>ROUND(NOMINA!BP132,2)</f>
        <v>0</v>
      </c>
      <c r="Z153" s="986">
        <f t="shared" si="24"/>
        <v>37.07</v>
      </c>
      <c r="AA153" s="999">
        <f>ROUND(NOMINA!BK132,2)</f>
        <v>0</v>
      </c>
      <c r="AB153" s="866">
        <f t="shared" si="25"/>
        <v>192.54</v>
      </c>
    </row>
    <row r="154" spans="1:28" s="629" customFormat="1" ht="20.100000000000001" customHeight="1" thickBot="1">
      <c r="A154" s="770" t="s">
        <v>2846</v>
      </c>
      <c r="B154" s="510">
        <f t="shared" ca="1" si="26"/>
        <v>91</v>
      </c>
      <c r="C154" s="980">
        <f>+NOMINA!C133</f>
        <v>13461934</v>
      </c>
      <c r="D154" s="981" t="str">
        <f>+NOMINA!D133</f>
        <v>Ramirez Ayala Jenny Marisela</v>
      </c>
      <c r="E154" s="978" t="s">
        <v>4622</v>
      </c>
      <c r="F154" s="1006">
        <v>27853</v>
      </c>
      <c r="G154" s="978" t="s">
        <v>4620</v>
      </c>
      <c r="H154" s="1007">
        <f>+NOMINA!H133</f>
        <v>43252</v>
      </c>
      <c r="I154" s="984">
        <f>+NOMINA!I133</f>
        <v>6</v>
      </c>
      <c r="J154" s="985">
        <f>+NOMINA!J133</f>
        <v>0</v>
      </c>
      <c r="K154" s="984">
        <f t="shared" si="22"/>
        <v>6</v>
      </c>
      <c r="L154" s="985" t="s">
        <v>4932</v>
      </c>
      <c r="M154" s="985"/>
      <c r="N154" s="1002" t="str">
        <f>+NOMINA!O133</f>
        <v>Guia de Centro II</v>
      </c>
      <c r="O154" s="999">
        <f>ROUND(NOMINA!W133,2)</f>
        <v>85</v>
      </c>
      <c r="P154" s="999">
        <f>NOMINA!AF133</f>
        <v>5.27</v>
      </c>
      <c r="Q154" s="999">
        <f>NOMINA!AH133</f>
        <v>65</v>
      </c>
      <c r="R154" s="999">
        <f>NOMINA!AC133</f>
        <v>0</v>
      </c>
      <c r="S154" s="999">
        <f>NOMINA!AJ133</f>
        <v>0</v>
      </c>
      <c r="T154" s="986">
        <f t="shared" si="23"/>
        <v>114.1</v>
      </c>
      <c r="U154" s="999">
        <f>ROUND(NOMINA!BL133,2)</f>
        <v>14.91</v>
      </c>
      <c r="V154" s="999">
        <f>ROUND(NOMINA!BM133,2)</f>
        <v>1.86</v>
      </c>
      <c r="W154" s="999">
        <f>ROUND(+NOMINA!BN133,2)</f>
        <v>4.04</v>
      </c>
      <c r="X154" s="999">
        <f>ROUND(NOMINA!BO133,2)</f>
        <v>0</v>
      </c>
      <c r="Y154" s="999">
        <f>ROUND(NOMINA!BP133,2)</f>
        <v>0</v>
      </c>
      <c r="Z154" s="986">
        <f t="shared" si="24"/>
        <v>0</v>
      </c>
      <c r="AA154" s="999">
        <f>ROUND(NOMINA!BK133,2)</f>
        <v>0</v>
      </c>
      <c r="AB154" s="866">
        <f t="shared" si="25"/>
        <v>134.45999999999998</v>
      </c>
    </row>
    <row r="155" spans="1:28" s="629" customFormat="1" ht="20.100000000000001" customHeight="1" thickBot="1">
      <c r="A155" s="770" t="s">
        <v>2846</v>
      </c>
      <c r="B155" s="510">
        <f t="shared" ca="1" si="26"/>
        <v>92</v>
      </c>
      <c r="C155" s="980">
        <f>+NOMINA!C134</f>
        <v>13462933</v>
      </c>
      <c r="D155" s="981" t="str">
        <f>+NOMINA!D134</f>
        <v>Frias Aldana Maria Yaritza</v>
      </c>
      <c r="E155" s="978" t="s">
        <v>4622</v>
      </c>
      <c r="F155" s="1006">
        <v>27853</v>
      </c>
      <c r="G155" s="978" t="s">
        <v>4620</v>
      </c>
      <c r="H155" s="1007">
        <f>+NOMINA!H134</f>
        <v>39454</v>
      </c>
      <c r="I155" s="984">
        <f>+NOMINA!I134</f>
        <v>17</v>
      </c>
      <c r="J155" s="985">
        <f>+NOMINA!J134</f>
        <v>6</v>
      </c>
      <c r="K155" s="984">
        <f t="shared" si="22"/>
        <v>23</v>
      </c>
      <c r="L155" s="985" t="s">
        <v>4932</v>
      </c>
      <c r="M155" s="985"/>
      <c r="N155" s="1002" t="str">
        <f>+NOMINA!O134</f>
        <v>Administrador Jefe</v>
      </c>
      <c r="O155" s="999">
        <f>ROUND(NOMINA!W134,2)</f>
        <v>0</v>
      </c>
      <c r="P155" s="999">
        <f>NOMINA!AF134</f>
        <v>0</v>
      </c>
      <c r="Q155" s="999">
        <f>NOMINA!AH134</f>
        <v>0</v>
      </c>
      <c r="R155" s="999">
        <f>NOMINA!AC134</f>
        <v>0</v>
      </c>
      <c r="S155" s="999">
        <f>NOMINA!AJ134</f>
        <v>0</v>
      </c>
      <c r="T155" s="986">
        <f t="shared" si="23"/>
        <v>112</v>
      </c>
      <c r="U155" s="999">
        <f>ROUND(NOMINA!BL134,2)</f>
        <v>0</v>
      </c>
      <c r="V155" s="999">
        <f>ROUND(NOMINA!BM134,2)</f>
        <v>0</v>
      </c>
      <c r="W155" s="999">
        <f>ROUND(+NOMINA!BN134,2)</f>
        <v>0</v>
      </c>
      <c r="X155" s="999">
        <f>ROUND(NOMINA!BO134,2)</f>
        <v>0</v>
      </c>
      <c r="Y155" s="999">
        <f>ROUND(NOMINA!BP134,2)</f>
        <v>0</v>
      </c>
      <c r="Z155" s="986">
        <f t="shared" si="24"/>
        <v>25.03</v>
      </c>
      <c r="AA155" s="999">
        <f>ROUND(NOMINA!BK134,2)</f>
        <v>0</v>
      </c>
      <c r="AB155" s="866">
        <f t="shared" si="25"/>
        <v>0</v>
      </c>
    </row>
    <row r="156" spans="1:28" s="629" customFormat="1" ht="20.100000000000001" customHeight="1" thickBot="1">
      <c r="A156" s="770" t="s">
        <v>2846</v>
      </c>
      <c r="B156" s="510">
        <f t="shared" ca="1" si="26"/>
        <v>93</v>
      </c>
      <c r="C156" s="980">
        <f>+NOMINA!C135</f>
        <v>13462511</v>
      </c>
      <c r="D156" s="981" t="str">
        <f>+NOMINA!D135</f>
        <v>Vielma Jenifer</v>
      </c>
      <c r="E156" s="978" t="s">
        <v>4622</v>
      </c>
      <c r="F156" s="1006">
        <v>27853</v>
      </c>
      <c r="G156" s="978" t="s">
        <v>4620</v>
      </c>
      <c r="H156" s="1007">
        <f>+NOMINA!H135</f>
        <v>43738</v>
      </c>
      <c r="I156" s="984">
        <f>+NOMINA!I135</f>
        <v>5</v>
      </c>
      <c r="J156" s="985">
        <f>+NOMINA!J135</f>
        <v>8</v>
      </c>
      <c r="K156" s="984">
        <f t="shared" si="22"/>
        <v>13</v>
      </c>
      <c r="L156" s="985" t="s">
        <v>4932</v>
      </c>
      <c r="M156" s="985"/>
      <c r="N156" s="1002" t="str">
        <f>+NOMINA!O135</f>
        <v>CRIMINOLOGO</v>
      </c>
      <c r="O156" s="999">
        <f>ROUND(NOMINA!W135,2)</f>
        <v>156</v>
      </c>
      <c r="P156" s="999">
        <f>NOMINA!AF135</f>
        <v>23.71</v>
      </c>
      <c r="Q156" s="999">
        <f>NOMINA!AH135</f>
        <v>65</v>
      </c>
      <c r="R156" s="999">
        <f>NOMINA!AC135</f>
        <v>12.5</v>
      </c>
      <c r="S156" s="999">
        <f>NOMINA!AJ135</f>
        <v>87.84</v>
      </c>
      <c r="T156" s="986">
        <f t="shared" si="23"/>
        <v>96.16</v>
      </c>
      <c r="U156" s="999">
        <f>ROUND(NOMINA!BL135,2)</f>
        <v>25.02</v>
      </c>
      <c r="V156" s="999">
        <f>ROUND(NOMINA!BM135,2)</f>
        <v>3.13</v>
      </c>
      <c r="W156" s="999">
        <f>ROUND(+NOMINA!BN135,2)</f>
        <v>6.78</v>
      </c>
      <c r="X156" s="999">
        <f>ROUND(NOMINA!BO135,2)</f>
        <v>0</v>
      </c>
      <c r="Y156" s="999">
        <f>ROUND(NOMINA!BP135,2)</f>
        <v>0</v>
      </c>
      <c r="Z156" s="986">
        <f t="shared" si="24"/>
        <v>0</v>
      </c>
      <c r="AA156" s="999">
        <f>ROUND(NOMINA!BK135,2)</f>
        <v>0</v>
      </c>
      <c r="AB156" s="866">
        <f t="shared" si="25"/>
        <v>310.12000000000006</v>
      </c>
    </row>
    <row r="157" spans="1:28" s="629" customFormat="1" ht="20.100000000000001" customHeight="1" thickBot="1">
      <c r="A157" s="770" t="s">
        <v>2846</v>
      </c>
      <c r="B157" s="510">
        <f t="shared" ca="1" si="26"/>
        <v>94</v>
      </c>
      <c r="C157" s="980">
        <f>+NOMINA!C136</f>
        <v>13522518</v>
      </c>
      <c r="D157" s="981" t="str">
        <f>+NOMINA!D136</f>
        <v>Altuve Diaz Jose Antonio</v>
      </c>
      <c r="E157" s="978" t="s">
        <v>4622</v>
      </c>
      <c r="F157" s="1006">
        <v>27853</v>
      </c>
      <c r="G157" s="978" t="s">
        <v>4620</v>
      </c>
      <c r="H157" s="1007">
        <f>+NOMINA!H136</f>
        <v>43739</v>
      </c>
      <c r="I157" s="984">
        <f>+NOMINA!I136</f>
        <v>5</v>
      </c>
      <c r="J157" s="985">
        <f>+NOMINA!J136</f>
        <v>0</v>
      </c>
      <c r="K157" s="984">
        <f t="shared" si="22"/>
        <v>5</v>
      </c>
      <c r="L157" s="985" t="s">
        <v>4932</v>
      </c>
      <c r="M157" s="985"/>
      <c r="N157" s="1002" t="str">
        <f>+NOMINA!O136</f>
        <v>Almacenista II</v>
      </c>
      <c r="O157" s="999">
        <f>ROUND(NOMINA!W136,2)</f>
        <v>75</v>
      </c>
      <c r="P157" s="999">
        <f>NOMINA!AF136</f>
        <v>3.75</v>
      </c>
      <c r="Q157" s="999">
        <f>NOMINA!AH136</f>
        <v>65</v>
      </c>
      <c r="R157" s="999">
        <f>NOMINA!AC136</f>
        <v>12.5</v>
      </c>
      <c r="S157" s="999">
        <f>NOMINA!AJ136</f>
        <v>0</v>
      </c>
      <c r="T157" s="986">
        <f t="shared" si="23"/>
        <v>93</v>
      </c>
      <c r="U157" s="999">
        <f>ROUND(NOMINA!BL136,2)</f>
        <v>11.08</v>
      </c>
      <c r="V157" s="999">
        <f>ROUND(NOMINA!BM136,2)</f>
        <v>1.38</v>
      </c>
      <c r="W157" s="999">
        <f>ROUND(+NOMINA!BN136,2)</f>
        <v>3</v>
      </c>
      <c r="X157" s="999">
        <f>ROUND(NOMINA!BO136,2)</f>
        <v>0</v>
      </c>
      <c r="Y157" s="999">
        <f>ROUND(NOMINA!BP136,2)</f>
        <v>0</v>
      </c>
      <c r="Z157" s="986">
        <f t="shared" si="24"/>
        <v>19.21</v>
      </c>
      <c r="AA157" s="999">
        <f>ROUND(NOMINA!BK136,2)</f>
        <v>0</v>
      </c>
      <c r="AB157" s="866">
        <f t="shared" si="25"/>
        <v>140.79</v>
      </c>
    </row>
    <row r="158" spans="1:28" s="629" customFormat="1" ht="20.100000000000001" customHeight="1" thickBot="1">
      <c r="A158" s="770" t="s">
        <v>2846</v>
      </c>
      <c r="B158" s="510">
        <f t="shared" ca="1" si="26"/>
        <v>95</v>
      </c>
      <c r="C158" s="980">
        <f>+NOMINA!C137</f>
        <v>13523075</v>
      </c>
      <c r="D158" s="981" t="str">
        <f>+NOMINA!D137</f>
        <v>Zambrano Castellanos Maria Alejandra</v>
      </c>
      <c r="E158" s="978" t="s">
        <v>4622</v>
      </c>
      <c r="F158" s="1006">
        <v>27853</v>
      </c>
      <c r="G158" s="978" t="s">
        <v>4620</v>
      </c>
      <c r="H158" s="1007">
        <f>+NOMINA!H137</f>
        <v>37718</v>
      </c>
      <c r="I158" s="984">
        <f>+NOMINA!I137</f>
        <v>21</v>
      </c>
      <c r="J158" s="985">
        <f>+NOMINA!J137</f>
        <v>0</v>
      </c>
      <c r="K158" s="984">
        <f t="shared" si="22"/>
        <v>21</v>
      </c>
      <c r="L158" s="985" t="s">
        <v>4932</v>
      </c>
      <c r="M158" s="985"/>
      <c r="N158" s="1002" t="str">
        <f>+NOMINA!O137</f>
        <v>Planificador V</v>
      </c>
      <c r="O158" s="999">
        <f>ROUND(NOMINA!W137,2)</f>
        <v>114</v>
      </c>
      <c r="P158" s="999">
        <f>NOMINA!AF137</f>
        <v>31.69</v>
      </c>
      <c r="Q158" s="999">
        <f>NOMINA!AH137</f>
        <v>65</v>
      </c>
      <c r="R158" s="999">
        <f>NOMINA!AC137</f>
        <v>25</v>
      </c>
      <c r="S158" s="999">
        <f>NOMINA!AJ137</f>
        <v>44.64</v>
      </c>
      <c r="T158" s="986">
        <f t="shared" si="23"/>
        <v>170.94</v>
      </c>
      <c r="U158" s="999">
        <f>ROUND(NOMINA!BL137,2)</f>
        <v>19.78</v>
      </c>
      <c r="V158" s="999">
        <f>ROUND(NOMINA!BM137,2)</f>
        <v>2.4700000000000002</v>
      </c>
      <c r="W158" s="999">
        <f>ROUND(+NOMINA!BN137,2)</f>
        <v>5.36</v>
      </c>
      <c r="X158" s="999">
        <f>ROUND(NOMINA!BO137,2)</f>
        <v>0</v>
      </c>
      <c r="Y158" s="999">
        <f>ROUND(NOMINA!BP137,2)</f>
        <v>0</v>
      </c>
      <c r="Z158" s="986">
        <f t="shared" si="24"/>
        <v>35.65</v>
      </c>
      <c r="AA158" s="999">
        <f>ROUND(NOMINA!BK137,2)</f>
        <v>0</v>
      </c>
      <c r="AB158" s="866">
        <f t="shared" si="25"/>
        <v>252.71999999999997</v>
      </c>
    </row>
    <row r="159" spans="1:28" s="629" customFormat="1" ht="20.100000000000001" customHeight="1" thickBot="1">
      <c r="A159" s="770" t="s">
        <v>2846</v>
      </c>
      <c r="B159" s="510">
        <f t="shared" ca="1" si="26"/>
        <v>96</v>
      </c>
      <c r="C159" s="980">
        <f>+NOMINA!C138</f>
        <v>13745803</v>
      </c>
      <c r="D159" s="981" t="str">
        <f>+NOMINA!D138</f>
        <v>Materan Riveros Yorvis Alexis</v>
      </c>
      <c r="E159" s="978" t="s">
        <v>4622</v>
      </c>
      <c r="F159" s="1006">
        <v>27853</v>
      </c>
      <c r="G159" s="978" t="s">
        <v>4620</v>
      </c>
      <c r="H159" s="1007">
        <f>+NOMINA!H138</f>
        <v>44774</v>
      </c>
      <c r="I159" s="984">
        <f>+NOMINA!I138</f>
        <v>2</v>
      </c>
      <c r="J159" s="985">
        <f>+NOMINA!J138</f>
        <v>22</v>
      </c>
      <c r="K159" s="984">
        <f t="shared" si="22"/>
        <v>24</v>
      </c>
      <c r="L159" s="985" t="s">
        <v>4932</v>
      </c>
      <c r="M159" s="985"/>
      <c r="N159" s="1002" t="str">
        <f>+NOMINA!O138</f>
        <v>Tutor Facilitador III</v>
      </c>
      <c r="O159" s="999">
        <f>ROUND(NOMINA!W138,2)</f>
        <v>143.5</v>
      </c>
      <c r="P159" s="999">
        <f>NOMINA!AF138</f>
        <v>43.05</v>
      </c>
      <c r="Q159" s="999">
        <f>NOMINA!AH138</f>
        <v>65</v>
      </c>
      <c r="R159" s="999">
        <f>NOMINA!AC138</f>
        <v>0</v>
      </c>
      <c r="S159" s="999">
        <f>NOMINA!AJ138</f>
        <v>62.89</v>
      </c>
      <c r="T159" s="986">
        <f t="shared" si="23"/>
        <v>87.83</v>
      </c>
      <c r="U159" s="999">
        <f>ROUND(NOMINA!BL138,2)</f>
        <v>23.22</v>
      </c>
      <c r="V159" s="999">
        <f>ROUND(NOMINA!BM138,2)</f>
        <v>2.9</v>
      </c>
      <c r="W159" s="999">
        <f>ROUND(+NOMINA!BN138,2)</f>
        <v>6.29</v>
      </c>
      <c r="X159" s="999">
        <f>ROUND(NOMINA!BO138,2)</f>
        <v>0</v>
      </c>
      <c r="Y159" s="999">
        <f>ROUND(NOMINA!BP138,2)</f>
        <v>0</v>
      </c>
      <c r="Z159" s="986">
        <f t="shared" si="24"/>
        <v>23.66</v>
      </c>
      <c r="AA159" s="999">
        <f>ROUND(NOMINA!BK138,2)</f>
        <v>0</v>
      </c>
      <c r="AB159" s="866">
        <f t="shared" si="25"/>
        <v>282.02999999999997</v>
      </c>
    </row>
    <row r="160" spans="1:28" s="629" customFormat="1" ht="20.100000000000001" customHeight="1" thickBot="1">
      <c r="A160" s="770" t="s">
        <v>2846</v>
      </c>
      <c r="B160" s="510">
        <f t="shared" ca="1" si="26"/>
        <v>97</v>
      </c>
      <c r="C160" s="980">
        <f>+NOMINA!C139</f>
        <v>13765028</v>
      </c>
      <c r="D160" s="981" t="str">
        <f>+NOMINA!D139</f>
        <v xml:space="preserve">Diaz Ramirez Mileyda Del Valle </v>
      </c>
      <c r="E160" s="978" t="s">
        <v>4622</v>
      </c>
      <c r="F160" s="1006">
        <v>27853</v>
      </c>
      <c r="G160" s="978" t="s">
        <v>4620</v>
      </c>
      <c r="H160" s="1007">
        <f>+NOMINA!H139</f>
        <v>44348</v>
      </c>
      <c r="I160" s="984">
        <f>+NOMINA!I139</f>
        <v>3</v>
      </c>
      <c r="J160" s="985">
        <f>+NOMINA!J139</f>
        <v>7</v>
      </c>
      <c r="K160" s="984">
        <f t="shared" si="22"/>
        <v>10</v>
      </c>
      <c r="L160" s="985" t="s">
        <v>4932</v>
      </c>
      <c r="M160" s="985"/>
      <c r="N160" s="1002" t="str">
        <f>+NOMINA!O139</f>
        <v>Guia de Centro II</v>
      </c>
      <c r="O160" s="999">
        <f>ROUND(NOMINA!W139,2)</f>
        <v>111.5</v>
      </c>
      <c r="P160" s="999">
        <f>NOMINA!AF139</f>
        <v>12.27</v>
      </c>
      <c r="Q160" s="999">
        <f>NOMINA!AH139</f>
        <v>65</v>
      </c>
      <c r="R160" s="999">
        <f>NOMINA!AC139</f>
        <v>0</v>
      </c>
      <c r="S160" s="999">
        <f>NOMINA!AJ139</f>
        <v>37.76</v>
      </c>
      <c r="T160" s="986">
        <f t="shared" si="23"/>
        <v>207.9</v>
      </c>
      <c r="U160" s="999">
        <f>ROUND(NOMINA!BL139,2)</f>
        <v>21.75</v>
      </c>
      <c r="V160" s="999">
        <f>ROUND(NOMINA!BM139,2)</f>
        <v>2.72</v>
      </c>
      <c r="W160" s="999">
        <f>ROUND(+NOMINA!BN139,2)</f>
        <v>5.89</v>
      </c>
      <c r="X160" s="999">
        <f>ROUND(NOMINA!BO139,2)</f>
        <v>0</v>
      </c>
      <c r="Y160" s="999">
        <f>ROUND(NOMINA!BP139,2)</f>
        <v>0</v>
      </c>
      <c r="Z160" s="986">
        <f t="shared" si="24"/>
        <v>27.68</v>
      </c>
      <c r="AA160" s="999">
        <f>ROUND(NOMINA!BK139,2)</f>
        <v>0</v>
      </c>
      <c r="AB160" s="866">
        <f t="shared" si="25"/>
        <v>196.16999999999996</v>
      </c>
    </row>
    <row r="161" spans="1:28" s="629" customFormat="1" ht="20.100000000000001" customHeight="1" thickBot="1">
      <c r="A161" s="770" t="s">
        <v>2846</v>
      </c>
      <c r="B161" s="510">
        <f t="shared" ca="1" si="26"/>
        <v>98</v>
      </c>
      <c r="C161" s="980">
        <f>+NOMINA!C140</f>
        <v>13896147</v>
      </c>
      <c r="D161" s="981" t="str">
        <f>+NOMINA!D140</f>
        <v>Carrizo Blanco Belquis Cecilia</v>
      </c>
      <c r="E161" s="978" t="s">
        <v>4622</v>
      </c>
      <c r="F161" s="1006">
        <v>27853</v>
      </c>
      <c r="G161" s="978" t="s">
        <v>4620</v>
      </c>
      <c r="H161" s="1007">
        <f>+NOMINA!H140</f>
        <v>41334</v>
      </c>
      <c r="I161" s="984">
        <f>+NOMINA!I140</f>
        <v>11</v>
      </c>
      <c r="J161" s="985">
        <f>+NOMINA!J140</f>
        <v>0</v>
      </c>
      <c r="K161" s="984">
        <f t="shared" si="22"/>
        <v>11</v>
      </c>
      <c r="L161" s="985" t="s">
        <v>4932</v>
      </c>
      <c r="M161" s="985"/>
      <c r="N161" s="1002" t="str">
        <f>+NOMINA!O140</f>
        <v>Administrador III</v>
      </c>
      <c r="O161" s="999">
        <f>ROUND(NOMINA!W140,2)</f>
        <v>140.5</v>
      </c>
      <c r="P161" s="999">
        <f>NOMINA!AF140</f>
        <v>17.420000000000002</v>
      </c>
      <c r="Q161" s="999">
        <f>NOMINA!AH140</f>
        <v>65</v>
      </c>
      <c r="R161" s="999">
        <f>NOMINA!AC140</f>
        <v>0</v>
      </c>
      <c r="S161" s="999">
        <f>NOMINA!AJ140</f>
        <v>55.73</v>
      </c>
      <c r="T161" s="986">
        <f t="shared" si="23"/>
        <v>0</v>
      </c>
      <c r="U161" s="999">
        <f>ROUND(NOMINA!BL140,2)</f>
        <v>20.58</v>
      </c>
      <c r="V161" s="999">
        <f>ROUND(NOMINA!BM140,2)</f>
        <v>2.57</v>
      </c>
      <c r="W161" s="999">
        <f>ROUND(+NOMINA!BN140,2)</f>
        <v>5.57</v>
      </c>
      <c r="X161" s="999">
        <f>ROUND(NOMINA!BO140,2)</f>
        <v>0</v>
      </c>
      <c r="Y161" s="999">
        <f>ROUND(NOMINA!BP140,2)</f>
        <v>0</v>
      </c>
      <c r="Z161" s="986">
        <f t="shared" si="24"/>
        <v>20.100000000000001</v>
      </c>
      <c r="AA161" s="999">
        <f>ROUND(NOMINA!BK140,2)</f>
        <v>0</v>
      </c>
      <c r="AB161" s="866">
        <f t="shared" si="25"/>
        <v>249.93000000000004</v>
      </c>
    </row>
    <row r="162" spans="1:28" s="629" customFormat="1" ht="20.100000000000001" customHeight="1" thickBot="1">
      <c r="A162" s="770" t="s">
        <v>2846</v>
      </c>
      <c r="B162" s="510">
        <f t="shared" ca="1" si="26"/>
        <v>99</v>
      </c>
      <c r="C162" s="980">
        <f>+NOMINA!C141</f>
        <v>13896239</v>
      </c>
      <c r="D162" s="981" t="str">
        <f>+NOMINA!D141</f>
        <v>Sulbaran Campos Yusneida Ayarith</v>
      </c>
      <c r="E162" s="978" t="s">
        <v>4622</v>
      </c>
      <c r="F162" s="1006">
        <v>27853</v>
      </c>
      <c r="G162" s="978" t="s">
        <v>4620</v>
      </c>
      <c r="H162" s="1007">
        <f>+NOMINA!H141</f>
        <v>42416</v>
      </c>
      <c r="I162" s="984">
        <f>+NOMINA!I141</f>
        <v>8</v>
      </c>
      <c r="J162" s="985">
        <f>+NOMINA!J141</f>
        <v>0</v>
      </c>
      <c r="K162" s="984">
        <f t="shared" si="22"/>
        <v>8</v>
      </c>
      <c r="L162" s="985" t="s">
        <v>4932</v>
      </c>
      <c r="M162" s="985"/>
      <c r="N162" s="1002" t="str">
        <f>+NOMINA!O141</f>
        <v>Analista de Presupuesto IV</v>
      </c>
      <c r="O162" s="999">
        <f>ROUND(NOMINA!W141,2)</f>
        <v>0</v>
      </c>
      <c r="P162" s="999">
        <f>NOMINA!AF141</f>
        <v>0</v>
      </c>
      <c r="Q162" s="999">
        <f>NOMINA!AH141</f>
        <v>0</v>
      </c>
      <c r="R162" s="999">
        <f>NOMINA!AC141</f>
        <v>0</v>
      </c>
      <c r="S162" s="999">
        <f>NOMINA!AJ141</f>
        <v>0</v>
      </c>
      <c r="T162" s="986">
        <f t="shared" si="23"/>
        <v>126.07</v>
      </c>
      <c r="U162" s="999">
        <f>ROUND(NOMINA!BL141,2)</f>
        <v>0</v>
      </c>
      <c r="V162" s="999">
        <f>ROUND(NOMINA!BM141,2)</f>
        <v>0</v>
      </c>
      <c r="W162" s="999">
        <f>ROUND(+NOMINA!BN141,2)</f>
        <v>0</v>
      </c>
      <c r="X162" s="999">
        <f>ROUND(NOMINA!BO141,2)</f>
        <v>0</v>
      </c>
      <c r="Y162" s="999">
        <f>ROUND(NOMINA!BP141,2)</f>
        <v>0</v>
      </c>
      <c r="Z162" s="986">
        <f t="shared" si="24"/>
        <v>0</v>
      </c>
      <c r="AA162" s="999">
        <f>ROUND(NOMINA!BK141,2)</f>
        <v>0</v>
      </c>
      <c r="AB162" s="866">
        <f t="shared" si="25"/>
        <v>0</v>
      </c>
    </row>
    <row r="163" spans="1:28" s="629" customFormat="1" ht="20.100000000000001" customHeight="1" thickBot="1">
      <c r="A163" s="770" t="s">
        <v>2846</v>
      </c>
      <c r="B163" s="510">
        <f t="shared" ca="1" si="26"/>
        <v>100</v>
      </c>
      <c r="C163" s="980">
        <f>+NOMINA!C142</f>
        <v>13897046</v>
      </c>
      <c r="D163" s="981" t="str">
        <f>+NOMINA!D142</f>
        <v>Artigas Sanchez Mireya Carolina</v>
      </c>
      <c r="E163" s="978" t="s">
        <v>4622</v>
      </c>
      <c r="F163" s="1006">
        <v>27853</v>
      </c>
      <c r="G163" s="978" t="s">
        <v>4620</v>
      </c>
      <c r="H163" s="1007">
        <f>+NOMINA!H142</f>
        <v>42384</v>
      </c>
      <c r="I163" s="984">
        <f>+NOMINA!I142</f>
        <v>9</v>
      </c>
      <c r="J163" s="985">
        <f>+NOMINA!J142</f>
        <v>0</v>
      </c>
      <c r="K163" s="984">
        <f t="shared" si="22"/>
        <v>9</v>
      </c>
      <c r="L163" s="985" t="s">
        <v>4932</v>
      </c>
      <c r="M163" s="985"/>
      <c r="N163" s="1002" t="str">
        <f>+NOMINA!O142</f>
        <v>Tecnico Superior en Trabajo Social II</v>
      </c>
      <c r="O163" s="999">
        <f>ROUND(NOMINA!W142,2)</f>
        <v>111.5</v>
      </c>
      <c r="P163" s="999">
        <f>NOMINA!AF142</f>
        <v>10.93</v>
      </c>
      <c r="Q163" s="999">
        <f>NOMINA!AH142</f>
        <v>65</v>
      </c>
      <c r="R163" s="999">
        <f>NOMINA!AC142</f>
        <v>25</v>
      </c>
      <c r="S163" s="999">
        <f>NOMINA!AJ142</f>
        <v>39.99</v>
      </c>
      <c r="T163" s="986">
        <f t="shared" si="23"/>
        <v>0</v>
      </c>
      <c r="U163" s="999">
        <f>ROUND(NOMINA!BL142,2)</f>
        <v>17.72</v>
      </c>
      <c r="V163" s="999">
        <f>ROUND(NOMINA!BM142,2)</f>
        <v>2.21</v>
      </c>
      <c r="W163" s="999">
        <f>ROUND(+NOMINA!BN142,2)</f>
        <v>4.8</v>
      </c>
      <c r="X163" s="999">
        <f>ROUND(NOMINA!BO142,2)</f>
        <v>0</v>
      </c>
      <c r="Y163" s="999">
        <f>ROUND(NOMINA!BP142,2)</f>
        <v>0</v>
      </c>
      <c r="Z163" s="986">
        <f t="shared" si="24"/>
        <v>32.979999999999997</v>
      </c>
      <c r="AA163" s="999">
        <f>ROUND(NOMINA!BK142,2)</f>
        <v>0</v>
      </c>
      <c r="AB163" s="866">
        <f t="shared" si="25"/>
        <v>227.69000000000003</v>
      </c>
    </row>
    <row r="164" spans="1:28" s="629" customFormat="1" ht="20.100000000000001" customHeight="1" thickBot="1">
      <c r="A164" s="770" t="s">
        <v>2846</v>
      </c>
      <c r="B164" s="510">
        <f t="shared" ca="1" si="26"/>
        <v>101</v>
      </c>
      <c r="C164" s="980">
        <f>+NOMINA!C143</f>
        <v>13897695</v>
      </c>
      <c r="D164" s="981" t="str">
        <f>+NOMINA!D143</f>
        <v>Araujo Matheus Alba Mariela</v>
      </c>
      <c r="E164" s="978" t="s">
        <v>4622</v>
      </c>
      <c r="F164" s="1006">
        <v>27853</v>
      </c>
      <c r="G164" s="978" t="s">
        <v>4620</v>
      </c>
      <c r="H164" s="1007">
        <f>+NOMINA!H143</f>
        <v>39496</v>
      </c>
      <c r="I164" s="984">
        <f>+NOMINA!I143</f>
        <v>16</v>
      </c>
      <c r="J164" s="985">
        <f>+NOMINA!J143</f>
        <v>3</v>
      </c>
      <c r="K164" s="984">
        <f t="shared" si="22"/>
        <v>19</v>
      </c>
      <c r="L164" s="985" t="s">
        <v>4932</v>
      </c>
      <c r="M164" s="985"/>
      <c r="N164" s="1002" t="str">
        <f>+NOMINA!O143</f>
        <v>Analista de Presupuesto Jefe</v>
      </c>
      <c r="O164" s="999">
        <f>ROUND(NOMINA!W143,2)</f>
        <v>143.5</v>
      </c>
      <c r="P164" s="999">
        <f>NOMINA!AF143</f>
        <v>35.020000000000003</v>
      </c>
      <c r="Q164" s="999">
        <f>NOMINA!AH143</f>
        <v>65</v>
      </c>
      <c r="R164" s="999">
        <f>NOMINA!AC143</f>
        <v>25</v>
      </c>
      <c r="S164" s="999">
        <f>NOMINA!AJ143</f>
        <v>64.010000000000005</v>
      </c>
      <c r="T164" s="986">
        <f t="shared" si="23"/>
        <v>104.05</v>
      </c>
      <c r="U164" s="999">
        <f>ROUND(NOMINA!BL143,2)</f>
        <v>23.63</v>
      </c>
      <c r="V164" s="999">
        <f>ROUND(NOMINA!BM143,2)</f>
        <v>2.95</v>
      </c>
      <c r="W164" s="999">
        <f>ROUND(+NOMINA!BN143,2)</f>
        <v>6.4</v>
      </c>
      <c r="X164" s="999">
        <f>ROUND(NOMINA!BO143,2)</f>
        <v>0</v>
      </c>
      <c r="Y164" s="999">
        <f>ROUND(NOMINA!BP143,2)</f>
        <v>0</v>
      </c>
      <c r="Z164" s="986">
        <f t="shared" si="24"/>
        <v>29.12</v>
      </c>
      <c r="AA164" s="999">
        <f>ROUND(NOMINA!BK143,2)</f>
        <v>0</v>
      </c>
      <c r="AB164" s="866">
        <f t="shared" si="25"/>
        <v>299.54999999999995</v>
      </c>
    </row>
    <row r="165" spans="1:28" s="629" customFormat="1" ht="20.100000000000001" customHeight="1" thickBot="1">
      <c r="A165" s="770" t="s">
        <v>2846</v>
      </c>
      <c r="B165" s="510">
        <f t="shared" ca="1" si="26"/>
        <v>102</v>
      </c>
      <c r="C165" s="980">
        <f>+NOMINA!C144</f>
        <v>13996024</v>
      </c>
      <c r="D165" s="981" t="str">
        <f>+NOMINA!D144</f>
        <v>Perez Barrios Helenmar</v>
      </c>
      <c r="E165" s="978" t="s">
        <v>4622</v>
      </c>
      <c r="F165" s="1006">
        <v>27853</v>
      </c>
      <c r="G165" s="978" t="s">
        <v>4620</v>
      </c>
      <c r="H165" s="1007">
        <f>+NOMINA!H144</f>
        <v>40028</v>
      </c>
      <c r="I165" s="984">
        <f>+NOMINA!I144</f>
        <v>15</v>
      </c>
      <c r="J165" s="985">
        <f>+NOMINA!J144</f>
        <v>0</v>
      </c>
      <c r="K165" s="984">
        <f t="shared" si="22"/>
        <v>15</v>
      </c>
      <c r="L165" s="985" t="s">
        <v>4932</v>
      </c>
      <c r="M165" s="985"/>
      <c r="N165" s="1002" t="str">
        <f>+NOMINA!O144</f>
        <v>Contador III</v>
      </c>
      <c r="O165" s="999">
        <f>ROUND(NOMINA!W144,2)</f>
        <v>142.5</v>
      </c>
      <c r="P165" s="999">
        <f>NOMINA!AF144</f>
        <v>25.65</v>
      </c>
      <c r="Q165" s="999">
        <f>NOMINA!AH144</f>
        <v>65</v>
      </c>
      <c r="R165" s="999">
        <f>NOMINA!AC144</f>
        <v>12.5</v>
      </c>
      <c r="S165" s="999">
        <f>NOMINA!AJ144</f>
        <v>59.85</v>
      </c>
      <c r="T165" s="986">
        <f t="shared" si="23"/>
        <v>194.07</v>
      </c>
      <c r="U165" s="999">
        <f>ROUND(NOMINA!BL144,2)</f>
        <v>22.1</v>
      </c>
      <c r="V165" s="999">
        <f>ROUND(NOMINA!BM144,2)</f>
        <v>2.76</v>
      </c>
      <c r="W165" s="999">
        <f>ROUND(+NOMINA!BN144,2)</f>
        <v>5.99</v>
      </c>
      <c r="X165" s="999">
        <f>ROUND(NOMINA!BO144,2)</f>
        <v>0</v>
      </c>
      <c r="Y165" s="999">
        <f>ROUND(NOMINA!BP144,2)</f>
        <v>0</v>
      </c>
      <c r="Z165" s="986">
        <f t="shared" si="24"/>
        <v>17.420000000000002</v>
      </c>
      <c r="AA165" s="999">
        <f>ROUND(NOMINA!BK144,2)</f>
        <v>0</v>
      </c>
      <c r="AB165" s="866">
        <f t="shared" si="25"/>
        <v>274.64999999999998</v>
      </c>
    </row>
    <row r="166" spans="1:28" s="629" customFormat="1" ht="20.100000000000001" customHeight="1" thickBot="1">
      <c r="A166" s="770" t="s">
        <v>2846</v>
      </c>
      <c r="B166" s="510">
        <f t="shared" ca="1" si="26"/>
        <v>103</v>
      </c>
      <c r="C166" s="980">
        <f>+NOMINA!C145</f>
        <v>14106648</v>
      </c>
      <c r="D166" s="981" t="str">
        <f>+NOMINA!D145</f>
        <v>Aguilar Flores Heidy Coromoto</v>
      </c>
      <c r="E166" s="978" t="s">
        <v>4622</v>
      </c>
      <c r="F166" s="1006">
        <v>27853</v>
      </c>
      <c r="G166" s="978" t="s">
        <v>4620</v>
      </c>
      <c r="H166" s="1007">
        <f>+NOMINA!H145</f>
        <v>40787</v>
      </c>
      <c r="I166" s="984">
        <f>+NOMINA!I145</f>
        <v>13</v>
      </c>
      <c r="J166" s="985">
        <f>+NOMINA!J145</f>
        <v>6</v>
      </c>
      <c r="K166" s="984">
        <f t="shared" si="22"/>
        <v>19</v>
      </c>
      <c r="L166" s="985" t="s">
        <v>4932</v>
      </c>
      <c r="M166" s="985"/>
      <c r="N166" s="1002" t="str">
        <f>+NOMINA!O145</f>
        <v>Asistente Administrativo IV</v>
      </c>
      <c r="O166" s="999">
        <f>ROUND(NOMINA!W145,2)</f>
        <v>114</v>
      </c>
      <c r="P166" s="999">
        <f>NOMINA!AF145</f>
        <v>27.82</v>
      </c>
      <c r="Q166" s="999">
        <f>NOMINA!AH145</f>
        <v>65</v>
      </c>
      <c r="R166" s="999">
        <f>NOMINA!AC145</f>
        <v>12.5</v>
      </c>
      <c r="S166" s="999">
        <f>NOMINA!AJ145</f>
        <v>42.62</v>
      </c>
      <c r="T166" s="986">
        <f t="shared" si="23"/>
        <v>119.10000000000001</v>
      </c>
      <c r="U166" s="999">
        <f>ROUND(NOMINA!BL145,2)</f>
        <v>18.88</v>
      </c>
      <c r="V166" s="999">
        <f>ROUND(NOMINA!BM145,2)</f>
        <v>2.36</v>
      </c>
      <c r="W166" s="999">
        <f>ROUND(+NOMINA!BN145,2)</f>
        <v>5.1100000000000003</v>
      </c>
      <c r="X166" s="999">
        <f>ROUND(NOMINA!BO145,2)</f>
        <v>0</v>
      </c>
      <c r="Y166" s="999">
        <f>ROUND(NOMINA!BP145,2)</f>
        <v>0</v>
      </c>
      <c r="Z166" s="986">
        <f t="shared" si="24"/>
        <v>27.11</v>
      </c>
      <c r="AA166" s="999">
        <f>ROUND(NOMINA!BK145,2)</f>
        <v>0</v>
      </c>
      <c r="AB166" s="866">
        <f t="shared" si="25"/>
        <v>235.59</v>
      </c>
    </row>
    <row r="167" spans="1:28" s="629" customFormat="1" ht="20.100000000000001" customHeight="1" thickBot="1">
      <c r="A167" s="770" t="s">
        <v>2846</v>
      </c>
      <c r="B167" s="510">
        <f t="shared" ca="1" si="26"/>
        <v>104</v>
      </c>
      <c r="C167" s="980">
        <f>+NOMINA!C146</f>
        <v>14329448</v>
      </c>
      <c r="D167" s="981" t="str">
        <f>+NOMINA!D146</f>
        <v>Leal Mejia Jociany Trinny</v>
      </c>
      <c r="E167" s="978" t="s">
        <v>4622</v>
      </c>
      <c r="F167" s="1006">
        <v>27853</v>
      </c>
      <c r="G167" s="978" t="s">
        <v>4620</v>
      </c>
      <c r="H167" s="1007">
        <f>+NOMINA!H146</f>
        <v>44743</v>
      </c>
      <c r="I167" s="984">
        <f>+NOMINA!I146</f>
        <v>2</v>
      </c>
      <c r="J167" s="985">
        <f>+NOMINA!J146</f>
        <v>0</v>
      </c>
      <c r="K167" s="984">
        <f t="shared" si="22"/>
        <v>2</v>
      </c>
      <c r="L167" s="985" t="s">
        <v>4932</v>
      </c>
      <c r="M167" s="985"/>
      <c r="N167" s="1002" t="str">
        <f>+NOMINA!O146</f>
        <v>Tutor Facilitador I</v>
      </c>
      <c r="O167" s="999">
        <f>ROUND(NOMINA!W146,2)</f>
        <v>123</v>
      </c>
      <c r="P167" s="999">
        <f>NOMINA!AF146</f>
        <v>2.46</v>
      </c>
      <c r="Q167" s="999">
        <f>NOMINA!AH146</f>
        <v>65</v>
      </c>
      <c r="R167" s="999">
        <f>NOMINA!AC146</f>
        <v>12.5</v>
      </c>
      <c r="S167" s="999">
        <f>NOMINA!AJ146</f>
        <v>49.18</v>
      </c>
      <c r="T167" s="986">
        <f t="shared" si="23"/>
        <v>129.04</v>
      </c>
      <c r="U167" s="999">
        <f>ROUND(NOMINA!BL146,2)</f>
        <v>18.16</v>
      </c>
      <c r="V167" s="999">
        <f>ROUND(NOMINA!BM146,2)</f>
        <v>2.27</v>
      </c>
      <c r="W167" s="999">
        <f>ROUND(+NOMINA!BN146,2)</f>
        <v>4.92</v>
      </c>
      <c r="X167" s="999">
        <f>ROUND(NOMINA!BO146,2)</f>
        <v>0</v>
      </c>
      <c r="Y167" s="999">
        <f>ROUND(NOMINA!BP146,2)</f>
        <v>0</v>
      </c>
      <c r="Z167" s="986">
        <f t="shared" si="24"/>
        <v>23.66</v>
      </c>
      <c r="AA167" s="999">
        <f>ROUND(NOMINA!BK146,2)</f>
        <v>0</v>
      </c>
      <c r="AB167" s="866">
        <f t="shared" si="25"/>
        <v>226.79</v>
      </c>
    </row>
    <row r="168" spans="1:28" s="629" customFormat="1" ht="20.100000000000001" customHeight="1" thickBot="1">
      <c r="A168" s="770" t="s">
        <v>2846</v>
      </c>
      <c r="B168" s="510">
        <f t="shared" ca="1" si="26"/>
        <v>105</v>
      </c>
      <c r="C168" s="980">
        <f>+NOMINA!C147</f>
        <v>14406240</v>
      </c>
      <c r="D168" s="981" t="str">
        <f>+NOMINA!D147</f>
        <v>Sarmiento Suarez Karem Yanira</v>
      </c>
      <c r="E168" s="978" t="s">
        <v>4622</v>
      </c>
      <c r="F168" s="1006">
        <v>27853</v>
      </c>
      <c r="G168" s="978" t="s">
        <v>4620</v>
      </c>
      <c r="H168" s="1007">
        <f>+NOMINA!H147</f>
        <v>43785</v>
      </c>
      <c r="I168" s="984">
        <f>+NOMINA!I147</f>
        <v>5</v>
      </c>
      <c r="J168" s="985">
        <f>+NOMINA!J147</f>
        <v>11</v>
      </c>
      <c r="K168" s="984">
        <f t="shared" si="22"/>
        <v>16</v>
      </c>
      <c r="L168" s="985" t="s">
        <v>4932</v>
      </c>
      <c r="M168" s="985"/>
      <c r="N168" s="1002" t="str">
        <f>+NOMINA!O147</f>
        <v>Tecnico Superior en Trabajo Social II</v>
      </c>
      <c r="O168" s="999">
        <f>ROUND(NOMINA!W147,2)</f>
        <v>113</v>
      </c>
      <c r="P168" s="999">
        <f>NOMINA!AF147</f>
        <v>22.15</v>
      </c>
      <c r="Q168" s="999">
        <f>NOMINA!AH147</f>
        <v>65</v>
      </c>
      <c r="R168" s="999">
        <f>NOMINA!AC147</f>
        <v>0</v>
      </c>
      <c r="S168" s="999">
        <f>NOMINA!AJ147</f>
        <v>50.04</v>
      </c>
      <c r="T168" s="986">
        <f t="shared" si="23"/>
        <v>81.25</v>
      </c>
      <c r="U168" s="999">
        <f>ROUND(NOMINA!BL147,2)</f>
        <v>18.48</v>
      </c>
      <c r="V168" s="999">
        <f>ROUND(NOMINA!BM147,2)</f>
        <v>2.31</v>
      </c>
      <c r="W168" s="999">
        <f>ROUND(+NOMINA!BN147,2)</f>
        <v>5</v>
      </c>
      <c r="X168" s="999">
        <f>ROUND(NOMINA!BO147,2)</f>
        <v>0</v>
      </c>
      <c r="Y168" s="999">
        <f>ROUND(NOMINA!BP147,2)</f>
        <v>0</v>
      </c>
      <c r="Z168" s="986">
        <f t="shared" si="24"/>
        <v>22.12</v>
      </c>
      <c r="AA168" s="999">
        <f>ROUND(NOMINA!BK147,2)</f>
        <v>0</v>
      </c>
      <c r="AB168" s="866">
        <f t="shared" si="25"/>
        <v>224.4</v>
      </c>
    </row>
    <row r="169" spans="1:28" s="629" customFormat="1" ht="20.100000000000001" customHeight="1" thickBot="1">
      <c r="A169" s="770" t="s">
        <v>2846</v>
      </c>
      <c r="B169" s="510">
        <f t="shared" ca="1" si="26"/>
        <v>106</v>
      </c>
      <c r="C169" s="980">
        <f>+NOMINA!C148</f>
        <v>14459607</v>
      </c>
      <c r="D169" s="981" t="str">
        <f>+NOMINA!D148</f>
        <v>Martinez Leal Deyanira Yusissan</v>
      </c>
      <c r="E169" s="978" t="s">
        <v>4622</v>
      </c>
      <c r="F169" s="1006">
        <v>27853</v>
      </c>
      <c r="G169" s="978" t="s">
        <v>4620</v>
      </c>
      <c r="H169" s="1007">
        <f>+NOMINA!H148</f>
        <v>43116</v>
      </c>
      <c r="I169" s="984">
        <f>+NOMINA!I148</f>
        <v>7</v>
      </c>
      <c r="J169" s="985">
        <f>+NOMINA!J148</f>
        <v>0</v>
      </c>
      <c r="K169" s="984">
        <f t="shared" si="22"/>
        <v>7</v>
      </c>
      <c r="L169" s="985" t="s">
        <v>4932</v>
      </c>
      <c r="M169" s="985"/>
      <c r="N169" s="1002" t="str">
        <f>+NOMINA!O148</f>
        <v>Tecnico Superior en Trabajo Social II</v>
      </c>
      <c r="O169" s="999">
        <f>ROUND(NOMINA!W148,2)</f>
        <v>110.5</v>
      </c>
      <c r="P169" s="999">
        <f>NOMINA!AF148</f>
        <v>8.18</v>
      </c>
      <c r="Q169" s="999">
        <f>NOMINA!AH148</f>
        <v>65</v>
      </c>
      <c r="R169" s="999">
        <f>NOMINA!AC148</f>
        <v>25</v>
      </c>
      <c r="S169" s="999">
        <f>NOMINA!AJ148</f>
        <v>39.24</v>
      </c>
      <c r="T169" s="986">
        <f t="shared" si="23"/>
        <v>0</v>
      </c>
      <c r="U169" s="999">
        <f>ROUND(NOMINA!BL148,2)</f>
        <v>17.38</v>
      </c>
      <c r="V169" s="999">
        <f>ROUND(NOMINA!BM148,2)</f>
        <v>2.17</v>
      </c>
      <c r="W169" s="999">
        <f>ROUND(+NOMINA!BN148,2)</f>
        <v>4.71</v>
      </c>
      <c r="X169" s="999">
        <f>ROUND(NOMINA!BO148,2)</f>
        <v>0</v>
      </c>
      <c r="Y169" s="999">
        <f>ROUND(NOMINA!BP148,2)</f>
        <v>0</v>
      </c>
      <c r="Z169" s="986">
        <f t="shared" si="24"/>
        <v>20.81</v>
      </c>
      <c r="AA169" s="999">
        <f>ROUND(NOMINA!BK148,2)</f>
        <v>0</v>
      </c>
      <c r="AB169" s="866">
        <f t="shared" si="25"/>
        <v>223.66000000000003</v>
      </c>
    </row>
    <row r="170" spans="1:28" s="629" customFormat="1" ht="20.100000000000001" customHeight="1" thickBot="1">
      <c r="A170" s="770" t="s">
        <v>2846</v>
      </c>
      <c r="B170" s="510">
        <f t="shared" ca="1" si="26"/>
        <v>107</v>
      </c>
      <c r="C170" s="980">
        <f>+NOMINA!C149</f>
        <v>14598170</v>
      </c>
      <c r="D170" s="981" t="str">
        <f>+NOMINA!D149</f>
        <v>Rendon Utrilla Gerson Paul</v>
      </c>
      <c r="E170" s="978" t="s">
        <v>4622</v>
      </c>
      <c r="F170" s="1006">
        <v>27853</v>
      </c>
      <c r="G170" s="978" t="s">
        <v>4620</v>
      </c>
      <c r="H170" s="1007">
        <f>+NOMINA!H149</f>
        <v>43435</v>
      </c>
      <c r="I170" s="984">
        <f>+NOMINA!I149</f>
        <v>6</v>
      </c>
      <c r="J170" s="985">
        <f>+NOMINA!J149</f>
        <v>0</v>
      </c>
      <c r="K170" s="984">
        <f t="shared" si="22"/>
        <v>6</v>
      </c>
      <c r="L170" s="985" t="s">
        <v>4932</v>
      </c>
      <c r="M170" s="985"/>
      <c r="N170" s="1002" t="str">
        <f>+NOMINA!O149</f>
        <v>Tutor Facilitador III</v>
      </c>
      <c r="O170" s="999">
        <f>ROUND(NOMINA!W149,2)</f>
        <v>139.5</v>
      </c>
      <c r="P170" s="999">
        <f>NOMINA!AF149</f>
        <v>8.65</v>
      </c>
      <c r="Q170" s="999">
        <f>NOMINA!AH149</f>
        <v>65</v>
      </c>
      <c r="R170" s="999">
        <f>NOMINA!AC149</f>
        <v>12.5</v>
      </c>
      <c r="S170" s="999">
        <f>NOMINA!AJ149</f>
        <v>54.85</v>
      </c>
      <c r="T170" s="986">
        <f t="shared" si="23"/>
        <v>189.03000000000003</v>
      </c>
      <c r="U170" s="999">
        <f>ROUND(NOMINA!BL149,2)</f>
        <v>20.25</v>
      </c>
      <c r="V170" s="999">
        <f>ROUND(NOMINA!BM149,2)</f>
        <v>2.5299999999999998</v>
      </c>
      <c r="W170" s="999">
        <f>ROUND(+NOMINA!BN149,2)</f>
        <v>5.49</v>
      </c>
      <c r="X170" s="999">
        <f>ROUND(NOMINA!BO149,2)</f>
        <v>0</v>
      </c>
      <c r="Y170" s="999">
        <f>ROUND(NOMINA!BP149,2)</f>
        <v>0</v>
      </c>
      <c r="Z170" s="986">
        <f t="shared" si="24"/>
        <v>0</v>
      </c>
      <c r="AA170" s="999">
        <f>ROUND(NOMINA!BK149,2)</f>
        <v>0</v>
      </c>
      <c r="AB170" s="866">
        <f t="shared" si="25"/>
        <v>252.23</v>
      </c>
    </row>
    <row r="171" spans="1:28" s="629" customFormat="1" ht="20.100000000000001" customHeight="1" thickBot="1">
      <c r="A171" s="770" t="s">
        <v>2846</v>
      </c>
      <c r="B171" s="510">
        <f t="shared" ca="1" si="26"/>
        <v>108</v>
      </c>
      <c r="C171" s="980">
        <f>+NOMINA!C150</f>
        <v>14598687</v>
      </c>
      <c r="D171" s="981" t="str">
        <f>+NOMINA!D150</f>
        <v>Godoy Bracamonte Juan Carlos</v>
      </c>
      <c r="E171" s="978" t="s">
        <v>4622</v>
      </c>
      <c r="F171" s="1006">
        <v>27853</v>
      </c>
      <c r="G171" s="978" t="s">
        <v>4620</v>
      </c>
      <c r="H171" s="1007">
        <f>+NOMINA!H150</f>
        <v>44332</v>
      </c>
      <c r="I171" s="984">
        <f>+NOMINA!I150</f>
        <v>3</v>
      </c>
      <c r="J171" s="985">
        <f>+NOMINA!J150</f>
        <v>0</v>
      </c>
      <c r="K171" s="984">
        <f t="shared" si="22"/>
        <v>3</v>
      </c>
      <c r="L171" s="985" t="s">
        <v>4932</v>
      </c>
      <c r="M171" s="985"/>
      <c r="N171" s="1002" t="str">
        <f>+NOMINA!O150</f>
        <v>Entrenador Deportivo IV</v>
      </c>
      <c r="O171" s="999">
        <f>ROUND(NOMINA!W150,2)</f>
        <v>153.5</v>
      </c>
      <c r="P171" s="999">
        <f>NOMINA!AF150</f>
        <v>4.6100000000000003</v>
      </c>
      <c r="Q171" s="999">
        <f>NOMINA!AH150</f>
        <v>65</v>
      </c>
      <c r="R171" s="999">
        <f>NOMINA!AC150</f>
        <v>12.5</v>
      </c>
      <c r="S171" s="999">
        <f>NOMINA!AJ150</f>
        <v>80.28</v>
      </c>
      <c r="T171" s="986">
        <f t="shared" si="23"/>
        <v>141.04</v>
      </c>
      <c r="U171" s="999">
        <f>ROUND(NOMINA!BL150,2)</f>
        <v>22.86</v>
      </c>
      <c r="V171" s="999">
        <f>ROUND(NOMINA!BM150,2)</f>
        <v>2.86</v>
      </c>
      <c r="W171" s="999">
        <f>ROUND(+NOMINA!BN150,2)</f>
        <v>6.19</v>
      </c>
      <c r="X171" s="999">
        <f>ROUND(NOMINA!BO150,2)</f>
        <v>0</v>
      </c>
      <c r="Y171" s="999">
        <f>ROUND(NOMINA!BP150,2)</f>
        <v>0</v>
      </c>
      <c r="Z171" s="986">
        <f t="shared" si="24"/>
        <v>34.93</v>
      </c>
      <c r="AA171" s="999">
        <f>ROUND(NOMINA!BK150,2)</f>
        <v>0</v>
      </c>
      <c r="AB171" s="866">
        <f t="shared" si="25"/>
        <v>283.97999999999996</v>
      </c>
    </row>
    <row r="172" spans="1:28" s="629" customFormat="1" ht="20.100000000000001" customHeight="1" thickBot="1">
      <c r="A172" s="770" t="s">
        <v>2846</v>
      </c>
      <c r="B172" s="510">
        <f t="shared" ca="1" si="26"/>
        <v>109</v>
      </c>
      <c r="C172" s="980">
        <f>+NOMINA!C151</f>
        <v>14719639</v>
      </c>
      <c r="D172" s="981" t="str">
        <f>+NOMINA!D151</f>
        <v xml:space="preserve">Coy de Dorante Sandra Liliana </v>
      </c>
      <c r="E172" s="978" t="s">
        <v>4622</v>
      </c>
      <c r="F172" s="1006">
        <v>27853</v>
      </c>
      <c r="G172" s="978" t="s">
        <v>4620</v>
      </c>
      <c r="H172" s="1007">
        <f>+NOMINA!H151</f>
        <v>44896</v>
      </c>
      <c r="I172" s="984">
        <f>+NOMINA!I151</f>
        <v>2</v>
      </c>
      <c r="J172" s="985">
        <f>+NOMINA!J151</f>
        <v>0</v>
      </c>
      <c r="K172" s="984">
        <f t="shared" si="22"/>
        <v>2</v>
      </c>
      <c r="L172" s="985" t="s">
        <v>4932</v>
      </c>
      <c r="M172" s="985"/>
      <c r="N172" s="1002" t="str">
        <f>+NOMINA!O151</f>
        <v>Guia de Centro I</v>
      </c>
      <c r="O172" s="999">
        <f>ROUND(NOMINA!W151,2)</f>
        <v>65</v>
      </c>
      <c r="P172" s="999">
        <f>NOMINA!AF151</f>
        <v>1.3</v>
      </c>
      <c r="Q172" s="999">
        <f>NOMINA!AH151</f>
        <v>65</v>
      </c>
      <c r="R172" s="999">
        <f>NOMINA!AC151</f>
        <v>25</v>
      </c>
      <c r="S172" s="999">
        <f>NOMINA!AJ151</f>
        <v>0</v>
      </c>
      <c r="T172" s="986">
        <f t="shared" si="23"/>
        <v>65</v>
      </c>
      <c r="U172" s="999">
        <f>ROUND(NOMINA!BL151,2)</f>
        <v>13.8</v>
      </c>
      <c r="V172" s="999">
        <f>ROUND(NOMINA!BM151,2)</f>
        <v>1.73</v>
      </c>
      <c r="W172" s="999">
        <f>ROUND(+NOMINA!BN151,2)</f>
        <v>3.74</v>
      </c>
      <c r="X172" s="999">
        <f>ROUND(NOMINA!BO151,2)</f>
        <v>0</v>
      </c>
      <c r="Y172" s="999">
        <f>ROUND(NOMINA!BP151,2)</f>
        <v>0</v>
      </c>
      <c r="Z172" s="986">
        <f t="shared" si="24"/>
        <v>15.46</v>
      </c>
      <c r="AA172" s="999">
        <f>ROUND(NOMINA!BK151,2)</f>
        <v>0</v>
      </c>
      <c r="AB172" s="866">
        <f t="shared" si="25"/>
        <v>137.03</v>
      </c>
    </row>
    <row r="173" spans="1:28" s="629" customFormat="1" ht="20.100000000000001" customHeight="1" thickBot="1">
      <c r="A173" s="770" t="s">
        <v>2846</v>
      </c>
      <c r="B173" s="510">
        <f t="shared" ca="1" si="26"/>
        <v>110</v>
      </c>
      <c r="C173" s="980">
        <f>+NOMINA!C152</f>
        <v>14739168</v>
      </c>
      <c r="D173" s="981" t="str">
        <f>+NOMINA!D152</f>
        <v>Briceño Hernandez Yeny Del Carmen</v>
      </c>
      <c r="E173" s="978" t="s">
        <v>4622</v>
      </c>
      <c r="F173" s="1006">
        <v>27853</v>
      </c>
      <c r="G173" s="978" t="s">
        <v>4620</v>
      </c>
      <c r="H173" s="1007">
        <f>+NOMINA!H152</f>
        <v>38841</v>
      </c>
      <c r="I173" s="984">
        <f>+NOMINA!I152</f>
        <v>18</v>
      </c>
      <c r="J173" s="985">
        <f>+NOMINA!J152</f>
        <v>0</v>
      </c>
      <c r="K173" s="984">
        <f t="shared" si="22"/>
        <v>18</v>
      </c>
      <c r="L173" s="985" t="s">
        <v>4932</v>
      </c>
      <c r="M173" s="985"/>
      <c r="N173" s="1002" t="str">
        <f>+NOMINA!O152</f>
        <v>Trabajador Social III</v>
      </c>
      <c r="O173" s="999">
        <f>ROUND(NOMINA!W152,2)</f>
        <v>114</v>
      </c>
      <c r="P173" s="999">
        <f>NOMINA!AF152</f>
        <v>25.99</v>
      </c>
      <c r="Q173" s="999">
        <f>NOMINA!AH152</f>
        <v>65</v>
      </c>
      <c r="R173" s="999">
        <f>NOMINA!AC152</f>
        <v>12.5</v>
      </c>
      <c r="S173" s="999">
        <f>NOMINA!AJ152</f>
        <v>42.25</v>
      </c>
      <c r="T173" s="986">
        <f t="shared" si="23"/>
        <v>124.54</v>
      </c>
      <c r="U173" s="999">
        <f>ROUND(NOMINA!BL152,2)</f>
        <v>18.72</v>
      </c>
      <c r="V173" s="999">
        <f>ROUND(NOMINA!BM152,2)</f>
        <v>2.34</v>
      </c>
      <c r="W173" s="999">
        <f>ROUND(+NOMINA!BN152,2)</f>
        <v>5.07</v>
      </c>
      <c r="X173" s="999">
        <f>ROUND(NOMINA!BO152,2)</f>
        <v>0</v>
      </c>
      <c r="Y173" s="999">
        <f>ROUND(NOMINA!BP152,2)</f>
        <v>0</v>
      </c>
      <c r="Z173" s="986">
        <f t="shared" si="24"/>
        <v>27.61</v>
      </c>
      <c r="AA173" s="999">
        <f>ROUND(NOMINA!BK152,2)</f>
        <v>0</v>
      </c>
      <c r="AB173" s="866">
        <f t="shared" si="25"/>
        <v>233.61</v>
      </c>
    </row>
    <row r="174" spans="1:28" s="629" customFormat="1" ht="20.100000000000001" customHeight="1" thickBot="1">
      <c r="A174" s="770" t="s">
        <v>2846</v>
      </c>
      <c r="B174" s="510">
        <f t="shared" ca="1" si="26"/>
        <v>111</v>
      </c>
      <c r="C174" s="980">
        <f>+NOMINA!C153</f>
        <v>14928034</v>
      </c>
      <c r="D174" s="981" t="str">
        <f>+NOMINA!D153</f>
        <v>Ramirez Palomares Mariana Teresa</v>
      </c>
      <c r="E174" s="978" t="s">
        <v>4622</v>
      </c>
      <c r="F174" s="1006">
        <v>27853</v>
      </c>
      <c r="G174" s="978" t="s">
        <v>4620</v>
      </c>
      <c r="H174" s="1007">
        <f>+NOMINA!H153</f>
        <v>44302</v>
      </c>
      <c r="I174" s="984">
        <f>+NOMINA!I153</f>
        <v>3</v>
      </c>
      <c r="J174" s="985">
        <f>+NOMINA!J153</f>
        <v>11</v>
      </c>
      <c r="K174" s="984">
        <f t="shared" si="22"/>
        <v>14</v>
      </c>
      <c r="L174" s="985" t="s">
        <v>4932</v>
      </c>
      <c r="M174" s="985"/>
      <c r="N174" s="1002" t="str">
        <f>+NOMINA!O153</f>
        <v>Promotor Cultural I</v>
      </c>
      <c r="O174" s="999">
        <f>ROUND(NOMINA!W153,2)</f>
        <v>87</v>
      </c>
      <c r="P174" s="999">
        <f>NOMINA!AF153</f>
        <v>14.44</v>
      </c>
      <c r="Q174" s="999">
        <f>NOMINA!AH153</f>
        <v>65</v>
      </c>
      <c r="R174" s="999">
        <f>NOMINA!AC153</f>
        <v>0</v>
      </c>
      <c r="S174" s="999">
        <f>NOMINA!AJ153</f>
        <v>0</v>
      </c>
      <c r="T174" s="986">
        <f t="shared" si="23"/>
        <v>125.26</v>
      </c>
      <c r="U174" s="999">
        <f>ROUND(NOMINA!BL153,2)</f>
        <v>12.29</v>
      </c>
      <c r="V174" s="999">
        <f>ROUND(NOMINA!BM153,2)</f>
        <v>1.54</v>
      </c>
      <c r="W174" s="999">
        <f>ROUND(+NOMINA!BN153,2)</f>
        <v>3.33</v>
      </c>
      <c r="X174" s="999">
        <f>ROUND(NOMINA!BO153,2)</f>
        <v>0</v>
      </c>
      <c r="Y174" s="999">
        <f>ROUND(NOMINA!BP153,2)</f>
        <v>0</v>
      </c>
      <c r="Z174" s="986">
        <f t="shared" si="24"/>
        <v>32.409999999999997</v>
      </c>
      <c r="AA174" s="999">
        <f>ROUND(NOMINA!BK153,2)</f>
        <v>0</v>
      </c>
      <c r="AB174" s="866">
        <f t="shared" si="25"/>
        <v>149.28</v>
      </c>
    </row>
    <row r="175" spans="1:28" s="629" customFormat="1" ht="20.100000000000001" customHeight="1" thickBot="1">
      <c r="A175" s="770" t="s">
        <v>2846</v>
      </c>
      <c r="B175" s="510">
        <f t="shared" ca="1" si="26"/>
        <v>112</v>
      </c>
      <c r="C175" s="980">
        <f>+NOMINA!C154</f>
        <v>14928260</v>
      </c>
      <c r="D175" s="981" t="str">
        <f>+NOMINA!D154</f>
        <v>Rivas Ana Lucila</v>
      </c>
      <c r="E175" s="978" t="s">
        <v>4622</v>
      </c>
      <c r="F175" s="1006">
        <v>27853</v>
      </c>
      <c r="G175" s="978" t="s">
        <v>4620</v>
      </c>
      <c r="H175" s="1007">
        <f>+NOMINA!H154</f>
        <v>39104</v>
      </c>
      <c r="I175" s="984">
        <f>+NOMINA!I154</f>
        <v>18</v>
      </c>
      <c r="J175" s="985">
        <f>+NOMINA!J154</f>
        <v>0</v>
      </c>
      <c r="K175" s="984">
        <f t="shared" si="22"/>
        <v>18</v>
      </c>
      <c r="L175" s="985" t="s">
        <v>4932</v>
      </c>
      <c r="M175" s="985"/>
      <c r="N175" s="1002" t="str">
        <f>+NOMINA!O154</f>
        <v>Tutor Facilitador I</v>
      </c>
      <c r="O175" s="999">
        <f>ROUND(NOMINA!W154,2)</f>
        <v>114</v>
      </c>
      <c r="P175" s="999">
        <f>NOMINA!AF154</f>
        <v>25.99</v>
      </c>
      <c r="Q175" s="999">
        <f>NOMINA!AH154</f>
        <v>65</v>
      </c>
      <c r="R175" s="999">
        <f>NOMINA!AC154</f>
        <v>12.5</v>
      </c>
      <c r="S175" s="999">
        <f>NOMINA!AJ154</f>
        <v>42.25</v>
      </c>
      <c r="T175" s="986">
        <f t="shared" si="23"/>
        <v>105.16</v>
      </c>
      <c r="U175" s="999">
        <f>ROUND(NOMINA!BL154,2)</f>
        <v>18.72</v>
      </c>
      <c r="V175" s="999">
        <f>ROUND(NOMINA!BM154,2)</f>
        <v>2.34</v>
      </c>
      <c r="W175" s="999">
        <f>ROUND(+NOMINA!BN154,2)</f>
        <v>5.07</v>
      </c>
      <c r="X175" s="999">
        <f>ROUND(NOMINA!BO154,2)</f>
        <v>0</v>
      </c>
      <c r="Y175" s="999">
        <f>ROUND(NOMINA!BP154,2)</f>
        <v>0</v>
      </c>
      <c r="Z175" s="986">
        <f t="shared" si="24"/>
        <v>30.36</v>
      </c>
      <c r="AA175" s="999">
        <f>ROUND(NOMINA!BK154,2)</f>
        <v>0</v>
      </c>
      <c r="AB175" s="866">
        <f t="shared" si="25"/>
        <v>233.61</v>
      </c>
    </row>
    <row r="176" spans="1:28" s="629" customFormat="1" ht="20.100000000000001" customHeight="1" thickBot="1">
      <c r="A176" s="770" t="s">
        <v>2846</v>
      </c>
      <c r="B176" s="510">
        <f t="shared" ca="1" si="26"/>
        <v>113</v>
      </c>
      <c r="C176" s="980">
        <f>+NOMINA!C155</f>
        <v>14929642</v>
      </c>
      <c r="D176" s="981" t="str">
        <f>+NOMINA!D155</f>
        <v>Alvarran Arjona Ismenia Del Carmen</v>
      </c>
      <c r="E176" s="978" t="s">
        <v>4622</v>
      </c>
      <c r="F176" s="1006">
        <v>27853</v>
      </c>
      <c r="G176" s="978" t="s">
        <v>4620</v>
      </c>
      <c r="H176" s="1007">
        <f>+NOMINA!H155</f>
        <v>43419</v>
      </c>
      <c r="I176" s="984">
        <f>+NOMINA!I155</f>
        <v>6</v>
      </c>
      <c r="J176" s="985">
        <f>+NOMINA!J155</f>
        <v>0</v>
      </c>
      <c r="K176" s="984">
        <f t="shared" si="22"/>
        <v>6</v>
      </c>
      <c r="L176" s="985" t="s">
        <v>4932</v>
      </c>
      <c r="M176" s="985"/>
      <c r="N176" s="1002" t="str">
        <f>+NOMINA!O155</f>
        <v>GUIA DE CENTRO II</v>
      </c>
      <c r="O176" s="999">
        <f>ROUND(NOMINA!W155,2)</f>
        <v>110.5</v>
      </c>
      <c r="P176" s="999">
        <f>NOMINA!AF155</f>
        <v>6.85</v>
      </c>
      <c r="Q176" s="999">
        <f>NOMINA!AH155</f>
        <v>65</v>
      </c>
      <c r="R176" s="999">
        <f>NOMINA!AC155</f>
        <v>12.5</v>
      </c>
      <c r="S176" s="999">
        <f>NOMINA!AJ155</f>
        <v>37.72</v>
      </c>
      <c r="T176" s="986">
        <f t="shared" si="23"/>
        <v>70.27</v>
      </c>
      <c r="U176" s="999">
        <f>ROUND(NOMINA!BL155,2)</f>
        <v>21.73</v>
      </c>
      <c r="V176" s="999">
        <f>ROUND(NOMINA!BM155,2)</f>
        <v>2.72</v>
      </c>
      <c r="W176" s="999">
        <f>ROUND(+NOMINA!BN155,2)</f>
        <v>5.88</v>
      </c>
      <c r="X176" s="999">
        <f>ROUND(NOMINA!BO155,2)</f>
        <v>0</v>
      </c>
      <c r="Y176" s="999">
        <f>ROUND(NOMINA!BP155,2)</f>
        <v>0</v>
      </c>
      <c r="Z176" s="986">
        <f t="shared" si="24"/>
        <v>28.72</v>
      </c>
      <c r="AA176" s="999">
        <f>ROUND(NOMINA!BK155,2)</f>
        <v>0</v>
      </c>
      <c r="AB176" s="866">
        <f t="shared" si="25"/>
        <v>202.24</v>
      </c>
    </row>
    <row r="177" spans="1:28" s="629" customFormat="1" ht="20.100000000000001" customHeight="1" thickBot="1">
      <c r="A177" s="770" t="s">
        <v>2846</v>
      </c>
      <c r="B177" s="510">
        <f t="shared" ca="1" si="26"/>
        <v>114</v>
      </c>
      <c r="C177" s="980">
        <f>+NOMINA!C156</f>
        <v>14986675</v>
      </c>
      <c r="D177" s="981" t="str">
        <f>+NOMINA!D156</f>
        <v>Mecias Nuñez Shirly Ygnacia</v>
      </c>
      <c r="E177" s="978" t="s">
        <v>4622</v>
      </c>
      <c r="F177" s="1006">
        <v>27853</v>
      </c>
      <c r="G177" s="978" t="s">
        <v>4620</v>
      </c>
      <c r="H177" s="1007">
        <f>+NOMINA!H156</f>
        <v>44805</v>
      </c>
      <c r="I177" s="984">
        <f>+NOMINA!I156</f>
        <v>2</v>
      </c>
      <c r="J177" s="985">
        <f>+NOMINA!J156</f>
        <v>0</v>
      </c>
      <c r="K177" s="984">
        <f t="shared" si="22"/>
        <v>2</v>
      </c>
      <c r="L177" s="985" t="s">
        <v>4932</v>
      </c>
      <c r="M177" s="985"/>
      <c r="N177" s="1002" t="str">
        <f>+NOMINA!O156</f>
        <v>Tutor Facilitador I</v>
      </c>
      <c r="O177" s="999">
        <f>ROUND(NOMINA!W156,2)</f>
        <v>123</v>
      </c>
      <c r="P177" s="999">
        <f>NOMINA!AF156</f>
        <v>2.46</v>
      </c>
      <c r="Q177" s="999">
        <f>NOMINA!AH156</f>
        <v>65</v>
      </c>
      <c r="R177" s="999">
        <f>NOMINA!AC156</f>
        <v>25</v>
      </c>
      <c r="S177" s="999">
        <f>NOMINA!AJ156</f>
        <v>50.74</v>
      </c>
      <c r="T177" s="986">
        <f t="shared" si="23"/>
        <v>0</v>
      </c>
      <c r="U177" s="999">
        <f>ROUND(NOMINA!BL156,2)</f>
        <v>18.73</v>
      </c>
      <c r="V177" s="999">
        <f>ROUND(NOMINA!BM156,2)</f>
        <v>2.34</v>
      </c>
      <c r="W177" s="999">
        <f>ROUND(+NOMINA!BN156,2)</f>
        <v>5.07</v>
      </c>
      <c r="X177" s="999">
        <f>ROUND(NOMINA!BO156,2)</f>
        <v>0</v>
      </c>
      <c r="Y177" s="999">
        <f>ROUND(NOMINA!BP156,2)</f>
        <v>0</v>
      </c>
      <c r="Z177" s="986">
        <f t="shared" si="24"/>
        <v>0</v>
      </c>
      <c r="AA177" s="999">
        <f>ROUND(NOMINA!BK156,2)</f>
        <v>0</v>
      </c>
      <c r="AB177" s="866">
        <f t="shared" si="25"/>
        <v>240.06</v>
      </c>
    </row>
    <row r="178" spans="1:28" s="629" customFormat="1" ht="20.100000000000001" customHeight="1" thickBot="1">
      <c r="A178" s="770" t="s">
        <v>2846</v>
      </c>
      <c r="B178" s="510">
        <f t="shared" ca="1" si="26"/>
        <v>115</v>
      </c>
      <c r="C178" s="980">
        <f>+NOMINA!C157</f>
        <v>15188927</v>
      </c>
      <c r="D178" s="981" t="str">
        <f>+NOMINA!D157</f>
        <v>Linares Villarreal Rosmely del Carmen</v>
      </c>
      <c r="E178" s="978" t="s">
        <v>4622</v>
      </c>
      <c r="F178" s="1006">
        <v>27853</v>
      </c>
      <c r="G178" s="978" t="s">
        <v>4620</v>
      </c>
      <c r="H178" s="1007">
        <f>+NOMINA!H157</f>
        <v>44409</v>
      </c>
      <c r="I178" s="984">
        <f>+NOMINA!I157</f>
        <v>3</v>
      </c>
      <c r="J178" s="985">
        <f>+NOMINA!J157</f>
        <v>0</v>
      </c>
      <c r="K178" s="984">
        <f t="shared" si="22"/>
        <v>3</v>
      </c>
      <c r="L178" s="985" t="s">
        <v>4932</v>
      </c>
      <c r="M178" s="985"/>
      <c r="N178" s="1002" t="str">
        <f>+NOMINA!O157</f>
        <v>Guia de Centro II</v>
      </c>
      <c r="O178" s="999">
        <f>ROUND(NOMINA!W157,2)</f>
        <v>75</v>
      </c>
      <c r="P178" s="999">
        <f>NOMINA!AF157</f>
        <v>2.25</v>
      </c>
      <c r="Q178" s="999">
        <f>NOMINA!AH157</f>
        <v>65</v>
      </c>
      <c r="R178" s="999">
        <f>NOMINA!AC157</f>
        <v>25</v>
      </c>
      <c r="S178" s="999">
        <f>NOMINA!AJ157</f>
        <v>0</v>
      </c>
      <c r="T178" s="986">
        <f t="shared" si="23"/>
        <v>189.05</v>
      </c>
      <c r="U178" s="999">
        <f>ROUND(NOMINA!BL157,2)</f>
        <v>14.86</v>
      </c>
      <c r="V178" s="999">
        <f>ROUND(NOMINA!BM157,2)</f>
        <v>1.86</v>
      </c>
      <c r="W178" s="999">
        <f>ROUND(+NOMINA!BN157,2)</f>
        <v>4.0199999999999996</v>
      </c>
      <c r="X178" s="999">
        <f>ROUND(NOMINA!BO157,2)</f>
        <v>0</v>
      </c>
      <c r="Y178" s="999">
        <f>ROUND(NOMINA!BP157,2)</f>
        <v>0</v>
      </c>
      <c r="Z178" s="986">
        <f t="shared" si="24"/>
        <v>24.73</v>
      </c>
      <c r="AA178" s="999">
        <f>ROUND(NOMINA!BK157,2)</f>
        <v>0</v>
      </c>
      <c r="AB178" s="866">
        <f t="shared" si="25"/>
        <v>146.51</v>
      </c>
    </row>
    <row r="179" spans="1:28" s="629" customFormat="1" ht="20.100000000000001" customHeight="1" thickBot="1">
      <c r="A179" s="770" t="s">
        <v>2846</v>
      </c>
      <c r="B179" s="510">
        <f t="shared" ca="1" si="26"/>
        <v>116</v>
      </c>
      <c r="C179" s="980">
        <f>+NOMINA!C158</f>
        <v>15560762</v>
      </c>
      <c r="D179" s="981" t="str">
        <f>+NOMINA!D158</f>
        <v>Villalobos Javier Jose</v>
      </c>
      <c r="E179" s="978" t="s">
        <v>4622</v>
      </c>
      <c r="F179" s="1006">
        <v>27853</v>
      </c>
      <c r="G179" s="978" t="s">
        <v>4620</v>
      </c>
      <c r="H179" s="1007">
        <f>+NOMINA!H158</f>
        <v>45474</v>
      </c>
      <c r="I179" s="984">
        <f>+NOMINA!I158</f>
        <v>0</v>
      </c>
      <c r="J179" s="985">
        <f>+NOMINA!J158</f>
        <v>0</v>
      </c>
      <c r="K179" s="984">
        <f t="shared" si="22"/>
        <v>0</v>
      </c>
      <c r="L179" s="985" t="s">
        <v>4932</v>
      </c>
      <c r="M179" s="985"/>
      <c r="N179" s="1002" t="str">
        <f>+NOMINA!O158</f>
        <v>Entrenador Deportivo IV</v>
      </c>
      <c r="O179" s="999">
        <f>ROUND(NOMINA!W158,2)</f>
        <v>123</v>
      </c>
      <c r="P179" s="999">
        <f>NOMINA!AF158</f>
        <v>0</v>
      </c>
      <c r="Q179" s="999">
        <f>NOMINA!AH158</f>
        <v>65</v>
      </c>
      <c r="R179" s="999">
        <f>NOMINA!AC158</f>
        <v>12.5</v>
      </c>
      <c r="S179" s="999">
        <f>NOMINA!AJ158</f>
        <v>48.57</v>
      </c>
      <c r="T179" s="986">
        <f t="shared" si="23"/>
        <v>81.25</v>
      </c>
      <c r="U179" s="999">
        <f>ROUND(NOMINA!BL158,2)</f>
        <v>17.93</v>
      </c>
      <c r="V179" s="999">
        <f>ROUND(NOMINA!BM158,2)</f>
        <v>2.2400000000000002</v>
      </c>
      <c r="W179" s="999">
        <f>ROUND(+NOMINA!BN158,2)</f>
        <v>4.8600000000000003</v>
      </c>
      <c r="X179" s="999">
        <f>ROUND(NOMINA!BO158,2)</f>
        <v>0</v>
      </c>
      <c r="Y179" s="999">
        <f>ROUND(NOMINA!BP158,2)</f>
        <v>0</v>
      </c>
      <c r="Z179" s="986">
        <f t="shared" si="24"/>
        <v>32.979999999999997</v>
      </c>
      <c r="AA179" s="999">
        <f>ROUND(NOMINA!BK158,2)</f>
        <v>0</v>
      </c>
      <c r="AB179" s="866">
        <f t="shared" si="25"/>
        <v>224.04</v>
      </c>
    </row>
    <row r="180" spans="1:28" s="629" customFormat="1" ht="20.100000000000001" customHeight="1" thickBot="1">
      <c r="A180" s="770" t="s">
        <v>2846</v>
      </c>
      <c r="B180" s="510">
        <f t="shared" ca="1" si="26"/>
        <v>117</v>
      </c>
      <c r="C180" s="980">
        <f>+NOMINA!C159</f>
        <v>15583745</v>
      </c>
      <c r="D180" s="981" t="str">
        <f>+NOMINA!D159</f>
        <v>Briceño Araujo Alexander Javier</v>
      </c>
      <c r="E180" s="978" t="s">
        <v>4622</v>
      </c>
      <c r="F180" s="1006">
        <v>27853</v>
      </c>
      <c r="G180" s="978" t="s">
        <v>4620</v>
      </c>
      <c r="H180" s="1007">
        <f>+NOMINA!H159</f>
        <v>43481</v>
      </c>
      <c r="I180" s="984">
        <f>+NOMINA!I159</f>
        <v>6</v>
      </c>
      <c r="J180" s="985">
        <f>+NOMINA!J159</f>
        <v>0</v>
      </c>
      <c r="K180" s="984">
        <f t="shared" si="22"/>
        <v>6</v>
      </c>
      <c r="L180" s="985" t="s">
        <v>4932</v>
      </c>
      <c r="M180" s="985"/>
      <c r="N180" s="1002" t="str">
        <f>+NOMINA!O159</f>
        <v>Administrador II</v>
      </c>
      <c r="O180" s="999">
        <f>ROUND(NOMINA!W159,2)</f>
        <v>139.5</v>
      </c>
      <c r="P180" s="999">
        <f>NOMINA!AF159</f>
        <v>8.65</v>
      </c>
      <c r="Q180" s="999">
        <f>NOMINA!AH159</f>
        <v>65</v>
      </c>
      <c r="R180" s="999">
        <f>NOMINA!AC159</f>
        <v>0</v>
      </c>
      <c r="S180" s="999">
        <f>NOMINA!AJ159</f>
        <v>53.29</v>
      </c>
      <c r="T180" s="986">
        <f t="shared" si="23"/>
        <v>166.32999999999998</v>
      </c>
      <c r="U180" s="999">
        <f>ROUND(NOMINA!BL159,2)</f>
        <v>19.68</v>
      </c>
      <c r="V180" s="999">
        <f>ROUND(NOMINA!BM159,2)</f>
        <v>2.46</v>
      </c>
      <c r="W180" s="999">
        <f>ROUND(+NOMINA!BN159,2)</f>
        <v>5.33</v>
      </c>
      <c r="X180" s="999">
        <f>ROUND(NOMINA!BO159,2)</f>
        <v>0</v>
      </c>
      <c r="Y180" s="999">
        <f>ROUND(NOMINA!BP159,2)</f>
        <v>0</v>
      </c>
      <c r="Z180" s="986">
        <f t="shared" si="24"/>
        <v>30.85</v>
      </c>
      <c r="AA180" s="999">
        <f>ROUND(NOMINA!BK159,2)</f>
        <v>0</v>
      </c>
      <c r="AB180" s="866">
        <f t="shared" si="25"/>
        <v>238.97</v>
      </c>
    </row>
    <row r="181" spans="1:28" s="629" customFormat="1" ht="20.100000000000001" customHeight="1" thickBot="1">
      <c r="A181" s="770" t="s">
        <v>2846</v>
      </c>
      <c r="B181" s="510">
        <f t="shared" ca="1" si="26"/>
        <v>118</v>
      </c>
      <c r="C181" s="980">
        <f>+NOMINA!C160</f>
        <v>15588470</v>
      </c>
      <c r="D181" s="981" t="str">
        <f>+NOMINA!D160</f>
        <v>Briceño Lozada Maraiby Coromoto</v>
      </c>
      <c r="E181" s="978" t="s">
        <v>4622</v>
      </c>
      <c r="F181" s="1006">
        <v>27853</v>
      </c>
      <c r="G181" s="978" t="s">
        <v>4620</v>
      </c>
      <c r="H181" s="1007">
        <f>+NOMINA!H160</f>
        <v>39098</v>
      </c>
      <c r="I181" s="984">
        <f>+NOMINA!I160</f>
        <v>18</v>
      </c>
      <c r="J181" s="985">
        <f>+NOMINA!J160</f>
        <v>0</v>
      </c>
      <c r="K181" s="984">
        <f t="shared" si="22"/>
        <v>18</v>
      </c>
      <c r="L181" s="985" t="s">
        <v>4932</v>
      </c>
      <c r="M181" s="985"/>
      <c r="N181" s="1002" t="str">
        <f>+NOMINA!O160</f>
        <v>Trabajador Social II</v>
      </c>
      <c r="O181" s="999">
        <f>ROUND(NOMINA!W160,2)</f>
        <v>114</v>
      </c>
      <c r="P181" s="999">
        <f>NOMINA!AF160</f>
        <v>25.99</v>
      </c>
      <c r="Q181" s="999">
        <f>NOMINA!AH160</f>
        <v>65</v>
      </c>
      <c r="R181" s="999">
        <f>NOMINA!AC160</f>
        <v>12.5</v>
      </c>
      <c r="S181" s="999">
        <f>NOMINA!AJ160</f>
        <v>42.25</v>
      </c>
      <c r="T181" s="986">
        <f t="shared" si="23"/>
        <v>170.94</v>
      </c>
      <c r="U181" s="999">
        <f>ROUND(NOMINA!BL160,2)</f>
        <v>18.72</v>
      </c>
      <c r="V181" s="999">
        <f>ROUND(NOMINA!BM160,2)</f>
        <v>2.34</v>
      </c>
      <c r="W181" s="999">
        <f>ROUND(+NOMINA!BN160,2)</f>
        <v>5.07</v>
      </c>
      <c r="X181" s="999">
        <f>ROUND(NOMINA!BO160,2)</f>
        <v>0</v>
      </c>
      <c r="Y181" s="999">
        <f>ROUND(NOMINA!BP160,2)</f>
        <v>0</v>
      </c>
      <c r="Z181" s="986">
        <f t="shared" si="24"/>
        <v>26.35</v>
      </c>
      <c r="AA181" s="999">
        <f>ROUND(NOMINA!BK160,2)</f>
        <v>0</v>
      </c>
      <c r="AB181" s="866">
        <f t="shared" si="25"/>
        <v>233.61</v>
      </c>
    </row>
    <row r="182" spans="1:28" s="629" customFormat="1" ht="20.100000000000001" customHeight="1" thickBot="1">
      <c r="A182" s="770" t="s">
        <v>2846</v>
      </c>
      <c r="B182" s="510">
        <f t="shared" ca="1" si="26"/>
        <v>119</v>
      </c>
      <c r="C182" s="980">
        <f>+NOMINA!C161</f>
        <v>15752048</v>
      </c>
      <c r="D182" s="981" t="str">
        <f>+NOMINA!D161</f>
        <v>Briceño Rangel Sudney Dayan</v>
      </c>
      <c r="E182" s="978" t="s">
        <v>4622</v>
      </c>
      <c r="F182" s="1006">
        <v>27853</v>
      </c>
      <c r="G182" s="978" t="s">
        <v>4620</v>
      </c>
      <c r="H182" s="1007">
        <f>+NOMINA!H161</f>
        <v>39679</v>
      </c>
      <c r="I182" s="984">
        <f>+NOMINA!I161</f>
        <v>16</v>
      </c>
      <c r="J182" s="985">
        <f>+NOMINA!J161</f>
        <v>0</v>
      </c>
      <c r="K182" s="984">
        <f t="shared" si="22"/>
        <v>16</v>
      </c>
      <c r="L182" s="985" t="s">
        <v>4932</v>
      </c>
      <c r="M182" s="985"/>
      <c r="N182" s="1002" t="str">
        <f>+NOMINA!O161</f>
        <v>Guia de Centro II</v>
      </c>
      <c r="O182" s="999">
        <f>ROUND(NOMINA!W161,2)</f>
        <v>157</v>
      </c>
      <c r="P182" s="999">
        <f>NOMINA!AF161</f>
        <v>30.77</v>
      </c>
      <c r="Q182" s="999">
        <f>NOMINA!AH161</f>
        <v>65</v>
      </c>
      <c r="R182" s="999">
        <f>NOMINA!AC161</f>
        <v>0</v>
      </c>
      <c r="S182" s="999">
        <f>NOMINA!AJ161</f>
        <v>88.47</v>
      </c>
      <c r="T182" s="986">
        <f t="shared" si="23"/>
        <v>115.03</v>
      </c>
      <c r="U182" s="999">
        <f>ROUND(NOMINA!BL161,2)</f>
        <v>25.2</v>
      </c>
      <c r="V182" s="999">
        <f>ROUND(NOMINA!BM161,2)</f>
        <v>3.15</v>
      </c>
      <c r="W182" s="999">
        <f>ROUND(+NOMINA!BN161,2)</f>
        <v>6.82</v>
      </c>
      <c r="X182" s="999">
        <f>ROUND(NOMINA!BO161,2)</f>
        <v>0</v>
      </c>
      <c r="Y182" s="999">
        <f>ROUND(NOMINA!BP161,2)</f>
        <v>0</v>
      </c>
      <c r="Z182" s="986">
        <f t="shared" si="24"/>
        <v>25.35</v>
      </c>
      <c r="AA182" s="999">
        <f>ROUND(NOMINA!BK161,2)</f>
        <v>0</v>
      </c>
      <c r="AB182" s="866">
        <f t="shared" si="25"/>
        <v>306.07</v>
      </c>
    </row>
    <row r="183" spans="1:28" s="629" customFormat="1" ht="20.100000000000001" customHeight="1" thickBot="1">
      <c r="A183" s="770" t="s">
        <v>2846</v>
      </c>
      <c r="B183" s="510">
        <f t="shared" ca="1" si="26"/>
        <v>120</v>
      </c>
      <c r="C183" s="980">
        <f>+NOMINA!C162</f>
        <v>15752183</v>
      </c>
      <c r="D183" s="981" t="str">
        <f>+NOMINA!D162</f>
        <v>Delduca Adriana Del Valle</v>
      </c>
      <c r="E183" s="978" t="s">
        <v>4622</v>
      </c>
      <c r="F183" s="1006">
        <v>27853</v>
      </c>
      <c r="G183" s="978" t="s">
        <v>4620</v>
      </c>
      <c r="H183" s="1007">
        <f>+NOMINA!H162</f>
        <v>38930</v>
      </c>
      <c r="I183" s="984">
        <f>+NOMINA!I162</f>
        <v>18</v>
      </c>
      <c r="J183" s="985">
        <f>+NOMINA!J162</f>
        <v>0</v>
      </c>
      <c r="K183" s="984">
        <f t="shared" si="22"/>
        <v>18</v>
      </c>
      <c r="L183" s="985" t="s">
        <v>4932</v>
      </c>
      <c r="M183" s="985"/>
      <c r="N183" s="1002" t="str">
        <f>+NOMINA!O162</f>
        <v>Analista de Presupuesto IV</v>
      </c>
      <c r="O183" s="999">
        <f>ROUND(NOMINA!W162,2)</f>
        <v>0</v>
      </c>
      <c r="P183" s="999">
        <f>NOMINA!AF162</f>
        <v>0</v>
      </c>
      <c r="Q183" s="999">
        <f>NOMINA!AH162</f>
        <v>0</v>
      </c>
      <c r="R183" s="999">
        <f>NOMINA!AC162</f>
        <v>0</v>
      </c>
      <c r="S183" s="999">
        <f>NOMINA!AJ162</f>
        <v>0</v>
      </c>
      <c r="T183" s="986">
        <f t="shared" si="23"/>
        <v>138.15</v>
      </c>
      <c r="U183" s="999">
        <f>ROUND(NOMINA!BL162,2)</f>
        <v>0</v>
      </c>
      <c r="V183" s="999">
        <f>ROUND(NOMINA!BM162,2)</f>
        <v>0</v>
      </c>
      <c r="W183" s="999">
        <f>ROUND(+NOMINA!BN162,2)</f>
        <v>0</v>
      </c>
      <c r="X183" s="999">
        <f>ROUND(NOMINA!BO162,2)</f>
        <v>0</v>
      </c>
      <c r="Y183" s="999">
        <f>ROUND(NOMINA!BP162,2)</f>
        <v>0</v>
      </c>
      <c r="Z183" s="986">
        <f t="shared" si="24"/>
        <v>25.79</v>
      </c>
      <c r="AA183" s="999">
        <f>ROUND(NOMINA!BK162,2)</f>
        <v>0</v>
      </c>
      <c r="AB183" s="866">
        <f t="shared" si="25"/>
        <v>0</v>
      </c>
    </row>
    <row r="184" spans="1:28" s="629" customFormat="1" ht="20.100000000000001" customHeight="1" thickBot="1">
      <c r="A184" s="770" t="s">
        <v>2846</v>
      </c>
      <c r="B184" s="510">
        <f t="shared" ca="1" si="26"/>
        <v>121</v>
      </c>
      <c r="C184" s="980">
        <f>+NOMINA!C163</f>
        <v>15752386</v>
      </c>
      <c r="D184" s="981" t="str">
        <f>+NOMINA!D163</f>
        <v>Villegas Gonzalez Mileide Karine</v>
      </c>
      <c r="E184" s="978" t="s">
        <v>4622</v>
      </c>
      <c r="F184" s="1006">
        <v>27853</v>
      </c>
      <c r="G184" s="978" t="s">
        <v>4620</v>
      </c>
      <c r="H184" s="1007">
        <f>+NOMINA!H163</f>
        <v>38930</v>
      </c>
      <c r="I184" s="984">
        <f>+NOMINA!I163</f>
        <v>18</v>
      </c>
      <c r="J184" s="985">
        <f>+NOMINA!J163</f>
        <v>0</v>
      </c>
      <c r="K184" s="984">
        <f t="shared" si="22"/>
        <v>18</v>
      </c>
      <c r="L184" s="985" t="s">
        <v>4932</v>
      </c>
      <c r="M184" s="985"/>
      <c r="N184" s="1002" t="str">
        <f>+NOMINA!O163</f>
        <v>Guia de Centro II</v>
      </c>
      <c r="O184" s="999">
        <f>ROUND(NOMINA!W163,2)</f>
        <v>114</v>
      </c>
      <c r="P184" s="999">
        <f>NOMINA!AF163</f>
        <v>25.99</v>
      </c>
      <c r="Q184" s="999">
        <f>NOMINA!AH163</f>
        <v>65</v>
      </c>
      <c r="R184" s="999">
        <f>NOMINA!AC163</f>
        <v>25</v>
      </c>
      <c r="S184" s="999">
        <f>NOMINA!AJ163</f>
        <v>43.5</v>
      </c>
      <c r="T184" s="986">
        <f t="shared" si="23"/>
        <v>0</v>
      </c>
      <c r="U184" s="999">
        <f>ROUND(NOMINA!BL163,2)</f>
        <v>25.05</v>
      </c>
      <c r="V184" s="999">
        <f>ROUND(NOMINA!BM163,2)</f>
        <v>3.13</v>
      </c>
      <c r="W184" s="999">
        <f>ROUND(+NOMINA!BN163,2)</f>
        <v>6.79</v>
      </c>
      <c r="X184" s="999">
        <f>ROUND(NOMINA!BO163,2)</f>
        <v>0</v>
      </c>
      <c r="Y184" s="999">
        <f>ROUND(NOMINA!BP163,2)</f>
        <v>0</v>
      </c>
      <c r="Z184" s="986">
        <f t="shared" si="24"/>
        <v>24.26</v>
      </c>
      <c r="AA184" s="999">
        <f>ROUND(NOMINA!BK163,2)</f>
        <v>0</v>
      </c>
      <c r="AB184" s="866">
        <f t="shared" si="25"/>
        <v>238.52</v>
      </c>
    </row>
    <row r="185" spans="1:28" s="629" customFormat="1" ht="20.100000000000001" customHeight="1" thickBot="1">
      <c r="A185" s="770" t="s">
        <v>2846</v>
      </c>
      <c r="B185" s="510">
        <f t="shared" ca="1" si="26"/>
        <v>122</v>
      </c>
      <c r="C185" s="980">
        <f>+NOMINA!C164</f>
        <v>15752435</v>
      </c>
      <c r="D185" s="981" t="str">
        <f>+NOMINA!D164</f>
        <v>Gonzalez de Sayago Damarys Coromoto</v>
      </c>
      <c r="E185" s="978" t="s">
        <v>4622</v>
      </c>
      <c r="F185" s="1006">
        <v>27853</v>
      </c>
      <c r="G185" s="978" t="s">
        <v>4620</v>
      </c>
      <c r="H185" s="1007">
        <f>+NOMINA!H164</f>
        <v>38930</v>
      </c>
      <c r="I185" s="984">
        <f>+NOMINA!I164</f>
        <v>18</v>
      </c>
      <c r="J185" s="985">
        <f>+NOMINA!J164</f>
        <v>0</v>
      </c>
      <c r="K185" s="984">
        <f t="shared" si="22"/>
        <v>18</v>
      </c>
      <c r="L185" s="985" t="s">
        <v>4932</v>
      </c>
      <c r="M185" s="985"/>
      <c r="N185" s="1002" t="str">
        <f>+NOMINA!O164</f>
        <v>Trabajador Social II</v>
      </c>
      <c r="O185" s="999">
        <f>ROUND(NOMINA!W164,2)</f>
        <v>114</v>
      </c>
      <c r="P185" s="999">
        <f>NOMINA!AF164</f>
        <v>25.99</v>
      </c>
      <c r="Q185" s="999">
        <f>NOMINA!AH164</f>
        <v>65</v>
      </c>
      <c r="R185" s="999">
        <f>NOMINA!AC164</f>
        <v>25</v>
      </c>
      <c r="S185" s="999">
        <f>NOMINA!AJ164</f>
        <v>43.5</v>
      </c>
      <c r="T185" s="986">
        <f t="shared" si="23"/>
        <v>140.92000000000002</v>
      </c>
      <c r="U185" s="999">
        <f>ROUND(NOMINA!BL164,2)</f>
        <v>19.27</v>
      </c>
      <c r="V185" s="999">
        <f>ROUND(NOMINA!BM164,2)</f>
        <v>2.41</v>
      </c>
      <c r="W185" s="999">
        <f>ROUND(+NOMINA!BN164,2)</f>
        <v>5.22</v>
      </c>
      <c r="X185" s="999">
        <f>ROUND(NOMINA!BO164,2)</f>
        <v>0</v>
      </c>
      <c r="Y185" s="999">
        <f>ROUND(NOMINA!BP164,2)</f>
        <v>0</v>
      </c>
      <c r="Z185" s="986">
        <f t="shared" si="24"/>
        <v>28.27</v>
      </c>
      <c r="AA185" s="999">
        <f>ROUND(NOMINA!BK164,2)</f>
        <v>0</v>
      </c>
      <c r="AB185" s="866">
        <f t="shared" si="25"/>
        <v>246.59</v>
      </c>
    </row>
    <row r="186" spans="1:28" s="629" customFormat="1" ht="20.100000000000001" customHeight="1" thickBot="1">
      <c r="A186" s="770" t="s">
        <v>2846</v>
      </c>
      <c r="B186" s="510">
        <f t="shared" ca="1" si="26"/>
        <v>123</v>
      </c>
      <c r="C186" s="980">
        <f>+NOMINA!C165</f>
        <v>15780354</v>
      </c>
      <c r="D186" s="981" t="str">
        <f>+NOMINA!D165</f>
        <v>Yndriago Blanco Lismiley Andreina</v>
      </c>
      <c r="E186" s="978" t="s">
        <v>4622</v>
      </c>
      <c r="F186" s="1006">
        <v>27853</v>
      </c>
      <c r="G186" s="978" t="s">
        <v>4620</v>
      </c>
      <c r="H186" s="1007">
        <f>+NOMINA!H165</f>
        <v>44409</v>
      </c>
      <c r="I186" s="984">
        <f>+NOMINA!I165</f>
        <v>3</v>
      </c>
      <c r="J186" s="985">
        <f>+NOMINA!J165</f>
        <v>0</v>
      </c>
      <c r="K186" s="984">
        <f t="shared" si="22"/>
        <v>3</v>
      </c>
      <c r="L186" s="985" t="s">
        <v>4932</v>
      </c>
      <c r="M186" s="985"/>
      <c r="N186" s="1002" t="str">
        <f>+NOMINA!O165</f>
        <v>Guia de Centro I</v>
      </c>
      <c r="O186" s="999">
        <f>ROUND(NOMINA!W165,2)</f>
        <v>109.5</v>
      </c>
      <c r="P186" s="999">
        <f>NOMINA!AF165</f>
        <v>3.29</v>
      </c>
      <c r="Q186" s="999">
        <f>NOMINA!AH165</f>
        <v>65</v>
      </c>
      <c r="R186" s="999">
        <f>NOMINA!AC165</f>
        <v>0</v>
      </c>
      <c r="S186" s="999">
        <f>NOMINA!AJ165</f>
        <v>44.45</v>
      </c>
      <c r="T186" s="986">
        <f t="shared" si="23"/>
        <v>189.03000000000003</v>
      </c>
      <c r="U186" s="999">
        <f>ROUND(NOMINA!BL165,2)</f>
        <v>21.33</v>
      </c>
      <c r="V186" s="999">
        <f>ROUND(NOMINA!BM165,2)</f>
        <v>2.67</v>
      </c>
      <c r="W186" s="999">
        <f>ROUND(+NOMINA!BN165,2)</f>
        <v>5.78</v>
      </c>
      <c r="X186" s="999">
        <f>ROUND(NOMINA!BO165,2)</f>
        <v>0</v>
      </c>
      <c r="Y186" s="999">
        <f>ROUND(NOMINA!BP165,2)</f>
        <v>0</v>
      </c>
      <c r="Z186" s="986">
        <f t="shared" si="24"/>
        <v>31.91</v>
      </c>
      <c r="AA186" s="999">
        <f>ROUND(NOMINA!BK165,2)</f>
        <v>0</v>
      </c>
      <c r="AB186" s="866">
        <f t="shared" si="25"/>
        <v>192.46</v>
      </c>
    </row>
    <row r="187" spans="1:28" s="629" customFormat="1" ht="20.100000000000001" customHeight="1" thickBot="1">
      <c r="A187" s="770" t="s">
        <v>2846</v>
      </c>
      <c r="B187" s="510">
        <f t="shared" ca="1" si="26"/>
        <v>124</v>
      </c>
      <c r="C187" s="980">
        <f>+NOMINA!C166</f>
        <v>15824548</v>
      </c>
      <c r="D187" s="981" t="str">
        <f>+NOMINA!D166</f>
        <v>Moreno Maria Angelica</v>
      </c>
      <c r="E187" s="978" t="s">
        <v>4622</v>
      </c>
      <c r="F187" s="1006">
        <v>27853</v>
      </c>
      <c r="G187" s="978" t="s">
        <v>4620</v>
      </c>
      <c r="H187" s="1007">
        <f>+NOMINA!H166</f>
        <v>44317</v>
      </c>
      <c r="I187" s="984">
        <f>+NOMINA!I166</f>
        <v>3</v>
      </c>
      <c r="J187" s="985">
        <f>+NOMINA!J166</f>
        <v>0</v>
      </c>
      <c r="K187" s="984">
        <f t="shared" si="22"/>
        <v>3</v>
      </c>
      <c r="L187" s="985" t="s">
        <v>4932</v>
      </c>
      <c r="M187" s="985"/>
      <c r="N187" s="1002" t="str">
        <f>+NOMINA!O166</f>
        <v>Tecnico Superior en Trabajo Social II</v>
      </c>
      <c r="O187" s="999">
        <f>ROUND(NOMINA!W166,2)</f>
        <v>109.5</v>
      </c>
      <c r="P187" s="999">
        <f>NOMINA!AF166</f>
        <v>3.29</v>
      </c>
      <c r="Q187" s="999">
        <f>NOMINA!AH166</f>
        <v>65</v>
      </c>
      <c r="R187" s="999">
        <f>NOMINA!AC166</f>
        <v>12.5</v>
      </c>
      <c r="S187" s="999">
        <f>NOMINA!AJ166</f>
        <v>36.81</v>
      </c>
      <c r="T187" s="986">
        <f t="shared" si="23"/>
        <v>163</v>
      </c>
      <c r="U187" s="999">
        <f>ROUND(NOMINA!BL166,2)</f>
        <v>16.309999999999999</v>
      </c>
      <c r="V187" s="999">
        <f>ROUND(NOMINA!BM166,2)</f>
        <v>2.04</v>
      </c>
      <c r="W187" s="999">
        <f>ROUND(+NOMINA!BN166,2)</f>
        <v>4.42</v>
      </c>
      <c r="X187" s="999">
        <f>ROUND(NOMINA!BO166,2)</f>
        <v>0</v>
      </c>
      <c r="Y187" s="999">
        <f>ROUND(NOMINA!BP166,2)</f>
        <v>0</v>
      </c>
      <c r="Z187" s="986">
        <f t="shared" si="24"/>
        <v>19.27</v>
      </c>
      <c r="AA187" s="999">
        <f>ROUND(NOMINA!BK166,2)</f>
        <v>0</v>
      </c>
      <c r="AB187" s="866">
        <f t="shared" si="25"/>
        <v>204.33000000000004</v>
      </c>
    </row>
    <row r="188" spans="1:28" s="629" customFormat="1" ht="20.100000000000001" customHeight="1" thickBot="1">
      <c r="A188" s="770" t="s">
        <v>2846</v>
      </c>
      <c r="B188" s="510">
        <f t="shared" ca="1" si="26"/>
        <v>125</v>
      </c>
      <c r="C188" s="980">
        <f>+NOMINA!C167</f>
        <v>15904692</v>
      </c>
      <c r="D188" s="981" t="str">
        <f>+NOMINA!D167</f>
        <v>Sifontes Sosa Mayulis Dayana</v>
      </c>
      <c r="E188" s="978" t="s">
        <v>4622</v>
      </c>
      <c r="F188" s="1006">
        <v>27853</v>
      </c>
      <c r="G188" s="978" t="s">
        <v>4620</v>
      </c>
      <c r="H188" s="1007">
        <f>+NOMINA!H167</f>
        <v>39756</v>
      </c>
      <c r="I188" s="984">
        <f>+NOMINA!I167</f>
        <v>16</v>
      </c>
      <c r="J188" s="985">
        <f>+NOMINA!J167</f>
        <v>0</v>
      </c>
      <c r="K188" s="984">
        <f t="shared" si="22"/>
        <v>16</v>
      </c>
      <c r="L188" s="985" t="s">
        <v>4932</v>
      </c>
      <c r="M188" s="985"/>
      <c r="N188" s="1002" t="str">
        <f>+NOMINA!O167</f>
        <v>Guia de Centro II</v>
      </c>
      <c r="O188" s="999">
        <f>ROUND(NOMINA!W167,2)</f>
        <v>113</v>
      </c>
      <c r="P188" s="999">
        <f>NOMINA!AF167</f>
        <v>22.15</v>
      </c>
      <c r="Q188" s="999">
        <f>NOMINA!AH167</f>
        <v>65</v>
      </c>
      <c r="R188" s="999">
        <f>NOMINA!AC167</f>
        <v>25</v>
      </c>
      <c r="S188" s="999">
        <f>NOMINA!AJ167</f>
        <v>42.53</v>
      </c>
      <c r="T188" s="986">
        <f t="shared" si="23"/>
        <v>147.94</v>
      </c>
      <c r="U188" s="999">
        <f>ROUND(NOMINA!BL167,2)</f>
        <v>24.5</v>
      </c>
      <c r="V188" s="999">
        <f>ROUND(NOMINA!BM167,2)</f>
        <v>3.06</v>
      </c>
      <c r="W188" s="999">
        <f>ROUND(+NOMINA!BN167,2)</f>
        <v>6.63</v>
      </c>
      <c r="X188" s="999">
        <f>ROUND(NOMINA!BO167,2)</f>
        <v>0</v>
      </c>
      <c r="Y188" s="999">
        <f>ROUND(NOMINA!BP167,2)</f>
        <v>0</v>
      </c>
      <c r="Z188" s="986">
        <f t="shared" si="24"/>
        <v>26.13</v>
      </c>
      <c r="AA188" s="999">
        <f>ROUND(NOMINA!BK167,2)</f>
        <v>0</v>
      </c>
      <c r="AB188" s="866">
        <f t="shared" si="25"/>
        <v>233.49</v>
      </c>
    </row>
    <row r="189" spans="1:28" s="629" customFormat="1" ht="20.100000000000001" customHeight="1" thickBot="1">
      <c r="A189" s="770" t="s">
        <v>2846</v>
      </c>
      <c r="B189" s="510">
        <f t="shared" ca="1" si="26"/>
        <v>126</v>
      </c>
      <c r="C189" s="980">
        <f>+NOMINA!C168</f>
        <v>16015833</v>
      </c>
      <c r="D189" s="981" t="str">
        <f>+NOMINA!D168</f>
        <v>Briceño Doris Elena</v>
      </c>
      <c r="E189" s="978" t="s">
        <v>4622</v>
      </c>
      <c r="F189" s="1006">
        <v>27853</v>
      </c>
      <c r="G189" s="978" t="s">
        <v>4620</v>
      </c>
      <c r="H189" s="1007">
        <f>+NOMINA!H168</f>
        <v>42948</v>
      </c>
      <c r="I189" s="984">
        <f>+NOMINA!I168</f>
        <v>7</v>
      </c>
      <c r="J189" s="985">
        <f>+NOMINA!J168</f>
        <v>0</v>
      </c>
      <c r="K189" s="984">
        <f t="shared" si="22"/>
        <v>7</v>
      </c>
      <c r="L189" s="985" t="s">
        <v>4932</v>
      </c>
      <c r="M189" s="985"/>
      <c r="N189" s="1002" t="str">
        <f>+NOMINA!O168</f>
        <v>Guia de Centro II</v>
      </c>
      <c r="O189" s="999">
        <f>ROUND(NOMINA!W168,2)</f>
        <v>139.5</v>
      </c>
      <c r="P189" s="999">
        <f>NOMINA!AF168</f>
        <v>10.33</v>
      </c>
      <c r="Q189" s="999">
        <f>NOMINA!AH168</f>
        <v>65</v>
      </c>
      <c r="R189" s="999">
        <f>NOMINA!AC168</f>
        <v>12.5</v>
      </c>
      <c r="S189" s="999">
        <f>NOMINA!AJ168</f>
        <v>55.27</v>
      </c>
      <c r="T189" s="986">
        <f t="shared" si="23"/>
        <v>129.13999999999999</v>
      </c>
      <c r="U189" s="999">
        <f>ROUND(NOMINA!BL168,2)</f>
        <v>26.53</v>
      </c>
      <c r="V189" s="999">
        <f>ROUND(NOMINA!BM168,2)</f>
        <v>3.32</v>
      </c>
      <c r="W189" s="999">
        <f>ROUND(+NOMINA!BN168,2)</f>
        <v>7.19</v>
      </c>
      <c r="X189" s="999">
        <f>ROUND(NOMINA!BO168,2)</f>
        <v>0</v>
      </c>
      <c r="Y189" s="999">
        <f>ROUND(NOMINA!BP168,2)</f>
        <v>0</v>
      </c>
      <c r="Z189" s="986">
        <f t="shared" si="24"/>
        <v>17.16</v>
      </c>
      <c r="AA189" s="999">
        <f>ROUND(NOMINA!BK168,2)</f>
        <v>0</v>
      </c>
      <c r="AB189" s="866">
        <f t="shared" si="25"/>
        <v>245.56000000000003</v>
      </c>
    </row>
    <row r="190" spans="1:28" s="629" customFormat="1" ht="20.100000000000001" customHeight="1" thickBot="1">
      <c r="A190" s="770" t="s">
        <v>2846</v>
      </c>
      <c r="B190" s="510">
        <f t="shared" ca="1" si="26"/>
        <v>127</v>
      </c>
      <c r="C190" s="980">
        <f>+NOMINA!C169</f>
        <v>16065580</v>
      </c>
      <c r="D190" s="981" t="str">
        <f>+NOMINA!D169</f>
        <v>Paredes de Rendon Zuly Josefina</v>
      </c>
      <c r="E190" s="978" t="s">
        <v>4622</v>
      </c>
      <c r="F190" s="1006">
        <v>27853</v>
      </c>
      <c r="G190" s="978" t="s">
        <v>4620</v>
      </c>
      <c r="H190" s="1007">
        <f>+NOMINA!H169</f>
        <v>44363</v>
      </c>
      <c r="I190" s="984">
        <f>+NOMINA!I169</f>
        <v>3</v>
      </c>
      <c r="J190" s="985">
        <f>+NOMINA!J169</f>
        <v>0</v>
      </c>
      <c r="K190" s="984">
        <f t="shared" si="22"/>
        <v>3</v>
      </c>
      <c r="L190" s="985" t="s">
        <v>4932</v>
      </c>
      <c r="M190" s="985"/>
      <c r="N190" s="1002" t="str">
        <f>+NOMINA!O169</f>
        <v>Tutor Facilitador II</v>
      </c>
      <c r="O190" s="999">
        <f>ROUND(NOMINA!W169,2)</f>
        <v>138.5</v>
      </c>
      <c r="P190" s="999">
        <f>NOMINA!AF169</f>
        <v>4.16</v>
      </c>
      <c r="Q190" s="999">
        <f>NOMINA!AH169</f>
        <v>65</v>
      </c>
      <c r="R190" s="999">
        <f>NOMINA!AC169</f>
        <v>12.5</v>
      </c>
      <c r="S190" s="999">
        <f>NOMINA!AJ169</f>
        <v>53.48</v>
      </c>
      <c r="T190" s="986">
        <f t="shared" si="23"/>
        <v>137.19</v>
      </c>
      <c r="U190" s="999">
        <f>ROUND(NOMINA!BL169,2)</f>
        <v>19.739999999999998</v>
      </c>
      <c r="V190" s="999">
        <f>ROUND(NOMINA!BM169,2)</f>
        <v>2.4700000000000002</v>
      </c>
      <c r="W190" s="999">
        <f>ROUND(+NOMINA!BN169,2)</f>
        <v>5.35</v>
      </c>
      <c r="X190" s="999">
        <f>ROUND(NOMINA!BO169,2)</f>
        <v>0</v>
      </c>
      <c r="Y190" s="999">
        <f>ROUND(NOMINA!BP169,2)</f>
        <v>0</v>
      </c>
      <c r="Z190" s="986">
        <f t="shared" si="24"/>
        <v>26.13</v>
      </c>
      <c r="AA190" s="999">
        <f>ROUND(NOMINA!BK169,2)</f>
        <v>0</v>
      </c>
      <c r="AB190" s="866">
        <f t="shared" si="25"/>
        <v>246.07999999999998</v>
      </c>
    </row>
    <row r="191" spans="1:28" s="629" customFormat="1" ht="20.100000000000001" customHeight="1" thickBot="1">
      <c r="A191" s="770" t="s">
        <v>2846</v>
      </c>
      <c r="B191" s="510">
        <f t="shared" ca="1" si="26"/>
        <v>128</v>
      </c>
      <c r="C191" s="980">
        <f>+NOMINA!C170</f>
        <v>16065861</v>
      </c>
      <c r="D191" s="981" t="str">
        <f>+NOMINA!D170</f>
        <v>Gonzalez Pineda Eduardo Manuel</v>
      </c>
      <c r="E191" s="978" t="s">
        <v>4622</v>
      </c>
      <c r="F191" s="1006">
        <v>27853</v>
      </c>
      <c r="G191" s="978" t="s">
        <v>4620</v>
      </c>
      <c r="H191" s="1007">
        <f>+NOMINA!H170</f>
        <v>43906</v>
      </c>
      <c r="I191" s="984">
        <f>+NOMINA!I170</f>
        <v>4</v>
      </c>
      <c r="J191" s="985">
        <f>+NOMINA!J170</f>
        <v>13</v>
      </c>
      <c r="K191" s="984">
        <f t="shared" si="22"/>
        <v>17</v>
      </c>
      <c r="L191" s="985" t="s">
        <v>4932</v>
      </c>
      <c r="M191" s="985"/>
      <c r="N191" s="1002" t="str">
        <f>+NOMINA!O170</f>
        <v>Entrenador Deportivo VI</v>
      </c>
      <c r="O191" s="999">
        <f>ROUND(NOMINA!W170,2)</f>
        <v>142.5</v>
      </c>
      <c r="P191" s="999">
        <f>NOMINA!AF170</f>
        <v>30.21</v>
      </c>
      <c r="Q191" s="999">
        <f>NOMINA!AH170</f>
        <v>65</v>
      </c>
      <c r="R191" s="999">
        <f>NOMINA!AC170</f>
        <v>0</v>
      </c>
      <c r="S191" s="999">
        <f>NOMINA!AJ170</f>
        <v>59.43</v>
      </c>
      <c r="T191" s="986">
        <f t="shared" si="23"/>
        <v>137.42000000000002</v>
      </c>
      <c r="U191" s="999">
        <f>ROUND(NOMINA!BL170,2)</f>
        <v>21.94</v>
      </c>
      <c r="V191" s="999">
        <f>ROUND(NOMINA!BM170,2)</f>
        <v>2.74</v>
      </c>
      <c r="W191" s="999">
        <f>ROUND(+NOMINA!BN170,2)</f>
        <v>5.94</v>
      </c>
      <c r="X191" s="999">
        <f>ROUND(NOMINA!BO170,2)</f>
        <v>0</v>
      </c>
      <c r="Y191" s="999">
        <f>ROUND(NOMINA!BP170,2)</f>
        <v>0</v>
      </c>
      <c r="Z191" s="986">
        <f t="shared" si="24"/>
        <v>30.33</v>
      </c>
      <c r="AA191" s="999">
        <f>ROUND(NOMINA!BK170,2)</f>
        <v>0</v>
      </c>
      <c r="AB191" s="866">
        <f t="shared" si="25"/>
        <v>266.52</v>
      </c>
    </row>
    <row r="192" spans="1:28" s="629" customFormat="1" ht="20.100000000000001" customHeight="1" thickBot="1">
      <c r="A192" s="770" t="s">
        <v>2846</v>
      </c>
      <c r="B192" s="510">
        <f t="shared" ca="1" si="26"/>
        <v>129</v>
      </c>
      <c r="C192" s="980">
        <f>+NOMINA!C171</f>
        <v>16066524</v>
      </c>
      <c r="D192" s="981" t="str">
        <f>+NOMINA!D171</f>
        <v>Carmona Peñaloza Yaneth Coromoto</v>
      </c>
      <c r="E192" s="978" t="s">
        <v>4622</v>
      </c>
      <c r="F192" s="1006">
        <v>27853</v>
      </c>
      <c r="G192" s="978" t="s">
        <v>4620</v>
      </c>
      <c r="H192" s="1007">
        <f>+NOMINA!H171</f>
        <v>41456</v>
      </c>
      <c r="I192" s="984">
        <f>+NOMINA!I171</f>
        <v>11</v>
      </c>
      <c r="J192" s="985">
        <f>+NOMINA!J171</f>
        <v>0</v>
      </c>
      <c r="K192" s="984">
        <f t="shared" si="22"/>
        <v>11</v>
      </c>
      <c r="L192" s="985" t="s">
        <v>4932</v>
      </c>
      <c r="M192" s="985"/>
      <c r="N192" s="1002" t="str">
        <f>+NOMINA!O171</f>
        <v>Asistente Administrativo III</v>
      </c>
      <c r="O192" s="999">
        <f>ROUND(NOMINA!W171,2)</f>
        <v>111.5</v>
      </c>
      <c r="P192" s="999">
        <f>NOMINA!AF171</f>
        <v>13.83</v>
      </c>
      <c r="Q192" s="999">
        <f>NOMINA!AH171</f>
        <v>65</v>
      </c>
      <c r="R192" s="999">
        <f>NOMINA!AC171</f>
        <v>25</v>
      </c>
      <c r="S192" s="999">
        <f>NOMINA!AJ171</f>
        <v>40.57</v>
      </c>
      <c r="T192" s="986">
        <f t="shared" si="23"/>
        <v>141</v>
      </c>
      <c r="U192" s="999">
        <f>ROUND(NOMINA!BL171,2)</f>
        <v>17.97</v>
      </c>
      <c r="V192" s="999">
        <f>ROUND(NOMINA!BM171,2)</f>
        <v>2.25</v>
      </c>
      <c r="W192" s="999">
        <f>ROUND(+NOMINA!BN171,2)</f>
        <v>4.87</v>
      </c>
      <c r="X192" s="999">
        <f>ROUND(NOMINA!BO171,2)</f>
        <v>0</v>
      </c>
      <c r="Y192" s="999">
        <f>ROUND(NOMINA!BP171,2)</f>
        <v>0</v>
      </c>
      <c r="Z192" s="986">
        <f t="shared" si="24"/>
        <v>26.14</v>
      </c>
      <c r="AA192" s="999">
        <f>ROUND(NOMINA!BK171,2)</f>
        <v>0</v>
      </c>
      <c r="AB192" s="866">
        <f t="shared" si="25"/>
        <v>230.80999999999997</v>
      </c>
    </row>
    <row r="193" spans="1:28" s="629" customFormat="1" ht="20.100000000000001" customHeight="1" thickBot="1">
      <c r="A193" s="770" t="s">
        <v>2846</v>
      </c>
      <c r="B193" s="510">
        <f t="shared" ca="1" si="26"/>
        <v>130</v>
      </c>
      <c r="C193" s="980">
        <f>+NOMINA!C172</f>
        <v>16066554</v>
      </c>
      <c r="D193" s="981" t="str">
        <f>+NOMINA!D172</f>
        <v>Gonzalez Huerta Maria Josefina</v>
      </c>
      <c r="E193" s="978" t="s">
        <v>4622</v>
      </c>
      <c r="F193" s="1006">
        <v>27853</v>
      </c>
      <c r="G193" s="978" t="s">
        <v>4620</v>
      </c>
      <c r="H193" s="1007">
        <f>+NOMINA!H172</f>
        <v>38797</v>
      </c>
      <c r="I193" s="984">
        <f>+NOMINA!I172</f>
        <v>18</v>
      </c>
      <c r="J193" s="985">
        <f>+NOMINA!J172</f>
        <v>0</v>
      </c>
      <c r="K193" s="984">
        <f t="shared" ref="K193:K256" si="27">I193+J193</f>
        <v>18</v>
      </c>
      <c r="L193" s="985" t="s">
        <v>4932</v>
      </c>
      <c r="M193" s="985"/>
      <c r="N193" s="1002" t="str">
        <f>+NOMINA!O172</f>
        <v>Auditor IV</v>
      </c>
      <c r="O193" s="999">
        <f>ROUND(NOMINA!W172,2)</f>
        <v>143.5</v>
      </c>
      <c r="P193" s="999">
        <f>NOMINA!AF172</f>
        <v>32.72</v>
      </c>
      <c r="Q193" s="999">
        <f>NOMINA!AH172</f>
        <v>65</v>
      </c>
      <c r="R193" s="999">
        <f>NOMINA!AC172</f>
        <v>25</v>
      </c>
      <c r="S193" s="999">
        <f>NOMINA!AJ172</f>
        <v>63.43</v>
      </c>
      <c r="T193" s="986">
        <f t="shared" ref="T193:T256" si="28">+P171+Q171+R171+S171</f>
        <v>162.38999999999999</v>
      </c>
      <c r="U193" s="999">
        <f>ROUND(NOMINA!BL172,2)</f>
        <v>23.42</v>
      </c>
      <c r="V193" s="999">
        <f>ROUND(NOMINA!BM172,2)</f>
        <v>2.93</v>
      </c>
      <c r="W193" s="999">
        <f>ROUND(+NOMINA!BN172,2)</f>
        <v>6.34</v>
      </c>
      <c r="X193" s="999">
        <f>ROUND(NOMINA!BO172,2)</f>
        <v>0</v>
      </c>
      <c r="Y193" s="999">
        <f>ROUND(NOMINA!BP172,2)</f>
        <v>0</v>
      </c>
      <c r="Z193" s="986">
        <f t="shared" ref="Z193:Z256" si="29">ROUND(SUM(U178:Y178),2)</f>
        <v>20.74</v>
      </c>
      <c r="AA193" s="999">
        <f>ROUND(NOMINA!BK172,2)</f>
        <v>0</v>
      </c>
      <c r="AB193" s="866">
        <f t="shared" ref="AB193:AB256" si="30">+O193+P193+Q193+R193+S193-(U193+V193+W193+X193+Y193)+AA193</f>
        <v>296.96000000000004</v>
      </c>
    </row>
    <row r="194" spans="1:28" s="629" customFormat="1" ht="20.100000000000001" customHeight="1" thickBot="1">
      <c r="A194" s="770" t="s">
        <v>2846</v>
      </c>
      <c r="B194" s="510">
        <f t="shared" ca="1" si="26"/>
        <v>131</v>
      </c>
      <c r="C194" s="980">
        <f>+NOMINA!C173</f>
        <v>16266033</v>
      </c>
      <c r="D194" s="981" t="str">
        <f>+NOMINA!D173</f>
        <v>Montilla de Davila Nileidy del Valle</v>
      </c>
      <c r="E194" s="978" t="s">
        <v>4622</v>
      </c>
      <c r="F194" s="1006">
        <v>27853</v>
      </c>
      <c r="G194" s="978" t="s">
        <v>4620</v>
      </c>
      <c r="H194" s="1007">
        <f>+NOMINA!H173</f>
        <v>44713</v>
      </c>
      <c r="I194" s="984">
        <f>+NOMINA!I173</f>
        <v>2</v>
      </c>
      <c r="J194" s="985">
        <f>+NOMINA!J173</f>
        <v>0</v>
      </c>
      <c r="K194" s="984">
        <f t="shared" si="27"/>
        <v>2</v>
      </c>
      <c r="L194" s="985" t="s">
        <v>4932</v>
      </c>
      <c r="M194" s="985"/>
      <c r="N194" s="1002" t="str">
        <f>+NOMINA!O173</f>
        <v>Guia de Centro I</v>
      </c>
      <c r="O194" s="999">
        <f>ROUND(NOMINA!W173,2)</f>
        <v>96</v>
      </c>
      <c r="P194" s="999">
        <f>NOMINA!AF173</f>
        <v>1.92</v>
      </c>
      <c r="Q194" s="999">
        <f>NOMINA!AH173</f>
        <v>65</v>
      </c>
      <c r="R194" s="999">
        <f>NOMINA!AC173</f>
        <v>25</v>
      </c>
      <c r="S194" s="999">
        <f>NOMINA!AJ173</f>
        <v>43.86</v>
      </c>
      <c r="T194" s="986">
        <f t="shared" si="28"/>
        <v>91.3</v>
      </c>
      <c r="U194" s="999">
        <f>ROUND(NOMINA!BL173,2)</f>
        <v>21.05</v>
      </c>
      <c r="V194" s="999">
        <f>ROUND(NOMINA!BM173,2)</f>
        <v>2.63</v>
      </c>
      <c r="W194" s="999">
        <f>ROUND(+NOMINA!BN173,2)</f>
        <v>5.7</v>
      </c>
      <c r="X194" s="999">
        <f>ROUND(NOMINA!BO173,2)</f>
        <v>0</v>
      </c>
      <c r="Y194" s="999">
        <f>ROUND(NOMINA!BP173,2)</f>
        <v>0</v>
      </c>
      <c r="Z194" s="986">
        <f t="shared" si="29"/>
        <v>25.03</v>
      </c>
      <c r="AA194" s="999">
        <f>ROUND(NOMINA!BK173,2)</f>
        <v>0</v>
      </c>
      <c r="AB194" s="866">
        <f t="shared" si="30"/>
        <v>202.40000000000003</v>
      </c>
    </row>
    <row r="195" spans="1:28" s="629" customFormat="1" ht="20.100000000000001" customHeight="1" thickBot="1">
      <c r="A195" s="770" t="s">
        <v>2846</v>
      </c>
      <c r="B195" s="510">
        <f t="shared" ca="1" si="26"/>
        <v>132</v>
      </c>
      <c r="C195" s="980">
        <f>+NOMINA!C174</f>
        <v>16266989</v>
      </c>
      <c r="D195" s="981" t="str">
        <f>+NOMINA!D174</f>
        <v>Rincon Quevedo Angela Adriana</v>
      </c>
      <c r="E195" s="978" t="s">
        <v>4622</v>
      </c>
      <c r="F195" s="1006">
        <v>27853</v>
      </c>
      <c r="G195" s="978" t="s">
        <v>4620</v>
      </c>
      <c r="H195" s="1007">
        <f>+NOMINA!H174</f>
        <v>43040</v>
      </c>
      <c r="I195" s="984">
        <f>+NOMINA!I174</f>
        <v>7</v>
      </c>
      <c r="J195" s="985">
        <f>+NOMINA!J174</f>
        <v>0</v>
      </c>
      <c r="K195" s="984">
        <f t="shared" si="27"/>
        <v>7</v>
      </c>
      <c r="L195" s="985" t="s">
        <v>4932</v>
      </c>
      <c r="M195" s="985"/>
      <c r="N195" s="1002" t="str">
        <f>+NOMINA!O174</f>
        <v>Guia de Centro II</v>
      </c>
      <c r="O195" s="999">
        <f>ROUND(NOMINA!W174,2)</f>
        <v>139.5</v>
      </c>
      <c r="P195" s="999">
        <f>NOMINA!AF174</f>
        <v>10.33</v>
      </c>
      <c r="Q195" s="999">
        <f>NOMINA!AH174</f>
        <v>65</v>
      </c>
      <c r="R195" s="999">
        <f>NOMINA!AC174</f>
        <v>25</v>
      </c>
      <c r="S195" s="999">
        <f>NOMINA!AJ174</f>
        <v>56.83</v>
      </c>
      <c r="T195" s="986">
        <f t="shared" si="28"/>
        <v>145.74</v>
      </c>
      <c r="U195" s="999">
        <f>ROUND(NOMINA!BL174,2)</f>
        <v>27.28</v>
      </c>
      <c r="V195" s="999">
        <f>ROUND(NOMINA!BM174,2)</f>
        <v>3.41</v>
      </c>
      <c r="W195" s="999">
        <f>ROUND(+NOMINA!BN174,2)</f>
        <v>7.39</v>
      </c>
      <c r="X195" s="999">
        <f>ROUND(NOMINA!BO174,2)</f>
        <v>0</v>
      </c>
      <c r="Y195" s="999">
        <f>ROUND(NOMINA!BP174,2)</f>
        <v>0</v>
      </c>
      <c r="Z195" s="986">
        <f t="shared" si="29"/>
        <v>27.47</v>
      </c>
      <c r="AA195" s="999">
        <f>ROUND(NOMINA!BK174,2)</f>
        <v>0</v>
      </c>
      <c r="AB195" s="866">
        <f t="shared" si="30"/>
        <v>258.58000000000004</v>
      </c>
    </row>
    <row r="196" spans="1:28" s="629" customFormat="1" ht="20.100000000000001" customHeight="1" thickBot="1">
      <c r="A196" s="770" t="s">
        <v>2846</v>
      </c>
      <c r="B196" s="510">
        <f t="shared" ca="1" si="26"/>
        <v>133</v>
      </c>
      <c r="C196" s="980">
        <f>+NOMINA!C175</f>
        <v>16267940</v>
      </c>
      <c r="D196" s="981" t="str">
        <f>+NOMINA!D175</f>
        <v>Araujo Moreno Elisaelith</v>
      </c>
      <c r="E196" s="978" t="s">
        <v>4622</v>
      </c>
      <c r="F196" s="1006">
        <v>27853</v>
      </c>
      <c r="G196" s="978" t="s">
        <v>4620</v>
      </c>
      <c r="H196" s="1007">
        <f>+NOMINA!H175</f>
        <v>44600</v>
      </c>
      <c r="I196" s="984">
        <f>+NOMINA!I175</f>
        <v>2</v>
      </c>
      <c r="J196" s="985">
        <f>+NOMINA!J175</f>
        <v>0</v>
      </c>
      <c r="K196" s="984">
        <f t="shared" si="27"/>
        <v>2</v>
      </c>
      <c r="L196" s="985" t="s">
        <v>4932</v>
      </c>
      <c r="M196" s="985"/>
      <c r="N196" s="1002" t="str">
        <f>+NOMINA!O175</f>
        <v>Tecnico Superior en Trabajo Social II</v>
      </c>
      <c r="O196" s="999">
        <f>ROUND(NOMINA!W175,2)</f>
        <v>96</v>
      </c>
      <c r="P196" s="999">
        <f>NOMINA!AF175</f>
        <v>1.92</v>
      </c>
      <c r="Q196" s="999">
        <f>NOMINA!AH175</f>
        <v>65</v>
      </c>
      <c r="R196" s="999">
        <f>NOMINA!AC175</f>
        <v>25</v>
      </c>
      <c r="S196" s="999">
        <f>NOMINA!AJ175</f>
        <v>35.090000000000003</v>
      </c>
      <c r="T196" s="986">
        <f t="shared" si="28"/>
        <v>79.44</v>
      </c>
      <c r="U196" s="999">
        <f>ROUND(NOMINA!BL175,2)</f>
        <v>15.54</v>
      </c>
      <c r="V196" s="999">
        <f>ROUND(NOMINA!BM175,2)</f>
        <v>1.94</v>
      </c>
      <c r="W196" s="999">
        <f>ROUND(+NOMINA!BN175,2)</f>
        <v>4.21</v>
      </c>
      <c r="X196" s="999">
        <f>ROUND(NOMINA!BO175,2)</f>
        <v>0</v>
      </c>
      <c r="Y196" s="999">
        <f>ROUND(NOMINA!BP175,2)</f>
        <v>0</v>
      </c>
      <c r="Z196" s="986">
        <f t="shared" si="29"/>
        <v>26.13</v>
      </c>
      <c r="AA196" s="999">
        <f>ROUND(NOMINA!BK175,2)</f>
        <v>0</v>
      </c>
      <c r="AB196" s="866">
        <f t="shared" si="30"/>
        <v>201.32000000000002</v>
      </c>
    </row>
    <row r="197" spans="1:28" s="629" customFormat="1" ht="20.100000000000001" customHeight="1" thickBot="1">
      <c r="A197" s="770" t="s">
        <v>2846</v>
      </c>
      <c r="B197" s="510">
        <f t="shared" ca="1" si="26"/>
        <v>134</v>
      </c>
      <c r="C197" s="980">
        <f>+NOMINA!C176</f>
        <v>16376534</v>
      </c>
      <c r="D197" s="981" t="str">
        <f>+NOMINA!D176</f>
        <v>Lugo Moreno Yenny Katiuska</v>
      </c>
      <c r="E197" s="978" t="s">
        <v>4622</v>
      </c>
      <c r="F197" s="1006">
        <v>27853</v>
      </c>
      <c r="G197" s="978" t="s">
        <v>4620</v>
      </c>
      <c r="H197" s="1007">
        <f>+NOMINA!H176</f>
        <v>43754</v>
      </c>
      <c r="I197" s="984">
        <f>+NOMINA!I176</f>
        <v>5</v>
      </c>
      <c r="J197" s="985">
        <f>+NOMINA!J176</f>
        <v>0</v>
      </c>
      <c r="K197" s="984">
        <f t="shared" si="27"/>
        <v>5</v>
      </c>
      <c r="L197" s="985" t="s">
        <v>4932</v>
      </c>
      <c r="M197" s="985"/>
      <c r="N197" s="1002" t="str">
        <f>+NOMINA!O176</f>
        <v>Guia de Centro II</v>
      </c>
      <c r="O197" s="999">
        <f>ROUND(NOMINA!W176,2)</f>
        <v>138.5</v>
      </c>
      <c r="P197" s="999">
        <f>NOMINA!AF176</f>
        <v>6.93</v>
      </c>
      <c r="Q197" s="999">
        <f>NOMINA!AH176</f>
        <v>65</v>
      </c>
      <c r="R197" s="999">
        <f>NOMINA!AC176</f>
        <v>12.5</v>
      </c>
      <c r="S197" s="999">
        <f>NOMINA!AJ176</f>
        <v>54.17</v>
      </c>
      <c r="T197" s="986">
        <f t="shared" si="28"/>
        <v>145.74</v>
      </c>
      <c r="U197" s="999">
        <f>ROUND(NOMINA!BL176,2)</f>
        <v>26</v>
      </c>
      <c r="V197" s="999">
        <f>ROUND(NOMINA!BM176,2)</f>
        <v>3.25</v>
      </c>
      <c r="W197" s="999">
        <f>ROUND(+NOMINA!BN176,2)</f>
        <v>7.04</v>
      </c>
      <c r="X197" s="999">
        <f>ROUND(NOMINA!BO176,2)</f>
        <v>0</v>
      </c>
      <c r="Y197" s="999">
        <f>ROUND(NOMINA!BP176,2)</f>
        <v>0</v>
      </c>
      <c r="Z197" s="986">
        <f t="shared" si="29"/>
        <v>35.17</v>
      </c>
      <c r="AA197" s="999">
        <f>ROUND(NOMINA!BK176,2)</f>
        <v>0</v>
      </c>
      <c r="AB197" s="866">
        <f t="shared" si="30"/>
        <v>240.81000000000003</v>
      </c>
    </row>
    <row r="198" spans="1:28" s="629" customFormat="1" ht="20.100000000000001" customHeight="1" thickBot="1">
      <c r="A198" s="770" t="s">
        <v>2846</v>
      </c>
      <c r="B198" s="510">
        <f t="shared" ca="1" si="26"/>
        <v>135</v>
      </c>
      <c r="C198" s="980">
        <f>+NOMINA!C177</f>
        <v>16376698</v>
      </c>
      <c r="D198" s="981" t="str">
        <f>+NOMINA!D177</f>
        <v>Barreto Maldonado Jose Luis</v>
      </c>
      <c r="E198" s="978" t="s">
        <v>4622</v>
      </c>
      <c r="F198" s="1006">
        <v>27853</v>
      </c>
      <c r="G198" s="978" t="s">
        <v>4620</v>
      </c>
      <c r="H198" s="1007">
        <f>+NOMINA!H177</f>
        <v>40909</v>
      </c>
      <c r="I198" s="984">
        <f>+NOMINA!I177</f>
        <v>13</v>
      </c>
      <c r="J198" s="985">
        <f>+NOMINA!J177</f>
        <v>0</v>
      </c>
      <c r="K198" s="984">
        <f t="shared" si="27"/>
        <v>13</v>
      </c>
      <c r="L198" s="985" t="s">
        <v>4932</v>
      </c>
      <c r="M198" s="985"/>
      <c r="N198" s="1002" t="str">
        <f>+NOMINA!O177</f>
        <v>Supervisor de Servicios Generales IV</v>
      </c>
      <c r="O198" s="999">
        <f>ROUND(NOMINA!W177,2)</f>
        <v>87</v>
      </c>
      <c r="P198" s="999">
        <f>NOMINA!AF177</f>
        <v>13.23</v>
      </c>
      <c r="Q198" s="999">
        <f>NOMINA!AH177</f>
        <v>65</v>
      </c>
      <c r="R198" s="999">
        <f>NOMINA!AC177</f>
        <v>25</v>
      </c>
      <c r="S198" s="999">
        <f>NOMINA!AJ177</f>
        <v>0</v>
      </c>
      <c r="T198" s="986">
        <f t="shared" si="28"/>
        <v>122.07</v>
      </c>
      <c r="U198" s="999">
        <f>ROUND(NOMINA!BL177,2)</f>
        <v>13.12</v>
      </c>
      <c r="V198" s="999">
        <f>ROUND(NOMINA!BM177,2)</f>
        <v>1.64</v>
      </c>
      <c r="W198" s="999">
        <f>ROUND(+NOMINA!BN177,2)</f>
        <v>3.55</v>
      </c>
      <c r="X198" s="999">
        <f>ROUND(NOMINA!BO177,2)</f>
        <v>0</v>
      </c>
      <c r="Y198" s="999">
        <f>ROUND(NOMINA!BP177,2)</f>
        <v>0.86</v>
      </c>
      <c r="Z198" s="986">
        <f t="shared" si="29"/>
        <v>0</v>
      </c>
      <c r="AA198" s="999">
        <f>ROUND(NOMINA!BK177,2)</f>
        <v>0</v>
      </c>
      <c r="AB198" s="866">
        <f t="shared" si="30"/>
        <v>171.06000000000003</v>
      </c>
    </row>
    <row r="199" spans="1:28" s="629" customFormat="1" ht="20.100000000000001" customHeight="1" thickBot="1">
      <c r="A199" s="770" t="s">
        <v>2846</v>
      </c>
      <c r="B199" s="510">
        <f t="shared" ca="1" si="26"/>
        <v>136</v>
      </c>
      <c r="C199" s="980">
        <f>+NOMINA!C178</f>
        <v>16376781</v>
      </c>
      <c r="D199" s="981" t="str">
        <f>+NOMINA!D178</f>
        <v>Viloria de Utrilla Arelis del Carmen</v>
      </c>
      <c r="E199" s="978" t="s">
        <v>4622</v>
      </c>
      <c r="F199" s="1006">
        <v>27853</v>
      </c>
      <c r="G199" s="978" t="s">
        <v>4620</v>
      </c>
      <c r="H199" s="1007">
        <f>+NOMINA!H178</f>
        <v>45413</v>
      </c>
      <c r="I199" s="984">
        <f>+NOMINA!I178</f>
        <v>0</v>
      </c>
      <c r="J199" s="985">
        <f>+NOMINA!J178</f>
        <v>0</v>
      </c>
      <c r="K199" s="984">
        <f t="shared" si="27"/>
        <v>0</v>
      </c>
      <c r="L199" s="985" t="s">
        <v>4932</v>
      </c>
      <c r="M199" s="985"/>
      <c r="N199" s="1002" t="str">
        <f>+NOMINA!O178</f>
        <v>Guia de Centro I</v>
      </c>
      <c r="O199" s="999">
        <f>ROUND(NOMINA!W178,2)</f>
        <v>96</v>
      </c>
      <c r="P199" s="999">
        <f>NOMINA!AF178</f>
        <v>0</v>
      </c>
      <c r="Q199" s="999">
        <f>NOMINA!AH178</f>
        <v>65</v>
      </c>
      <c r="R199" s="999">
        <f>NOMINA!AC178</f>
        <v>25</v>
      </c>
      <c r="S199" s="999">
        <f>NOMINA!AJ178</f>
        <v>34.700000000000003</v>
      </c>
      <c r="T199" s="986">
        <f t="shared" si="28"/>
        <v>143.19999999999999</v>
      </c>
      <c r="U199" s="999">
        <f>ROUND(NOMINA!BL178,2)</f>
        <v>19.989999999999998</v>
      </c>
      <c r="V199" s="999">
        <f>ROUND(NOMINA!BM178,2)</f>
        <v>2.5</v>
      </c>
      <c r="W199" s="999">
        <f>ROUND(+NOMINA!BN178,2)</f>
        <v>5.41</v>
      </c>
      <c r="X199" s="999">
        <f>ROUND(NOMINA!BO178,2)</f>
        <v>0</v>
      </c>
      <c r="Y199" s="999">
        <f>ROUND(NOMINA!BP178,2)</f>
        <v>0</v>
      </c>
      <c r="Z199" s="986">
        <f t="shared" si="29"/>
        <v>34.97</v>
      </c>
      <c r="AA199" s="999">
        <f>ROUND(NOMINA!BK178,2)</f>
        <v>0</v>
      </c>
      <c r="AB199" s="866">
        <f t="shared" si="30"/>
        <v>192.79999999999998</v>
      </c>
    </row>
    <row r="200" spans="1:28" s="629" customFormat="1" ht="20.100000000000001" customHeight="1" thickBot="1">
      <c r="A200" s="770" t="s">
        <v>2846</v>
      </c>
      <c r="B200" s="510">
        <f t="shared" ca="1" si="26"/>
        <v>137</v>
      </c>
      <c r="C200" s="980">
        <f>+NOMINA!C179</f>
        <v>16377159</v>
      </c>
      <c r="D200" s="981" t="str">
        <f>+NOMINA!D179</f>
        <v>Carrillo Uzcategui Tahiyuani Carolina</v>
      </c>
      <c r="E200" s="978" t="s">
        <v>4622</v>
      </c>
      <c r="F200" s="1006">
        <v>27853</v>
      </c>
      <c r="G200" s="978" t="s">
        <v>4620</v>
      </c>
      <c r="H200" s="1007">
        <f>+NOMINA!H179</f>
        <v>44743</v>
      </c>
      <c r="I200" s="984">
        <f>+NOMINA!I179</f>
        <v>2</v>
      </c>
      <c r="J200" s="985">
        <f>+NOMINA!J179</f>
        <v>0</v>
      </c>
      <c r="K200" s="984">
        <f t="shared" si="27"/>
        <v>2</v>
      </c>
      <c r="L200" s="985" t="s">
        <v>4932</v>
      </c>
      <c r="M200" s="985"/>
      <c r="N200" s="1002" t="str">
        <f>+NOMINA!O179</f>
        <v>Guia de Centro I</v>
      </c>
      <c r="O200" s="999">
        <f>ROUND(NOMINA!W179,2)</f>
        <v>96</v>
      </c>
      <c r="P200" s="999">
        <f>NOMINA!AF179</f>
        <v>1.92</v>
      </c>
      <c r="Q200" s="999">
        <f>NOMINA!AH179</f>
        <v>65</v>
      </c>
      <c r="R200" s="999">
        <f>NOMINA!AC179</f>
        <v>25</v>
      </c>
      <c r="S200" s="999">
        <f>NOMINA!AJ179</f>
        <v>35.090000000000003</v>
      </c>
      <c r="T200" s="986">
        <f t="shared" si="28"/>
        <v>92.25</v>
      </c>
      <c r="U200" s="999">
        <f>ROUND(NOMINA!BL179,2)</f>
        <v>20.21</v>
      </c>
      <c r="V200" s="999">
        <f>ROUND(NOMINA!BM179,2)</f>
        <v>2.5299999999999998</v>
      </c>
      <c r="W200" s="999">
        <f>ROUND(+NOMINA!BN179,2)</f>
        <v>5.47</v>
      </c>
      <c r="X200" s="999">
        <f>ROUND(NOMINA!BO179,2)</f>
        <v>0</v>
      </c>
      <c r="Y200" s="999">
        <f>ROUND(NOMINA!BP179,2)</f>
        <v>0</v>
      </c>
      <c r="Z200" s="986">
        <f t="shared" si="29"/>
        <v>26.9</v>
      </c>
      <c r="AA200" s="999">
        <f>ROUND(NOMINA!BK179,2)</f>
        <v>0</v>
      </c>
      <c r="AB200" s="866">
        <f t="shared" si="30"/>
        <v>194.8</v>
      </c>
    </row>
    <row r="201" spans="1:28" s="629" customFormat="1" ht="20.100000000000001" customHeight="1" thickBot="1">
      <c r="A201" s="770" t="s">
        <v>2846</v>
      </c>
      <c r="B201" s="510">
        <f t="shared" ca="1" si="26"/>
        <v>138</v>
      </c>
      <c r="C201" s="980">
        <f>+NOMINA!C180</f>
        <v>16377588</v>
      </c>
      <c r="D201" s="981" t="str">
        <f>+NOMINA!D180</f>
        <v>Perdomo Linares Alejandra Carolina</v>
      </c>
      <c r="E201" s="978" t="s">
        <v>4622</v>
      </c>
      <c r="F201" s="1006">
        <v>27853</v>
      </c>
      <c r="G201" s="978" t="s">
        <v>4620</v>
      </c>
      <c r="H201" s="1007">
        <f>+NOMINA!H180</f>
        <v>44059</v>
      </c>
      <c r="I201" s="984">
        <f>+NOMINA!I180</f>
        <v>4</v>
      </c>
      <c r="J201" s="985">
        <f>+NOMINA!J180</f>
        <v>0</v>
      </c>
      <c r="K201" s="984">
        <f t="shared" si="27"/>
        <v>4</v>
      </c>
      <c r="L201" s="985" t="s">
        <v>4932</v>
      </c>
      <c r="M201" s="985"/>
      <c r="N201" s="1002" t="str">
        <f>+NOMINA!O180</f>
        <v>Tutor Facilitador II</v>
      </c>
      <c r="O201" s="999">
        <f>ROUND(NOMINA!W180,2)</f>
        <v>138.5</v>
      </c>
      <c r="P201" s="999">
        <f>NOMINA!AF180</f>
        <v>5.54</v>
      </c>
      <c r="Q201" s="999">
        <f>NOMINA!AH180</f>
        <v>65</v>
      </c>
      <c r="R201" s="999">
        <f>NOMINA!AC180</f>
        <v>12.5</v>
      </c>
      <c r="S201" s="999">
        <f>NOMINA!AJ180</f>
        <v>53.83</v>
      </c>
      <c r="T201" s="986">
        <f t="shared" si="28"/>
        <v>126.07</v>
      </c>
      <c r="U201" s="999">
        <f>ROUND(NOMINA!BL180,2)</f>
        <v>19.87</v>
      </c>
      <c r="V201" s="999">
        <f>ROUND(NOMINA!BM180,2)</f>
        <v>2.48</v>
      </c>
      <c r="W201" s="999">
        <f>ROUND(+NOMINA!BN180,2)</f>
        <v>5.38</v>
      </c>
      <c r="X201" s="999">
        <f>ROUND(NOMINA!BO180,2)</f>
        <v>0</v>
      </c>
      <c r="Y201" s="999">
        <f>ROUND(NOMINA!BP180,2)</f>
        <v>0</v>
      </c>
      <c r="Z201" s="986">
        <f t="shared" si="29"/>
        <v>29.78</v>
      </c>
      <c r="AA201" s="999">
        <f>ROUND(NOMINA!BK180,2)</f>
        <v>0</v>
      </c>
      <c r="AB201" s="866">
        <f t="shared" si="30"/>
        <v>247.64000000000001</v>
      </c>
    </row>
    <row r="202" spans="1:28" s="629" customFormat="1" ht="20.100000000000001" customHeight="1" thickBot="1">
      <c r="A202" s="770" t="s">
        <v>2846</v>
      </c>
      <c r="B202" s="510">
        <f t="shared" ca="1" si="26"/>
        <v>139</v>
      </c>
      <c r="C202" s="980">
        <f>+NOMINA!C181</f>
        <v>16377628</v>
      </c>
      <c r="D202" s="981" t="str">
        <f>+NOMINA!D181</f>
        <v>Peña Nava Maria Gabriela</v>
      </c>
      <c r="E202" s="978" t="s">
        <v>4622</v>
      </c>
      <c r="F202" s="1006">
        <v>27853</v>
      </c>
      <c r="G202" s="978" t="s">
        <v>4620</v>
      </c>
      <c r="H202" s="1007">
        <f>+NOMINA!H181</f>
        <v>44743</v>
      </c>
      <c r="I202" s="984">
        <f>+NOMINA!I181</f>
        <v>2</v>
      </c>
      <c r="J202" s="985">
        <f>+NOMINA!J181</f>
        <v>9</v>
      </c>
      <c r="K202" s="984">
        <f t="shared" si="27"/>
        <v>11</v>
      </c>
      <c r="L202" s="985" t="s">
        <v>4932</v>
      </c>
      <c r="M202" s="985"/>
      <c r="N202" s="1002" t="str">
        <f>+NOMINA!O181</f>
        <v>Guia de Centro II</v>
      </c>
      <c r="O202" s="999">
        <f>ROUND(NOMINA!W181,2)</f>
        <v>140.5</v>
      </c>
      <c r="P202" s="999">
        <f>NOMINA!AF181</f>
        <v>17.420000000000002</v>
      </c>
      <c r="Q202" s="999">
        <f>NOMINA!AH181</f>
        <v>65</v>
      </c>
      <c r="R202" s="999">
        <f>NOMINA!AC181</f>
        <v>12.5</v>
      </c>
      <c r="S202" s="999">
        <f>NOMINA!AJ181</f>
        <v>57.3</v>
      </c>
      <c r="T202" s="986">
        <f t="shared" si="28"/>
        <v>126.94</v>
      </c>
      <c r="U202" s="999">
        <f>ROUND(NOMINA!BL181,2)</f>
        <v>27.5</v>
      </c>
      <c r="V202" s="999">
        <f>ROUND(NOMINA!BM181,2)</f>
        <v>3.44</v>
      </c>
      <c r="W202" s="999">
        <f>ROUND(+NOMINA!BN181,2)</f>
        <v>7.45</v>
      </c>
      <c r="X202" s="999">
        <f>ROUND(NOMINA!BO181,2)</f>
        <v>0</v>
      </c>
      <c r="Y202" s="999">
        <f>ROUND(NOMINA!BP181,2)</f>
        <v>0</v>
      </c>
      <c r="Z202" s="986">
        <f t="shared" si="29"/>
        <v>22.77</v>
      </c>
      <c r="AA202" s="999">
        <f>ROUND(NOMINA!BK181,2)</f>
        <v>0</v>
      </c>
      <c r="AB202" s="866">
        <f t="shared" si="30"/>
        <v>254.33000000000004</v>
      </c>
    </row>
    <row r="203" spans="1:28" s="629" customFormat="1" ht="20.100000000000001" customHeight="1" thickBot="1">
      <c r="A203" s="770" t="s">
        <v>2846</v>
      </c>
      <c r="B203" s="510">
        <f t="shared" ca="1" si="26"/>
        <v>140</v>
      </c>
      <c r="C203" s="980">
        <f>+NOMINA!C182</f>
        <v>16533566</v>
      </c>
      <c r="D203" s="981" t="str">
        <f>+NOMINA!D182</f>
        <v>Materan Gallardo Vivian Katiana</v>
      </c>
      <c r="E203" s="978" t="s">
        <v>4622</v>
      </c>
      <c r="F203" s="1006">
        <v>27853</v>
      </c>
      <c r="G203" s="978" t="s">
        <v>4620</v>
      </c>
      <c r="H203" s="1007">
        <f>+NOMINA!H182</f>
        <v>44683</v>
      </c>
      <c r="I203" s="984">
        <f>+NOMINA!I182</f>
        <v>2</v>
      </c>
      <c r="J203" s="985">
        <f>+NOMINA!J182</f>
        <v>0</v>
      </c>
      <c r="K203" s="984">
        <f t="shared" si="27"/>
        <v>2</v>
      </c>
      <c r="L203" s="985" t="s">
        <v>4932</v>
      </c>
      <c r="M203" s="985"/>
      <c r="N203" s="1002" t="str">
        <f>+NOMINA!O182</f>
        <v>Guia de Centro I</v>
      </c>
      <c r="O203" s="999">
        <f>ROUND(NOMINA!W182,2)</f>
        <v>65</v>
      </c>
      <c r="P203" s="999">
        <f>NOMINA!AF182</f>
        <v>1.3</v>
      </c>
      <c r="Q203" s="999">
        <f>NOMINA!AH182</f>
        <v>65</v>
      </c>
      <c r="R203" s="999">
        <f>NOMINA!AC182</f>
        <v>25</v>
      </c>
      <c r="S203" s="999">
        <f>NOMINA!AJ182</f>
        <v>0</v>
      </c>
      <c r="T203" s="986">
        <f t="shared" si="28"/>
        <v>145.74</v>
      </c>
      <c r="U203" s="999">
        <f>ROUND(NOMINA!BL182,2)</f>
        <v>13.8</v>
      </c>
      <c r="V203" s="999">
        <f>ROUND(NOMINA!BM182,2)</f>
        <v>1.73</v>
      </c>
      <c r="W203" s="999">
        <f>ROUND(+NOMINA!BN182,2)</f>
        <v>3.74</v>
      </c>
      <c r="X203" s="999">
        <f>ROUND(NOMINA!BO182,2)</f>
        <v>0</v>
      </c>
      <c r="Y203" s="999">
        <f>ROUND(NOMINA!BP182,2)</f>
        <v>0</v>
      </c>
      <c r="Z203" s="986">
        <f t="shared" si="29"/>
        <v>34.19</v>
      </c>
      <c r="AA203" s="999">
        <f>ROUND(NOMINA!BK182,2)</f>
        <v>0</v>
      </c>
      <c r="AB203" s="866">
        <f t="shared" si="30"/>
        <v>137.03</v>
      </c>
    </row>
    <row r="204" spans="1:28" s="629" customFormat="1" ht="20.100000000000001" customHeight="1" thickBot="1">
      <c r="A204" s="770" t="s">
        <v>2846</v>
      </c>
      <c r="B204" s="510">
        <f t="shared" ca="1" si="26"/>
        <v>141</v>
      </c>
      <c r="C204" s="980">
        <f>+NOMINA!C183</f>
        <v>16533615</v>
      </c>
      <c r="D204" s="981" t="str">
        <f>+NOMINA!D183</f>
        <v>Valero Sulbaran Urquia Del Mar</v>
      </c>
      <c r="E204" s="978" t="s">
        <v>4622</v>
      </c>
      <c r="F204" s="1006">
        <v>27853</v>
      </c>
      <c r="G204" s="978" t="s">
        <v>4620</v>
      </c>
      <c r="H204" s="1007">
        <f>+NOMINA!H183</f>
        <v>45474</v>
      </c>
      <c r="I204" s="984">
        <f>+NOMINA!I183</f>
        <v>0</v>
      </c>
      <c r="J204" s="985">
        <f>+NOMINA!J183</f>
        <v>0</v>
      </c>
      <c r="K204" s="984">
        <f t="shared" si="27"/>
        <v>0</v>
      </c>
      <c r="L204" s="985" t="s">
        <v>4932</v>
      </c>
      <c r="M204" s="985"/>
      <c r="N204" s="1002" t="str">
        <f>+NOMINA!O183</f>
        <v>Guia de Centro I</v>
      </c>
      <c r="O204" s="999">
        <f>ROUND(NOMINA!W183,2)</f>
        <v>123</v>
      </c>
      <c r="P204" s="999">
        <f>NOMINA!AF183</f>
        <v>0</v>
      </c>
      <c r="Q204" s="999">
        <f>NOMINA!AH183</f>
        <v>65</v>
      </c>
      <c r="R204" s="999">
        <f>NOMINA!AC183</f>
        <v>12.5</v>
      </c>
      <c r="S204" s="999">
        <f>NOMINA!AJ183</f>
        <v>48.57</v>
      </c>
      <c r="T204" s="986">
        <f t="shared" si="28"/>
        <v>184.24</v>
      </c>
      <c r="U204" s="999">
        <f>ROUND(NOMINA!BL183,2)</f>
        <v>23.31</v>
      </c>
      <c r="V204" s="999">
        <f>ROUND(NOMINA!BM183,2)</f>
        <v>2.91</v>
      </c>
      <c r="W204" s="999">
        <f>ROUND(+NOMINA!BN183,2)</f>
        <v>6.31</v>
      </c>
      <c r="X204" s="999">
        <f>ROUND(NOMINA!BO183,2)</f>
        <v>0</v>
      </c>
      <c r="Y204" s="999">
        <f>ROUND(NOMINA!BP183,2)</f>
        <v>0</v>
      </c>
      <c r="Z204" s="986">
        <f t="shared" si="29"/>
        <v>37.04</v>
      </c>
      <c r="AA204" s="999">
        <f>ROUND(NOMINA!BK183,2)</f>
        <v>0</v>
      </c>
      <c r="AB204" s="866">
        <f t="shared" si="30"/>
        <v>216.54</v>
      </c>
    </row>
    <row r="205" spans="1:28" s="629" customFormat="1" ht="20.100000000000001" customHeight="1" thickBot="1">
      <c r="A205" s="770" t="s">
        <v>2846</v>
      </c>
      <c r="B205" s="510">
        <f t="shared" ca="1" si="26"/>
        <v>142</v>
      </c>
      <c r="C205" s="980">
        <f>+NOMINA!C184</f>
        <v>16533986</v>
      </c>
      <c r="D205" s="981" t="str">
        <f>+NOMINA!D184</f>
        <v>Serrada Bustos Gladys Magaly</v>
      </c>
      <c r="E205" s="978" t="s">
        <v>4622</v>
      </c>
      <c r="F205" s="1006">
        <v>27853</v>
      </c>
      <c r="G205" s="978" t="s">
        <v>4620</v>
      </c>
      <c r="H205" s="1007">
        <f>+NOMINA!H184</f>
        <v>42948</v>
      </c>
      <c r="I205" s="984">
        <f>+NOMINA!I184</f>
        <v>7</v>
      </c>
      <c r="J205" s="985">
        <f>+NOMINA!J184</f>
        <v>0</v>
      </c>
      <c r="K205" s="984">
        <f t="shared" si="27"/>
        <v>7</v>
      </c>
      <c r="L205" s="985" t="s">
        <v>4932</v>
      </c>
      <c r="M205" s="985"/>
      <c r="N205" s="1002" t="str">
        <f>+NOMINA!O184</f>
        <v>INGENIERO ELECTRICISTA JEFE</v>
      </c>
      <c r="O205" s="999">
        <f>ROUND(NOMINA!W184,2)</f>
        <v>139.5</v>
      </c>
      <c r="P205" s="999">
        <f>NOMINA!AF184</f>
        <v>10.33</v>
      </c>
      <c r="Q205" s="999">
        <f>NOMINA!AH184</f>
        <v>65</v>
      </c>
      <c r="R205" s="999">
        <f>NOMINA!AC184</f>
        <v>12.5</v>
      </c>
      <c r="S205" s="999">
        <f>NOMINA!AJ184</f>
        <v>55.27</v>
      </c>
      <c r="T205" s="986">
        <f t="shared" si="28"/>
        <v>0</v>
      </c>
      <c r="U205" s="999">
        <f>ROUND(NOMINA!BL184,2)</f>
        <v>20.41</v>
      </c>
      <c r="V205" s="999">
        <f>ROUND(NOMINA!BM184,2)</f>
        <v>2.5499999999999998</v>
      </c>
      <c r="W205" s="999">
        <f>ROUND(+NOMINA!BN184,2)</f>
        <v>5.53</v>
      </c>
      <c r="X205" s="999">
        <f>ROUND(NOMINA!BO184,2)</f>
        <v>0</v>
      </c>
      <c r="Y205" s="999">
        <f>ROUND(NOMINA!BP184,2)</f>
        <v>0</v>
      </c>
      <c r="Z205" s="986">
        <f t="shared" si="29"/>
        <v>27.56</v>
      </c>
      <c r="AA205" s="999">
        <f>ROUND(NOMINA!BK184,2)</f>
        <v>0</v>
      </c>
      <c r="AB205" s="866">
        <f t="shared" si="30"/>
        <v>254.11</v>
      </c>
    </row>
    <row r="206" spans="1:28" s="629" customFormat="1" ht="20.100000000000001" customHeight="1" thickBot="1">
      <c r="A206" s="770" t="s">
        <v>2846</v>
      </c>
      <c r="B206" s="510">
        <f t="shared" ca="1" si="26"/>
        <v>143</v>
      </c>
      <c r="C206" s="980">
        <f>+NOMINA!C185</f>
        <v>16739081</v>
      </c>
      <c r="D206" s="981" t="str">
        <f>+NOMINA!D185</f>
        <v>Albarran Araujo Yely Coromoto</v>
      </c>
      <c r="E206" s="978" t="s">
        <v>4622</v>
      </c>
      <c r="F206" s="1006">
        <v>27853</v>
      </c>
      <c r="G206" s="978" t="s">
        <v>4620</v>
      </c>
      <c r="H206" s="1007">
        <f>+NOMINA!H185</f>
        <v>42948</v>
      </c>
      <c r="I206" s="984">
        <f>+NOMINA!I185</f>
        <v>7</v>
      </c>
      <c r="J206" s="985">
        <f>+NOMINA!J185</f>
        <v>0</v>
      </c>
      <c r="K206" s="984">
        <f t="shared" si="27"/>
        <v>7</v>
      </c>
      <c r="L206" s="985" t="s">
        <v>4932</v>
      </c>
      <c r="M206" s="985"/>
      <c r="N206" s="1002" t="str">
        <f>+NOMINA!O185</f>
        <v>Asistente Administrativo III</v>
      </c>
      <c r="O206" s="999">
        <f>ROUND(NOMINA!W185,2)</f>
        <v>0</v>
      </c>
      <c r="P206" s="999">
        <f>NOMINA!AF185</f>
        <v>0</v>
      </c>
      <c r="Q206" s="999">
        <f>NOMINA!AH185</f>
        <v>0</v>
      </c>
      <c r="R206" s="999">
        <f>NOMINA!AC185</f>
        <v>0</v>
      </c>
      <c r="S206" s="999">
        <f>NOMINA!AJ185</f>
        <v>0</v>
      </c>
      <c r="T206" s="986">
        <f t="shared" si="28"/>
        <v>159.49</v>
      </c>
      <c r="U206" s="999">
        <f>ROUND(NOMINA!BL185,2)</f>
        <v>0</v>
      </c>
      <c r="V206" s="999">
        <f>ROUND(NOMINA!BM185,2)</f>
        <v>0</v>
      </c>
      <c r="W206" s="999">
        <f>ROUND(+NOMINA!BN185,2)</f>
        <v>0</v>
      </c>
      <c r="X206" s="999">
        <f>ROUND(NOMINA!BO185,2)</f>
        <v>0</v>
      </c>
      <c r="Y206" s="999">
        <f>ROUND(NOMINA!BP185,2)</f>
        <v>0</v>
      </c>
      <c r="Z206" s="986">
        <f t="shared" si="29"/>
        <v>30.62</v>
      </c>
      <c r="AA206" s="999">
        <f>ROUND(NOMINA!BK185,2)</f>
        <v>0</v>
      </c>
      <c r="AB206" s="866">
        <f t="shared" si="30"/>
        <v>0</v>
      </c>
    </row>
    <row r="207" spans="1:28" s="629" customFormat="1" ht="20.100000000000001" customHeight="1" thickBot="1">
      <c r="A207" s="770" t="s">
        <v>2846</v>
      </c>
      <c r="B207" s="510">
        <f t="shared" ca="1" si="26"/>
        <v>144</v>
      </c>
      <c r="C207" s="980">
        <f>+NOMINA!C186</f>
        <v>16740261</v>
      </c>
      <c r="D207" s="981" t="str">
        <f>+NOMINA!D186</f>
        <v>Rivas Briceño Nathaly Del Carmen</v>
      </c>
      <c r="E207" s="978" t="s">
        <v>4622</v>
      </c>
      <c r="F207" s="1006">
        <v>27853</v>
      </c>
      <c r="G207" s="978" t="s">
        <v>4620</v>
      </c>
      <c r="H207" s="1007">
        <f>+NOMINA!H186</f>
        <v>45505</v>
      </c>
      <c r="I207" s="984">
        <f>+NOMINA!I186</f>
        <v>0</v>
      </c>
      <c r="J207" s="985">
        <f>+NOMINA!J186</f>
        <v>0</v>
      </c>
      <c r="K207" s="984">
        <f t="shared" si="27"/>
        <v>0</v>
      </c>
      <c r="L207" s="985" t="s">
        <v>4932</v>
      </c>
      <c r="M207" s="985"/>
      <c r="N207" s="1002" t="str">
        <f>+NOMINA!O186</f>
        <v>Tecnico Superior en Trabajo Social I</v>
      </c>
      <c r="O207" s="999">
        <f>ROUND(NOMINA!W186,2)</f>
        <v>96</v>
      </c>
      <c r="P207" s="999">
        <f>NOMINA!AF186</f>
        <v>0</v>
      </c>
      <c r="Q207" s="999">
        <f>NOMINA!AH186</f>
        <v>65</v>
      </c>
      <c r="R207" s="999">
        <f>NOMINA!AC186</f>
        <v>12.5</v>
      </c>
      <c r="S207" s="999">
        <f>NOMINA!AJ186</f>
        <v>33.450000000000003</v>
      </c>
      <c r="T207" s="986">
        <f t="shared" si="28"/>
        <v>159.49</v>
      </c>
      <c r="U207" s="999">
        <f>ROUND(NOMINA!BL186,2)</f>
        <v>14.82</v>
      </c>
      <c r="V207" s="999">
        <f>ROUND(NOMINA!BM186,2)</f>
        <v>1.85</v>
      </c>
      <c r="W207" s="999">
        <f>ROUND(+NOMINA!BN186,2)</f>
        <v>4.01</v>
      </c>
      <c r="X207" s="999">
        <f>ROUND(NOMINA!BO186,2)</f>
        <v>0</v>
      </c>
      <c r="Y207" s="999">
        <f>ROUND(NOMINA!BP186,2)</f>
        <v>0</v>
      </c>
      <c r="Z207" s="986">
        <f t="shared" si="29"/>
        <v>25.09</v>
      </c>
      <c r="AA207" s="999">
        <f>ROUND(NOMINA!BK186,2)</f>
        <v>0</v>
      </c>
      <c r="AB207" s="866">
        <f t="shared" si="30"/>
        <v>186.26999999999998</v>
      </c>
    </row>
    <row r="208" spans="1:28" s="629" customFormat="1" ht="20.100000000000001" customHeight="1" thickBot="1">
      <c r="A208" s="770" t="s">
        <v>2846</v>
      </c>
      <c r="B208" s="510">
        <f t="shared" ca="1" si="26"/>
        <v>145</v>
      </c>
      <c r="C208" s="980">
        <f>+NOMINA!C187</f>
        <v>16881384</v>
      </c>
      <c r="D208" s="981" t="str">
        <f>+NOMINA!D187</f>
        <v>Perez Ramirez Yonathan Jesus</v>
      </c>
      <c r="E208" s="978" t="s">
        <v>4622</v>
      </c>
      <c r="F208" s="1006">
        <v>27853</v>
      </c>
      <c r="G208" s="978" t="s">
        <v>4620</v>
      </c>
      <c r="H208" s="1007">
        <f>+NOMINA!H187</f>
        <v>43906</v>
      </c>
      <c r="I208" s="984">
        <f>+NOMINA!I187</f>
        <v>4</v>
      </c>
      <c r="J208" s="985">
        <f>+NOMINA!J187</f>
        <v>9</v>
      </c>
      <c r="K208" s="984">
        <f t="shared" si="27"/>
        <v>13</v>
      </c>
      <c r="L208" s="985" t="s">
        <v>4932</v>
      </c>
      <c r="M208" s="985"/>
      <c r="N208" s="1002" t="str">
        <f>+NOMINA!O187</f>
        <v>Guia de Centro II</v>
      </c>
      <c r="O208" s="999">
        <f>ROUND(NOMINA!W187,2)</f>
        <v>112.5</v>
      </c>
      <c r="P208" s="999">
        <f>NOMINA!AF187</f>
        <v>17.100000000000001</v>
      </c>
      <c r="Q208" s="999">
        <f>NOMINA!AH187</f>
        <v>65</v>
      </c>
      <c r="R208" s="999">
        <f>NOMINA!AC187</f>
        <v>0</v>
      </c>
      <c r="S208" s="999">
        <f>NOMINA!AJ187</f>
        <v>38.92</v>
      </c>
      <c r="T208" s="986">
        <f t="shared" si="28"/>
        <v>112.74000000000001</v>
      </c>
      <c r="U208" s="999">
        <f>ROUND(NOMINA!BL187,2)</f>
        <v>22.42</v>
      </c>
      <c r="V208" s="999">
        <f>ROUND(NOMINA!BM187,2)</f>
        <v>2.8</v>
      </c>
      <c r="W208" s="999">
        <f>ROUND(+NOMINA!BN187,2)</f>
        <v>6.07</v>
      </c>
      <c r="X208" s="999">
        <f>ROUND(NOMINA!BO187,2)</f>
        <v>0</v>
      </c>
      <c r="Y208" s="999">
        <f>ROUND(NOMINA!BP187,2)</f>
        <v>0</v>
      </c>
      <c r="Z208" s="986">
        <f t="shared" si="29"/>
        <v>32.69</v>
      </c>
      <c r="AA208" s="999">
        <f>ROUND(NOMINA!BK187,2)</f>
        <v>0</v>
      </c>
      <c r="AB208" s="866">
        <f t="shared" si="30"/>
        <v>202.23</v>
      </c>
    </row>
    <row r="209" spans="1:28" s="629" customFormat="1" ht="20.100000000000001" customHeight="1" thickBot="1">
      <c r="A209" s="770" t="s">
        <v>2846</v>
      </c>
      <c r="B209" s="510">
        <f t="shared" ca="1" si="26"/>
        <v>146</v>
      </c>
      <c r="C209" s="980">
        <f>+NOMINA!C188</f>
        <v>16882467</v>
      </c>
      <c r="D209" s="981" t="str">
        <f>+NOMINA!D188</f>
        <v>Mejia Araujo Sandra Coromoto</v>
      </c>
      <c r="E209" s="978" t="s">
        <v>4622</v>
      </c>
      <c r="F209" s="1006">
        <v>27853</v>
      </c>
      <c r="G209" s="978" t="s">
        <v>4620</v>
      </c>
      <c r="H209" s="1007">
        <f>+NOMINA!H188</f>
        <v>42948</v>
      </c>
      <c r="I209" s="984">
        <f>+NOMINA!I188</f>
        <v>7</v>
      </c>
      <c r="J209" s="985">
        <f>+NOMINA!J188</f>
        <v>7</v>
      </c>
      <c r="K209" s="984">
        <f t="shared" si="27"/>
        <v>14</v>
      </c>
      <c r="L209" s="985" t="s">
        <v>4932</v>
      </c>
      <c r="M209" s="985"/>
      <c r="N209" s="1002" t="str">
        <f>+NOMINA!O188</f>
        <v>Analista de Personal IV</v>
      </c>
      <c r="O209" s="999">
        <f>ROUND(NOMINA!W188,2)</f>
        <v>141.5</v>
      </c>
      <c r="P209" s="999">
        <f>NOMINA!AF188</f>
        <v>23.49</v>
      </c>
      <c r="Q209" s="999">
        <f>NOMINA!AH188</f>
        <v>65</v>
      </c>
      <c r="R209" s="999">
        <f>NOMINA!AC188</f>
        <v>12.5</v>
      </c>
      <c r="S209" s="999">
        <f>NOMINA!AJ188</f>
        <v>59.06</v>
      </c>
      <c r="T209" s="986">
        <f t="shared" si="28"/>
        <v>117.60000000000001</v>
      </c>
      <c r="U209" s="999">
        <f>ROUND(NOMINA!BL188,2)</f>
        <v>21.81</v>
      </c>
      <c r="V209" s="999">
        <f>ROUND(NOMINA!BM188,2)</f>
        <v>2.73</v>
      </c>
      <c r="W209" s="999">
        <f>ROUND(+NOMINA!BN188,2)</f>
        <v>5.91</v>
      </c>
      <c r="X209" s="999">
        <f>ROUND(NOMINA!BO188,2)</f>
        <v>0</v>
      </c>
      <c r="Y209" s="999">
        <f>ROUND(NOMINA!BP188,2)</f>
        <v>0</v>
      </c>
      <c r="Z209" s="986">
        <f t="shared" si="29"/>
        <v>29.38</v>
      </c>
      <c r="AA209" s="999">
        <f>ROUND(NOMINA!BK188,2)</f>
        <v>0</v>
      </c>
      <c r="AB209" s="866">
        <f t="shared" si="30"/>
        <v>271.10000000000002</v>
      </c>
    </row>
    <row r="210" spans="1:28" s="629" customFormat="1" ht="20.100000000000001" customHeight="1" thickBot="1">
      <c r="A210" s="770" t="s">
        <v>2846</v>
      </c>
      <c r="B210" s="510">
        <f t="shared" ca="1" si="26"/>
        <v>147</v>
      </c>
      <c r="C210" s="980">
        <f>+NOMINA!C189</f>
        <v>16883267</v>
      </c>
      <c r="D210" s="981" t="str">
        <f>+NOMINA!D189</f>
        <v>Matheus Rondon Aida</v>
      </c>
      <c r="E210" s="978" t="s">
        <v>4622</v>
      </c>
      <c r="F210" s="1006">
        <v>27853</v>
      </c>
      <c r="G210" s="978" t="s">
        <v>4620</v>
      </c>
      <c r="H210" s="1007">
        <f>+NOMINA!H189</f>
        <v>38930</v>
      </c>
      <c r="I210" s="984">
        <f>+NOMINA!I189</f>
        <v>18</v>
      </c>
      <c r="J210" s="985">
        <f>+NOMINA!J189</f>
        <v>0</v>
      </c>
      <c r="K210" s="984">
        <f t="shared" si="27"/>
        <v>18</v>
      </c>
      <c r="L210" s="985" t="s">
        <v>4932</v>
      </c>
      <c r="M210" s="985"/>
      <c r="N210" s="1002" t="str">
        <f>+NOMINA!O189</f>
        <v>Guia de Centro II</v>
      </c>
      <c r="O210" s="999">
        <f>ROUND(NOMINA!W189,2)</f>
        <v>114</v>
      </c>
      <c r="P210" s="999">
        <f>NOMINA!AF189</f>
        <v>25.99</v>
      </c>
      <c r="Q210" s="999">
        <f>NOMINA!AH189</f>
        <v>65</v>
      </c>
      <c r="R210" s="999">
        <f>NOMINA!AC189</f>
        <v>0</v>
      </c>
      <c r="S210" s="999">
        <f>NOMINA!AJ189</f>
        <v>41</v>
      </c>
      <c r="T210" s="986">
        <f t="shared" si="28"/>
        <v>154.68</v>
      </c>
      <c r="U210" s="999">
        <f>ROUND(NOMINA!BL189,2)</f>
        <v>18.170000000000002</v>
      </c>
      <c r="V210" s="999">
        <f>ROUND(NOMINA!BM189,2)</f>
        <v>2.27</v>
      </c>
      <c r="W210" s="999">
        <f>ROUND(+NOMINA!BN189,2)</f>
        <v>4.92</v>
      </c>
      <c r="X210" s="999">
        <f>ROUND(NOMINA!BO189,2)</f>
        <v>0</v>
      </c>
      <c r="Y210" s="999">
        <f>ROUND(NOMINA!BP189,2)</f>
        <v>0</v>
      </c>
      <c r="Z210" s="986">
        <f t="shared" si="29"/>
        <v>38.08</v>
      </c>
      <c r="AA210" s="999">
        <f>ROUND(NOMINA!BK189,2)</f>
        <v>0</v>
      </c>
      <c r="AB210" s="866">
        <f t="shared" si="30"/>
        <v>220.63</v>
      </c>
    </row>
    <row r="211" spans="1:28" s="629" customFormat="1" ht="20.100000000000001" customHeight="1" thickBot="1">
      <c r="A211" s="770" t="s">
        <v>2846</v>
      </c>
      <c r="B211" s="510">
        <f t="shared" ca="1" si="26"/>
        <v>148</v>
      </c>
      <c r="C211" s="980">
        <f>+NOMINA!C190</f>
        <v>17037244</v>
      </c>
      <c r="D211" s="981" t="str">
        <f>+NOMINA!D190</f>
        <v>Bastidas Yelitza Del Carmen</v>
      </c>
      <c r="E211" s="978" t="s">
        <v>4622</v>
      </c>
      <c r="F211" s="1006">
        <v>27853</v>
      </c>
      <c r="G211" s="978" t="s">
        <v>4620</v>
      </c>
      <c r="H211" s="1007">
        <f>+NOMINA!H190</f>
        <v>40087</v>
      </c>
      <c r="I211" s="984">
        <f>+NOMINA!I190</f>
        <v>15</v>
      </c>
      <c r="J211" s="985">
        <f>+NOMINA!J190</f>
        <v>0</v>
      </c>
      <c r="K211" s="984">
        <f t="shared" si="27"/>
        <v>15</v>
      </c>
      <c r="L211" s="985" t="s">
        <v>4932</v>
      </c>
      <c r="M211" s="985"/>
      <c r="N211" s="1002" t="str">
        <f>+NOMINA!O190</f>
        <v>Guia de Centro II</v>
      </c>
      <c r="O211" s="999">
        <f>ROUND(NOMINA!W190,2)</f>
        <v>113</v>
      </c>
      <c r="P211" s="999">
        <f>NOMINA!AF190</f>
        <v>20.34</v>
      </c>
      <c r="Q211" s="999">
        <f>NOMINA!AH190</f>
        <v>65</v>
      </c>
      <c r="R211" s="999">
        <f>NOMINA!AC190</f>
        <v>25</v>
      </c>
      <c r="S211" s="999">
        <f>NOMINA!AJ190</f>
        <v>42.17</v>
      </c>
      <c r="T211" s="986">
        <f t="shared" si="28"/>
        <v>143.1</v>
      </c>
      <c r="U211" s="999">
        <f>ROUND(NOMINA!BL190,2)</f>
        <v>24.29</v>
      </c>
      <c r="V211" s="999">
        <f>ROUND(NOMINA!BM190,2)</f>
        <v>3.04</v>
      </c>
      <c r="W211" s="999">
        <f>ROUND(+NOMINA!BN190,2)</f>
        <v>6.58</v>
      </c>
      <c r="X211" s="999">
        <f>ROUND(NOMINA!BO190,2)</f>
        <v>0</v>
      </c>
      <c r="Y211" s="999">
        <f>ROUND(NOMINA!BP190,2)</f>
        <v>0</v>
      </c>
      <c r="Z211" s="986">
        <f t="shared" si="29"/>
        <v>21.69</v>
      </c>
      <c r="AA211" s="999">
        <f>ROUND(NOMINA!BK190,2)</f>
        <v>0</v>
      </c>
      <c r="AB211" s="866">
        <f t="shared" si="30"/>
        <v>231.6</v>
      </c>
    </row>
    <row r="212" spans="1:28" s="629" customFormat="1" ht="20.100000000000001" customHeight="1" thickBot="1">
      <c r="A212" s="770" t="s">
        <v>2846</v>
      </c>
      <c r="B212" s="510">
        <f t="shared" ca="1" si="26"/>
        <v>149</v>
      </c>
      <c r="C212" s="980">
        <f>+NOMINA!C191</f>
        <v>17094419</v>
      </c>
      <c r="D212" s="981" t="str">
        <f>+NOMINA!D191</f>
        <v>Aponte Rivera Lenismar del Valle</v>
      </c>
      <c r="E212" s="978" t="s">
        <v>4622</v>
      </c>
      <c r="F212" s="1006">
        <v>27853</v>
      </c>
      <c r="G212" s="978" t="s">
        <v>4620</v>
      </c>
      <c r="H212" s="1007">
        <f>+NOMINA!H191</f>
        <v>44409</v>
      </c>
      <c r="I212" s="984">
        <f>+NOMINA!I191</f>
        <v>3</v>
      </c>
      <c r="J212" s="985">
        <f>+NOMINA!J191</f>
        <v>0</v>
      </c>
      <c r="K212" s="984">
        <f t="shared" si="27"/>
        <v>3</v>
      </c>
      <c r="L212" s="985" t="s">
        <v>4932</v>
      </c>
      <c r="M212" s="985"/>
      <c r="N212" s="1002" t="str">
        <f>+NOMINA!O191</f>
        <v>Guia de Centro I</v>
      </c>
      <c r="O212" s="999">
        <f>ROUND(NOMINA!W191,2)</f>
        <v>75</v>
      </c>
      <c r="P212" s="999">
        <f>NOMINA!AF191</f>
        <v>2.25</v>
      </c>
      <c r="Q212" s="999">
        <f>NOMINA!AH191</f>
        <v>65</v>
      </c>
      <c r="R212" s="999">
        <f>NOMINA!AC191</f>
        <v>0</v>
      </c>
      <c r="S212" s="999">
        <f>NOMINA!AJ191</f>
        <v>0</v>
      </c>
      <c r="T212" s="986">
        <f t="shared" si="28"/>
        <v>135.13999999999999</v>
      </c>
      <c r="U212" s="999">
        <f>ROUND(NOMINA!BL191,2)</f>
        <v>13.66</v>
      </c>
      <c r="V212" s="999">
        <f>ROUND(NOMINA!BM191,2)</f>
        <v>1.71</v>
      </c>
      <c r="W212" s="999">
        <f>ROUND(+NOMINA!BN191,2)</f>
        <v>3.7</v>
      </c>
      <c r="X212" s="999">
        <f>ROUND(NOMINA!BO191,2)</f>
        <v>0</v>
      </c>
      <c r="Y212" s="999">
        <f>ROUND(NOMINA!BP191,2)</f>
        <v>0</v>
      </c>
      <c r="Z212" s="986">
        <f t="shared" si="29"/>
        <v>36.29</v>
      </c>
      <c r="AA212" s="999">
        <f>ROUND(NOMINA!BK191,2)</f>
        <v>0</v>
      </c>
      <c r="AB212" s="866">
        <f t="shared" si="30"/>
        <v>123.18</v>
      </c>
    </row>
    <row r="213" spans="1:28" s="629" customFormat="1" ht="20.100000000000001" customHeight="1" thickBot="1">
      <c r="A213" s="770" t="s">
        <v>2846</v>
      </c>
      <c r="B213" s="510">
        <f t="shared" ca="1" si="26"/>
        <v>150</v>
      </c>
      <c r="C213" s="980">
        <f>+NOMINA!C192</f>
        <v>17094426</v>
      </c>
      <c r="D213" s="981" t="str">
        <f>+NOMINA!D192</f>
        <v>Manzanilla Araujo Richard Jose</v>
      </c>
      <c r="E213" s="978" t="s">
        <v>4622</v>
      </c>
      <c r="F213" s="1006">
        <v>27853</v>
      </c>
      <c r="G213" s="978" t="s">
        <v>4620</v>
      </c>
      <c r="H213" s="1007">
        <f>+NOMINA!H192</f>
        <v>43344</v>
      </c>
      <c r="I213" s="984">
        <f>+NOMINA!I192</f>
        <v>6</v>
      </c>
      <c r="J213" s="985">
        <f>+NOMINA!J192</f>
        <v>0</v>
      </c>
      <c r="K213" s="984">
        <f t="shared" si="27"/>
        <v>6</v>
      </c>
      <c r="L213" s="985" t="s">
        <v>4932</v>
      </c>
      <c r="M213" s="985"/>
      <c r="N213" s="1002" t="str">
        <f>+NOMINA!O192</f>
        <v>Guia de Centro II</v>
      </c>
      <c r="O213" s="999">
        <f>ROUND(NOMINA!W192,2)</f>
        <v>139.5</v>
      </c>
      <c r="P213" s="999">
        <f>NOMINA!AF192</f>
        <v>8.65</v>
      </c>
      <c r="Q213" s="999">
        <f>NOMINA!AH192</f>
        <v>65</v>
      </c>
      <c r="R213" s="999">
        <f>NOMINA!AC192</f>
        <v>12.5</v>
      </c>
      <c r="S213" s="999">
        <f>NOMINA!AJ192</f>
        <v>54.85</v>
      </c>
      <c r="T213" s="986">
        <f t="shared" si="28"/>
        <v>154.64000000000001</v>
      </c>
      <c r="U213" s="999">
        <f>ROUND(NOMINA!BL192,2)</f>
        <v>26.33</v>
      </c>
      <c r="V213" s="999">
        <f>ROUND(NOMINA!BM192,2)</f>
        <v>3.29</v>
      </c>
      <c r="W213" s="999">
        <f>ROUND(+NOMINA!BN192,2)</f>
        <v>7.13</v>
      </c>
      <c r="X213" s="999">
        <f>ROUND(NOMINA!BO192,2)</f>
        <v>0</v>
      </c>
      <c r="Y213" s="999">
        <f>ROUND(NOMINA!BP192,2)</f>
        <v>0</v>
      </c>
      <c r="Z213" s="986">
        <f t="shared" si="29"/>
        <v>19.170000000000002</v>
      </c>
      <c r="AA213" s="999">
        <f>ROUND(NOMINA!BK192,2)</f>
        <v>0</v>
      </c>
      <c r="AB213" s="866">
        <f t="shared" si="30"/>
        <v>243.75</v>
      </c>
    </row>
    <row r="214" spans="1:28" s="629" customFormat="1" ht="20.100000000000001" customHeight="1" thickBot="1">
      <c r="A214" s="770" t="s">
        <v>2846</v>
      </c>
      <c r="B214" s="510">
        <f t="shared" ref="B214:B277" ca="1" si="31">OFFSET(B214,-1,0)+1</f>
        <v>151</v>
      </c>
      <c r="C214" s="980">
        <f>+NOMINA!C193</f>
        <v>17130893</v>
      </c>
      <c r="D214" s="981" t="str">
        <f>+NOMINA!D193</f>
        <v>Leon Valero Ceila Maria</v>
      </c>
      <c r="E214" s="978" t="s">
        <v>4622</v>
      </c>
      <c r="F214" s="1006">
        <v>27853</v>
      </c>
      <c r="G214" s="978" t="s">
        <v>4620</v>
      </c>
      <c r="H214" s="1007">
        <f>+NOMINA!H193</f>
        <v>39602</v>
      </c>
      <c r="I214" s="984">
        <f>+NOMINA!I193</f>
        <v>16</v>
      </c>
      <c r="J214" s="985">
        <f>+NOMINA!J193</f>
        <v>0</v>
      </c>
      <c r="K214" s="984">
        <f t="shared" si="27"/>
        <v>16</v>
      </c>
      <c r="L214" s="985" t="s">
        <v>4932</v>
      </c>
      <c r="M214" s="985"/>
      <c r="N214" s="1002" t="str">
        <f>+NOMINA!O193</f>
        <v>Tutor Facilitador III</v>
      </c>
      <c r="O214" s="999">
        <f>ROUND(NOMINA!W193,2)</f>
        <v>142.5</v>
      </c>
      <c r="P214" s="999">
        <f>NOMINA!AF193</f>
        <v>27.93</v>
      </c>
      <c r="Q214" s="999">
        <f>NOMINA!AH193</f>
        <v>65</v>
      </c>
      <c r="R214" s="999">
        <f>NOMINA!AC193</f>
        <v>25</v>
      </c>
      <c r="S214" s="999">
        <f>NOMINA!AJ193</f>
        <v>61.99</v>
      </c>
      <c r="T214" s="986">
        <f t="shared" si="28"/>
        <v>144.4</v>
      </c>
      <c r="U214" s="999">
        <f>ROUND(NOMINA!BL193,2)</f>
        <v>22.89</v>
      </c>
      <c r="V214" s="999">
        <f>ROUND(NOMINA!BM193,2)</f>
        <v>2.86</v>
      </c>
      <c r="W214" s="999">
        <f>ROUND(+NOMINA!BN193,2)</f>
        <v>6.2</v>
      </c>
      <c r="X214" s="999">
        <f>ROUND(NOMINA!BO193,2)</f>
        <v>0</v>
      </c>
      <c r="Y214" s="999">
        <f>ROUND(NOMINA!BP193,2)</f>
        <v>0</v>
      </c>
      <c r="Z214" s="986">
        <f t="shared" si="29"/>
        <v>27.9</v>
      </c>
      <c r="AA214" s="999">
        <f>ROUND(NOMINA!BK193,2)</f>
        <v>0</v>
      </c>
      <c r="AB214" s="866">
        <f t="shared" si="30"/>
        <v>290.47000000000003</v>
      </c>
    </row>
    <row r="215" spans="1:28" s="629" customFormat="1" ht="20.100000000000001" customHeight="1" thickBot="1">
      <c r="A215" s="770" t="s">
        <v>2846</v>
      </c>
      <c r="B215" s="510">
        <f t="shared" ca="1" si="31"/>
        <v>152</v>
      </c>
      <c r="C215" s="980">
        <f>+NOMINA!C194</f>
        <v>17265093</v>
      </c>
      <c r="D215" s="981" t="str">
        <f>+NOMINA!D194</f>
        <v>Vielma Viloria Dublasca del Valle</v>
      </c>
      <c r="E215" s="978" t="s">
        <v>4622</v>
      </c>
      <c r="F215" s="1006">
        <v>27853</v>
      </c>
      <c r="G215" s="978" t="s">
        <v>4620</v>
      </c>
      <c r="H215" s="1007">
        <f>+NOMINA!H194</f>
        <v>45323</v>
      </c>
      <c r="I215" s="984">
        <f>+NOMINA!I194</f>
        <v>0</v>
      </c>
      <c r="J215" s="985">
        <f>+NOMINA!J194</f>
        <v>1</v>
      </c>
      <c r="K215" s="984">
        <f t="shared" si="27"/>
        <v>1</v>
      </c>
      <c r="L215" s="985" t="s">
        <v>4932</v>
      </c>
      <c r="M215" s="985"/>
      <c r="N215" s="1002" t="str">
        <f>+NOMINA!O194</f>
        <v>Psicologo I</v>
      </c>
      <c r="O215" s="999">
        <f>ROUND(NOMINA!W194,2)</f>
        <v>152.5</v>
      </c>
      <c r="P215" s="999">
        <f>NOMINA!AF194</f>
        <v>1.53</v>
      </c>
      <c r="Q215" s="999">
        <f>NOMINA!AH194</f>
        <v>65</v>
      </c>
      <c r="R215" s="999">
        <f>NOMINA!AC194</f>
        <v>12.5</v>
      </c>
      <c r="S215" s="999">
        <f>NOMINA!AJ194</f>
        <v>78.849999999999994</v>
      </c>
      <c r="T215" s="986">
        <f t="shared" si="28"/>
        <v>186.15</v>
      </c>
      <c r="U215" s="999">
        <f>ROUND(NOMINA!BL194,2)</f>
        <v>22.46</v>
      </c>
      <c r="V215" s="999">
        <f>ROUND(NOMINA!BM194,2)</f>
        <v>2.81</v>
      </c>
      <c r="W215" s="999">
        <f>ROUND(+NOMINA!BN194,2)</f>
        <v>6.08</v>
      </c>
      <c r="X215" s="999">
        <f>ROUND(NOMINA!BO194,2)</f>
        <v>0</v>
      </c>
      <c r="Y215" s="999">
        <f>ROUND(NOMINA!BP194,2)</f>
        <v>0</v>
      </c>
      <c r="Z215" s="986">
        <f t="shared" si="29"/>
        <v>28.21</v>
      </c>
      <c r="AA215" s="999">
        <f>ROUND(NOMINA!BK194,2)</f>
        <v>0</v>
      </c>
      <c r="AB215" s="866">
        <f t="shared" si="30"/>
        <v>279.02999999999997</v>
      </c>
    </row>
    <row r="216" spans="1:28" s="629" customFormat="1" ht="20.100000000000001" customHeight="1" thickBot="1">
      <c r="A216" s="770" t="s">
        <v>2846</v>
      </c>
      <c r="B216" s="510">
        <f t="shared" ca="1" si="31"/>
        <v>153</v>
      </c>
      <c r="C216" s="980">
        <f>+NOMINA!C195</f>
        <v>17265578</v>
      </c>
      <c r="D216" s="981" t="str">
        <f>+NOMINA!D195</f>
        <v>Briceño Aguilar Rebeca Andreina</v>
      </c>
      <c r="E216" s="978" t="s">
        <v>4622</v>
      </c>
      <c r="F216" s="1006">
        <v>27853</v>
      </c>
      <c r="G216" s="978" t="s">
        <v>4620</v>
      </c>
      <c r="H216" s="1007">
        <f>+NOMINA!H195</f>
        <v>45047</v>
      </c>
      <c r="I216" s="984">
        <f>+NOMINA!I195</f>
        <v>1</v>
      </c>
      <c r="J216" s="985">
        <f>+NOMINA!J195</f>
        <v>2</v>
      </c>
      <c r="K216" s="984">
        <f t="shared" si="27"/>
        <v>3</v>
      </c>
      <c r="L216" s="985" t="s">
        <v>4932</v>
      </c>
      <c r="M216" s="985"/>
      <c r="N216" s="1002" t="str">
        <f>+NOMINA!O195</f>
        <v>Tecnico Superior en Trabajo Social II</v>
      </c>
      <c r="O216" s="999">
        <f>ROUND(NOMINA!W195,2)</f>
        <v>109.5</v>
      </c>
      <c r="P216" s="999">
        <f>NOMINA!AF195</f>
        <v>3.29</v>
      </c>
      <c r="Q216" s="999">
        <f>NOMINA!AH195</f>
        <v>65</v>
      </c>
      <c r="R216" s="999">
        <f>NOMINA!AC195</f>
        <v>25</v>
      </c>
      <c r="S216" s="999">
        <f>NOMINA!AJ195</f>
        <v>38.06</v>
      </c>
      <c r="T216" s="986">
        <f t="shared" si="28"/>
        <v>135.78</v>
      </c>
      <c r="U216" s="999">
        <f>ROUND(NOMINA!BL195,2)</f>
        <v>16.86</v>
      </c>
      <c r="V216" s="999">
        <f>ROUND(NOMINA!BM195,2)</f>
        <v>2.11</v>
      </c>
      <c r="W216" s="999">
        <f>ROUND(+NOMINA!BN195,2)</f>
        <v>4.57</v>
      </c>
      <c r="X216" s="999">
        <f>ROUND(NOMINA!BO195,2)</f>
        <v>0</v>
      </c>
      <c r="Y216" s="999">
        <f>ROUND(NOMINA!BP195,2)</f>
        <v>0</v>
      </c>
      <c r="Z216" s="986">
        <f t="shared" si="29"/>
        <v>27.73</v>
      </c>
      <c r="AA216" s="999">
        <f>ROUND(NOMINA!BK195,2)</f>
        <v>0</v>
      </c>
      <c r="AB216" s="866">
        <f t="shared" si="30"/>
        <v>217.31000000000003</v>
      </c>
    </row>
    <row r="217" spans="1:28" s="629" customFormat="1" ht="20.100000000000001" customHeight="1" thickBot="1">
      <c r="A217" s="770" t="s">
        <v>2846</v>
      </c>
      <c r="B217" s="510">
        <f t="shared" ca="1" si="31"/>
        <v>154</v>
      </c>
      <c r="C217" s="980">
        <f>+NOMINA!C196</f>
        <v>17265648</v>
      </c>
      <c r="D217" s="981" t="str">
        <f>+NOMINA!D196</f>
        <v>Carrizo Mary Alejandra</v>
      </c>
      <c r="E217" s="978" t="s">
        <v>4622</v>
      </c>
      <c r="F217" s="1006">
        <v>27853</v>
      </c>
      <c r="G217" s="978" t="s">
        <v>4620</v>
      </c>
      <c r="H217" s="1007">
        <f>+NOMINA!H196</f>
        <v>43709</v>
      </c>
      <c r="I217" s="984">
        <f>+NOMINA!I196</f>
        <v>5</v>
      </c>
      <c r="J217" s="985">
        <f>+NOMINA!J196</f>
        <v>0</v>
      </c>
      <c r="K217" s="984">
        <f t="shared" si="27"/>
        <v>5</v>
      </c>
      <c r="L217" s="985" t="s">
        <v>4932</v>
      </c>
      <c r="M217" s="985"/>
      <c r="N217" s="1002" t="str">
        <f>+NOMINA!O196</f>
        <v>Guia de Centro II</v>
      </c>
      <c r="O217" s="999">
        <f>ROUND(NOMINA!W196,2)</f>
        <v>75</v>
      </c>
      <c r="P217" s="999">
        <f>NOMINA!AF196</f>
        <v>3.75</v>
      </c>
      <c r="Q217" s="999">
        <f>NOMINA!AH196</f>
        <v>65</v>
      </c>
      <c r="R217" s="999">
        <f>NOMINA!AC196</f>
        <v>25</v>
      </c>
      <c r="S217" s="999">
        <f>NOMINA!AJ196</f>
        <v>0</v>
      </c>
      <c r="T217" s="986">
        <f t="shared" si="28"/>
        <v>157.16</v>
      </c>
      <c r="U217" s="999">
        <f>ROUND(NOMINA!BL196,2)</f>
        <v>15</v>
      </c>
      <c r="V217" s="999">
        <f>ROUND(NOMINA!BM196,2)</f>
        <v>1.88</v>
      </c>
      <c r="W217" s="999">
        <f>ROUND(+NOMINA!BN196,2)</f>
        <v>4.0599999999999996</v>
      </c>
      <c r="X217" s="999">
        <f>ROUND(NOMINA!BO196,2)</f>
        <v>0</v>
      </c>
      <c r="Y217" s="999">
        <f>ROUND(NOMINA!BP196,2)</f>
        <v>0</v>
      </c>
      <c r="Z217" s="986">
        <f t="shared" si="29"/>
        <v>38.39</v>
      </c>
      <c r="AA217" s="999">
        <f>ROUND(NOMINA!BK196,2)</f>
        <v>0</v>
      </c>
      <c r="AB217" s="866">
        <f t="shared" si="30"/>
        <v>147.81</v>
      </c>
    </row>
    <row r="218" spans="1:28" s="629" customFormat="1" ht="20.100000000000001" customHeight="1" thickBot="1">
      <c r="A218" s="770" t="s">
        <v>2846</v>
      </c>
      <c r="B218" s="510">
        <f t="shared" ca="1" si="31"/>
        <v>155</v>
      </c>
      <c r="C218" s="980">
        <f>+NOMINA!C197</f>
        <v>17267324</v>
      </c>
      <c r="D218" s="981" t="str">
        <f>+NOMINA!D197</f>
        <v>Urdaneta Soto Katherine Esther</v>
      </c>
      <c r="E218" s="978" t="s">
        <v>4622</v>
      </c>
      <c r="F218" s="1006">
        <v>27853</v>
      </c>
      <c r="G218" s="978" t="s">
        <v>4620</v>
      </c>
      <c r="H218" s="1007">
        <f>+NOMINA!H197</f>
        <v>43785</v>
      </c>
      <c r="I218" s="984">
        <f>+NOMINA!I197</f>
        <v>5</v>
      </c>
      <c r="J218" s="985">
        <f>+NOMINA!J197</f>
        <v>0</v>
      </c>
      <c r="K218" s="984">
        <f t="shared" si="27"/>
        <v>5</v>
      </c>
      <c r="L218" s="985" t="s">
        <v>4932</v>
      </c>
      <c r="M218" s="985"/>
      <c r="N218" s="1002" t="str">
        <f>+NOMINA!O197</f>
        <v>Guia de Centro II</v>
      </c>
      <c r="O218" s="999">
        <f>ROUND(NOMINA!W197,2)</f>
        <v>75</v>
      </c>
      <c r="P218" s="999">
        <f>NOMINA!AF197</f>
        <v>3.75</v>
      </c>
      <c r="Q218" s="999">
        <f>NOMINA!AH197</f>
        <v>65</v>
      </c>
      <c r="R218" s="999">
        <f>NOMINA!AC197</f>
        <v>25</v>
      </c>
      <c r="S218" s="999">
        <f>NOMINA!AJ197</f>
        <v>0</v>
      </c>
      <c r="T218" s="986">
        <f t="shared" si="28"/>
        <v>127.01</v>
      </c>
      <c r="U218" s="999">
        <f>ROUND(NOMINA!BL197,2)</f>
        <v>15</v>
      </c>
      <c r="V218" s="999">
        <f>ROUND(NOMINA!BM197,2)</f>
        <v>1.88</v>
      </c>
      <c r="W218" s="999">
        <f>ROUND(+NOMINA!BN197,2)</f>
        <v>4.0599999999999996</v>
      </c>
      <c r="X218" s="999">
        <f>ROUND(NOMINA!BO197,2)</f>
        <v>0</v>
      </c>
      <c r="Y218" s="999">
        <f>ROUND(NOMINA!BP197,2)</f>
        <v>0</v>
      </c>
      <c r="Z218" s="986">
        <f t="shared" si="29"/>
        <v>19.27</v>
      </c>
      <c r="AA218" s="999">
        <f>ROUND(NOMINA!BK197,2)</f>
        <v>0</v>
      </c>
      <c r="AB218" s="866">
        <f t="shared" si="30"/>
        <v>147.81</v>
      </c>
    </row>
    <row r="219" spans="1:28" s="629" customFormat="1" ht="20.100000000000001" customHeight="1" thickBot="1">
      <c r="A219" s="770" t="s">
        <v>2846</v>
      </c>
      <c r="B219" s="510">
        <f t="shared" ca="1" si="31"/>
        <v>156</v>
      </c>
      <c r="C219" s="980">
        <f>+NOMINA!C198</f>
        <v>17391316</v>
      </c>
      <c r="D219" s="981" t="str">
        <f>+NOMINA!D198</f>
        <v>Torres Aranguren Lilibeth del Valle</v>
      </c>
      <c r="E219" s="978" t="s">
        <v>4622</v>
      </c>
      <c r="F219" s="1006">
        <v>27853</v>
      </c>
      <c r="G219" s="978" t="s">
        <v>4620</v>
      </c>
      <c r="H219" s="1007">
        <f>+NOMINA!H198</f>
        <v>44713</v>
      </c>
      <c r="I219" s="984">
        <f>+NOMINA!I198</f>
        <v>2</v>
      </c>
      <c r="J219" s="985">
        <f>+NOMINA!J198</f>
        <v>0</v>
      </c>
      <c r="K219" s="984">
        <f t="shared" si="27"/>
        <v>2</v>
      </c>
      <c r="L219" s="985" t="s">
        <v>4932</v>
      </c>
      <c r="M219" s="985"/>
      <c r="N219" s="1002" t="str">
        <f>+NOMINA!O198</f>
        <v>Guia de Centro I</v>
      </c>
      <c r="O219" s="999">
        <f>ROUND(NOMINA!W198,2)</f>
        <v>96</v>
      </c>
      <c r="P219" s="999">
        <f>NOMINA!AF198</f>
        <v>1.92</v>
      </c>
      <c r="Q219" s="999">
        <f>NOMINA!AH198</f>
        <v>65</v>
      </c>
      <c r="R219" s="999">
        <f>NOMINA!AC198</f>
        <v>12.5</v>
      </c>
      <c r="S219" s="999">
        <f>NOMINA!AJ198</f>
        <v>33.840000000000003</v>
      </c>
      <c r="T219" s="986">
        <f t="shared" si="28"/>
        <v>138.60000000000002</v>
      </c>
      <c r="U219" s="999">
        <f>ROUND(NOMINA!BL198,2)</f>
        <v>19.489999999999998</v>
      </c>
      <c r="V219" s="999">
        <f>ROUND(NOMINA!BM198,2)</f>
        <v>2.44</v>
      </c>
      <c r="W219" s="999">
        <f>ROUND(+NOMINA!BN198,2)</f>
        <v>5.28</v>
      </c>
      <c r="X219" s="999">
        <f>ROUND(NOMINA!BO198,2)</f>
        <v>0</v>
      </c>
      <c r="Y219" s="999">
        <f>ROUND(NOMINA!BP198,2)</f>
        <v>0</v>
      </c>
      <c r="Z219" s="986">
        <f t="shared" si="29"/>
        <v>32.53</v>
      </c>
      <c r="AA219" s="999">
        <f>ROUND(NOMINA!BK198,2)</f>
        <v>0</v>
      </c>
      <c r="AB219" s="866">
        <f t="shared" si="30"/>
        <v>182.05</v>
      </c>
    </row>
    <row r="220" spans="1:28" s="629" customFormat="1" ht="20.100000000000001" customHeight="1" thickBot="1">
      <c r="A220" s="770" t="s">
        <v>2846</v>
      </c>
      <c r="B220" s="510">
        <f t="shared" ca="1" si="31"/>
        <v>157</v>
      </c>
      <c r="C220" s="980">
        <f>+NOMINA!C199</f>
        <v>17391892</v>
      </c>
      <c r="D220" s="981" t="str">
        <f>+NOMINA!D199</f>
        <v>Godoy Padilla Darcy Yaneth</v>
      </c>
      <c r="E220" s="978" t="s">
        <v>4622</v>
      </c>
      <c r="F220" s="1006">
        <v>27853</v>
      </c>
      <c r="G220" s="978" t="s">
        <v>4620</v>
      </c>
      <c r="H220" s="1007">
        <f>+NOMINA!H199</f>
        <v>45323</v>
      </c>
      <c r="I220" s="984">
        <f>+NOMINA!I199</f>
        <v>0</v>
      </c>
      <c r="J220" s="985">
        <f>+NOMINA!J199</f>
        <v>2</v>
      </c>
      <c r="K220" s="984">
        <f t="shared" si="27"/>
        <v>2</v>
      </c>
      <c r="L220" s="985" t="s">
        <v>4932</v>
      </c>
      <c r="M220" s="985"/>
      <c r="N220" s="1002" t="str">
        <f>+NOMINA!O199</f>
        <v>Analista de Personal I</v>
      </c>
      <c r="O220" s="999">
        <f>ROUND(NOMINA!W199,2)</f>
        <v>123</v>
      </c>
      <c r="P220" s="999">
        <f>NOMINA!AF199</f>
        <v>2.46</v>
      </c>
      <c r="Q220" s="999">
        <f>NOMINA!AH199</f>
        <v>65</v>
      </c>
      <c r="R220" s="999">
        <f>NOMINA!AC199</f>
        <v>25</v>
      </c>
      <c r="S220" s="999">
        <f>NOMINA!AJ199</f>
        <v>50.74</v>
      </c>
      <c r="T220" s="986">
        <f t="shared" si="28"/>
        <v>103.23</v>
      </c>
      <c r="U220" s="999">
        <f>ROUND(NOMINA!BL199,2)</f>
        <v>18.73</v>
      </c>
      <c r="V220" s="999">
        <f>ROUND(NOMINA!BM199,2)</f>
        <v>2.34</v>
      </c>
      <c r="W220" s="999">
        <f>ROUND(+NOMINA!BN199,2)</f>
        <v>5.07</v>
      </c>
      <c r="X220" s="999">
        <f>ROUND(NOMINA!BO199,2)</f>
        <v>0</v>
      </c>
      <c r="Y220" s="999">
        <f>ROUND(NOMINA!BP199,2)</f>
        <v>0</v>
      </c>
      <c r="Z220" s="986">
        <f t="shared" si="29"/>
        <v>28.49</v>
      </c>
      <c r="AA220" s="999">
        <f>ROUND(NOMINA!BK199,2)</f>
        <v>0</v>
      </c>
      <c r="AB220" s="866">
        <f t="shared" si="30"/>
        <v>240.06</v>
      </c>
    </row>
    <row r="221" spans="1:28" s="629" customFormat="1" ht="20.100000000000001" customHeight="1" thickBot="1">
      <c r="A221" s="770" t="s">
        <v>2846</v>
      </c>
      <c r="B221" s="510">
        <f t="shared" ca="1" si="31"/>
        <v>158</v>
      </c>
      <c r="C221" s="980">
        <f>+NOMINA!C200</f>
        <v>17392309</v>
      </c>
      <c r="D221" s="981" t="str">
        <f>+NOMINA!D200</f>
        <v>Torres Briceño Yarelis Del Carmen</v>
      </c>
      <c r="E221" s="978" t="s">
        <v>4622</v>
      </c>
      <c r="F221" s="1006">
        <v>27853</v>
      </c>
      <c r="G221" s="978" t="s">
        <v>4620</v>
      </c>
      <c r="H221" s="1007">
        <f>+NOMINA!H200</f>
        <v>43116</v>
      </c>
      <c r="I221" s="984">
        <f>+NOMINA!I200</f>
        <v>7</v>
      </c>
      <c r="J221" s="985">
        <f>+NOMINA!J200</f>
        <v>0</v>
      </c>
      <c r="K221" s="984">
        <f t="shared" si="27"/>
        <v>7</v>
      </c>
      <c r="L221" s="985" t="s">
        <v>4932</v>
      </c>
      <c r="M221" s="985"/>
      <c r="N221" s="1002" t="str">
        <f>+NOMINA!O200</f>
        <v>Administrador II</v>
      </c>
      <c r="O221" s="999">
        <f>ROUND(NOMINA!W200,2)</f>
        <v>139.5</v>
      </c>
      <c r="P221" s="999">
        <f>NOMINA!AF200</f>
        <v>10.33</v>
      </c>
      <c r="Q221" s="999">
        <f>NOMINA!AH200</f>
        <v>65</v>
      </c>
      <c r="R221" s="999">
        <f>NOMINA!AC200</f>
        <v>25</v>
      </c>
      <c r="S221" s="999">
        <f>NOMINA!AJ200</f>
        <v>56.83</v>
      </c>
      <c r="T221" s="986">
        <f t="shared" si="28"/>
        <v>124.7</v>
      </c>
      <c r="U221" s="999">
        <f>ROUND(NOMINA!BL200,2)</f>
        <v>20.98</v>
      </c>
      <c r="V221" s="999">
        <f>ROUND(NOMINA!BM200,2)</f>
        <v>2.62</v>
      </c>
      <c r="W221" s="999">
        <f>ROUND(+NOMINA!BN200,2)</f>
        <v>5.68</v>
      </c>
      <c r="X221" s="999">
        <f>ROUND(NOMINA!BO200,2)</f>
        <v>0</v>
      </c>
      <c r="Y221" s="999">
        <f>ROUND(NOMINA!BP200,2)</f>
        <v>0</v>
      </c>
      <c r="Z221" s="986">
        <f t="shared" si="29"/>
        <v>0</v>
      </c>
      <c r="AA221" s="999">
        <f>ROUND(NOMINA!BK200,2)</f>
        <v>0</v>
      </c>
      <c r="AB221" s="866">
        <f t="shared" si="30"/>
        <v>267.38</v>
      </c>
    </row>
    <row r="222" spans="1:28" s="629" customFormat="1" ht="20.100000000000001" customHeight="1" thickBot="1">
      <c r="A222" s="770" t="s">
        <v>2846</v>
      </c>
      <c r="B222" s="510">
        <f t="shared" ca="1" si="31"/>
        <v>159</v>
      </c>
      <c r="C222" s="980">
        <f>+NOMINA!C201</f>
        <v>17393693</v>
      </c>
      <c r="D222" s="981" t="str">
        <f>+NOMINA!D201</f>
        <v>Nuñez Maria Gusmara</v>
      </c>
      <c r="E222" s="978" t="s">
        <v>4622</v>
      </c>
      <c r="F222" s="1006">
        <v>27853</v>
      </c>
      <c r="G222" s="978" t="s">
        <v>4620</v>
      </c>
      <c r="H222" s="1007">
        <f>+NOMINA!H201</f>
        <v>44516</v>
      </c>
      <c r="I222" s="984">
        <f>+NOMINA!I201</f>
        <v>3</v>
      </c>
      <c r="J222" s="985">
        <f>+NOMINA!J201</f>
        <v>0</v>
      </c>
      <c r="K222" s="984">
        <f t="shared" si="27"/>
        <v>3</v>
      </c>
      <c r="L222" s="985" t="s">
        <v>4932</v>
      </c>
      <c r="M222" s="985"/>
      <c r="N222" s="1002" t="str">
        <f>+NOMINA!O201</f>
        <v>Asistente Administrativo II</v>
      </c>
      <c r="O222" s="999">
        <f>ROUND(NOMINA!W201,2)</f>
        <v>75</v>
      </c>
      <c r="P222" s="999">
        <f>NOMINA!AF201</f>
        <v>2.25</v>
      </c>
      <c r="Q222" s="999">
        <f>NOMINA!AH201</f>
        <v>65</v>
      </c>
      <c r="R222" s="999">
        <f>NOMINA!AC201</f>
        <v>25</v>
      </c>
      <c r="S222" s="999">
        <f>NOMINA!AJ201</f>
        <v>0</v>
      </c>
      <c r="T222" s="986">
        <f t="shared" si="28"/>
        <v>127.01</v>
      </c>
      <c r="U222" s="999">
        <f>ROUND(NOMINA!BL201,2)</f>
        <v>11.43</v>
      </c>
      <c r="V222" s="999">
        <f>ROUND(NOMINA!BM201,2)</f>
        <v>1.43</v>
      </c>
      <c r="W222" s="999">
        <f>ROUND(+NOMINA!BN201,2)</f>
        <v>3.1</v>
      </c>
      <c r="X222" s="999">
        <f>ROUND(NOMINA!BO201,2)</f>
        <v>0</v>
      </c>
      <c r="Y222" s="999">
        <f>ROUND(NOMINA!BP201,2)</f>
        <v>0</v>
      </c>
      <c r="Z222" s="986">
        <f t="shared" si="29"/>
        <v>20.68</v>
      </c>
      <c r="AA222" s="999">
        <f>ROUND(NOMINA!BK201,2)</f>
        <v>0</v>
      </c>
      <c r="AB222" s="866">
        <f t="shared" si="30"/>
        <v>151.29</v>
      </c>
    </row>
    <row r="223" spans="1:28" s="629" customFormat="1" ht="20.100000000000001" customHeight="1" thickBot="1">
      <c r="A223" s="770" t="s">
        <v>2846</v>
      </c>
      <c r="B223" s="510">
        <f t="shared" ca="1" si="31"/>
        <v>160</v>
      </c>
      <c r="C223" s="980">
        <f>+NOMINA!C202</f>
        <v>17596844</v>
      </c>
      <c r="D223" s="981" t="str">
        <f>+NOMINA!D202</f>
        <v>Colmenares Jorge Luis</v>
      </c>
      <c r="E223" s="978" t="s">
        <v>4622</v>
      </c>
      <c r="F223" s="1006">
        <v>27853</v>
      </c>
      <c r="G223" s="978" t="s">
        <v>4620</v>
      </c>
      <c r="H223" s="1007">
        <f>+NOMINA!H202</f>
        <v>45474</v>
      </c>
      <c r="I223" s="984">
        <f>+NOMINA!I202</f>
        <v>0</v>
      </c>
      <c r="J223" s="985">
        <f>+NOMINA!J202</f>
        <v>0</v>
      </c>
      <c r="K223" s="984">
        <f t="shared" si="27"/>
        <v>0</v>
      </c>
      <c r="L223" s="985" t="s">
        <v>4932</v>
      </c>
      <c r="M223" s="985"/>
      <c r="N223" s="1002" t="str">
        <f>+NOMINA!O202</f>
        <v>Guia de Centro I</v>
      </c>
      <c r="O223" s="999">
        <f>ROUND(NOMINA!W202,2)</f>
        <v>96</v>
      </c>
      <c r="P223" s="999">
        <f>NOMINA!AF202</f>
        <v>0</v>
      </c>
      <c r="Q223" s="999">
        <f>NOMINA!AH202</f>
        <v>65</v>
      </c>
      <c r="R223" s="999">
        <f>NOMINA!AC202</f>
        <v>25</v>
      </c>
      <c r="S223" s="999">
        <f>NOMINA!AJ202</f>
        <v>34.700000000000003</v>
      </c>
      <c r="T223" s="986">
        <f t="shared" si="28"/>
        <v>136.87</v>
      </c>
      <c r="U223" s="999">
        <f>ROUND(NOMINA!BL202,2)</f>
        <v>19.989999999999998</v>
      </c>
      <c r="V223" s="999">
        <f>ROUND(NOMINA!BM202,2)</f>
        <v>2.5</v>
      </c>
      <c r="W223" s="999">
        <f>ROUND(+NOMINA!BN202,2)</f>
        <v>5.41</v>
      </c>
      <c r="X223" s="999">
        <f>ROUND(NOMINA!BO202,2)</f>
        <v>0</v>
      </c>
      <c r="Y223" s="999">
        <f>ROUND(NOMINA!BP202,2)</f>
        <v>0</v>
      </c>
      <c r="Z223" s="986">
        <f t="shared" si="29"/>
        <v>31.29</v>
      </c>
      <c r="AA223" s="999">
        <f>ROUND(NOMINA!BK202,2)</f>
        <v>0</v>
      </c>
      <c r="AB223" s="866">
        <f t="shared" si="30"/>
        <v>192.79999999999998</v>
      </c>
    </row>
    <row r="224" spans="1:28" s="629" customFormat="1" ht="20.100000000000001" customHeight="1" thickBot="1">
      <c r="A224" s="770" t="s">
        <v>2846</v>
      </c>
      <c r="B224" s="510">
        <f t="shared" ca="1" si="31"/>
        <v>161</v>
      </c>
      <c r="C224" s="980">
        <f>+NOMINA!C203</f>
        <v>17597257</v>
      </c>
      <c r="D224" s="981" t="str">
        <f>+NOMINA!D203</f>
        <v>Linares Barreto Jorge Luis</v>
      </c>
      <c r="E224" s="978" t="s">
        <v>4622</v>
      </c>
      <c r="F224" s="1006">
        <v>27853</v>
      </c>
      <c r="G224" s="978" t="s">
        <v>4620</v>
      </c>
      <c r="H224" s="1007">
        <f>+NOMINA!H203</f>
        <v>45536</v>
      </c>
      <c r="I224" s="984">
        <f>+NOMINA!I203</f>
        <v>0</v>
      </c>
      <c r="J224" s="985">
        <f>+NOMINA!J203</f>
        <v>0</v>
      </c>
      <c r="K224" s="984">
        <f t="shared" si="27"/>
        <v>0</v>
      </c>
      <c r="L224" s="985" t="s">
        <v>4932</v>
      </c>
      <c r="M224" s="985"/>
      <c r="N224" s="1002" t="str">
        <f>+NOMINA!O203</f>
        <v>GUIA DE CENTRO I</v>
      </c>
      <c r="O224" s="999">
        <f>ROUND(NOMINA!W203,2)</f>
        <v>96</v>
      </c>
      <c r="P224" s="999">
        <f>NOMINA!AF203</f>
        <v>0</v>
      </c>
      <c r="Q224" s="999">
        <f>NOMINA!AH203</f>
        <v>65</v>
      </c>
      <c r="R224" s="999">
        <f>NOMINA!AC203</f>
        <v>0</v>
      </c>
      <c r="S224" s="999">
        <f>NOMINA!AJ203</f>
        <v>32.200000000000003</v>
      </c>
      <c r="T224" s="986">
        <f t="shared" si="28"/>
        <v>152.22</v>
      </c>
      <c r="U224" s="999">
        <f>ROUND(NOMINA!BL203,2)</f>
        <v>18.55</v>
      </c>
      <c r="V224" s="999">
        <f>ROUND(NOMINA!BM203,2)</f>
        <v>2.3199999999999998</v>
      </c>
      <c r="W224" s="999">
        <f>ROUND(+NOMINA!BN203,2)</f>
        <v>5.0199999999999996</v>
      </c>
      <c r="X224" s="999">
        <f>ROUND(NOMINA!BO203,2)</f>
        <v>0</v>
      </c>
      <c r="Y224" s="999">
        <f>ROUND(NOMINA!BP203,2)</f>
        <v>0</v>
      </c>
      <c r="Z224" s="986">
        <f t="shared" si="29"/>
        <v>30.45</v>
      </c>
      <c r="AA224" s="999">
        <f>ROUND(NOMINA!BK203,2)</f>
        <v>0</v>
      </c>
      <c r="AB224" s="866">
        <f t="shared" si="30"/>
        <v>167.31</v>
      </c>
    </row>
    <row r="225" spans="1:28" s="629" customFormat="1" ht="20.100000000000001" customHeight="1" thickBot="1">
      <c r="A225" s="770" t="s">
        <v>2846</v>
      </c>
      <c r="B225" s="510">
        <f t="shared" ca="1" si="31"/>
        <v>162</v>
      </c>
      <c r="C225" s="980">
        <f>+NOMINA!C204</f>
        <v>17597285</v>
      </c>
      <c r="D225" s="981" t="str">
        <f>+NOMINA!D204</f>
        <v>Duarte Portillo Dani Vicente</v>
      </c>
      <c r="E225" s="978" t="s">
        <v>4622</v>
      </c>
      <c r="F225" s="1006">
        <v>27853</v>
      </c>
      <c r="G225" s="978" t="s">
        <v>4620</v>
      </c>
      <c r="H225" s="1007">
        <f>+NOMINA!H204</f>
        <v>42782</v>
      </c>
      <c r="I225" s="984">
        <f>+NOMINA!I204</f>
        <v>7</v>
      </c>
      <c r="J225" s="985">
        <f>+NOMINA!J204</f>
        <v>0</v>
      </c>
      <c r="K225" s="984">
        <f t="shared" si="27"/>
        <v>7</v>
      </c>
      <c r="L225" s="985" t="s">
        <v>4932</v>
      </c>
      <c r="M225" s="985"/>
      <c r="N225" s="1002" t="str">
        <f>+NOMINA!O204</f>
        <v>Tecnico Superior en Trabajo Social II</v>
      </c>
      <c r="O225" s="999">
        <f>ROUND(NOMINA!W204,2)</f>
        <v>110.5</v>
      </c>
      <c r="P225" s="999">
        <f>NOMINA!AF204</f>
        <v>8.18</v>
      </c>
      <c r="Q225" s="999">
        <f>NOMINA!AH204</f>
        <v>65</v>
      </c>
      <c r="R225" s="999">
        <f>NOMINA!AC204</f>
        <v>0</v>
      </c>
      <c r="S225" s="999">
        <f>NOMINA!AJ204</f>
        <v>36.74</v>
      </c>
      <c r="T225" s="986">
        <f t="shared" si="28"/>
        <v>91.3</v>
      </c>
      <c r="U225" s="999">
        <f>ROUND(NOMINA!BL204,2)</f>
        <v>16.28</v>
      </c>
      <c r="V225" s="999">
        <f>ROUND(NOMINA!BM204,2)</f>
        <v>2.0299999999999998</v>
      </c>
      <c r="W225" s="999">
        <f>ROUND(+NOMINA!BN204,2)</f>
        <v>4.41</v>
      </c>
      <c r="X225" s="999">
        <f>ROUND(NOMINA!BO204,2)</f>
        <v>0</v>
      </c>
      <c r="Y225" s="999">
        <f>ROUND(NOMINA!BP204,2)</f>
        <v>0</v>
      </c>
      <c r="Z225" s="986">
        <f t="shared" si="29"/>
        <v>25.36</v>
      </c>
      <c r="AA225" s="999">
        <f>ROUND(NOMINA!BK204,2)</f>
        <v>0</v>
      </c>
      <c r="AB225" s="866">
        <f t="shared" si="30"/>
        <v>197.70000000000002</v>
      </c>
    </row>
    <row r="226" spans="1:28" s="629" customFormat="1" ht="20.100000000000001" customHeight="1" thickBot="1">
      <c r="A226" s="770" t="s">
        <v>2846</v>
      </c>
      <c r="B226" s="510">
        <f t="shared" ca="1" si="31"/>
        <v>163</v>
      </c>
      <c r="C226" s="980">
        <f>+NOMINA!C205</f>
        <v>17604568</v>
      </c>
      <c r="D226" s="981" t="str">
        <f>+NOMINA!D205</f>
        <v>Rivera Gil Christian Rafael</v>
      </c>
      <c r="E226" s="978" t="s">
        <v>4622</v>
      </c>
      <c r="F226" s="1006">
        <v>27853</v>
      </c>
      <c r="G226" s="978" t="s">
        <v>4620</v>
      </c>
      <c r="H226" s="1007">
        <f>+NOMINA!H205</f>
        <v>43831</v>
      </c>
      <c r="I226" s="984">
        <f>+NOMINA!I205</f>
        <v>5</v>
      </c>
      <c r="J226" s="985">
        <f>+NOMINA!J205</f>
        <v>0</v>
      </c>
      <c r="K226" s="984">
        <f t="shared" si="27"/>
        <v>5</v>
      </c>
      <c r="L226" s="985" t="s">
        <v>4932</v>
      </c>
      <c r="M226" s="985"/>
      <c r="N226" s="1002" t="str">
        <f>+NOMINA!O205</f>
        <v>Tecnico en Reparacion y Mantenimiento I</v>
      </c>
      <c r="O226" s="999">
        <f>ROUND(NOMINA!W205,2)</f>
        <v>109.5</v>
      </c>
      <c r="P226" s="999">
        <f>NOMINA!AF205</f>
        <v>5.48</v>
      </c>
      <c r="Q226" s="999">
        <f>NOMINA!AH205</f>
        <v>65</v>
      </c>
      <c r="R226" s="999">
        <f>NOMINA!AC205</f>
        <v>25</v>
      </c>
      <c r="S226" s="999">
        <f>NOMINA!AJ205</f>
        <v>38.5</v>
      </c>
      <c r="T226" s="986">
        <f t="shared" si="28"/>
        <v>126.07</v>
      </c>
      <c r="U226" s="999">
        <f>ROUND(NOMINA!BL205,2)</f>
        <v>17.059999999999999</v>
      </c>
      <c r="V226" s="999">
        <f>ROUND(NOMINA!BM205,2)</f>
        <v>2.13</v>
      </c>
      <c r="W226" s="999">
        <f>ROUND(+NOMINA!BN205,2)</f>
        <v>4.62</v>
      </c>
      <c r="X226" s="999">
        <f>ROUND(NOMINA!BO205,2)</f>
        <v>0</v>
      </c>
      <c r="Y226" s="999">
        <f>ROUND(NOMINA!BP205,2)</f>
        <v>0</v>
      </c>
      <c r="Z226" s="986">
        <f t="shared" si="29"/>
        <v>33.909999999999997</v>
      </c>
      <c r="AA226" s="999">
        <f>ROUND(NOMINA!BK205,2)</f>
        <v>0</v>
      </c>
      <c r="AB226" s="866">
        <f t="shared" si="30"/>
        <v>219.67000000000002</v>
      </c>
    </row>
    <row r="227" spans="1:28" s="629" customFormat="1" ht="20.100000000000001" customHeight="1" thickBot="1">
      <c r="A227" s="770" t="s">
        <v>2846</v>
      </c>
      <c r="B227" s="510">
        <f t="shared" ca="1" si="31"/>
        <v>164</v>
      </c>
      <c r="C227" s="980">
        <f>+NOMINA!C206</f>
        <v>17605222</v>
      </c>
      <c r="D227" s="981" t="str">
        <f>+NOMINA!D206</f>
        <v>Aguial Dayana Carolina</v>
      </c>
      <c r="E227" s="978" t="s">
        <v>4622</v>
      </c>
      <c r="F227" s="1006">
        <v>27853</v>
      </c>
      <c r="G227" s="978" t="s">
        <v>4620</v>
      </c>
      <c r="H227" s="1007">
        <f>+NOMINA!H206</f>
        <v>42737</v>
      </c>
      <c r="I227" s="984">
        <f>+NOMINA!I206</f>
        <v>8</v>
      </c>
      <c r="J227" s="985">
        <f>+NOMINA!J206</f>
        <v>0</v>
      </c>
      <c r="K227" s="984">
        <f t="shared" si="27"/>
        <v>8</v>
      </c>
      <c r="L227" s="985" t="s">
        <v>4932</v>
      </c>
      <c r="M227" s="985"/>
      <c r="N227" s="1002" t="str">
        <f>+NOMINA!O206</f>
        <v>Guia de Centro II</v>
      </c>
      <c r="O227" s="999">
        <f>ROUND(NOMINA!W206,2)</f>
        <v>110.5</v>
      </c>
      <c r="P227" s="999">
        <f>NOMINA!AF206</f>
        <v>9.51</v>
      </c>
      <c r="Q227" s="999">
        <f>NOMINA!AH206</f>
        <v>65</v>
      </c>
      <c r="R227" s="999">
        <f>NOMINA!AC206</f>
        <v>0</v>
      </c>
      <c r="S227" s="999">
        <f>NOMINA!AJ206</f>
        <v>46.25</v>
      </c>
      <c r="T227" s="986">
        <f t="shared" si="28"/>
        <v>143.1</v>
      </c>
      <c r="U227" s="999">
        <f>ROUND(NOMINA!BL206,2)</f>
        <v>22.2</v>
      </c>
      <c r="V227" s="999">
        <f>ROUND(NOMINA!BM206,2)</f>
        <v>2.78</v>
      </c>
      <c r="W227" s="999">
        <f>ROUND(+NOMINA!BN206,2)</f>
        <v>6.01</v>
      </c>
      <c r="X227" s="999">
        <f>ROUND(NOMINA!BO206,2)</f>
        <v>0</v>
      </c>
      <c r="Y227" s="999">
        <f>ROUND(NOMINA!BP206,2)</f>
        <v>0</v>
      </c>
      <c r="Z227" s="986">
        <f t="shared" si="29"/>
        <v>19.07</v>
      </c>
      <c r="AA227" s="999">
        <f>ROUND(NOMINA!BK206,2)</f>
        <v>0</v>
      </c>
      <c r="AB227" s="866">
        <f t="shared" si="30"/>
        <v>200.26999999999998</v>
      </c>
    </row>
    <row r="228" spans="1:28" s="629" customFormat="1" ht="20.100000000000001" customHeight="1" thickBot="1">
      <c r="A228" s="770" t="s">
        <v>2846</v>
      </c>
      <c r="B228" s="510">
        <f t="shared" ca="1" si="31"/>
        <v>165</v>
      </c>
      <c r="C228" s="980">
        <f>+NOMINA!C207</f>
        <v>17605492</v>
      </c>
      <c r="D228" s="981" t="str">
        <f>+NOMINA!D207</f>
        <v>Briceño Briceño Naibely Carolina</v>
      </c>
      <c r="E228" s="978" t="s">
        <v>4622</v>
      </c>
      <c r="F228" s="1006">
        <v>27853</v>
      </c>
      <c r="G228" s="978" t="s">
        <v>4620</v>
      </c>
      <c r="H228" s="1007">
        <f>+NOMINA!H207</f>
        <v>43967</v>
      </c>
      <c r="I228" s="984">
        <f>+NOMINA!I207</f>
        <v>4</v>
      </c>
      <c r="J228" s="985">
        <f>+NOMINA!J207</f>
        <v>0</v>
      </c>
      <c r="K228" s="984">
        <f t="shared" si="27"/>
        <v>4</v>
      </c>
      <c r="L228" s="985" t="s">
        <v>4932</v>
      </c>
      <c r="M228" s="985"/>
      <c r="N228" s="1002" t="str">
        <f>+NOMINA!O207</f>
        <v>Asistente Administrativo V</v>
      </c>
      <c r="O228" s="999">
        <f>ROUND(NOMINA!W207,2)</f>
        <v>138.5</v>
      </c>
      <c r="P228" s="999">
        <f>NOMINA!AF207</f>
        <v>5.54</v>
      </c>
      <c r="Q228" s="999">
        <f>NOMINA!AH207</f>
        <v>65</v>
      </c>
      <c r="R228" s="999">
        <f>NOMINA!AC207</f>
        <v>0</v>
      </c>
      <c r="S228" s="999">
        <f>NOMINA!AJ207</f>
        <v>52.26</v>
      </c>
      <c r="T228" s="986">
        <f t="shared" si="28"/>
        <v>0</v>
      </c>
      <c r="U228" s="999">
        <f>ROUND(NOMINA!BL207,2)</f>
        <v>19.3</v>
      </c>
      <c r="V228" s="999">
        <f>ROUND(NOMINA!BM207,2)</f>
        <v>2.41</v>
      </c>
      <c r="W228" s="999">
        <f>ROUND(+NOMINA!BN207,2)</f>
        <v>5.23</v>
      </c>
      <c r="X228" s="999">
        <f>ROUND(NOMINA!BO207,2)</f>
        <v>0</v>
      </c>
      <c r="Y228" s="999">
        <f>ROUND(NOMINA!BP207,2)</f>
        <v>0</v>
      </c>
      <c r="Z228" s="986">
        <f t="shared" si="29"/>
        <v>36.75</v>
      </c>
      <c r="AA228" s="999">
        <f>ROUND(NOMINA!BK207,2)</f>
        <v>0</v>
      </c>
      <c r="AB228" s="866">
        <f t="shared" si="30"/>
        <v>234.36</v>
      </c>
    </row>
    <row r="229" spans="1:28" s="629" customFormat="1" ht="20.100000000000001" customHeight="1" thickBot="1">
      <c r="A229" s="770" t="s">
        <v>2846</v>
      </c>
      <c r="B229" s="510">
        <f t="shared" ca="1" si="31"/>
        <v>166</v>
      </c>
      <c r="C229" s="980">
        <f>+NOMINA!C208</f>
        <v>17606237</v>
      </c>
      <c r="D229" s="981" t="str">
        <f>+NOMINA!D208</f>
        <v>Castellano Rivera Maria Antonina</v>
      </c>
      <c r="E229" s="978" t="s">
        <v>4622</v>
      </c>
      <c r="F229" s="1006">
        <v>27853</v>
      </c>
      <c r="G229" s="978" t="s">
        <v>4620</v>
      </c>
      <c r="H229" s="1007">
        <f>+NOMINA!H208</f>
        <v>40909</v>
      </c>
      <c r="I229" s="984">
        <f>+NOMINA!I208</f>
        <v>13</v>
      </c>
      <c r="J229" s="985">
        <f>+NOMINA!J208</f>
        <v>0</v>
      </c>
      <c r="K229" s="984">
        <f t="shared" si="27"/>
        <v>13</v>
      </c>
      <c r="L229" s="985" t="s">
        <v>4932</v>
      </c>
      <c r="M229" s="985"/>
      <c r="N229" s="1002" t="str">
        <f>+NOMINA!O208</f>
        <v>Asistente Administrativo III</v>
      </c>
      <c r="O229" s="999">
        <f>ROUND(NOMINA!W208,2)</f>
        <v>87</v>
      </c>
      <c r="P229" s="999">
        <f>NOMINA!AF208</f>
        <v>13.23</v>
      </c>
      <c r="Q229" s="999">
        <f>NOMINA!AH208</f>
        <v>65</v>
      </c>
      <c r="R229" s="999">
        <f>NOMINA!AC208</f>
        <v>12.5</v>
      </c>
      <c r="S229" s="999">
        <f>NOMINA!AJ208</f>
        <v>34.299999999999997</v>
      </c>
      <c r="T229" s="986">
        <f t="shared" si="28"/>
        <v>110.95</v>
      </c>
      <c r="U229" s="999">
        <f>ROUND(NOMINA!BL208,2)</f>
        <v>15.2</v>
      </c>
      <c r="V229" s="999">
        <f>ROUND(NOMINA!BM208,2)</f>
        <v>1.9</v>
      </c>
      <c r="W229" s="999">
        <f>ROUND(+NOMINA!BN208,2)</f>
        <v>4.12</v>
      </c>
      <c r="X229" s="999">
        <f>ROUND(NOMINA!BO208,2)</f>
        <v>0</v>
      </c>
      <c r="Y229" s="999">
        <f>ROUND(NOMINA!BP208,2)</f>
        <v>0</v>
      </c>
      <c r="Z229" s="986">
        <f t="shared" si="29"/>
        <v>31.95</v>
      </c>
      <c r="AA229" s="999">
        <f>ROUND(NOMINA!BK208,2)</f>
        <v>0</v>
      </c>
      <c r="AB229" s="866">
        <f t="shared" si="30"/>
        <v>190.81000000000003</v>
      </c>
    </row>
    <row r="230" spans="1:28" s="629" customFormat="1" ht="20.100000000000001" customHeight="1" thickBot="1">
      <c r="A230" s="770" t="s">
        <v>2846</v>
      </c>
      <c r="B230" s="510">
        <f t="shared" ca="1" si="31"/>
        <v>167</v>
      </c>
      <c r="C230" s="980">
        <f>+NOMINA!C209</f>
        <v>17830972</v>
      </c>
      <c r="D230" s="981" t="str">
        <f>+NOMINA!D209</f>
        <v>Bastidas Franco Dianellys Sarain</v>
      </c>
      <c r="E230" s="978" t="s">
        <v>4622</v>
      </c>
      <c r="F230" s="1006">
        <v>27853</v>
      </c>
      <c r="G230" s="978" t="s">
        <v>4620</v>
      </c>
      <c r="H230" s="1007">
        <f>+NOMINA!H209</f>
        <v>44713</v>
      </c>
      <c r="I230" s="984">
        <f>+NOMINA!I209</f>
        <v>2</v>
      </c>
      <c r="J230" s="985">
        <f>+NOMINA!J209</f>
        <v>0</v>
      </c>
      <c r="K230" s="984">
        <f t="shared" si="27"/>
        <v>2</v>
      </c>
      <c r="L230" s="985" t="s">
        <v>4932</v>
      </c>
      <c r="M230" s="985"/>
      <c r="N230" s="1002" t="str">
        <f>+NOMINA!O209</f>
        <v>Entrenador Deportivo IV</v>
      </c>
      <c r="O230" s="999">
        <f>ROUND(NOMINA!W209,2)</f>
        <v>123</v>
      </c>
      <c r="P230" s="999">
        <f>NOMINA!AF209</f>
        <v>2.46</v>
      </c>
      <c r="Q230" s="999">
        <f>NOMINA!AH209</f>
        <v>65</v>
      </c>
      <c r="R230" s="999">
        <f>NOMINA!AC209</f>
        <v>0</v>
      </c>
      <c r="S230" s="999">
        <f>NOMINA!AJ209</f>
        <v>47.62</v>
      </c>
      <c r="T230" s="986">
        <f t="shared" si="28"/>
        <v>121.02</v>
      </c>
      <c r="U230" s="999">
        <f>ROUND(NOMINA!BL209,2)</f>
        <v>17.579999999999998</v>
      </c>
      <c r="V230" s="999">
        <f>ROUND(NOMINA!BM209,2)</f>
        <v>2.2000000000000002</v>
      </c>
      <c r="W230" s="999">
        <f>ROUND(+NOMINA!BN209,2)</f>
        <v>4.76</v>
      </c>
      <c r="X230" s="999">
        <f>ROUND(NOMINA!BO209,2)</f>
        <v>0</v>
      </c>
      <c r="Y230" s="999">
        <f>ROUND(NOMINA!BP209,2)</f>
        <v>0</v>
      </c>
      <c r="Z230" s="986">
        <f t="shared" si="29"/>
        <v>31.35</v>
      </c>
      <c r="AA230" s="999">
        <f>ROUND(NOMINA!BK209,2)</f>
        <v>0</v>
      </c>
      <c r="AB230" s="866">
        <f t="shared" si="30"/>
        <v>213.54</v>
      </c>
    </row>
    <row r="231" spans="1:28" s="629" customFormat="1" ht="20.100000000000001" customHeight="1" thickBot="1">
      <c r="A231" s="770" t="s">
        <v>2846</v>
      </c>
      <c r="B231" s="510">
        <f t="shared" ca="1" si="31"/>
        <v>168</v>
      </c>
      <c r="C231" s="980">
        <f>+NOMINA!C210</f>
        <v>17831012</v>
      </c>
      <c r="D231" s="981" t="str">
        <f>+NOMINA!D210</f>
        <v>Valera Briceño Jesus Enrique</v>
      </c>
      <c r="E231" s="978" t="s">
        <v>4622</v>
      </c>
      <c r="F231" s="1006">
        <v>27853</v>
      </c>
      <c r="G231" s="978" t="s">
        <v>4620</v>
      </c>
      <c r="H231" s="1007">
        <f>+NOMINA!H210</f>
        <v>45474</v>
      </c>
      <c r="I231" s="984">
        <f>+NOMINA!I210</f>
        <v>0</v>
      </c>
      <c r="J231" s="985">
        <f>+NOMINA!J210</f>
        <v>5</v>
      </c>
      <c r="K231" s="984">
        <f t="shared" si="27"/>
        <v>5</v>
      </c>
      <c r="L231" s="985" t="s">
        <v>4932</v>
      </c>
      <c r="M231" s="985"/>
      <c r="N231" s="1002" t="str">
        <f>+NOMINA!O210</f>
        <v>Guia de Centro I</v>
      </c>
      <c r="O231" s="999">
        <f>ROUND(NOMINA!W210,2)</f>
        <v>75</v>
      </c>
      <c r="P231" s="999">
        <f>NOMINA!AF210</f>
        <v>3.75</v>
      </c>
      <c r="Q231" s="999">
        <f>NOMINA!AH210</f>
        <v>65</v>
      </c>
      <c r="R231" s="999">
        <f>NOMINA!AC210</f>
        <v>12.5</v>
      </c>
      <c r="S231" s="999">
        <f>NOMINA!AJ210</f>
        <v>0</v>
      </c>
      <c r="T231" s="986">
        <f t="shared" si="28"/>
        <v>160.05000000000001</v>
      </c>
      <c r="U231" s="999">
        <f>ROUND(NOMINA!BL210,2)</f>
        <v>14.4</v>
      </c>
      <c r="V231" s="999">
        <f>ROUND(NOMINA!BM210,2)</f>
        <v>1.8</v>
      </c>
      <c r="W231" s="999">
        <f>ROUND(+NOMINA!BN210,2)</f>
        <v>3.9</v>
      </c>
      <c r="X231" s="999">
        <f>ROUND(NOMINA!BO210,2)</f>
        <v>0</v>
      </c>
      <c r="Y231" s="999">
        <f>ROUND(NOMINA!BP210,2)</f>
        <v>0</v>
      </c>
      <c r="Z231" s="986">
        <f t="shared" si="29"/>
        <v>23.54</v>
      </c>
      <c r="AA231" s="999">
        <f>ROUND(NOMINA!BK210,2)</f>
        <v>0</v>
      </c>
      <c r="AB231" s="866">
        <f t="shared" si="30"/>
        <v>136.15</v>
      </c>
    </row>
    <row r="232" spans="1:28" s="629" customFormat="1" ht="20.100000000000001" customHeight="1" thickBot="1">
      <c r="A232" s="770" t="s">
        <v>2846</v>
      </c>
      <c r="B232" s="510">
        <f t="shared" ca="1" si="31"/>
        <v>169</v>
      </c>
      <c r="C232" s="980">
        <f>+NOMINA!C211</f>
        <v>17831231</v>
      </c>
      <c r="D232" s="981" t="str">
        <f>+NOMINA!D211</f>
        <v>Blanco Torres Beixy Coromoto</v>
      </c>
      <c r="E232" s="978" t="s">
        <v>4622</v>
      </c>
      <c r="F232" s="1006">
        <v>27853</v>
      </c>
      <c r="G232" s="978" t="s">
        <v>4620</v>
      </c>
      <c r="H232" s="1007">
        <f>+NOMINA!H211</f>
        <v>44200</v>
      </c>
      <c r="I232" s="984">
        <f>+NOMINA!I211</f>
        <v>4</v>
      </c>
      <c r="J232" s="985">
        <f>+NOMINA!J211</f>
        <v>7</v>
      </c>
      <c r="K232" s="984">
        <f t="shared" si="27"/>
        <v>11</v>
      </c>
      <c r="L232" s="985" t="s">
        <v>4932</v>
      </c>
      <c r="M232" s="985"/>
      <c r="N232" s="1002" t="str">
        <f>+NOMINA!O211</f>
        <v>Abogado III</v>
      </c>
      <c r="O232" s="999">
        <f>ROUND(NOMINA!W211,2)</f>
        <v>140.5</v>
      </c>
      <c r="P232" s="999">
        <f>NOMINA!AF211</f>
        <v>17.420000000000002</v>
      </c>
      <c r="Q232" s="999">
        <f>NOMINA!AH211</f>
        <v>65</v>
      </c>
      <c r="R232" s="999">
        <f>NOMINA!AC211</f>
        <v>12.5</v>
      </c>
      <c r="S232" s="999">
        <f>NOMINA!AJ211</f>
        <v>57.3</v>
      </c>
      <c r="T232" s="986">
        <f t="shared" si="28"/>
        <v>131.99</v>
      </c>
      <c r="U232" s="999">
        <f>ROUND(NOMINA!BL211,2)</f>
        <v>21.15</v>
      </c>
      <c r="V232" s="999">
        <f>ROUND(NOMINA!BM211,2)</f>
        <v>2.64</v>
      </c>
      <c r="W232" s="999">
        <f>ROUND(+NOMINA!BN211,2)</f>
        <v>5.73</v>
      </c>
      <c r="X232" s="999">
        <f>ROUND(NOMINA!BO211,2)</f>
        <v>0</v>
      </c>
      <c r="Y232" s="999">
        <f>ROUND(NOMINA!BP211,2)</f>
        <v>0</v>
      </c>
      <c r="Z232" s="986">
        <f t="shared" si="29"/>
        <v>20.94</v>
      </c>
      <c r="AA232" s="999">
        <f>ROUND(NOMINA!BK211,2)</f>
        <v>0</v>
      </c>
      <c r="AB232" s="866">
        <f t="shared" si="30"/>
        <v>263.20000000000005</v>
      </c>
    </row>
    <row r="233" spans="1:28" s="629" customFormat="1" ht="20.100000000000001" customHeight="1" thickBot="1">
      <c r="A233" s="770" t="s">
        <v>2846</v>
      </c>
      <c r="B233" s="510">
        <f t="shared" ca="1" si="31"/>
        <v>170</v>
      </c>
      <c r="C233" s="980">
        <f>+NOMINA!C212</f>
        <v>17831384</v>
      </c>
      <c r="D233" s="981" t="str">
        <f>+NOMINA!D212</f>
        <v>Nieve Briceño Glorys Carolina</v>
      </c>
      <c r="E233" s="978" t="s">
        <v>4622</v>
      </c>
      <c r="F233" s="1006">
        <v>27853</v>
      </c>
      <c r="G233" s="978" t="s">
        <v>4620</v>
      </c>
      <c r="H233" s="1007">
        <f>+NOMINA!H212</f>
        <v>42339</v>
      </c>
      <c r="I233" s="984">
        <f>+NOMINA!I212</f>
        <v>9</v>
      </c>
      <c r="J233" s="985">
        <f>+NOMINA!J212</f>
        <v>0</v>
      </c>
      <c r="K233" s="984">
        <f t="shared" si="27"/>
        <v>9</v>
      </c>
      <c r="L233" s="985" t="s">
        <v>4932</v>
      </c>
      <c r="M233" s="985"/>
      <c r="N233" s="1002" t="str">
        <f>+NOMINA!O212</f>
        <v>Guia de Centro II</v>
      </c>
      <c r="O233" s="999">
        <f>ROUND(NOMINA!W212,2)</f>
        <v>140.5</v>
      </c>
      <c r="P233" s="999">
        <f>NOMINA!AF212</f>
        <v>13.77</v>
      </c>
      <c r="Q233" s="999">
        <f>NOMINA!AH212</f>
        <v>65</v>
      </c>
      <c r="R233" s="999">
        <f>NOMINA!AC212</f>
        <v>12.5</v>
      </c>
      <c r="S233" s="999">
        <f>NOMINA!AJ212</f>
        <v>56.38</v>
      </c>
      <c r="T233" s="986">
        <f t="shared" si="28"/>
        <v>152.51</v>
      </c>
      <c r="U233" s="999">
        <f>ROUND(NOMINA!BL212,2)</f>
        <v>27.06</v>
      </c>
      <c r="V233" s="999">
        <f>ROUND(NOMINA!BM212,2)</f>
        <v>3.38</v>
      </c>
      <c r="W233" s="999">
        <f>ROUND(+NOMINA!BN212,2)</f>
        <v>7.33</v>
      </c>
      <c r="X233" s="999">
        <f>ROUND(NOMINA!BO212,2)</f>
        <v>0</v>
      </c>
      <c r="Y233" s="999">
        <f>ROUND(NOMINA!BP212,2)</f>
        <v>0</v>
      </c>
      <c r="Z233" s="986">
        <f t="shared" si="29"/>
        <v>20.94</v>
      </c>
      <c r="AA233" s="999">
        <f>ROUND(NOMINA!BK212,2)</f>
        <v>0</v>
      </c>
      <c r="AB233" s="866">
        <f t="shared" si="30"/>
        <v>250.38000000000005</v>
      </c>
    </row>
    <row r="234" spans="1:28" s="629" customFormat="1" ht="20.100000000000001" customHeight="1" thickBot="1">
      <c r="A234" s="770" t="s">
        <v>2846</v>
      </c>
      <c r="B234" s="510">
        <f t="shared" ca="1" si="31"/>
        <v>171</v>
      </c>
      <c r="C234" s="980">
        <f>+NOMINA!C213</f>
        <v>17832396</v>
      </c>
      <c r="D234" s="981" t="str">
        <f>+NOMINA!D213</f>
        <v>Pulido Sanchez Joalina Vanessa</v>
      </c>
      <c r="E234" s="978" t="s">
        <v>4622</v>
      </c>
      <c r="F234" s="1006">
        <v>27853</v>
      </c>
      <c r="G234" s="978" t="s">
        <v>4620</v>
      </c>
      <c r="H234" s="1007">
        <f>+NOMINA!H213</f>
        <v>43191</v>
      </c>
      <c r="I234" s="984">
        <f>+NOMINA!I213</f>
        <v>6</v>
      </c>
      <c r="J234" s="985">
        <f>+NOMINA!J213</f>
        <v>0</v>
      </c>
      <c r="K234" s="984">
        <f t="shared" si="27"/>
        <v>6</v>
      </c>
      <c r="L234" s="985" t="s">
        <v>4932</v>
      </c>
      <c r="M234" s="985"/>
      <c r="N234" s="1002" t="str">
        <f>+NOMINA!O213</f>
        <v>Enfermera Jefe I</v>
      </c>
      <c r="O234" s="999">
        <f>ROUND(NOMINA!W213,2)</f>
        <v>109.5</v>
      </c>
      <c r="P234" s="999">
        <f>NOMINA!AF213</f>
        <v>6.79</v>
      </c>
      <c r="Q234" s="999">
        <f>NOMINA!AH213</f>
        <v>65</v>
      </c>
      <c r="R234" s="999">
        <f>NOMINA!AC213</f>
        <v>25</v>
      </c>
      <c r="S234" s="999">
        <f>NOMINA!AJ213</f>
        <v>38.76</v>
      </c>
      <c r="T234" s="986">
        <f t="shared" si="28"/>
        <v>67.25</v>
      </c>
      <c r="U234" s="999">
        <f>ROUND(NOMINA!BL213,2)</f>
        <v>17.170000000000002</v>
      </c>
      <c r="V234" s="999">
        <f>ROUND(NOMINA!BM213,2)</f>
        <v>2.15</v>
      </c>
      <c r="W234" s="999">
        <f>ROUND(+NOMINA!BN213,2)</f>
        <v>4.6500000000000004</v>
      </c>
      <c r="X234" s="999">
        <f>ROUND(NOMINA!BO213,2)</f>
        <v>0</v>
      </c>
      <c r="Y234" s="999">
        <f>ROUND(NOMINA!BP213,2)</f>
        <v>0</v>
      </c>
      <c r="Z234" s="986">
        <f t="shared" si="29"/>
        <v>27.21</v>
      </c>
      <c r="AA234" s="999">
        <f>ROUND(NOMINA!BK213,2)</f>
        <v>0</v>
      </c>
      <c r="AB234" s="866">
        <f t="shared" si="30"/>
        <v>221.08</v>
      </c>
    </row>
    <row r="235" spans="1:28" s="629" customFormat="1" ht="20.100000000000001" customHeight="1" thickBot="1">
      <c r="A235" s="770" t="s">
        <v>2846</v>
      </c>
      <c r="B235" s="510">
        <f t="shared" ca="1" si="31"/>
        <v>172</v>
      </c>
      <c r="C235" s="980">
        <f>+NOMINA!C214</f>
        <v>17865154</v>
      </c>
      <c r="D235" s="981" t="str">
        <f>+NOMINA!D214</f>
        <v>Serrano Ingrid Maria</v>
      </c>
      <c r="E235" s="978" t="s">
        <v>4622</v>
      </c>
      <c r="F235" s="1006">
        <v>27853</v>
      </c>
      <c r="G235" s="978" t="s">
        <v>4620</v>
      </c>
      <c r="H235" s="1007">
        <f>+NOMINA!H214</f>
        <v>43846</v>
      </c>
      <c r="I235" s="984">
        <f>+NOMINA!I214</f>
        <v>5</v>
      </c>
      <c r="J235" s="985">
        <f>+NOMINA!J214</f>
        <v>0</v>
      </c>
      <c r="K235" s="984">
        <f t="shared" si="27"/>
        <v>5</v>
      </c>
      <c r="L235" s="985" t="s">
        <v>4932</v>
      </c>
      <c r="M235" s="985"/>
      <c r="N235" s="1002" t="str">
        <f>+NOMINA!O214</f>
        <v>Guia de Centro I</v>
      </c>
      <c r="O235" s="999">
        <f>ROUND(NOMINA!W214,2)</f>
        <v>75</v>
      </c>
      <c r="P235" s="999">
        <f>NOMINA!AF214</f>
        <v>3.75</v>
      </c>
      <c r="Q235" s="999">
        <f>NOMINA!AH214</f>
        <v>65</v>
      </c>
      <c r="R235" s="999">
        <f>NOMINA!AC214</f>
        <v>0</v>
      </c>
      <c r="S235" s="999">
        <f>NOMINA!AJ214</f>
        <v>0</v>
      </c>
      <c r="T235" s="986">
        <f t="shared" si="28"/>
        <v>141</v>
      </c>
      <c r="U235" s="999">
        <f>ROUND(NOMINA!BL214,2)</f>
        <v>13.8</v>
      </c>
      <c r="V235" s="999">
        <f>ROUND(NOMINA!BM214,2)</f>
        <v>1.73</v>
      </c>
      <c r="W235" s="999">
        <f>ROUND(+NOMINA!BN214,2)</f>
        <v>3.74</v>
      </c>
      <c r="X235" s="999">
        <f>ROUND(NOMINA!BO214,2)</f>
        <v>0</v>
      </c>
      <c r="Y235" s="999">
        <f>ROUND(NOMINA!BP214,2)</f>
        <v>0</v>
      </c>
      <c r="Z235" s="986">
        <f t="shared" si="29"/>
        <v>26.14</v>
      </c>
      <c r="AA235" s="999">
        <f>ROUND(NOMINA!BK214,2)</f>
        <v>0</v>
      </c>
      <c r="AB235" s="866">
        <f t="shared" si="30"/>
        <v>124.47999999999999</v>
      </c>
    </row>
    <row r="236" spans="1:28" s="629" customFormat="1" ht="20.100000000000001" customHeight="1" thickBot="1">
      <c r="A236" s="770" t="s">
        <v>2846</v>
      </c>
      <c r="B236" s="510">
        <f t="shared" ca="1" si="31"/>
        <v>173</v>
      </c>
      <c r="C236" s="980">
        <f>+NOMINA!C215</f>
        <v>18036203</v>
      </c>
      <c r="D236" s="981" t="str">
        <f>+NOMINA!D215</f>
        <v>Yepes Caceres Mervis Javier</v>
      </c>
      <c r="E236" s="978" t="s">
        <v>4622</v>
      </c>
      <c r="F236" s="1006">
        <v>27853</v>
      </c>
      <c r="G236" s="978" t="s">
        <v>4620</v>
      </c>
      <c r="H236" s="1007">
        <f>+NOMINA!H215</f>
        <v>45505</v>
      </c>
      <c r="I236" s="984">
        <f>+NOMINA!I215</f>
        <v>0</v>
      </c>
      <c r="J236" s="985">
        <f>+NOMINA!J215</f>
        <v>0</v>
      </c>
      <c r="K236" s="984">
        <f t="shared" si="27"/>
        <v>0</v>
      </c>
      <c r="L236" s="985" t="s">
        <v>4932</v>
      </c>
      <c r="M236" s="985"/>
      <c r="N236" s="1002" t="str">
        <f>+NOMINA!O215</f>
        <v>Guia de Centro I</v>
      </c>
      <c r="O236" s="999">
        <f>ROUND(NOMINA!W215,2)</f>
        <v>65</v>
      </c>
      <c r="P236" s="999">
        <f>NOMINA!AF215</f>
        <v>0</v>
      </c>
      <c r="Q236" s="999">
        <f>NOMINA!AH215</f>
        <v>65</v>
      </c>
      <c r="R236" s="999">
        <f>NOMINA!AC215</f>
        <v>25</v>
      </c>
      <c r="S236" s="999">
        <f>NOMINA!AJ215</f>
        <v>0</v>
      </c>
      <c r="T236" s="986">
        <f t="shared" si="28"/>
        <v>179.92000000000002</v>
      </c>
      <c r="U236" s="999">
        <f>ROUND(NOMINA!BL215,2)</f>
        <v>13.68</v>
      </c>
      <c r="V236" s="999">
        <f>ROUND(NOMINA!BM215,2)</f>
        <v>1.71</v>
      </c>
      <c r="W236" s="999">
        <f>ROUND(+NOMINA!BN215,2)</f>
        <v>3.71</v>
      </c>
      <c r="X236" s="999">
        <f>ROUND(NOMINA!BO215,2)</f>
        <v>0</v>
      </c>
      <c r="Y236" s="999">
        <f>ROUND(NOMINA!BP215,2)</f>
        <v>0</v>
      </c>
      <c r="Z236" s="986">
        <f t="shared" si="29"/>
        <v>29.28</v>
      </c>
      <c r="AA236" s="999">
        <f>ROUND(NOMINA!BK215,2)</f>
        <v>0</v>
      </c>
      <c r="AB236" s="866">
        <f t="shared" si="30"/>
        <v>135.9</v>
      </c>
    </row>
    <row r="237" spans="1:28" s="629" customFormat="1" ht="20.100000000000001" customHeight="1" thickBot="1">
      <c r="A237" s="770" t="s">
        <v>2846</v>
      </c>
      <c r="B237" s="510">
        <f t="shared" ca="1" si="31"/>
        <v>174</v>
      </c>
      <c r="C237" s="980">
        <f>+NOMINA!C216</f>
        <v>18036156</v>
      </c>
      <c r="D237" s="981" t="str">
        <f>+NOMINA!D216</f>
        <v>Ruiz Vasquez Endri Ramon</v>
      </c>
      <c r="E237" s="978" t="s">
        <v>4622</v>
      </c>
      <c r="F237" s="1006">
        <v>27853</v>
      </c>
      <c r="G237" s="978" t="s">
        <v>4620</v>
      </c>
      <c r="H237" s="1007">
        <f>+NOMINA!H216</f>
        <v>45597</v>
      </c>
      <c r="I237" s="984">
        <f>+NOMINA!I216</f>
        <v>0</v>
      </c>
      <c r="J237" s="985">
        <f>+NOMINA!J216</f>
        <v>0</v>
      </c>
      <c r="K237" s="984">
        <f t="shared" si="27"/>
        <v>0</v>
      </c>
      <c r="L237" s="985" t="s">
        <v>4932</v>
      </c>
      <c r="M237" s="985"/>
      <c r="N237" s="1002" t="str">
        <f>+NOMINA!O216</f>
        <v>Guia de Centro I</v>
      </c>
      <c r="O237" s="999">
        <f>ROUND(NOMINA!W216,2)</f>
        <v>65</v>
      </c>
      <c r="P237" s="999">
        <f>NOMINA!AF216</f>
        <v>0</v>
      </c>
      <c r="Q237" s="999">
        <f>NOMINA!AH216</f>
        <v>65</v>
      </c>
      <c r="R237" s="999">
        <f>NOMINA!AC216</f>
        <v>0</v>
      </c>
      <c r="S237" s="999">
        <f>NOMINA!AJ216</f>
        <v>0</v>
      </c>
      <c r="T237" s="986">
        <f t="shared" si="28"/>
        <v>157.88</v>
      </c>
      <c r="U237" s="999">
        <f>ROUND(NOMINA!BL216,2)</f>
        <v>12.48</v>
      </c>
      <c r="V237" s="999">
        <f>ROUND(NOMINA!BM216,2)</f>
        <v>1.56</v>
      </c>
      <c r="W237" s="999">
        <f>ROUND(+NOMINA!BN216,2)</f>
        <v>3.38</v>
      </c>
      <c r="X237" s="999">
        <f>ROUND(NOMINA!BO216,2)</f>
        <v>0</v>
      </c>
      <c r="Y237" s="999">
        <f>ROUND(NOMINA!BP216,2)</f>
        <v>0</v>
      </c>
      <c r="Z237" s="986">
        <f t="shared" si="29"/>
        <v>15.96</v>
      </c>
      <c r="AA237" s="999">
        <f>ROUND(NOMINA!BK216,2)</f>
        <v>0</v>
      </c>
      <c r="AB237" s="866">
        <f t="shared" si="30"/>
        <v>112.58</v>
      </c>
    </row>
    <row r="238" spans="1:28" s="629" customFormat="1" ht="20.100000000000001" customHeight="1" thickBot="1">
      <c r="A238" s="770" t="s">
        <v>2846</v>
      </c>
      <c r="B238" s="510">
        <f t="shared" ca="1" si="31"/>
        <v>175</v>
      </c>
      <c r="C238" s="980">
        <f>+NOMINA!C217</f>
        <v>18095603</v>
      </c>
      <c r="D238" s="981" t="str">
        <f>+NOMINA!D217</f>
        <v>Lozada Bencomo Daniela Carolina</v>
      </c>
      <c r="E238" s="978" t="s">
        <v>4622</v>
      </c>
      <c r="F238" s="1006">
        <v>27853</v>
      </c>
      <c r="G238" s="978" t="s">
        <v>4620</v>
      </c>
      <c r="H238" s="1007">
        <f>+NOMINA!H217</f>
        <v>42963</v>
      </c>
      <c r="I238" s="984">
        <f>+NOMINA!I217</f>
        <v>7</v>
      </c>
      <c r="J238" s="985">
        <f>+NOMINA!J217</f>
        <v>0</v>
      </c>
      <c r="K238" s="984">
        <f t="shared" si="27"/>
        <v>7</v>
      </c>
      <c r="L238" s="985" t="s">
        <v>4932</v>
      </c>
      <c r="M238" s="985"/>
      <c r="N238" s="1002" t="str">
        <f>+NOMINA!O217</f>
        <v>Tecnico Superior en Trabajo Social II</v>
      </c>
      <c r="O238" s="999">
        <f>ROUND(NOMINA!W217,2)</f>
        <v>110.5</v>
      </c>
      <c r="P238" s="999">
        <f>NOMINA!AF217</f>
        <v>8.18</v>
      </c>
      <c r="Q238" s="999">
        <f>NOMINA!AH217</f>
        <v>65</v>
      </c>
      <c r="R238" s="999">
        <f>NOMINA!AC217</f>
        <v>12.5</v>
      </c>
      <c r="S238" s="999">
        <f>NOMINA!AJ217</f>
        <v>47.48</v>
      </c>
      <c r="T238" s="986">
        <f t="shared" si="28"/>
        <v>131.35000000000002</v>
      </c>
      <c r="U238" s="999">
        <f>ROUND(NOMINA!BL217,2)</f>
        <v>17.53</v>
      </c>
      <c r="V238" s="999">
        <f>ROUND(NOMINA!BM217,2)</f>
        <v>2.19</v>
      </c>
      <c r="W238" s="999">
        <f>ROUND(+NOMINA!BN217,2)</f>
        <v>4.75</v>
      </c>
      <c r="X238" s="999">
        <f>ROUND(NOMINA!BO217,2)</f>
        <v>0</v>
      </c>
      <c r="Y238" s="999">
        <f>ROUND(NOMINA!BP217,2)</f>
        <v>0</v>
      </c>
      <c r="Z238" s="986">
        <f t="shared" si="29"/>
        <v>27.9</v>
      </c>
      <c r="AA238" s="999">
        <f>ROUND(NOMINA!BK217,2)</f>
        <v>0</v>
      </c>
      <c r="AB238" s="866">
        <f t="shared" si="30"/>
        <v>219.19</v>
      </c>
    </row>
    <row r="239" spans="1:28" s="629" customFormat="1" ht="20.100000000000001" customHeight="1" thickBot="1">
      <c r="A239" s="770" t="s">
        <v>2846</v>
      </c>
      <c r="B239" s="510">
        <f t="shared" ca="1" si="31"/>
        <v>176</v>
      </c>
      <c r="C239" s="980">
        <f>+NOMINA!C218</f>
        <v>18096996</v>
      </c>
      <c r="D239" s="981" t="str">
        <f>+NOMINA!D218</f>
        <v>Diaz Maldonado Anny Jackeline</v>
      </c>
      <c r="E239" s="978" t="s">
        <v>4622</v>
      </c>
      <c r="F239" s="1006">
        <v>27853</v>
      </c>
      <c r="G239" s="978" t="s">
        <v>4620</v>
      </c>
      <c r="H239" s="1007">
        <f>+NOMINA!H218</f>
        <v>44743</v>
      </c>
      <c r="I239" s="984">
        <f>+NOMINA!I218</f>
        <v>2</v>
      </c>
      <c r="J239" s="985">
        <f>+NOMINA!J218</f>
        <v>0</v>
      </c>
      <c r="K239" s="984">
        <f t="shared" si="27"/>
        <v>2</v>
      </c>
      <c r="L239" s="985" t="s">
        <v>4932</v>
      </c>
      <c r="M239" s="985"/>
      <c r="N239" s="1002" t="str">
        <f>+NOMINA!O218</f>
        <v>CONTABILISTA III</v>
      </c>
      <c r="O239" s="999">
        <f>ROUND(NOMINA!W218,2)</f>
        <v>96</v>
      </c>
      <c r="P239" s="999">
        <f>NOMINA!AF218</f>
        <v>1.92</v>
      </c>
      <c r="Q239" s="999">
        <f>NOMINA!AH218</f>
        <v>65</v>
      </c>
      <c r="R239" s="999">
        <f>NOMINA!AC218</f>
        <v>12.5</v>
      </c>
      <c r="S239" s="999">
        <f>NOMINA!AJ218</f>
        <v>33.840000000000003</v>
      </c>
      <c r="T239" s="986">
        <f t="shared" si="28"/>
        <v>93.75</v>
      </c>
      <c r="U239" s="999">
        <f>ROUND(NOMINA!BL218,2)</f>
        <v>14.99</v>
      </c>
      <c r="V239" s="999">
        <f>ROUND(NOMINA!BM218,2)</f>
        <v>1.87</v>
      </c>
      <c r="W239" s="999">
        <f>ROUND(+NOMINA!BN218,2)</f>
        <v>4.0599999999999996</v>
      </c>
      <c r="X239" s="999">
        <f>ROUND(NOMINA!BO218,2)</f>
        <v>0</v>
      </c>
      <c r="Y239" s="999">
        <f>ROUND(NOMINA!BP218,2)</f>
        <v>0</v>
      </c>
      <c r="Z239" s="986">
        <f t="shared" si="29"/>
        <v>25.89</v>
      </c>
      <c r="AA239" s="999">
        <f>ROUND(NOMINA!BK218,2)</f>
        <v>0</v>
      </c>
      <c r="AB239" s="866">
        <f t="shared" si="30"/>
        <v>188.34000000000003</v>
      </c>
    </row>
    <row r="240" spans="1:28" s="629" customFormat="1" ht="20.100000000000001" customHeight="1" thickBot="1">
      <c r="A240" s="770" t="s">
        <v>2846</v>
      </c>
      <c r="B240" s="510">
        <f t="shared" ca="1" si="31"/>
        <v>177</v>
      </c>
      <c r="C240" s="980">
        <f>+NOMINA!C219</f>
        <v>18097528</v>
      </c>
      <c r="D240" s="981" t="str">
        <f>+NOMINA!D219</f>
        <v>Godoy Suarez Nelson Jose</v>
      </c>
      <c r="E240" s="978" t="s">
        <v>4622</v>
      </c>
      <c r="F240" s="1006">
        <v>27853</v>
      </c>
      <c r="G240" s="978" t="s">
        <v>4620</v>
      </c>
      <c r="H240" s="1007">
        <f>+NOMINA!H219</f>
        <v>45536</v>
      </c>
      <c r="I240" s="984">
        <f>+NOMINA!I219</f>
        <v>0</v>
      </c>
      <c r="J240" s="985">
        <f>+NOMINA!J219</f>
        <v>0</v>
      </c>
      <c r="K240" s="984">
        <f t="shared" si="27"/>
        <v>0</v>
      </c>
      <c r="L240" s="985" t="s">
        <v>4932</v>
      </c>
      <c r="M240" s="985"/>
      <c r="N240" s="1002" t="str">
        <f>+NOMINA!O219</f>
        <v>Guia de Centro I</v>
      </c>
      <c r="O240" s="999">
        <f>ROUND(NOMINA!W219,2)</f>
        <v>65</v>
      </c>
      <c r="P240" s="999">
        <f>NOMINA!AF219</f>
        <v>0</v>
      </c>
      <c r="Q240" s="999">
        <f>NOMINA!AH219</f>
        <v>65</v>
      </c>
      <c r="R240" s="999">
        <f>NOMINA!AC219</f>
        <v>25</v>
      </c>
      <c r="S240" s="999">
        <f>NOMINA!AJ219</f>
        <v>0</v>
      </c>
      <c r="T240" s="986">
        <f t="shared" si="28"/>
        <v>93.75</v>
      </c>
      <c r="U240" s="999">
        <f>ROUND(NOMINA!BL219,2)</f>
        <v>13.68</v>
      </c>
      <c r="V240" s="999">
        <f>ROUND(NOMINA!BM219,2)</f>
        <v>1.71</v>
      </c>
      <c r="W240" s="999">
        <f>ROUND(+NOMINA!BN219,2)</f>
        <v>3.71</v>
      </c>
      <c r="X240" s="999">
        <f>ROUND(NOMINA!BO219,2)</f>
        <v>0</v>
      </c>
      <c r="Y240" s="999">
        <f>ROUND(NOMINA!BP219,2)</f>
        <v>0</v>
      </c>
      <c r="Z240" s="986">
        <f t="shared" si="29"/>
        <v>22.72</v>
      </c>
      <c r="AA240" s="999">
        <f>ROUND(NOMINA!BK219,2)</f>
        <v>0</v>
      </c>
      <c r="AB240" s="866">
        <f t="shared" si="30"/>
        <v>135.9</v>
      </c>
    </row>
    <row r="241" spans="1:28" s="629" customFormat="1" ht="20.100000000000001" customHeight="1" thickBot="1">
      <c r="A241" s="770" t="s">
        <v>2846</v>
      </c>
      <c r="B241" s="510">
        <f t="shared" ca="1" si="31"/>
        <v>178</v>
      </c>
      <c r="C241" s="980">
        <f>+NOMINA!C220</f>
        <v>18097873</v>
      </c>
      <c r="D241" s="981" t="str">
        <f>+NOMINA!D220</f>
        <v>Villarreal Prada Yoriangela Nataly</v>
      </c>
      <c r="E241" s="978" t="s">
        <v>4622</v>
      </c>
      <c r="F241" s="1006">
        <v>27853</v>
      </c>
      <c r="G241" s="978" t="s">
        <v>4620</v>
      </c>
      <c r="H241" s="1007">
        <f>+NOMINA!H220</f>
        <v>44531</v>
      </c>
      <c r="I241" s="984">
        <f>+NOMINA!I220</f>
        <v>3</v>
      </c>
      <c r="J241" s="985">
        <f>+NOMINA!J220</f>
        <v>0</v>
      </c>
      <c r="K241" s="984">
        <f t="shared" si="27"/>
        <v>3</v>
      </c>
      <c r="L241" s="985" t="s">
        <v>4932</v>
      </c>
      <c r="M241" s="985"/>
      <c r="N241" s="1002" t="str">
        <f>+NOMINA!O220</f>
        <v>Guia de Centro I</v>
      </c>
      <c r="O241" s="999">
        <f>ROUND(NOMINA!W220,2)</f>
        <v>75</v>
      </c>
      <c r="P241" s="999">
        <f>NOMINA!AF220</f>
        <v>2.25</v>
      </c>
      <c r="Q241" s="999">
        <f>NOMINA!AH220</f>
        <v>65</v>
      </c>
      <c r="R241" s="999">
        <f>NOMINA!AC220</f>
        <v>25</v>
      </c>
      <c r="S241" s="999">
        <f>NOMINA!AJ220</f>
        <v>0</v>
      </c>
      <c r="T241" s="986">
        <f t="shared" si="28"/>
        <v>113.26</v>
      </c>
      <c r="U241" s="999">
        <f>ROUND(NOMINA!BL220,2)</f>
        <v>14.86</v>
      </c>
      <c r="V241" s="999">
        <f>ROUND(NOMINA!BM220,2)</f>
        <v>1.86</v>
      </c>
      <c r="W241" s="999">
        <f>ROUND(+NOMINA!BN220,2)</f>
        <v>4.0199999999999996</v>
      </c>
      <c r="X241" s="999">
        <f>ROUND(NOMINA!BO220,2)</f>
        <v>0</v>
      </c>
      <c r="Y241" s="999">
        <f>ROUND(NOMINA!BP220,2)</f>
        <v>0</v>
      </c>
      <c r="Z241" s="986">
        <f t="shared" si="29"/>
        <v>23.81</v>
      </c>
      <c r="AA241" s="999">
        <f>ROUND(NOMINA!BK220,2)</f>
        <v>0</v>
      </c>
      <c r="AB241" s="866">
        <f t="shared" si="30"/>
        <v>146.51</v>
      </c>
    </row>
    <row r="242" spans="1:28" s="629" customFormat="1" ht="20.100000000000001" customHeight="1" thickBot="1">
      <c r="A242" s="770" t="s">
        <v>2846</v>
      </c>
      <c r="B242" s="510">
        <f t="shared" ca="1" si="31"/>
        <v>179</v>
      </c>
      <c r="C242" s="980">
        <f>+NOMINA!C221</f>
        <v>18348317</v>
      </c>
      <c r="D242" s="981" t="str">
        <f>+NOMINA!D221</f>
        <v>Abreu Araujo Gilmer Francisco</v>
      </c>
      <c r="E242" s="978" t="s">
        <v>4622</v>
      </c>
      <c r="F242" s="1006">
        <v>27853</v>
      </c>
      <c r="G242" s="978" t="s">
        <v>4620</v>
      </c>
      <c r="H242" s="1007">
        <f>+NOMINA!H221</f>
        <v>43160</v>
      </c>
      <c r="I242" s="984">
        <f>+NOMINA!I221</f>
        <v>6</v>
      </c>
      <c r="J242" s="985">
        <f>+NOMINA!J221</f>
        <v>0</v>
      </c>
      <c r="K242" s="984">
        <f t="shared" si="27"/>
        <v>6</v>
      </c>
      <c r="L242" s="985" t="s">
        <v>4932</v>
      </c>
      <c r="M242" s="985"/>
      <c r="N242" s="1002" t="str">
        <f>+NOMINA!O221</f>
        <v>Tutor Facilitador III</v>
      </c>
      <c r="O242" s="999">
        <f>ROUND(NOMINA!W221,2)</f>
        <v>139.5</v>
      </c>
      <c r="P242" s="999">
        <f>NOMINA!AF221</f>
        <v>8.65</v>
      </c>
      <c r="Q242" s="999">
        <f>NOMINA!AH221</f>
        <v>65</v>
      </c>
      <c r="R242" s="999">
        <f>NOMINA!AC221</f>
        <v>12.5</v>
      </c>
      <c r="S242" s="999">
        <f>NOMINA!AJ221</f>
        <v>65.819999999999993</v>
      </c>
      <c r="T242" s="986">
        <f t="shared" si="28"/>
        <v>143.19999999999999</v>
      </c>
      <c r="U242" s="999">
        <f>ROUND(NOMINA!BL221,2)</f>
        <v>21.06</v>
      </c>
      <c r="V242" s="999">
        <f>ROUND(NOMINA!BM221,2)</f>
        <v>2.63</v>
      </c>
      <c r="W242" s="999">
        <f>ROUND(+NOMINA!BN221,2)</f>
        <v>5.7</v>
      </c>
      <c r="X242" s="999">
        <f>ROUND(NOMINA!BO221,2)</f>
        <v>0</v>
      </c>
      <c r="Y242" s="999">
        <f>ROUND(NOMINA!BP221,2)</f>
        <v>0</v>
      </c>
      <c r="Z242" s="986">
        <f t="shared" si="29"/>
        <v>30.99</v>
      </c>
      <c r="AA242" s="999">
        <f>ROUND(NOMINA!BK221,2)</f>
        <v>0</v>
      </c>
      <c r="AB242" s="866">
        <f t="shared" si="30"/>
        <v>262.08000000000004</v>
      </c>
    </row>
    <row r="243" spans="1:28" s="629" customFormat="1" ht="20.100000000000001" customHeight="1" thickBot="1">
      <c r="A243" s="770" t="s">
        <v>2846</v>
      </c>
      <c r="B243" s="510">
        <f t="shared" ca="1" si="31"/>
        <v>180</v>
      </c>
      <c r="C243" s="980">
        <f>+NOMINA!C222</f>
        <v>18348721</v>
      </c>
      <c r="D243" s="981" t="str">
        <f>+NOMINA!D222</f>
        <v>Villarreal Lusana Carolina</v>
      </c>
      <c r="E243" s="978" t="s">
        <v>4622</v>
      </c>
      <c r="F243" s="1006">
        <v>27853</v>
      </c>
      <c r="G243" s="978" t="s">
        <v>4620</v>
      </c>
      <c r="H243" s="1007">
        <f>+NOMINA!H222</f>
        <v>42948</v>
      </c>
      <c r="I243" s="984">
        <f>+NOMINA!I222</f>
        <v>7</v>
      </c>
      <c r="J243" s="985">
        <f>+NOMINA!J222</f>
        <v>0</v>
      </c>
      <c r="K243" s="984">
        <f t="shared" si="27"/>
        <v>7</v>
      </c>
      <c r="L243" s="985" t="s">
        <v>4932</v>
      </c>
      <c r="M243" s="985"/>
      <c r="N243" s="1002" t="str">
        <f>+NOMINA!O222</f>
        <v>Tecnico Superior en Trabajo Social II</v>
      </c>
      <c r="O243" s="999">
        <f>ROUND(NOMINA!W222,2)</f>
        <v>110.5</v>
      </c>
      <c r="P243" s="999">
        <f>NOMINA!AF222</f>
        <v>8.18</v>
      </c>
      <c r="Q243" s="999">
        <f>NOMINA!AH222</f>
        <v>65</v>
      </c>
      <c r="R243" s="999">
        <f>NOMINA!AC222</f>
        <v>25</v>
      </c>
      <c r="S243" s="999">
        <f>NOMINA!AJ222</f>
        <v>39.24</v>
      </c>
      <c r="T243" s="986">
        <f t="shared" si="28"/>
        <v>157.16</v>
      </c>
      <c r="U243" s="999">
        <f>ROUND(NOMINA!BL222,2)</f>
        <v>17.38</v>
      </c>
      <c r="V243" s="999">
        <f>ROUND(NOMINA!BM222,2)</f>
        <v>2.17</v>
      </c>
      <c r="W243" s="999">
        <f>ROUND(+NOMINA!BN222,2)</f>
        <v>4.71</v>
      </c>
      <c r="X243" s="999">
        <f>ROUND(NOMINA!BO222,2)</f>
        <v>0</v>
      </c>
      <c r="Y243" s="999">
        <f>ROUND(NOMINA!BP222,2)</f>
        <v>0</v>
      </c>
      <c r="Z243" s="986">
        <f t="shared" si="29"/>
        <v>26.94</v>
      </c>
      <c r="AA243" s="999">
        <f>ROUND(NOMINA!BK222,2)</f>
        <v>0</v>
      </c>
      <c r="AB243" s="866">
        <f t="shared" si="30"/>
        <v>223.66000000000003</v>
      </c>
    </row>
    <row r="244" spans="1:28" s="629" customFormat="1" ht="20.100000000000001" customHeight="1" thickBot="1">
      <c r="A244" s="770" t="s">
        <v>2846</v>
      </c>
      <c r="B244" s="510">
        <f t="shared" ca="1" si="31"/>
        <v>181</v>
      </c>
      <c r="C244" s="980">
        <f>+NOMINA!C223</f>
        <v>18349021</v>
      </c>
      <c r="D244" s="981" t="str">
        <f>+NOMINA!D223</f>
        <v>Godoy Linares Amenaida del Valle</v>
      </c>
      <c r="E244" s="978" t="s">
        <v>4622</v>
      </c>
      <c r="F244" s="1006">
        <v>27853</v>
      </c>
      <c r="G244" s="978" t="s">
        <v>4620</v>
      </c>
      <c r="H244" s="1007">
        <f>+NOMINA!H223</f>
        <v>44683</v>
      </c>
      <c r="I244" s="984">
        <f>+NOMINA!I223</f>
        <v>2</v>
      </c>
      <c r="J244" s="985">
        <f>+NOMINA!J223</f>
        <v>0</v>
      </c>
      <c r="K244" s="984">
        <f t="shared" si="27"/>
        <v>2</v>
      </c>
      <c r="L244" s="985" t="s">
        <v>4932</v>
      </c>
      <c r="M244" s="985"/>
      <c r="N244" s="1002" t="str">
        <f>+NOMINA!O223</f>
        <v>Guia de Centro I</v>
      </c>
      <c r="O244" s="999">
        <f>ROUND(NOMINA!W223,2)</f>
        <v>96</v>
      </c>
      <c r="P244" s="999">
        <f>NOMINA!AF223</f>
        <v>1.92</v>
      </c>
      <c r="Q244" s="999">
        <f>NOMINA!AH223</f>
        <v>65</v>
      </c>
      <c r="R244" s="999">
        <f>NOMINA!AC223</f>
        <v>12.5</v>
      </c>
      <c r="S244" s="999">
        <f>NOMINA!AJ223</f>
        <v>42.3</v>
      </c>
      <c r="T244" s="986">
        <f t="shared" si="28"/>
        <v>92.25</v>
      </c>
      <c r="U244" s="999">
        <f>ROUND(NOMINA!BL223,2)</f>
        <v>20.3</v>
      </c>
      <c r="V244" s="999">
        <f>ROUND(NOMINA!BM223,2)</f>
        <v>2.54</v>
      </c>
      <c r="W244" s="999">
        <f>ROUND(+NOMINA!BN223,2)</f>
        <v>5.5</v>
      </c>
      <c r="X244" s="999">
        <f>ROUND(NOMINA!BO223,2)</f>
        <v>0</v>
      </c>
      <c r="Y244" s="999">
        <f>ROUND(NOMINA!BP223,2)</f>
        <v>0</v>
      </c>
      <c r="Z244" s="986">
        <f t="shared" si="29"/>
        <v>21.22</v>
      </c>
      <c r="AA244" s="999">
        <f>ROUND(NOMINA!BK223,2)</f>
        <v>0</v>
      </c>
      <c r="AB244" s="866">
        <f t="shared" si="30"/>
        <v>189.38000000000002</v>
      </c>
    </row>
    <row r="245" spans="1:28" s="629" customFormat="1" ht="20.100000000000001" customHeight="1" thickBot="1">
      <c r="A245" s="770" t="s">
        <v>2846</v>
      </c>
      <c r="B245" s="510">
        <f t="shared" ca="1" si="31"/>
        <v>182</v>
      </c>
      <c r="C245" s="980">
        <f>+NOMINA!C224</f>
        <v>18349553</v>
      </c>
      <c r="D245" s="981" t="str">
        <f>+NOMINA!D224</f>
        <v>Quiroga Valdes Nayla Carolina</v>
      </c>
      <c r="E245" s="978" t="s">
        <v>4622</v>
      </c>
      <c r="F245" s="1006">
        <v>27853</v>
      </c>
      <c r="G245" s="978" t="s">
        <v>4620</v>
      </c>
      <c r="H245" s="1007">
        <f>+NOMINA!H224</f>
        <v>45566</v>
      </c>
      <c r="I245" s="984">
        <f>+NOMINA!I224</f>
        <v>0</v>
      </c>
      <c r="J245" s="985">
        <f>+NOMINA!J224</f>
        <v>0</v>
      </c>
      <c r="K245" s="984">
        <f t="shared" si="27"/>
        <v>0</v>
      </c>
      <c r="L245" s="985" t="s">
        <v>4932</v>
      </c>
      <c r="M245" s="985"/>
      <c r="N245" s="1002" t="str">
        <f>+NOMINA!O224</f>
        <v>Guia de Centro I</v>
      </c>
      <c r="O245" s="999">
        <f>ROUND(NOMINA!W224,2)</f>
        <v>123</v>
      </c>
      <c r="P245" s="999">
        <f>NOMINA!AF224</f>
        <v>0</v>
      </c>
      <c r="Q245" s="999">
        <f>NOMINA!AH224</f>
        <v>65</v>
      </c>
      <c r="R245" s="999">
        <f>NOMINA!AC224</f>
        <v>0</v>
      </c>
      <c r="S245" s="999">
        <f>NOMINA!AJ224</f>
        <v>47</v>
      </c>
      <c r="T245" s="986">
        <f t="shared" si="28"/>
        <v>124.7</v>
      </c>
      <c r="U245" s="999">
        <f>ROUND(NOMINA!BL224,2)</f>
        <v>22.56</v>
      </c>
      <c r="V245" s="999">
        <f>ROUND(NOMINA!BM224,2)</f>
        <v>2.82</v>
      </c>
      <c r="W245" s="999">
        <f>ROUND(+NOMINA!BN224,2)</f>
        <v>6.11</v>
      </c>
      <c r="X245" s="999">
        <f>ROUND(NOMINA!BO224,2)</f>
        <v>0</v>
      </c>
      <c r="Y245" s="999">
        <f>ROUND(NOMINA!BP224,2)</f>
        <v>0</v>
      </c>
      <c r="Z245" s="986">
        <f t="shared" si="29"/>
        <v>24.54</v>
      </c>
      <c r="AA245" s="999">
        <f>ROUND(NOMINA!BK224,2)</f>
        <v>0</v>
      </c>
      <c r="AB245" s="866">
        <f t="shared" si="30"/>
        <v>203.51</v>
      </c>
    </row>
    <row r="246" spans="1:28" s="629" customFormat="1" ht="20.100000000000001" customHeight="1" thickBot="1">
      <c r="A246" s="770" t="s">
        <v>2846</v>
      </c>
      <c r="B246" s="510">
        <f t="shared" ca="1" si="31"/>
        <v>183</v>
      </c>
      <c r="C246" s="980">
        <f>+NOMINA!C225</f>
        <v>18349653</v>
      </c>
      <c r="D246" s="981" t="str">
        <f>+NOMINA!D225</f>
        <v>Baptista Finol Violexy del Valle</v>
      </c>
      <c r="E246" s="978" t="s">
        <v>4622</v>
      </c>
      <c r="F246" s="1006">
        <v>27853</v>
      </c>
      <c r="G246" s="978" t="s">
        <v>4620</v>
      </c>
      <c r="H246" s="1007">
        <f>+NOMINA!H225</f>
        <v>45627</v>
      </c>
      <c r="I246" s="984">
        <f>+NOMINA!I225</f>
        <v>0</v>
      </c>
      <c r="J246" s="985">
        <f>+NOMINA!J225</f>
        <v>0</v>
      </c>
      <c r="K246" s="984">
        <f t="shared" si="27"/>
        <v>0</v>
      </c>
      <c r="L246" s="985" t="s">
        <v>4932</v>
      </c>
      <c r="M246" s="985"/>
      <c r="N246" s="1002" t="str">
        <f>+NOMINA!O225</f>
        <v>Guia de Centro I</v>
      </c>
      <c r="O246" s="999">
        <f>ROUND(NOMINA!W225,2)</f>
        <v>96</v>
      </c>
      <c r="P246" s="999">
        <f>NOMINA!AF225</f>
        <v>0</v>
      </c>
      <c r="Q246" s="999">
        <f>NOMINA!AH225</f>
        <v>65</v>
      </c>
      <c r="R246" s="999">
        <f>NOMINA!AC225</f>
        <v>25</v>
      </c>
      <c r="S246" s="999">
        <f>NOMINA!AJ225</f>
        <v>43.38</v>
      </c>
      <c r="T246" s="986">
        <f t="shared" si="28"/>
        <v>97.2</v>
      </c>
      <c r="U246" s="999">
        <f>ROUND(NOMINA!BL225,2)</f>
        <v>20.82</v>
      </c>
      <c r="V246" s="999">
        <f>ROUND(NOMINA!BM225,2)</f>
        <v>2.6</v>
      </c>
      <c r="W246" s="999">
        <f>ROUND(+NOMINA!BN225,2)</f>
        <v>5.64</v>
      </c>
      <c r="X246" s="999">
        <f>ROUND(NOMINA!BO225,2)</f>
        <v>0</v>
      </c>
      <c r="Y246" s="999">
        <f>ROUND(NOMINA!BP225,2)</f>
        <v>0</v>
      </c>
      <c r="Z246" s="986">
        <f t="shared" si="29"/>
        <v>20.100000000000001</v>
      </c>
      <c r="AA246" s="999">
        <f>ROUND(NOMINA!BK225,2)</f>
        <v>0</v>
      </c>
      <c r="AB246" s="866">
        <f t="shared" si="30"/>
        <v>200.32</v>
      </c>
    </row>
    <row r="247" spans="1:28" s="629" customFormat="1" ht="20.100000000000001" customHeight="1" thickBot="1">
      <c r="A247" s="770" t="s">
        <v>2846</v>
      </c>
      <c r="B247" s="510">
        <f t="shared" ca="1" si="31"/>
        <v>184</v>
      </c>
      <c r="C247" s="980">
        <f>+NOMINA!C226</f>
        <v>18350884</v>
      </c>
      <c r="D247" s="981" t="str">
        <f>+NOMINA!D226</f>
        <v>Araujo Mendoza Mirelis Carolina</v>
      </c>
      <c r="E247" s="978" t="s">
        <v>4622</v>
      </c>
      <c r="F247" s="1006">
        <v>27853</v>
      </c>
      <c r="G247" s="978" t="s">
        <v>4620</v>
      </c>
      <c r="H247" s="1007">
        <f>+NOMINA!H226</f>
        <v>45474</v>
      </c>
      <c r="I247" s="984">
        <f>+NOMINA!I226</f>
        <v>0</v>
      </c>
      <c r="J247" s="985">
        <f>+NOMINA!J226</f>
        <v>0</v>
      </c>
      <c r="K247" s="984">
        <f t="shared" si="27"/>
        <v>0</v>
      </c>
      <c r="L247" s="985" t="s">
        <v>4932</v>
      </c>
      <c r="M247" s="985"/>
      <c r="N247" s="1002" t="str">
        <f>+NOMINA!O226</f>
        <v>Guia de Centro I</v>
      </c>
      <c r="O247" s="999">
        <f>ROUND(NOMINA!W226,2)</f>
        <v>65</v>
      </c>
      <c r="P247" s="999">
        <f>NOMINA!AF226</f>
        <v>0</v>
      </c>
      <c r="Q247" s="999">
        <f>NOMINA!AH226</f>
        <v>65</v>
      </c>
      <c r="R247" s="999">
        <f>NOMINA!AC226</f>
        <v>12.5</v>
      </c>
      <c r="S247" s="999">
        <f>NOMINA!AJ226</f>
        <v>0</v>
      </c>
      <c r="T247" s="986">
        <f t="shared" si="28"/>
        <v>109.92000000000002</v>
      </c>
      <c r="U247" s="999">
        <f>ROUND(NOMINA!BL226,2)</f>
        <v>13.08</v>
      </c>
      <c r="V247" s="999">
        <f>ROUND(NOMINA!BM226,2)</f>
        <v>1.64</v>
      </c>
      <c r="W247" s="999">
        <f>ROUND(+NOMINA!BN226,2)</f>
        <v>3.54</v>
      </c>
      <c r="X247" s="999">
        <f>ROUND(NOMINA!BO226,2)</f>
        <v>0</v>
      </c>
      <c r="Y247" s="999">
        <f>ROUND(NOMINA!BP226,2)</f>
        <v>0</v>
      </c>
      <c r="Z247" s="986">
        <f t="shared" si="29"/>
        <v>29.52</v>
      </c>
      <c r="AA247" s="999">
        <f>ROUND(NOMINA!BK226,2)</f>
        <v>0</v>
      </c>
      <c r="AB247" s="866">
        <f t="shared" si="30"/>
        <v>124.24</v>
      </c>
    </row>
    <row r="248" spans="1:28" s="629" customFormat="1" ht="20.100000000000001" customHeight="1" thickBot="1">
      <c r="A248" s="770" t="s">
        <v>2846</v>
      </c>
      <c r="B248" s="510">
        <f t="shared" ca="1" si="31"/>
        <v>185</v>
      </c>
      <c r="C248" s="980">
        <f>+NOMINA!C227</f>
        <v>18378985</v>
      </c>
      <c r="D248" s="981" t="str">
        <f>+NOMINA!D227</f>
        <v>Quintero Paradas Ilse Maria</v>
      </c>
      <c r="E248" s="978" t="s">
        <v>4622</v>
      </c>
      <c r="F248" s="1006">
        <v>27853</v>
      </c>
      <c r="G248" s="978" t="s">
        <v>4620</v>
      </c>
      <c r="H248" s="1007">
        <f>+NOMINA!H227</f>
        <v>43147</v>
      </c>
      <c r="I248" s="984">
        <f>+NOMINA!I227</f>
        <v>6</v>
      </c>
      <c r="J248" s="985">
        <f>+NOMINA!J227</f>
        <v>0</v>
      </c>
      <c r="K248" s="984">
        <f t="shared" si="27"/>
        <v>6</v>
      </c>
      <c r="L248" s="985" t="s">
        <v>4932</v>
      </c>
      <c r="M248" s="985"/>
      <c r="N248" s="1002" t="str">
        <f>+NOMINA!O227</f>
        <v>Analista de Procesamiento de Datos II</v>
      </c>
      <c r="O248" s="999">
        <f>ROUND(NOMINA!W227,2)</f>
        <v>139.5</v>
      </c>
      <c r="P248" s="999">
        <f>NOMINA!AF227</f>
        <v>8.65</v>
      </c>
      <c r="Q248" s="999">
        <f>NOMINA!AH227</f>
        <v>65</v>
      </c>
      <c r="R248" s="999">
        <f>NOMINA!AC227</f>
        <v>12.5</v>
      </c>
      <c r="S248" s="999">
        <f>NOMINA!AJ227</f>
        <v>54.85</v>
      </c>
      <c r="T248" s="986">
        <f t="shared" si="28"/>
        <v>133.98000000000002</v>
      </c>
      <c r="U248" s="999">
        <f>ROUND(NOMINA!BL227,2)</f>
        <v>20.25</v>
      </c>
      <c r="V248" s="999">
        <f>ROUND(NOMINA!BM227,2)</f>
        <v>2.5299999999999998</v>
      </c>
      <c r="W248" s="999">
        <f>ROUND(+NOMINA!BN227,2)</f>
        <v>5.49</v>
      </c>
      <c r="X248" s="999">
        <f>ROUND(NOMINA!BO227,2)</f>
        <v>0</v>
      </c>
      <c r="Y248" s="999">
        <f>ROUND(NOMINA!BP227,2)</f>
        <v>0</v>
      </c>
      <c r="Z248" s="986">
        <f t="shared" si="29"/>
        <v>37.770000000000003</v>
      </c>
      <c r="AA248" s="999">
        <f>ROUND(NOMINA!BK227,2)</f>
        <v>0</v>
      </c>
      <c r="AB248" s="866">
        <f t="shared" si="30"/>
        <v>252.23</v>
      </c>
    </row>
    <row r="249" spans="1:28" s="629" customFormat="1" ht="20.100000000000001" customHeight="1" thickBot="1">
      <c r="A249" s="770" t="s">
        <v>2846</v>
      </c>
      <c r="B249" s="510">
        <f t="shared" ca="1" si="31"/>
        <v>186</v>
      </c>
      <c r="C249" s="980">
        <f>+NOMINA!C228</f>
        <v>18456345</v>
      </c>
      <c r="D249" s="981" t="str">
        <f>+NOMINA!D228</f>
        <v>Peñaloza Olmos Eduardo Jose</v>
      </c>
      <c r="E249" s="978" t="s">
        <v>4622</v>
      </c>
      <c r="F249" s="1006">
        <v>27853</v>
      </c>
      <c r="G249" s="978" t="s">
        <v>4620</v>
      </c>
      <c r="H249" s="1007">
        <f>+NOMINA!H228</f>
        <v>44774</v>
      </c>
      <c r="I249" s="984">
        <f>+NOMINA!I228</f>
        <v>2</v>
      </c>
      <c r="J249" s="985">
        <f>+NOMINA!J228</f>
        <v>0</v>
      </c>
      <c r="K249" s="984">
        <f t="shared" si="27"/>
        <v>2</v>
      </c>
      <c r="L249" s="985" t="s">
        <v>4932</v>
      </c>
      <c r="M249" s="985"/>
      <c r="N249" s="1002" t="str">
        <f>+NOMINA!O228</f>
        <v>ESPECIALISTA EN INFORMATICA I</v>
      </c>
      <c r="O249" s="999">
        <f>ROUND(NOMINA!W228,2)</f>
        <v>123</v>
      </c>
      <c r="P249" s="999">
        <f>NOMINA!AF228</f>
        <v>2.46</v>
      </c>
      <c r="Q249" s="999">
        <f>NOMINA!AH228</f>
        <v>65</v>
      </c>
      <c r="R249" s="999">
        <f>NOMINA!AC228</f>
        <v>0</v>
      </c>
      <c r="S249" s="999">
        <f>NOMINA!AJ228</f>
        <v>47.62</v>
      </c>
      <c r="T249" s="986">
        <f t="shared" si="28"/>
        <v>120.76</v>
      </c>
      <c r="U249" s="999">
        <f>ROUND(NOMINA!BL228,2)</f>
        <v>17.579999999999998</v>
      </c>
      <c r="V249" s="999">
        <f>ROUND(NOMINA!BM228,2)</f>
        <v>2.2000000000000002</v>
      </c>
      <c r="W249" s="999">
        <f>ROUND(+NOMINA!BN228,2)</f>
        <v>4.76</v>
      </c>
      <c r="X249" s="999">
        <f>ROUND(NOMINA!BO228,2)</f>
        <v>0</v>
      </c>
      <c r="Y249" s="999">
        <f>ROUND(NOMINA!BP228,2)</f>
        <v>0</v>
      </c>
      <c r="Z249" s="986">
        <f t="shared" si="29"/>
        <v>23.97</v>
      </c>
      <c r="AA249" s="999">
        <f>ROUND(NOMINA!BK228,2)</f>
        <v>0</v>
      </c>
      <c r="AB249" s="866">
        <f t="shared" si="30"/>
        <v>213.54</v>
      </c>
    </row>
    <row r="250" spans="1:28" s="629" customFormat="1" ht="20.100000000000001" customHeight="1" thickBot="1">
      <c r="A250" s="770" t="s">
        <v>2846</v>
      </c>
      <c r="B250" s="510">
        <f t="shared" ca="1" si="31"/>
        <v>187</v>
      </c>
      <c r="C250" s="980">
        <f>+NOMINA!C229</f>
        <v>18457406</v>
      </c>
      <c r="D250" s="981" t="str">
        <f>+NOMINA!D229</f>
        <v>Rivero Zambrano Herluis Jose</v>
      </c>
      <c r="E250" s="978" t="s">
        <v>4622</v>
      </c>
      <c r="F250" s="1006">
        <v>27853</v>
      </c>
      <c r="G250" s="978" t="s">
        <v>4620</v>
      </c>
      <c r="H250" s="1007">
        <f>+NOMINA!H229</f>
        <v>41548</v>
      </c>
      <c r="I250" s="984">
        <f>+NOMINA!I229</f>
        <v>11</v>
      </c>
      <c r="J250" s="985">
        <f>+NOMINA!J229</f>
        <v>0</v>
      </c>
      <c r="K250" s="984">
        <f t="shared" si="27"/>
        <v>11</v>
      </c>
      <c r="L250" s="985" t="s">
        <v>4932</v>
      </c>
      <c r="M250" s="985"/>
      <c r="N250" s="1002" t="str">
        <f>+NOMINA!O229</f>
        <v>Ingeniero Agronomo IV</v>
      </c>
      <c r="O250" s="999">
        <f>ROUND(NOMINA!W229,2)</f>
        <v>0</v>
      </c>
      <c r="P250" s="999">
        <f>NOMINA!AF229</f>
        <v>0</v>
      </c>
      <c r="Q250" s="999">
        <f>NOMINA!AH229</f>
        <v>0</v>
      </c>
      <c r="R250" s="999">
        <f>NOMINA!AC229</f>
        <v>0</v>
      </c>
      <c r="S250" s="999">
        <f>NOMINA!AJ229</f>
        <v>0</v>
      </c>
      <c r="T250" s="986">
        <f t="shared" si="28"/>
        <v>122.80000000000001</v>
      </c>
      <c r="U250" s="999">
        <f>ROUND(NOMINA!BL229,2)</f>
        <v>0</v>
      </c>
      <c r="V250" s="999">
        <f>ROUND(NOMINA!BM229,2)</f>
        <v>0</v>
      </c>
      <c r="W250" s="999">
        <f>ROUND(+NOMINA!BN229,2)</f>
        <v>0</v>
      </c>
      <c r="X250" s="999">
        <f>ROUND(NOMINA!BO229,2)</f>
        <v>0</v>
      </c>
      <c r="Y250" s="999">
        <f>ROUND(NOMINA!BP229,2)</f>
        <v>0</v>
      </c>
      <c r="Z250" s="986">
        <f t="shared" si="29"/>
        <v>19.27</v>
      </c>
      <c r="AA250" s="999">
        <f>ROUND(NOMINA!BK229,2)</f>
        <v>0</v>
      </c>
      <c r="AB250" s="866">
        <f t="shared" si="30"/>
        <v>0</v>
      </c>
    </row>
    <row r="251" spans="1:28" s="629" customFormat="1" ht="20.100000000000001" customHeight="1" thickBot="1">
      <c r="A251" s="770" t="s">
        <v>2846</v>
      </c>
      <c r="B251" s="510">
        <f t="shared" ca="1" si="31"/>
        <v>188</v>
      </c>
      <c r="C251" s="980">
        <f>+NOMINA!C230</f>
        <v>18458012</v>
      </c>
      <c r="D251" s="981" t="str">
        <f>+NOMINA!D230</f>
        <v>Briceño Uzcategui Maria Esperanza</v>
      </c>
      <c r="E251" s="978" t="s">
        <v>4622</v>
      </c>
      <c r="F251" s="1006">
        <v>27853</v>
      </c>
      <c r="G251" s="978" t="s">
        <v>4620</v>
      </c>
      <c r="H251" s="1007">
        <f>+NOMINA!H230</f>
        <v>44636</v>
      </c>
      <c r="I251" s="984">
        <f>+NOMINA!I230</f>
        <v>2</v>
      </c>
      <c r="J251" s="985">
        <f>+NOMINA!J230</f>
        <v>0</v>
      </c>
      <c r="K251" s="984">
        <f t="shared" si="27"/>
        <v>2</v>
      </c>
      <c r="L251" s="985" t="s">
        <v>4932</v>
      </c>
      <c r="M251" s="985"/>
      <c r="N251" s="1002" t="str">
        <f>+NOMINA!O230</f>
        <v>Asistente Administrativo III</v>
      </c>
      <c r="O251" s="999">
        <f>ROUND(NOMINA!W230,2)</f>
        <v>96</v>
      </c>
      <c r="P251" s="999">
        <f>NOMINA!AF230</f>
        <v>1.92</v>
      </c>
      <c r="Q251" s="999">
        <f>NOMINA!AH230</f>
        <v>65</v>
      </c>
      <c r="R251" s="999">
        <f>NOMINA!AC230</f>
        <v>25</v>
      </c>
      <c r="S251" s="999">
        <f>NOMINA!AJ230</f>
        <v>35.090000000000003</v>
      </c>
      <c r="T251" s="986">
        <f t="shared" si="28"/>
        <v>125.03</v>
      </c>
      <c r="U251" s="999">
        <f>ROUND(NOMINA!BL230,2)</f>
        <v>15.54</v>
      </c>
      <c r="V251" s="999">
        <f>ROUND(NOMINA!BM230,2)</f>
        <v>1.94</v>
      </c>
      <c r="W251" s="999">
        <f>ROUND(+NOMINA!BN230,2)</f>
        <v>4.21</v>
      </c>
      <c r="X251" s="999">
        <f>ROUND(NOMINA!BO230,2)</f>
        <v>0</v>
      </c>
      <c r="Y251" s="999">
        <f>ROUND(NOMINA!BP230,2)</f>
        <v>0</v>
      </c>
      <c r="Z251" s="986">
        <f t="shared" si="29"/>
        <v>19.100000000000001</v>
      </c>
      <c r="AA251" s="999">
        <f>ROUND(NOMINA!BK230,2)</f>
        <v>0</v>
      </c>
      <c r="AB251" s="866">
        <f t="shared" si="30"/>
        <v>201.32000000000002</v>
      </c>
    </row>
    <row r="252" spans="1:28" s="629" customFormat="1" ht="20.100000000000001" customHeight="1" thickBot="1">
      <c r="A252" s="770" t="s">
        <v>2846</v>
      </c>
      <c r="B252" s="510">
        <f t="shared" ca="1" si="31"/>
        <v>189</v>
      </c>
      <c r="C252" s="980">
        <f>+NOMINA!C231</f>
        <v>18670458</v>
      </c>
      <c r="D252" s="981" t="str">
        <f>+NOMINA!D231</f>
        <v>Gervasi de Valera Solanye Dairilyn</v>
      </c>
      <c r="E252" s="978" t="s">
        <v>4622</v>
      </c>
      <c r="F252" s="1006">
        <v>27853</v>
      </c>
      <c r="G252" s="978" t="s">
        <v>4620</v>
      </c>
      <c r="H252" s="1007">
        <f>+NOMINA!H231</f>
        <v>42741</v>
      </c>
      <c r="I252" s="984">
        <f>+NOMINA!I231</f>
        <v>8</v>
      </c>
      <c r="J252" s="985">
        <f>+NOMINA!J231</f>
        <v>0</v>
      </c>
      <c r="K252" s="984">
        <f t="shared" si="27"/>
        <v>8</v>
      </c>
      <c r="L252" s="985" t="s">
        <v>4932</v>
      </c>
      <c r="M252" s="985"/>
      <c r="N252" s="1002" t="str">
        <f>+NOMINA!O231</f>
        <v>Entrenador Deportivo IV</v>
      </c>
      <c r="O252" s="999">
        <f>ROUND(NOMINA!W231,2)</f>
        <v>139.5</v>
      </c>
      <c r="P252" s="999">
        <f>NOMINA!AF231</f>
        <v>12</v>
      </c>
      <c r="Q252" s="999">
        <f>NOMINA!AH231</f>
        <v>65</v>
      </c>
      <c r="R252" s="999">
        <f>NOMINA!AC231</f>
        <v>25</v>
      </c>
      <c r="S252" s="999">
        <f>NOMINA!AJ231</f>
        <v>57.25</v>
      </c>
      <c r="T252" s="986">
        <f t="shared" si="28"/>
        <v>115.07999999999998</v>
      </c>
      <c r="U252" s="999">
        <f>ROUND(NOMINA!BL231,2)</f>
        <v>21.14</v>
      </c>
      <c r="V252" s="999">
        <f>ROUND(NOMINA!BM231,2)</f>
        <v>2.64</v>
      </c>
      <c r="W252" s="999">
        <f>ROUND(+NOMINA!BN231,2)</f>
        <v>5.72</v>
      </c>
      <c r="X252" s="999">
        <f>ROUND(NOMINA!BO231,2)</f>
        <v>0</v>
      </c>
      <c r="Y252" s="999">
        <f>ROUND(NOMINA!BP231,2)</f>
        <v>0</v>
      </c>
      <c r="Z252" s="986">
        <f t="shared" si="29"/>
        <v>17.420000000000002</v>
      </c>
      <c r="AA252" s="999">
        <f>ROUND(NOMINA!BK231,2)</f>
        <v>0</v>
      </c>
      <c r="AB252" s="866">
        <f t="shared" si="30"/>
        <v>269.25</v>
      </c>
    </row>
    <row r="253" spans="1:28" s="629" customFormat="1" ht="20.100000000000001" customHeight="1" thickBot="1">
      <c r="A253" s="770" t="s">
        <v>2846</v>
      </c>
      <c r="B253" s="510">
        <f t="shared" ca="1" si="31"/>
        <v>190</v>
      </c>
      <c r="C253" s="980">
        <f>+NOMINA!C232</f>
        <v>18733682</v>
      </c>
      <c r="D253" s="981" t="str">
        <f>+NOMINA!D232</f>
        <v>Ocanto Ramirez Maria Alejandra</v>
      </c>
      <c r="E253" s="978" t="s">
        <v>4622</v>
      </c>
      <c r="F253" s="1006">
        <v>27853</v>
      </c>
      <c r="G253" s="978" t="s">
        <v>4620</v>
      </c>
      <c r="H253" s="1007">
        <f>+NOMINA!H232</f>
        <v>45474</v>
      </c>
      <c r="I253" s="984">
        <f>+NOMINA!I232</f>
        <v>0</v>
      </c>
      <c r="J253" s="985">
        <f>+NOMINA!J232</f>
        <v>0</v>
      </c>
      <c r="K253" s="984">
        <f t="shared" si="27"/>
        <v>0</v>
      </c>
      <c r="L253" s="985" t="s">
        <v>4932</v>
      </c>
      <c r="M253" s="985"/>
      <c r="N253" s="1002" t="str">
        <f>+NOMINA!O232</f>
        <v>Guia de Centro I</v>
      </c>
      <c r="O253" s="999">
        <f>ROUND(NOMINA!W232,2)</f>
        <v>65</v>
      </c>
      <c r="P253" s="999">
        <f>NOMINA!AF232</f>
        <v>0</v>
      </c>
      <c r="Q253" s="999">
        <f>NOMINA!AH232</f>
        <v>65</v>
      </c>
      <c r="R253" s="999">
        <f>NOMINA!AC232</f>
        <v>12.5</v>
      </c>
      <c r="S253" s="999">
        <f>NOMINA!AJ232</f>
        <v>0</v>
      </c>
      <c r="T253" s="986">
        <f t="shared" si="28"/>
        <v>81.25</v>
      </c>
      <c r="U253" s="999">
        <f>ROUND(NOMINA!BL232,2)</f>
        <v>13.08</v>
      </c>
      <c r="V253" s="999">
        <f>ROUND(NOMINA!BM232,2)</f>
        <v>1.64</v>
      </c>
      <c r="W253" s="999">
        <f>ROUND(+NOMINA!BN232,2)</f>
        <v>3.54</v>
      </c>
      <c r="X253" s="999">
        <f>ROUND(NOMINA!BO232,2)</f>
        <v>0</v>
      </c>
      <c r="Y253" s="999">
        <f>ROUND(NOMINA!BP232,2)</f>
        <v>0</v>
      </c>
      <c r="Z253" s="986">
        <f t="shared" si="29"/>
        <v>24.47</v>
      </c>
      <c r="AA253" s="999">
        <f>ROUND(NOMINA!BK232,2)</f>
        <v>0</v>
      </c>
      <c r="AB253" s="866">
        <f t="shared" si="30"/>
        <v>124.24</v>
      </c>
    </row>
    <row r="254" spans="1:28" s="629" customFormat="1" ht="20.100000000000001" customHeight="1" thickBot="1">
      <c r="A254" s="770" t="s">
        <v>2846</v>
      </c>
      <c r="B254" s="510">
        <f t="shared" ca="1" si="31"/>
        <v>191</v>
      </c>
      <c r="C254" s="980">
        <f>+NOMINA!C233</f>
        <v>18801597</v>
      </c>
      <c r="D254" s="981" t="str">
        <f>+NOMINA!D233</f>
        <v>Rodriguez Salas Mary Carmen</v>
      </c>
      <c r="E254" s="978" t="s">
        <v>4622</v>
      </c>
      <c r="F254" s="1006">
        <v>27853</v>
      </c>
      <c r="G254" s="978" t="s">
        <v>4620</v>
      </c>
      <c r="H254" s="1007">
        <f>+NOMINA!H233</f>
        <v>43359</v>
      </c>
      <c r="I254" s="984">
        <f>+NOMINA!I233</f>
        <v>6</v>
      </c>
      <c r="J254" s="985">
        <f>+NOMINA!J233</f>
        <v>0</v>
      </c>
      <c r="K254" s="984">
        <f t="shared" si="27"/>
        <v>6</v>
      </c>
      <c r="L254" s="985" t="s">
        <v>4932</v>
      </c>
      <c r="M254" s="985"/>
      <c r="N254" s="1002" t="str">
        <f>+NOMINA!O233</f>
        <v>Tutor Facilitador III</v>
      </c>
      <c r="O254" s="999">
        <f>ROUND(NOMINA!W233,2)</f>
        <v>139.5</v>
      </c>
      <c r="P254" s="999">
        <f>NOMINA!AF233</f>
        <v>8.65</v>
      </c>
      <c r="Q254" s="999">
        <f>NOMINA!AH233</f>
        <v>65</v>
      </c>
      <c r="R254" s="999">
        <f>NOMINA!AC233</f>
        <v>25</v>
      </c>
      <c r="S254" s="999">
        <f>NOMINA!AJ233</f>
        <v>56.42</v>
      </c>
      <c r="T254" s="986">
        <f t="shared" si="28"/>
        <v>152.22</v>
      </c>
      <c r="U254" s="999">
        <f>ROUND(NOMINA!BL233,2)</f>
        <v>20.83</v>
      </c>
      <c r="V254" s="999">
        <f>ROUND(NOMINA!BM233,2)</f>
        <v>2.6</v>
      </c>
      <c r="W254" s="999">
        <f>ROUND(+NOMINA!BN233,2)</f>
        <v>5.64</v>
      </c>
      <c r="X254" s="999">
        <f>ROUND(NOMINA!BO233,2)</f>
        <v>0</v>
      </c>
      <c r="Y254" s="999">
        <f>ROUND(NOMINA!BP233,2)</f>
        <v>0</v>
      </c>
      <c r="Z254" s="986">
        <f t="shared" si="29"/>
        <v>20.92</v>
      </c>
      <c r="AA254" s="999">
        <f>ROUND(NOMINA!BK233,2)</f>
        <v>0</v>
      </c>
      <c r="AB254" s="866">
        <f t="shared" si="30"/>
        <v>265.5</v>
      </c>
    </row>
    <row r="255" spans="1:28" s="629" customFormat="1" ht="20.100000000000001" customHeight="1" thickBot="1">
      <c r="A255" s="770" t="s">
        <v>2846</v>
      </c>
      <c r="B255" s="510">
        <f t="shared" ca="1" si="31"/>
        <v>192</v>
      </c>
      <c r="C255" s="980">
        <f>+NOMINA!C234</f>
        <v>18802405</v>
      </c>
      <c r="D255" s="981" t="str">
        <f>+NOMINA!D234</f>
        <v>Ramirez Rodriguez Rudys Arelys</v>
      </c>
      <c r="E255" s="978" t="s">
        <v>4622</v>
      </c>
      <c r="F255" s="1006">
        <v>27853</v>
      </c>
      <c r="G255" s="978" t="s">
        <v>4620</v>
      </c>
      <c r="H255" s="1007">
        <f>+NOMINA!H234</f>
        <v>44332</v>
      </c>
      <c r="I255" s="984">
        <f>+NOMINA!I234</f>
        <v>3</v>
      </c>
      <c r="J255" s="985">
        <f>+NOMINA!J234</f>
        <v>0</v>
      </c>
      <c r="K255" s="984">
        <f t="shared" si="27"/>
        <v>3</v>
      </c>
      <c r="L255" s="985" t="s">
        <v>4932</v>
      </c>
      <c r="M255" s="985"/>
      <c r="N255" s="1002" t="str">
        <f>+NOMINA!O234</f>
        <v>Tutor Facilitador I</v>
      </c>
      <c r="O255" s="999">
        <f>ROUND(NOMINA!W234,2)</f>
        <v>109.5</v>
      </c>
      <c r="P255" s="999">
        <f>NOMINA!AF234</f>
        <v>3.29</v>
      </c>
      <c r="Q255" s="999">
        <f>NOMINA!AH234</f>
        <v>65</v>
      </c>
      <c r="R255" s="999">
        <f>NOMINA!AC234</f>
        <v>25</v>
      </c>
      <c r="S255" s="999">
        <f>NOMINA!AJ234</f>
        <v>47.57</v>
      </c>
      <c r="T255" s="986">
        <f t="shared" si="28"/>
        <v>147.65</v>
      </c>
      <c r="U255" s="999">
        <f>ROUND(NOMINA!BL234,2)</f>
        <v>17.559999999999999</v>
      </c>
      <c r="V255" s="999">
        <f>ROUND(NOMINA!BM234,2)</f>
        <v>2.2000000000000002</v>
      </c>
      <c r="W255" s="999">
        <f>ROUND(+NOMINA!BN234,2)</f>
        <v>4.76</v>
      </c>
      <c r="X255" s="999">
        <f>ROUND(NOMINA!BO234,2)</f>
        <v>0</v>
      </c>
      <c r="Y255" s="999">
        <f>ROUND(NOMINA!BP234,2)</f>
        <v>0</v>
      </c>
      <c r="Z255" s="986">
        <f t="shared" si="29"/>
        <v>19.100000000000001</v>
      </c>
      <c r="AA255" s="999">
        <f>ROUND(NOMINA!BK234,2)</f>
        <v>0</v>
      </c>
      <c r="AB255" s="866">
        <f t="shared" si="30"/>
        <v>225.84000000000003</v>
      </c>
    </row>
    <row r="256" spans="1:28" s="629" customFormat="1" ht="20.100000000000001" customHeight="1" thickBot="1">
      <c r="A256" s="770" t="s">
        <v>2846</v>
      </c>
      <c r="B256" s="510">
        <f t="shared" ca="1" si="31"/>
        <v>193</v>
      </c>
      <c r="C256" s="980">
        <f>+NOMINA!C235</f>
        <v>18984406</v>
      </c>
      <c r="D256" s="981" t="str">
        <f>+NOMINA!D235</f>
        <v>Torres Santiago Eduardo David</v>
      </c>
      <c r="E256" s="978" t="s">
        <v>4622</v>
      </c>
      <c r="F256" s="1006">
        <v>27853</v>
      </c>
      <c r="G256" s="978" t="s">
        <v>4620</v>
      </c>
      <c r="H256" s="1007">
        <f>+NOMINA!H235</f>
        <v>45200</v>
      </c>
      <c r="I256" s="984">
        <f>+NOMINA!I235</f>
        <v>1</v>
      </c>
      <c r="J256" s="985">
        <f>+NOMINA!J235</f>
        <v>0</v>
      </c>
      <c r="K256" s="984">
        <f t="shared" si="27"/>
        <v>1</v>
      </c>
      <c r="L256" s="985" t="s">
        <v>4932</v>
      </c>
      <c r="M256" s="985"/>
      <c r="N256" s="1002" t="str">
        <f>+NOMINA!O235</f>
        <v>Guia de Centro I</v>
      </c>
      <c r="O256" s="999">
        <f>ROUND(NOMINA!W235,2)</f>
        <v>65</v>
      </c>
      <c r="P256" s="999">
        <f>NOMINA!AF235</f>
        <v>0.65</v>
      </c>
      <c r="Q256" s="999">
        <f>NOMINA!AH235</f>
        <v>65</v>
      </c>
      <c r="R256" s="999">
        <f>NOMINA!AC235</f>
        <v>0</v>
      </c>
      <c r="S256" s="999">
        <f>NOMINA!AJ235</f>
        <v>0</v>
      </c>
      <c r="T256" s="986">
        <f t="shared" si="28"/>
        <v>135.55000000000001</v>
      </c>
      <c r="U256" s="999">
        <f>ROUND(NOMINA!BL235,2)</f>
        <v>12.54</v>
      </c>
      <c r="V256" s="999">
        <f>ROUND(NOMINA!BM235,2)</f>
        <v>1.57</v>
      </c>
      <c r="W256" s="999">
        <f>ROUND(+NOMINA!BN235,2)</f>
        <v>3.4</v>
      </c>
      <c r="X256" s="999">
        <f>ROUND(NOMINA!BO235,2)</f>
        <v>0</v>
      </c>
      <c r="Y256" s="999">
        <f>ROUND(NOMINA!BP235,2)</f>
        <v>0</v>
      </c>
      <c r="Z256" s="986">
        <f t="shared" si="29"/>
        <v>20.74</v>
      </c>
      <c r="AA256" s="999">
        <f>ROUND(NOMINA!BK235,2)</f>
        <v>0</v>
      </c>
      <c r="AB256" s="866">
        <f t="shared" si="30"/>
        <v>113.14000000000001</v>
      </c>
    </row>
    <row r="257" spans="1:28" s="629" customFormat="1" ht="20.100000000000001" customHeight="1" thickBot="1">
      <c r="A257" s="770" t="s">
        <v>2846</v>
      </c>
      <c r="B257" s="510">
        <f t="shared" ca="1" si="31"/>
        <v>194</v>
      </c>
      <c r="C257" s="980">
        <f>+NOMINA!C236</f>
        <v>19101647</v>
      </c>
      <c r="D257" s="981" t="str">
        <f>+NOMINA!D236</f>
        <v>Uzcategui Urbina Madeley Tatiana</v>
      </c>
      <c r="E257" s="978" t="s">
        <v>4622</v>
      </c>
      <c r="F257" s="1006">
        <v>27853</v>
      </c>
      <c r="G257" s="978" t="s">
        <v>4620</v>
      </c>
      <c r="H257" s="1007">
        <f>+NOMINA!H236</f>
        <v>43845</v>
      </c>
      <c r="I257" s="984">
        <f>+NOMINA!I236</f>
        <v>5</v>
      </c>
      <c r="J257" s="985">
        <f>+NOMINA!J236</f>
        <v>0</v>
      </c>
      <c r="K257" s="984">
        <f t="shared" ref="K257:K320" si="32">I257+J257</f>
        <v>5</v>
      </c>
      <c r="L257" s="985" t="s">
        <v>4932</v>
      </c>
      <c r="M257" s="985"/>
      <c r="N257" s="1002" t="str">
        <f>+NOMINA!O236</f>
        <v>Guia de Centro I</v>
      </c>
      <c r="O257" s="999">
        <f>ROUND(NOMINA!W236,2)</f>
        <v>75</v>
      </c>
      <c r="P257" s="999">
        <f>NOMINA!AF236</f>
        <v>3.75</v>
      </c>
      <c r="Q257" s="999">
        <f>NOMINA!AH236</f>
        <v>65</v>
      </c>
      <c r="R257" s="999">
        <f>NOMINA!AC236</f>
        <v>25</v>
      </c>
      <c r="S257" s="999">
        <f>NOMINA!AJ236</f>
        <v>0</v>
      </c>
      <c r="T257" s="986">
        <f t="shared" ref="T257:T320" si="33">+P235+Q235+R235+S235</f>
        <v>68.75</v>
      </c>
      <c r="U257" s="999">
        <f>ROUND(NOMINA!BL236,2)</f>
        <v>15</v>
      </c>
      <c r="V257" s="999">
        <f>ROUND(NOMINA!BM236,2)</f>
        <v>1.88</v>
      </c>
      <c r="W257" s="999">
        <f>ROUND(+NOMINA!BN236,2)</f>
        <v>4.0599999999999996</v>
      </c>
      <c r="X257" s="999">
        <f>ROUND(NOMINA!BO236,2)</f>
        <v>0</v>
      </c>
      <c r="Y257" s="999">
        <f>ROUND(NOMINA!BP236,2)</f>
        <v>0</v>
      </c>
      <c r="Z257" s="986">
        <f t="shared" ref="Z257:Z320" si="34">ROUND(SUM(U242:Y242),2)</f>
        <v>29.39</v>
      </c>
      <c r="AA257" s="999">
        <f>ROUND(NOMINA!BK236,2)</f>
        <v>0</v>
      </c>
      <c r="AB257" s="866">
        <f t="shared" ref="AB257:AB320" si="35">+O257+P257+Q257+R257+S257-(U257+V257+W257+X257+Y257)+AA257</f>
        <v>147.81</v>
      </c>
    </row>
    <row r="258" spans="1:28" s="629" customFormat="1" ht="20.100000000000001" customHeight="1" thickBot="1">
      <c r="A258" s="770" t="s">
        <v>2846</v>
      </c>
      <c r="B258" s="510">
        <f t="shared" ca="1" si="31"/>
        <v>195</v>
      </c>
      <c r="C258" s="980">
        <f>+NOMINA!C237</f>
        <v>19101773</v>
      </c>
      <c r="D258" s="981" t="str">
        <f>+NOMINA!D237</f>
        <v>Gil Molina Maite Karina</v>
      </c>
      <c r="E258" s="978" t="s">
        <v>4622</v>
      </c>
      <c r="F258" s="1006">
        <v>27853</v>
      </c>
      <c r="G258" s="978" t="s">
        <v>4620</v>
      </c>
      <c r="H258" s="1007">
        <f>+NOMINA!H237</f>
        <v>45200</v>
      </c>
      <c r="I258" s="984">
        <f>+NOMINA!I237</f>
        <v>1</v>
      </c>
      <c r="J258" s="985">
        <f>+NOMINA!J237</f>
        <v>0</v>
      </c>
      <c r="K258" s="984">
        <f t="shared" si="32"/>
        <v>1</v>
      </c>
      <c r="L258" s="985" t="s">
        <v>4932</v>
      </c>
      <c r="M258" s="985"/>
      <c r="N258" s="1002" t="str">
        <f>+NOMINA!O237</f>
        <v>Guia de Centro I</v>
      </c>
      <c r="O258" s="999">
        <f>ROUND(NOMINA!W237,2)</f>
        <v>96</v>
      </c>
      <c r="P258" s="999">
        <f>NOMINA!AF237</f>
        <v>0.96</v>
      </c>
      <c r="Q258" s="999">
        <f>NOMINA!AH237</f>
        <v>65</v>
      </c>
      <c r="R258" s="999">
        <f>NOMINA!AC237</f>
        <v>12.5</v>
      </c>
      <c r="S258" s="999">
        <f>NOMINA!AJ237</f>
        <v>33.64</v>
      </c>
      <c r="T258" s="986">
        <f t="shared" si="33"/>
        <v>90</v>
      </c>
      <c r="U258" s="999">
        <f>ROUND(NOMINA!BL237,2)</f>
        <v>19.38</v>
      </c>
      <c r="V258" s="999">
        <f>ROUND(NOMINA!BM237,2)</f>
        <v>2.42</v>
      </c>
      <c r="W258" s="999">
        <f>ROUND(+NOMINA!BN237,2)</f>
        <v>5.25</v>
      </c>
      <c r="X258" s="999">
        <f>ROUND(NOMINA!BO237,2)</f>
        <v>0</v>
      </c>
      <c r="Y258" s="999">
        <f>ROUND(NOMINA!BP237,2)</f>
        <v>0</v>
      </c>
      <c r="Z258" s="986">
        <f t="shared" si="34"/>
        <v>24.26</v>
      </c>
      <c r="AA258" s="999">
        <f>ROUND(NOMINA!BK237,2)</f>
        <v>0</v>
      </c>
      <c r="AB258" s="866">
        <f t="shared" si="35"/>
        <v>181.04999999999995</v>
      </c>
    </row>
    <row r="259" spans="1:28" s="629" customFormat="1" ht="20.100000000000001" customHeight="1" thickBot="1">
      <c r="A259" s="770" t="s">
        <v>2846</v>
      </c>
      <c r="B259" s="510">
        <f t="shared" ca="1" si="31"/>
        <v>196</v>
      </c>
      <c r="C259" s="980">
        <f>+NOMINA!C238</f>
        <v>19103118</v>
      </c>
      <c r="D259" s="981" t="str">
        <f>+NOMINA!D238</f>
        <v>Plaza Quintero Orelis Maria</v>
      </c>
      <c r="E259" s="978" t="s">
        <v>4622</v>
      </c>
      <c r="F259" s="1006">
        <v>27853</v>
      </c>
      <c r="G259" s="978" t="s">
        <v>4620</v>
      </c>
      <c r="H259" s="1007">
        <f>+NOMINA!H238</f>
        <v>43724</v>
      </c>
      <c r="I259" s="984">
        <f>+NOMINA!I238</f>
        <v>5</v>
      </c>
      <c r="J259" s="985">
        <f>+NOMINA!J238</f>
        <v>0</v>
      </c>
      <c r="K259" s="984">
        <f t="shared" si="32"/>
        <v>5</v>
      </c>
      <c r="L259" s="985" t="s">
        <v>4932</v>
      </c>
      <c r="M259" s="985"/>
      <c r="N259" s="1002" t="str">
        <f>+NOMINA!O238</f>
        <v>Tecnico Superior en Trabajo Social II</v>
      </c>
      <c r="O259" s="999">
        <f>ROUND(NOMINA!W238,2)</f>
        <v>109.5</v>
      </c>
      <c r="P259" s="999">
        <f>NOMINA!AF238</f>
        <v>5.48</v>
      </c>
      <c r="Q259" s="999">
        <f>NOMINA!AH238</f>
        <v>65</v>
      </c>
      <c r="R259" s="999">
        <f>NOMINA!AC238</f>
        <v>25</v>
      </c>
      <c r="S259" s="999">
        <f>NOMINA!AJ238</f>
        <v>38.5</v>
      </c>
      <c r="T259" s="986">
        <f t="shared" si="33"/>
        <v>65</v>
      </c>
      <c r="U259" s="999">
        <f>ROUND(NOMINA!BL238,2)</f>
        <v>17.059999999999999</v>
      </c>
      <c r="V259" s="999">
        <f>ROUND(NOMINA!BM238,2)</f>
        <v>2.13</v>
      </c>
      <c r="W259" s="999">
        <f>ROUND(+NOMINA!BN238,2)</f>
        <v>4.62</v>
      </c>
      <c r="X259" s="999">
        <f>ROUND(NOMINA!BO238,2)</f>
        <v>0</v>
      </c>
      <c r="Y259" s="999">
        <f>ROUND(NOMINA!BP238,2)</f>
        <v>0</v>
      </c>
      <c r="Z259" s="986">
        <f t="shared" si="34"/>
        <v>28.34</v>
      </c>
      <c r="AA259" s="999">
        <f>ROUND(NOMINA!BK238,2)</f>
        <v>0</v>
      </c>
      <c r="AB259" s="866">
        <f t="shared" si="35"/>
        <v>219.67000000000002</v>
      </c>
    </row>
    <row r="260" spans="1:28" s="629" customFormat="1" ht="20.100000000000001" customHeight="1" thickBot="1">
      <c r="A260" s="770" t="s">
        <v>2846</v>
      </c>
      <c r="B260" s="510">
        <f t="shared" ca="1" si="31"/>
        <v>197</v>
      </c>
      <c r="C260" s="980">
        <f>+NOMINA!C239</f>
        <v>19103604</v>
      </c>
      <c r="D260" s="981" t="str">
        <f>+NOMINA!D239</f>
        <v>Hernandez Graterol Gleidys Coromoto</v>
      </c>
      <c r="E260" s="978" t="s">
        <v>4622</v>
      </c>
      <c r="F260" s="1006">
        <v>27853</v>
      </c>
      <c r="G260" s="978" t="s">
        <v>4620</v>
      </c>
      <c r="H260" s="1007">
        <f>+NOMINA!H239</f>
        <v>44600</v>
      </c>
      <c r="I260" s="984">
        <f>+NOMINA!I239</f>
        <v>2</v>
      </c>
      <c r="J260" s="985">
        <f>+NOMINA!J239</f>
        <v>0</v>
      </c>
      <c r="K260" s="984">
        <f t="shared" si="32"/>
        <v>2</v>
      </c>
      <c r="L260" s="985" t="s">
        <v>4932</v>
      </c>
      <c r="M260" s="985"/>
      <c r="N260" s="1002" t="str">
        <f>+NOMINA!O239</f>
        <v>Asistente Administrativo III</v>
      </c>
      <c r="O260" s="999">
        <f>ROUND(NOMINA!W239,2)</f>
        <v>96</v>
      </c>
      <c r="P260" s="999">
        <f>NOMINA!AF239</f>
        <v>1.92</v>
      </c>
      <c r="Q260" s="999">
        <f>NOMINA!AH239</f>
        <v>65</v>
      </c>
      <c r="R260" s="999">
        <f>NOMINA!AC239</f>
        <v>25</v>
      </c>
      <c r="S260" s="999">
        <f>NOMINA!AJ239</f>
        <v>35.090000000000003</v>
      </c>
      <c r="T260" s="986">
        <f t="shared" si="33"/>
        <v>133.16</v>
      </c>
      <c r="U260" s="999">
        <f>ROUND(NOMINA!BL239,2)</f>
        <v>15.54</v>
      </c>
      <c r="V260" s="999">
        <f>ROUND(NOMINA!BM239,2)</f>
        <v>1.94</v>
      </c>
      <c r="W260" s="999">
        <f>ROUND(+NOMINA!BN239,2)</f>
        <v>4.21</v>
      </c>
      <c r="X260" s="999">
        <f>ROUND(NOMINA!BO239,2)</f>
        <v>0</v>
      </c>
      <c r="Y260" s="999">
        <f>ROUND(NOMINA!BP239,2)</f>
        <v>0</v>
      </c>
      <c r="Z260" s="986">
        <f t="shared" si="34"/>
        <v>31.49</v>
      </c>
      <c r="AA260" s="999">
        <f>ROUND(NOMINA!BK239,2)</f>
        <v>0</v>
      </c>
      <c r="AB260" s="866">
        <f t="shared" si="35"/>
        <v>201.32000000000002</v>
      </c>
    </row>
    <row r="261" spans="1:28" s="629" customFormat="1" ht="20.100000000000001" customHeight="1" thickBot="1">
      <c r="A261" s="770" t="s">
        <v>2846</v>
      </c>
      <c r="B261" s="510">
        <f t="shared" ca="1" si="31"/>
        <v>198</v>
      </c>
      <c r="C261" s="980">
        <f>+NOMINA!C240</f>
        <v>19103823</v>
      </c>
      <c r="D261" s="981" t="str">
        <f>+NOMINA!D240</f>
        <v>Valero Sanchez Zulay del Valle</v>
      </c>
      <c r="E261" s="978" t="s">
        <v>4622</v>
      </c>
      <c r="F261" s="1006">
        <v>27853</v>
      </c>
      <c r="G261" s="978" t="s">
        <v>4620</v>
      </c>
      <c r="H261" s="1007">
        <f>+NOMINA!H240</f>
        <v>42795</v>
      </c>
      <c r="I261" s="984">
        <f>+NOMINA!I240</f>
        <v>7</v>
      </c>
      <c r="J261" s="985">
        <f>+NOMINA!J240</f>
        <v>0</v>
      </c>
      <c r="K261" s="984">
        <f t="shared" si="32"/>
        <v>7</v>
      </c>
      <c r="L261" s="985" t="s">
        <v>4932</v>
      </c>
      <c r="M261" s="985"/>
      <c r="N261" s="1002" t="str">
        <f>+NOMINA!O240</f>
        <v>Tutor Facilitador III</v>
      </c>
      <c r="O261" s="999">
        <f>ROUND(NOMINA!W240,2)</f>
        <v>154</v>
      </c>
      <c r="P261" s="999">
        <f>NOMINA!AF240</f>
        <v>11.4</v>
      </c>
      <c r="Q261" s="999">
        <f>NOMINA!AH240</f>
        <v>65</v>
      </c>
      <c r="R261" s="999">
        <f>NOMINA!AC240</f>
        <v>12.5</v>
      </c>
      <c r="S261" s="999">
        <f>NOMINA!AJ240</f>
        <v>82.83</v>
      </c>
      <c r="T261" s="986">
        <f t="shared" si="33"/>
        <v>113.26</v>
      </c>
      <c r="U261" s="999">
        <f>ROUND(NOMINA!BL240,2)</f>
        <v>23.59</v>
      </c>
      <c r="V261" s="999">
        <f>ROUND(NOMINA!BM240,2)</f>
        <v>2.95</v>
      </c>
      <c r="W261" s="999">
        <f>ROUND(+NOMINA!BN240,2)</f>
        <v>6.39</v>
      </c>
      <c r="X261" s="999">
        <f>ROUND(NOMINA!BO240,2)</f>
        <v>0</v>
      </c>
      <c r="Y261" s="999">
        <f>ROUND(NOMINA!BP240,2)</f>
        <v>0</v>
      </c>
      <c r="Z261" s="986">
        <f t="shared" si="34"/>
        <v>29.06</v>
      </c>
      <c r="AA261" s="999">
        <f>ROUND(NOMINA!BK240,2)</f>
        <v>0</v>
      </c>
      <c r="AB261" s="866">
        <f t="shared" si="35"/>
        <v>292.8</v>
      </c>
    </row>
    <row r="262" spans="1:28" s="629" customFormat="1" ht="20.100000000000001" customHeight="1" thickBot="1">
      <c r="A262" s="770" t="s">
        <v>2846</v>
      </c>
      <c r="B262" s="510">
        <f t="shared" ca="1" si="31"/>
        <v>199</v>
      </c>
      <c r="C262" s="980">
        <f>+NOMINA!C241</f>
        <v>19286780</v>
      </c>
      <c r="D262" s="981" t="str">
        <f>+NOMINA!D241</f>
        <v>Mejia Rosales Katiusca Josefina</v>
      </c>
      <c r="E262" s="978" t="s">
        <v>4622</v>
      </c>
      <c r="F262" s="1006">
        <v>27853</v>
      </c>
      <c r="G262" s="978" t="s">
        <v>4620</v>
      </c>
      <c r="H262" s="1007">
        <f>+NOMINA!H241</f>
        <v>42492</v>
      </c>
      <c r="I262" s="984">
        <f>+NOMINA!I241</f>
        <v>8</v>
      </c>
      <c r="J262" s="985">
        <f>+NOMINA!J241</f>
        <v>0</v>
      </c>
      <c r="K262" s="984">
        <f t="shared" si="32"/>
        <v>8</v>
      </c>
      <c r="L262" s="985" t="s">
        <v>4932</v>
      </c>
      <c r="M262" s="985"/>
      <c r="N262" s="1002" t="str">
        <f>+NOMINA!O241</f>
        <v>Asistente Administrativo III</v>
      </c>
      <c r="O262" s="999">
        <f>ROUND(NOMINA!W241,2)</f>
        <v>110.5</v>
      </c>
      <c r="P262" s="999">
        <f>NOMINA!AF241</f>
        <v>9.51</v>
      </c>
      <c r="Q262" s="999">
        <f>NOMINA!AH241</f>
        <v>65</v>
      </c>
      <c r="R262" s="999">
        <f>NOMINA!AC241</f>
        <v>25</v>
      </c>
      <c r="S262" s="999">
        <f>NOMINA!AJ241</f>
        <v>39.5</v>
      </c>
      <c r="T262" s="986">
        <f t="shared" si="33"/>
        <v>90</v>
      </c>
      <c r="U262" s="999">
        <f>ROUND(NOMINA!BL241,2)</f>
        <v>17.5</v>
      </c>
      <c r="V262" s="999">
        <f>ROUND(NOMINA!BM241,2)</f>
        <v>2.19</v>
      </c>
      <c r="W262" s="999">
        <f>ROUND(+NOMINA!BN241,2)</f>
        <v>4.74</v>
      </c>
      <c r="X262" s="999">
        <f>ROUND(NOMINA!BO241,2)</f>
        <v>0</v>
      </c>
      <c r="Y262" s="999">
        <f>ROUND(NOMINA!BP241,2)</f>
        <v>0</v>
      </c>
      <c r="Z262" s="986">
        <f t="shared" si="34"/>
        <v>18.260000000000002</v>
      </c>
      <c r="AA262" s="999">
        <f>ROUND(NOMINA!BK241,2)</f>
        <v>0</v>
      </c>
      <c r="AB262" s="866">
        <f t="shared" si="35"/>
        <v>225.07999999999998</v>
      </c>
    </row>
    <row r="263" spans="1:28" s="629" customFormat="1" ht="20.100000000000001" customHeight="1" thickBot="1">
      <c r="A263" s="770" t="s">
        <v>2846</v>
      </c>
      <c r="B263" s="510">
        <f t="shared" ca="1" si="31"/>
        <v>200</v>
      </c>
      <c r="C263" s="980">
        <f>+NOMINA!C242</f>
        <v>19287100</v>
      </c>
      <c r="D263" s="981" t="str">
        <f>+NOMINA!D242</f>
        <v>Leal Mejia Fraineli Yoset</v>
      </c>
      <c r="E263" s="978" t="s">
        <v>4622</v>
      </c>
      <c r="F263" s="1006">
        <v>27853</v>
      </c>
      <c r="G263" s="978" t="s">
        <v>4620</v>
      </c>
      <c r="H263" s="1007">
        <f>+NOMINA!H242</f>
        <v>44713</v>
      </c>
      <c r="I263" s="984">
        <f>+NOMINA!I242</f>
        <v>2</v>
      </c>
      <c r="J263" s="985">
        <f>+NOMINA!J242</f>
        <v>0</v>
      </c>
      <c r="K263" s="984">
        <f t="shared" si="32"/>
        <v>2</v>
      </c>
      <c r="L263" s="985" t="s">
        <v>4932</v>
      </c>
      <c r="M263" s="985"/>
      <c r="N263" s="1002" t="str">
        <f>+NOMINA!O242</f>
        <v>Tecnico Superior en Trabajo Social II</v>
      </c>
      <c r="O263" s="999">
        <f>ROUND(NOMINA!W242,2)</f>
        <v>96</v>
      </c>
      <c r="P263" s="999">
        <f>NOMINA!AF242</f>
        <v>1.92</v>
      </c>
      <c r="Q263" s="999">
        <f>NOMINA!AH242</f>
        <v>65</v>
      </c>
      <c r="R263" s="999">
        <f>NOMINA!AC242</f>
        <v>25</v>
      </c>
      <c r="S263" s="999">
        <f>NOMINA!AJ242</f>
        <v>35.090000000000003</v>
      </c>
      <c r="T263" s="986">
        <f t="shared" si="33"/>
        <v>92.25</v>
      </c>
      <c r="U263" s="999">
        <f>ROUND(NOMINA!BL242,2)</f>
        <v>15.54</v>
      </c>
      <c r="V263" s="999">
        <f>ROUND(NOMINA!BM242,2)</f>
        <v>1.94</v>
      </c>
      <c r="W263" s="999">
        <f>ROUND(+NOMINA!BN242,2)</f>
        <v>4.21</v>
      </c>
      <c r="X263" s="999">
        <f>ROUND(NOMINA!BO242,2)</f>
        <v>0</v>
      </c>
      <c r="Y263" s="999">
        <f>ROUND(NOMINA!BP242,2)</f>
        <v>0</v>
      </c>
      <c r="Z263" s="986">
        <f t="shared" si="34"/>
        <v>28.27</v>
      </c>
      <c r="AA263" s="999">
        <f>ROUND(NOMINA!BK242,2)</f>
        <v>0</v>
      </c>
      <c r="AB263" s="866">
        <f t="shared" si="35"/>
        <v>201.32000000000002</v>
      </c>
    </row>
    <row r="264" spans="1:28" s="629" customFormat="1" ht="20.100000000000001" customHeight="1" thickBot="1">
      <c r="A264" s="770" t="s">
        <v>2846</v>
      </c>
      <c r="B264" s="510">
        <f t="shared" ca="1" si="31"/>
        <v>201</v>
      </c>
      <c r="C264" s="980">
        <f>+NOMINA!C243</f>
        <v>19372791</v>
      </c>
      <c r="D264" s="981" t="str">
        <f>+NOMINA!D243</f>
        <v>Reveron Araujo Andreina Oscarelis</v>
      </c>
      <c r="E264" s="978" t="s">
        <v>4622</v>
      </c>
      <c r="F264" s="1006">
        <v>27853</v>
      </c>
      <c r="G264" s="978" t="s">
        <v>4620</v>
      </c>
      <c r="H264" s="1007">
        <f>+NOMINA!H243</f>
        <v>45627</v>
      </c>
      <c r="I264" s="984">
        <f>+NOMINA!I243</f>
        <v>0</v>
      </c>
      <c r="J264" s="985">
        <f>+NOMINA!J243</f>
        <v>0</v>
      </c>
      <c r="K264" s="984">
        <f t="shared" si="32"/>
        <v>0</v>
      </c>
      <c r="L264" s="985" t="s">
        <v>4932</v>
      </c>
      <c r="M264" s="985"/>
      <c r="N264" s="1002" t="str">
        <f>+NOMINA!O243</f>
        <v>Guia de Centro I</v>
      </c>
      <c r="O264" s="999">
        <f>ROUND(NOMINA!W243,2)</f>
        <v>96</v>
      </c>
      <c r="P264" s="999">
        <f>NOMINA!AF243</f>
        <v>0</v>
      </c>
      <c r="Q264" s="999">
        <f>NOMINA!AH243</f>
        <v>65</v>
      </c>
      <c r="R264" s="999">
        <f>NOMINA!AC243</f>
        <v>12.5</v>
      </c>
      <c r="S264" s="999">
        <f>NOMINA!AJ243</f>
        <v>41.82</v>
      </c>
      <c r="T264" s="986">
        <f t="shared" si="33"/>
        <v>151.97</v>
      </c>
      <c r="U264" s="999">
        <f>ROUND(NOMINA!BL243,2)</f>
        <v>20.07</v>
      </c>
      <c r="V264" s="999">
        <f>ROUND(NOMINA!BM243,2)</f>
        <v>2.5099999999999998</v>
      </c>
      <c r="W264" s="999">
        <f>ROUND(+NOMINA!BN243,2)</f>
        <v>5.44</v>
      </c>
      <c r="X264" s="999">
        <f>ROUND(NOMINA!BO243,2)</f>
        <v>0</v>
      </c>
      <c r="Y264" s="999">
        <f>ROUND(NOMINA!BP243,2)</f>
        <v>0</v>
      </c>
      <c r="Z264" s="986">
        <f t="shared" si="34"/>
        <v>24.54</v>
      </c>
      <c r="AA264" s="999">
        <f>ROUND(NOMINA!BK243,2)</f>
        <v>0</v>
      </c>
      <c r="AB264" s="866">
        <f t="shared" si="35"/>
        <v>187.29999999999998</v>
      </c>
    </row>
    <row r="265" spans="1:28" s="629" customFormat="1" ht="20.100000000000001" customHeight="1" thickBot="1">
      <c r="A265" s="770" t="s">
        <v>2846</v>
      </c>
      <c r="B265" s="510">
        <f t="shared" ca="1" si="31"/>
        <v>202</v>
      </c>
      <c r="C265" s="980">
        <f>+NOMINA!C244</f>
        <v>19610534</v>
      </c>
      <c r="D265" s="981" t="str">
        <f>+NOMINA!D244</f>
        <v>Santos Saavedra Greosmar Johan</v>
      </c>
      <c r="E265" s="978" t="s">
        <v>4622</v>
      </c>
      <c r="F265" s="1006">
        <v>27853</v>
      </c>
      <c r="G265" s="978" t="s">
        <v>4620</v>
      </c>
      <c r="H265" s="1007">
        <f>+NOMINA!H244</f>
        <v>44713</v>
      </c>
      <c r="I265" s="984">
        <f>+NOMINA!I244</f>
        <v>2</v>
      </c>
      <c r="J265" s="985">
        <f>+NOMINA!J244</f>
        <v>0</v>
      </c>
      <c r="K265" s="984">
        <f t="shared" si="32"/>
        <v>2</v>
      </c>
      <c r="L265" s="985" t="s">
        <v>4932</v>
      </c>
      <c r="M265" s="985"/>
      <c r="N265" s="1002" t="str">
        <f>+NOMINA!O244</f>
        <v>Guia de Centro I</v>
      </c>
      <c r="O265" s="999">
        <f>ROUND(NOMINA!W244,2)</f>
        <v>96</v>
      </c>
      <c r="P265" s="999">
        <f>NOMINA!AF244</f>
        <v>1.92</v>
      </c>
      <c r="Q265" s="999">
        <f>NOMINA!AH244</f>
        <v>65</v>
      </c>
      <c r="R265" s="999">
        <f>NOMINA!AC244</f>
        <v>12.5</v>
      </c>
      <c r="S265" s="999">
        <f>NOMINA!AJ244</f>
        <v>33.840000000000003</v>
      </c>
      <c r="T265" s="986">
        <f t="shared" si="33"/>
        <v>137.42000000000002</v>
      </c>
      <c r="U265" s="999">
        <f>ROUND(NOMINA!BL244,2)</f>
        <v>19.489999999999998</v>
      </c>
      <c r="V265" s="999">
        <f>ROUND(NOMINA!BM244,2)</f>
        <v>2.44</v>
      </c>
      <c r="W265" s="999">
        <f>ROUND(+NOMINA!BN244,2)</f>
        <v>5.28</v>
      </c>
      <c r="X265" s="999">
        <f>ROUND(NOMINA!BO244,2)</f>
        <v>0</v>
      </c>
      <c r="Y265" s="999">
        <f>ROUND(NOMINA!BP244,2)</f>
        <v>0</v>
      </c>
      <c r="Z265" s="986">
        <f t="shared" si="34"/>
        <v>0</v>
      </c>
      <c r="AA265" s="999">
        <f>ROUND(NOMINA!BK244,2)</f>
        <v>0</v>
      </c>
      <c r="AB265" s="866">
        <f t="shared" si="35"/>
        <v>182.05</v>
      </c>
    </row>
    <row r="266" spans="1:28" s="629" customFormat="1" ht="20.100000000000001" customHeight="1" thickBot="1">
      <c r="A266" s="770" t="s">
        <v>2846</v>
      </c>
      <c r="B266" s="510">
        <f t="shared" ca="1" si="31"/>
        <v>203</v>
      </c>
      <c r="C266" s="980">
        <f>+NOMINA!C245</f>
        <v>19610565</v>
      </c>
      <c r="D266" s="981" t="str">
        <f>+NOMINA!D245</f>
        <v>Uzcategui Uzcategui Saray Cristina</v>
      </c>
      <c r="E266" s="978" t="s">
        <v>4622</v>
      </c>
      <c r="F266" s="1006">
        <v>27853</v>
      </c>
      <c r="G266" s="978" t="s">
        <v>4620</v>
      </c>
      <c r="H266" s="1007">
        <f>+NOMINA!H245</f>
        <v>44713</v>
      </c>
      <c r="I266" s="984">
        <f>+NOMINA!I245</f>
        <v>2</v>
      </c>
      <c r="J266" s="985">
        <f>+NOMINA!J245</f>
        <v>0</v>
      </c>
      <c r="K266" s="984">
        <f t="shared" si="32"/>
        <v>2</v>
      </c>
      <c r="L266" s="985" t="s">
        <v>4932</v>
      </c>
      <c r="M266" s="985"/>
      <c r="N266" s="1002" t="str">
        <f>+NOMINA!O245</f>
        <v>Guia de Centro I</v>
      </c>
      <c r="O266" s="999">
        <f>ROUND(NOMINA!W245,2)</f>
        <v>96</v>
      </c>
      <c r="P266" s="999">
        <f>NOMINA!AF245</f>
        <v>1.92</v>
      </c>
      <c r="Q266" s="999">
        <f>NOMINA!AH245</f>
        <v>65</v>
      </c>
      <c r="R266" s="999">
        <f>NOMINA!AC245</f>
        <v>25</v>
      </c>
      <c r="S266" s="999">
        <f>NOMINA!AJ245</f>
        <v>43.86</v>
      </c>
      <c r="T266" s="986">
        <f t="shared" si="33"/>
        <v>121.72</v>
      </c>
      <c r="U266" s="999">
        <f>ROUND(NOMINA!BL245,2)</f>
        <v>21.05</v>
      </c>
      <c r="V266" s="999">
        <f>ROUND(NOMINA!BM245,2)</f>
        <v>2.63</v>
      </c>
      <c r="W266" s="999">
        <f>ROUND(+NOMINA!BN245,2)</f>
        <v>5.7</v>
      </c>
      <c r="X266" s="999">
        <f>ROUND(NOMINA!BO245,2)</f>
        <v>0</v>
      </c>
      <c r="Y266" s="999">
        <f>ROUND(NOMINA!BP245,2)</f>
        <v>0</v>
      </c>
      <c r="Z266" s="986">
        <f t="shared" si="34"/>
        <v>21.69</v>
      </c>
      <c r="AA266" s="999">
        <f>ROUND(NOMINA!BK245,2)</f>
        <v>0</v>
      </c>
      <c r="AB266" s="866">
        <f t="shared" si="35"/>
        <v>202.40000000000003</v>
      </c>
    </row>
    <row r="267" spans="1:28" s="629" customFormat="1" ht="20.100000000000001" customHeight="1" thickBot="1">
      <c r="A267" s="770" t="s">
        <v>2846</v>
      </c>
      <c r="B267" s="510">
        <f t="shared" ca="1" si="31"/>
        <v>204</v>
      </c>
      <c r="C267" s="980">
        <f>+NOMINA!C246</f>
        <v>19643405</v>
      </c>
      <c r="D267" s="981" t="str">
        <f>+NOMINA!D246</f>
        <v>Valero Mejia Aleidy Rosana</v>
      </c>
      <c r="E267" s="978" t="s">
        <v>4622</v>
      </c>
      <c r="F267" s="1006">
        <v>27853</v>
      </c>
      <c r="G267" s="978" t="s">
        <v>4620</v>
      </c>
      <c r="H267" s="1007">
        <f>+NOMINA!H246</f>
        <v>43221</v>
      </c>
      <c r="I267" s="984">
        <f>+NOMINA!I246</f>
        <v>6</v>
      </c>
      <c r="J267" s="985">
        <f>+NOMINA!J246</f>
        <v>0</v>
      </c>
      <c r="K267" s="984">
        <f t="shared" si="32"/>
        <v>6</v>
      </c>
      <c r="L267" s="985" t="s">
        <v>4932</v>
      </c>
      <c r="M267" s="985"/>
      <c r="N267" s="1002" t="str">
        <f>+NOMINA!O246</f>
        <v>Guia de Centro II</v>
      </c>
      <c r="O267" s="999">
        <f>ROUND(NOMINA!W246,2)</f>
        <v>110.5</v>
      </c>
      <c r="P267" s="999">
        <f>NOMINA!AF246</f>
        <v>6.85</v>
      </c>
      <c r="Q267" s="999">
        <f>NOMINA!AH246</f>
        <v>65</v>
      </c>
      <c r="R267" s="999">
        <f>NOMINA!AC246</f>
        <v>12.5</v>
      </c>
      <c r="S267" s="999">
        <f>NOMINA!AJ246</f>
        <v>37.72</v>
      </c>
      <c r="T267" s="986">
        <f t="shared" si="33"/>
        <v>112</v>
      </c>
      <c r="U267" s="999">
        <f>ROUND(NOMINA!BL246,2)</f>
        <v>21.73</v>
      </c>
      <c r="V267" s="999">
        <f>ROUND(NOMINA!BM246,2)</f>
        <v>2.72</v>
      </c>
      <c r="W267" s="999">
        <f>ROUND(+NOMINA!BN246,2)</f>
        <v>5.88</v>
      </c>
      <c r="X267" s="999">
        <f>ROUND(NOMINA!BO246,2)</f>
        <v>0</v>
      </c>
      <c r="Y267" s="999">
        <f>ROUND(NOMINA!BP246,2)</f>
        <v>0</v>
      </c>
      <c r="Z267" s="986">
        <f t="shared" si="34"/>
        <v>29.5</v>
      </c>
      <c r="AA267" s="999">
        <f>ROUND(NOMINA!BK246,2)</f>
        <v>0</v>
      </c>
      <c r="AB267" s="866">
        <f t="shared" si="35"/>
        <v>202.24</v>
      </c>
    </row>
    <row r="268" spans="1:28" s="629" customFormat="1" ht="20.100000000000001" customHeight="1" thickBot="1">
      <c r="A268" s="770" t="s">
        <v>2846</v>
      </c>
      <c r="B268" s="510">
        <f t="shared" ca="1" si="31"/>
        <v>205</v>
      </c>
      <c r="C268" s="980">
        <f>+NOMINA!C247</f>
        <v>19643806</v>
      </c>
      <c r="D268" s="981" t="str">
        <f>+NOMINA!D247</f>
        <v>Vazquez Hernandez Doris Mercedes</v>
      </c>
      <c r="E268" s="978" t="s">
        <v>4622</v>
      </c>
      <c r="F268" s="1006">
        <v>27853</v>
      </c>
      <c r="G268" s="978" t="s">
        <v>4620</v>
      </c>
      <c r="H268" s="1007">
        <f>+NOMINA!H247</f>
        <v>45505</v>
      </c>
      <c r="I268" s="984">
        <f>+NOMINA!I247</f>
        <v>0</v>
      </c>
      <c r="J268" s="985">
        <f>+NOMINA!J247</f>
        <v>0</v>
      </c>
      <c r="K268" s="984">
        <f t="shared" si="32"/>
        <v>0</v>
      </c>
      <c r="L268" s="985" t="s">
        <v>4932</v>
      </c>
      <c r="M268" s="985"/>
      <c r="N268" s="1002" t="str">
        <f>+NOMINA!O247</f>
        <v>Asistente Administrativo III</v>
      </c>
      <c r="O268" s="999">
        <f>ROUND(NOMINA!W247,2)</f>
        <v>96</v>
      </c>
      <c r="P268" s="999">
        <f>NOMINA!AF247</f>
        <v>0</v>
      </c>
      <c r="Q268" s="999">
        <f>NOMINA!AH247</f>
        <v>65</v>
      </c>
      <c r="R268" s="999">
        <f>NOMINA!AC247</f>
        <v>25</v>
      </c>
      <c r="S268" s="999">
        <f>NOMINA!AJ247</f>
        <v>43.38</v>
      </c>
      <c r="T268" s="986">
        <f t="shared" si="33"/>
        <v>133.38</v>
      </c>
      <c r="U268" s="999">
        <f>ROUND(NOMINA!BL247,2)</f>
        <v>16.02</v>
      </c>
      <c r="V268" s="999">
        <f>ROUND(NOMINA!BM247,2)</f>
        <v>2</v>
      </c>
      <c r="W268" s="999">
        <f>ROUND(+NOMINA!BN247,2)</f>
        <v>4.34</v>
      </c>
      <c r="X268" s="999">
        <f>ROUND(NOMINA!BO247,2)</f>
        <v>0</v>
      </c>
      <c r="Y268" s="999">
        <f>ROUND(NOMINA!BP247,2)</f>
        <v>0</v>
      </c>
      <c r="Z268" s="986">
        <f t="shared" si="34"/>
        <v>18.260000000000002</v>
      </c>
      <c r="AA268" s="999">
        <f>ROUND(NOMINA!BK247,2)</f>
        <v>0</v>
      </c>
      <c r="AB268" s="866">
        <f t="shared" si="35"/>
        <v>207.01999999999998</v>
      </c>
    </row>
    <row r="269" spans="1:28" s="629" customFormat="1" ht="20.100000000000001" customHeight="1" thickBot="1">
      <c r="A269" s="770" t="s">
        <v>2846</v>
      </c>
      <c r="B269" s="510">
        <f t="shared" ca="1" si="31"/>
        <v>206</v>
      </c>
      <c r="C269" s="980">
        <f>+NOMINA!C248</f>
        <v>19644743</v>
      </c>
      <c r="D269" s="981" t="str">
        <f>+NOMINA!D248</f>
        <v>Villa Daniela Carolina</v>
      </c>
      <c r="E269" s="978" t="s">
        <v>4622</v>
      </c>
      <c r="F269" s="1006">
        <v>27853</v>
      </c>
      <c r="G269" s="978" t="s">
        <v>4620</v>
      </c>
      <c r="H269" s="1007">
        <f>+NOMINA!H248</f>
        <v>43967</v>
      </c>
      <c r="I269" s="984">
        <f>+NOMINA!I248</f>
        <v>4</v>
      </c>
      <c r="J269" s="985">
        <f>+NOMINA!J248</f>
        <v>0</v>
      </c>
      <c r="K269" s="984">
        <f t="shared" si="32"/>
        <v>4</v>
      </c>
      <c r="L269" s="985" t="s">
        <v>4932</v>
      </c>
      <c r="M269" s="985"/>
      <c r="N269" s="1002" t="str">
        <f>+NOMINA!O248</f>
        <v>Analista de Procesamiento de Datos II</v>
      </c>
      <c r="O269" s="999">
        <f>ROUND(NOMINA!W248,2)</f>
        <v>138.5</v>
      </c>
      <c r="P269" s="999">
        <f>NOMINA!AF248</f>
        <v>5.54</v>
      </c>
      <c r="Q269" s="999">
        <f>NOMINA!AH248</f>
        <v>65</v>
      </c>
      <c r="R269" s="999">
        <f>NOMINA!AC248</f>
        <v>25</v>
      </c>
      <c r="S269" s="999">
        <f>NOMINA!AJ248</f>
        <v>55.39</v>
      </c>
      <c r="T269" s="986">
        <f t="shared" si="33"/>
        <v>77.5</v>
      </c>
      <c r="U269" s="999">
        <f>ROUND(NOMINA!BL248,2)</f>
        <v>20.45</v>
      </c>
      <c r="V269" s="999">
        <f>ROUND(NOMINA!BM248,2)</f>
        <v>2.56</v>
      </c>
      <c r="W269" s="999">
        <f>ROUND(+NOMINA!BN248,2)</f>
        <v>5.54</v>
      </c>
      <c r="X269" s="999">
        <f>ROUND(NOMINA!BO248,2)</f>
        <v>0</v>
      </c>
      <c r="Y269" s="999">
        <f>ROUND(NOMINA!BP248,2)</f>
        <v>0</v>
      </c>
      <c r="Z269" s="986">
        <f t="shared" si="34"/>
        <v>29.07</v>
      </c>
      <c r="AA269" s="999">
        <f>ROUND(NOMINA!BK248,2)</f>
        <v>0</v>
      </c>
      <c r="AB269" s="866">
        <f t="shared" si="35"/>
        <v>260.88</v>
      </c>
    </row>
    <row r="270" spans="1:28" s="629" customFormat="1" ht="20.100000000000001" customHeight="1" thickBot="1">
      <c r="A270" s="770" t="s">
        <v>2846</v>
      </c>
      <c r="B270" s="510">
        <f t="shared" ca="1" si="31"/>
        <v>207</v>
      </c>
      <c r="C270" s="980">
        <f>+NOMINA!C249</f>
        <v>19644756</v>
      </c>
      <c r="D270" s="981" t="str">
        <f>+NOMINA!D249</f>
        <v>Mejia Aldana Norbelys Carolina</v>
      </c>
      <c r="E270" s="978" t="s">
        <v>4622</v>
      </c>
      <c r="F270" s="1006">
        <v>27853</v>
      </c>
      <c r="G270" s="978" t="s">
        <v>4620</v>
      </c>
      <c r="H270" s="1007">
        <f>+NOMINA!H249</f>
        <v>44470</v>
      </c>
      <c r="I270" s="984">
        <f>+NOMINA!I249</f>
        <v>3</v>
      </c>
      <c r="J270" s="985">
        <f>+NOMINA!J249</f>
        <v>0</v>
      </c>
      <c r="K270" s="984">
        <f t="shared" si="32"/>
        <v>3</v>
      </c>
      <c r="L270" s="985" t="s">
        <v>4932</v>
      </c>
      <c r="M270" s="985"/>
      <c r="N270" s="1002" t="str">
        <f>+NOMINA!O249</f>
        <v>Economa II</v>
      </c>
      <c r="O270" s="999">
        <f>ROUND(NOMINA!W249,2)</f>
        <v>75</v>
      </c>
      <c r="P270" s="999">
        <f>NOMINA!AF249</f>
        <v>2.25</v>
      </c>
      <c r="Q270" s="999">
        <f>NOMINA!AH249</f>
        <v>65</v>
      </c>
      <c r="R270" s="999">
        <f>NOMINA!AC249</f>
        <v>25</v>
      </c>
      <c r="S270" s="999">
        <f>NOMINA!AJ249</f>
        <v>0</v>
      </c>
      <c r="T270" s="986">
        <f t="shared" si="33"/>
        <v>141</v>
      </c>
      <c r="U270" s="999">
        <f>ROUND(NOMINA!BL249,2)</f>
        <v>11.43</v>
      </c>
      <c r="V270" s="999">
        <f>ROUND(NOMINA!BM249,2)</f>
        <v>1.43</v>
      </c>
      <c r="W270" s="999">
        <f>ROUND(+NOMINA!BN249,2)</f>
        <v>3.1</v>
      </c>
      <c r="X270" s="999">
        <f>ROUND(NOMINA!BO249,2)</f>
        <v>0</v>
      </c>
      <c r="Y270" s="999">
        <f>ROUND(NOMINA!BP249,2)</f>
        <v>0</v>
      </c>
      <c r="Z270" s="986">
        <f t="shared" si="34"/>
        <v>24.52</v>
      </c>
      <c r="AA270" s="999">
        <f>ROUND(NOMINA!BK249,2)</f>
        <v>0</v>
      </c>
      <c r="AB270" s="866">
        <f t="shared" si="35"/>
        <v>151.29</v>
      </c>
    </row>
    <row r="271" spans="1:28" s="629" customFormat="1" ht="20.100000000000001" customHeight="1" thickBot="1">
      <c r="A271" s="770" t="s">
        <v>2846</v>
      </c>
      <c r="B271" s="510">
        <f t="shared" ca="1" si="31"/>
        <v>208</v>
      </c>
      <c r="C271" s="980">
        <f>+NOMINA!C250</f>
        <v>19794217</v>
      </c>
      <c r="D271" s="981" t="str">
        <f>+NOMINA!D250</f>
        <v>Suarez Leal Betzabeth Daimar</v>
      </c>
      <c r="E271" s="978" t="s">
        <v>4622</v>
      </c>
      <c r="F271" s="1006">
        <v>27853</v>
      </c>
      <c r="G271" s="978" t="s">
        <v>4620</v>
      </c>
      <c r="H271" s="1007">
        <f>+NOMINA!H250</f>
        <v>44683</v>
      </c>
      <c r="I271" s="984">
        <f>+NOMINA!I250</f>
        <v>2</v>
      </c>
      <c r="J271" s="985">
        <f>+NOMINA!J250</f>
        <v>0</v>
      </c>
      <c r="K271" s="984">
        <f t="shared" si="32"/>
        <v>2</v>
      </c>
      <c r="L271" s="985" t="s">
        <v>4932</v>
      </c>
      <c r="M271" s="985"/>
      <c r="N271" s="1002" t="str">
        <f>+NOMINA!O250</f>
        <v>Guia de Centro I</v>
      </c>
      <c r="O271" s="999">
        <f>ROUND(NOMINA!W250,2)</f>
        <v>96</v>
      </c>
      <c r="P271" s="999">
        <f>NOMINA!AF250</f>
        <v>1.92</v>
      </c>
      <c r="Q271" s="999">
        <f>NOMINA!AH250</f>
        <v>65</v>
      </c>
      <c r="R271" s="999">
        <f>NOMINA!AC250</f>
        <v>12.5</v>
      </c>
      <c r="S271" s="999">
        <f>NOMINA!AJ250</f>
        <v>33.840000000000003</v>
      </c>
      <c r="T271" s="986">
        <f t="shared" si="33"/>
        <v>115.07999999999998</v>
      </c>
      <c r="U271" s="999">
        <f>ROUND(NOMINA!BL250,2)</f>
        <v>19.489999999999998</v>
      </c>
      <c r="V271" s="999">
        <f>ROUND(NOMINA!BM250,2)</f>
        <v>2.44</v>
      </c>
      <c r="W271" s="999">
        <f>ROUND(+NOMINA!BN250,2)</f>
        <v>5.28</v>
      </c>
      <c r="X271" s="999">
        <f>ROUND(NOMINA!BO250,2)</f>
        <v>0</v>
      </c>
      <c r="Y271" s="999">
        <f>ROUND(NOMINA!BP250,2)</f>
        <v>0</v>
      </c>
      <c r="Z271" s="986">
        <f t="shared" si="34"/>
        <v>17.510000000000002</v>
      </c>
      <c r="AA271" s="999">
        <f>ROUND(NOMINA!BK250,2)</f>
        <v>0</v>
      </c>
      <c r="AB271" s="866">
        <f t="shared" si="35"/>
        <v>182.05</v>
      </c>
    </row>
    <row r="272" spans="1:28" s="629" customFormat="1" ht="20.100000000000001" customHeight="1" thickBot="1">
      <c r="A272" s="770" t="s">
        <v>2846</v>
      </c>
      <c r="B272" s="510">
        <f t="shared" ca="1" si="31"/>
        <v>209</v>
      </c>
      <c r="C272" s="980">
        <f>+NOMINA!C251</f>
        <v>20038162</v>
      </c>
      <c r="D272" s="981" t="str">
        <f>+NOMINA!D251</f>
        <v>Jerez Rangel Gleidy Andreina</v>
      </c>
      <c r="E272" s="978" t="s">
        <v>4622</v>
      </c>
      <c r="F272" s="1006">
        <v>27853</v>
      </c>
      <c r="G272" s="978" t="s">
        <v>4620</v>
      </c>
      <c r="H272" s="1007">
        <f>+NOMINA!H251</f>
        <v>45597</v>
      </c>
      <c r="I272" s="984">
        <f>+NOMINA!I251</f>
        <v>0</v>
      </c>
      <c r="J272" s="985">
        <f>+NOMINA!J251</f>
        <v>0</v>
      </c>
      <c r="K272" s="984">
        <f t="shared" si="32"/>
        <v>0</v>
      </c>
      <c r="L272" s="985" t="s">
        <v>4932</v>
      </c>
      <c r="M272" s="985"/>
      <c r="N272" s="1002" t="str">
        <f>+NOMINA!O251</f>
        <v>Guia de Centro I</v>
      </c>
      <c r="O272" s="999">
        <f>ROUND(NOMINA!W251,2)</f>
        <v>96</v>
      </c>
      <c r="P272" s="999">
        <f>NOMINA!AF251</f>
        <v>0</v>
      </c>
      <c r="Q272" s="999">
        <f>NOMINA!AH251</f>
        <v>65</v>
      </c>
      <c r="R272" s="999">
        <f>NOMINA!AC251</f>
        <v>25</v>
      </c>
      <c r="S272" s="999">
        <f>NOMINA!AJ251</f>
        <v>43.38</v>
      </c>
      <c r="T272" s="986">
        <f t="shared" si="33"/>
        <v>0</v>
      </c>
      <c r="U272" s="999">
        <f>ROUND(NOMINA!BL251,2)</f>
        <v>20.82</v>
      </c>
      <c r="V272" s="999">
        <f>ROUND(NOMINA!BM251,2)</f>
        <v>2.6</v>
      </c>
      <c r="W272" s="999">
        <f>ROUND(+NOMINA!BN251,2)</f>
        <v>5.64</v>
      </c>
      <c r="X272" s="999">
        <f>ROUND(NOMINA!BO251,2)</f>
        <v>0</v>
      </c>
      <c r="Y272" s="999">
        <f>ROUND(NOMINA!BP251,2)</f>
        <v>0</v>
      </c>
      <c r="Z272" s="986">
        <f t="shared" si="34"/>
        <v>20.94</v>
      </c>
      <c r="AA272" s="999">
        <f>ROUND(NOMINA!BK251,2)</f>
        <v>0</v>
      </c>
      <c r="AB272" s="866">
        <f t="shared" si="35"/>
        <v>200.32</v>
      </c>
    </row>
    <row r="273" spans="1:28" s="629" customFormat="1" ht="20.100000000000001" customHeight="1" thickBot="1">
      <c r="A273" s="770" t="s">
        <v>2846</v>
      </c>
      <c r="B273" s="510">
        <f t="shared" ca="1" si="31"/>
        <v>210</v>
      </c>
      <c r="C273" s="980">
        <f>+NOMINA!C252</f>
        <v>20655363</v>
      </c>
      <c r="D273" s="981" t="str">
        <f>+NOMINA!D252</f>
        <v>Sarache Ramirez Maryelis Stefani</v>
      </c>
      <c r="E273" s="978" t="s">
        <v>4622</v>
      </c>
      <c r="F273" s="1006">
        <v>27853</v>
      </c>
      <c r="G273" s="978" t="s">
        <v>4620</v>
      </c>
      <c r="H273" s="1007">
        <f>+NOMINA!H252</f>
        <v>45323</v>
      </c>
      <c r="I273" s="984">
        <f>+NOMINA!I252</f>
        <v>0</v>
      </c>
      <c r="J273" s="985">
        <f>+NOMINA!J252</f>
        <v>0</v>
      </c>
      <c r="K273" s="984">
        <f t="shared" si="32"/>
        <v>0</v>
      </c>
      <c r="L273" s="985" t="s">
        <v>4932</v>
      </c>
      <c r="M273" s="985"/>
      <c r="N273" s="1002" t="str">
        <f>+NOMINA!O252</f>
        <v>Guia de Centro I</v>
      </c>
      <c r="O273" s="999">
        <f>ROUND(NOMINA!W252,2)</f>
        <v>96</v>
      </c>
      <c r="P273" s="999">
        <f>NOMINA!AF252</f>
        <v>0</v>
      </c>
      <c r="Q273" s="999">
        <f>NOMINA!AH252</f>
        <v>65</v>
      </c>
      <c r="R273" s="999">
        <f>NOMINA!AC252</f>
        <v>25</v>
      </c>
      <c r="S273" s="999">
        <f>NOMINA!AJ252</f>
        <v>43.38</v>
      </c>
      <c r="T273" s="986">
        <f t="shared" si="33"/>
        <v>127.01</v>
      </c>
      <c r="U273" s="999">
        <f>ROUND(NOMINA!BL252,2)</f>
        <v>20.82</v>
      </c>
      <c r="V273" s="999">
        <f>ROUND(NOMINA!BM252,2)</f>
        <v>2.6</v>
      </c>
      <c r="W273" s="999">
        <f>ROUND(+NOMINA!BN252,2)</f>
        <v>5.64</v>
      </c>
      <c r="X273" s="999">
        <f>ROUND(NOMINA!BO252,2)</f>
        <v>0</v>
      </c>
      <c r="Y273" s="999">
        <f>ROUND(NOMINA!BP252,2)</f>
        <v>0</v>
      </c>
      <c r="Z273" s="986">
        <f t="shared" si="34"/>
        <v>27.05</v>
      </c>
      <c r="AA273" s="999">
        <f>ROUND(NOMINA!BK252,2)</f>
        <v>0</v>
      </c>
      <c r="AB273" s="866">
        <f t="shared" si="35"/>
        <v>200.32</v>
      </c>
    </row>
    <row r="274" spans="1:28" s="629" customFormat="1" ht="20.100000000000001" customHeight="1" thickBot="1">
      <c r="A274" s="770" t="s">
        <v>2846</v>
      </c>
      <c r="B274" s="510">
        <f t="shared" ca="1" si="31"/>
        <v>211</v>
      </c>
      <c r="C274" s="980">
        <f>+NOMINA!C253</f>
        <v>20401711</v>
      </c>
      <c r="D274" s="981" t="str">
        <f>+NOMINA!D253</f>
        <v>Mendez Giro Maryely Roxana</v>
      </c>
      <c r="E274" s="978" t="s">
        <v>4622</v>
      </c>
      <c r="F274" s="1006">
        <v>27853</v>
      </c>
      <c r="G274" s="978" t="s">
        <v>4620</v>
      </c>
      <c r="H274" s="1007">
        <f>+NOMINA!H253</f>
        <v>44363</v>
      </c>
      <c r="I274" s="984">
        <f>+NOMINA!I253</f>
        <v>3</v>
      </c>
      <c r="J274" s="985">
        <f>+NOMINA!J253</f>
        <v>2</v>
      </c>
      <c r="K274" s="984">
        <f t="shared" si="32"/>
        <v>5</v>
      </c>
      <c r="L274" s="985" t="s">
        <v>4932</v>
      </c>
      <c r="M274" s="985"/>
      <c r="N274" s="1002" t="str">
        <f>+NOMINA!O253</f>
        <v>Guia de Centro II</v>
      </c>
      <c r="O274" s="999">
        <f>ROUND(NOMINA!W253,2)</f>
        <v>109.5</v>
      </c>
      <c r="P274" s="999">
        <f>NOMINA!AF253</f>
        <v>5.48</v>
      </c>
      <c r="Q274" s="999">
        <f>NOMINA!AH253</f>
        <v>65</v>
      </c>
      <c r="R274" s="999">
        <f>NOMINA!AC253</f>
        <v>25</v>
      </c>
      <c r="S274" s="999">
        <f>NOMINA!AJ253</f>
        <v>38.5</v>
      </c>
      <c r="T274" s="986">
        <f t="shared" si="33"/>
        <v>159.25</v>
      </c>
      <c r="U274" s="999">
        <f>ROUND(NOMINA!BL253,2)</f>
        <v>22.17</v>
      </c>
      <c r="V274" s="999">
        <f>ROUND(NOMINA!BM253,2)</f>
        <v>2.77</v>
      </c>
      <c r="W274" s="999">
        <f>ROUND(+NOMINA!BN253,2)</f>
        <v>6.01</v>
      </c>
      <c r="X274" s="999">
        <f>ROUND(NOMINA!BO253,2)</f>
        <v>0</v>
      </c>
      <c r="Y274" s="999">
        <f>ROUND(NOMINA!BP253,2)</f>
        <v>0</v>
      </c>
      <c r="Z274" s="986">
        <f t="shared" si="34"/>
        <v>23.81</v>
      </c>
      <c r="AA274" s="999">
        <f>ROUND(NOMINA!BK253,2)</f>
        <v>0</v>
      </c>
      <c r="AB274" s="866">
        <f t="shared" si="35"/>
        <v>212.53000000000003</v>
      </c>
    </row>
    <row r="275" spans="1:28" s="629" customFormat="1" ht="20.100000000000001" customHeight="1" thickBot="1">
      <c r="A275" s="770" t="s">
        <v>2846</v>
      </c>
      <c r="B275" s="510">
        <f t="shared" ca="1" si="31"/>
        <v>212</v>
      </c>
      <c r="C275" s="980">
        <f>+NOMINA!C254</f>
        <v>20428039</v>
      </c>
      <c r="D275" s="981" t="str">
        <f>+NOMINA!D254</f>
        <v>Manzanilla Juan Roberto Antonio</v>
      </c>
      <c r="E275" s="978" t="s">
        <v>4622</v>
      </c>
      <c r="F275" s="1006">
        <v>27853</v>
      </c>
      <c r="G275" s="978" t="s">
        <v>4620</v>
      </c>
      <c r="H275" s="1007">
        <f>+NOMINA!H254</f>
        <v>45566</v>
      </c>
      <c r="I275" s="984">
        <f>+NOMINA!I254</f>
        <v>0</v>
      </c>
      <c r="J275" s="985">
        <f>+NOMINA!J254</f>
        <v>0</v>
      </c>
      <c r="K275" s="984">
        <f t="shared" si="32"/>
        <v>0</v>
      </c>
      <c r="L275" s="985" t="s">
        <v>4932</v>
      </c>
      <c r="M275" s="985"/>
      <c r="N275" s="1002" t="str">
        <f>+NOMINA!O254</f>
        <v>Guia de Centro I</v>
      </c>
      <c r="O275" s="999">
        <f>ROUND(NOMINA!W254,2)</f>
        <v>65</v>
      </c>
      <c r="P275" s="999">
        <f>NOMINA!AF254</f>
        <v>0</v>
      </c>
      <c r="Q275" s="999">
        <f>NOMINA!AH254</f>
        <v>65</v>
      </c>
      <c r="R275" s="999">
        <f>NOMINA!AC254</f>
        <v>25</v>
      </c>
      <c r="S275" s="999">
        <f>NOMINA!AJ254</f>
        <v>0</v>
      </c>
      <c r="T275" s="986">
        <f t="shared" si="33"/>
        <v>77.5</v>
      </c>
      <c r="U275" s="999">
        <f>ROUND(NOMINA!BL254,2)</f>
        <v>13.68</v>
      </c>
      <c r="V275" s="999">
        <f>ROUND(NOMINA!BM254,2)</f>
        <v>1.71</v>
      </c>
      <c r="W275" s="999">
        <f>ROUND(+NOMINA!BN254,2)</f>
        <v>3.71</v>
      </c>
      <c r="X275" s="999">
        <f>ROUND(NOMINA!BO254,2)</f>
        <v>0</v>
      </c>
      <c r="Y275" s="999">
        <f>ROUND(NOMINA!BP254,2)</f>
        <v>0</v>
      </c>
      <c r="Z275" s="986">
        <f t="shared" si="34"/>
        <v>21.69</v>
      </c>
      <c r="AA275" s="999">
        <f>ROUND(NOMINA!BK254,2)</f>
        <v>0</v>
      </c>
      <c r="AB275" s="866">
        <f t="shared" si="35"/>
        <v>135.9</v>
      </c>
    </row>
    <row r="276" spans="1:28" s="629" customFormat="1" ht="20.100000000000001" customHeight="1" thickBot="1">
      <c r="A276" s="770" t="s">
        <v>2846</v>
      </c>
      <c r="B276" s="510">
        <f t="shared" ca="1" si="31"/>
        <v>213</v>
      </c>
      <c r="C276" s="980">
        <f>+NOMINA!C255</f>
        <v>20430884</v>
      </c>
      <c r="D276" s="981" t="str">
        <f>+NOMINA!D255</f>
        <v>Ruiz Olmos Diana Carolina</v>
      </c>
      <c r="E276" s="978" t="s">
        <v>4622</v>
      </c>
      <c r="F276" s="1006">
        <v>27853</v>
      </c>
      <c r="G276" s="978" t="s">
        <v>4620</v>
      </c>
      <c r="H276" s="1007">
        <f>+NOMINA!H255</f>
        <v>45292</v>
      </c>
      <c r="I276" s="984">
        <f>+NOMINA!I255</f>
        <v>1</v>
      </c>
      <c r="J276" s="985">
        <f>+NOMINA!J255</f>
        <v>0</v>
      </c>
      <c r="K276" s="984">
        <f t="shared" si="32"/>
        <v>1</v>
      </c>
      <c r="L276" s="985" t="s">
        <v>4932</v>
      </c>
      <c r="M276" s="985"/>
      <c r="N276" s="1002" t="str">
        <f>+NOMINA!O255</f>
        <v>Guia de Centro I</v>
      </c>
      <c r="O276" s="999">
        <f>ROUND(NOMINA!W255,2)</f>
        <v>96</v>
      </c>
      <c r="P276" s="999">
        <f>NOMINA!AF255</f>
        <v>0.96</v>
      </c>
      <c r="Q276" s="999">
        <f>NOMINA!AH255</f>
        <v>65</v>
      </c>
      <c r="R276" s="999">
        <f>NOMINA!AC255</f>
        <v>0</v>
      </c>
      <c r="S276" s="999">
        <f>NOMINA!AJ255</f>
        <v>32.39</v>
      </c>
      <c r="T276" s="986">
        <f t="shared" si="33"/>
        <v>155.07</v>
      </c>
      <c r="U276" s="999">
        <f>ROUND(NOMINA!BL255,2)</f>
        <v>18.66</v>
      </c>
      <c r="V276" s="999">
        <f>ROUND(NOMINA!BM255,2)</f>
        <v>2.33</v>
      </c>
      <c r="W276" s="999">
        <f>ROUND(+NOMINA!BN255,2)</f>
        <v>5.05</v>
      </c>
      <c r="X276" s="999">
        <f>ROUND(NOMINA!BO255,2)</f>
        <v>0</v>
      </c>
      <c r="Y276" s="999">
        <f>ROUND(NOMINA!BP255,2)</f>
        <v>0</v>
      </c>
      <c r="Z276" s="986">
        <f t="shared" si="34"/>
        <v>32.93</v>
      </c>
      <c r="AA276" s="999">
        <f>ROUND(NOMINA!BK255,2)</f>
        <v>0</v>
      </c>
      <c r="AB276" s="866">
        <f t="shared" si="35"/>
        <v>168.30999999999997</v>
      </c>
    </row>
    <row r="277" spans="1:28" s="629" customFormat="1" ht="20.100000000000001" customHeight="1" thickBot="1">
      <c r="A277" s="770" t="s">
        <v>2846</v>
      </c>
      <c r="B277" s="510">
        <f t="shared" ca="1" si="31"/>
        <v>214</v>
      </c>
      <c r="C277" s="980">
        <f>+NOMINA!C256</f>
        <v>20603227</v>
      </c>
      <c r="D277" s="981" t="str">
        <f>+NOMINA!D256</f>
        <v>Morillo Garces Yeniree Lourdes</v>
      </c>
      <c r="E277" s="978" t="s">
        <v>4622</v>
      </c>
      <c r="F277" s="1006">
        <v>27853</v>
      </c>
      <c r="G277" s="978" t="s">
        <v>4620</v>
      </c>
      <c r="H277" s="1007">
        <f>+NOMINA!H256</f>
        <v>44470</v>
      </c>
      <c r="I277" s="984">
        <f>+NOMINA!I256</f>
        <v>3</v>
      </c>
      <c r="J277" s="985">
        <f>+NOMINA!J256</f>
        <v>0</v>
      </c>
      <c r="K277" s="984">
        <f t="shared" si="32"/>
        <v>3</v>
      </c>
      <c r="L277" s="985" t="s">
        <v>4932</v>
      </c>
      <c r="M277" s="985"/>
      <c r="N277" s="1002" t="str">
        <f>+NOMINA!O256</f>
        <v>Tecnico Superior en Trabajo Social II</v>
      </c>
      <c r="O277" s="999">
        <f>ROUND(NOMINA!W256,2)</f>
        <v>109.5</v>
      </c>
      <c r="P277" s="999">
        <f>NOMINA!AF256</f>
        <v>3.29</v>
      </c>
      <c r="Q277" s="999">
        <f>NOMINA!AH256</f>
        <v>65</v>
      </c>
      <c r="R277" s="999">
        <f>NOMINA!AC256</f>
        <v>25</v>
      </c>
      <c r="S277" s="999">
        <f>NOMINA!AJ256</f>
        <v>38.06</v>
      </c>
      <c r="T277" s="986">
        <f t="shared" si="33"/>
        <v>140.86000000000001</v>
      </c>
      <c r="U277" s="999">
        <f>ROUND(NOMINA!BL256,2)</f>
        <v>16.86</v>
      </c>
      <c r="V277" s="999">
        <f>ROUND(NOMINA!BM256,2)</f>
        <v>2.11</v>
      </c>
      <c r="W277" s="999">
        <f>ROUND(+NOMINA!BN256,2)</f>
        <v>4.57</v>
      </c>
      <c r="X277" s="999">
        <f>ROUND(NOMINA!BO256,2)</f>
        <v>0</v>
      </c>
      <c r="Y277" s="999">
        <f>ROUND(NOMINA!BP256,2)</f>
        <v>0</v>
      </c>
      <c r="Z277" s="986">
        <f t="shared" si="34"/>
        <v>24.43</v>
      </c>
      <c r="AA277" s="999">
        <f>ROUND(NOMINA!BK256,2)</f>
        <v>0</v>
      </c>
      <c r="AB277" s="866">
        <f t="shared" si="35"/>
        <v>217.31000000000003</v>
      </c>
    </row>
    <row r="278" spans="1:28" s="629" customFormat="1" ht="20.100000000000001" customHeight="1" thickBot="1">
      <c r="A278" s="770" t="s">
        <v>2846</v>
      </c>
      <c r="B278" s="510">
        <f t="shared" ref="B278:B330" ca="1" si="36">OFFSET(B278,-1,0)+1</f>
        <v>215</v>
      </c>
      <c r="C278" s="980">
        <f>+NOMINA!C257</f>
        <v>20707490</v>
      </c>
      <c r="D278" s="981" t="str">
        <f>+NOMINA!D257</f>
        <v>Saavedra Valera Keila Andreina</v>
      </c>
      <c r="E278" s="978" t="s">
        <v>4622</v>
      </c>
      <c r="F278" s="1006">
        <v>27853</v>
      </c>
      <c r="G278" s="978" t="s">
        <v>4620</v>
      </c>
      <c r="H278" s="1007">
        <f>+NOMINA!H257</f>
        <v>42751</v>
      </c>
      <c r="I278" s="984">
        <f>+NOMINA!I257</f>
        <v>8</v>
      </c>
      <c r="J278" s="985">
        <f>+NOMINA!J257</f>
        <v>0</v>
      </c>
      <c r="K278" s="984">
        <f t="shared" si="32"/>
        <v>8</v>
      </c>
      <c r="L278" s="985" t="s">
        <v>4932</v>
      </c>
      <c r="M278" s="985"/>
      <c r="N278" s="1002" t="str">
        <f>+NOMINA!O257</f>
        <v>Tutor Facilitador III</v>
      </c>
      <c r="O278" s="999">
        <f>ROUND(NOMINA!W257,2)</f>
        <v>139.5</v>
      </c>
      <c r="P278" s="999">
        <f>NOMINA!AF257</f>
        <v>12</v>
      </c>
      <c r="Q278" s="999">
        <f>NOMINA!AH257</f>
        <v>65</v>
      </c>
      <c r="R278" s="999">
        <f>NOMINA!AC257</f>
        <v>25</v>
      </c>
      <c r="S278" s="999">
        <f>NOMINA!AJ257</f>
        <v>0</v>
      </c>
      <c r="T278" s="986">
        <f t="shared" si="33"/>
        <v>65.650000000000006</v>
      </c>
      <c r="U278" s="999">
        <f>ROUND(NOMINA!BL257,2)</f>
        <v>16.91</v>
      </c>
      <c r="V278" s="999">
        <f>ROUND(NOMINA!BM257,2)</f>
        <v>2.11</v>
      </c>
      <c r="W278" s="999">
        <f>ROUND(+NOMINA!BN257,2)</f>
        <v>4.58</v>
      </c>
      <c r="X278" s="999">
        <f>ROUND(NOMINA!BO257,2)</f>
        <v>0</v>
      </c>
      <c r="Y278" s="999">
        <f>ROUND(NOMINA!BP257,2)</f>
        <v>0</v>
      </c>
      <c r="Z278" s="986">
        <f t="shared" si="34"/>
        <v>21.69</v>
      </c>
      <c r="AA278" s="999">
        <f>ROUND(NOMINA!BK257,2)</f>
        <v>0</v>
      </c>
      <c r="AB278" s="866">
        <f t="shared" si="35"/>
        <v>217.9</v>
      </c>
    </row>
    <row r="279" spans="1:28" s="629" customFormat="1" ht="20.100000000000001" customHeight="1" thickBot="1">
      <c r="A279" s="770" t="s">
        <v>2846</v>
      </c>
      <c r="B279" s="510">
        <f t="shared" ca="1" si="36"/>
        <v>216</v>
      </c>
      <c r="C279" s="980">
        <f>+NOMINA!C258</f>
        <v>20789286</v>
      </c>
      <c r="D279" s="981" t="str">
        <f>+NOMINA!D258</f>
        <v xml:space="preserve">Viloria Jessica del Carmen </v>
      </c>
      <c r="E279" s="978" t="s">
        <v>4622</v>
      </c>
      <c r="F279" s="1006">
        <v>27853</v>
      </c>
      <c r="G279" s="978" t="s">
        <v>4620</v>
      </c>
      <c r="H279" s="1007">
        <f>+NOMINA!H258</f>
        <v>44713</v>
      </c>
      <c r="I279" s="984">
        <f>+NOMINA!I258</f>
        <v>2</v>
      </c>
      <c r="J279" s="985">
        <f>+NOMINA!J258</f>
        <v>0</v>
      </c>
      <c r="K279" s="984">
        <f t="shared" si="32"/>
        <v>2</v>
      </c>
      <c r="L279" s="985" t="s">
        <v>4932</v>
      </c>
      <c r="M279" s="985"/>
      <c r="N279" s="1002" t="str">
        <f>+NOMINA!O258</f>
        <v>Asistente Administrativo IV</v>
      </c>
      <c r="O279" s="999">
        <f>ROUND(NOMINA!W258,2)</f>
        <v>123</v>
      </c>
      <c r="P279" s="999">
        <f>NOMINA!AF258</f>
        <v>2.46</v>
      </c>
      <c r="Q279" s="999">
        <f>NOMINA!AH258</f>
        <v>65</v>
      </c>
      <c r="R279" s="999">
        <f>NOMINA!AC258</f>
        <v>12.5</v>
      </c>
      <c r="S279" s="999">
        <f>NOMINA!AJ258</f>
        <v>49.18</v>
      </c>
      <c r="T279" s="986">
        <f t="shared" si="33"/>
        <v>93.75</v>
      </c>
      <c r="U279" s="999">
        <f>ROUND(NOMINA!BL258,2)</f>
        <v>18.16</v>
      </c>
      <c r="V279" s="999">
        <f>ROUND(NOMINA!BM258,2)</f>
        <v>2.27</v>
      </c>
      <c r="W279" s="999">
        <f>ROUND(+NOMINA!BN258,2)</f>
        <v>4.92</v>
      </c>
      <c r="X279" s="999">
        <f>ROUND(NOMINA!BO258,2)</f>
        <v>0</v>
      </c>
      <c r="Y279" s="999">
        <f>ROUND(NOMINA!BP258,2)</f>
        <v>0</v>
      </c>
      <c r="Z279" s="986">
        <f t="shared" si="34"/>
        <v>28.02</v>
      </c>
      <c r="AA279" s="999">
        <f>ROUND(NOMINA!BK258,2)</f>
        <v>0</v>
      </c>
      <c r="AB279" s="866">
        <f t="shared" si="35"/>
        <v>226.79</v>
      </c>
    </row>
    <row r="280" spans="1:28" s="629" customFormat="1" ht="20.100000000000001" customHeight="1" thickBot="1">
      <c r="A280" s="770" t="s">
        <v>2846</v>
      </c>
      <c r="B280" s="510">
        <f t="shared" ca="1" si="36"/>
        <v>217</v>
      </c>
      <c r="C280" s="980">
        <f>+NOMINA!C259</f>
        <v>20790947</v>
      </c>
      <c r="D280" s="981" t="str">
        <f>+NOMINA!D259</f>
        <v>Urbina Cuellar Tannessy Lenery</v>
      </c>
      <c r="E280" s="978" t="s">
        <v>4622</v>
      </c>
      <c r="F280" s="1006">
        <v>27853</v>
      </c>
      <c r="G280" s="978" t="s">
        <v>4620</v>
      </c>
      <c r="H280" s="1007">
        <f>+NOMINA!H259</f>
        <v>43967</v>
      </c>
      <c r="I280" s="984">
        <f>+NOMINA!I259</f>
        <v>4</v>
      </c>
      <c r="J280" s="985">
        <f>+NOMINA!J259</f>
        <v>0</v>
      </c>
      <c r="K280" s="984">
        <f t="shared" si="32"/>
        <v>4</v>
      </c>
      <c r="L280" s="985" t="s">
        <v>4932</v>
      </c>
      <c r="M280" s="985"/>
      <c r="N280" s="1002" t="str">
        <f>+NOMINA!O259</f>
        <v>Asistente Administrativo IV</v>
      </c>
      <c r="O280" s="999">
        <f>ROUND(NOMINA!W259,2)</f>
        <v>0</v>
      </c>
      <c r="P280" s="999">
        <f>NOMINA!AF259</f>
        <v>0</v>
      </c>
      <c r="Q280" s="999">
        <f>NOMINA!AH259</f>
        <v>0</v>
      </c>
      <c r="R280" s="999">
        <f>NOMINA!AC259</f>
        <v>0</v>
      </c>
      <c r="S280" s="999">
        <f>NOMINA!AJ259</f>
        <v>0</v>
      </c>
      <c r="T280" s="986">
        <f t="shared" si="33"/>
        <v>112.1</v>
      </c>
      <c r="U280" s="999">
        <f>ROUND(NOMINA!BL259,2)</f>
        <v>0</v>
      </c>
      <c r="V280" s="999">
        <f>ROUND(NOMINA!BM259,2)</f>
        <v>0</v>
      </c>
      <c r="W280" s="999">
        <f>ROUND(+NOMINA!BN259,2)</f>
        <v>0</v>
      </c>
      <c r="X280" s="999">
        <f>ROUND(NOMINA!BO259,2)</f>
        <v>0</v>
      </c>
      <c r="Y280" s="999">
        <f>ROUND(NOMINA!BP259,2)</f>
        <v>0</v>
      </c>
      <c r="Z280" s="986">
        <f t="shared" si="34"/>
        <v>27.21</v>
      </c>
      <c r="AA280" s="999">
        <f>ROUND(NOMINA!BK259,2)</f>
        <v>0</v>
      </c>
      <c r="AB280" s="866">
        <f t="shared" si="35"/>
        <v>0</v>
      </c>
    </row>
    <row r="281" spans="1:28" s="629" customFormat="1" ht="20.100000000000001" customHeight="1" thickBot="1">
      <c r="A281" s="770" t="s">
        <v>2846</v>
      </c>
      <c r="B281" s="510">
        <f t="shared" ca="1" si="36"/>
        <v>218</v>
      </c>
      <c r="C281" s="980">
        <f>+NOMINA!C260</f>
        <v>21061126</v>
      </c>
      <c r="D281" s="981" t="str">
        <f>+NOMINA!D260</f>
        <v>Olivar Nava Robinson de Jesus</v>
      </c>
      <c r="E281" s="978" t="s">
        <v>4622</v>
      </c>
      <c r="F281" s="1006">
        <v>27853</v>
      </c>
      <c r="G281" s="978" t="s">
        <v>4620</v>
      </c>
      <c r="H281" s="1007">
        <f>+NOMINA!H260</f>
        <v>45047</v>
      </c>
      <c r="I281" s="984">
        <f>+NOMINA!I260</f>
        <v>1</v>
      </c>
      <c r="J281" s="985">
        <f>+NOMINA!J260</f>
        <v>0</v>
      </c>
      <c r="K281" s="984">
        <f t="shared" si="32"/>
        <v>1</v>
      </c>
      <c r="L281" s="985" t="s">
        <v>4932</v>
      </c>
      <c r="M281" s="985"/>
      <c r="N281" s="1002" t="str">
        <f>+NOMINA!O260</f>
        <v>Guia de Centro I</v>
      </c>
      <c r="O281" s="999">
        <f>ROUND(NOMINA!W260,2)</f>
        <v>96</v>
      </c>
      <c r="P281" s="999">
        <f>NOMINA!AF260</f>
        <v>0.96</v>
      </c>
      <c r="Q281" s="999">
        <f>NOMINA!AH260</f>
        <v>65</v>
      </c>
      <c r="R281" s="999">
        <f>NOMINA!AC260</f>
        <v>0</v>
      </c>
      <c r="S281" s="999">
        <f>NOMINA!AJ260</f>
        <v>40.49</v>
      </c>
      <c r="T281" s="986">
        <f t="shared" si="33"/>
        <v>133.98000000000002</v>
      </c>
      <c r="U281" s="999">
        <f>ROUND(NOMINA!BL260,2)</f>
        <v>19.440000000000001</v>
      </c>
      <c r="V281" s="999">
        <f>ROUND(NOMINA!BM260,2)</f>
        <v>2.4300000000000002</v>
      </c>
      <c r="W281" s="999">
        <f>ROUND(+NOMINA!BN260,2)</f>
        <v>5.26</v>
      </c>
      <c r="X281" s="999">
        <f>ROUND(NOMINA!BO260,2)</f>
        <v>0</v>
      </c>
      <c r="Y281" s="999">
        <f>ROUND(NOMINA!BP260,2)</f>
        <v>0</v>
      </c>
      <c r="Z281" s="986">
        <f t="shared" si="34"/>
        <v>29.38</v>
      </c>
      <c r="AA281" s="999">
        <f>ROUND(NOMINA!BK260,2)</f>
        <v>0</v>
      </c>
      <c r="AB281" s="866">
        <f t="shared" si="35"/>
        <v>175.32</v>
      </c>
    </row>
    <row r="282" spans="1:28" s="629" customFormat="1" ht="20.100000000000001" customHeight="1" thickBot="1">
      <c r="A282" s="770"/>
      <c r="B282" s="510">
        <f t="shared" ca="1" si="36"/>
        <v>219</v>
      </c>
      <c r="C282" s="980">
        <f>+NOMINA!C261</f>
        <v>21061789</v>
      </c>
      <c r="D282" s="981" t="str">
        <f>+NOMINA!D261</f>
        <v xml:space="preserve">Suarez Briceño Daiver Jose </v>
      </c>
      <c r="E282" s="978" t="s">
        <v>4622</v>
      </c>
      <c r="F282" s="1006">
        <v>27853</v>
      </c>
      <c r="G282" s="978" t="s">
        <v>4620</v>
      </c>
      <c r="H282" s="1007">
        <f>+NOMINA!H261</f>
        <v>44713</v>
      </c>
      <c r="I282" s="984">
        <f>+NOMINA!I261</f>
        <v>2</v>
      </c>
      <c r="J282" s="985">
        <f>+NOMINA!J261</f>
        <v>0</v>
      </c>
      <c r="K282" s="984">
        <f t="shared" si="32"/>
        <v>2</v>
      </c>
      <c r="L282" s="985" t="s">
        <v>4932</v>
      </c>
      <c r="M282" s="985"/>
      <c r="N282" s="1002" t="str">
        <f>+NOMINA!O261</f>
        <v>Abogado I</v>
      </c>
      <c r="O282" s="999">
        <f>ROUND(NOMINA!W261,2)</f>
        <v>123</v>
      </c>
      <c r="P282" s="999">
        <f>NOMINA!AF261</f>
        <v>2.46</v>
      </c>
      <c r="Q282" s="999">
        <f>NOMINA!AH261</f>
        <v>65</v>
      </c>
      <c r="R282" s="999">
        <f>NOMINA!AC261</f>
        <v>0</v>
      </c>
      <c r="S282" s="999">
        <f>NOMINA!AJ261</f>
        <v>47.62</v>
      </c>
      <c r="T282" s="986">
        <f t="shared" si="33"/>
        <v>127.01</v>
      </c>
      <c r="U282" s="999">
        <f>ROUND(NOMINA!BL261,2)</f>
        <v>17.579999999999998</v>
      </c>
      <c r="V282" s="999">
        <f>ROUND(NOMINA!BM261,2)</f>
        <v>2.2000000000000002</v>
      </c>
      <c r="W282" s="999">
        <f>ROUND(+NOMINA!BN261,2)</f>
        <v>4.76</v>
      </c>
      <c r="X282" s="999">
        <f>ROUND(NOMINA!BO261,2)</f>
        <v>0</v>
      </c>
      <c r="Y282" s="999">
        <f>ROUND(NOMINA!BP261,2)</f>
        <v>0</v>
      </c>
      <c r="Z282" s="986">
        <f t="shared" si="34"/>
        <v>30.33</v>
      </c>
      <c r="AA282" s="999">
        <f>ROUND(NOMINA!BK261,2)</f>
        <v>0</v>
      </c>
      <c r="AB282" s="866">
        <f t="shared" si="35"/>
        <v>213.54</v>
      </c>
    </row>
    <row r="283" spans="1:28" s="629" customFormat="1" ht="20.100000000000001" customHeight="1" thickBot="1">
      <c r="A283" s="770" t="s">
        <v>2846</v>
      </c>
      <c r="B283" s="510">
        <f t="shared" ca="1" si="36"/>
        <v>220</v>
      </c>
      <c r="C283" s="980">
        <f>+NOMINA!C262</f>
        <v>21365212</v>
      </c>
      <c r="D283" s="981" t="str">
        <f>+NOMINA!D262</f>
        <v>Manzanilla Gonzalez Landkler Josue</v>
      </c>
      <c r="E283" s="978" t="s">
        <v>4622</v>
      </c>
      <c r="F283" s="1006">
        <v>27853</v>
      </c>
      <c r="G283" s="978" t="s">
        <v>4620</v>
      </c>
      <c r="H283" s="1007">
        <f>+NOMINA!H262</f>
        <v>44317</v>
      </c>
      <c r="I283" s="984">
        <f>+NOMINA!I262</f>
        <v>3</v>
      </c>
      <c r="J283" s="985">
        <f>+NOMINA!J262</f>
        <v>0</v>
      </c>
      <c r="K283" s="984">
        <f t="shared" si="32"/>
        <v>3</v>
      </c>
      <c r="L283" s="985" t="s">
        <v>4932</v>
      </c>
      <c r="M283" s="985"/>
      <c r="N283" s="1002" t="str">
        <f>+NOMINA!O262</f>
        <v>Asistente Administrativo II</v>
      </c>
      <c r="O283" s="999">
        <f>ROUND(NOMINA!W262,2)</f>
        <v>75</v>
      </c>
      <c r="P283" s="999">
        <f>NOMINA!AF262</f>
        <v>2.25</v>
      </c>
      <c r="Q283" s="999">
        <f>NOMINA!AH262</f>
        <v>65</v>
      </c>
      <c r="R283" s="999">
        <f>NOMINA!AC262</f>
        <v>0</v>
      </c>
      <c r="S283" s="999">
        <f>NOMINA!AJ262</f>
        <v>0</v>
      </c>
      <c r="T283" s="986">
        <f t="shared" si="33"/>
        <v>171.73000000000002</v>
      </c>
      <c r="U283" s="999">
        <f>ROUND(NOMINA!BL262,2)</f>
        <v>10.5</v>
      </c>
      <c r="V283" s="999">
        <f>ROUND(NOMINA!BM262,2)</f>
        <v>1.31</v>
      </c>
      <c r="W283" s="999">
        <f>ROUND(+NOMINA!BN262,2)</f>
        <v>2.85</v>
      </c>
      <c r="X283" s="999">
        <f>ROUND(NOMINA!BO262,2)</f>
        <v>0</v>
      </c>
      <c r="Y283" s="999">
        <f>ROUND(NOMINA!BP262,2)</f>
        <v>0</v>
      </c>
      <c r="Z283" s="986">
        <f t="shared" si="34"/>
        <v>22.36</v>
      </c>
      <c r="AA283" s="999">
        <f>ROUND(NOMINA!BK262,2)</f>
        <v>0</v>
      </c>
      <c r="AB283" s="866">
        <f t="shared" si="35"/>
        <v>127.59</v>
      </c>
    </row>
    <row r="284" spans="1:28" s="629" customFormat="1" ht="20.100000000000001" customHeight="1" thickBot="1">
      <c r="A284" s="770" t="s">
        <v>2846</v>
      </c>
      <c r="B284" s="510">
        <f t="shared" ca="1" si="36"/>
        <v>221</v>
      </c>
      <c r="C284" s="980">
        <f>+NOMINA!C263</f>
        <v>21592108</v>
      </c>
      <c r="D284" s="981" t="str">
        <f>+NOMINA!D263</f>
        <v>Coy Andara Darlin Gabriela</v>
      </c>
      <c r="E284" s="978" t="s">
        <v>4622</v>
      </c>
      <c r="F284" s="1006">
        <v>27853</v>
      </c>
      <c r="G284" s="978" t="s">
        <v>4620</v>
      </c>
      <c r="H284" s="1007">
        <f>+NOMINA!H263</f>
        <v>43024</v>
      </c>
      <c r="I284" s="984">
        <f>+NOMINA!I263</f>
        <v>7</v>
      </c>
      <c r="J284" s="985">
        <f>+NOMINA!J263</f>
        <v>0</v>
      </c>
      <c r="K284" s="984">
        <f t="shared" si="32"/>
        <v>7</v>
      </c>
      <c r="L284" s="985" t="s">
        <v>4932</v>
      </c>
      <c r="M284" s="985"/>
      <c r="N284" s="1002" t="str">
        <f>+NOMINA!O263</f>
        <v>PLANIFICADOR I</v>
      </c>
      <c r="O284" s="999">
        <f>ROUND(NOMINA!W263,2)</f>
        <v>0</v>
      </c>
      <c r="P284" s="999">
        <f>NOMINA!AF263</f>
        <v>0</v>
      </c>
      <c r="Q284" s="999">
        <f>NOMINA!AH263</f>
        <v>0</v>
      </c>
      <c r="R284" s="999">
        <f>NOMINA!AC263</f>
        <v>0</v>
      </c>
      <c r="S284" s="999">
        <f>NOMINA!AJ263</f>
        <v>0</v>
      </c>
      <c r="T284" s="986">
        <f t="shared" si="33"/>
        <v>139.01</v>
      </c>
      <c r="U284" s="999">
        <f>ROUND(NOMINA!BL263,2)</f>
        <v>0</v>
      </c>
      <c r="V284" s="999">
        <f>ROUND(NOMINA!BM263,2)</f>
        <v>0</v>
      </c>
      <c r="W284" s="999">
        <f>ROUND(+NOMINA!BN263,2)</f>
        <v>0</v>
      </c>
      <c r="X284" s="999">
        <f>ROUND(NOMINA!BO263,2)</f>
        <v>0</v>
      </c>
      <c r="Y284" s="999">
        <f>ROUND(NOMINA!BP263,2)</f>
        <v>0</v>
      </c>
      <c r="Z284" s="986">
        <f t="shared" si="34"/>
        <v>28.55</v>
      </c>
      <c r="AA284" s="999">
        <f>ROUND(NOMINA!BK263,2)</f>
        <v>0</v>
      </c>
      <c r="AB284" s="866">
        <f t="shared" si="35"/>
        <v>0</v>
      </c>
    </row>
    <row r="285" spans="1:28" s="629" customFormat="1" ht="20.100000000000001" customHeight="1" thickBot="1">
      <c r="A285" s="770" t="s">
        <v>2846</v>
      </c>
      <c r="B285" s="510">
        <f t="shared" ca="1" si="36"/>
        <v>222</v>
      </c>
      <c r="C285" s="980">
        <f>+NOMINA!C264</f>
        <v>22622493</v>
      </c>
      <c r="D285" s="981" t="str">
        <f>+NOMINA!D264</f>
        <v xml:space="preserve">Barrios Olivar Geraldine Katiusca </v>
      </c>
      <c r="E285" s="978" t="s">
        <v>4622</v>
      </c>
      <c r="F285" s="1006">
        <v>27853</v>
      </c>
      <c r="G285" s="978" t="s">
        <v>4620</v>
      </c>
      <c r="H285" s="1007">
        <f>+NOMINA!H264</f>
        <v>44363</v>
      </c>
      <c r="I285" s="984">
        <f>+NOMINA!I264</f>
        <v>3</v>
      </c>
      <c r="J285" s="985">
        <f>+NOMINA!J264</f>
        <v>0</v>
      </c>
      <c r="K285" s="984">
        <f t="shared" si="32"/>
        <v>3</v>
      </c>
      <c r="L285" s="985" t="s">
        <v>4932</v>
      </c>
      <c r="M285" s="985"/>
      <c r="N285" s="1002" t="str">
        <f>+NOMINA!O264</f>
        <v>Guia de Centro I</v>
      </c>
      <c r="O285" s="999">
        <f>ROUND(NOMINA!W264,2)</f>
        <v>75</v>
      </c>
      <c r="P285" s="999">
        <f>NOMINA!AF264</f>
        <v>2.25</v>
      </c>
      <c r="Q285" s="999">
        <f>NOMINA!AH264</f>
        <v>65</v>
      </c>
      <c r="R285" s="999">
        <f>NOMINA!AC264</f>
        <v>25</v>
      </c>
      <c r="S285" s="999">
        <f>NOMINA!AJ264</f>
        <v>0</v>
      </c>
      <c r="T285" s="986">
        <f t="shared" si="33"/>
        <v>127.01</v>
      </c>
      <c r="U285" s="999">
        <f>ROUND(NOMINA!BL264,2)</f>
        <v>14.86</v>
      </c>
      <c r="V285" s="999">
        <f>ROUND(NOMINA!BM264,2)</f>
        <v>1.86</v>
      </c>
      <c r="W285" s="999">
        <f>ROUND(+NOMINA!BN264,2)</f>
        <v>4.0199999999999996</v>
      </c>
      <c r="X285" s="999">
        <f>ROUND(NOMINA!BO264,2)</f>
        <v>0</v>
      </c>
      <c r="Y285" s="999">
        <f>ROUND(NOMINA!BP264,2)</f>
        <v>0</v>
      </c>
      <c r="Z285" s="986">
        <f t="shared" si="34"/>
        <v>15.96</v>
      </c>
      <c r="AA285" s="999">
        <f>ROUND(NOMINA!BK264,2)</f>
        <v>0</v>
      </c>
      <c r="AB285" s="866">
        <f t="shared" si="35"/>
        <v>146.51</v>
      </c>
    </row>
    <row r="286" spans="1:28" s="629" customFormat="1" ht="20.100000000000001" customHeight="1" thickBot="1">
      <c r="A286" s="770" t="s">
        <v>2846</v>
      </c>
      <c r="B286" s="510">
        <f t="shared" ca="1" si="36"/>
        <v>223</v>
      </c>
      <c r="C286" s="980">
        <f>+NOMINA!C265</f>
        <v>23782360</v>
      </c>
      <c r="D286" s="981" t="str">
        <f>+NOMINA!D265</f>
        <v>Rivera Sandoval Ilva Azucena</v>
      </c>
      <c r="E286" s="978" t="s">
        <v>4622</v>
      </c>
      <c r="F286" s="1006">
        <v>27853</v>
      </c>
      <c r="G286" s="978" t="s">
        <v>4620</v>
      </c>
      <c r="H286" s="1007">
        <f>+NOMINA!H265</f>
        <v>39203</v>
      </c>
      <c r="I286" s="984">
        <f>+NOMINA!I265</f>
        <v>17</v>
      </c>
      <c r="J286" s="985">
        <f>+NOMINA!J265</f>
        <v>0</v>
      </c>
      <c r="K286" s="984">
        <f t="shared" si="32"/>
        <v>17</v>
      </c>
      <c r="L286" s="985" t="s">
        <v>4932</v>
      </c>
      <c r="M286" s="985"/>
      <c r="N286" s="1002" t="str">
        <f>+NOMINA!O265</f>
        <v>Administrador III</v>
      </c>
      <c r="O286" s="999">
        <f>ROUND(NOMINA!W265,2)</f>
        <v>142.5</v>
      </c>
      <c r="P286" s="999">
        <f>NOMINA!AF265</f>
        <v>30.21</v>
      </c>
      <c r="Q286" s="999">
        <f>NOMINA!AH265</f>
        <v>65</v>
      </c>
      <c r="R286" s="999">
        <f>NOMINA!AC265</f>
        <v>0</v>
      </c>
      <c r="S286" s="999">
        <f>NOMINA!AJ265</f>
        <v>59.43</v>
      </c>
      <c r="T286" s="986">
        <f t="shared" si="33"/>
        <v>119.32</v>
      </c>
      <c r="U286" s="999">
        <f>ROUND(NOMINA!BL265,2)</f>
        <v>21.94</v>
      </c>
      <c r="V286" s="999">
        <f>ROUND(NOMINA!BM265,2)</f>
        <v>2.74</v>
      </c>
      <c r="W286" s="999">
        <f>ROUND(+NOMINA!BN265,2)</f>
        <v>5.94</v>
      </c>
      <c r="X286" s="999">
        <f>ROUND(NOMINA!BO265,2)</f>
        <v>0</v>
      </c>
      <c r="Y286" s="999">
        <f>ROUND(NOMINA!BP265,2)</f>
        <v>0</v>
      </c>
      <c r="Z286" s="986">
        <f t="shared" si="34"/>
        <v>27.21</v>
      </c>
      <c r="AA286" s="999">
        <f>ROUND(NOMINA!BK265,2)</f>
        <v>0</v>
      </c>
      <c r="AB286" s="866">
        <f t="shared" si="35"/>
        <v>266.52</v>
      </c>
    </row>
    <row r="287" spans="1:28" s="629" customFormat="1" ht="20.100000000000001" customHeight="1" thickBot="1">
      <c r="A287" s="770" t="s">
        <v>2846</v>
      </c>
      <c r="B287" s="510">
        <f t="shared" ca="1" si="36"/>
        <v>224</v>
      </c>
      <c r="C287" s="980">
        <f>+NOMINA!C266</f>
        <v>23960738</v>
      </c>
      <c r="D287" s="981" t="str">
        <f>+NOMINA!D266</f>
        <v>Molina Briceño Maria de los Angeles</v>
      </c>
      <c r="E287" s="978" t="s">
        <v>4622</v>
      </c>
      <c r="F287" s="1006">
        <v>27853</v>
      </c>
      <c r="G287" s="978" t="s">
        <v>4620</v>
      </c>
      <c r="H287" s="1007">
        <f>+NOMINA!H266</f>
        <v>43497</v>
      </c>
      <c r="I287" s="984">
        <f>+NOMINA!I266</f>
        <v>5</v>
      </c>
      <c r="J287" s="985">
        <f>+NOMINA!J266</f>
        <v>0</v>
      </c>
      <c r="K287" s="984">
        <f t="shared" si="32"/>
        <v>5</v>
      </c>
      <c r="L287" s="985" t="s">
        <v>4932</v>
      </c>
      <c r="M287" s="985"/>
      <c r="N287" s="1002" t="str">
        <f>+NOMINA!O266</f>
        <v>Psicologo II</v>
      </c>
      <c r="O287" s="999">
        <f>ROUND(NOMINA!W266,2)</f>
        <v>138.5</v>
      </c>
      <c r="P287" s="999">
        <f>NOMINA!AF266</f>
        <v>6.93</v>
      </c>
      <c r="Q287" s="999">
        <f>NOMINA!AH266</f>
        <v>65</v>
      </c>
      <c r="R287" s="999">
        <f>NOMINA!AC266</f>
        <v>0</v>
      </c>
      <c r="S287" s="999">
        <f>NOMINA!AJ266</f>
        <v>52.61</v>
      </c>
      <c r="T287" s="986">
        <f t="shared" si="33"/>
        <v>113.26</v>
      </c>
      <c r="U287" s="999">
        <f>ROUND(NOMINA!BL266,2)</f>
        <v>19.420000000000002</v>
      </c>
      <c r="V287" s="999">
        <f>ROUND(NOMINA!BM266,2)</f>
        <v>2.4300000000000002</v>
      </c>
      <c r="W287" s="999">
        <f>ROUND(+NOMINA!BN266,2)</f>
        <v>5.26</v>
      </c>
      <c r="X287" s="999">
        <f>ROUND(NOMINA!BO266,2)</f>
        <v>0</v>
      </c>
      <c r="Y287" s="999">
        <f>ROUND(NOMINA!BP266,2)</f>
        <v>0</v>
      </c>
      <c r="Z287" s="986">
        <f t="shared" si="34"/>
        <v>29.06</v>
      </c>
      <c r="AA287" s="999">
        <f>ROUND(NOMINA!BK266,2)</f>
        <v>0</v>
      </c>
      <c r="AB287" s="866">
        <f t="shared" si="35"/>
        <v>235.93</v>
      </c>
    </row>
    <row r="288" spans="1:28" s="629" customFormat="1" ht="20.100000000000001" customHeight="1" thickBot="1">
      <c r="A288" s="770" t="s">
        <v>2846</v>
      </c>
      <c r="B288" s="510">
        <f t="shared" ca="1" si="36"/>
        <v>225</v>
      </c>
      <c r="C288" s="980">
        <f>+NOMINA!C267</f>
        <v>24135378</v>
      </c>
      <c r="D288" s="981" t="str">
        <f>+NOMINA!D267</f>
        <v>Rivas Hurtado Orleidys Betania</v>
      </c>
      <c r="E288" s="978" t="s">
        <v>4622</v>
      </c>
      <c r="F288" s="1006">
        <v>27853</v>
      </c>
      <c r="G288" s="978" t="s">
        <v>4620</v>
      </c>
      <c r="H288" s="1007">
        <f>+NOMINA!H267</f>
        <v>43862</v>
      </c>
      <c r="I288" s="984">
        <f>+NOMINA!I267</f>
        <v>4</v>
      </c>
      <c r="J288" s="985">
        <f>+NOMINA!J267</f>
        <v>0</v>
      </c>
      <c r="K288" s="984">
        <f t="shared" si="32"/>
        <v>4</v>
      </c>
      <c r="L288" s="985" t="s">
        <v>4932</v>
      </c>
      <c r="M288" s="985"/>
      <c r="N288" s="1002" t="str">
        <f>+NOMINA!O267</f>
        <v>Asistente Administrativo IV</v>
      </c>
      <c r="O288" s="999">
        <f>ROUND(NOMINA!W267,2)</f>
        <v>138.5</v>
      </c>
      <c r="P288" s="999">
        <f>NOMINA!AF267</f>
        <v>5.54</v>
      </c>
      <c r="Q288" s="999">
        <f>NOMINA!AH267</f>
        <v>65</v>
      </c>
      <c r="R288" s="999">
        <f>NOMINA!AC267</f>
        <v>25</v>
      </c>
      <c r="S288" s="999">
        <f>NOMINA!AJ267</f>
        <v>55.39</v>
      </c>
      <c r="T288" s="986">
        <f t="shared" si="33"/>
        <v>135.78</v>
      </c>
      <c r="U288" s="999">
        <f>ROUND(NOMINA!BL267,2)</f>
        <v>20.45</v>
      </c>
      <c r="V288" s="999">
        <f>ROUND(NOMINA!BM267,2)</f>
        <v>2.56</v>
      </c>
      <c r="W288" s="999">
        <f>ROUND(+NOMINA!BN267,2)</f>
        <v>5.54</v>
      </c>
      <c r="X288" s="999">
        <f>ROUND(NOMINA!BO267,2)</f>
        <v>0</v>
      </c>
      <c r="Y288" s="999">
        <f>ROUND(NOMINA!BP267,2)</f>
        <v>0</v>
      </c>
      <c r="Z288" s="986">
        <f t="shared" si="34"/>
        <v>29.06</v>
      </c>
      <c r="AA288" s="999">
        <f>ROUND(NOMINA!BK267,2)</f>
        <v>0</v>
      </c>
      <c r="AB288" s="866">
        <f t="shared" si="35"/>
        <v>260.88</v>
      </c>
    </row>
    <row r="289" spans="1:28" s="629" customFormat="1" ht="20.100000000000001" customHeight="1" thickBot="1">
      <c r="A289" s="770" t="s">
        <v>2846</v>
      </c>
      <c r="B289" s="510">
        <f t="shared" ca="1" si="36"/>
        <v>226</v>
      </c>
      <c r="C289" s="980">
        <f>+NOMINA!C268</f>
        <v>24136795</v>
      </c>
      <c r="D289" s="981" t="str">
        <f>+NOMINA!D268</f>
        <v xml:space="preserve">Viloria Maldonado Gerardo Jesus </v>
      </c>
      <c r="E289" s="978" t="s">
        <v>4622</v>
      </c>
      <c r="F289" s="1006">
        <v>27853</v>
      </c>
      <c r="G289" s="978" t="s">
        <v>4620</v>
      </c>
      <c r="H289" s="1007">
        <f>+NOMINA!H268</f>
        <v>44600</v>
      </c>
      <c r="I289" s="984">
        <f>+NOMINA!I268</f>
        <v>2</v>
      </c>
      <c r="J289" s="985">
        <f>+NOMINA!J268</f>
        <v>0</v>
      </c>
      <c r="K289" s="984">
        <f t="shared" si="32"/>
        <v>2</v>
      </c>
      <c r="L289" s="985" t="s">
        <v>4932</v>
      </c>
      <c r="M289" s="985"/>
      <c r="N289" s="1002" t="str">
        <f>+NOMINA!O268</f>
        <v>Entrenador Deportivo II</v>
      </c>
      <c r="O289" s="999">
        <f>ROUND(NOMINA!W268,2)</f>
        <v>65</v>
      </c>
      <c r="P289" s="999">
        <f>NOMINA!AF268</f>
        <v>1.3</v>
      </c>
      <c r="Q289" s="999">
        <f>NOMINA!AH268</f>
        <v>65</v>
      </c>
      <c r="R289" s="999">
        <f>NOMINA!AC268</f>
        <v>25</v>
      </c>
      <c r="S289" s="999">
        <f>NOMINA!AJ268</f>
        <v>0</v>
      </c>
      <c r="T289" s="986">
        <f t="shared" si="33"/>
        <v>122.07</v>
      </c>
      <c r="U289" s="999">
        <f>ROUND(NOMINA!BL268,2)</f>
        <v>10.62</v>
      </c>
      <c r="V289" s="999">
        <f>ROUND(NOMINA!BM268,2)</f>
        <v>1.33</v>
      </c>
      <c r="W289" s="999">
        <f>ROUND(+NOMINA!BN268,2)</f>
        <v>2.88</v>
      </c>
      <c r="X289" s="999">
        <f>ROUND(NOMINA!BO268,2)</f>
        <v>0</v>
      </c>
      <c r="Y289" s="999">
        <f>ROUND(NOMINA!BP268,2)</f>
        <v>0</v>
      </c>
      <c r="Z289" s="986">
        <f t="shared" si="34"/>
        <v>30.95</v>
      </c>
      <c r="AA289" s="999">
        <f>ROUND(NOMINA!BK268,2)</f>
        <v>0</v>
      </c>
      <c r="AB289" s="866">
        <f t="shared" si="35"/>
        <v>141.47000000000003</v>
      </c>
    </row>
    <row r="290" spans="1:28" s="629" customFormat="1" ht="20.100000000000001" customHeight="1" thickBot="1">
      <c r="A290" s="770" t="s">
        <v>2846</v>
      </c>
      <c r="B290" s="510">
        <f t="shared" ca="1" si="36"/>
        <v>227</v>
      </c>
      <c r="C290" s="980">
        <f>+NOMINA!C269</f>
        <v>24385729</v>
      </c>
      <c r="D290" s="981" t="str">
        <f>+NOMINA!D269</f>
        <v>Cordova Rivero Liseth Carolina</v>
      </c>
      <c r="E290" s="978" t="s">
        <v>4622</v>
      </c>
      <c r="F290" s="1006">
        <v>27853</v>
      </c>
      <c r="G290" s="978" t="s">
        <v>4620</v>
      </c>
      <c r="H290" s="1007">
        <f>+NOMINA!H269</f>
        <v>45597</v>
      </c>
      <c r="I290" s="984">
        <f>+NOMINA!I269</f>
        <v>0</v>
      </c>
      <c r="J290" s="985">
        <f>+NOMINA!J269</f>
        <v>1</v>
      </c>
      <c r="K290" s="984">
        <f t="shared" si="32"/>
        <v>1</v>
      </c>
      <c r="L290" s="985" t="s">
        <v>4932</v>
      </c>
      <c r="M290" s="985"/>
      <c r="N290" s="1002" t="str">
        <f>+NOMINA!O269</f>
        <v>Secretario I</v>
      </c>
      <c r="O290" s="999">
        <f>ROUND(NOMINA!W269,2)</f>
        <v>65</v>
      </c>
      <c r="P290" s="999">
        <f>NOMINA!AF269</f>
        <v>0.65</v>
      </c>
      <c r="Q290" s="999">
        <f>NOMINA!AH269</f>
        <v>65</v>
      </c>
      <c r="R290" s="999">
        <f>NOMINA!AC269</f>
        <v>12.5</v>
      </c>
      <c r="S290" s="999">
        <f>NOMINA!AJ269</f>
        <v>0</v>
      </c>
      <c r="T290" s="986">
        <f t="shared" si="33"/>
        <v>133.38</v>
      </c>
      <c r="U290" s="999">
        <f>ROUND(NOMINA!BL269,2)</f>
        <v>10.11</v>
      </c>
      <c r="V290" s="999">
        <f>ROUND(NOMINA!BM269,2)</f>
        <v>1.26</v>
      </c>
      <c r="W290" s="999">
        <f>ROUND(+NOMINA!BN269,2)</f>
        <v>2.74</v>
      </c>
      <c r="X290" s="999">
        <f>ROUND(NOMINA!BO269,2)</f>
        <v>0</v>
      </c>
      <c r="Y290" s="999">
        <f>ROUND(NOMINA!BP269,2)</f>
        <v>0</v>
      </c>
      <c r="Z290" s="986">
        <f t="shared" si="34"/>
        <v>19.100000000000001</v>
      </c>
      <c r="AA290" s="999">
        <f>ROUND(NOMINA!BK269,2)</f>
        <v>0</v>
      </c>
      <c r="AB290" s="866">
        <f t="shared" si="35"/>
        <v>129.04000000000002</v>
      </c>
    </row>
    <row r="291" spans="1:28" s="629" customFormat="1" ht="20.100000000000001" customHeight="1" thickBot="1">
      <c r="A291" s="770" t="s">
        <v>2846</v>
      </c>
      <c r="B291" s="510">
        <f t="shared" ca="1" si="36"/>
        <v>228</v>
      </c>
      <c r="C291" s="980">
        <f>+NOMINA!C270</f>
        <v>23254845</v>
      </c>
      <c r="D291" s="981" t="str">
        <f>+NOMINA!D270</f>
        <v>Castellanos Paredes Luis Gregorio</v>
      </c>
      <c r="E291" s="978" t="s">
        <v>4622</v>
      </c>
      <c r="F291" s="1006">
        <v>27853</v>
      </c>
      <c r="G291" s="978" t="s">
        <v>4620</v>
      </c>
      <c r="H291" s="1007">
        <f>+NOMINA!H270</f>
        <v>44332</v>
      </c>
      <c r="I291" s="984">
        <f>+NOMINA!I270</f>
        <v>3</v>
      </c>
      <c r="J291" s="985">
        <f>+NOMINA!J270</f>
        <v>0</v>
      </c>
      <c r="K291" s="984">
        <f t="shared" si="32"/>
        <v>3</v>
      </c>
      <c r="L291" s="985" t="s">
        <v>4932</v>
      </c>
      <c r="M291" s="985"/>
      <c r="N291" s="1002" t="str">
        <f>+NOMINA!O270</f>
        <v>Entrenador Deportivo II</v>
      </c>
      <c r="O291" s="999">
        <f>ROUND(NOMINA!W270,2)</f>
        <v>75</v>
      </c>
      <c r="P291" s="999">
        <f>NOMINA!AF270</f>
        <v>2.25</v>
      </c>
      <c r="Q291" s="999">
        <f>NOMINA!AH270</f>
        <v>65</v>
      </c>
      <c r="R291" s="999">
        <f>NOMINA!AC270</f>
        <v>0</v>
      </c>
      <c r="S291" s="999">
        <f>NOMINA!AJ270</f>
        <v>0</v>
      </c>
      <c r="T291" s="986">
        <f t="shared" si="33"/>
        <v>150.93</v>
      </c>
      <c r="U291" s="999">
        <f>ROUND(NOMINA!BL270,2)</f>
        <v>10.5</v>
      </c>
      <c r="V291" s="999">
        <f>ROUND(NOMINA!BM270,2)</f>
        <v>1.31</v>
      </c>
      <c r="W291" s="999">
        <f>ROUND(+NOMINA!BN270,2)</f>
        <v>2.85</v>
      </c>
      <c r="X291" s="999">
        <f>ROUND(NOMINA!BO270,2)</f>
        <v>0</v>
      </c>
      <c r="Y291" s="999">
        <f>ROUND(NOMINA!BP270,2)</f>
        <v>0</v>
      </c>
      <c r="Z291" s="986">
        <f t="shared" si="34"/>
        <v>26.04</v>
      </c>
      <c r="AA291" s="999">
        <f>ROUND(NOMINA!BK270,2)</f>
        <v>0</v>
      </c>
      <c r="AB291" s="866">
        <f t="shared" si="35"/>
        <v>127.59</v>
      </c>
    </row>
    <row r="292" spans="1:28" s="629" customFormat="1" ht="20.100000000000001" customHeight="1" thickBot="1">
      <c r="A292" s="770" t="s">
        <v>2846</v>
      </c>
      <c r="B292" s="510">
        <f t="shared" ca="1" si="36"/>
        <v>229</v>
      </c>
      <c r="C292" s="980">
        <f>+NOMINA!C271</f>
        <v>23594366</v>
      </c>
      <c r="D292" s="981" t="str">
        <f>+NOMINA!D271</f>
        <v>Quintero Montilla Merly Paula</v>
      </c>
      <c r="E292" s="978" t="s">
        <v>4622</v>
      </c>
      <c r="F292" s="1006">
        <v>27853</v>
      </c>
      <c r="G292" s="978" t="s">
        <v>4620</v>
      </c>
      <c r="H292" s="1007">
        <f>+NOMINA!H271</f>
        <v>45413</v>
      </c>
      <c r="I292" s="984">
        <f>+NOMINA!I271</f>
        <v>0</v>
      </c>
      <c r="J292" s="985">
        <f>+NOMINA!J271</f>
        <v>0</v>
      </c>
      <c r="K292" s="984">
        <f t="shared" si="32"/>
        <v>0</v>
      </c>
      <c r="L292" s="985" t="s">
        <v>4932</v>
      </c>
      <c r="M292" s="985"/>
      <c r="N292" s="1002" t="str">
        <f>+NOMINA!O271</f>
        <v>Tutor Facilitador I</v>
      </c>
      <c r="O292" s="999">
        <f>ROUND(NOMINA!W271,2)</f>
        <v>123</v>
      </c>
      <c r="P292" s="999">
        <f>NOMINA!AF271</f>
        <v>0</v>
      </c>
      <c r="Q292" s="999">
        <f>NOMINA!AH271</f>
        <v>65</v>
      </c>
      <c r="R292" s="999">
        <f>NOMINA!AC271</f>
        <v>0</v>
      </c>
      <c r="S292" s="999">
        <f>NOMINA!AJ271</f>
        <v>47</v>
      </c>
      <c r="T292" s="986">
        <f t="shared" si="33"/>
        <v>92.25</v>
      </c>
      <c r="U292" s="999">
        <f>ROUND(NOMINA!BL271,2)</f>
        <v>17.350000000000001</v>
      </c>
      <c r="V292" s="999">
        <f>ROUND(NOMINA!BM271,2)</f>
        <v>2.17</v>
      </c>
      <c r="W292" s="999">
        <f>ROUND(+NOMINA!BN271,2)</f>
        <v>4.7</v>
      </c>
      <c r="X292" s="999">
        <f>ROUND(NOMINA!BO271,2)</f>
        <v>0</v>
      </c>
      <c r="Y292" s="999">
        <f>ROUND(NOMINA!BP271,2)</f>
        <v>0</v>
      </c>
      <c r="Z292" s="986">
        <f t="shared" si="34"/>
        <v>23.54</v>
      </c>
      <c r="AA292" s="999">
        <f>ROUND(NOMINA!BK271,2)</f>
        <v>0</v>
      </c>
      <c r="AB292" s="866">
        <f t="shared" si="35"/>
        <v>210.78</v>
      </c>
    </row>
    <row r="293" spans="1:28" s="629" customFormat="1" ht="20.100000000000001" customHeight="1" thickBot="1">
      <c r="A293" s="770" t="s">
        <v>2846</v>
      </c>
      <c r="B293" s="510">
        <f t="shared" ca="1" si="36"/>
        <v>230</v>
      </c>
      <c r="C293" s="980">
        <f>+NOMINA!C272</f>
        <v>23775734</v>
      </c>
      <c r="D293" s="981" t="str">
        <f>+NOMINA!D272</f>
        <v>Gonzalez Torres Klerwin Alfonso</v>
      </c>
      <c r="E293" s="978" t="s">
        <v>4622</v>
      </c>
      <c r="F293" s="1006">
        <v>27853</v>
      </c>
      <c r="G293" s="978" t="s">
        <v>4620</v>
      </c>
      <c r="H293" s="1007">
        <f>+NOMINA!H272</f>
        <v>45627</v>
      </c>
      <c r="I293" s="984">
        <f>+NOMINA!I272</f>
        <v>0</v>
      </c>
      <c r="J293" s="985">
        <f>+NOMINA!J272</f>
        <v>5</v>
      </c>
      <c r="K293" s="984">
        <f t="shared" si="32"/>
        <v>5</v>
      </c>
      <c r="L293" s="985" t="s">
        <v>4932</v>
      </c>
      <c r="M293" s="985"/>
      <c r="N293" s="1002" t="str">
        <f>+NOMINA!O272</f>
        <v>Guia de Centro I</v>
      </c>
      <c r="O293" s="999">
        <f>ROUND(NOMINA!W272,2)</f>
        <v>65</v>
      </c>
      <c r="P293" s="999">
        <f>NOMINA!AF272</f>
        <v>3.25</v>
      </c>
      <c r="Q293" s="999">
        <f>NOMINA!AH272</f>
        <v>65</v>
      </c>
      <c r="R293" s="999">
        <f>NOMINA!AC272</f>
        <v>12.5</v>
      </c>
      <c r="S293" s="999">
        <f>NOMINA!AJ272</f>
        <v>0</v>
      </c>
      <c r="T293" s="986">
        <f t="shared" si="33"/>
        <v>113.26</v>
      </c>
      <c r="U293" s="999">
        <f>ROUND(NOMINA!BL272,2)</f>
        <v>13.39</v>
      </c>
      <c r="V293" s="999">
        <f>ROUND(NOMINA!BM272,2)</f>
        <v>1.67</v>
      </c>
      <c r="W293" s="999">
        <f>ROUND(+NOMINA!BN272,2)</f>
        <v>3.63</v>
      </c>
      <c r="X293" s="999">
        <f>ROUND(NOMINA!BO272,2)</f>
        <v>0</v>
      </c>
      <c r="Y293" s="999">
        <f>ROUND(NOMINA!BP272,2)</f>
        <v>0</v>
      </c>
      <c r="Z293" s="986">
        <f t="shared" si="34"/>
        <v>23.6</v>
      </c>
      <c r="AA293" s="999">
        <f>ROUND(NOMINA!BK272,2)</f>
        <v>0</v>
      </c>
      <c r="AB293" s="866">
        <f t="shared" si="35"/>
        <v>127.06</v>
      </c>
    </row>
    <row r="294" spans="1:28" s="629" customFormat="1" ht="20.100000000000001" customHeight="1" thickBot="1">
      <c r="A294" s="770" t="s">
        <v>2846</v>
      </c>
      <c r="B294" s="510">
        <f t="shared" ca="1" si="36"/>
        <v>231</v>
      </c>
      <c r="C294" s="980">
        <f>+NOMINA!C273</f>
        <v>24565372</v>
      </c>
      <c r="D294" s="981" t="str">
        <f>+NOMINA!D273</f>
        <v>Moreno Silva Alfredy Jose</v>
      </c>
      <c r="E294" s="978" t="s">
        <v>4622</v>
      </c>
      <c r="F294" s="1006">
        <v>27853</v>
      </c>
      <c r="G294" s="978" t="s">
        <v>4620</v>
      </c>
      <c r="H294" s="1007">
        <f>+NOMINA!H273</f>
        <v>40360</v>
      </c>
      <c r="I294" s="984">
        <f>+NOMINA!I273</f>
        <v>14</v>
      </c>
      <c r="J294" s="985">
        <f>+NOMINA!J273</f>
        <v>0</v>
      </c>
      <c r="K294" s="984">
        <f t="shared" si="32"/>
        <v>14</v>
      </c>
      <c r="L294" s="985" t="s">
        <v>4932</v>
      </c>
      <c r="M294" s="985"/>
      <c r="N294" s="1002" t="str">
        <f>+NOMINA!O273</f>
        <v>Asistente de Relaciones Publicas</v>
      </c>
      <c r="O294" s="999">
        <f>ROUND(NOMINA!W273,2)</f>
        <v>0</v>
      </c>
      <c r="P294" s="999">
        <f>NOMINA!AF273</f>
        <v>0</v>
      </c>
      <c r="Q294" s="999">
        <f>NOMINA!AH273</f>
        <v>0</v>
      </c>
      <c r="R294" s="999">
        <f>NOMINA!AC273</f>
        <v>0</v>
      </c>
      <c r="S294" s="999">
        <f>NOMINA!AJ273</f>
        <v>0</v>
      </c>
      <c r="T294" s="986">
        <f t="shared" si="33"/>
        <v>133.38</v>
      </c>
      <c r="U294" s="999">
        <f>ROUND(NOMINA!BL273,2)</f>
        <v>0</v>
      </c>
      <c r="V294" s="999">
        <f>ROUND(NOMINA!BM273,2)</f>
        <v>0</v>
      </c>
      <c r="W294" s="999">
        <f>ROUND(+NOMINA!BN273,2)</f>
        <v>0</v>
      </c>
      <c r="X294" s="999">
        <f>ROUND(NOMINA!BO273,2)</f>
        <v>0</v>
      </c>
      <c r="Y294" s="999">
        <f>ROUND(NOMINA!BP273,2)</f>
        <v>0</v>
      </c>
      <c r="Z294" s="986">
        <f t="shared" si="34"/>
        <v>25.35</v>
      </c>
      <c r="AA294" s="999">
        <f>ROUND(NOMINA!BK273,2)</f>
        <v>0</v>
      </c>
      <c r="AB294" s="866">
        <f t="shared" si="35"/>
        <v>0</v>
      </c>
    </row>
    <row r="295" spans="1:28" s="629" customFormat="1" ht="20.100000000000001" customHeight="1" thickBot="1">
      <c r="A295" s="770" t="s">
        <v>2846</v>
      </c>
      <c r="B295" s="510">
        <f t="shared" ca="1" si="36"/>
        <v>232</v>
      </c>
      <c r="C295" s="980">
        <f>+NOMINA!C274</f>
        <v>25006139</v>
      </c>
      <c r="D295" s="981" t="str">
        <f>+NOMINA!D274</f>
        <v>Ramirez Palomares Carmen Beatriz</v>
      </c>
      <c r="E295" s="978" t="s">
        <v>4622</v>
      </c>
      <c r="F295" s="1006">
        <v>27853</v>
      </c>
      <c r="G295" s="978" t="s">
        <v>4620</v>
      </c>
      <c r="H295" s="1007">
        <f>+NOMINA!H274</f>
        <v>43512</v>
      </c>
      <c r="I295" s="984">
        <f>+NOMINA!I274</f>
        <v>5</v>
      </c>
      <c r="J295" s="985">
        <f>+NOMINA!J274</f>
        <v>0</v>
      </c>
      <c r="K295" s="984">
        <f t="shared" si="32"/>
        <v>5</v>
      </c>
      <c r="L295" s="985" t="s">
        <v>4932</v>
      </c>
      <c r="M295" s="985"/>
      <c r="N295" s="1002" t="str">
        <f>+NOMINA!O274</f>
        <v>Guia de Centro I</v>
      </c>
      <c r="O295" s="999">
        <f>ROUND(NOMINA!W274,2)</f>
        <v>75</v>
      </c>
      <c r="P295" s="999">
        <f>NOMINA!AF274</f>
        <v>3.75</v>
      </c>
      <c r="Q295" s="999">
        <f>NOMINA!AH274</f>
        <v>65</v>
      </c>
      <c r="R295" s="999">
        <f>NOMINA!AC274</f>
        <v>12.5</v>
      </c>
      <c r="S295" s="999">
        <f>NOMINA!AJ274</f>
        <v>0</v>
      </c>
      <c r="T295" s="986">
        <f t="shared" si="33"/>
        <v>133.38</v>
      </c>
      <c r="U295" s="999">
        <f>ROUND(NOMINA!BL274,2)</f>
        <v>14.4</v>
      </c>
      <c r="V295" s="999">
        <f>ROUND(NOMINA!BM274,2)</f>
        <v>1.8</v>
      </c>
      <c r="W295" s="999">
        <f>ROUND(+NOMINA!BN274,2)</f>
        <v>3.9</v>
      </c>
      <c r="X295" s="999">
        <f>ROUND(NOMINA!BO274,2)</f>
        <v>0</v>
      </c>
      <c r="Y295" s="999">
        <f>ROUND(NOMINA!BP274,2)</f>
        <v>0</v>
      </c>
      <c r="Z295" s="986">
        <f t="shared" si="34"/>
        <v>0</v>
      </c>
      <c r="AA295" s="999">
        <f>ROUND(NOMINA!BK274,2)</f>
        <v>0</v>
      </c>
      <c r="AB295" s="866">
        <f t="shared" si="35"/>
        <v>136.15</v>
      </c>
    </row>
    <row r="296" spans="1:28" s="629" customFormat="1" ht="20.100000000000001" customHeight="1" thickBot="1">
      <c r="A296" s="770" t="s">
        <v>2846</v>
      </c>
      <c r="B296" s="510">
        <f t="shared" ca="1" si="36"/>
        <v>233</v>
      </c>
      <c r="C296" s="980">
        <f>+NOMINA!C275</f>
        <v>25006878</v>
      </c>
      <c r="D296" s="981" t="str">
        <f>+NOMINA!D275</f>
        <v>Fernandez Garcia Rafael Ramon</v>
      </c>
      <c r="E296" s="978" t="s">
        <v>4622</v>
      </c>
      <c r="F296" s="1006">
        <v>27853</v>
      </c>
      <c r="G296" s="978" t="s">
        <v>4620</v>
      </c>
      <c r="H296" s="1007">
        <f>+NOMINA!H275</f>
        <v>44986</v>
      </c>
      <c r="I296" s="984">
        <f>+NOMINA!I275</f>
        <v>1</v>
      </c>
      <c r="J296" s="985">
        <f>+NOMINA!J275</f>
        <v>7</v>
      </c>
      <c r="K296" s="984">
        <f t="shared" si="32"/>
        <v>8</v>
      </c>
      <c r="L296" s="985" t="s">
        <v>4932</v>
      </c>
      <c r="M296" s="985"/>
      <c r="N296" s="1002" t="str">
        <f>+NOMINA!O275</f>
        <v>Guia de Centro I</v>
      </c>
      <c r="O296" s="999">
        <f>ROUND(NOMINA!W275,2)</f>
        <v>85</v>
      </c>
      <c r="P296" s="999">
        <f>NOMINA!AF275</f>
        <v>7.31</v>
      </c>
      <c r="Q296" s="999">
        <f>NOMINA!AH275</f>
        <v>65</v>
      </c>
      <c r="R296" s="999">
        <f>NOMINA!AC275</f>
        <v>12.5</v>
      </c>
      <c r="S296" s="999">
        <f>NOMINA!AJ275</f>
        <v>0</v>
      </c>
      <c r="T296" s="986">
        <f t="shared" si="33"/>
        <v>133.98000000000002</v>
      </c>
      <c r="U296" s="999">
        <f>ROUND(NOMINA!BL275,2)</f>
        <v>15.7</v>
      </c>
      <c r="V296" s="999">
        <f>ROUND(NOMINA!BM275,2)</f>
        <v>1.96</v>
      </c>
      <c r="W296" s="999">
        <f>ROUND(+NOMINA!BN275,2)</f>
        <v>4.25</v>
      </c>
      <c r="X296" s="999">
        <f>ROUND(NOMINA!BO275,2)</f>
        <v>0</v>
      </c>
      <c r="Y296" s="999">
        <f>ROUND(NOMINA!BP275,2)</f>
        <v>0</v>
      </c>
      <c r="Z296" s="986">
        <f t="shared" si="34"/>
        <v>27.13</v>
      </c>
      <c r="AA296" s="999">
        <f>ROUND(NOMINA!BK275,2)</f>
        <v>0</v>
      </c>
      <c r="AB296" s="866">
        <f t="shared" si="35"/>
        <v>147.9</v>
      </c>
    </row>
    <row r="297" spans="1:28" s="629" customFormat="1" ht="20.100000000000001" customHeight="1" thickBot="1">
      <c r="A297" s="770" t="s">
        <v>2846</v>
      </c>
      <c r="B297" s="510">
        <f t="shared" ca="1" si="36"/>
        <v>234</v>
      </c>
      <c r="C297" s="980">
        <f>+NOMINA!C276</f>
        <v>25096069</v>
      </c>
      <c r="D297" s="981" t="str">
        <f>+NOMINA!D276</f>
        <v>Coello Diaz Yormileidys del Carmen</v>
      </c>
      <c r="E297" s="978" t="s">
        <v>4622</v>
      </c>
      <c r="F297" s="1006">
        <v>27853</v>
      </c>
      <c r="G297" s="978" t="s">
        <v>4620</v>
      </c>
      <c r="H297" s="1007">
        <f>+NOMINA!H276</f>
        <v>44599</v>
      </c>
      <c r="I297" s="984">
        <f>+NOMINA!I276</f>
        <v>2</v>
      </c>
      <c r="J297" s="985">
        <f>+NOMINA!J276</f>
        <v>0</v>
      </c>
      <c r="K297" s="984">
        <f t="shared" si="32"/>
        <v>2</v>
      </c>
      <c r="L297" s="985" t="s">
        <v>4932</v>
      </c>
      <c r="M297" s="985"/>
      <c r="N297" s="1002" t="str">
        <f>+NOMINA!O276</f>
        <v>Guia de Centro I</v>
      </c>
      <c r="O297" s="999">
        <f>ROUND(NOMINA!W276,2)</f>
        <v>96</v>
      </c>
      <c r="P297" s="999">
        <f>NOMINA!AF276</f>
        <v>1.92</v>
      </c>
      <c r="Q297" s="999">
        <f>NOMINA!AH276</f>
        <v>65</v>
      </c>
      <c r="R297" s="999">
        <f>NOMINA!AC276</f>
        <v>12.5</v>
      </c>
      <c r="S297" s="999">
        <f>NOMINA!AJ276</f>
        <v>42.3</v>
      </c>
      <c r="T297" s="986">
        <f t="shared" si="33"/>
        <v>90</v>
      </c>
      <c r="U297" s="999">
        <f>ROUND(NOMINA!BL276,2)</f>
        <v>20.3</v>
      </c>
      <c r="V297" s="999">
        <f>ROUND(NOMINA!BM276,2)</f>
        <v>2.54</v>
      </c>
      <c r="W297" s="999">
        <f>ROUND(+NOMINA!BN276,2)</f>
        <v>5.5</v>
      </c>
      <c r="X297" s="999">
        <f>ROUND(NOMINA!BO276,2)</f>
        <v>0</v>
      </c>
      <c r="Y297" s="999">
        <f>ROUND(NOMINA!BP276,2)</f>
        <v>0</v>
      </c>
      <c r="Z297" s="986">
        <f t="shared" si="34"/>
        <v>24.54</v>
      </c>
      <c r="AA297" s="999">
        <f>ROUND(NOMINA!BK276,2)</f>
        <v>0</v>
      </c>
      <c r="AB297" s="866">
        <f t="shared" si="35"/>
        <v>189.38000000000002</v>
      </c>
    </row>
    <row r="298" spans="1:28" s="629" customFormat="1" ht="20.100000000000001" customHeight="1" thickBot="1">
      <c r="A298" s="770" t="s">
        <v>2846</v>
      </c>
      <c r="B298" s="510">
        <f t="shared" ca="1" si="36"/>
        <v>235</v>
      </c>
      <c r="C298" s="980">
        <f>+NOMINA!C277</f>
        <v>25173139</v>
      </c>
      <c r="D298" s="981" t="str">
        <f>+NOMINA!D277</f>
        <v>Viloria Albornoz Arelis Andreina</v>
      </c>
      <c r="E298" s="978" t="s">
        <v>4622</v>
      </c>
      <c r="F298" s="1006">
        <v>27853</v>
      </c>
      <c r="G298" s="978" t="s">
        <v>4620</v>
      </c>
      <c r="H298" s="1007">
        <f>+NOMINA!H277</f>
        <v>45536</v>
      </c>
      <c r="I298" s="984">
        <f>+NOMINA!I277</f>
        <v>0</v>
      </c>
      <c r="J298" s="985">
        <f>+NOMINA!J277</f>
        <v>0</v>
      </c>
      <c r="K298" s="984">
        <f t="shared" si="32"/>
        <v>0</v>
      </c>
      <c r="L298" s="985" t="s">
        <v>4932</v>
      </c>
      <c r="M298" s="985"/>
      <c r="N298" s="1002" t="str">
        <f>+NOMINA!O277</f>
        <v>PLANIFICADOR I</v>
      </c>
      <c r="O298" s="999">
        <f>ROUND(NOMINA!W277,2)</f>
        <v>123</v>
      </c>
      <c r="P298" s="999">
        <f>NOMINA!AF277</f>
        <v>0</v>
      </c>
      <c r="Q298" s="999">
        <f>NOMINA!AH277</f>
        <v>65</v>
      </c>
      <c r="R298" s="999">
        <f>NOMINA!AC277</f>
        <v>12.5</v>
      </c>
      <c r="S298" s="999">
        <f>NOMINA!AJ277</f>
        <v>48.57</v>
      </c>
      <c r="T298" s="986">
        <f t="shared" si="33"/>
        <v>98.35</v>
      </c>
      <c r="U298" s="999">
        <f>ROUND(NOMINA!BL277,2)</f>
        <v>17.93</v>
      </c>
      <c r="V298" s="999">
        <f>ROUND(NOMINA!BM277,2)</f>
        <v>2.2400000000000002</v>
      </c>
      <c r="W298" s="999">
        <f>ROUND(+NOMINA!BN277,2)</f>
        <v>4.8600000000000003</v>
      </c>
      <c r="X298" s="999">
        <f>ROUND(NOMINA!BO277,2)</f>
        <v>0</v>
      </c>
      <c r="Y298" s="999">
        <f>ROUND(NOMINA!BP277,2)</f>
        <v>0</v>
      </c>
      <c r="Z298" s="986">
        <f t="shared" si="34"/>
        <v>14.66</v>
      </c>
      <c r="AA298" s="999">
        <f>ROUND(NOMINA!BK277,2)</f>
        <v>0</v>
      </c>
      <c r="AB298" s="866">
        <f t="shared" si="35"/>
        <v>224.04</v>
      </c>
    </row>
    <row r="299" spans="1:28" s="629" customFormat="1" ht="20.100000000000001" customHeight="1" thickBot="1">
      <c r="A299" s="770"/>
      <c r="B299" s="510">
        <f t="shared" ca="1" si="36"/>
        <v>236</v>
      </c>
      <c r="C299" s="980">
        <f>+NOMINA!C278</f>
        <v>25173983</v>
      </c>
      <c r="D299" s="981" t="str">
        <f>+NOMINA!D278</f>
        <v>Guanda Barazarte Roxely Andreina</v>
      </c>
      <c r="E299" s="978" t="s">
        <v>4622</v>
      </c>
      <c r="F299" s="1006">
        <v>27853</v>
      </c>
      <c r="G299" s="978" t="s">
        <v>4620</v>
      </c>
      <c r="H299" s="1007">
        <f>+NOMINA!H278</f>
        <v>44363</v>
      </c>
      <c r="I299" s="984">
        <f>+NOMINA!I278</f>
        <v>3</v>
      </c>
      <c r="J299" s="985">
        <f>+NOMINA!J278</f>
        <v>0</v>
      </c>
      <c r="K299" s="984">
        <f t="shared" si="32"/>
        <v>3</v>
      </c>
      <c r="L299" s="985" t="s">
        <v>4932</v>
      </c>
      <c r="M299" s="985"/>
      <c r="N299" s="1002" t="str">
        <f>+NOMINA!O278</f>
        <v>Guia de Centro I</v>
      </c>
      <c r="O299" s="999">
        <f>ROUND(NOMINA!W278,2)</f>
        <v>75</v>
      </c>
      <c r="P299" s="999">
        <f>NOMINA!AF278</f>
        <v>2.25</v>
      </c>
      <c r="Q299" s="999">
        <f>NOMINA!AH278</f>
        <v>65</v>
      </c>
      <c r="R299" s="999">
        <f>NOMINA!AC278</f>
        <v>12.5</v>
      </c>
      <c r="S299" s="999">
        <f>NOMINA!AJ278</f>
        <v>0</v>
      </c>
      <c r="T299" s="986">
        <f t="shared" si="33"/>
        <v>131.35000000000002</v>
      </c>
      <c r="U299" s="999">
        <f>ROUND(NOMINA!BL278,2)</f>
        <v>14.26</v>
      </c>
      <c r="V299" s="999">
        <f>ROUND(NOMINA!BM278,2)</f>
        <v>1.78</v>
      </c>
      <c r="W299" s="999">
        <f>ROUND(+NOMINA!BN278,2)</f>
        <v>3.86</v>
      </c>
      <c r="X299" s="999">
        <f>ROUND(NOMINA!BO278,2)</f>
        <v>0</v>
      </c>
      <c r="Y299" s="999">
        <f>ROUND(NOMINA!BP278,2)</f>
        <v>0</v>
      </c>
      <c r="Z299" s="986">
        <f t="shared" si="34"/>
        <v>0</v>
      </c>
      <c r="AA299" s="999">
        <f>ROUND(NOMINA!BK278,2)</f>
        <v>0</v>
      </c>
      <c r="AB299" s="866">
        <f t="shared" si="35"/>
        <v>134.85</v>
      </c>
    </row>
    <row r="300" spans="1:28" s="629" customFormat="1" ht="20.100000000000001" customHeight="1" thickBot="1">
      <c r="A300" s="770"/>
      <c r="B300" s="510">
        <f t="shared" ca="1" si="36"/>
        <v>237</v>
      </c>
      <c r="C300" s="980">
        <f>+NOMINA!C279</f>
        <v>25303390</v>
      </c>
      <c r="D300" s="981" t="str">
        <f>+NOMINA!D279</f>
        <v>Graterol Castillo Yoselyn Zunedy</v>
      </c>
      <c r="E300" s="978" t="s">
        <v>4622</v>
      </c>
      <c r="F300" s="1006">
        <v>27853</v>
      </c>
      <c r="G300" s="978" t="s">
        <v>4620</v>
      </c>
      <c r="H300" s="1007">
        <f>+NOMINA!H279</f>
        <v>43862</v>
      </c>
      <c r="I300" s="984">
        <f>+NOMINA!I279</f>
        <v>4</v>
      </c>
      <c r="J300" s="985">
        <f>+NOMINA!J279</f>
        <v>0</v>
      </c>
      <c r="K300" s="984">
        <f t="shared" si="32"/>
        <v>4</v>
      </c>
      <c r="L300" s="985" t="s">
        <v>4932</v>
      </c>
      <c r="M300" s="985"/>
      <c r="N300" s="1002" t="str">
        <f>+NOMINA!O279</f>
        <v>Guia de Centro I</v>
      </c>
      <c r="O300" s="999">
        <f>ROUND(NOMINA!W279,2)</f>
        <v>75</v>
      </c>
      <c r="P300" s="999">
        <f>NOMINA!AF279</f>
        <v>3</v>
      </c>
      <c r="Q300" s="999">
        <f>NOMINA!AH279</f>
        <v>65</v>
      </c>
      <c r="R300" s="999">
        <f>NOMINA!AC279</f>
        <v>25</v>
      </c>
      <c r="S300" s="999">
        <f>NOMINA!AJ279</f>
        <v>0</v>
      </c>
      <c r="T300" s="986">
        <f t="shared" si="33"/>
        <v>102</v>
      </c>
      <c r="U300" s="999">
        <f>ROUND(NOMINA!BL279,2)</f>
        <v>14.93</v>
      </c>
      <c r="V300" s="999">
        <f>ROUND(NOMINA!BM279,2)</f>
        <v>1.87</v>
      </c>
      <c r="W300" s="999">
        <f>ROUND(+NOMINA!BN279,2)</f>
        <v>4.04</v>
      </c>
      <c r="X300" s="999">
        <f>ROUND(NOMINA!BO279,2)</f>
        <v>0</v>
      </c>
      <c r="Y300" s="999">
        <f>ROUND(NOMINA!BP279,2)</f>
        <v>0</v>
      </c>
      <c r="Z300" s="986">
        <f t="shared" si="34"/>
        <v>20.74</v>
      </c>
      <c r="AA300" s="999">
        <f>ROUND(NOMINA!BK279,2)</f>
        <v>0</v>
      </c>
      <c r="AB300" s="866">
        <f t="shared" si="35"/>
        <v>147.16</v>
      </c>
    </row>
    <row r="301" spans="1:28" s="629" customFormat="1" ht="20.100000000000001" customHeight="1" thickBot="1">
      <c r="A301" s="770"/>
      <c r="B301" s="510">
        <f t="shared" ca="1" si="36"/>
        <v>238</v>
      </c>
      <c r="C301" s="980">
        <f>+NOMINA!C280</f>
        <v>25454143</v>
      </c>
      <c r="D301" s="981" t="str">
        <f>+NOMINA!D280</f>
        <v>Briceño Ana Beatriz</v>
      </c>
      <c r="E301" s="978" t="s">
        <v>4622</v>
      </c>
      <c r="F301" s="1006">
        <v>27853</v>
      </c>
      <c r="G301" s="978" t="s">
        <v>4620</v>
      </c>
      <c r="H301" s="1007">
        <f>+NOMINA!H280</f>
        <v>45536</v>
      </c>
      <c r="I301" s="984">
        <f>+NOMINA!I280</f>
        <v>0</v>
      </c>
      <c r="J301" s="985">
        <f>+NOMINA!J280</f>
        <v>0</v>
      </c>
      <c r="K301" s="984">
        <f t="shared" si="32"/>
        <v>0</v>
      </c>
      <c r="L301" s="985" t="s">
        <v>4932</v>
      </c>
      <c r="M301" s="985"/>
      <c r="N301" s="1002" t="str">
        <f>+NOMINA!O280</f>
        <v>Guia de Centro I</v>
      </c>
      <c r="O301" s="999">
        <f>ROUND(NOMINA!W280,2)</f>
        <v>65</v>
      </c>
      <c r="P301" s="999">
        <f>NOMINA!AF280</f>
        <v>0</v>
      </c>
      <c r="Q301" s="999">
        <f>NOMINA!AH280</f>
        <v>65</v>
      </c>
      <c r="R301" s="999">
        <f>NOMINA!AC280</f>
        <v>12.5</v>
      </c>
      <c r="S301" s="999">
        <f>NOMINA!AJ280</f>
        <v>0</v>
      </c>
      <c r="T301" s="986">
        <f t="shared" si="33"/>
        <v>129.13999999999999</v>
      </c>
      <c r="U301" s="999">
        <f>ROUND(NOMINA!BL280,2)</f>
        <v>13.08</v>
      </c>
      <c r="V301" s="999">
        <f>ROUND(NOMINA!BM280,2)</f>
        <v>1.64</v>
      </c>
      <c r="W301" s="999">
        <f>ROUND(+NOMINA!BN280,2)</f>
        <v>3.54</v>
      </c>
      <c r="X301" s="999">
        <f>ROUND(NOMINA!BO280,2)</f>
        <v>0</v>
      </c>
      <c r="Y301" s="999">
        <f>ROUND(NOMINA!BP280,2)</f>
        <v>0</v>
      </c>
      <c r="Z301" s="986">
        <f t="shared" si="34"/>
        <v>30.62</v>
      </c>
      <c r="AA301" s="999">
        <f>ROUND(NOMINA!BK280,2)</f>
        <v>0</v>
      </c>
      <c r="AB301" s="866">
        <f t="shared" si="35"/>
        <v>124.24</v>
      </c>
    </row>
    <row r="302" spans="1:28" s="629" customFormat="1" ht="20.100000000000001" customHeight="1" thickBot="1">
      <c r="A302" s="770"/>
      <c r="B302" s="510">
        <f t="shared" ca="1" si="36"/>
        <v>239</v>
      </c>
      <c r="C302" s="980">
        <f>+NOMINA!C281</f>
        <v>25604733</v>
      </c>
      <c r="D302" s="981" t="str">
        <f>+NOMINA!D281</f>
        <v>Nava Carrillo Oriana Daniela</v>
      </c>
      <c r="E302" s="978" t="s">
        <v>4622</v>
      </c>
      <c r="F302" s="1006">
        <v>27853</v>
      </c>
      <c r="G302" s="978" t="s">
        <v>4620</v>
      </c>
      <c r="H302" s="1007">
        <f>+NOMINA!H281</f>
        <v>43754</v>
      </c>
      <c r="I302" s="984">
        <f>+NOMINA!I281</f>
        <v>5</v>
      </c>
      <c r="J302" s="985">
        <f>+NOMINA!J281</f>
        <v>0</v>
      </c>
      <c r="K302" s="984">
        <f t="shared" si="32"/>
        <v>5</v>
      </c>
      <c r="L302" s="985" t="s">
        <v>4932</v>
      </c>
      <c r="M302" s="985"/>
      <c r="N302" s="1002" t="str">
        <f>+NOMINA!O281</f>
        <v>Entrenador Deportivo II</v>
      </c>
      <c r="O302" s="999">
        <f>ROUND(NOMINA!W281,2)</f>
        <v>75</v>
      </c>
      <c r="P302" s="999">
        <f>NOMINA!AF281</f>
        <v>3.75</v>
      </c>
      <c r="Q302" s="999">
        <f>NOMINA!AH281</f>
        <v>65</v>
      </c>
      <c r="R302" s="999">
        <f>NOMINA!AC281</f>
        <v>0</v>
      </c>
      <c r="S302" s="999">
        <f>NOMINA!AJ281</f>
        <v>0</v>
      </c>
      <c r="T302" s="986">
        <f t="shared" si="33"/>
        <v>0</v>
      </c>
      <c r="U302" s="999">
        <f>ROUND(NOMINA!BL281,2)</f>
        <v>10.62</v>
      </c>
      <c r="V302" s="999">
        <f>ROUND(NOMINA!BM281,2)</f>
        <v>1.33</v>
      </c>
      <c r="W302" s="999">
        <f>ROUND(+NOMINA!BN281,2)</f>
        <v>2.88</v>
      </c>
      <c r="X302" s="999">
        <f>ROUND(NOMINA!BO281,2)</f>
        <v>0</v>
      </c>
      <c r="Y302" s="999">
        <f>ROUND(NOMINA!BP281,2)</f>
        <v>0</v>
      </c>
      <c r="Z302" s="986">
        <f t="shared" si="34"/>
        <v>27.11</v>
      </c>
      <c r="AA302" s="999">
        <f>ROUND(NOMINA!BK281,2)</f>
        <v>0</v>
      </c>
      <c r="AB302" s="866">
        <f t="shared" si="35"/>
        <v>128.92000000000002</v>
      </c>
    </row>
    <row r="303" spans="1:28" s="629" customFormat="1" ht="20.100000000000001" customHeight="1" thickBot="1">
      <c r="A303" s="770"/>
      <c r="B303" s="510">
        <f t="shared" ca="1" si="36"/>
        <v>240</v>
      </c>
      <c r="C303" s="980">
        <f>+NOMINA!C282</f>
        <v>25619540</v>
      </c>
      <c r="D303" s="981" t="str">
        <f>+NOMINA!D282</f>
        <v xml:space="preserve">Balza Vetencourt Maria Gabriela </v>
      </c>
      <c r="E303" s="978" t="s">
        <v>4622</v>
      </c>
      <c r="F303" s="1006">
        <v>27853</v>
      </c>
      <c r="G303" s="978" t="s">
        <v>4620</v>
      </c>
      <c r="H303" s="1007">
        <f>+NOMINA!H282</f>
        <v>44743</v>
      </c>
      <c r="I303" s="984">
        <f>+NOMINA!I282</f>
        <v>2</v>
      </c>
      <c r="J303" s="985">
        <f>+NOMINA!J282</f>
        <v>0</v>
      </c>
      <c r="K303" s="984">
        <f t="shared" si="32"/>
        <v>2</v>
      </c>
      <c r="L303" s="985" t="s">
        <v>4932</v>
      </c>
      <c r="M303" s="985"/>
      <c r="N303" s="1002" t="str">
        <f>+NOMINA!O282</f>
        <v>Guia de Centro I</v>
      </c>
      <c r="O303" s="999">
        <f>ROUND(NOMINA!W282,2)</f>
        <v>65</v>
      </c>
      <c r="P303" s="999">
        <f>NOMINA!AF282</f>
        <v>1.3</v>
      </c>
      <c r="Q303" s="999">
        <f>NOMINA!AH282</f>
        <v>65</v>
      </c>
      <c r="R303" s="999">
        <f>NOMINA!AC282</f>
        <v>25</v>
      </c>
      <c r="S303" s="999">
        <f>NOMINA!AJ282</f>
        <v>0</v>
      </c>
      <c r="T303" s="986">
        <f t="shared" si="33"/>
        <v>106.44999999999999</v>
      </c>
      <c r="U303" s="999">
        <f>ROUND(NOMINA!BL282,2)</f>
        <v>13.8</v>
      </c>
      <c r="V303" s="999">
        <f>ROUND(NOMINA!BM282,2)</f>
        <v>1.73</v>
      </c>
      <c r="W303" s="999">
        <f>ROUND(+NOMINA!BN282,2)</f>
        <v>3.74</v>
      </c>
      <c r="X303" s="999">
        <f>ROUND(NOMINA!BO282,2)</f>
        <v>0</v>
      </c>
      <c r="Y303" s="999">
        <f>ROUND(NOMINA!BP282,2)</f>
        <v>0</v>
      </c>
      <c r="Z303" s="986">
        <f t="shared" si="34"/>
        <v>28.55</v>
      </c>
      <c r="AA303" s="999">
        <f>ROUND(NOMINA!BK282,2)</f>
        <v>0</v>
      </c>
      <c r="AB303" s="866">
        <f t="shared" si="35"/>
        <v>137.03</v>
      </c>
    </row>
    <row r="304" spans="1:28" s="629" customFormat="1" ht="20.100000000000001" customHeight="1" thickBot="1">
      <c r="A304" s="770"/>
      <c r="B304" s="510">
        <f t="shared" ca="1" si="36"/>
        <v>241</v>
      </c>
      <c r="C304" s="980">
        <f>+NOMINA!C283</f>
        <v>26094609</v>
      </c>
      <c r="D304" s="981" t="str">
        <f>+NOMINA!D283</f>
        <v>Andara Moreno Marielena Nathaly</v>
      </c>
      <c r="E304" s="978" t="s">
        <v>4622</v>
      </c>
      <c r="F304" s="1006">
        <v>27853</v>
      </c>
      <c r="G304" s="978" t="s">
        <v>4620</v>
      </c>
      <c r="H304" s="1007">
        <f>+NOMINA!H283</f>
        <v>44713</v>
      </c>
      <c r="I304" s="984">
        <f>+NOMINA!I283</f>
        <v>2</v>
      </c>
      <c r="J304" s="985">
        <f>+NOMINA!J283</f>
        <v>0</v>
      </c>
      <c r="K304" s="984">
        <f t="shared" si="32"/>
        <v>2</v>
      </c>
      <c r="L304" s="985" t="s">
        <v>4932</v>
      </c>
      <c r="M304" s="985"/>
      <c r="N304" s="1002" t="str">
        <f>+NOMINA!O283</f>
        <v>Abogado I</v>
      </c>
      <c r="O304" s="999">
        <f>ROUND(NOMINA!W283,2)</f>
        <v>123</v>
      </c>
      <c r="P304" s="999">
        <f>NOMINA!AF283</f>
        <v>2.46</v>
      </c>
      <c r="Q304" s="999">
        <f>NOMINA!AH283</f>
        <v>65</v>
      </c>
      <c r="R304" s="999">
        <f>NOMINA!AC283</f>
        <v>0</v>
      </c>
      <c r="S304" s="999">
        <f>NOMINA!AJ283</f>
        <v>47.62</v>
      </c>
      <c r="T304" s="986">
        <f t="shared" si="33"/>
        <v>115.07999999999998</v>
      </c>
      <c r="U304" s="999">
        <f>ROUND(NOMINA!BL283,2)</f>
        <v>17.579999999999998</v>
      </c>
      <c r="V304" s="999">
        <f>ROUND(NOMINA!BM283,2)</f>
        <v>2.2000000000000002</v>
      </c>
      <c r="W304" s="999">
        <f>ROUND(+NOMINA!BN283,2)</f>
        <v>4.76</v>
      </c>
      <c r="X304" s="999">
        <f>ROUND(NOMINA!BO283,2)</f>
        <v>0</v>
      </c>
      <c r="Y304" s="999">
        <f>ROUND(NOMINA!BP283,2)</f>
        <v>0</v>
      </c>
      <c r="Z304" s="986">
        <f t="shared" si="34"/>
        <v>14.83</v>
      </c>
      <c r="AA304" s="999">
        <f>ROUND(NOMINA!BK283,2)</f>
        <v>0</v>
      </c>
      <c r="AB304" s="866">
        <f t="shared" si="35"/>
        <v>213.54</v>
      </c>
    </row>
    <row r="305" spans="1:28" s="629" customFormat="1" ht="20.100000000000001" customHeight="1" thickBot="1">
      <c r="A305" s="770"/>
      <c r="B305" s="510">
        <f t="shared" ca="1" si="36"/>
        <v>242</v>
      </c>
      <c r="C305" s="980">
        <f>+NOMINA!C284</f>
        <v>26094690</v>
      </c>
      <c r="D305" s="981" t="str">
        <f>+NOMINA!D284</f>
        <v>Fernandez Romero Numa Manuel</v>
      </c>
      <c r="E305" s="978" t="s">
        <v>4622</v>
      </c>
      <c r="F305" s="1006">
        <v>27853</v>
      </c>
      <c r="G305" s="978" t="s">
        <v>4620</v>
      </c>
      <c r="H305" s="1007">
        <f>+NOMINA!H284</f>
        <v>45017</v>
      </c>
      <c r="I305" s="984">
        <f>+NOMINA!I284</f>
        <v>1</v>
      </c>
      <c r="J305" s="985">
        <f>+NOMINA!J284</f>
        <v>0</v>
      </c>
      <c r="K305" s="984">
        <f t="shared" si="32"/>
        <v>1</v>
      </c>
      <c r="L305" s="985" t="s">
        <v>4932</v>
      </c>
      <c r="M305" s="985"/>
      <c r="N305" s="1002" t="str">
        <f>+NOMINA!O284</f>
        <v>Guia de Centro I</v>
      </c>
      <c r="O305" s="999">
        <f>ROUND(NOMINA!W284,2)</f>
        <v>65</v>
      </c>
      <c r="P305" s="999">
        <f>NOMINA!AF284</f>
        <v>0.65</v>
      </c>
      <c r="Q305" s="999">
        <f>NOMINA!AH284</f>
        <v>65</v>
      </c>
      <c r="R305" s="999">
        <f>NOMINA!AC284</f>
        <v>25</v>
      </c>
      <c r="S305" s="999">
        <f>NOMINA!AJ284</f>
        <v>0</v>
      </c>
      <c r="T305" s="986">
        <f t="shared" si="33"/>
        <v>67.25</v>
      </c>
      <c r="U305" s="999">
        <f>ROUND(NOMINA!BL284,2)</f>
        <v>13.74</v>
      </c>
      <c r="V305" s="999">
        <f>ROUND(NOMINA!BM284,2)</f>
        <v>1.72</v>
      </c>
      <c r="W305" s="999">
        <f>ROUND(+NOMINA!BN284,2)</f>
        <v>3.72</v>
      </c>
      <c r="X305" s="999">
        <f>ROUND(NOMINA!BO284,2)</f>
        <v>0</v>
      </c>
      <c r="Y305" s="999">
        <f>ROUND(NOMINA!BP284,2)</f>
        <v>0</v>
      </c>
      <c r="Z305" s="986">
        <f t="shared" si="34"/>
        <v>14.11</v>
      </c>
      <c r="AA305" s="999">
        <f>ROUND(NOMINA!BK284,2)</f>
        <v>0</v>
      </c>
      <c r="AB305" s="866">
        <f t="shared" si="35"/>
        <v>136.47</v>
      </c>
    </row>
    <row r="306" spans="1:28" s="629" customFormat="1" ht="20.100000000000001" customHeight="1" thickBot="1">
      <c r="A306" s="770"/>
      <c r="B306" s="510">
        <f t="shared" ca="1" si="36"/>
        <v>243</v>
      </c>
      <c r="C306" s="980">
        <f>+NOMINA!C285</f>
        <v>26114271</v>
      </c>
      <c r="D306" s="981" t="str">
        <f>+NOMINA!D285</f>
        <v>Moncayo Perez Ruddy Bellaliz</v>
      </c>
      <c r="E306" s="978" t="s">
        <v>4622</v>
      </c>
      <c r="F306" s="1006">
        <v>27853</v>
      </c>
      <c r="G306" s="978" t="s">
        <v>4620</v>
      </c>
      <c r="H306" s="1007">
        <f>+NOMINA!H285</f>
        <v>44636</v>
      </c>
      <c r="I306" s="984">
        <f>+NOMINA!I285</f>
        <v>2</v>
      </c>
      <c r="J306" s="985">
        <f>+NOMINA!J285</f>
        <v>0</v>
      </c>
      <c r="K306" s="984">
        <f t="shared" si="32"/>
        <v>2</v>
      </c>
      <c r="L306" s="985" t="s">
        <v>4932</v>
      </c>
      <c r="M306" s="985"/>
      <c r="N306" s="1002" t="str">
        <f>+NOMINA!O285</f>
        <v>Abogado I</v>
      </c>
      <c r="O306" s="999">
        <f>ROUND(NOMINA!W285,2)</f>
        <v>123</v>
      </c>
      <c r="P306" s="999">
        <f>NOMINA!AF285</f>
        <v>2.46</v>
      </c>
      <c r="Q306" s="999">
        <f>NOMINA!AH285</f>
        <v>65</v>
      </c>
      <c r="R306" s="999">
        <f>NOMINA!AC285</f>
        <v>0</v>
      </c>
      <c r="S306" s="999">
        <f>NOMINA!AJ285</f>
        <v>47.62</v>
      </c>
      <c r="T306" s="986">
        <f t="shared" si="33"/>
        <v>0</v>
      </c>
      <c r="U306" s="999">
        <f>ROUND(NOMINA!BL285,2)</f>
        <v>17.579999999999998</v>
      </c>
      <c r="V306" s="999">
        <f>ROUND(NOMINA!BM285,2)</f>
        <v>2.2000000000000002</v>
      </c>
      <c r="W306" s="999">
        <f>ROUND(+NOMINA!BN285,2)</f>
        <v>4.76</v>
      </c>
      <c r="X306" s="999">
        <f>ROUND(NOMINA!BO285,2)</f>
        <v>0</v>
      </c>
      <c r="Y306" s="999">
        <f>ROUND(NOMINA!BP285,2)</f>
        <v>0</v>
      </c>
      <c r="Z306" s="986">
        <f t="shared" si="34"/>
        <v>14.66</v>
      </c>
      <c r="AA306" s="999">
        <f>ROUND(NOMINA!BK285,2)</f>
        <v>0</v>
      </c>
      <c r="AB306" s="866">
        <f t="shared" si="35"/>
        <v>213.54</v>
      </c>
    </row>
    <row r="307" spans="1:28" s="629" customFormat="1" ht="20.100000000000001" customHeight="1" thickBot="1">
      <c r="A307" s="770"/>
      <c r="B307" s="510">
        <f t="shared" ca="1" si="36"/>
        <v>244</v>
      </c>
      <c r="C307" s="980">
        <f>+NOMINA!C286</f>
        <v>26191823</v>
      </c>
      <c r="D307" s="981" t="str">
        <f>+NOMINA!D286</f>
        <v>Briceño Espinoza Brayhan Jose</v>
      </c>
      <c r="E307" s="978" t="s">
        <v>4622</v>
      </c>
      <c r="F307" s="1006">
        <v>27853</v>
      </c>
      <c r="G307" s="978" t="s">
        <v>4620</v>
      </c>
      <c r="H307" s="1007">
        <f>+NOMINA!H286</f>
        <v>44470</v>
      </c>
      <c r="I307" s="984">
        <f>+NOMINA!I286</f>
        <v>3</v>
      </c>
      <c r="J307" s="985">
        <f>+NOMINA!J286</f>
        <v>0</v>
      </c>
      <c r="K307" s="984">
        <f t="shared" si="32"/>
        <v>3</v>
      </c>
      <c r="L307" s="985" t="s">
        <v>4932</v>
      </c>
      <c r="M307" s="985"/>
      <c r="N307" s="1002" t="str">
        <f>+NOMINA!O286</f>
        <v>Abogado II</v>
      </c>
      <c r="O307" s="999">
        <f>ROUND(NOMINA!W286,2)</f>
        <v>138.5</v>
      </c>
      <c r="P307" s="999">
        <f>NOMINA!AF286</f>
        <v>4.16</v>
      </c>
      <c r="Q307" s="999">
        <f>NOMINA!AH286</f>
        <v>65</v>
      </c>
      <c r="R307" s="999">
        <f>NOMINA!AC286</f>
        <v>0</v>
      </c>
      <c r="S307" s="999">
        <f>NOMINA!AJ286</f>
        <v>51.92</v>
      </c>
      <c r="T307" s="986">
        <f t="shared" si="33"/>
        <v>92.25</v>
      </c>
      <c r="U307" s="999">
        <f>ROUND(NOMINA!BL286,2)</f>
        <v>19.170000000000002</v>
      </c>
      <c r="V307" s="999">
        <f>ROUND(NOMINA!BM286,2)</f>
        <v>2.4</v>
      </c>
      <c r="W307" s="999">
        <f>ROUND(+NOMINA!BN286,2)</f>
        <v>5.19</v>
      </c>
      <c r="X307" s="999">
        <f>ROUND(NOMINA!BO286,2)</f>
        <v>0</v>
      </c>
      <c r="Y307" s="999">
        <f>ROUND(NOMINA!BP286,2)</f>
        <v>0</v>
      </c>
      <c r="Z307" s="986">
        <f t="shared" si="34"/>
        <v>24.22</v>
      </c>
      <c r="AA307" s="999">
        <f>ROUND(NOMINA!BK286,2)</f>
        <v>0</v>
      </c>
      <c r="AB307" s="866">
        <f t="shared" si="35"/>
        <v>232.82</v>
      </c>
    </row>
    <row r="308" spans="1:28" s="629" customFormat="1" ht="20.100000000000001" customHeight="1" thickBot="1">
      <c r="A308" s="770"/>
      <c r="B308" s="510">
        <f t="shared" ca="1" si="36"/>
        <v>245</v>
      </c>
      <c r="C308" s="980">
        <f>+NOMINA!C287</f>
        <v>26235963</v>
      </c>
      <c r="D308" s="981" t="str">
        <f>+NOMINA!D287</f>
        <v>Segovia Segovia Freylu Margarita</v>
      </c>
      <c r="E308" s="978" t="s">
        <v>4622</v>
      </c>
      <c r="F308" s="1006">
        <v>27853</v>
      </c>
      <c r="G308" s="978" t="s">
        <v>4620</v>
      </c>
      <c r="H308" s="1007">
        <f>+NOMINA!H287</f>
        <v>45383</v>
      </c>
      <c r="I308" s="984">
        <f>+NOMINA!I287</f>
        <v>0</v>
      </c>
      <c r="J308" s="985">
        <f>+NOMINA!J287</f>
        <v>0</v>
      </c>
      <c r="K308" s="984">
        <f t="shared" si="32"/>
        <v>0</v>
      </c>
      <c r="L308" s="985" t="s">
        <v>4932</v>
      </c>
      <c r="M308" s="985"/>
      <c r="N308" s="1002" t="str">
        <f>+NOMINA!O287</f>
        <v>Psicologo I</v>
      </c>
      <c r="O308" s="999">
        <f>ROUND(NOMINA!W287,2)</f>
        <v>123</v>
      </c>
      <c r="P308" s="999">
        <f>NOMINA!AF287</f>
        <v>0</v>
      </c>
      <c r="Q308" s="999">
        <f>NOMINA!AH287</f>
        <v>65</v>
      </c>
      <c r="R308" s="999">
        <f>NOMINA!AC287</f>
        <v>12.5</v>
      </c>
      <c r="S308" s="999">
        <f>NOMINA!AJ287</f>
        <v>48.57</v>
      </c>
      <c r="T308" s="986">
        <f t="shared" si="33"/>
        <v>154.64000000000001</v>
      </c>
      <c r="U308" s="999">
        <f>ROUND(NOMINA!BL287,2)</f>
        <v>17.93</v>
      </c>
      <c r="V308" s="999">
        <f>ROUND(NOMINA!BM287,2)</f>
        <v>2.2400000000000002</v>
      </c>
      <c r="W308" s="999">
        <f>ROUND(+NOMINA!BN287,2)</f>
        <v>4.8600000000000003</v>
      </c>
      <c r="X308" s="999">
        <f>ROUND(NOMINA!BO287,2)</f>
        <v>0</v>
      </c>
      <c r="Y308" s="999">
        <f>ROUND(NOMINA!BP287,2)</f>
        <v>0</v>
      </c>
      <c r="Z308" s="986">
        <f t="shared" si="34"/>
        <v>18.690000000000001</v>
      </c>
      <c r="AA308" s="999">
        <f>ROUND(NOMINA!BK287,2)</f>
        <v>0</v>
      </c>
      <c r="AB308" s="866">
        <f t="shared" si="35"/>
        <v>224.04</v>
      </c>
    </row>
    <row r="309" spans="1:28" s="629" customFormat="1" ht="20.100000000000001" customHeight="1" thickBot="1">
      <c r="A309" s="770"/>
      <c r="B309" s="510">
        <f t="shared" ca="1" si="36"/>
        <v>246</v>
      </c>
      <c r="C309" s="980">
        <f>+NOMINA!C288</f>
        <v>26413871</v>
      </c>
      <c r="D309" s="981" t="str">
        <f>+NOMINA!D288</f>
        <v>Molina Rojas Genesis Angely</v>
      </c>
      <c r="E309" s="978" t="s">
        <v>4622</v>
      </c>
      <c r="F309" s="1006">
        <v>27853</v>
      </c>
      <c r="G309" s="978" t="s">
        <v>4620</v>
      </c>
      <c r="H309" s="1007">
        <f>+NOMINA!H288</f>
        <v>44228</v>
      </c>
      <c r="I309" s="984">
        <f>+NOMINA!I288</f>
        <v>3</v>
      </c>
      <c r="J309" s="985">
        <f>+NOMINA!J288</f>
        <v>0</v>
      </c>
      <c r="K309" s="984">
        <f t="shared" si="32"/>
        <v>3</v>
      </c>
      <c r="L309" s="985" t="s">
        <v>4932</v>
      </c>
      <c r="M309" s="985"/>
      <c r="N309" s="1002" t="str">
        <f>+NOMINA!O288</f>
        <v>Guia de Centro I</v>
      </c>
      <c r="O309" s="999">
        <f>ROUND(NOMINA!W288,2)</f>
        <v>75</v>
      </c>
      <c r="P309" s="999">
        <f>NOMINA!AF288</f>
        <v>2.25</v>
      </c>
      <c r="Q309" s="999">
        <f>NOMINA!AH288</f>
        <v>65</v>
      </c>
      <c r="R309" s="999">
        <f>NOMINA!AC288</f>
        <v>25</v>
      </c>
      <c r="S309" s="999">
        <f>NOMINA!AJ288</f>
        <v>0</v>
      </c>
      <c r="T309" s="986">
        <f t="shared" si="33"/>
        <v>124.54</v>
      </c>
      <c r="U309" s="999">
        <f>ROUND(NOMINA!BL288,2)</f>
        <v>14.86</v>
      </c>
      <c r="V309" s="999">
        <f>ROUND(NOMINA!BM288,2)</f>
        <v>1.86</v>
      </c>
      <c r="W309" s="999">
        <f>ROUND(+NOMINA!BN288,2)</f>
        <v>4.0199999999999996</v>
      </c>
      <c r="X309" s="999">
        <f>ROUND(NOMINA!BO288,2)</f>
        <v>0</v>
      </c>
      <c r="Y309" s="999">
        <f>ROUND(NOMINA!BP288,2)</f>
        <v>0</v>
      </c>
      <c r="Z309" s="986">
        <f t="shared" si="34"/>
        <v>0</v>
      </c>
      <c r="AA309" s="999">
        <f>ROUND(NOMINA!BK288,2)</f>
        <v>0</v>
      </c>
      <c r="AB309" s="866">
        <f t="shared" si="35"/>
        <v>146.51</v>
      </c>
    </row>
    <row r="310" spans="1:28" s="629" customFormat="1" ht="20.100000000000001" customHeight="1" thickBot="1">
      <c r="A310" s="770"/>
      <c r="B310" s="510">
        <f t="shared" ca="1" si="36"/>
        <v>247</v>
      </c>
      <c r="C310" s="980">
        <f>+NOMINA!C289</f>
        <v>26591879</v>
      </c>
      <c r="D310" s="981" t="str">
        <f>+NOMINA!D289</f>
        <v>Delgado Cabezas Rosa Magdalena</v>
      </c>
      <c r="E310" s="978" t="s">
        <v>4622</v>
      </c>
      <c r="F310" s="1006">
        <v>27853</v>
      </c>
      <c r="G310" s="978" t="s">
        <v>4620</v>
      </c>
      <c r="H310" s="1007">
        <f>+NOMINA!H289</f>
        <v>43587</v>
      </c>
      <c r="I310" s="984">
        <f>+NOMINA!I289</f>
        <v>5</v>
      </c>
      <c r="J310" s="985">
        <f>+NOMINA!J289</f>
        <v>0</v>
      </c>
      <c r="K310" s="984">
        <f t="shared" si="32"/>
        <v>5</v>
      </c>
      <c r="L310" s="985" t="s">
        <v>4932</v>
      </c>
      <c r="M310" s="985"/>
      <c r="N310" s="1002" t="str">
        <f>+NOMINA!O289</f>
        <v>Psicologo II</v>
      </c>
      <c r="O310" s="999">
        <f>ROUND(NOMINA!W289,2)</f>
        <v>138.5</v>
      </c>
      <c r="P310" s="999">
        <f>NOMINA!AF289</f>
        <v>6.93</v>
      </c>
      <c r="Q310" s="999">
        <f>NOMINA!AH289</f>
        <v>65</v>
      </c>
      <c r="R310" s="999">
        <f>NOMINA!AC289</f>
        <v>12.5</v>
      </c>
      <c r="S310" s="999">
        <f>NOMINA!AJ289</f>
        <v>54.17</v>
      </c>
      <c r="T310" s="986">
        <f t="shared" si="33"/>
        <v>150.93</v>
      </c>
      <c r="U310" s="999">
        <f>ROUND(NOMINA!BL289,2)</f>
        <v>20</v>
      </c>
      <c r="V310" s="999">
        <f>ROUND(NOMINA!BM289,2)</f>
        <v>2.5</v>
      </c>
      <c r="W310" s="999">
        <f>ROUND(+NOMINA!BN289,2)</f>
        <v>5.42</v>
      </c>
      <c r="X310" s="999">
        <f>ROUND(NOMINA!BO289,2)</f>
        <v>0</v>
      </c>
      <c r="Y310" s="999">
        <f>ROUND(NOMINA!BP289,2)</f>
        <v>0</v>
      </c>
      <c r="Z310" s="986">
        <f t="shared" si="34"/>
        <v>20.100000000000001</v>
      </c>
      <c r="AA310" s="999">
        <f>ROUND(NOMINA!BK289,2)</f>
        <v>0</v>
      </c>
      <c r="AB310" s="866">
        <f t="shared" si="35"/>
        <v>249.18</v>
      </c>
    </row>
    <row r="311" spans="1:28" s="629" customFormat="1" ht="20.100000000000001" customHeight="1" thickBot="1">
      <c r="A311" s="770"/>
      <c r="B311" s="510">
        <f t="shared" ca="1" si="36"/>
        <v>248</v>
      </c>
      <c r="C311" s="980">
        <f>+NOMINA!C290</f>
        <v>26690908</v>
      </c>
      <c r="D311" s="981" t="str">
        <f>+NOMINA!D290</f>
        <v>Segovia Lisbeira del Carmen</v>
      </c>
      <c r="E311" s="978" t="s">
        <v>4622</v>
      </c>
      <c r="F311" s="1006">
        <v>27853</v>
      </c>
      <c r="G311" s="978" t="s">
        <v>4620</v>
      </c>
      <c r="H311" s="1007">
        <f>+NOMINA!H290</f>
        <v>44228</v>
      </c>
      <c r="I311" s="984">
        <f>+NOMINA!I290</f>
        <v>3</v>
      </c>
      <c r="J311" s="985">
        <f>+NOMINA!J290</f>
        <v>0</v>
      </c>
      <c r="K311" s="984">
        <f t="shared" si="32"/>
        <v>3</v>
      </c>
      <c r="L311" s="985" t="s">
        <v>4932</v>
      </c>
      <c r="M311" s="985"/>
      <c r="N311" s="1002" t="str">
        <f>+NOMINA!O290</f>
        <v>Guia de Centro I</v>
      </c>
      <c r="O311" s="999">
        <f>ROUND(NOMINA!W290,2)</f>
        <v>75</v>
      </c>
      <c r="P311" s="999">
        <f>NOMINA!AF290</f>
        <v>2.25</v>
      </c>
      <c r="Q311" s="999">
        <f>NOMINA!AH290</f>
        <v>65</v>
      </c>
      <c r="R311" s="999">
        <f>NOMINA!AC290</f>
        <v>12.5</v>
      </c>
      <c r="S311" s="999">
        <f>NOMINA!AJ290</f>
        <v>0</v>
      </c>
      <c r="T311" s="986">
        <f t="shared" si="33"/>
        <v>91.3</v>
      </c>
      <c r="U311" s="999">
        <f>ROUND(NOMINA!BL290,2)</f>
        <v>14.26</v>
      </c>
      <c r="V311" s="999">
        <f>ROUND(NOMINA!BM290,2)</f>
        <v>1.78</v>
      </c>
      <c r="W311" s="999">
        <f>ROUND(+NOMINA!BN290,2)</f>
        <v>3.86</v>
      </c>
      <c r="X311" s="999">
        <f>ROUND(NOMINA!BO290,2)</f>
        <v>0</v>
      </c>
      <c r="Y311" s="999">
        <f>ROUND(NOMINA!BP290,2)</f>
        <v>0</v>
      </c>
      <c r="Z311" s="986">
        <f t="shared" si="34"/>
        <v>21.91</v>
      </c>
      <c r="AA311" s="999">
        <f>ROUND(NOMINA!BK290,2)</f>
        <v>0</v>
      </c>
      <c r="AB311" s="866">
        <f t="shared" si="35"/>
        <v>134.85</v>
      </c>
    </row>
    <row r="312" spans="1:28" s="629" customFormat="1" ht="20.100000000000001" customHeight="1" thickBot="1">
      <c r="A312" s="770"/>
      <c r="B312" s="510">
        <f t="shared" ca="1" si="36"/>
        <v>249</v>
      </c>
      <c r="C312" s="980">
        <f>+NOMINA!C291</f>
        <v>26962104</v>
      </c>
      <c r="D312" s="981" t="str">
        <f>+NOMINA!D291</f>
        <v>Rubio Briceño Diana Carolina</v>
      </c>
      <c r="E312" s="978" t="s">
        <v>4622</v>
      </c>
      <c r="F312" s="1006">
        <v>27853</v>
      </c>
      <c r="G312" s="978" t="s">
        <v>4620</v>
      </c>
      <c r="H312" s="1007">
        <f>+NOMINA!H291</f>
        <v>44393</v>
      </c>
      <c r="I312" s="984">
        <f>+NOMINA!I291</f>
        <v>3</v>
      </c>
      <c r="J312" s="985">
        <f>+NOMINA!J291</f>
        <v>0</v>
      </c>
      <c r="K312" s="984">
        <f t="shared" si="32"/>
        <v>3</v>
      </c>
      <c r="L312" s="985" t="s">
        <v>4932</v>
      </c>
      <c r="M312" s="985"/>
      <c r="N312" s="1002" t="str">
        <f>+NOMINA!O291</f>
        <v>Asistente Administrativo II</v>
      </c>
      <c r="O312" s="999">
        <f>ROUND(NOMINA!W291,2)</f>
        <v>75</v>
      </c>
      <c r="P312" s="999">
        <f>NOMINA!AF291</f>
        <v>2.25</v>
      </c>
      <c r="Q312" s="999">
        <f>NOMINA!AH291</f>
        <v>65</v>
      </c>
      <c r="R312" s="999">
        <f>NOMINA!AC291</f>
        <v>12.5</v>
      </c>
      <c r="S312" s="999">
        <f>NOMINA!AJ291</f>
        <v>0</v>
      </c>
      <c r="T312" s="986">
        <f t="shared" si="33"/>
        <v>78.150000000000006</v>
      </c>
      <c r="U312" s="999">
        <f>ROUND(NOMINA!BL291,2)</f>
        <v>10.97</v>
      </c>
      <c r="V312" s="999">
        <f>ROUND(NOMINA!BM291,2)</f>
        <v>1.37</v>
      </c>
      <c r="W312" s="999">
        <f>ROUND(+NOMINA!BN291,2)</f>
        <v>2.97</v>
      </c>
      <c r="X312" s="999">
        <f>ROUND(NOMINA!BO291,2)</f>
        <v>0</v>
      </c>
      <c r="Y312" s="999">
        <f>ROUND(NOMINA!BP291,2)</f>
        <v>0</v>
      </c>
      <c r="Z312" s="986">
        <f t="shared" si="34"/>
        <v>28.34</v>
      </c>
      <c r="AA312" s="999">
        <f>ROUND(NOMINA!BK291,2)</f>
        <v>0</v>
      </c>
      <c r="AB312" s="866">
        <f t="shared" si="35"/>
        <v>139.44</v>
      </c>
    </row>
    <row r="313" spans="1:28" s="629" customFormat="1" ht="20.100000000000001" customHeight="1" thickBot="1">
      <c r="A313" s="770"/>
      <c r="B313" s="510">
        <f t="shared" ca="1" si="36"/>
        <v>250</v>
      </c>
      <c r="C313" s="980">
        <f>+NOMINA!C292</f>
        <v>27251392</v>
      </c>
      <c r="D313" s="981" t="str">
        <f>+NOMINA!D292</f>
        <v>Rangel Maria Antonia</v>
      </c>
      <c r="E313" s="978" t="s">
        <v>4622</v>
      </c>
      <c r="F313" s="1006">
        <v>27853</v>
      </c>
      <c r="G313" s="978" t="s">
        <v>4620</v>
      </c>
      <c r="H313" s="1007">
        <f>+NOMINA!H292</f>
        <v>45627</v>
      </c>
      <c r="I313" s="984">
        <f>+NOMINA!I292</f>
        <v>0</v>
      </c>
      <c r="J313" s="985">
        <f>+NOMINA!J292</f>
        <v>0</v>
      </c>
      <c r="K313" s="984">
        <f t="shared" si="32"/>
        <v>0</v>
      </c>
      <c r="L313" s="985" t="s">
        <v>4932</v>
      </c>
      <c r="M313" s="985"/>
      <c r="N313" s="1002" t="str">
        <f>+NOMINA!O292</f>
        <v>Guia de Centro I</v>
      </c>
      <c r="O313" s="999">
        <f>ROUND(NOMINA!W292,2)</f>
        <v>65</v>
      </c>
      <c r="P313" s="999">
        <f>NOMINA!AF292</f>
        <v>0</v>
      </c>
      <c r="Q313" s="999">
        <f>NOMINA!AH292</f>
        <v>65</v>
      </c>
      <c r="R313" s="999">
        <f>NOMINA!AC292</f>
        <v>12.5</v>
      </c>
      <c r="S313" s="999">
        <f>NOMINA!AJ292</f>
        <v>0</v>
      </c>
      <c r="T313" s="986">
        <f t="shared" si="33"/>
        <v>67.25</v>
      </c>
      <c r="U313" s="999">
        <f>ROUND(NOMINA!BL292,2)</f>
        <v>13.08</v>
      </c>
      <c r="V313" s="999">
        <f>ROUND(NOMINA!BM292,2)</f>
        <v>1.64</v>
      </c>
      <c r="W313" s="999">
        <f>ROUND(+NOMINA!BN292,2)</f>
        <v>3.54</v>
      </c>
      <c r="X313" s="999">
        <f>ROUND(NOMINA!BO292,2)</f>
        <v>0</v>
      </c>
      <c r="Y313" s="999">
        <f>ROUND(NOMINA!BP292,2)</f>
        <v>0</v>
      </c>
      <c r="Z313" s="986">
        <f t="shared" si="34"/>
        <v>25.03</v>
      </c>
      <c r="AA313" s="999">
        <f>ROUND(NOMINA!BK292,2)</f>
        <v>0</v>
      </c>
      <c r="AB313" s="866">
        <f t="shared" si="35"/>
        <v>124.24</v>
      </c>
    </row>
    <row r="314" spans="1:28" s="629" customFormat="1" ht="20.100000000000001" customHeight="1" thickBot="1">
      <c r="A314" s="770"/>
      <c r="B314" s="510">
        <f t="shared" ca="1" si="36"/>
        <v>251</v>
      </c>
      <c r="C314" s="980">
        <f>+NOMINA!C293</f>
        <v>27251885</v>
      </c>
      <c r="D314" s="981" t="str">
        <f>+NOMINA!D293</f>
        <v>Barrozo Godoy Kellem Daniela</v>
      </c>
      <c r="E314" s="978" t="s">
        <v>4622</v>
      </c>
      <c r="F314" s="1006">
        <v>27853</v>
      </c>
      <c r="G314" s="978" t="s">
        <v>4620</v>
      </c>
      <c r="H314" s="1007">
        <f>+NOMINA!H293</f>
        <v>45474</v>
      </c>
      <c r="I314" s="984">
        <f>+NOMINA!I293</f>
        <v>0</v>
      </c>
      <c r="J314" s="985">
        <f>+NOMINA!J293</f>
        <v>0</v>
      </c>
      <c r="K314" s="984">
        <f t="shared" si="32"/>
        <v>0</v>
      </c>
      <c r="L314" s="985" t="s">
        <v>4932</v>
      </c>
      <c r="M314" s="985"/>
      <c r="N314" s="1002" t="str">
        <f>+NOMINA!O293</f>
        <v>Guia de Centro I</v>
      </c>
      <c r="O314" s="999">
        <f>ROUND(NOMINA!W293,2)</f>
        <v>65</v>
      </c>
      <c r="P314" s="999">
        <f>NOMINA!AF293</f>
        <v>0</v>
      </c>
      <c r="Q314" s="999">
        <f>NOMINA!AH293</f>
        <v>65</v>
      </c>
      <c r="R314" s="999">
        <f>NOMINA!AC293</f>
        <v>12.5</v>
      </c>
      <c r="S314" s="999">
        <f>NOMINA!AJ293</f>
        <v>0</v>
      </c>
      <c r="T314" s="986">
        <f t="shared" si="33"/>
        <v>112</v>
      </c>
      <c r="U314" s="999">
        <f>ROUND(NOMINA!BL293,2)</f>
        <v>13.08</v>
      </c>
      <c r="V314" s="999">
        <f>ROUND(NOMINA!BM293,2)</f>
        <v>1.64</v>
      </c>
      <c r="W314" s="999">
        <f>ROUND(+NOMINA!BN293,2)</f>
        <v>3.54</v>
      </c>
      <c r="X314" s="999">
        <f>ROUND(NOMINA!BO293,2)</f>
        <v>0</v>
      </c>
      <c r="Y314" s="999">
        <f>ROUND(NOMINA!BP293,2)</f>
        <v>0</v>
      </c>
      <c r="Z314" s="986">
        <f t="shared" si="34"/>
        <v>19.899999999999999</v>
      </c>
      <c r="AA314" s="999">
        <f>ROUND(NOMINA!BK293,2)</f>
        <v>0</v>
      </c>
      <c r="AB314" s="866">
        <f t="shared" si="35"/>
        <v>124.24</v>
      </c>
    </row>
    <row r="315" spans="1:28" s="629" customFormat="1" ht="20.100000000000001" customHeight="1" thickBot="1">
      <c r="A315" s="770"/>
      <c r="B315" s="510">
        <f t="shared" ca="1" si="36"/>
        <v>252</v>
      </c>
      <c r="C315" s="980">
        <f>+NOMINA!C294</f>
        <v>27251899</v>
      </c>
      <c r="D315" s="981" t="str">
        <f>+NOMINA!D294</f>
        <v>Perez Gonzalez Maria Ines</v>
      </c>
      <c r="E315" s="978" t="s">
        <v>4622</v>
      </c>
      <c r="F315" s="1006">
        <v>27853</v>
      </c>
      <c r="G315" s="978" t="s">
        <v>4620</v>
      </c>
      <c r="H315" s="1007">
        <f>+NOMINA!H294</f>
        <v>45474</v>
      </c>
      <c r="I315" s="984">
        <f>+NOMINA!I294</f>
        <v>0</v>
      </c>
      <c r="J315" s="985">
        <f>+NOMINA!J294</f>
        <v>0</v>
      </c>
      <c r="K315" s="984">
        <f t="shared" si="32"/>
        <v>0</v>
      </c>
      <c r="L315" s="985" t="s">
        <v>4932</v>
      </c>
      <c r="M315" s="985"/>
      <c r="N315" s="1002" t="str">
        <f>+NOMINA!O294</f>
        <v>Guia de Centro I</v>
      </c>
      <c r="O315" s="999">
        <f>ROUND(NOMINA!W294,2)</f>
        <v>65</v>
      </c>
      <c r="P315" s="999">
        <f>NOMINA!AF294</f>
        <v>0</v>
      </c>
      <c r="Q315" s="999">
        <f>NOMINA!AH294</f>
        <v>65</v>
      </c>
      <c r="R315" s="999">
        <f>NOMINA!AC294</f>
        <v>12.5</v>
      </c>
      <c r="S315" s="999">
        <f>NOMINA!AJ294</f>
        <v>0</v>
      </c>
      <c r="T315" s="986">
        <f t="shared" si="33"/>
        <v>80.75</v>
      </c>
      <c r="U315" s="999">
        <f>ROUND(NOMINA!BL294,2)</f>
        <v>13.08</v>
      </c>
      <c r="V315" s="999">
        <f>ROUND(NOMINA!BM294,2)</f>
        <v>1.64</v>
      </c>
      <c r="W315" s="999">
        <f>ROUND(+NOMINA!BN294,2)</f>
        <v>3.54</v>
      </c>
      <c r="X315" s="999">
        <f>ROUND(NOMINA!BO294,2)</f>
        <v>0</v>
      </c>
      <c r="Y315" s="999">
        <f>ROUND(NOMINA!BP294,2)</f>
        <v>0</v>
      </c>
      <c r="Z315" s="986">
        <f t="shared" si="34"/>
        <v>20.84</v>
      </c>
      <c r="AA315" s="999">
        <f>ROUND(NOMINA!BK294,2)</f>
        <v>0</v>
      </c>
      <c r="AB315" s="866">
        <f t="shared" si="35"/>
        <v>124.24</v>
      </c>
    </row>
    <row r="316" spans="1:28" s="629" customFormat="1" ht="20.100000000000001" customHeight="1" thickBot="1">
      <c r="A316" s="770"/>
      <c r="B316" s="510">
        <f t="shared" ca="1" si="36"/>
        <v>253</v>
      </c>
      <c r="C316" s="980">
        <f>+NOMINA!C295</f>
        <v>27363633</v>
      </c>
      <c r="D316" s="981" t="str">
        <f>+NOMINA!D295</f>
        <v>Padilla Blanco Melany Marian</v>
      </c>
      <c r="E316" s="978" t="s">
        <v>4622</v>
      </c>
      <c r="F316" s="1006">
        <v>27853</v>
      </c>
      <c r="G316" s="978" t="s">
        <v>4620</v>
      </c>
      <c r="H316" s="1007">
        <f>+NOMINA!H295</f>
        <v>45627</v>
      </c>
      <c r="I316" s="984">
        <f>+NOMINA!I295</f>
        <v>0</v>
      </c>
      <c r="J316" s="985">
        <f>+NOMINA!J295</f>
        <v>0</v>
      </c>
      <c r="K316" s="984">
        <f t="shared" si="32"/>
        <v>0</v>
      </c>
      <c r="L316" s="985" t="s">
        <v>4932</v>
      </c>
      <c r="M316" s="985"/>
      <c r="N316" s="1002" t="str">
        <f>+NOMINA!O295</f>
        <v>Guia de Centro I</v>
      </c>
      <c r="O316" s="999">
        <f>ROUND(NOMINA!W295,2)</f>
        <v>65</v>
      </c>
      <c r="P316" s="999">
        <f>NOMINA!AF295</f>
        <v>0</v>
      </c>
      <c r="Q316" s="999">
        <f>NOMINA!AH295</f>
        <v>65</v>
      </c>
      <c r="R316" s="999">
        <f>NOMINA!AC295</f>
        <v>0</v>
      </c>
      <c r="S316" s="999">
        <f>NOMINA!AJ295</f>
        <v>0</v>
      </c>
      <c r="T316" s="986">
        <f t="shared" si="33"/>
        <v>0</v>
      </c>
      <c r="U316" s="999">
        <f>ROUND(NOMINA!BL295,2)</f>
        <v>12.48</v>
      </c>
      <c r="V316" s="999">
        <f>ROUND(NOMINA!BM295,2)</f>
        <v>1.56</v>
      </c>
      <c r="W316" s="999">
        <f>ROUND(+NOMINA!BN295,2)</f>
        <v>3.38</v>
      </c>
      <c r="X316" s="999">
        <f>ROUND(NOMINA!BO295,2)</f>
        <v>0</v>
      </c>
      <c r="Y316" s="999">
        <f>ROUND(NOMINA!BP295,2)</f>
        <v>0</v>
      </c>
      <c r="Z316" s="986">
        <f t="shared" si="34"/>
        <v>18.260000000000002</v>
      </c>
      <c r="AA316" s="999">
        <f>ROUND(NOMINA!BK295,2)</f>
        <v>0</v>
      </c>
      <c r="AB316" s="866">
        <f t="shared" si="35"/>
        <v>112.58</v>
      </c>
    </row>
    <row r="317" spans="1:28" s="629" customFormat="1" ht="20.100000000000001" customHeight="1" thickBot="1">
      <c r="A317" s="770"/>
      <c r="B317" s="510">
        <f t="shared" ca="1" si="36"/>
        <v>254</v>
      </c>
      <c r="C317" s="980">
        <f>+NOMINA!C296</f>
        <v>27415737</v>
      </c>
      <c r="D317" s="981" t="str">
        <f>+NOMINA!D296</f>
        <v>Rivas Torres Rosa Alba</v>
      </c>
      <c r="E317" s="978" t="s">
        <v>4622</v>
      </c>
      <c r="F317" s="1006">
        <v>27853</v>
      </c>
      <c r="G317" s="978" t="s">
        <v>4620</v>
      </c>
      <c r="H317" s="1007">
        <f>+NOMINA!H296</f>
        <v>44363</v>
      </c>
      <c r="I317" s="984">
        <f>+NOMINA!I296</f>
        <v>3</v>
      </c>
      <c r="J317" s="985">
        <f>+NOMINA!J296</f>
        <v>0</v>
      </c>
      <c r="K317" s="984">
        <f t="shared" si="32"/>
        <v>3</v>
      </c>
      <c r="L317" s="985" t="s">
        <v>4932</v>
      </c>
      <c r="M317" s="985"/>
      <c r="N317" s="1002" t="str">
        <f>+NOMINA!O296</f>
        <v>Asistente Administrativo II</v>
      </c>
      <c r="O317" s="999">
        <f>ROUND(NOMINA!W296,2)</f>
        <v>75</v>
      </c>
      <c r="P317" s="999">
        <f>NOMINA!AF296</f>
        <v>2.25</v>
      </c>
      <c r="Q317" s="999">
        <f>NOMINA!AH296</f>
        <v>65</v>
      </c>
      <c r="R317" s="999">
        <f>NOMINA!AC296</f>
        <v>12.5</v>
      </c>
      <c r="S317" s="999">
        <f>NOMINA!AJ296</f>
        <v>0</v>
      </c>
      <c r="T317" s="986">
        <f t="shared" si="33"/>
        <v>81.25</v>
      </c>
      <c r="U317" s="999">
        <f>ROUND(NOMINA!BL296,2)</f>
        <v>10.97</v>
      </c>
      <c r="V317" s="999">
        <f>ROUND(NOMINA!BM296,2)</f>
        <v>1.37</v>
      </c>
      <c r="W317" s="999">
        <f>ROUND(+NOMINA!BN296,2)</f>
        <v>2.97</v>
      </c>
      <c r="X317" s="999">
        <f>ROUND(NOMINA!BO296,2)</f>
        <v>0</v>
      </c>
      <c r="Y317" s="999">
        <f>ROUND(NOMINA!BP296,2)</f>
        <v>0</v>
      </c>
      <c r="Z317" s="986">
        <f t="shared" si="34"/>
        <v>14.83</v>
      </c>
      <c r="AA317" s="999">
        <f>ROUND(NOMINA!BK296,2)</f>
        <v>0</v>
      </c>
      <c r="AB317" s="866">
        <f t="shared" si="35"/>
        <v>139.44</v>
      </c>
    </row>
    <row r="318" spans="1:28" s="629" customFormat="1" ht="20.100000000000001" customHeight="1" thickBot="1">
      <c r="A318" s="770"/>
      <c r="B318" s="510">
        <f t="shared" ca="1" si="36"/>
        <v>255</v>
      </c>
      <c r="C318" s="980">
        <f>+NOMINA!C297</f>
        <v>27415888</v>
      </c>
      <c r="D318" s="981" t="str">
        <f>+NOMINA!D297</f>
        <v>Perdomo Juarez Jose De Jesus</v>
      </c>
      <c r="E318" s="978" t="s">
        <v>4622</v>
      </c>
      <c r="F318" s="1006">
        <v>27853</v>
      </c>
      <c r="G318" s="978" t="s">
        <v>4620</v>
      </c>
      <c r="H318" s="1007">
        <f>+NOMINA!H297</f>
        <v>44713</v>
      </c>
      <c r="I318" s="984">
        <f>+NOMINA!I297</f>
        <v>2</v>
      </c>
      <c r="J318" s="985">
        <f>+NOMINA!J297</f>
        <v>3</v>
      </c>
      <c r="K318" s="984">
        <f t="shared" si="32"/>
        <v>5</v>
      </c>
      <c r="L318" s="985" t="s">
        <v>4932</v>
      </c>
      <c r="M318" s="985"/>
      <c r="N318" s="1002" t="str">
        <f>+NOMINA!O297</f>
        <v>Entrenador Deportivo II</v>
      </c>
      <c r="O318" s="999">
        <f>ROUND(NOMINA!W297,2)</f>
        <v>75</v>
      </c>
      <c r="P318" s="999">
        <f>NOMINA!AF297</f>
        <v>3.75</v>
      </c>
      <c r="Q318" s="999">
        <f>NOMINA!AH297</f>
        <v>65</v>
      </c>
      <c r="R318" s="999">
        <f>NOMINA!AC297</f>
        <v>0</v>
      </c>
      <c r="S318" s="999">
        <f>NOMINA!AJ297</f>
        <v>0</v>
      </c>
      <c r="T318" s="986">
        <f t="shared" si="33"/>
        <v>84.81</v>
      </c>
      <c r="U318" s="999">
        <f>ROUND(NOMINA!BL297,2)</f>
        <v>10.62</v>
      </c>
      <c r="V318" s="999">
        <f>ROUND(NOMINA!BM297,2)</f>
        <v>1.33</v>
      </c>
      <c r="W318" s="999">
        <f>ROUND(+NOMINA!BN297,2)</f>
        <v>2.88</v>
      </c>
      <c r="X318" s="999">
        <f>ROUND(NOMINA!BO297,2)</f>
        <v>0</v>
      </c>
      <c r="Y318" s="999">
        <f>ROUND(NOMINA!BP297,2)</f>
        <v>0</v>
      </c>
      <c r="Z318" s="986">
        <f t="shared" si="34"/>
        <v>19.27</v>
      </c>
      <c r="AA318" s="999">
        <f>ROUND(NOMINA!BK297,2)</f>
        <v>0</v>
      </c>
      <c r="AB318" s="866">
        <f t="shared" si="35"/>
        <v>128.92000000000002</v>
      </c>
    </row>
    <row r="319" spans="1:28" s="629" customFormat="1" ht="20.100000000000001" customHeight="1" thickBot="1">
      <c r="A319" s="770"/>
      <c r="B319" s="510">
        <f t="shared" ca="1" si="36"/>
        <v>256</v>
      </c>
      <c r="C319" s="980">
        <f>+NOMINA!C298</f>
        <v>27628603</v>
      </c>
      <c r="D319" s="981" t="str">
        <f>+NOMINA!D298</f>
        <v>Mendoza Mendoza Kelasky Kixuy</v>
      </c>
      <c r="E319" s="978" t="s">
        <v>4622</v>
      </c>
      <c r="F319" s="1006">
        <v>27853</v>
      </c>
      <c r="G319" s="978" t="s">
        <v>4620</v>
      </c>
      <c r="H319" s="1007">
        <f>+NOMINA!H298</f>
        <v>45139</v>
      </c>
      <c r="I319" s="984">
        <f>+NOMINA!I298</f>
        <v>1</v>
      </c>
      <c r="J319" s="985">
        <f>+NOMINA!J298</f>
        <v>0</v>
      </c>
      <c r="K319" s="984">
        <f t="shared" si="32"/>
        <v>1</v>
      </c>
      <c r="L319" s="985" t="s">
        <v>4932</v>
      </c>
      <c r="M319" s="985"/>
      <c r="N319" s="1002" t="str">
        <f>+NOMINA!O298</f>
        <v>Instructor De Formacion Empresarial</v>
      </c>
      <c r="O319" s="999">
        <f>ROUND(NOMINA!W298,2)</f>
        <v>65</v>
      </c>
      <c r="P319" s="999">
        <f>NOMINA!AF298</f>
        <v>0.65</v>
      </c>
      <c r="Q319" s="999">
        <f>NOMINA!AH298</f>
        <v>65</v>
      </c>
      <c r="R319" s="999">
        <f>NOMINA!AC298</f>
        <v>12.5</v>
      </c>
      <c r="S319" s="999">
        <f>NOMINA!AJ298</f>
        <v>0</v>
      </c>
      <c r="T319" s="986">
        <f t="shared" si="33"/>
        <v>121.72</v>
      </c>
      <c r="U319" s="999">
        <f>ROUND(NOMINA!BL298,2)</f>
        <v>10.11</v>
      </c>
      <c r="V319" s="999">
        <f>ROUND(NOMINA!BM298,2)</f>
        <v>1.26</v>
      </c>
      <c r="W319" s="999">
        <f>ROUND(+NOMINA!BN298,2)</f>
        <v>2.74</v>
      </c>
      <c r="X319" s="999">
        <f>ROUND(NOMINA!BO298,2)</f>
        <v>0</v>
      </c>
      <c r="Y319" s="999">
        <f>ROUND(NOMINA!BP298,2)</f>
        <v>0</v>
      </c>
      <c r="Z319" s="986">
        <f t="shared" si="34"/>
        <v>24.54</v>
      </c>
      <c r="AA319" s="999">
        <f>ROUND(NOMINA!BK298,2)</f>
        <v>0</v>
      </c>
      <c r="AB319" s="866">
        <f t="shared" si="35"/>
        <v>129.04000000000002</v>
      </c>
    </row>
    <row r="320" spans="1:28" s="629" customFormat="1" ht="20.100000000000001" customHeight="1" thickBot="1">
      <c r="A320" s="770"/>
      <c r="B320" s="510">
        <f t="shared" ca="1" si="36"/>
        <v>257</v>
      </c>
      <c r="C320" s="980">
        <f>+NOMINA!C299</f>
        <v>27677242</v>
      </c>
      <c r="D320" s="981" t="str">
        <f>+NOMINA!D299</f>
        <v>Ramirez Torres Darwin Jose</v>
      </c>
      <c r="E320" s="978" t="s">
        <v>4622</v>
      </c>
      <c r="F320" s="1006">
        <v>27853</v>
      </c>
      <c r="G320" s="978" t="s">
        <v>4620</v>
      </c>
      <c r="H320" s="1007">
        <f>+NOMINA!H299</f>
        <v>45139</v>
      </c>
      <c r="I320" s="984">
        <f>+NOMINA!I299</f>
        <v>1</v>
      </c>
      <c r="J320" s="985">
        <f>+NOMINA!J299</f>
        <v>0</v>
      </c>
      <c r="K320" s="984">
        <f t="shared" si="32"/>
        <v>1</v>
      </c>
      <c r="L320" s="985" t="s">
        <v>4932</v>
      </c>
      <c r="M320" s="985"/>
      <c r="N320" s="1002" t="str">
        <f>+NOMINA!O299</f>
        <v>Recreador</v>
      </c>
      <c r="O320" s="999">
        <f>ROUND(NOMINA!W299,2)</f>
        <v>65</v>
      </c>
      <c r="P320" s="999">
        <f>NOMINA!AF299</f>
        <v>0.65</v>
      </c>
      <c r="Q320" s="999">
        <f>NOMINA!AH299</f>
        <v>65</v>
      </c>
      <c r="R320" s="999">
        <f>NOMINA!AC299</f>
        <v>0</v>
      </c>
      <c r="S320" s="999">
        <f>NOMINA!AJ299</f>
        <v>0</v>
      </c>
      <c r="T320" s="986">
        <f t="shared" si="33"/>
        <v>126.07</v>
      </c>
      <c r="U320" s="999">
        <f>ROUND(NOMINA!BL299,2)</f>
        <v>9.65</v>
      </c>
      <c r="V320" s="999">
        <f>ROUND(NOMINA!BM299,2)</f>
        <v>1.21</v>
      </c>
      <c r="W320" s="999">
        <f>ROUND(+NOMINA!BN299,2)</f>
        <v>2.61</v>
      </c>
      <c r="X320" s="999">
        <f>ROUND(NOMINA!BO299,2)</f>
        <v>0</v>
      </c>
      <c r="Y320" s="999">
        <f>ROUND(NOMINA!BP299,2)</f>
        <v>0</v>
      </c>
      <c r="Z320" s="986">
        <f t="shared" si="34"/>
        <v>19.18</v>
      </c>
      <c r="AA320" s="999">
        <f>ROUND(NOMINA!BK299,2)</f>
        <v>0</v>
      </c>
      <c r="AB320" s="866">
        <f t="shared" si="35"/>
        <v>117.18</v>
      </c>
    </row>
    <row r="321" spans="1:28" s="629" customFormat="1" ht="20.100000000000001" customHeight="1" thickBot="1">
      <c r="A321" s="770"/>
      <c r="B321" s="510">
        <f t="shared" ca="1" si="36"/>
        <v>258</v>
      </c>
      <c r="C321" s="980">
        <f>+NOMINA!C300</f>
        <v>27889180</v>
      </c>
      <c r="D321" s="981" t="str">
        <f>+NOMINA!D300</f>
        <v>Moreno Andreina del Valle</v>
      </c>
      <c r="E321" s="978" t="s">
        <v>4622</v>
      </c>
      <c r="F321" s="1006">
        <v>27853</v>
      </c>
      <c r="G321" s="978" t="s">
        <v>4620</v>
      </c>
      <c r="H321" s="1007">
        <f>+NOMINA!H300</f>
        <v>44393</v>
      </c>
      <c r="I321" s="984">
        <f>+NOMINA!I300</f>
        <v>3</v>
      </c>
      <c r="J321" s="985">
        <f>+NOMINA!J300</f>
        <v>0</v>
      </c>
      <c r="K321" s="984">
        <f t="shared" ref="K321:K330" si="37">I321+J321</f>
        <v>3</v>
      </c>
      <c r="L321" s="985" t="s">
        <v>4932</v>
      </c>
      <c r="M321" s="985"/>
      <c r="N321" s="1002" t="str">
        <f>+NOMINA!O300</f>
        <v>Asistente Administrativo II</v>
      </c>
      <c r="O321" s="999">
        <f>ROUND(NOMINA!W300,2)</f>
        <v>75</v>
      </c>
      <c r="P321" s="999">
        <f>NOMINA!AF300</f>
        <v>2.25</v>
      </c>
      <c r="Q321" s="999">
        <f>NOMINA!AH300</f>
        <v>65</v>
      </c>
      <c r="R321" s="999">
        <f>NOMINA!AC300</f>
        <v>12.5</v>
      </c>
      <c r="S321" s="999">
        <f>NOMINA!AJ300</f>
        <v>0</v>
      </c>
      <c r="T321" s="986">
        <f t="shared" ref="T321:T330" si="38">+P299+Q299+R299+S299</f>
        <v>79.75</v>
      </c>
      <c r="U321" s="999">
        <f>ROUND(NOMINA!BL300,2)</f>
        <v>10.97</v>
      </c>
      <c r="V321" s="999">
        <f>ROUND(NOMINA!BM300,2)</f>
        <v>1.37</v>
      </c>
      <c r="W321" s="999">
        <f>ROUND(+NOMINA!BN300,2)</f>
        <v>2.97</v>
      </c>
      <c r="X321" s="999">
        <f>ROUND(NOMINA!BO300,2)</f>
        <v>0</v>
      </c>
      <c r="Y321" s="999">
        <f>ROUND(NOMINA!BP300,2)</f>
        <v>0</v>
      </c>
      <c r="Z321" s="986">
        <f t="shared" ref="Z321:Z330" si="39">ROUND(SUM(U306:Y306),2)</f>
        <v>24.54</v>
      </c>
      <c r="AA321" s="999">
        <f>ROUND(NOMINA!BK300,2)</f>
        <v>0</v>
      </c>
      <c r="AB321" s="866">
        <f t="shared" ref="AB321:AB330" si="40">+O321+P321+Q321+R321+S321-(U321+V321+W321+X321+Y321)+AA321</f>
        <v>139.44</v>
      </c>
    </row>
    <row r="322" spans="1:28" s="629" customFormat="1" ht="20.100000000000001" customHeight="1" thickBot="1">
      <c r="A322" s="770"/>
      <c r="B322" s="510">
        <f t="shared" ca="1" si="36"/>
        <v>259</v>
      </c>
      <c r="C322" s="980">
        <f>+NOMINA!C301</f>
        <v>28079765</v>
      </c>
      <c r="D322" s="981" t="str">
        <f>+NOMINA!D301</f>
        <v>Mendoza Cardozo Josue Vicensio</v>
      </c>
      <c r="E322" s="978" t="s">
        <v>4622</v>
      </c>
      <c r="F322" s="1006">
        <v>27853</v>
      </c>
      <c r="G322" s="978" t="s">
        <v>4620</v>
      </c>
      <c r="H322" s="1007">
        <f>+NOMINA!H301</f>
        <v>44348</v>
      </c>
      <c r="I322" s="984">
        <f>+NOMINA!I301</f>
        <v>3</v>
      </c>
      <c r="J322" s="985">
        <f>+NOMINA!J301</f>
        <v>0</v>
      </c>
      <c r="K322" s="984">
        <f t="shared" si="37"/>
        <v>3</v>
      </c>
      <c r="L322" s="985" t="s">
        <v>4932</v>
      </c>
      <c r="M322" s="985"/>
      <c r="N322" s="1002" t="str">
        <f>+NOMINA!O301</f>
        <v>Asistente Administrativo II</v>
      </c>
      <c r="O322" s="999">
        <f>ROUND(NOMINA!W301,2)</f>
        <v>109.5</v>
      </c>
      <c r="P322" s="999">
        <f>NOMINA!AF301</f>
        <v>3.29</v>
      </c>
      <c r="Q322" s="999">
        <f>NOMINA!AH301</f>
        <v>65</v>
      </c>
      <c r="R322" s="999">
        <f>NOMINA!AC301</f>
        <v>0</v>
      </c>
      <c r="S322" s="999">
        <f>NOMINA!AJ301</f>
        <v>35.56</v>
      </c>
      <c r="T322" s="986">
        <f t="shared" si="38"/>
        <v>93</v>
      </c>
      <c r="U322" s="999">
        <f>ROUND(NOMINA!BL301,2)</f>
        <v>15.75</v>
      </c>
      <c r="V322" s="999">
        <f>ROUND(NOMINA!BM301,2)</f>
        <v>1.97</v>
      </c>
      <c r="W322" s="999">
        <f>ROUND(+NOMINA!BN301,2)</f>
        <v>4.2699999999999996</v>
      </c>
      <c r="X322" s="999">
        <f>ROUND(NOMINA!BO301,2)</f>
        <v>0</v>
      </c>
      <c r="Y322" s="999">
        <f>ROUND(NOMINA!BP301,2)</f>
        <v>0</v>
      </c>
      <c r="Z322" s="986">
        <f t="shared" si="39"/>
        <v>26.76</v>
      </c>
      <c r="AA322" s="999">
        <f>ROUND(NOMINA!BK301,2)</f>
        <v>0</v>
      </c>
      <c r="AB322" s="866">
        <f t="shared" si="40"/>
        <v>191.36</v>
      </c>
    </row>
    <row r="323" spans="1:28" s="629" customFormat="1" ht="20.100000000000001" customHeight="1" thickBot="1">
      <c r="A323" s="770"/>
      <c r="B323" s="510">
        <f t="shared" ca="1" si="36"/>
        <v>260</v>
      </c>
      <c r="C323" s="980">
        <f>+NOMINA!C302</f>
        <v>28096003</v>
      </c>
      <c r="D323" s="981" t="str">
        <f>+NOMINA!D302</f>
        <v>Quintero Peña Maria Alejandra</v>
      </c>
      <c r="E323" s="978" t="s">
        <v>4622</v>
      </c>
      <c r="F323" s="1006">
        <v>27853</v>
      </c>
      <c r="G323" s="978" t="s">
        <v>4620</v>
      </c>
      <c r="H323" s="1007">
        <f>+NOMINA!H302</f>
        <v>44228</v>
      </c>
      <c r="I323" s="984">
        <f>+NOMINA!I302</f>
        <v>3</v>
      </c>
      <c r="J323" s="985">
        <f>+NOMINA!J302</f>
        <v>0</v>
      </c>
      <c r="K323" s="984">
        <f t="shared" si="37"/>
        <v>3</v>
      </c>
      <c r="L323" s="985" t="s">
        <v>4932</v>
      </c>
      <c r="M323" s="985"/>
      <c r="N323" s="1002" t="str">
        <f>+NOMINA!O302</f>
        <v>Guia de Centro I</v>
      </c>
      <c r="O323" s="999">
        <f>ROUND(NOMINA!W302,2)</f>
        <v>75</v>
      </c>
      <c r="P323" s="999">
        <f>NOMINA!AF302</f>
        <v>2.25</v>
      </c>
      <c r="Q323" s="999">
        <f>NOMINA!AH302</f>
        <v>65</v>
      </c>
      <c r="R323" s="999">
        <f>NOMINA!AC302</f>
        <v>0</v>
      </c>
      <c r="S323" s="999">
        <f>NOMINA!AJ302</f>
        <v>0</v>
      </c>
      <c r="T323" s="986">
        <f t="shared" si="38"/>
        <v>77.5</v>
      </c>
      <c r="U323" s="999">
        <f>ROUND(NOMINA!BL302,2)</f>
        <v>13.66</v>
      </c>
      <c r="V323" s="999">
        <f>ROUND(NOMINA!BM302,2)</f>
        <v>1.71</v>
      </c>
      <c r="W323" s="999">
        <f>ROUND(+NOMINA!BN302,2)</f>
        <v>3.7</v>
      </c>
      <c r="X323" s="999">
        <f>ROUND(NOMINA!BO302,2)</f>
        <v>0</v>
      </c>
      <c r="Y323" s="999">
        <f>ROUND(NOMINA!BP302,2)</f>
        <v>0</v>
      </c>
      <c r="Z323" s="986">
        <f t="shared" si="39"/>
        <v>25.03</v>
      </c>
      <c r="AA323" s="999">
        <f>ROUND(NOMINA!BK302,2)</f>
        <v>0</v>
      </c>
      <c r="AB323" s="866">
        <f t="shared" si="40"/>
        <v>123.18</v>
      </c>
    </row>
    <row r="324" spans="1:28" s="629" customFormat="1" ht="20.100000000000001" customHeight="1" thickBot="1">
      <c r="A324" s="770"/>
      <c r="B324" s="510">
        <f t="shared" ca="1" si="36"/>
        <v>261</v>
      </c>
      <c r="C324" s="980">
        <f>+NOMINA!C303</f>
        <v>28096576</v>
      </c>
      <c r="D324" s="981" t="str">
        <f>+NOMINA!D303</f>
        <v>Gutierrez Betania Belsally</v>
      </c>
      <c r="E324" s="978" t="s">
        <v>4622</v>
      </c>
      <c r="F324" s="1006">
        <v>27853</v>
      </c>
      <c r="G324" s="978" t="s">
        <v>4620</v>
      </c>
      <c r="H324" s="1007">
        <f>+NOMINA!H303</f>
        <v>45017</v>
      </c>
      <c r="I324" s="984">
        <f>+NOMINA!I303</f>
        <v>1</v>
      </c>
      <c r="J324" s="985">
        <f>+NOMINA!J303</f>
        <v>0</v>
      </c>
      <c r="K324" s="984">
        <f t="shared" si="37"/>
        <v>1</v>
      </c>
      <c r="L324" s="985" t="s">
        <v>4932</v>
      </c>
      <c r="M324" s="985"/>
      <c r="N324" s="1002" t="str">
        <f>+NOMINA!O303</f>
        <v>Asistente Administrativo I</v>
      </c>
      <c r="O324" s="999">
        <f>ROUND(NOMINA!W303,2)</f>
        <v>65</v>
      </c>
      <c r="P324" s="999">
        <f>NOMINA!AF303</f>
        <v>0.65</v>
      </c>
      <c r="Q324" s="999">
        <f>NOMINA!AH303</f>
        <v>65</v>
      </c>
      <c r="R324" s="999">
        <f>NOMINA!AC303</f>
        <v>25</v>
      </c>
      <c r="S324" s="999">
        <f>NOMINA!AJ303</f>
        <v>0</v>
      </c>
      <c r="T324" s="986">
        <f t="shared" si="38"/>
        <v>68.75</v>
      </c>
      <c r="U324" s="999">
        <f>ROUND(NOMINA!BL303,2)</f>
        <v>10.57</v>
      </c>
      <c r="V324" s="999">
        <f>ROUND(NOMINA!BM303,2)</f>
        <v>1.32</v>
      </c>
      <c r="W324" s="999">
        <f>ROUND(+NOMINA!BN303,2)</f>
        <v>2.86</v>
      </c>
      <c r="X324" s="999">
        <f>ROUND(NOMINA!BO303,2)</f>
        <v>0</v>
      </c>
      <c r="Y324" s="999">
        <f>ROUND(NOMINA!BP303,2)</f>
        <v>0</v>
      </c>
      <c r="Z324" s="986">
        <f t="shared" si="39"/>
        <v>20.74</v>
      </c>
      <c r="AA324" s="999">
        <f>ROUND(NOMINA!BK303,2)</f>
        <v>0</v>
      </c>
      <c r="AB324" s="866">
        <f t="shared" si="40"/>
        <v>140.9</v>
      </c>
    </row>
    <row r="325" spans="1:28" s="629" customFormat="1" ht="20.100000000000001" customHeight="1" thickBot="1">
      <c r="A325" s="770"/>
      <c r="B325" s="510">
        <f t="shared" ca="1" si="36"/>
        <v>262</v>
      </c>
      <c r="C325" s="980">
        <f>+NOMINA!C304</f>
        <v>28445465</v>
      </c>
      <c r="D325" s="981" t="str">
        <f>+NOMINA!D304</f>
        <v>Castillo Carrizo Katherine Cecilia</v>
      </c>
      <c r="E325" s="978" t="s">
        <v>4622</v>
      </c>
      <c r="F325" s="1006">
        <v>27853</v>
      </c>
      <c r="G325" s="978" t="s">
        <v>4620</v>
      </c>
      <c r="H325" s="1007">
        <f>+NOMINA!H304</f>
        <v>43770</v>
      </c>
      <c r="I325" s="984">
        <f>+NOMINA!I304</f>
        <v>5</v>
      </c>
      <c r="J325" s="985">
        <f>+NOMINA!J304</f>
        <v>0</v>
      </c>
      <c r="K325" s="984">
        <f t="shared" si="37"/>
        <v>5</v>
      </c>
      <c r="L325" s="985" t="s">
        <v>4932</v>
      </c>
      <c r="M325" s="985"/>
      <c r="N325" s="1002" t="str">
        <f>+NOMINA!O304</f>
        <v>Asistente Administrativo II</v>
      </c>
      <c r="O325" s="999">
        <f>ROUND(NOMINA!W304,2)</f>
        <v>75</v>
      </c>
      <c r="P325" s="999">
        <f>NOMINA!AF304</f>
        <v>3.75</v>
      </c>
      <c r="Q325" s="999">
        <f>NOMINA!AH304</f>
        <v>65</v>
      </c>
      <c r="R325" s="999">
        <f>NOMINA!AC304</f>
        <v>0</v>
      </c>
      <c r="S325" s="999">
        <f>NOMINA!AJ304</f>
        <v>0</v>
      </c>
      <c r="T325" s="986">
        <f t="shared" si="38"/>
        <v>91.3</v>
      </c>
      <c r="U325" s="999">
        <f>ROUND(NOMINA!BL304,2)</f>
        <v>10.62</v>
      </c>
      <c r="V325" s="999">
        <f>ROUND(NOMINA!BM304,2)</f>
        <v>1.33</v>
      </c>
      <c r="W325" s="999">
        <f>ROUND(+NOMINA!BN304,2)</f>
        <v>2.88</v>
      </c>
      <c r="X325" s="999">
        <f>ROUND(NOMINA!BO304,2)</f>
        <v>0</v>
      </c>
      <c r="Y325" s="999">
        <f>ROUND(NOMINA!BP304,2)</f>
        <v>0</v>
      </c>
      <c r="Z325" s="986">
        <f t="shared" si="39"/>
        <v>27.92</v>
      </c>
      <c r="AA325" s="999">
        <f>ROUND(NOMINA!BK304,2)</f>
        <v>0</v>
      </c>
      <c r="AB325" s="866">
        <f t="shared" si="40"/>
        <v>128.92000000000002</v>
      </c>
    </row>
    <row r="326" spans="1:28" s="629" customFormat="1" ht="20.100000000000001" customHeight="1" thickBot="1">
      <c r="A326" s="770"/>
      <c r="B326" s="510">
        <f t="shared" ca="1" si="36"/>
        <v>263</v>
      </c>
      <c r="C326" s="980">
        <f>+NOMINA!C305</f>
        <v>29585477</v>
      </c>
      <c r="D326" s="981" t="str">
        <f>+NOMINA!D305</f>
        <v>Gil Ruiz Marianyeli Sarait</v>
      </c>
      <c r="E326" s="978" t="s">
        <v>4622</v>
      </c>
      <c r="F326" s="1006">
        <v>27853</v>
      </c>
      <c r="G326" s="978" t="s">
        <v>4620</v>
      </c>
      <c r="H326" s="1007">
        <f>+NOMINA!H305</f>
        <v>43512</v>
      </c>
      <c r="I326" s="984">
        <f>+NOMINA!I305</f>
        <v>5</v>
      </c>
      <c r="J326" s="985">
        <f>+NOMINA!J305</f>
        <v>0</v>
      </c>
      <c r="K326" s="984">
        <f t="shared" si="37"/>
        <v>5</v>
      </c>
      <c r="L326" s="985" t="s">
        <v>4932</v>
      </c>
      <c r="M326" s="985"/>
      <c r="N326" s="1002" t="str">
        <f>+NOMINA!O305</f>
        <v>Entrenador Deportivo II</v>
      </c>
      <c r="O326" s="999">
        <f>ROUND(NOMINA!W305,2)</f>
        <v>75</v>
      </c>
      <c r="P326" s="999">
        <f>NOMINA!AF305</f>
        <v>3.75</v>
      </c>
      <c r="Q326" s="999">
        <f>NOMINA!AH305</f>
        <v>65</v>
      </c>
      <c r="R326" s="999">
        <f>NOMINA!AC305</f>
        <v>12.5</v>
      </c>
      <c r="S326" s="999">
        <f>NOMINA!AJ305</f>
        <v>0</v>
      </c>
      <c r="T326" s="986">
        <f t="shared" si="38"/>
        <v>115.07999999999998</v>
      </c>
      <c r="U326" s="999">
        <f>ROUND(NOMINA!BL305,2)</f>
        <v>11.08</v>
      </c>
      <c r="V326" s="999">
        <f>ROUND(NOMINA!BM305,2)</f>
        <v>1.38</v>
      </c>
      <c r="W326" s="999">
        <f>ROUND(+NOMINA!BN305,2)</f>
        <v>3</v>
      </c>
      <c r="X326" s="999">
        <f>ROUND(NOMINA!BO305,2)</f>
        <v>0</v>
      </c>
      <c r="Y326" s="999">
        <f>ROUND(NOMINA!BP305,2)</f>
        <v>0</v>
      </c>
      <c r="Z326" s="986">
        <f t="shared" si="39"/>
        <v>19.899999999999999</v>
      </c>
      <c r="AA326" s="999">
        <f>ROUND(NOMINA!BK305,2)</f>
        <v>0</v>
      </c>
      <c r="AB326" s="866">
        <f t="shared" si="40"/>
        <v>140.79</v>
      </c>
    </row>
    <row r="327" spans="1:28" s="629" customFormat="1" ht="20.100000000000001" customHeight="1" thickBot="1">
      <c r="A327" s="770"/>
      <c r="B327" s="510">
        <f t="shared" ca="1" si="36"/>
        <v>264</v>
      </c>
      <c r="C327" s="980">
        <f>+NOMINA!C306</f>
        <v>29916508</v>
      </c>
      <c r="D327" s="981" t="str">
        <f>+NOMINA!D306</f>
        <v>Zambrano Briceño Elio Jesus</v>
      </c>
      <c r="E327" s="978" t="s">
        <v>4622</v>
      </c>
      <c r="F327" s="1006">
        <v>27853</v>
      </c>
      <c r="G327" s="978" t="s">
        <v>4620</v>
      </c>
      <c r="H327" s="1007">
        <f>+NOMINA!H306</f>
        <v>44378</v>
      </c>
      <c r="I327" s="984">
        <f>+NOMINA!I306</f>
        <v>3</v>
      </c>
      <c r="J327" s="985">
        <f>+NOMINA!J306</f>
        <v>0</v>
      </c>
      <c r="K327" s="984">
        <f t="shared" si="37"/>
        <v>3</v>
      </c>
      <c r="L327" s="985" t="s">
        <v>4932</v>
      </c>
      <c r="M327" s="985"/>
      <c r="N327" s="1002" t="str">
        <f>+NOMINA!O306</f>
        <v>Guia de Centro I</v>
      </c>
      <c r="O327" s="999">
        <f>ROUND(NOMINA!W306,2)</f>
        <v>75</v>
      </c>
      <c r="P327" s="999">
        <f>NOMINA!AF306</f>
        <v>2.25</v>
      </c>
      <c r="Q327" s="999">
        <f>NOMINA!AH306</f>
        <v>65</v>
      </c>
      <c r="R327" s="999">
        <f>NOMINA!AC306</f>
        <v>0</v>
      </c>
      <c r="S327" s="999">
        <f>NOMINA!AJ306</f>
        <v>0</v>
      </c>
      <c r="T327" s="986">
        <f t="shared" si="38"/>
        <v>90.65</v>
      </c>
      <c r="U327" s="999">
        <f>ROUND(NOMINA!BL306,2)</f>
        <v>13.66</v>
      </c>
      <c r="V327" s="999">
        <f>ROUND(NOMINA!BM306,2)</f>
        <v>1.71</v>
      </c>
      <c r="W327" s="999">
        <f>ROUND(+NOMINA!BN306,2)</f>
        <v>3.7</v>
      </c>
      <c r="X327" s="999">
        <f>ROUND(NOMINA!BO306,2)</f>
        <v>0</v>
      </c>
      <c r="Y327" s="999">
        <f>ROUND(NOMINA!BP306,2)</f>
        <v>0</v>
      </c>
      <c r="Z327" s="986">
        <f t="shared" si="39"/>
        <v>15.31</v>
      </c>
      <c r="AA327" s="999">
        <f>ROUND(NOMINA!BK306,2)</f>
        <v>0</v>
      </c>
      <c r="AB327" s="866">
        <f t="shared" si="40"/>
        <v>123.18</v>
      </c>
    </row>
    <row r="328" spans="1:28" s="629" customFormat="1" ht="20.100000000000001" customHeight="1" thickBot="1">
      <c r="A328" s="770"/>
      <c r="B328" s="510">
        <f t="shared" ca="1" si="36"/>
        <v>265</v>
      </c>
      <c r="C328" s="980">
        <f>+NOMINA!C307</f>
        <v>30190238</v>
      </c>
      <c r="D328" s="981" t="str">
        <f>+NOMINA!D307</f>
        <v>Mendoza Osuna Zaida Liseth</v>
      </c>
      <c r="E328" s="978" t="s">
        <v>4622</v>
      </c>
      <c r="F328" s="1006">
        <v>27853</v>
      </c>
      <c r="G328" s="978" t="s">
        <v>4620</v>
      </c>
      <c r="H328" s="1007">
        <f>+NOMINA!H307</f>
        <v>45200</v>
      </c>
      <c r="I328" s="984">
        <f>+NOMINA!I307</f>
        <v>1</v>
      </c>
      <c r="J328" s="985">
        <f>+NOMINA!J307</f>
        <v>0</v>
      </c>
      <c r="K328" s="984">
        <f t="shared" si="37"/>
        <v>1</v>
      </c>
      <c r="L328" s="985" t="s">
        <v>4932</v>
      </c>
      <c r="M328" s="985"/>
      <c r="N328" s="1002" t="str">
        <f>+NOMINA!O307</f>
        <v>Guia de Centro I</v>
      </c>
      <c r="O328" s="999">
        <f>ROUND(NOMINA!W307,2)</f>
        <v>65</v>
      </c>
      <c r="P328" s="999">
        <f>NOMINA!AF307</f>
        <v>0.65</v>
      </c>
      <c r="Q328" s="999">
        <f>NOMINA!AH307</f>
        <v>65</v>
      </c>
      <c r="R328" s="999">
        <f>NOMINA!AC307</f>
        <v>0</v>
      </c>
      <c r="S328" s="999">
        <f>NOMINA!AJ307</f>
        <v>0</v>
      </c>
      <c r="T328" s="986">
        <f t="shared" si="38"/>
        <v>115.07999999999998</v>
      </c>
      <c r="U328" s="999">
        <f>ROUND(NOMINA!BL307,2)</f>
        <v>12.54</v>
      </c>
      <c r="V328" s="999">
        <f>ROUND(NOMINA!BM307,2)</f>
        <v>1.57</v>
      </c>
      <c r="W328" s="999">
        <f>ROUND(+NOMINA!BN307,2)</f>
        <v>3.4</v>
      </c>
      <c r="X328" s="999">
        <f>ROUND(NOMINA!BO307,2)</f>
        <v>0</v>
      </c>
      <c r="Y328" s="999">
        <f>ROUND(NOMINA!BP307,2)</f>
        <v>0</v>
      </c>
      <c r="Z328" s="986">
        <f t="shared" si="39"/>
        <v>18.260000000000002</v>
      </c>
      <c r="AA328" s="999">
        <f>ROUND(NOMINA!BK307,2)</f>
        <v>0</v>
      </c>
      <c r="AB328" s="866">
        <f t="shared" si="40"/>
        <v>113.14000000000001</v>
      </c>
    </row>
    <row r="329" spans="1:28" s="629" customFormat="1" ht="20.100000000000001" customHeight="1" thickBot="1">
      <c r="A329" s="770"/>
      <c r="B329" s="510">
        <f t="shared" ca="1" si="36"/>
        <v>266</v>
      </c>
      <c r="C329" s="980">
        <f>+NOMINA!C308</f>
        <v>30438508</v>
      </c>
      <c r="D329" s="981" t="str">
        <f>+NOMINA!D308</f>
        <v xml:space="preserve">Teran Araujo Marihangeli Nicoll </v>
      </c>
      <c r="E329" s="978" t="s">
        <v>4622</v>
      </c>
      <c r="F329" s="1006">
        <v>27853</v>
      </c>
      <c r="G329" s="978" t="s">
        <v>4620</v>
      </c>
      <c r="H329" s="1007">
        <f>+NOMINA!H308</f>
        <v>45200</v>
      </c>
      <c r="I329" s="984">
        <f>+NOMINA!I308</f>
        <v>1</v>
      </c>
      <c r="J329" s="985">
        <f>+NOMINA!J308</f>
        <v>4</v>
      </c>
      <c r="K329" s="984">
        <f t="shared" si="37"/>
        <v>5</v>
      </c>
      <c r="L329" s="985" t="s">
        <v>4932</v>
      </c>
      <c r="M329" s="985"/>
      <c r="N329" s="1002" t="str">
        <f>+NOMINA!O308</f>
        <v>Asistente Administrativo II</v>
      </c>
      <c r="O329" s="999">
        <f>ROUND(NOMINA!W308,2)</f>
        <v>75</v>
      </c>
      <c r="P329" s="999">
        <f>NOMINA!AF308</f>
        <v>3.75</v>
      </c>
      <c r="Q329" s="999">
        <f>NOMINA!AH308</f>
        <v>65</v>
      </c>
      <c r="R329" s="999">
        <f>NOMINA!AC308</f>
        <v>0</v>
      </c>
      <c r="S329" s="999">
        <f>NOMINA!AJ308</f>
        <v>0</v>
      </c>
      <c r="T329" s="986">
        <f t="shared" si="38"/>
        <v>121.08</v>
      </c>
      <c r="U329" s="999">
        <f>ROUND(NOMINA!BL308,2)</f>
        <v>10.62</v>
      </c>
      <c r="V329" s="999">
        <f>ROUND(NOMINA!BM308,2)</f>
        <v>1.33</v>
      </c>
      <c r="W329" s="999">
        <f>ROUND(+NOMINA!BN308,2)</f>
        <v>2.88</v>
      </c>
      <c r="X329" s="999">
        <f>ROUND(NOMINA!BO308,2)</f>
        <v>0</v>
      </c>
      <c r="Y329" s="999">
        <f>ROUND(NOMINA!BP308,2)</f>
        <v>0</v>
      </c>
      <c r="Z329" s="986">
        <f t="shared" si="39"/>
        <v>18.260000000000002</v>
      </c>
      <c r="AA329" s="999">
        <f>ROUND(NOMINA!BK308,2)</f>
        <v>0</v>
      </c>
      <c r="AB329" s="866">
        <f t="shared" si="40"/>
        <v>128.92000000000002</v>
      </c>
    </row>
    <row r="330" spans="1:28" s="629" customFormat="1" ht="20.100000000000001" customHeight="1" thickBot="1">
      <c r="A330" s="770"/>
      <c r="B330" s="510">
        <f t="shared" ca="1" si="36"/>
        <v>267</v>
      </c>
      <c r="C330" s="980">
        <f>+NOMINA!C309</f>
        <v>30600641</v>
      </c>
      <c r="D330" s="981" t="str">
        <f>+NOMINA!D309</f>
        <v>Gonzalez Justo Jariana Roxanny</v>
      </c>
      <c r="E330" s="978" t="s">
        <v>4622</v>
      </c>
      <c r="F330" s="1006">
        <v>27853</v>
      </c>
      <c r="G330" s="978" t="s">
        <v>4620</v>
      </c>
      <c r="H330" s="1007">
        <f>+NOMINA!H309</f>
        <v>44455</v>
      </c>
      <c r="I330" s="984">
        <f>+NOMINA!I309</f>
        <v>3</v>
      </c>
      <c r="J330" s="985">
        <f>+NOMINA!J309</f>
        <v>0</v>
      </c>
      <c r="K330" s="984">
        <f t="shared" si="37"/>
        <v>3</v>
      </c>
      <c r="L330" s="985" t="s">
        <v>4932</v>
      </c>
      <c r="M330" s="985"/>
      <c r="N330" s="1002" t="str">
        <f>+NOMINA!O309</f>
        <v>Asistente Administrativo I</v>
      </c>
      <c r="O330" s="999">
        <f>ROUND(NOMINA!W309,2)</f>
        <v>0</v>
      </c>
      <c r="P330" s="999">
        <f>NOMINA!AF309</f>
        <v>0</v>
      </c>
      <c r="Q330" s="999">
        <f>NOMINA!AH309</f>
        <v>0</v>
      </c>
      <c r="R330" s="999">
        <f>NOMINA!AC309</f>
        <v>0</v>
      </c>
      <c r="S330" s="999">
        <f>NOMINA!AJ309</f>
        <v>0</v>
      </c>
      <c r="T330" s="986">
        <f t="shared" si="38"/>
        <v>126.07</v>
      </c>
      <c r="U330" s="999">
        <f>ROUND(NOMINA!BL309,2)</f>
        <v>0</v>
      </c>
      <c r="V330" s="999">
        <f>ROUND(NOMINA!BM309,2)</f>
        <v>0</v>
      </c>
      <c r="W330" s="999">
        <f>ROUND(+NOMINA!BN309,2)</f>
        <v>0</v>
      </c>
      <c r="X330" s="999">
        <f>ROUND(NOMINA!BO309,2)</f>
        <v>0</v>
      </c>
      <c r="Y330" s="999">
        <f>ROUND(NOMINA!BP309,2)</f>
        <v>0</v>
      </c>
      <c r="Z330" s="986">
        <f t="shared" si="39"/>
        <v>18.260000000000002</v>
      </c>
      <c r="AA330" s="999">
        <f>ROUND(NOMINA!BK309,2)</f>
        <v>0</v>
      </c>
      <c r="AB330" s="866">
        <f t="shared" si="40"/>
        <v>0</v>
      </c>
    </row>
    <row r="331" spans="1:28" s="629" customFormat="1" ht="39.950000000000003" customHeight="1" thickBot="1">
      <c r="A331" s="693"/>
      <c r="B331" s="676"/>
      <c r="C331" s="1108" t="s">
        <v>4562</v>
      </c>
      <c r="D331" s="1104"/>
      <c r="E331" s="1104"/>
      <c r="F331" s="1104"/>
      <c r="G331" s="1104"/>
      <c r="H331" s="1105"/>
      <c r="I331" s="1104"/>
      <c r="J331" s="1104"/>
      <c r="K331" s="1104"/>
      <c r="L331" s="1104"/>
      <c r="M331" s="1104"/>
      <c r="N331" s="1109"/>
      <c r="O331" s="694">
        <f t="shared" ref="O331:AB331" si="41">SUM(O64:O330)</f>
        <v>26285</v>
      </c>
      <c r="P331" s="694">
        <f t="shared" si="41"/>
        <v>2707.1900000000014</v>
      </c>
      <c r="Q331" s="694">
        <f t="shared" si="41"/>
        <v>15990</v>
      </c>
      <c r="R331" s="694">
        <f t="shared" si="41"/>
        <v>2587.5</v>
      </c>
      <c r="S331" s="694">
        <f t="shared" si="41"/>
        <v>7978.3700000000035</v>
      </c>
      <c r="T331" s="694">
        <f t="shared" si="41"/>
        <v>32979.589999999997</v>
      </c>
      <c r="U331" s="694">
        <f t="shared" si="41"/>
        <v>4360.0999999999967</v>
      </c>
      <c r="V331" s="694">
        <f t="shared" si="41"/>
        <v>545.07000000000016</v>
      </c>
      <c r="W331" s="694">
        <f t="shared" si="41"/>
        <v>1190.7600000000009</v>
      </c>
      <c r="X331" s="694">
        <f t="shared" si="41"/>
        <v>0</v>
      </c>
      <c r="Y331" s="694">
        <f t="shared" si="41"/>
        <v>1.9899999999999998</v>
      </c>
      <c r="Z331" s="694">
        <f t="shared" si="41"/>
        <v>6823.8600000000051</v>
      </c>
      <c r="AA331" s="694">
        <f t="shared" si="41"/>
        <v>0</v>
      </c>
      <c r="AB331" s="694">
        <f t="shared" si="41"/>
        <v>49450.140000000029</v>
      </c>
    </row>
    <row r="332" spans="1:28" s="629" customFormat="1" ht="19.5" customHeight="1">
      <c r="A332" s="708"/>
      <c r="C332" s="700"/>
      <c r="D332" s="700"/>
      <c r="E332" s="700"/>
      <c r="F332" s="700"/>
      <c r="G332" s="700"/>
      <c r="H332" s="820"/>
      <c r="I332" s="700"/>
      <c r="J332" s="700"/>
      <c r="K332" s="700"/>
      <c r="L332" s="700"/>
      <c r="M332" s="700"/>
      <c r="N332" s="821"/>
      <c r="O332" s="799"/>
      <c r="P332" s="799"/>
      <c r="Q332" s="799"/>
      <c r="R332" s="799"/>
      <c r="S332" s="799"/>
      <c r="T332" s="799"/>
      <c r="U332" s="799"/>
      <c r="V332" s="799"/>
      <c r="W332" s="799"/>
      <c r="X332" s="799"/>
      <c r="Y332" s="799"/>
      <c r="Z332" s="799"/>
      <c r="AA332" s="799"/>
      <c r="AB332" s="799"/>
    </row>
    <row r="333" spans="1:28" s="629" customFormat="1" ht="19.5" customHeight="1">
      <c r="A333" s="708"/>
      <c r="B333" s="720" t="s">
        <v>4664</v>
      </c>
      <c r="C333" s="721"/>
      <c r="D333" s="722"/>
      <c r="F333" s="631"/>
      <c r="G333" s="941"/>
      <c r="H333" s="710"/>
      <c r="O333" s="633"/>
      <c r="P333" s="633"/>
      <c r="Q333" s="633"/>
      <c r="R333" s="633"/>
      <c r="S333" s="633"/>
      <c r="T333" s="633"/>
      <c r="U333" s="633"/>
      <c r="V333" s="633"/>
      <c r="W333" s="633"/>
      <c r="X333" s="633"/>
      <c r="Y333" s="633"/>
      <c r="Z333" s="633"/>
      <c r="AA333" s="633"/>
      <c r="AB333" s="634"/>
    </row>
    <row r="334" spans="1:28" s="629" customFormat="1" ht="19.5" customHeight="1">
      <c r="A334" s="708"/>
      <c r="B334" s="720" t="s">
        <v>4665</v>
      </c>
      <c r="C334" s="721"/>
      <c r="D334" s="722"/>
      <c r="F334" s="631"/>
      <c r="G334" s="941"/>
      <c r="H334" s="632"/>
      <c r="I334" s="941"/>
      <c r="J334" s="941"/>
      <c r="K334" s="941"/>
      <c r="L334" s="941"/>
      <c r="M334" s="941"/>
      <c r="O334" s="633"/>
      <c r="P334" s="633"/>
      <c r="Q334" s="633"/>
      <c r="R334" s="633"/>
      <c r="S334" s="633"/>
      <c r="T334" s="633"/>
      <c r="U334" s="633"/>
      <c r="V334" s="633"/>
      <c r="W334" s="633"/>
      <c r="X334" s="633"/>
      <c r="Y334" s="633"/>
      <c r="Z334" s="633"/>
      <c r="AA334" s="633"/>
      <c r="AB334" s="634"/>
    </row>
    <row r="335" spans="1:28" s="629" customFormat="1" ht="19.5" customHeight="1">
      <c r="A335" s="708"/>
      <c r="B335" s="628"/>
      <c r="D335" s="631"/>
      <c r="F335" s="631"/>
      <c r="G335" s="941"/>
      <c r="H335" s="632"/>
      <c r="I335" s="941"/>
      <c r="J335" s="941"/>
      <c r="K335" s="941"/>
      <c r="L335" s="941"/>
      <c r="M335" s="941"/>
      <c r="O335" s="633"/>
      <c r="P335" s="633"/>
      <c r="Q335" s="633"/>
      <c r="R335" s="633"/>
      <c r="S335" s="633"/>
      <c r="T335" s="633"/>
      <c r="U335" s="628"/>
      <c r="V335" s="628"/>
      <c r="W335" s="628"/>
      <c r="X335" s="628"/>
      <c r="Y335" s="628"/>
      <c r="Z335" s="628"/>
      <c r="AA335" s="628"/>
      <c r="AB335" s="634"/>
    </row>
    <row r="336" spans="1:28" s="629" customFormat="1" ht="19.5" customHeight="1">
      <c r="A336" s="708"/>
      <c r="C336" s="723"/>
      <c r="D336" s="735" t="s">
        <v>5860</v>
      </c>
      <c r="E336" s="725"/>
      <c r="F336" s="725"/>
      <c r="G336" s="725"/>
      <c r="I336" s="724"/>
      <c r="L336" s="725"/>
      <c r="M336" s="725"/>
      <c r="N336" s="725"/>
      <c r="O336" s="726" t="s">
        <v>5861</v>
      </c>
      <c r="P336" s="725"/>
      <c r="Q336" s="725"/>
      <c r="R336" s="725"/>
      <c r="S336" s="826"/>
      <c r="T336" s="826"/>
      <c r="U336" s="628"/>
      <c r="V336" s="628"/>
      <c r="W336" s="724" t="s">
        <v>5862</v>
      </c>
      <c r="Y336" s="628"/>
      <c r="Z336" s="628"/>
      <c r="AA336" s="628"/>
      <c r="AB336" s="634"/>
    </row>
    <row r="337" spans="1:28" s="629" customFormat="1" ht="19.5" customHeight="1">
      <c r="A337" s="708"/>
      <c r="B337" s="734" t="s">
        <v>6879</v>
      </c>
      <c r="C337" s="735"/>
      <c r="D337" s="733"/>
      <c r="E337" s="733"/>
      <c r="F337" s="733"/>
      <c r="G337" s="733"/>
      <c r="H337" s="734" t="s">
        <v>6152</v>
      </c>
      <c r="I337" s="734"/>
      <c r="L337" s="733"/>
      <c r="M337" s="733"/>
      <c r="N337" s="733"/>
      <c r="O337" s="736" t="s">
        <v>5863</v>
      </c>
      <c r="P337" s="733"/>
      <c r="Q337" s="733"/>
      <c r="R337" s="733"/>
      <c r="S337" s="733"/>
      <c r="T337" s="733"/>
      <c r="U337" s="628"/>
      <c r="V337" s="628"/>
      <c r="W337" s="724" t="s">
        <v>5874</v>
      </c>
      <c r="Y337" s="628"/>
      <c r="Z337" s="628"/>
      <c r="AA337" s="628"/>
      <c r="AB337" s="634"/>
    </row>
    <row r="338" spans="1:28" s="629" customFormat="1" ht="19.5" customHeight="1">
      <c r="A338" s="708"/>
      <c r="B338" s="734" t="s">
        <v>6880</v>
      </c>
      <c r="C338" s="735"/>
      <c r="D338" s="733"/>
      <c r="E338" s="733"/>
      <c r="F338" s="733"/>
      <c r="G338" s="733"/>
      <c r="H338" s="734" t="s">
        <v>6153</v>
      </c>
      <c r="I338" s="734"/>
      <c r="L338" s="733"/>
      <c r="M338" s="733"/>
      <c r="N338" s="733"/>
      <c r="O338" s="736" t="s">
        <v>5865</v>
      </c>
      <c r="P338" s="733"/>
      <c r="Q338" s="733"/>
      <c r="R338" s="733"/>
      <c r="S338" s="733"/>
      <c r="T338" s="733"/>
      <c r="U338" s="628"/>
      <c r="V338" s="628"/>
      <c r="W338" s="734" t="s">
        <v>5866</v>
      </c>
      <c r="Y338" s="628"/>
      <c r="Z338" s="628"/>
      <c r="AA338" s="628"/>
      <c r="AB338" s="634"/>
    </row>
    <row r="339" spans="1:28" s="629" customFormat="1" ht="19.5" customHeight="1">
      <c r="A339" s="708"/>
      <c r="B339" s="734" t="s">
        <v>5244</v>
      </c>
      <c r="C339" s="735"/>
      <c r="D339" s="733"/>
      <c r="E339" s="733"/>
      <c r="F339" s="733"/>
      <c r="G339" s="733"/>
      <c r="H339" s="734" t="s">
        <v>5265</v>
      </c>
      <c r="I339" s="734"/>
      <c r="L339" s="733"/>
      <c r="M339" s="733"/>
      <c r="N339" s="733"/>
      <c r="O339" s="736" t="s">
        <v>5867</v>
      </c>
      <c r="P339" s="733"/>
      <c r="Q339" s="733"/>
      <c r="R339" s="733"/>
      <c r="S339" s="733"/>
      <c r="T339" s="733"/>
      <c r="U339" s="628"/>
      <c r="V339" s="628"/>
      <c r="W339" s="724" t="s">
        <v>5868</v>
      </c>
      <c r="Y339" s="628"/>
      <c r="Z339" s="628"/>
      <c r="AA339" s="628"/>
      <c r="AB339" s="634"/>
    </row>
    <row r="340" spans="1:28" s="629" customFormat="1" ht="19.5" customHeight="1" thickBot="1">
      <c r="A340" s="708"/>
      <c r="C340" s="700"/>
      <c r="D340" s="700"/>
      <c r="E340" s="700"/>
      <c r="F340" s="700"/>
      <c r="G340" s="700"/>
      <c r="H340" s="820"/>
      <c r="I340" s="700"/>
      <c r="J340" s="700"/>
      <c r="K340" s="700"/>
      <c r="L340" s="700"/>
      <c r="M340" s="700"/>
      <c r="N340" s="821"/>
      <c r="O340" s="799"/>
      <c r="P340" s="799"/>
      <c r="Q340" s="799"/>
      <c r="R340" s="799"/>
      <c r="S340" s="799"/>
      <c r="T340" s="799"/>
      <c r="U340" s="799"/>
      <c r="V340" s="799"/>
      <c r="W340" s="799"/>
      <c r="X340" s="799"/>
      <c r="Y340" s="799"/>
      <c r="Z340" s="799"/>
      <c r="AA340" s="799"/>
      <c r="AB340" s="799"/>
    </row>
    <row r="341" spans="1:28" s="707" customFormat="1" ht="18.75" thickBot="1">
      <c r="A341" s="698" t="s">
        <v>4563</v>
      </c>
      <c r="B341" s="1008" t="str">
        <f>+"OBREROS_FIJOS_NOMINA_1RA QNA_"&amp;NOMINA!F9&amp;"_"&amp;NOMINA!H9</f>
        <v>OBREROS_FIJOS_NOMINA_1RA QNA_ENERO_2025</v>
      </c>
      <c r="C341" s="699"/>
      <c r="D341" s="700"/>
      <c r="E341" s="701"/>
      <c r="F341" s="700"/>
      <c r="G341" s="702"/>
      <c r="H341" s="703"/>
      <c r="I341" s="704"/>
      <c r="J341" s="704"/>
      <c r="K341" s="704"/>
      <c r="L341" s="704"/>
      <c r="M341" s="704"/>
      <c r="N341" s="822"/>
      <c r="O341" s="823"/>
      <c r="P341" s="705"/>
      <c r="Q341" s="705"/>
      <c r="R341" s="705"/>
      <c r="S341" s="705"/>
      <c r="T341" s="705"/>
      <c r="U341" s="823"/>
      <c r="V341" s="823"/>
      <c r="W341" s="823"/>
      <c r="X341" s="823"/>
      <c r="Y341" s="823"/>
      <c r="Z341" s="823"/>
      <c r="AA341" s="823"/>
      <c r="AB341" s="706"/>
    </row>
    <row r="342" spans="1:28" s="629" customFormat="1" ht="20.100000000000001" customHeight="1" thickBot="1">
      <c r="A342" s="770" t="s">
        <v>2834</v>
      </c>
      <c r="B342" s="510">
        <v>1</v>
      </c>
      <c r="C342" s="1009">
        <f>+NOMINA!C312</f>
        <v>5505183</v>
      </c>
      <c r="D342" s="1010" t="str">
        <f>+NOMINA!D312</f>
        <v>Paredes Marquez Eduardo Jesus</v>
      </c>
      <c r="E342" s="978" t="s">
        <v>4622</v>
      </c>
      <c r="F342" s="1001">
        <v>27853</v>
      </c>
      <c r="G342" s="978" t="s">
        <v>4620</v>
      </c>
      <c r="H342" s="1011">
        <f>+NOMINA!H312</f>
        <v>44562</v>
      </c>
      <c r="I342" s="984">
        <f>+NOMINA!I312</f>
        <v>3</v>
      </c>
      <c r="J342" s="985">
        <f>+NOMINA!J312</f>
        <v>9</v>
      </c>
      <c r="K342" s="984">
        <f t="shared" ref="K342" si="42">I342+J342</f>
        <v>12</v>
      </c>
      <c r="L342" s="985" t="s">
        <v>4932</v>
      </c>
      <c r="M342" s="985"/>
      <c r="N342" s="1002" t="str">
        <f>+NOMINA!O312</f>
        <v>Ayudante de Servicios Generales</v>
      </c>
      <c r="O342" s="999">
        <f>ROUND(NOMINA!W312,2)</f>
        <v>76</v>
      </c>
      <c r="P342" s="999">
        <f>NOMINA!AF312</f>
        <v>10.49</v>
      </c>
      <c r="Q342" s="999">
        <f>NOMINA!AH312</f>
        <v>65</v>
      </c>
      <c r="R342" s="999">
        <f>NOMINA!AC312</f>
        <v>0</v>
      </c>
      <c r="S342" s="999">
        <f>NOMINA!AJ312</f>
        <v>0</v>
      </c>
      <c r="T342" s="986">
        <f>+P303+Q303+R303+S303</f>
        <v>91.3</v>
      </c>
      <c r="U342" s="999">
        <f>ROUND(NOMINA!BL312,2)</f>
        <v>11.19</v>
      </c>
      <c r="V342" s="999">
        <f>ROUND(NOMINA!BM312,2)</f>
        <v>1.4</v>
      </c>
      <c r="W342" s="999">
        <f>ROUND(+NOMINA!BN312,2)</f>
        <v>3.03</v>
      </c>
      <c r="X342" s="999">
        <f>ROUND(NOMINA!BO312,2)</f>
        <v>0</v>
      </c>
      <c r="Y342" s="999">
        <f>ROUND(NOMINA!BP312,2)</f>
        <v>0</v>
      </c>
      <c r="Z342" s="986">
        <f t="shared" ref="Z342" si="43">ROUND(SUM(U331:Y331),2)</f>
        <v>6097.92</v>
      </c>
      <c r="AA342" s="999">
        <f>ROUND(NOMINA!BK312,2)*0</f>
        <v>0</v>
      </c>
      <c r="AB342" s="866">
        <f t="shared" ref="AB342" si="44">+O342+P342+Q342+R342+S342-(U342+V342+W342+X342+Y342)+AA342</f>
        <v>135.87</v>
      </c>
    </row>
    <row r="343" spans="1:28" s="629" customFormat="1" ht="20.100000000000001" customHeight="1" thickBot="1">
      <c r="A343" s="770" t="s">
        <v>2834</v>
      </c>
      <c r="B343" s="510">
        <f t="shared" ref="B343:B406" si="45">+B342+1</f>
        <v>2</v>
      </c>
      <c r="C343" s="1009">
        <f>+NOMINA!C313</f>
        <v>5757455</v>
      </c>
      <c r="D343" s="1010" t="str">
        <f>+NOMINA!D313</f>
        <v>Ramirez Garcia Maria Perpetua</v>
      </c>
      <c r="E343" s="978" t="s">
        <v>4622</v>
      </c>
      <c r="F343" s="1001">
        <v>27853</v>
      </c>
      <c r="G343" s="978" t="s">
        <v>4620</v>
      </c>
      <c r="H343" s="1011">
        <f>+NOMINA!H313</f>
        <v>39409</v>
      </c>
      <c r="I343" s="984">
        <f>+NOMINA!I313</f>
        <v>17</v>
      </c>
      <c r="J343" s="985">
        <f>+NOMINA!J313</f>
        <v>0</v>
      </c>
      <c r="K343" s="984">
        <f t="shared" ref="K343:K406" si="46">I343+J343</f>
        <v>17</v>
      </c>
      <c r="L343" s="985" t="s">
        <v>4932</v>
      </c>
      <c r="M343" s="985"/>
      <c r="N343" s="1002" t="str">
        <f>+NOMINA!O313</f>
        <v>Cocinera</v>
      </c>
      <c r="O343" s="999">
        <f>ROUND(NOMINA!W313,2)</f>
        <v>85.5</v>
      </c>
      <c r="P343" s="999">
        <f>NOMINA!AF313</f>
        <v>18.13</v>
      </c>
      <c r="Q343" s="999">
        <f>NOMINA!AH313</f>
        <v>65</v>
      </c>
      <c r="R343" s="999">
        <f>NOMINA!AC313</f>
        <v>0</v>
      </c>
      <c r="S343" s="999">
        <f>NOMINA!AJ313</f>
        <v>0</v>
      </c>
      <c r="T343" s="986">
        <f t="shared" ref="T343:T406" si="47">+P304+Q304+R304+S304</f>
        <v>115.07999999999998</v>
      </c>
      <c r="U343" s="999">
        <f>ROUND(NOMINA!BL313,2)</f>
        <v>0</v>
      </c>
      <c r="V343" s="999">
        <f>ROUND(NOMINA!BM313,2)</f>
        <v>0</v>
      </c>
      <c r="W343" s="999">
        <f>ROUND(+NOMINA!BN313,2)</f>
        <v>3.37</v>
      </c>
      <c r="X343" s="999">
        <f>ROUND(NOMINA!BO313,2)</f>
        <v>0</v>
      </c>
      <c r="Y343" s="999">
        <f>ROUND(NOMINA!BP313,2)</f>
        <v>0</v>
      </c>
      <c r="Z343" s="986">
        <f t="shared" ref="Z343:Z406" si="48">ROUND(SUM(U332:Y332),2)</f>
        <v>0</v>
      </c>
      <c r="AA343" s="999">
        <f>ROUND(NOMINA!BK313,2)*0</f>
        <v>0</v>
      </c>
      <c r="AB343" s="866">
        <f t="shared" ref="AB343:AB406" si="49">+O343+P343+Q343+R343+S343-(U343+V343+W343+X343+Y343)+AA343</f>
        <v>165.26</v>
      </c>
    </row>
    <row r="344" spans="1:28" s="629" customFormat="1" ht="20.100000000000001" customHeight="1" thickBot="1">
      <c r="A344" s="770" t="s">
        <v>2834</v>
      </c>
      <c r="B344" s="510">
        <f t="shared" si="45"/>
        <v>3</v>
      </c>
      <c r="C344" s="1009">
        <f>+NOMINA!C314</f>
        <v>5762185</v>
      </c>
      <c r="D344" s="1010" t="str">
        <f>+NOMINA!D314</f>
        <v>Salas Quintero Jose Gregorio</v>
      </c>
      <c r="E344" s="978" t="s">
        <v>4622</v>
      </c>
      <c r="F344" s="1001">
        <v>27853</v>
      </c>
      <c r="G344" s="978" t="s">
        <v>4620</v>
      </c>
      <c r="H344" s="1011">
        <f>+NOMINA!H314</f>
        <v>37622</v>
      </c>
      <c r="I344" s="984">
        <f>+NOMINA!I314</f>
        <v>22</v>
      </c>
      <c r="J344" s="985">
        <f>+NOMINA!J314</f>
        <v>0</v>
      </c>
      <c r="K344" s="984">
        <f t="shared" si="46"/>
        <v>22</v>
      </c>
      <c r="L344" s="985" t="s">
        <v>4932</v>
      </c>
      <c r="M344" s="985"/>
      <c r="N344" s="1002" t="str">
        <f>+NOMINA!O314</f>
        <v xml:space="preserve">Vigilante  </v>
      </c>
      <c r="O344" s="999">
        <f>ROUND(NOMINA!W314,2)</f>
        <v>85.5</v>
      </c>
      <c r="P344" s="999">
        <f>NOMINA!AF314</f>
        <v>25.31</v>
      </c>
      <c r="Q344" s="999">
        <f>NOMINA!AH314</f>
        <v>65</v>
      </c>
      <c r="R344" s="999">
        <f>NOMINA!AC314</f>
        <v>0</v>
      </c>
      <c r="S344" s="999">
        <f>NOMINA!AJ314</f>
        <v>0</v>
      </c>
      <c r="T344" s="986">
        <f t="shared" si="47"/>
        <v>90.65</v>
      </c>
      <c r="U344" s="999">
        <f>ROUND(NOMINA!BL314,2)</f>
        <v>12.98</v>
      </c>
      <c r="V344" s="999">
        <f>ROUND(NOMINA!BM314,2)</f>
        <v>1.62</v>
      </c>
      <c r="W344" s="999">
        <f>ROUND(+NOMINA!BN314,2)</f>
        <v>3.52</v>
      </c>
      <c r="X344" s="999">
        <f>ROUND(NOMINA!BO314,2)</f>
        <v>0</v>
      </c>
      <c r="Y344" s="999">
        <f>ROUND(NOMINA!BP314,2)</f>
        <v>0</v>
      </c>
      <c r="Z344" s="986">
        <f t="shared" si="48"/>
        <v>0</v>
      </c>
      <c r="AA344" s="999">
        <f>ROUND(NOMINA!BK314,2)*0</f>
        <v>0</v>
      </c>
      <c r="AB344" s="866">
        <f t="shared" si="49"/>
        <v>157.69</v>
      </c>
    </row>
    <row r="345" spans="1:28" s="629" customFormat="1" ht="20.100000000000001" customHeight="1" thickBot="1">
      <c r="A345" s="770" t="s">
        <v>2834</v>
      </c>
      <c r="B345" s="510">
        <f t="shared" si="45"/>
        <v>4</v>
      </c>
      <c r="C345" s="1009">
        <f>+NOMINA!C315</f>
        <v>6332524</v>
      </c>
      <c r="D345" s="1010" t="str">
        <f>+NOMINA!D315</f>
        <v>Flores Diana Yamilet</v>
      </c>
      <c r="E345" s="978" t="s">
        <v>4622</v>
      </c>
      <c r="F345" s="1001">
        <v>27853</v>
      </c>
      <c r="G345" s="978" t="s">
        <v>4620</v>
      </c>
      <c r="H345" s="1011">
        <f>+NOMINA!H315</f>
        <v>42948</v>
      </c>
      <c r="I345" s="984">
        <f>+NOMINA!I315</f>
        <v>7</v>
      </c>
      <c r="J345" s="985">
        <f>+NOMINA!J315</f>
        <v>0</v>
      </c>
      <c r="K345" s="984">
        <f t="shared" si="46"/>
        <v>7</v>
      </c>
      <c r="L345" s="985" t="s">
        <v>4932</v>
      </c>
      <c r="M345" s="985"/>
      <c r="N345" s="1002" t="str">
        <f>+NOMINA!O315</f>
        <v>Cocinera</v>
      </c>
      <c r="O345" s="999">
        <f>ROUND(NOMINA!W315,2)</f>
        <v>85.5</v>
      </c>
      <c r="P345" s="999">
        <f>NOMINA!AF315</f>
        <v>6.33</v>
      </c>
      <c r="Q345" s="999">
        <f>NOMINA!AH315</f>
        <v>65</v>
      </c>
      <c r="R345" s="999">
        <f>NOMINA!AC315</f>
        <v>0</v>
      </c>
      <c r="S345" s="999">
        <f>NOMINA!AJ315</f>
        <v>0</v>
      </c>
      <c r="T345" s="986">
        <f t="shared" si="47"/>
        <v>115.07999999999998</v>
      </c>
      <c r="U345" s="999">
        <f>ROUND(NOMINA!BL315,2)</f>
        <v>11.58</v>
      </c>
      <c r="V345" s="999">
        <f>ROUND(NOMINA!BM315,2)</f>
        <v>1.45</v>
      </c>
      <c r="W345" s="999">
        <f>ROUND(+NOMINA!BN315,2)</f>
        <v>3.14</v>
      </c>
      <c r="X345" s="999">
        <f>ROUND(NOMINA!BO315,2)</f>
        <v>0</v>
      </c>
      <c r="Y345" s="999">
        <f>ROUND(NOMINA!BP315,2)</f>
        <v>0</v>
      </c>
      <c r="Z345" s="986">
        <f t="shared" si="48"/>
        <v>0</v>
      </c>
      <c r="AA345" s="999">
        <f>ROUND(NOMINA!BK315,2)*0</f>
        <v>0</v>
      </c>
      <c r="AB345" s="866">
        <f t="shared" si="49"/>
        <v>140.66</v>
      </c>
    </row>
    <row r="346" spans="1:28" s="629" customFormat="1" ht="20.100000000000001" customHeight="1" thickBot="1">
      <c r="A346" s="770" t="s">
        <v>2834</v>
      </c>
      <c r="B346" s="510">
        <f t="shared" si="45"/>
        <v>5</v>
      </c>
      <c r="C346" s="1009">
        <f>+NOMINA!C316</f>
        <v>6902701</v>
      </c>
      <c r="D346" s="1010" t="str">
        <f>+NOMINA!D316</f>
        <v>Santiago Torres Jose Ramon</v>
      </c>
      <c r="E346" s="978" t="s">
        <v>4622</v>
      </c>
      <c r="F346" s="1001">
        <v>27853</v>
      </c>
      <c r="G346" s="978" t="s">
        <v>4620</v>
      </c>
      <c r="H346" s="1011">
        <f>+NOMINA!H316</f>
        <v>44228</v>
      </c>
      <c r="I346" s="984">
        <f>+NOMINA!I316</f>
        <v>3</v>
      </c>
      <c r="J346" s="985">
        <f>+NOMINA!J316</f>
        <v>0</v>
      </c>
      <c r="K346" s="984">
        <f t="shared" si="46"/>
        <v>3</v>
      </c>
      <c r="L346" s="985" t="s">
        <v>4932</v>
      </c>
      <c r="M346" s="985"/>
      <c r="N346" s="1002" t="str">
        <f>+NOMINA!O316</f>
        <v>Mensajero</v>
      </c>
      <c r="O346" s="999">
        <f>ROUND(NOMINA!W316,2)</f>
        <v>71</v>
      </c>
      <c r="P346" s="999">
        <f>NOMINA!AF316</f>
        <v>2.13</v>
      </c>
      <c r="Q346" s="999">
        <f>NOMINA!AH316</f>
        <v>65</v>
      </c>
      <c r="R346" s="999">
        <f>NOMINA!AC316</f>
        <v>12.5</v>
      </c>
      <c r="S346" s="999">
        <f>NOMINA!AJ316</f>
        <v>0</v>
      </c>
      <c r="T346" s="986">
        <f t="shared" si="47"/>
        <v>121.08</v>
      </c>
      <c r="U346" s="999">
        <f>ROUND(NOMINA!BL316,2)</f>
        <v>10.66</v>
      </c>
      <c r="V346" s="999">
        <f>ROUND(NOMINA!BM316,2)</f>
        <v>1.33</v>
      </c>
      <c r="W346" s="999">
        <f>ROUND(+NOMINA!BN316,2)</f>
        <v>2.89</v>
      </c>
      <c r="X346" s="999">
        <f>ROUND(NOMINA!BO316,2)</f>
        <v>0</v>
      </c>
      <c r="Y346" s="999">
        <f>ROUND(NOMINA!BP316,2)</f>
        <v>0</v>
      </c>
      <c r="Z346" s="986">
        <f t="shared" si="48"/>
        <v>0</v>
      </c>
      <c r="AA346" s="999">
        <f>ROUND(NOMINA!BK316,2)*0</f>
        <v>0</v>
      </c>
      <c r="AB346" s="866">
        <f t="shared" si="49"/>
        <v>135.75</v>
      </c>
    </row>
    <row r="347" spans="1:28" s="629" customFormat="1" ht="20.100000000000001" customHeight="1" thickBot="1">
      <c r="A347" s="770" t="s">
        <v>2834</v>
      </c>
      <c r="B347" s="510">
        <f t="shared" si="45"/>
        <v>6</v>
      </c>
      <c r="C347" s="1009">
        <f>+NOMINA!C317</f>
        <v>7252065</v>
      </c>
      <c r="D347" s="1010" t="str">
        <f>+NOMINA!D317</f>
        <v>Rivas Rivas Jose Gerardo</v>
      </c>
      <c r="E347" s="978" t="s">
        <v>4622</v>
      </c>
      <c r="F347" s="1001">
        <v>27853</v>
      </c>
      <c r="G347" s="978" t="s">
        <v>4620</v>
      </c>
      <c r="H347" s="1011">
        <f>+NOMINA!H317</f>
        <v>43891</v>
      </c>
      <c r="I347" s="984">
        <f>+NOMINA!I317</f>
        <v>4</v>
      </c>
      <c r="J347" s="985">
        <f>+NOMINA!J317</f>
        <v>0</v>
      </c>
      <c r="K347" s="984">
        <f t="shared" si="46"/>
        <v>4</v>
      </c>
      <c r="L347" s="985" t="s">
        <v>4932</v>
      </c>
      <c r="M347" s="985"/>
      <c r="N347" s="1002" t="str">
        <f>+NOMINA!O317</f>
        <v>Ayudante de Servicios Generales</v>
      </c>
      <c r="O347" s="999">
        <f>ROUND(NOMINA!W317,2)</f>
        <v>76</v>
      </c>
      <c r="P347" s="999">
        <f>NOMINA!AF317</f>
        <v>3.04</v>
      </c>
      <c r="Q347" s="999">
        <f>NOMINA!AH317</f>
        <v>65</v>
      </c>
      <c r="R347" s="999">
        <f>NOMINA!AC317</f>
        <v>0</v>
      </c>
      <c r="S347" s="999">
        <f>NOMINA!AJ317</f>
        <v>0</v>
      </c>
      <c r="T347" s="986">
        <f t="shared" si="47"/>
        <v>126.07</v>
      </c>
      <c r="U347" s="999">
        <f>ROUND(NOMINA!BL317,2)</f>
        <v>13.83</v>
      </c>
      <c r="V347" s="999">
        <f>ROUND(NOMINA!BM317,2)</f>
        <v>1.73</v>
      </c>
      <c r="W347" s="999">
        <f>ROUND(+NOMINA!BN317,2)</f>
        <v>3.75</v>
      </c>
      <c r="X347" s="999">
        <f>ROUND(NOMINA!BO317,2)</f>
        <v>0</v>
      </c>
      <c r="Y347" s="999">
        <f>ROUND(NOMINA!BP317,2)</f>
        <v>0</v>
      </c>
      <c r="Z347" s="986">
        <f t="shared" si="48"/>
        <v>0</v>
      </c>
      <c r="AA347" s="999">
        <f>ROUND(NOMINA!BK317,2)*0</f>
        <v>0</v>
      </c>
      <c r="AB347" s="866">
        <f t="shared" si="49"/>
        <v>124.73000000000002</v>
      </c>
    </row>
    <row r="348" spans="1:28" s="629" customFormat="1" ht="20.100000000000001" customHeight="1" thickBot="1">
      <c r="A348" s="770" t="s">
        <v>2834</v>
      </c>
      <c r="B348" s="510">
        <f t="shared" si="45"/>
        <v>7</v>
      </c>
      <c r="C348" s="1009">
        <f>+NOMINA!C318</f>
        <v>9008311</v>
      </c>
      <c r="D348" s="1010" t="str">
        <f>+NOMINA!D318</f>
        <v>Toro Margi Enrique</v>
      </c>
      <c r="E348" s="978" t="s">
        <v>4622</v>
      </c>
      <c r="F348" s="1001">
        <v>27853</v>
      </c>
      <c r="G348" s="978" t="s">
        <v>4620</v>
      </c>
      <c r="H348" s="1011">
        <f>+NOMINA!H318</f>
        <v>39265</v>
      </c>
      <c r="I348" s="984">
        <f>+NOMINA!I318</f>
        <v>17</v>
      </c>
      <c r="J348" s="985">
        <f>+NOMINA!J318</f>
        <v>0</v>
      </c>
      <c r="K348" s="984">
        <f t="shared" si="46"/>
        <v>17</v>
      </c>
      <c r="L348" s="985" t="s">
        <v>4932</v>
      </c>
      <c r="M348" s="985"/>
      <c r="N348" s="1002" t="str">
        <f>+NOMINA!O318</f>
        <v>Ayudante de Servicios Generales</v>
      </c>
      <c r="O348" s="999">
        <f>ROUND(NOMINA!W318,2)</f>
        <v>76</v>
      </c>
      <c r="P348" s="999">
        <f>NOMINA!AF318</f>
        <v>16.11</v>
      </c>
      <c r="Q348" s="999">
        <f>NOMINA!AH318</f>
        <v>65</v>
      </c>
      <c r="R348" s="999">
        <f>NOMINA!AC318</f>
        <v>0</v>
      </c>
      <c r="S348" s="999">
        <f>NOMINA!AJ318</f>
        <v>0</v>
      </c>
      <c r="T348" s="986">
        <f t="shared" si="47"/>
        <v>92.25</v>
      </c>
      <c r="U348" s="999">
        <f>ROUND(NOMINA!BL318,2)</f>
        <v>11.6</v>
      </c>
      <c r="V348" s="999">
        <f>ROUND(NOMINA!BM318,2)</f>
        <v>1.45</v>
      </c>
      <c r="W348" s="999">
        <f>ROUND(+NOMINA!BN318,2)</f>
        <v>3.14</v>
      </c>
      <c r="X348" s="999">
        <f>ROUND(NOMINA!BO318,2)</f>
        <v>0</v>
      </c>
      <c r="Y348" s="999">
        <f>ROUND(NOMINA!BP318,2)</f>
        <v>0</v>
      </c>
      <c r="Z348" s="986">
        <f t="shared" si="48"/>
        <v>0</v>
      </c>
      <c r="AA348" s="999">
        <f>ROUND(NOMINA!BK318,2)*0</f>
        <v>0</v>
      </c>
      <c r="AB348" s="866">
        <f t="shared" si="49"/>
        <v>140.92000000000002</v>
      </c>
    </row>
    <row r="349" spans="1:28" s="629" customFormat="1" ht="20.100000000000001" customHeight="1" thickBot="1">
      <c r="A349" s="770" t="s">
        <v>2834</v>
      </c>
      <c r="B349" s="510">
        <f t="shared" si="45"/>
        <v>8</v>
      </c>
      <c r="C349" s="1009">
        <f>+NOMINA!C319</f>
        <v>9011963</v>
      </c>
      <c r="D349" s="1010" t="str">
        <f>+NOMINA!D319</f>
        <v>Alarcon Argenio</v>
      </c>
      <c r="E349" s="978" t="s">
        <v>4622</v>
      </c>
      <c r="F349" s="1001">
        <v>27853</v>
      </c>
      <c r="G349" s="978" t="s">
        <v>4620</v>
      </c>
      <c r="H349" s="1011">
        <f>+NOMINA!H319</f>
        <v>39820</v>
      </c>
      <c r="I349" s="984">
        <f>+NOMINA!I319</f>
        <v>16</v>
      </c>
      <c r="J349" s="985">
        <f>+NOMINA!J319</f>
        <v>0</v>
      </c>
      <c r="K349" s="984">
        <f t="shared" si="46"/>
        <v>16</v>
      </c>
      <c r="L349" s="985" t="s">
        <v>4932</v>
      </c>
      <c r="M349" s="985"/>
      <c r="N349" s="1002" t="str">
        <f>+NOMINA!O319</f>
        <v>Ayudante de Servicios Generales</v>
      </c>
      <c r="O349" s="999">
        <f>ROUND(NOMINA!W319,2)</f>
        <v>76</v>
      </c>
      <c r="P349" s="999">
        <f>NOMINA!AF319</f>
        <v>14.9</v>
      </c>
      <c r="Q349" s="999">
        <f>NOMINA!AH319</f>
        <v>65</v>
      </c>
      <c r="R349" s="999">
        <f>NOMINA!AC319</f>
        <v>0</v>
      </c>
      <c r="S349" s="999">
        <f>NOMINA!AJ319</f>
        <v>0</v>
      </c>
      <c r="T349" s="986">
        <f t="shared" si="47"/>
        <v>138.60000000000002</v>
      </c>
      <c r="U349" s="999">
        <f>ROUND(NOMINA!BL319,2)</f>
        <v>0</v>
      </c>
      <c r="V349" s="999">
        <f>ROUND(NOMINA!BM319,2)</f>
        <v>0</v>
      </c>
      <c r="W349" s="999">
        <f>ROUND(+NOMINA!BN319,2)</f>
        <v>3.12</v>
      </c>
      <c r="X349" s="999">
        <f>ROUND(NOMINA!BO319,2)</f>
        <v>0</v>
      </c>
      <c r="Y349" s="999">
        <f>ROUND(NOMINA!BP319,2)</f>
        <v>0</v>
      </c>
      <c r="Z349" s="986">
        <f t="shared" si="48"/>
        <v>0</v>
      </c>
      <c r="AA349" s="999">
        <f>ROUND(NOMINA!BK319,2)*0</f>
        <v>0</v>
      </c>
      <c r="AB349" s="866">
        <f t="shared" si="49"/>
        <v>152.78</v>
      </c>
    </row>
    <row r="350" spans="1:28" s="629" customFormat="1" ht="20.100000000000001" customHeight="1" thickBot="1">
      <c r="A350" s="770" t="s">
        <v>2834</v>
      </c>
      <c r="B350" s="510">
        <f t="shared" si="45"/>
        <v>9</v>
      </c>
      <c r="C350" s="1009">
        <f>+NOMINA!C320</f>
        <v>9100500</v>
      </c>
      <c r="D350" s="1010" t="str">
        <f>+NOMINA!D320</f>
        <v>Hernandez de Villegas Zoraida Elodia</v>
      </c>
      <c r="E350" s="978" t="s">
        <v>4622</v>
      </c>
      <c r="F350" s="1001">
        <v>27853</v>
      </c>
      <c r="G350" s="978" t="s">
        <v>4620</v>
      </c>
      <c r="H350" s="1011">
        <f>+NOMINA!H320</f>
        <v>39496</v>
      </c>
      <c r="I350" s="984">
        <f>+NOMINA!I320</f>
        <v>16</v>
      </c>
      <c r="J350" s="985">
        <f>+NOMINA!J320</f>
        <v>0</v>
      </c>
      <c r="K350" s="984">
        <f t="shared" si="46"/>
        <v>16</v>
      </c>
      <c r="L350" s="985" t="s">
        <v>4932</v>
      </c>
      <c r="M350" s="985"/>
      <c r="N350" s="1002" t="str">
        <f>+NOMINA!O320</f>
        <v>Aseadora</v>
      </c>
      <c r="O350" s="999">
        <f>ROUND(NOMINA!W320,2)</f>
        <v>65</v>
      </c>
      <c r="P350" s="999">
        <f>NOMINA!AF320</f>
        <v>12.74</v>
      </c>
      <c r="Q350" s="999">
        <f>NOMINA!AH320</f>
        <v>65</v>
      </c>
      <c r="R350" s="999">
        <f>NOMINA!AC320</f>
        <v>0</v>
      </c>
      <c r="S350" s="999">
        <f>NOMINA!AJ320</f>
        <v>0</v>
      </c>
      <c r="T350" s="986">
        <f t="shared" si="47"/>
        <v>79.75</v>
      </c>
      <c r="U350" s="999">
        <f>ROUND(NOMINA!BL320,2)</f>
        <v>10.54</v>
      </c>
      <c r="V350" s="999">
        <f>ROUND(NOMINA!BM320,2)</f>
        <v>1.32</v>
      </c>
      <c r="W350" s="999">
        <f>ROUND(+NOMINA!BN320,2)</f>
        <v>2.85</v>
      </c>
      <c r="X350" s="999">
        <f>ROUND(NOMINA!BO320,2)</f>
        <v>0</v>
      </c>
      <c r="Y350" s="999">
        <f>ROUND(NOMINA!BP320,2)</f>
        <v>0</v>
      </c>
      <c r="Z350" s="986">
        <f t="shared" si="48"/>
        <v>0</v>
      </c>
      <c r="AA350" s="999">
        <f>ROUND(NOMINA!BK320,2)*0</f>
        <v>0</v>
      </c>
      <c r="AB350" s="866">
        <f t="shared" si="49"/>
        <v>128.03</v>
      </c>
    </row>
    <row r="351" spans="1:28" s="629" customFormat="1" ht="20.100000000000001" customHeight="1" thickBot="1">
      <c r="A351" s="770" t="s">
        <v>2834</v>
      </c>
      <c r="B351" s="510">
        <f t="shared" si="45"/>
        <v>10</v>
      </c>
      <c r="C351" s="1009">
        <f>+NOMINA!C321</f>
        <v>9110498</v>
      </c>
      <c r="D351" s="1010" t="str">
        <f>+NOMINA!D321</f>
        <v>Ruiz Alberto Jose</v>
      </c>
      <c r="E351" s="978" t="s">
        <v>4622</v>
      </c>
      <c r="F351" s="1001">
        <v>27853</v>
      </c>
      <c r="G351" s="978" t="s">
        <v>4620</v>
      </c>
      <c r="H351" s="1011">
        <f>+NOMINA!H321</f>
        <v>37508</v>
      </c>
      <c r="I351" s="984">
        <f>+NOMINA!I321</f>
        <v>22</v>
      </c>
      <c r="J351" s="985">
        <f>+NOMINA!J321</f>
        <v>0</v>
      </c>
      <c r="K351" s="984">
        <f t="shared" si="46"/>
        <v>22</v>
      </c>
      <c r="L351" s="985" t="s">
        <v>4932</v>
      </c>
      <c r="M351" s="985"/>
      <c r="N351" s="1002" t="str">
        <f>+NOMINA!O321</f>
        <v>Ayudante de Servicios Generales</v>
      </c>
      <c r="O351" s="999">
        <f>ROUND(NOMINA!W321,2)</f>
        <v>76</v>
      </c>
      <c r="P351" s="999">
        <f>NOMINA!AF321</f>
        <v>22.5</v>
      </c>
      <c r="Q351" s="999">
        <f>NOMINA!AH321</f>
        <v>65</v>
      </c>
      <c r="R351" s="999">
        <f>NOMINA!AC321</f>
        <v>0</v>
      </c>
      <c r="S351" s="999">
        <f>NOMINA!AJ321</f>
        <v>0</v>
      </c>
      <c r="T351" s="986">
        <f t="shared" si="47"/>
        <v>79.75</v>
      </c>
      <c r="U351" s="999">
        <f>ROUND(NOMINA!BL321,2)</f>
        <v>12.07</v>
      </c>
      <c r="V351" s="999">
        <f>ROUND(NOMINA!BM321,2)</f>
        <v>1.51</v>
      </c>
      <c r="W351" s="999">
        <f>ROUND(+NOMINA!BN321,2)</f>
        <v>3.27</v>
      </c>
      <c r="X351" s="999">
        <f>ROUND(NOMINA!BO321,2)</f>
        <v>1.52</v>
      </c>
      <c r="Y351" s="999">
        <f>ROUND(NOMINA!BP321,2)</f>
        <v>0</v>
      </c>
      <c r="Z351" s="986">
        <f t="shared" si="48"/>
        <v>0</v>
      </c>
      <c r="AA351" s="999">
        <f>ROUND(NOMINA!BK321,2)*0</f>
        <v>0</v>
      </c>
      <c r="AB351" s="866">
        <f t="shared" si="49"/>
        <v>145.13</v>
      </c>
    </row>
    <row r="352" spans="1:28" s="629" customFormat="1" ht="20.100000000000001" customHeight="1" thickBot="1">
      <c r="A352" s="770" t="s">
        <v>2834</v>
      </c>
      <c r="B352" s="510">
        <f t="shared" si="45"/>
        <v>11</v>
      </c>
      <c r="C352" s="1009">
        <f>+NOMINA!C322</f>
        <v>9163994</v>
      </c>
      <c r="D352" s="1010" t="str">
        <f>+NOMINA!D322</f>
        <v>Rodriguez Fernandez Carlos Eduardo</v>
      </c>
      <c r="E352" s="978" t="s">
        <v>4622</v>
      </c>
      <c r="F352" s="1001">
        <v>27853</v>
      </c>
      <c r="G352" s="978" t="s">
        <v>4620</v>
      </c>
      <c r="H352" s="1011">
        <f>+NOMINA!H322</f>
        <v>43770</v>
      </c>
      <c r="I352" s="984">
        <f>+NOMINA!I322</f>
        <v>5</v>
      </c>
      <c r="J352" s="985">
        <f>+NOMINA!J322</f>
        <v>0</v>
      </c>
      <c r="K352" s="984">
        <f t="shared" si="46"/>
        <v>5</v>
      </c>
      <c r="L352" s="985" t="s">
        <v>4932</v>
      </c>
      <c r="M352" s="985"/>
      <c r="N352" s="1002" t="str">
        <f>+NOMINA!O322</f>
        <v>Ayudante de Almacen</v>
      </c>
      <c r="O352" s="999">
        <f>ROUND(NOMINA!W322,2)</f>
        <v>85.5</v>
      </c>
      <c r="P352" s="999">
        <f>NOMINA!AF322</f>
        <v>4.28</v>
      </c>
      <c r="Q352" s="999">
        <f>NOMINA!AH322</f>
        <v>65</v>
      </c>
      <c r="R352" s="999">
        <f>NOMINA!AC322</f>
        <v>0</v>
      </c>
      <c r="S352" s="999">
        <f>NOMINA!AJ322</f>
        <v>0</v>
      </c>
      <c r="T352" s="986">
        <f t="shared" si="47"/>
        <v>77.5</v>
      </c>
      <c r="U352" s="999">
        <f>ROUND(NOMINA!BL322,2)</f>
        <v>11.43</v>
      </c>
      <c r="V352" s="999">
        <f>ROUND(NOMINA!BM322,2)</f>
        <v>1.43</v>
      </c>
      <c r="W352" s="999">
        <f>ROUND(+NOMINA!BN322,2)</f>
        <v>3.1</v>
      </c>
      <c r="X352" s="999">
        <f>ROUND(NOMINA!BO322,2)</f>
        <v>0</v>
      </c>
      <c r="Y352" s="999">
        <f>ROUND(NOMINA!BP322,2)</f>
        <v>0</v>
      </c>
      <c r="Z352" s="986">
        <f t="shared" si="48"/>
        <v>0</v>
      </c>
      <c r="AA352" s="999">
        <f>ROUND(NOMINA!BK322,2)*0</f>
        <v>0</v>
      </c>
      <c r="AB352" s="866">
        <f t="shared" si="49"/>
        <v>138.82</v>
      </c>
    </row>
    <row r="353" spans="1:28" s="629" customFormat="1" ht="20.100000000000001" customHeight="1" thickBot="1">
      <c r="A353" s="770" t="s">
        <v>2834</v>
      </c>
      <c r="B353" s="510">
        <f t="shared" si="45"/>
        <v>12</v>
      </c>
      <c r="C353" s="1009">
        <f>+NOMINA!C323</f>
        <v>9167342</v>
      </c>
      <c r="D353" s="1010" t="str">
        <f>+NOMINA!D323</f>
        <v>Gutierrez Briceño Jose Justimiano</v>
      </c>
      <c r="E353" s="978" t="s">
        <v>4622</v>
      </c>
      <c r="F353" s="1001">
        <v>27853</v>
      </c>
      <c r="G353" s="978" t="s">
        <v>4620</v>
      </c>
      <c r="H353" s="1011">
        <f>+NOMINA!H323</f>
        <v>43845</v>
      </c>
      <c r="I353" s="984">
        <f>+NOMINA!I323</f>
        <v>5</v>
      </c>
      <c r="J353" s="985">
        <f>+NOMINA!J323</f>
        <v>0</v>
      </c>
      <c r="K353" s="984">
        <f t="shared" si="46"/>
        <v>5</v>
      </c>
      <c r="L353" s="985" t="s">
        <v>4932</v>
      </c>
      <c r="M353" s="985"/>
      <c r="N353" s="1002" t="str">
        <f>+NOMINA!O323</f>
        <v>Ayudante Agropecuario</v>
      </c>
      <c r="O353" s="999">
        <f>ROUND(NOMINA!W323,2)</f>
        <v>76</v>
      </c>
      <c r="P353" s="999">
        <f>NOMINA!AF323</f>
        <v>3.8</v>
      </c>
      <c r="Q353" s="999">
        <f>NOMINA!AH323</f>
        <v>65</v>
      </c>
      <c r="R353" s="999">
        <f>NOMINA!AC323</f>
        <v>0</v>
      </c>
      <c r="S353" s="999">
        <f>NOMINA!AJ323</f>
        <v>0</v>
      </c>
      <c r="T353" s="986">
        <f t="shared" si="47"/>
        <v>77.5</v>
      </c>
      <c r="U353" s="999">
        <f>ROUND(NOMINA!BL323,2)</f>
        <v>10.69</v>
      </c>
      <c r="V353" s="999">
        <f>ROUND(NOMINA!BM323,2)</f>
        <v>1.34</v>
      </c>
      <c r="W353" s="999">
        <f>ROUND(+NOMINA!BN323,2)</f>
        <v>2.9</v>
      </c>
      <c r="X353" s="999">
        <f>ROUND(NOMINA!BO323,2)</f>
        <v>0</v>
      </c>
      <c r="Y353" s="999">
        <f>ROUND(NOMINA!BP323,2)</f>
        <v>0</v>
      </c>
      <c r="Z353" s="986">
        <f t="shared" si="48"/>
        <v>15.62</v>
      </c>
      <c r="AA353" s="999">
        <f>ROUND(NOMINA!BK323,2)*0</f>
        <v>0</v>
      </c>
      <c r="AB353" s="866">
        <f t="shared" si="49"/>
        <v>129.87</v>
      </c>
    </row>
    <row r="354" spans="1:28" s="629" customFormat="1" ht="20.100000000000001" customHeight="1" thickBot="1">
      <c r="A354" s="770" t="s">
        <v>2834</v>
      </c>
      <c r="B354" s="510">
        <f t="shared" si="45"/>
        <v>13</v>
      </c>
      <c r="C354" s="1009">
        <f>+NOMINA!C324</f>
        <v>9310477</v>
      </c>
      <c r="D354" s="1010" t="str">
        <f>+NOMINA!D324</f>
        <v>Campos Muchacho Rafael Angel</v>
      </c>
      <c r="E354" s="978" t="s">
        <v>4622</v>
      </c>
      <c r="F354" s="1001">
        <v>27853</v>
      </c>
      <c r="G354" s="978" t="s">
        <v>4620</v>
      </c>
      <c r="H354" s="1011">
        <f>+NOMINA!H324</f>
        <v>44075</v>
      </c>
      <c r="I354" s="984">
        <f>+NOMINA!I324</f>
        <v>4</v>
      </c>
      <c r="J354" s="985">
        <f>+NOMINA!J324</f>
        <v>0</v>
      </c>
      <c r="K354" s="984">
        <f t="shared" si="46"/>
        <v>4</v>
      </c>
      <c r="L354" s="985" t="s">
        <v>4932</v>
      </c>
      <c r="M354" s="985"/>
      <c r="N354" s="1002" t="str">
        <f>+NOMINA!O324</f>
        <v>Ayudante Agropecuario</v>
      </c>
      <c r="O354" s="999">
        <f>ROUND(NOMINA!W324,2)</f>
        <v>76</v>
      </c>
      <c r="P354" s="999">
        <f>NOMINA!AF324</f>
        <v>3.04</v>
      </c>
      <c r="Q354" s="999">
        <f>NOMINA!AH324</f>
        <v>65</v>
      </c>
      <c r="R354" s="999">
        <f>NOMINA!AC324</f>
        <v>0</v>
      </c>
      <c r="S354" s="999">
        <f>NOMINA!AJ324</f>
        <v>0</v>
      </c>
      <c r="T354" s="986">
        <f t="shared" si="47"/>
        <v>77.5</v>
      </c>
      <c r="U354" s="999">
        <f>ROUND(NOMINA!BL324,2)</f>
        <v>10.64</v>
      </c>
      <c r="V354" s="999">
        <f>ROUND(NOMINA!BM324,2)</f>
        <v>1.33</v>
      </c>
      <c r="W354" s="999">
        <f>ROUND(+NOMINA!BN324,2)</f>
        <v>2.88</v>
      </c>
      <c r="X354" s="999">
        <f>ROUND(NOMINA!BO324,2)</f>
        <v>0</v>
      </c>
      <c r="Y354" s="999">
        <f>ROUND(NOMINA!BP324,2)</f>
        <v>0</v>
      </c>
      <c r="Z354" s="986">
        <f t="shared" si="48"/>
        <v>3.37</v>
      </c>
      <c r="AA354" s="999">
        <f>ROUND(NOMINA!BK324,2)*0</f>
        <v>0</v>
      </c>
      <c r="AB354" s="866">
        <f t="shared" si="49"/>
        <v>129.19000000000003</v>
      </c>
    </row>
    <row r="355" spans="1:28" s="629" customFormat="1" ht="20.100000000000001" customHeight="1" thickBot="1">
      <c r="A355" s="770" t="s">
        <v>2834</v>
      </c>
      <c r="B355" s="510">
        <f t="shared" si="45"/>
        <v>14</v>
      </c>
      <c r="C355" s="1009">
        <f>+NOMINA!C325</f>
        <v>9323739</v>
      </c>
      <c r="D355" s="1010" t="str">
        <f>+NOMINA!D325</f>
        <v>Vargas Benitez Jose Nerio</v>
      </c>
      <c r="E355" s="978" t="s">
        <v>4622</v>
      </c>
      <c r="F355" s="1001">
        <v>27853</v>
      </c>
      <c r="G355" s="978" t="s">
        <v>4620</v>
      </c>
      <c r="H355" s="1011">
        <f>+NOMINA!H325</f>
        <v>39300</v>
      </c>
      <c r="I355" s="984">
        <f>+NOMINA!I325</f>
        <v>17</v>
      </c>
      <c r="J355" s="985">
        <f>+NOMINA!J325</f>
        <v>0</v>
      </c>
      <c r="K355" s="984">
        <f t="shared" si="46"/>
        <v>17</v>
      </c>
      <c r="L355" s="985" t="s">
        <v>4932</v>
      </c>
      <c r="M355" s="985"/>
      <c r="N355" s="1002" t="str">
        <f>+NOMINA!O325</f>
        <v>Ayudante de Servicios Generales</v>
      </c>
      <c r="O355" s="999">
        <f>ROUND(NOMINA!W325,2)</f>
        <v>76</v>
      </c>
      <c r="P355" s="999">
        <f>NOMINA!AF325</f>
        <v>16.11</v>
      </c>
      <c r="Q355" s="999">
        <f>NOMINA!AH325</f>
        <v>65</v>
      </c>
      <c r="R355" s="999">
        <f>NOMINA!AC325</f>
        <v>0</v>
      </c>
      <c r="S355" s="999">
        <f>NOMINA!AJ325</f>
        <v>0</v>
      </c>
      <c r="T355" s="986">
        <f t="shared" si="47"/>
        <v>65</v>
      </c>
      <c r="U355" s="999">
        <f>ROUND(NOMINA!BL325,2)</f>
        <v>11.6</v>
      </c>
      <c r="V355" s="999">
        <f>ROUND(NOMINA!BM325,2)</f>
        <v>1.45</v>
      </c>
      <c r="W355" s="999">
        <f>ROUND(+NOMINA!BN325,2)</f>
        <v>3.14</v>
      </c>
      <c r="X355" s="999">
        <f>ROUND(NOMINA!BO325,2)</f>
        <v>0</v>
      </c>
      <c r="Y355" s="999">
        <f>ROUND(NOMINA!BP325,2)</f>
        <v>0</v>
      </c>
      <c r="Z355" s="986">
        <f t="shared" si="48"/>
        <v>18.12</v>
      </c>
      <c r="AA355" s="999">
        <f>ROUND(NOMINA!BK325,2)*0</f>
        <v>0</v>
      </c>
      <c r="AB355" s="866">
        <f t="shared" si="49"/>
        <v>140.92000000000002</v>
      </c>
    </row>
    <row r="356" spans="1:28" s="629" customFormat="1" ht="20.100000000000001" customHeight="1" thickBot="1">
      <c r="A356" s="770" t="s">
        <v>2834</v>
      </c>
      <c r="B356" s="510">
        <f t="shared" si="45"/>
        <v>15</v>
      </c>
      <c r="C356" s="1009">
        <f>+NOMINA!C326</f>
        <v>9325664</v>
      </c>
      <c r="D356" s="1010" t="str">
        <f>+NOMINA!D326</f>
        <v>Lobo Mendoza Luz Marina</v>
      </c>
      <c r="E356" s="978" t="s">
        <v>4622</v>
      </c>
      <c r="F356" s="1001">
        <v>27853</v>
      </c>
      <c r="G356" s="978" t="s">
        <v>4620</v>
      </c>
      <c r="H356" s="1011">
        <f>+NOMINA!H326</f>
        <v>42948</v>
      </c>
      <c r="I356" s="984">
        <f>+NOMINA!I326</f>
        <v>7</v>
      </c>
      <c r="J356" s="985">
        <f>+NOMINA!J326</f>
        <v>0</v>
      </c>
      <c r="K356" s="984">
        <f t="shared" si="46"/>
        <v>7</v>
      </c>
      <c r="L356" s="985" t="s">
        <v>4932</v>
      </c>
      <c r="M356" s="985"/>
      <c r="N356" s="1002" t="str">
        <f>+NOMINA!O326</f>
        <v>Ayudante de Servicios Generales</v>
      </c>
      <c r="O356" s="999">
        <f>ROUND(NOMINA!W326,2)</f>
        <v>76</v>
      </c>
      <c r="P356" s="999">
        <f>NOMINA!AF326</f>
        <v>5.63</v>
      </c>
      <c r="Q356" s="999">
        <f>NOMINA!AH326</f>
        <v>65</v>
      </c>
      <c r="R356" s="999">
        <f>NOMINA!AC326</f>
        <v>0</v>
      </c>
      <c r="S356" s="999">
        <f>NOMINA!AJ326</f>
        <v>0</v>
      </c>
      <c r="T356" s="986">
        <f t="shared" si="47"/>
        <v>79.75</v>
      </c>
      <c r="U356" s="999">
        <f>ROUND(NOMINA!BL326,2)</f>
        <v>10.83</v>
      </c>
      <c r="V356" s="999">
        <f>ROUND(NOMINA!BM326,2)</f>
        <v>1.35</v>
      </c>
      <c r="W356" s="999">
        <f>ROUND(+NOMINA!BN326,2)</f>
        <v>2.93</v>
      </c>
      <c r="X356" s="999">
        <f>ROUND(NOMINA!BO326,2)</f>
        <v>0</v>
      </c>
      <c r="Y356" s="999">
        <f>ROUND(NOMINA!BP326,2)</f>
        <v>0</v>
      </c>
      <c r="Z356" s="986">
        <f t="shared" si="48"/>
        <v>16.170000000000002</v>
      </c>
      <c r="AA356" s="999">
        <f>ROUND(NOMINA!BK326,2)*0</f>
        <v>0</v>
      </c>
      <c r="AB356" s="866">
        <f t="shared" si="49"/>
        <v>131.51999999999998</v>
      </c>
    </row>
    <row r="357" spans="1:28" s="629" customFormat="1" ht="20.100000000000001" customHeight="1" thickBot="1">
      <c r="A357" s="770" t="s">
        <v>2834</v>
      </c>
      <c r="B357" s="510">
        <f t="shared" si="45"/>
        <v>16</v>
      </c>
      <c r="C357" s="1009">
        <f>+NOMINA!C327</f>
        <v>9328045</v>
      </c>
      <c r="D357" s="1010" t="str">
        <f>+NOMINA!D327</f>
        <v>Paredes Quintero Jose Benigno</v>
      </c>
      <c r="E357" s="978" t="s">
        <v>4622</v>
      </c>
      <c r="F357" s="1001">
        <v>27853</v>
      </c>
      <c r="G357" s="978" t="s">
        <v>4620</v>
      </c>
      <c r="H357" s="1011">
        <f>+NOMINA!H327</f>
        <v>44212</v>
      </c>
      <c r="I357" s="984">
        <f>+NOMINA!I327</f>
        <v>4</v>
      </c>
      <c r="J357" s="985">
        <f>+NOMINA!J327</f>
        <v>0</v>
      </c>
      <c r="K357" s="984">
        <f t="shared" si="46"/>
        <v>4</v>
      </c>
      <c r="L357" s="985" t="s">
        <v>4932</v>
      </c>
      <c r="M357" s="985"/>
      <c r="N357" s="1002" t="str">
        <f>+NOMINA!O327</f>
        <v>Ayudante de Servicios Generales</v>
      </c>
      <c r="O357" s="999">
        <f>ROUND(NOMINA!W327,2)</f>
        <v>76</v>
      </c>
      <c r="P357" s="999">
        <f>NOMINA!AF327</f>
        <v>3.04</v>
      </c>
      <c r="Q357" s="999">
        <f>NOMINA!AH327</f>
        <v>65</v>
      </c>
      <c r="R357" s="999">
        <f>NOMINA!AC327</f>
        <v>0</v>
      </c>
      <c r="S357" s="999">
        <f>NOMINA!AJ327</f>
        <v>0</v>
      </c>
      <c r="T357" s="986">
        <f t="shared" si="47"/>
        <v>68.75</v>
      </c>
      <c r="U357" s="999">
        <f>ROUND(NOMINA!BL327,2)</f>
        <v>10.64</v>
      </c>
      <c r="V357" s="999">
        <f>ROUND(NOMINA!BM327,2)</f>
        <v>1.33</v>
      </c>
      <c r="W357" s="999">
        <f>ROUND(+NOMINA!BN327,2)</f>
        <v>2.88</v>
      </c>
      <c r="X357" s="999">
        <f>ROUND(NOMINA!BO327,2)</f>
        <v>0</v>
      </c>
      <c r="Y357" s="999">
        <f>ROUND(NOMINA!BP327,2)</f>
        <v>0</v>
      </c>
      <c r="Z357" s="986">
        <f t="shared" si="48"/>
        <v>14.88</v>
      </c>
      <c r="AA357" s="999">
        <f>ROUND(NOMINA!BK327,2)*0</f>
        <v>0</v>
      </c>
      <c r="AB357" s="866">
        <f t="shared" si="49"/>
        <v>129.19000000000003</v>
      </c>
    </row>
    <row r="358" spans="1:28" s="629" customFormat="1" ht="20.100000000000001" customHeight="1" thickBot="1">
      <c r="A358" s="770" t="s">
        <v>2834</v>
      </c>
      <c r="B358" s="510">
        <f t="shared" si="45"/>
        <v>17</v>
      </c>
      <c r="C358" s="1009">
        <f>+NOMINA!C328</f>
        <v>10178456</v>
      </c>
      <c r="D358" s="1010" t="str">
        <f>+NOMINA!D328</f>
        <v>Figueroa Roa Yudith Griselda</v>
      </c>
      <c r="E358" s="978" t="s">
        <v>4622</v>
      </c>
      <c r="F358" s="1001">
        <v>27853</v>
      </c>
      <c r="G358" s="978" t="s">
        <v>4620</v>
      </c>
      <c r="H358" s="1011">
        <f>+NOMINA!H328</f>
        <v>44287</v>
      </c>
      <c r="I358" s="984">
        <f>+NOMINA!I328</f>
        <v>3</v>
      </c>
      <c r="J358" s="985">
        <f>+NOMINA!J328</f>
        <v>0</v>
      </c>
      <c r="K358" s="984">
        <f t="shared" si="46"/>
        <v>3</v>
      </c>
      <c r="L358" s="985" t="s">
        <v>4932</v>
      </c>
      <c r="M358" s="985"/>
      <c r="N358" s="1002" t="str">
        <f>+NOMINA!O328</f>
        <v>Aseadora</v>
      </c>
      <c r="O358" s="999">
        <f>ROUND(NOMINA!W328,2)</f>
        <v>65</v>
      </c>
      <c r="P358" s="999">
        <f>NOMINA!AF328</f>
        <v>1.95</v>
      </c>
      <c r="Q358" s="999">
        <f>NOMINA!AH328</f>
        <v>65</v>
      </c>
      <c r="R358" s="999">
        <f>NOMINA!AC328</f>
        <v>0</v>
      </c>
      <c r="S358" s="999">
        <f>NOMINA!AJ328</f>
        <v>0</v>
      </c>
      <c r="T358" s="986">
        <f t="shared" si="47"/>
        <v>78.150000000000006</v>
      </c>
      <c r="U358" s="999">
        <f>ROUND(NOMINA!BL328,2)</f>
        <v>9.74</v>
      </c>
      <c r="V358" s="999">
        <f>ROUND(NOMINA!BM328,2)</f>
        <v>1.22</v>
      </c>
      <c r="W358" s="999">
        <f>ROUND(+NOMINA!BN328,2)</f>
        <v>2.64</v>
      </c>
      <c r="X358" s="999">
        <f>ROUND(NOMINA!BO328,2)</f>
        <v>0</v>
      </c>
      <c r="Y358" s="999">
        <f>ROUND(NOMINA!BP328,2)</f>
        <v>0</v>
      </c>
      <c r="Z358" s="986">
        <f t="shared" si="48"/>
        <v>19.309999999999999</v>
      </c>
      <c r="AA358" s="999">
        <f>ROUND(NOMINA!BK328,2)*0</f>
        <v>0</v>
      </c>
      <c r="AB358" s="866">
        <f t="shared" si="49"/>
        <v>118.35</v>
      </c>
    </row>
    <row r="359" spans="1:28" s="629" customFormat="1" ht="20.100000000000001" customHeight="1" thickBot="1">
      <c r="A359" s="770" t="s">
        <v>2834</v>
      </c>
      <c r="B359" s="510">
        <f t="shared" si="45"/>
        <v>18</v>
      </c>
      <c r="C359" s="1009">
        <f>+NOMINA!C329</f>
        <v>10317435</v>
      </c>
      <c r="D359" s="1010" t="str">
        <f>+NOMINA!D329</f>
        <v>Milla Ana Julia</v>
      </c>
      <c r="E359" s="978" t="s">
        <v>4622</v>
      </c>
      <c r="F359" s="1001">
        <v>27853</v>
      </c>
      <c r="G359" s="978" t="s">
        <v>4620</v>
      </c>
      <c r="H359" s="1011">
        <f>+NOMINA!H329</f>
        <v>39559</v>
      </c>
      <c r="I359" s="984">
        <f>+NOMINA!I329</f>
        <v>16</v>
      </c>
      <c r="J359" s="985">
        <f>+NOMINA!J329</f>
        <v>0</v>
      </c>
      <c r="K359" s="984">
        <f t="shared" si="46"/>
        <v>16</v>
      </c>
      <c r="L359" s="985" t="s">
        <v>4932</v>
      </c>
      <c r="M359" s="985"/>
      <c r="N359" s="1002" t="str">
        <f>+NOMINA!O329</f>
        <v>Aseadora</v>
      </c>
      <c r="O359" s="999">
        <f>ROUND(NOMINA!W329,2)</f>
        <v>65</v>
      </c>
      <c r="P359" s="999">
        <f>NOMINA!AF329</f>
        <v>12.74</v>
      </c>
      <c r="Q359" s="999">
        <f>NOMINA!AH329</f>
        <v>65</v>
      </c>
      <c r="R359" s="999">
        <f>NOMINA!AC329</f>
        <v>0</v>
      </c>
      <c r="S359" s="999">
        <f>NOMINA!AJ329</f>
        <v>0</v>
      </c>
      <c r="T359" s="986">
        <f t="shared" si="47"/>
        <v>65.650000000000006</v>
      </c>
      <c r="U359" s="999">
        <f>ROUND(NOMINA!BL329,2)</f>
        <v>10.54</v>
      </c>
      <c r="V359" s="999">
        <f>ROUND(NOMINA!BM329,2)</f>
        <v>1.32</v>
      </c>
      <c r="W359" s="999">
        <f>ROUND(+NOMINA!BN329,2)</f>
        <v>2.85</v>
      </c>
      <c r="X359" s="999">
        <f>ROUND(NOMINA!BO329,2)</f>
        <v>0</v>
      </c>
      <c r="Y359" s="999">
        <f>ROUND(NOMINA!BP329,2)</f>
        <v>0</v>
      </c>
      <c r="Z359" s="986">
        <f t="shared" si="48"/>
        <v>16.190000000000001</v>
      </c>
      <c r="AA359" s="999">
        <f>ROUND(NOMINA!BK329,2)*0</f>
        <v>0</v>
      </c>
      <c r="AB359" s="866">
        <f t="shared" si="49"/>
        <v>128.03</v>
      </c>
    </row>
    <row r="360" spans="1:28" s="629" customFormat="1" ht="20.100000000000001" customHeight="1" thickBot="1">
      <c r="A360" s="770" t="s">
        <v>2834</v>
      </c>
      <c r="B360" s="510">
        <f t="shared" si="45"/>
        <v>19</v>
      </c>
      <c r="C360" s="1009">
        <f>+NOMINA!C330</f>
        <v>10396367</v>
      </c>
      <c r="D360" s="1010" t="str">
        <f>+NOMINA!D330</f>
        <v>Hidalgo Linares Gloria Margarita</v>
      </c>
      <c r="E360" s="978" t="s">
        <v>4622</v>
      </c>
      <c r="F360" s="1001">
        <v>27853</v>
      </c>
      <c r="G360" s="978" t="s">
        <v>4620</v>
      </c>
      <c r="H360" s="1011">
        <f>+NOMINA!H330</f>
        <v>39722</v>
      </c>
      <c r="I360" s="984">
        <f>+NOMINA!I330</f>
        <v>16</v>
      </c>
      <c r="J360" s="985">
        <f>+NOMINA!J330</f>
        <v>0</v>
      </c>
      <c r="K360" s="984">
        <f t="shared" si="46"/>
        <v>16</v>
      </c>
      <c r="L360" s="985" t="s">
        <v>4932</v>
      </c>
      <c r="M360" s="985"/>
      <c r="N360" s="1002" t="str">
        <f>+NOMINA!O330</f>
        <v>Cocinera</v>
      </c>
      <c r="O360" s="999">
        <f>ROUND(NOMINA!W330,2)</f>
        <v>85.5</v>
      </c>
      <c r="P360" s="999">
        <f>NOMINA!AF330</f>
        <v>16.760000000000002</v>
      </c>
      <c r="Q360" s="999">
        <f>NOMINA!AH330</f>
        <v>65</v>
      </c>
      <c r="R360" s="999">
        <f>NOMINA!AC330</f>
        <v>0</v>
      </c>
      <c r="S360" s="999">
        <f>NOMINA!AJ330</f>
        <v>0</v>
      </c>
      <c r="T360" s="986">
        <f t="shared" si="47"/>
        <v>79.75</v>
      </c>
      <c r="U360" s="999">
        <f>ROUND(NOMINA!BL330,2)</f>
        <v>12.35</v>
      </c>
      <c r="V360" s="999">
        <f>ROUND(NOMINA!BM330,2)</f>
        <v>1.54</v>
      </c>
      <c r="W360" s="999">
        <f>ROUND(+NOMINA!BN330,2)</f>
        <v>3.35</v>
      </c>
      <c r="X360" s="999">
        <f>ROUND(NOMINA!BO330,2)</f>
        <v>0</v>
      </c>
      <c r="Y360" s="999">
        <f>ROUND(NOMINA!BP330,2)</f>
        <v>0</v>
      </c>
      <c r="Z360" s="986">
        <f t="shared" si="48"/>
        <v>3.12</v>
      </c>
      <c r="AA360" s="999">
        <f>ROUND(NOMINA!BK330,2)*0</f>
        <v>0</v>
      </c>
      <c r="AB360" s="866">
        <f t="shared" si="49"/>
        <v>150.01999999999998</v>
      </c>
    </row>
    <row r="361" spans="1:28" s="629" customFormat="1" ht="20.100000000000001" customHeight="1" thickBot="1">
      <c r="A361" s="770" t="s">
        <v>2834</v>
      </c>
      <c r="B361" s="510">
        <f t="shared" si="45"/>
        <v>20</v>
      </c>
      <c r="C361" s="1009">
        <f>+NOMINA!C331</f>
        <v>10399474</v>
      </c>
      <c r="D361" s="1010" t="str">
        <f>+NOMINA!D331</f>
        <v>Ramirez Araujo Teresa Maria</v>
      </c>
      <c r="E361" s="978" t="s">
        <v>4622</v>
      </c>
      <c r="F361" s="1001">
        <v>27853</v>
      </c>
      <c r="G361" s="978" t="s">
        <v>4620</v>
      </c>
      <c r="H361" s="1011">
        <f>+NOMINA!H331</f>
        <v>45597</v>
      </c>
      <c r="I361" s="984">
        <f>+NOMINA!I331</f>
        <v>0</v>
      </c>
      <c r="J361" s="985">
        <f>+NOMINA!J331</f>
        <v>0</v>
      </c>
      <c r="K361" s="984">
        <f t="shared" si="46"/>
        <v>0</v>
      </c>
      <c r="L361" s="985" t="s">
        <v>4932</v>
      </c>
      <c r="M361" s="985"/>
      <c r="N361" s="1002" t="str">
        <f>+NOMINA!O331</f>
        <v>Ayudante de Servicios Generales</v>
      </c>
      <c r="O361" s="999">
        <f>ROUND(NOMINA!W331,2)</f>
        <v>71</v>
      </c>
      <c r="P361" s="999">
        <f>NOMINA!AF331</f>
        <v>0</v>
      </c>
      <c r="Q361" s="999">
        <f>NOMINA!AH331</f>
        <v>65</v>
      </c>
      <c r="R361" s="999">
        <f>NOMINA!AC331</f>
        <v>0</v>
      </c>
      <c r="S361" s="999">
        <f>NOMINA!AJ331</f>
        <v>0</v>
      </c>
      <c r="T361" s="986">
        <f t="shared" si="47"/>
        <v>103.85000000000001</v>
      </c>
      <c r="U361" s="999">
        <f>ROUND(NOMINA!BL331,2)</f>
        <v>10.039999999999999</v>
      </c>
      <c r="V361" s="999">
        <f>ROUND(NOMINA!BM331,2)</f>
        <v>1.26</v>
      </c>
      <c r="W361" s="999">
        <f>ROUND(+NOMINA!BN331,2)</f>
        <v>2.72</v>
      </c>
      <c r="X361" s="999">
        <f>ROUND(NOMINA!BO331,2)</f>
        <v>0</v>
      </c>
      <c r="Y361" s="999">
        <f>ROUND(NOMINA!BP331,2)</f>
        <v>0</v>
      </c>
      <c r="Z361" s="986">
        <f t="shared" si="48"/>
        <v>14.71</v>
      </c>
      <c r="AA361" s="999">
        <f>ROUND(NOMINA!BK331,2)*0</f>
        <v>0</v>
      </c>
      <c r="AB361" s="866">
        <f t="shared" si="49"/>
        <v>121.98</v>
      </c>
    </row>
    <row r="362" spans="1:28" s="629" customFormat="1" ht="20.100000000000001" customHeight="1" thickBot="1">
      <c r="A362" s="770" t="s">
        <v>2834</v>
      </c>
      <c r="B362" s="510">
        <f t="shared" si="45"/>
        <v>21</v>
      </c>
      <c r="C362" s="1009">
        <f>+NOMINA!C332</f>
        <v>10401329</v>
      </c>
      <c r="D362" s="1010" t="str">
        <f>+NOMINA!D332</f>
        <v>Gonzalez Torres Orangel Ramon</v>
      </c>
      <c r="E362" s="978" t="s">
        <v>4622</v>
      </c>
      <c r="F362" s="1001">
        <v>27853</v>
      </c>
      <c r="G362" s="978" t="s">
        <v>4620</v>
      </c>
      <c r="H362" s="1011">
        <f>+NOMINA!H332</f>
        <v>39539</v>
      </c>
      <c r="I362" s="984">
        <f>+NOMINA!I332</f>
        <v>16</v>
      </c>
      <c r="J362" s="985">
        <f>+NOMINA!J332</f>
        <v>0</v>
      </c>
      <c r="K362" s="984">
        <f t="shared" si="46"/>
        <v>16</v>
      </c>
      <c r="L362" s="985" t="s">
        <v>4932</v>
      </c>
      <c r="M362" s="985"/>
      <c r="N362" s="1002" t="str">
        <f>+NOMINA!O332</f>
        <v>Chofer De Transporte</v>
      </c>
      <c r="O362" s="999">
        <f>ROUND(NOMINA!W332,2)</f>
        <v>85.5</v>
      </c>
      <c r="P362" s="999">
        <f>NOMINA!AF332</f>
        <v>16.760000000000002</v>
      </c>
      <c r="Q362" s="999">
        <f>NOMINA!AH332</f>
        <v>65</v>
      </c>
      <c r="R362" s="999">
        <f>NOMINA!AC332</f>
        <v>0</v>
      </c>
      <c r="S362" s="999">
        <f>NOMINA!AJ332</f>
        <v>0</v>
      </c>
      <c r="T362" s="986">
        <f t="shared" si="47"/>
        <v>67.25</v>
      </c>
      <c r="U362" s="999">
        <f>ROUND(NOMINA!BL332,2)</f>
        <v>16.059999999999999</v>
      </c>
      <c r="V362" s="999">
        <f>ROUND(NOMINA!BM332,2)</f>
        <v>2.0099999999999998</v>
      </c>
      <c r="W362" s="999">
        <f>ROUND(+NOMINA!BN332,2)</f>
        <v>4.3499999999999996</v>
      </c>
      <c r="X362" s="999">
        <f>ROUND(NOMINA!BO332,2)</f>
        <v>0</v>
      </c>
      <c r="Y362" s="999">
        <f>ROUND(NOMINA!BP332,2)</f>
        <v>0</v>
      </c>
      <c r="Z362" s="986">
        <f t="shared" si="48"/>
        <v>18.37</v>
      </c>
      <c r="AA362" s="999">
        <f>ROUND(NOMINA!BK332,2)*0</f>
        <v>0</v>
      </c>
      <c r="AB362" s="866">
        <f t="shared" si="49"/>
        <v>144.83999999999997</v>
      </c>
    </row>
    <row r="363" spans="1:28" s="629" customFormat="1" ht="20.100000000000001" customHeight="1" thickBot="1">
      <c r="A363" s="770" t="s">
        <v>2834</v>
      </c>
      <c r="B363" s="510">
        <f t="shared" si="45"/>
        <v>22</v>
      </c>
      <c r="C363" s="1009">
        <f>+NOMINA!C333</f>
        <v>10907687</v>
      </c>
      <c r="D363" s="1010" t="str">
        <f>+NOMINA!D333</f>
        <v>Viloria Garcia Karina Liseth</v>
      </c>
      <c r="E363" s="978" t="s">
        <v>4622</v>
      </c>
      <c r="F363" s="1001">
        <v>27853</v>
      </c>
      <c r="G363" s="978" t="s">
        <v>4620</v>
      </c>
      <c r="H363" s="1011">
        <f>+NOMINA!H333</f>
        <v>38749</v>
      </c>
      <c r="I363" s="984">
        <f>+NOMINA!I333</f>
        <v>18</v>
      </c>
      <c r="J363" s="985">
        <f>+NOMINA!J333</f>
        <v>0</v>
      </c>
      <c r="K363" s="984">
        <f t="shared" si="46"/>
        <v>18</v>
      </c>
      <c r="L363" s="985" t="s">
        <v>4932</v>
      </c>
      <c r="M363" s="985"/>
      <c r="N363" s="1002" t="str">
        <f>+NOMINA!O333</f>
        <v>Cocinera</v>
      </c>
      <c r="O363" s="999">
        <f>ROUND(NOMINA!W333,2)</f>
        <v>85.5</v>
      </c>
      <c r="P363" s="999">
        <f>NOMINA!AF333</f>
        <v>19.5</v>
      </c>
      <c r="Q363" s="999">
        <f>NOMINA!AH333</f>
        <v>65</v>
      </c>
      <c r="R363" s="999">
        <f>NOMINA!AC333</f>
        <v>0</v>
      </c>
      <c r="S363" s="999">
        <f>NOMINA!AJ333</f>
        <v>0</v>
      </c>
      <c r="T363" s="986">
        <f t="shared" si="47"/>
        <v>90.65</v>
      </c>
      <c r="U363" s="999">
        <f>ROUND(NOMINA!BL333,2)</f>
        <v>12.55</v>
      </c>
      <c r="V363" s="999">
        <f>ROUND(NOMINA!BM333,2)</f>
        <v>1.57</v>
      </c>
      <c r="W363" s="999">
        <f>ROUND(+NOMINA!BN333,2)</f>
        <v>3.4</v>
      </c>
      <c r="X363" s="999">
        <f>ROUND(NOMINA!BO333,2)</f>
        <v>0</v>
      </c>
      <c r="Y363" s="999">
        <f>ROUND(NOMINA!BP333,2)</f>
        <v>0</v>
      </c>
      <c r="Z363" s="986">
        <f t="shared" si="48"/>
        <v>15.96</v>
      </c>
      <c r="AA363" s="999">
        <f>ROUND(NOMINA!BK333,2)*0</f>
        <v>0</v>
      </c>
      <c r="AB363" s="866">
        <f t="shared" si="49"/>
        <v>152.47999999999999</v>
      </c>
    </row>
    <row r="364" spans="1:28" s="629" customFormat="1" ht="20.100000000000001" customHeight="1" thickBot="1">
      <c r="A364" s="770" t="s">
        <v>2834</v>
      </c>
      <c r="B364" s="510">
        <f t="shared" si="45"/>
        <v>23</v>
      </c>
      <c r="C364" s="1009">
        <f>+NOMINA!C334</f>
        <v>10908543</v>
      </c>
      <c r="D364" s="1010" t="str">
        <f>+NOMINA!D334</f>
        <v>Quintero Eric Ludwig</v>
      </c>
      <c r="E364" s="978" t="s">
        <v>4622</v>
      </c>
      <c r="F364" s="1001">
        <v>27853</v>
      </c>
      <c r="G364" s="978" t="s">
        <v>4620</v>
      </c>
      <c r="H364" s="1011">
        <f>+NOMINA!H334</f>
        <v>42751</v>
      </c>
      <c r="I364" s="984">
        <f>+NOMINA!I334</f>
        <v>8</v>
      </c>
      <c r="J364" s="985">
        <f>+NOMINA!J334</f>
        <v>0</v>
      </c>
      <c r="K364" s="984">
        <f t="shared" si="46"/>
        <v>8</v>
      </c>
      <c r="L364" s="985" t="s">
        <v>4932</v>
      </c>
      <c r="M364" s="985"/>
      <c r="N364" s="1002" t="str">
        <f>+NOMINA!O334</f>
        <v>Cocinero</v>
      </c>
      <c r="O364" s="999">
        <f>ROUND(NOMINA!W334,2)</f>
        <v>85.5</v>
      </c>
      <c r="P364" s="999">
        <f>NOMINA!AF334</f>
        <v>7.36</v>
      </c>
      <c r="Q364" s="999">
        <f>NOMINA!AH334</f>
        <v>65</v>
      </c>
      <c r="R364" s="999">
        <f>NOMINA!AC334</f>
        <v>0</v>
      </c>
      <c r="S364" s="999">
        <f>NOMINA!AJ334</f>
        <v>0</v>
      </c>
      <c r="T364" s="986">
        <f t="shared" si="47"/>
        <v>68.75</v>
      </c>
      <c r="U364" s="999">
        <f>ROUND(NOMINA!BL334,2)</f>
        <v>11.66</v>
      </c>
      <c r="V364" s="999">
        <f>ROUND(NOMINA!BM334,2)</f>
        <v>1.46</v>
      </c>
      <c r="W364" s="999">
        <f>ROUND(+NOMINA!BN334,2)</f>
        <v>3.16</v>
      </c>
      <c r="X364" s="999">
        <f>ROUND(NOMINA!BO334,2)</f>
        <v>0</v>
      </c>
      <c r="Y364" s="999">
        <f>ROUND(NOMINA!BP334,2)</f>
        <v>0</v>
      </c>
      <c r="Z364" s="986">
        <f t="shared" si="48"/>
        <v>14.93</v>
      </c>
      <c r="AA364" s="999">
        <f>ROUND(NOMINA!BK334,2)*0</f>
        <v>0</v>
      </c>
      <c r="AB364" s="866">
        <f t="shared" si="49"/>
        <v>141.58000000000001</v>
      </c>
    </row>
    <row r="365" spans="1:28" s="629" customFormat="1" ht="20.100000000000001" customHeight="1" thickBot="1">
      <c r="A365" s="770" t="s">
        <v>2834</v>
      </c>
      <c r="B365" s="510">
        <f t="shared" si="45"/>
        <v>24</v>
      </c>
      <c r="C365" s="1009">
        <f>+NOMINA!C335</f>
        <v>10909678</v>
      </c>
      <c r="D365" s="1010" t="str">
        <f>+NOMINA!D335</f>
        <v>Delgado Jose Argenis</v>
      </c>
      <c r="E365" s="978" t="s">
        <v>4622</v>
      </c>
      <c r="F365" s="1001">
        <v>27853</v>
      </c>
      <c r="G365" s="978" t="s">
        <v>4620</v>
      </c>
      <c r="H365" s="1011">
        <f>+NOMINA!H335</f>
        <v>43952</v>
      </c>
      <c r="I365" s="984">
        <f>+NOMINA!I335</f>
        <v>4</v>
      </c>
      <c r="J365" s="985">
        <f>+NOMINA!J335</f>
        <v>0</v>
      </c>
      <c r="K365" s="984">
        <f t="shared" si="46"/>
        <v>4</v>
      </c>
      <c r="L365" s="985" t="s">
        <v>4932</v>
      </c>
      <c r="M365" s="985"/>
      <c r="N365" s="1002" t="str">
        <f>+NOMINA!O335</f>
        <v>Aseador</v>
      </c>
      <c r="O365" s="999">
        <f>ROUND(NOMINA!W335,2)</f>
        <v>65</v>
      </c>
      <c r="P365" s="999">
        <f>NOMINA!AF335</f>
        <v>2.6</v>
      </c>
      <c r="Q365" s="999">
        <f>NOMINA!AH335</f>
        <v>65</v>
      </c>
      <c r="R365" s="999">
        <f>NOMINA!AC335</f>
        <v>0</v>
      </c>
      <c r="S365" s="999">
        <f>NOMINA!AJ335</f>
        <v>0</v>
      </c>
      <c r="T365" s="986">
        <f t="shared" si="47"/>
        <v>81.25</v>
      </c>
      <c r="U365" s="999">
        <f>ROUND(NOMINA!BL335,2)</f>
        <v>9.7899999999999991</v>
      </c>
      <c r="V365" s="999">
        <f>ROUND(NOMINA!BM335,2)</f>
        <v>1.22</v>
      </c>
      <c r="W365" s="999">
        <f>ROUND(+NOMINA!BN335,2)</f>
        <v>2.65</v>
      </c>
      <c r="X365" s="999">
        <f>ROUND(NOMINA!BO335,2)</f>
        <v>0</v>
      </c>
      <c r="Y365" s="999">
        <f>ROUND(NOMINA!BP335,2)</f>
        <v>0</v>
      </c>
      <c r="Z365" s="986">
        <f t="shared" si="48"/>
        <v>14.85</v>
      </c>
      <c r="AA365" s="999">
        <f>ROUND(NOMINA!BK335,2)*0</f>
        <v>0</v>
      </c>
      <c r="AB365" s="866">
        <f t="shared" si="49"/>
        <v>118.94</v>
      </c>
    </row>
    <row r="366" spans="1:28" s="629" customFormat="1" ht="20.100000000000001" customHeight="1" thickBot="1">
      <c r="A366" s="770" t="s">
        <v>2834</v>
      </c>
      <c r="B366" s="510">
        <f t="shared" si="45"/>
        <v>25</v>
      </c>
      <c r="C366" s="1009">
        <f>+NOMINA!C336</f>
        <v>10909819</v>
      </c>
      <c r="D366" s="1010" t="str">
        <f>+NOMINA!D336</f>
        <v>Carrizo Jose Waldo</v>
      </c>
      <c r="E366" s="978" t="s">
        <v>4622</v>
      </c>
      <c r="F366" s="1001">
        <v>27853</v>
      </c>
      <c r="G366" s="978" t="s">
        <v>4620</v>
      </c>
      <c r="H366" s="1011">
        <f>+NOMINA!H336</f>
        <v>43359</v>
      </c>
      <c r="I366" s="984">
        <f>+NOMINA!I336</f>
        <v>6</v>
      </c>
      <c r="J366" s="985">
        <f>+NOMINA!J336</f>
        <v>0</v>
      </c>
      <c r="K366" s="984">
        <f t="shared" si="46"/>
        <v>6</v>
      </c>
      <c r="L366" s="985" t="s">
        <v>4932</v>
      </c>
      <c r="M366" s="985"/>
      <c r="N366" s="1002" t="str">
        <f>+NOMINA!O336</f>
        <v>Cocinero</v>
      </c>
      <c r="O366" s="999">
        <f>ROUND(NOMINA!W336,2)</f>
        <v>85.5</v>
      </c>
      <c r="P366" s="999">
        <f>NOMINA!AF336</f>
        <v>5.3</v>
      </c>
      <c r="Q366" s="999">
        <f>NOMINA!AH336</f>
        <v>65</v>
      </c>
      <c r="R366" s="999">
        <f>NOMINA!AC336</f>
        <v>0</v>
      </c>
      <c r="S366" s="999">
        <f>NOMINA!AJ336</f>
        <v>0</v>
      </c>
      <c r="T366" s="986">
        <f t="shared" si="47"/>
        <v>67.25</v>
      </c>
      <c r="U366" s="999">
        <f>ROUND(NOMINA!BL336,2)</f>
        <v>11.51</v>
      </c>
      <c r="V366" s="999">
        <f>ROUND(NOMINA!BM336,2)</f>
        <v>1.44</v>
      </c>
      <c r="W366" s="999">
        <f>ROUND(+NOMINA!BN336,2)</f>
        <v>3.12</v>
      </c>
      <c r="X366" s="999">
        <f>ROUND(NOMINA!BO336,2)</f>
        <v>0</v>
      </c>
      <c r="Y366" s="999">
        <f>ROUND(NOMINA!BP336,2)</f>
        <v>0</v>
      </c>
      <c r="Z366" s="986">
        <f t="shared" si="48"/>
        <v>16.190000000000001</v>
      </c>
      <c r="AA366" s="999">
        <f>ROUND(NOMINA!BK336,2)*0</f>
        <v>0</v>
      </c>
      <c r="AB366" s="866">
        <f t="shared" si="49"/>
        <v>139.73000000000002</v>
      </c>
    </row>
    <row r="367" spans="1:28" s="629" customFormat="1" ht="20.100000000000001" customHeight="1" thickBot="1">
      <c r="A367" s="770" t="s">
        <v>2834</v>
      </c>
      <c r="B367" s="510">
        <f t="shared" si="45"/>
        <v>26</v>
      </c>
      <c r="C367" s="1009">
        <f>+NOMINA!C337</f>
        <v>10912635</v>
      </c>
      <c r="D367" s="1010" t="str">
        <f>+NOMINA!D337</f>
        <v>Gutierrez Briceño Jose Orangel</v>
      </c>
      <c r="E367" s="978" t="s">
        <v>4622</v>
      </c>
      <c r="F367" s="1001">
        <v>27853</v>
      </c>
      <c r="G367" s="978" t="s">
        <v>4620</v>
      </c>
      <c r="H367" s="1011">
        <f>+NOMINA!H337</f>
        <v>44348</v>
      </c>
      <c r="I367" s="984">
        <f>+NOMINA!I337</f>
        <v>3</v>
      </c>
      <c r="J367" s="985">
        <f>+NOMINA!J337</f>
        <v>0</v>
      </c>
      <c r="K367" s="984">
        <f t="shared" si="46"/>
        <v>3</v>
      </c>
      <c r="L367" s="985" t="s">
        <v>4932</v>
      </c>
      <c r="M367" s="985"/>
      <c r="N367" s="1002" t="str">
        <f>+NOMINA!O337</f>
        <v>Ayudante Agropecuario</v>
      </c>
      <c r="O367" s="999">
        <f>ROUND(NOMINA!W337,2)</f>
        <v>76</v>
      </c>
      <c r="P367" s="999">
        <f>NOMINA!AF337</f>
        <v>2.2799999999999998</v>
      </c>
      <c r="Q367" s="999">
        <f>NOMINA!AH337</f>
        <v>65</v>
      </c>
      <c r="R367" s="999">
        <f>NOMINA!AC337</f>
        <v>0</v>
      </c>
      <c r="S367" s="999">
        <f>NOMINA!AJ337</f>
        <v>0</v>
      </c>
      <c r="T367" s="986">
        <f t="shared" si="47"/>
        <v>65.650000000000006</v>
      </c>
      <c r="U367" s="999">
        <f>ROUND(NOMINA!BL337,2)</f>
        <v>10.58</v>
      </c>
      <c r="V367" s="999">
        <f>ROUND(NOMINA!BM337,2)</f>
        <v>1.32</v>
      </c>
      <c r="W367" s="999">
        <f>ROUND(+NOMINA!BN337,2)</f>
        <v>2.87</v>
      </c>
      <c r="X367" s="999">
        <f>ROUND(NOMINA!BO337,2)</f>
        <v>0</v>
      </c>
      <c r="Y367" s="999">
        <f>ROUND(NOMINA!BP337,2)</f>
        <v>0</v>
      </c>
      <c r="Z367" s="986">
        <f t="shared" si="48"/>
        <v>15.11</v>
      </c>
      <c r="AA367" s="999">
        <f>ROUND(NOMINA!BK337,2)*0</f>
        <v>0</v>
      </c>
      <c r="AB367" s="866">
        <f t="shared" si="49"/>
        <v>128.51</v>
      </c>
    </row>
    <row r="368" spans="1:28" s="629" customFormat="1" ht="20.100000000000001" customHeight="1" thickBot="1">
      <c r="A368" s="770" t="s">
        <v>2834</v>
      </c>
      <c r="B368" s="510">
        <f t="shared" si="45"/>
        <v>27</v>
      </c>
      <c r="C368" s="1009">
        <f>+NOMINA!C338</f>
        <v>10915274</v>
      </c>
      <c r="D368" s="1010" t="str">
        <f>+NOMINA!D338</f>
        <v>Montilla Vergara Belkys Josefina</v>
      </c>
      <c r="E368" s="978" t="s">
        <v>4622</v>
      </c>
      <c r="F368" s="1001">
        <v>27853</v>
      </c>
      <c r="G368" s="978" t="s">
        <v>4620</v>
      </c>
      <c r="H368" s="1011">
        <f>+NOMINA!H338</f>
        <v>44635</v>
      </c>
      <c r="I368" s="984">
        <f>+NOMINA!I338</f>
        <v>2</v>
      </c>
      <c r="J368" s="985">
        <f>+NOMINA!J338</f>
        <v>0</v>
      </c>
      <c r="K368" s="984">
        <f t="shared" si="46"/>
        <v>2</v>
      </c>
      <c r="L368" s="985" t="s">
        <v>4932</v>
      </c>
      <c r="M368" s="985"/>
      <c r="N368" s="1002" t="str">
        <f>+NOMINA!O338</f>
        <v>Ayudante de Servicios Generales</v>
      </c>
      <c r="O368" s="999">
        <f>ROUND(NOMINA!W338,2)</f>
        <v>76</v>
      </c>
      <c r="P368" s="999">
        <f>NOMINA!AF338</f>
        <v>1.52</v>
      </c>
      <c r="Q368" s="999">
        <f>NOMINA!AH338</f>
        <v>65</v>
      </c>
      <c r="R368" s="999">
        <f>NOMINA!AC338</f>
        <v>0</v>
      </c>
      <c r="S368" s="999">
        <f>NOMINA!AJ338</f>
        <v>0</v>
      </c>
      <c r="T368" s="986">
        <f t="shared" si="47"/>
        <v>68.75</v>
      </c>
      <c r="U368" s="999">
        <f>ROUND(NOMINA!BL338,2)</f>
        <v>10.52</v>
      </c>
      <c r="V368" s="999">
        <f>ROUND(NOMINA!BM338,2)</f>
        <v>1.32</v>
      </c>
      <c r="W368" s="999">
        <f>ROUND(+NOMINA!BN338,2)</f>
        <v>2.85</v>
      </c>
      <c r="X368" s="999">
        <f>ROUND(NOMINA!BO338,2)</f>
        <v>0</v>
      </c>
      <c r="Y368" s="999">
        <f>ROUND(NOMINA!BP338,2)</f>
        <v>0</v>
      </c>
      <c r="Z368" s="986">
        <f t="shared" si="48"/>
        <v>14.85</v>
      </c>
      <c r="AA368" s="999">
        <f>ROUND(NOMINA!BK338,2)*0</f>
        <v>0</v>
      </c>
      <c r="AB368" s="866">
        <f t="shared" si="49"/>
        <v>127.82999999999998</v>
      </c>
    </row>
    <row r="369" spans="1:28" s="629" customFormat="1" ht="20.100000000000001" customHeight="1" thickBot="1">
      <c r="A369" s="770" t="s">
        <v>2834</v>
      </c>
      <c r="B369" s="510">
        <f t="shared" si="45"/>
        <v>28</v>
      </c>
      <c r="C369" s="1009">
        <f>+NOMINA!C339</f>
        <v>11129355</v>
      </c>
      <c r="D369" s="1010" t="str">
        <f>+NOMINA!D339</f>
        <v xml:space="preserve">Luque Azuaje Rigoberto </v>
      </c>
      <c r="E369" s="978" t="s">
        <v>4622</v>
      </c>
      <c r="F369" s="1001">
        <v>27853</v>
      </c>
      <c r="G369" s="978" t="s">
        <v>4620</v>
      </c>
      <c r="H369" s="1011">
        <f>+NOMINA!H339</f>
        <v>39539</v>
      </c>
      <c r="I369" s="984">
        <f>+NOMINA!I339</f>
        <v>16</v>
      </c>
      <c r="J369" s="985">
        <f>+NOMINA!J339</f>
        <v>0</v>
      </c>
      <c r="K369" s="984">
        <f t="shared" si="46"/>
        <v>16</v>
      </c>
      <c r="L369" s="985" t="s">
        <v>4932</v>
      </c>
      <c r="M369" s="985"/>
      <c r="N369" s="1002" t="str">
        <f>+NOMINA!O339</f>
        <v>Ayudante de Servicios Generales</v>
      </c>
      <c r="O369" s="999">
        <f>ROUND(NOMINA!W339,2)</f>
        <v>76</v>
      </c>
      <c r="P369" s="999">
        <f>NOMINA!AF339</f>
        <v>14.9</v>
      </c>
      <c r="Q369" s="999">
        <f>NOMINA!AH339</f>
        <v>65</v>
      </c>
      <c r="R369" s="999">
        <f>NOMINA!AC339</f>
        <v>0</v>
      </c>
      <c r="S369" s="999">
        <f>NOMINA!AJ339</f>
        <v>0</v>
      </c>
      <c r="T369" s="986">
        <f t="shared" si="47"/>
        <v>0</v>
      </c>
      <c r="U369" s="999">
        <f>ROUND(NOMINA!BL339,2)</f>
        <v>14.97</v>
      </c>
      <c r="V369" s="999">
        <f>ROUND(NOMINA!BM339,2)</f>
        <v>1.87</v>
      </c>
      <c r="W369" s="999">
        <f>ROUND(+NOMINA!BN339,2)</f>
        <v>4.05</v>
      </c>
      <c r="X369" s="999">
        <f>ROUND(NOMINA!BO339,2)</f>
        <v>0</v>
      </c>
      <c r="Y369" s="999">
        <f>ROUND(NOMINA!BP339,2)</f>
        <v>0.76</v>
      </c>
      <c r="Z369" s="986">
        <f t="shared" si="48"/>
        <v>13.6</v>
      </c>
      <c r="AA369" s="999">
        <f>ROUND(NOMINA!BK339,2)*0</f>
        <v>0</v>
      </c>
      <c r="AB369" s="866">
        <f t="shared" si="49"/>
        <v>134.25</v>
      </c>
    </row>
    <row r="370" spans="1:28" s="629" customFormat="1" ht="20.100000000000001" customHeight="1" thickBot="1">
      <c r="A370" s="770" t="s">
        <v>2834</v>
      </c>
      <c r="B370" s="510">
        <f t="shared" si="45"/>
        <v>29</v>
      </c>
      <c r="C370" s="1009">
        <f>+NOMINA!C340</f>
        <v>11315202</v>
      </c>
      <c r="D370" s="1010" t="str">
        <f>+NOMINA!D340</f>
        <v>Barreto Maria Ramona</v>
      </c>
      <c r="E370" s="978" t="s">
        <v>4622</v>
      </c>
      <c r="F370" s="1001">
        <v>27853</v>
      </c>
      <c r="G370" s="978" t="s">
        <v>4620</v>
      </c>
      <c r="H370" s="1011">
        <f>+NOMINA!H340</f>
        <v>39539</v>
      </c>
      <c r="I370" s="984">
        <f>+NOMINA!I340</f>
        <v>16</v>
      </c>
      <c r="J370" s="985">
        <f>+NOMINA!J340</f>
        <v>0</v>
      </c>
      <c r="K370" s="984">
        <f t="shared" si="46"/>
        <v>16</v>
      </c>
      <c r="L370" s="985" t="s">
        <v>4932</v>
      </c>
      <c r="M370" s="985"/>
      <c r="N370" s="1002" t="str">
        <f>+NOMINA!O340</f>
        <v>Cocinera</v>
      </c>
      <c r="O370" s="999">
        <f>ROUND(NOMINA!W340,2)</f>
        <v>85.5</v>
      </c>
      <c r="P370" s="999">
        <f>NOMINA!AF340</f>
        <v>16.760000000000002</v>
      </c>
      <c r="Q370" s="999">
        <f>NOMINA!AH340</f>
        <v>65</v>
      </c>
      <c r="R370" s="999">
        <f>NOMINA!AC340</f>
        <v>0</v>
      </c>
      <c r="S370" s="999">
        <f>NOMINA!AJ340</f>
        <v>0</v>
      </c>
      <c r="T370" s="986">
        <f t="shared" si="47"/>
        <v>29263.060000000005</v>
      </c>
      <c r="U370" s="999">
        <f>ROUND(NOMINA!BL340,2)</f>
        <v>12.35</v>
      </c>
      <c r="V370" s="999">
        <f>ROUND(NOMINA!BM340,2)</f>
        <v>1.54</v>
      </c>
      <c r="W370" s="999">
        <f>ROUND(+NOMINA!BN340,2)</f>
        <v>3.35</v>
      </c>
      <c r="X370" s="999">
        <f>ROUND(NOMINA!BO340,2)</f>
        <v>0</v>
      </c>
      <c r="Y370" s="999">
        <f>ROUND(NOMINA!BP340,2)</f>
        <v>0</v>
      </c>
      <c r="Z370" s="986">
        <f t="shared" si="48"/>
        <v>14.71</v>
      </c>
      <c r="AA370" s="999">
        <f>ROUND(NOMINA!BK340,2)*0</f>
        <v>0</v>
      </c>
      <c r="AB370" s="866">
        <f t="shared" si="49"/>
        <v>150.01999999999998</v>
      </c>
    </row>
    <row r="371" spans="1:28" s="629" customFormat="1" ht="20.100000000000001" customHeight="1" thickBot="1">
      <c r="A371" s="770" t="s">
        <v>2834</v>
      </c>
      <c r="B371" s="510">
        <f t="shared" si="45"/>
        <v>30</v>
      </c>
      <c r="C371" s="1009">
        <f>+NOMINA!C341</f>
        <v>11321681</v>
      </c>
      <c r="D371" s="1010" t="str">
        <f>+NOMINA!D341</f>
        <v>Bentancourt Rivas Luis Enrique</v>
      </c>
      <c r="E371" s="978" t="s">
        <v>4622</v>
      </c>
      <c r="F371" s="1001">
        <v>27853</v>
      </c>
      <c r="G371" s="978" t="s">
        <v>4620</v>
      </c>
      <c r="H371" s="1011">
        <f>+NOMINA!H341</f>
        <v>44805</v>
      </c>
      <c r="I371" s="984">
        <f>+NOMINA!I341</f>
        <v>2</v>
      </c>
      <c r="J371" s="985">
        <f>+NOMINA!J341</f>
        <v>0</v>
      </c>
      <c r="K371" s="984">
        <f t="shared" si="46"/>
        <v>2</v>
      </c>
      <c r="L371" s="985" t="s">
        <v>4932</v>
      </c>
      <c r="M371" s="985"/>
      <c r="N371" s="1002" t="str">
        <f>+NOMINA!O341</f>
        <v>Ayudante de Servicios Generales</v>
      </c>
      <c r="O371" s="999">
        <f>ROUND(NOMINA!W341,2)</f>
        <v>76</v>
      </c>
      <c r="P371" s="999">
        <f>NOMINA!AF341</f>
        <v>1.52</v>
      </c>
      <c r="Q371" s="999">
        <f>NOMINA!AH341</f>
        <v>65</v>
      </c>
      <c r="R371" s="999">
        <f>NOMINA!AC341</f>
        <v>0</v>
      </c>
      <c r="S371" s="999">
        <f>NOMINA!AJ341</f>
        <v>0</v>
      </c>
      <c r="T371" s="986">
        <f t="shared" si="47"/>
        <v>0</v>
      </c>
      <c r="U371" s="999">
        <f>ROUND(NOMINA!BL341,2)</f>
        <v>10.52</v>
      </c>
      <c r="V371" s="999">
        <f>ROUND(NOMINA!BM341,2)</f>
        <v>1.32</v>
      </c>
      <c r="W371" s="999">
        <f>ROUND(+NOMINA!BN341,2)</f>
        <v>2.85</v>
      </c>
      <c r="X371" s="999">
        <f>ROUND(NOMINA!BO341,2)</f>
        <v>0</v>
      </c>
      <c r="Y371" s="999">
        <f>ROUND(NOMINA!BP341,2)</f>
        <v>0</v>
      </c>
      <c r="Z371" s="986">
        <f t="shared" si="48"/>
        <v>17.239999999999998</v>
      </c>
      <c r="AA371" s="999">
        <f>ROUND(NOMINA!BK341,2)*0</f>
        <v>0</v>
      </c>
      <c r="AB371" s="866">
        <f t="shared" si="49"/>
        <v>127.82999999999998</v>
      </c>
    </row>
    <row r="372" spans="1:28" s="629" customFormat="1" ht="20.100000000000001" customHeight="1" thickBot="1">
      <c r="A372" s="770" t="s">
        <v>2834</v>
      </c>
      <c r="B372" s="510">
        <f t="shared" si="45"/>
        <v>31</v>
      </c>
      <c r="C372" s="1009">
        <f>+NOMINA!C342</f>
        <v>11321782</v>
      </c>
      <c r="D372" s="1010" t="str">
        <f>+NOMINA!D342</f>
        <v>Flores Camacho Maria Zoraida</v>
      </c>
      <c r="E372" s="978" t="s">
        <v>4622</v>
      </c>
      <c r="F372" s="1001">
        <v>27853</v>
      </c>
      <c r="G372" s="978" t="s">
        <v>4620</v>
      </c>
      <c r="H372" s="1011">
        <f>+NOMINA!H342</f>
        <v>43815</v>
      </c>
      <c r="I372" s="984">
        <f>+NOMINA!I342</f>
        <v>5</v>
      </c>
      <c r="J372" s="985">
        <f>+NOMINA!J342</f>
        <v>0</v>
      </c>
      <c r="K372" s="984">
        <f t="shared" si="46"/>
        <v>5</v>
      </c>
      <c r="L372" s="985" t="s">
        <v>4932</v>
      </c>
      <c r="M372" s="985"/>
      <c r="N372" s="1002" t="str">
        <f>+NOMINA!O342</f>
        <v>Cocinera</v>
      </c>
      <c r="O372" s="999">
        <f>ROUND(NOMINA!W342,2)</f>
        <v>85.5</v>
      </c>
      <c r="P372" s="999">
        <f>NOMINA!AF342</f>
        <v>4.28</v>
      </c>
      <c r="Q372" s="999">
        <f>NOMINA!AH342</f>
        <v>65</v>
      </c>
      <c r="R372" s="999">
        <f>NOMINA!AC342</f>
        <v>0</v>
      </c>
      <c r="S372" s="999">
        <f>NOMINA!AJ342</f>
        <v>0</v>
      </c>
      <c r="T372" s="986">
        <f t="shared" si="47"/>
        <v>0</v>
      </c>
      <c r="U372" s="999">
        <f>ROUND(NOMINA!BL342,2)</f>
        <v>11.43</v>
      </c>
      <c r="V372" s="999">
        <f>ROUND(NOMINA!BM342,2)</f>
        <v>1.43</v>
      </c>
      <c r="W372" s="999">
        <f>ROUND(+NOMINA!BN342,2)</f>
        <v>3.1</v>
      </c>
      <c r="X372" s="999">
        <f>ROUND(NOMINA!BO342,2)</f>
        <v>0</v>
      </c>
      <c r="Y372" s="999">
        <f>ROUND(NOMINA!BP342,2)</f>
        <v>0</v>
      </c>
      <c r="Z372" s="986">
        <f t="shared" si="48"/>
        <v>14.02</v>
      </c>
      <c r="AA372" s="999">
        <f>ROUND(NOMINA!BK342,2)*0</f>
        <v>0</v>
      </c>
      <c r="AB372" s="866">
        <f t="shared" si="49"/>
        <v>138.82</v>
      </c>
    </row>
    <row r="373" spans="1:28" s="629" customFormat="1" ht="20.100000000000001" customHeight="1" thickBot="1">
      <c r="A373" s="770" t="s">
        <v>2834</v>
      </c>
      <c r="B373" s="510">
        <f t="shared" si="45"/>
        <v>32</v>
      </c>
      <c r="C373" s="1009">
        <f>+NOMINA!C343</f>
        <v>11324931</v>
      </c>
      <c r="D373" s="1010" t="str">
        <f>+NOMINA!D343</f>
        <v xml:space="preserve">Sulbaran De Araujo Magaly </v>
      </c>
      <c r="E373" s="978" t="s">
        <v>4622</v>
      </c>
      <c r="F373" s="1001">
        <v>27853</v>
      </c>
      <c r="G373" s="978" t="s">
        <v>4620</v>
      </c>
      <c r="H373" s="1011">
        <f>+NOMINA!H343</f>
        <v>38784</v>
      </c>
      <c r="I373" s="984">
        <f>+NOMINA!I343</f>
        <v>18</v>
      </c>
      <c r="J373" s="985">
        <f>+NOMINA!J343</f>
        <v>0</v>
      </c>
      <c r="K373" s="984">
        <f t="shared" si="46"/>
        <v>18</v>
      </c>
      <c r="L373" s="985" t="s">
        <v>4932</v>
      </c>
      <c r="M373" s="985"/>
      <c r="N373" s="1002" t="str">
        <f>+NOMINA!O343</f>
        <v>Cocinera</v>
      </c>
      <c r="O373" s="999">
        <f>ROUND(NOMINA!W343,2)</f>
        <v>85.5</v>
      </c>
      <c r="P373" s="999">
        <f>NOMINA!AF343</f>
        <v>19.5</v>
      </c>
      <c r="Q373" s="999">
        <f>NOMINA!AH343</f>
        <v>65</v>
      </c>
      <c r="R373" s="999">
        <f>NOMINA!AC343</f>
        <v>0</v>
      </c>
      <c r="S373" s="999">
        <f>NOMINA!AJ343</f>
        <v>0</v>
      </c>
      <c r="T373" s="986">
        <f t="shared" si="47"/>
        <v>0</v>
      </c>
      <c r="U373" s="999">
        <f>ROUND(NOMINA!BL343,2)</f>
        <v>12.55</v>
      </c>
      <c r="V373" s="999">
        <f>ROUND(NOMINA!BM343,2)</f>
        <v>1.57</v>
      </c>
      <c r="W373" s="999">
        <f>ROUND(+NOMINA!BN343,2)</f>
        <v>3.4</v>
      </c>
      <c r="X373" s="999">
        <f>ROUND(NOMINA!BO343,2)</f>
        <v>0</v>
      </c>
      <c r="Y373" s="999">
        <f>ROUND(NOMINA!BP343,2)</f>
        <v>0</v>
      </c>
      <c r="Z373" s="986">
        <f t="shared" si="48"/>
        <v>22.42</v>
      </c>
      <c r="AA373" s="999">
        <f>ROUND(NOMINA!BK343,2)*0</f>
        <v>0</v>
      </c>
      <c r="AB373" s="866">
        <f t="shared" si="49"/>
        <v>152.47999999999999</v>
      </c>
    </row>
    <row r="374" spans="1:28" s="629" customFormat="1" ht="20.100000000000001" customHeight="1" thickBot="1">
      <c r="A374" s="770" t="s">
        <v>2834</v>
      </c>
      <c r="B374" s="510">
        <f t="shared" si="45"/>
        <v>33</v>
      </c>
      <c r="C374" s="1009">
        <f>+NOMINA!C344</f>
        <v>11894400</v>
      </c>
      <c r="D374" s="1010" t="str">
        <f>+NOMINA!D344</f>
        <v>Aldana Olivar Maria del Carmen</v>
      </c>
      <c r="E374" s="978" t="s">
        <v>4622</v>
      </c>
      <c r="F374" s="1001">
        <v>27853</v>
      </c>
      <c r="G374" s="978" t="s">
        <v>4620</v>
      </c>
      <c r="H374" s="1011">
        <f>+NOMINA!H344</f>
        <v>44287</v>
      </c>
      <c r="I374" s="984">
        <f>+NOMINA!I344</f>
        <v>3</v>
      </c>
      <c r="J374" s="985">
        <f>+NOMINA!J344</f>
        <v>0</v>
      </c>
      <c r="K374" s="984">
        <f t="shared" si="46"/>
        <v>3</v>
      </c>
      <c r="L374" s="985" t="s">
        <v>4932</v>
      </c>
      <c r="M374" s="985"/>
      <c r="N374" s="1002" t="str">
        <f>+NOMINA!O344</f>
        <v>Cocinera</v>
      </c>
      <c r="O374" s="999">
        <f>ROUND(NOMINA!W344,2)</f>
        <v>85.5</v>
      </c>
      <c r="P374" s="999">
        <f>NOMINA!AF344</f>
        <v>2.57</v>
      </c>
      <c r="Q374" s="999">
        <f>NOMINA!AH344</f>
        <v>65</v>
      </c>
      <c r="R374" s="999">
        <f>NOMINA!AC344</f>
        <v>0</v>
      </c>
      <c r="S374" s="999">
        <f>NOMINA!AJ344</f>
        <v>0</v>
      </c>
      <c r="T374" s="986">
        <f t="shared" si="47"/>
        <v>0</v>
      </c>
      <c r="U374" s="999">
        <f>ROUND(NOMINA!BL344,2)</f>
        <v>11.3</v>
      </c>
      <c r="V374" s="999">
        <f>ROUND(NOMINA!BM344,2)</f>
        <v>1.41</v>
      </c>
      <c r="W374" s="999">
        <f>ROUND(+NOMINA!BN344,2)</f>
        <v>3.06</v>
      </c>
      <c r="X374" s="999">
        <f>ROUND(NOMINA!BO344,2)</f>
        <v>0</v>
      </c>
      <c r="Y374" s="999">
        <f>ROUND(NOMINA!BP344,2)</f>
        <v>0</v>
      </c>
      <c r="Z374" s="986">
        <f t="shared" si="48"/>
        <v>17.52</v>
      </c>
      <c r="AA374" s="999">
        <f>ROUND(NOMINA!BK344,2)*0</f>
        <v>0</v>
      </c>
      <c r="AB374" s="866">
        <f t="shared" si="49"/>
        <v>137.29999999999998</v>
      </c>
    </row>
    <row r="375" spans="1:28" s="629" customFormat="1" ht="20.100000000000001" customHeight="1" thickBot="1">
      <c r="A375" s="770" t="s">
        <v>2834</v>
      </c>
      <c r="B375" s="510">
        <f t="shared" si="45"/>
        <v>34</v>
      </c>
      <c r="C375" s="1009">
        <f>+NOMINA!C345</f>
        <v>11897863</v>
      </c>
      <c r="D375" s="1010" t="str">
        <f>+NOMINA!D345</f>
        <v>Rodriguez Maria Ibel</v>
      </c>
      <c r="E375" s="978" t="s">
        <v>4622</v>
      </c>
      <c r="F375" s="1001">
        <v>27853</v>
      </c>
      <c r="G375" s="978" t="s">
        <v>4620</v>
      </c>
      <c r="H375" s="1011">
        <f>+NOMINA!H345</f>
        <v>41548</v>
      </c>
      <c r="I375" s="984">
        <f>+NOMINA!I345</f>
        <v>11</v>
      </c>
      <c r="J375" s="985">
        <f>+NOMINA!J345</f>
        <v>0</v>
      </c>
      <c r="K375" s="984">
        <f t="shared" si="46"/>
        <v>11</v>
      </c>
      <c r="L375" s="985" t="s">
        <v>4932</v>
      </c>
      <c r="M375" s="985"/>
      <c r="N375" s="1002" t="str">
        <f>+NOMINA!O345</f>
        <v>Aseadora</v>
      </c>
      <c r="O375" s="999">
        <f>ROUND(NOMINA!W345,2)</f>
        <v>65</v>
      </c>
      <c r="P375" s="999">
        <f>NOMINA!AF345</f>
        <v>8.06</v>
      </c>
      <c r="Q375" s="999">
        <f>NOMINA!AH345</f>
        <v>65</v>
      </c>
      <c r="R375" s="999">
        <f>NOMINA!AC345</f>
        <v>0</v>
      </c>
      <c r="S375" s="999">
        <f>NOMINA!AJ345</f>
        <v>0</v>
      </c>
      <c r="T375" s="986">
        <f t="shared" si="47"/>
        <v>0</v>
      </c>
      <c r="U375" s="999">
        <f>ROUND(NOMINA!BL345,2)</f>
        <v>10.199999999999999</v>
      </c>
      <c r="V375" s="999">
        <f>ROUND(NOMINA!BM345,2)</f>
        <v>1.27</v>
      </c>
      <c r="W375" s="999">
        <f>ROUND(+NOMINA!BN345,2)</f>
        <v>2.76</v>
      </c>
      <c r="X375" s="999">
        <f>ROUND(NOMINA!BO345,2)</f>
        <v>0</v>
      </c>
      <c r="Y375" s="999">
        <f>ROUND(NOMINA!BP345,2)</f>
        <v>0</v>
      </c>
      <c r="Z375" s="986">
        <f t="shared" si="48"/>
        <v>16.28</v>
      </c>
      <c r="AA375" s="999">
        <f>ROUND(NOMINA!BK345,2)*0</f>
        <v>0</v>
      </c>
      <c r="AB375" s="866">
        <f t="shared" si="49"/>
        <v>123.83</v>
      </c>
    </row>
    <row r="376" spans="1:28" s="629" customFormat="1" ht="20.100000000000001" customHeight="1" thickBot="1">
      <c r="A376" s="770" t="s">
        <v>2834</v>
      </c>
      <c r="B376" s="510">
        <f t="shared" si="45"/>
        <v>35</v>
      </c>
      <c r="C376" s="1009">
        <f>+NOMINA!C346</f>
        <v>12038359</v>
      </c>
      <c r="D376" s="1010" t="str">
        <f>+NOMINA!D346</f>
        <v>Amaya Perez Carmen Elena</v>
      </c>
      <c r="E376" s="978" t="s">
        <v>4622</v>
      </c>
      <c r="F376" s="1001">
        <v>27853</v>
      </c>
      <c r="G376" s="978" t="s">
        <v>4620</v>
      </c>
      <c r="H376" s="1011">
        <f>+NOMINA!H346</f>
        <v>38103</v>
      </c>
      <c r="I376" s="984">
        <f>+NOMINA!I346</f>
        <v>20</v>
      </c>
      <c r="J376" s="985">
        <f>+NOMINA!J346</f>
        <v>0</v>
      </c>
      <c r="K376" s="984">
        <f t="shared" si="46"/>
        <v>20</v>
      </c>
      <c r="L376" s="985" t="s">
        <v>4932</v>
      </c>
      <c r="M376" s="985"/>
      <c r="N376" s="1002" t="str">
        <f>+NOMINA!O346</f>
        <v>Cocinera</v>
      </c>
      <c r="O376" s="999">
        <f>ROUND(NOMINA!W346,2)</f>
        <v>85.5</v>
      </c>
      <c r="P376" s="999">
        <f>NOMINA!AF346</f>
        <v>22.23</v>
      </c>
      <c r="Q376" s="999">
        <f>NOMINA!AH346</f>
        <v>65</v>
      </c>
      <c r="R376" s="999">
        <f>NOMINA!AC346</f>
        <v>0</v>
      </c>
      <c r="S376" s="999">
        <f>NOMINA!AJ346</f>
        <v>0</v>
      </c>
      <c r="T376" s="986">
        <f t="shared" si="47"/>
        <v>0</v>
      </c>
      <c r="U376" s="999">
        <f>ROUND(NOMINA!BL346,2)</f>
        <v>12.76</v>
      </c>
      <c r="V376" s="999">
        <f>ROUND(NOMINA!BM346,2)</f>
        <v>1.59</v>
      </c>
      <c r="W376" s="999">
        <f>ROUND(+NOMINA!BN346,2)</f>
        <v>3.45</v>
      </c>
      <c r="X376" s="999">
        <f>ROUND(NOMINA!BO346,2)</f>
        <v>0</v>
      </c>
      <c r="Y376" s="999">
        <f>ROUND(NOMINA!BP346,2)</f>
        <v>0</v>
      </c>
      <c r="Z376" s="986">
        <f t="shared" si="48"/>
        <v>13.66</v>
      </c>
      <c r="AA376" s="999">
        <f>ROUND(NOMINA!BK346,2)*0</f>
        <v>0</v>
      </c>
      <c r="AB376" s="866">
        <f t="shared" si="49"/>
        <v>154.93</v>
      </c>
    </row>
    <row r="377" spans="1:28" s="629" customFormat="1" ht="20.100000000000001" customHeight="1" thickBot="1">
      <c r="A377" s="770" t="s">
        <v>2834</v>
      </c>
      <c r="B377" s="510">
        <f t="shared" si="45"/>
        <v>36</v>
      </c>
      <c r="C377" s="1009">
        <f>+NOMINA!C347</f>
        <v>12042930</v>
      </c>
      <c r="D377" s="1010" t="str">
        <f>+NOMINA!D347</f>
        <v>Barroeta Cardozo Leonid Andrei</v>
      </c>
      <c r="E377" s="978" t="s">
        <v>4622</v>
      </c>
      <c r="F377" s="1001">
        <v>27853</v>
      </c>
      <c r="G377" s="978" t="s">
        <v>4620</v>
      </c>
      <c r="H377" s="1011">
        <f>+NOMINA!H347</f>
        <v>44986</v>
      </c>
      <c r="I377" s="984">
        <f>+NOMINA!I347</f>
        <v>1</v>
      </c>
      <c r="J377" s="985">
        <f>+NOMINA!J347</f>
        <v>0</v>
      </c>
      <c r="K377" s="984">
        <f t="shared" si="46"/>
        <v>1</v>
      </c>
      <c r="L377" s="985" t="s">
        <v>4932</v>
      </c>
      <c r="M377" s="985"/>
      <c r="N377" s="1002" t="str">
        <f>+NOMINA!O347</f>
        <v>Ayudante de Servicios Generales</v>
      </c>
      <c r="O377" s="999">
        <f>ROUND(NOMINA!W347,2)</f>
        <v>76</v>
      </c>
      <c r="P377" s="999">
        <f>NOMINA!AF347</f>
        <v>0.76</v>
      </c>
      <c r="Q377" s="999">
        <f>NOMINA!AH347</f>
        <v>65</v>
      </c>
      <c r="R377" s="999">
        <f>NOMINA!AC347</f>
        <v>0</v>
      </c>
      <c r="S377" s="999">
        <f>NOMINA!AJ347</f>
        <v>0</v>
      </c>
      <c r="T377" s="986">
        <f t="shared" si="47"/>
        <v>0</v>
      </c>
      <c r="U377" s="999">
        <f>ROUND(NOMINA!BL347,2)</f>
        <v>10.47</v>
      </c>
      <c r="V377" s="999">
        <f>ROUND(NOMINA!BM347,2)</f>
        <v>1.31</v>
      </c>
      <c r="W377" s="999">
        <f>ROUND(+NOMINA!BN347,2)</f>
        <v>2.84</v>
      </c>
      <c r="X377" s="999">
        <f>ROUND(NOMINA!BO347,2)</f>
        <v>0</v>
      </c>
      <c r="Y377" s="999">
        <f>ROUND(NOMINA!BP347,2)</f>
        <v>0</v>
      </c>
      <c r="Z377" s="986">
        <f t="shared" si="48"/>
        <v>16.07</v>
      </c>
      <c r="AA377" s="999">
        <f>ROUND(NOMINA!BK347,2)*0</f>
        <v>0</v>
      </c>
      <c r="AB377" s="866">
        <f t="shared" si="49"/>
        <v>127.13999999999999</v>
      </c>
    </row>
    <row r="378" spans="1:28" s="629" customFormat="1" ht="20.100000000000001" customHeight="1" thickBot="1">
      <c r="A378" s="770" t="s">
        <v>2834</v>
      </c>
      <c r="B378" s="510">
        <f t="shared" si="45"/>
        <v>37</v>
      </c>
      <c r="C378" s="1009">
        <f>+NOMINA!C348</f>
        <v>12043135</v>
      </c>
      <c r="D378" s="1010" t="str">
        <f>+NOMINA!D348</f>
        <v>Avila Salvio Rodolfo</v>
      </c>
      <c r="E378" s="978" t="s">
        <v>4622</v>
      </c>
      <c r="F378" s="1001">
        <v>27853</v>
      </c>
      <c r="G378" s="978" t="s">
        <v>4620</v>
      </c>
      <c r="H378" s="1011">
        <f>+NOMINA!H348</f>
        <v>43724</v>
      </c>
      <c r="I378" s="984">
        <f>+NOMINA!I348</f>
        <v>5</v>
      </c>
      <c r="J378" s="985">
        <f>+NOMINA!J348</f>
        <v>0</v>
      </c>
      <c r="K378" s="984">
        <f t="shared" si="46"/>
        <v>5</v>
      </c>
      <c r="L378" s="985" t="s">
        <v>4932</v>
      </c>
      <c r="M378" s="985"/>
      <c r="N378" s="1002" t="str">
        <f>+NOMINA!O348</f>
        <v>Cocinero</v>
      </c>
      <c r="O378" s="999">
        <f>ROUND(NOMINA!W348,2)</f>
        <v>85.5</v>
      </c>
      <c r="P378" s="999">
        <f>NOMINA!AF348</f>
        <v>4.28</v>
      </c>
      <c r="Q378" s="999">
        <f>NOMINA!AH348</f>
        <v>65</v>
      </c>
      <c r="R378" s="999">
        <f>NOMINA!AC348</f>
        <v>0</v>
      </c>
      <c r="S378" s="999">
        <f>NOMINA!AJ348</f>
        <v>0</v>
      </c>
      <c r="T378" s="986">
        <f t="shared" si="47"/>
        <v>0</v>
      </c>
      <c r="U378" s="999">
        <f>ROUND(NOMINA!BL348,2)</f>
        <v>11.43</v>
      </c>
      <c r="V378" s="999">
        <f>ROUND(NOMINA!BM348,2)</f>
        <v>1.43</v>
      </c>
      <c r="W378" s="999">
        <f>ROUND(+NOMINA!BN348,2)</f>
        <v>3.1</v>
      </c>
      <c r="X378" s="999">
        <f>ROUND(NOMINA!BO348,2)</f>
        <v>0</v>
      </c>
      <c r="Y378" s="999">
        <f>ROUND(NOMINA!BP348,2)</f>
        <v>0</v>
      </c>
      <c r="Z378" s="986">
        <f t="shared" si="48"/>
        <v>14.77</v>
      </c>
      <c r="AA378" s="999">
        <f>ROUND(NOMINA!BK348,2)*0</f>
        <v>0</v>
      </c>
      <c r="AB378" s="866">
        <f t="shared" si="49"/>
        <v>138.82</v>
      </c>
    </row>
    <row r="379" spans="1:28" s="629" customFormat="1" ht="20.100000000000001" customHeight="1" thickBot="1">
      <c r="A379" s="770" t="s">
        <v>2834</v>
      </c>
      <c r="B379" s="510">
        <f t="shared" si="45"/>
        <v>38</v>
      </c>
      <c r="C379" s="1009">
        <f>+NOMINA!C349</f>
        <v>12044124</v>
      </c>
      <c r="D379" s="1010" t="str">
        <f>+NOMINA!D349</f>
        <v>Rivas Carlos Luis</v>
      </c>
      <c r="E379" s="978" t="s">
        <v>4622</v>
      </c>
      <c r="F379" s="1001">
        <v>27853</v>
      </c>
      <c r="G379" s="978" t="s">
        <v>4620</v>
      </c>
      <c r="H379" s="1011">
        <f>+NOMINA!H349</f>
        <v>39539</v>
      </c>
      <c r="I379" s="984">
        <f>+NOMINA!I349</f>
        <v>16</v>
      </c>
      <c r="J379" s="985">
        <f>+NOMINA!J349</f>
        <v>0</v>
      </c>
      <c r="K379" s="984">
        <f t="shared" si="46"/>
        <v>16</v>
      </c>
      <c r="L379" s="985" t="s">
        <v>4932</v>
      </c>
      <c r="M379" s="985"/>
      <c r="N379" s="1002" t="str">
        <f>+NOMINA!O349</f>
        <v>Ayudante de Servicios Generales</v>
      </c>
      <c r="O379" s="999">
        <f>ROUND(NOMINA!W349,2)</f>
        <v>76</v>
      </c>
      <c r="P379" s="999">
        <f>NOMINA!AF349</f>
        <v>14.9</v>
      </c>
      <c r="Q379" s="999">
        <f>NOMINA!AH349</f>
        <v>65</v>
      </c>
      <c r="R379" s="999">
        <f>NOMINA!AC349</f>
        <v>0</v>
      </c>
      <c r="S379" s="999">
        <f>NOMINA!AJ349</f>
        <v>0</v>
      </c>
      <c r="T379" s="986">
        <f t="shared" si="47"/>
        <v>0</v>
      </c>
      <c r="U379" s="999">
        <f>ROUND(NOMINA!BL349,2)</f>
        <v>14.97</v>
      </c>
      <c r="V379" s="999">
        <f>ROUND(NOMINA!BM349,2)</f>
        <v>1.87</v>
      </c>
      <c r="W379" s="999">
        <f>ROUND(+NOMINA!BN349,2)</f>
        <v>4.05</v>
      </c>
      <c r="X379" s="999">
        <f>ROUND(NOMINA!BO349,2)</f>
        <v>0</v>
      </c>
      <c r="Y379" s="999">
        <f>ROUND(NOMINA!BP349,2)</f>
        <v>0</v>
      </c>
      <c r="Z379" s="986">
        <f t="shared" si="48"/>
        <v>14.69</v>
      </c>
      <c r="AA379" s="999">
        <f>ROUND(NOMINA!BK349,2)*0</f>
        <v>0</v>
      </c>
      <c r="AB379" s="866">
        <f t="shared" si="49"/>
        <v>135.01</v>
      </c>
    </row>
    <row r="380" spans="1:28" s="629" customFormat="1" ht="20.100000000000001" customHeight="1" thickBot="1">
      <c r="A380" s="770" t="s">
        <v>2834</v>
      </c>
      <c r="B380" s="510">
        <f t="shared" si="45"/>
        <v>39</v>
      </c>
      <c r="C380" s="1009">
        <f>+NOMINA!C350</f>
        <v>12044754</v>
      </c>
      <c r="D380" s="1010" t="str">
        <f>+NOMINA!D350</f>
        <v>Briceño Graterol Oscar Antonio</v>
      </c>
      <c r="E380" s="978" t="s">
        <v>4622</v>
      </c>
      <c r="F380" s="1001">
        <v>27853</v>
      </c>
      <c r="G380" s="978" t="s">
        <v>4620</v>
      </c>
      <c r="H380" s="1011">
        <f>+NOMINA!H350</f>
        <v>43481</v>
      </c>
      <c r="I380" s="984">
        <f>+NOMINA!I350</f>
        <v>6</v>
      </c>
      <c r="J380" s="985">
        <f>+NOMINA!J350</f>
        <v>0</v>
      </c>
      <c r="K380" s="984">
        <f t="shared" si="46"/>
        <v>6</v>
      </c>
      <c r="L380" s="985" t="s">
        <v>4932</v>
      </c>
      <c r="M380" s="985"/>
      <c r="N380" s="1002" t="str">
        <f>+NOMINA!O350</f>
        <v>Ayudante de Servicios Generales</v>
      </c>
      <c r="O380" s="999">
        <f>ROUND(NOMINA!W350,2)</f>
        <v>76</v>
      </c>
      <c r="P380" s="999">
        <f>NOMINA!AF350</f>
        <v>4.71</v>
      </c>
      <c r="Q380" s="999">
        <f>NOMINA!AH350</f>
        <v>65</v>
      </c>
      <c r="R380" s="999">
        <f>NOMINA!AC350</f>
        <v>0</v>
      </c>
      <c r="S380" s="999">
        <f>NOMINA!AJ350</f>
        <v>0</v>
      </c>
      <c r="T380" s="986">
        <f t="shared" si="47"/>
        <v>0</v>
      </c>
      <c r="U380" s="999">
        <f>ROUND(NOMINA!BL350,2)</f>
        <v>10.76</v>
      </c>
      <c r="V380" s="999">
        <f>ROUND(NOMINA!BM350,2)</f>
        <v>1.35</v>
      </c>
      <c r="W380" s="999">
        <f>ROUND(+NOMINA!BN350,2)</f>
        <v>2.91</v>
      </c>
      <c r="X380" s="999">
        <f>ROUND(NOMINA!BO350,2)</f>
        <v>0</v>
      </c>
      <c r="Y380" s="999">
        <f>ROUND(NOMINA!BP350,2)</f>
        <v>0</v>
      </c>
      <c r="Z380" s="986">
        <f t="shared" si="48"/>
        <v>21.65</v>
      </c>
      <c r="AA380" s="999">
        <f>ROUND(NOMINA!BK350,2)*0</f>
        <v>0</v>
      </c>
      <c r="AB380" s="866">
        <f t="shared" si="49"/>
        <v>130.68999999999997</v>
      </c>
    </row>
    <row r="381" spans="1:28" s="629" customFormat="1" ht="20.100000000000001" customHeight="1" thickBot="1">
      <c r="A381" s="770" t="s">
        <v>2834</v>
      </c>
      <c r="B381" s="510">
        <f t="shared" si="45"/>
        <v>40</v>
      </c>
      <c r="C381" s="1009">
        <f>+NOMINA!C351</f>
        <v>12046834</v>
      </c>
      <c r="D381" s="1010" t="str">
        <f>+NOMINA!D351</f>
        <v>Perez Montilla William Jose</v>
      </c>
      <c r="E381" s="978" t="s">
        <v>4622</v>
      </c>
      <c r="F381" s="1001">
        <v>27853</v>
      </c>
      <c r="G381" s="978" t="s">
        <v>4620</v>
      </c>
      <c r="H381" s="1011">
        <f>+NOMINA!H351</f>
        <v>43313</v>
      </c>
      <c r="I381" s="984">
        <f>+NOMINA!I351</f>
        <v>6</v>
      </c>
      <c r="J381" s="985">
        <f>+NOMINA!J351</f>
        <v>14</v>
      </c>
      <c r="K381" s="984">
        <f t="shared" si="46"/>
        <v>20</v>
      </c>
      <c r="L381" s="985" t="s">
        <v>4932</v>
      </c>
      <c r="M381" s="985"/>
      <c r="N381" s="1002" t="str">
        <f>+NOMINA!O351</f>
        <v>Cocinero</v>
      </c>
      <c r="O381" s="999">
        <f>ROUND(NOMINA!W351,2)</f>
        <v>85.5</v>
      </c>
      <c r="P381" s="999">
        <f>NOMINA!AF351</f>
        <v>22.23</v>
      </c>
      <c r="Q381" s="999">
        <f>NOMINA!AH351</f>
        <v>65</v>
      </c>
      <c r="R381" s="999">
        <f>NOMINA!AC351</f>
        <v>12.5</v>
      </c>
      <c r="S381" s="999">
        <f>NOMINA!AJ351</f>
        <v>0</v>
      </c>
      <c r="T381" s="986">
        <f t="shared" si="47"/>
        <v>75.489999999999995</v>
      </c>
      <c r="U381" s="999">
        <f>ROUND(NOMINA!BL351,2)</f>
        <v>13.22</v>
      </c>
      <c r="V381" s="999">
        <f>ROUND(NOMINA!BM351,2)</f>
        <v>1.65</v>
      </c>
      <c r="W381" s="999">
        <f>ROUND(+NOMINA!BN351,2)</f>
        <v>3.58</v>
      </c>
      <c r="X381" s="999">
        <f>ROUND(NOMINA!BO351,2)</f>
        <v>0</v>
      </c>
      <c r="Y381" s="999">
        <f>ROUND(NOMINA!BP351,2)</f>
        <v>0</v>
      </c>
      <c r="Z381" s="986">
        <f t="shared" si="48"/>
        <v>17.239999999999998</v>
      </c>
      <c r="AA381" s="999">
        <f>ROUND(NOMINA!BK351,2)*0</f>
        <v>0</v>
      </c>
      <c r="AB381" s="866">
        <f t="shared" si="49"/>
        <v>166.78000000000003</v>
      </c>
    </row>
    <row r="382" spans="1:28" s="629" customFormat="1" ht="20.100000000000001" customHeight="1" thickBot="1">
      <c r="A382" s="770" t="s">
        <v>2834</v>
      </c>
      <c r="B382" s="510">
        <f t="shared" si="45"/>
        <v>41</v>
      </c>
      <c r="C382" s="1009">
        <f>+NOMINA!C352</f>
        <v>12047016</v>
      </c>
      <c r="D382" s="1010" t="str">
        <f>+NOMINA!D352</f>
        <v>Lozada de Estenoz Maria Edicta</v>
      </c>
      <c r="E382" s="978" t="s">
        <v>4622</v>
      </c>
      <c r="F382" s="1001">
        <v>27853</v>
      </c>
      <c r="G382" s="978" t="s">
        <v>4620</v>
      </c>
      <c r="H382" s="1011">
        <f>+NOMINA!H352</f>
        <v>42948</v>
      </c>
      <c r="I382" s="984">
        <f>+NOMINA!I352</f>
        <v>7</v>
      </c>
      <c r="J382" s="985">
        <f>+NOMINA!J352</f>
        <v>0</v>
      </c>
      <c r="K382" s="984">
        <f t="shared" si="46"/>
        <v>7</v>
      </c>
      <c r="L382" s="985" t="s">
        <v>4932</v>
      </c>
      <c r="M382" s="985"/>
      <c r="N382" s="1002" t="str">
        <f>+NOMINA!O352</f>
        <v>Cocinera</v>
      </c>
      <c r="O382" s="999">
        <f>ROUND(NOMINA!W352,2)</f>
        <v>85.5</v>
      </c>
      <c r="P382" s="999">
        <f>NOMINA!AF352</f>
        <v>6.33</v>
      </c>
      <c r="Q382" s="999">
        <f>NOMINA!AH352</f>
        <v>65</v>
      </c>
      <c r="R382" s="999">
        <f>NOMINA!AC352</f>
        <v>12.5</v>
      </c>
      <c r="S382" s="999">
        <f>NOMINA!AJ352</f>
        <v>0</v>
      </c>
      <c r="T382" s="986">
        <f t="shared" si="47"/>
        <v>83.13</v>
      </c>
      <c r="U382" s="999">
        <f>ROUND(NOMINA!BL352,2)</f>
        <v>12.04</v>
      </c>
      <c r="V382" s="999">
        <f>ROUND(NOMINA!BM352,2)</f>
        <v>1.51</v>
      </c>
      <c r="W382" s="999">
        <f>ROUND(+NOMINA!BN352,2)</f>
        <v>3.26</v>
      </c>
      <c r="X382" s="999">
        <f>ROUND(NOMINA!BO352,2)</f>
        <v>0</v>
      </c>
      <c r="Y382" s="999">
        <f>ROUND(NOMINA!BP352,2)</f>
        <v>0</v>
      </c>
      <c r="Z382" s="986">
        <f t="shared" si="48"/>
        <v>14.69</v>
      </c>
      <c r="AA382" s="999">
        <f>ROUND(NOMINA!BK352,2)*0</f>
        <v>0</v>
      </c>
      <c r="AB382" s="866">
        <f t="shared" si="49"/>
        <v>152.51999999999998</v>
      </c>
    </row>
    <row r="383" spans="1:28" s="629" customFormat="1" ht="20.100000000000001" customHeight="1" thickBot="1">
      <c r="A383" s="770" t="s">
        <v>2834</v>
      </c>
      <c r="B383" s="510">
        <f t="shared" si="45"/>
        <v>42</v>
      </c>
      <c r="C383" s="1009">
        <f>+NOMINA!C353</f>
        <v>12797543</v>
      </c>
      <c r="D383" s="1010" t="str">
        <f>+NOMINA!D353</f>
        <v>Carrizo Blanco Doris Coromoto</v>
      </c>
      <c r="E383" s="978" t="s">
        <v>4622</v>
      </c>
      <c r="F383" s="1001">
        <v>27853</v>
      </c>
      <c r="G383" s="978" t="s">
        <v>4620</v>
      </c>
      <c r="H383" s="1011">
        <f>+NOMINA!H353</f>
        <v>42948</v>
      </c>
      <c r="I383" s="984">
        <f>+NOMINA!I353</f>
        <v>7</v>
      </c>
      <c r="J383" s="985">
        <f>+NOMINA!J353</f>
        <v>0</v>
      </c>
      <c r="K383" s="984">
        <f t="shared" si="46"/>
        <v>7</v>
      </c>
      <c r="L383" s="985" t="s">
        <v>4932</v>
      </c>
      <c r="M383" s="985"/>
      <c r="N383" s="1002" t="str">
        <f>+NOMINA!O353</f>
        <v>Ayudante de Servicios Generales</v>
      </c>
      <c r="O383" s="999">
        <f>ROUND(NOMINA!W353,2)</f>
        <v>76</v>
      </c>
      <c r="P383" s="999">
        <f>NOMINA!AF353</f>
        <v>5.63</v>
      </c>
      <c r="Q383" s="999">
        <f>NOMINA!AH353</f>
        <v>65</v>
      </c>
      <c r="R383" s="999">
        <f>NOMINA!AC353</f>
        <v>0</v>
      </c>
      <c r="S383" s="999">
        <f>NOMINA!AJ353</f>
        <v>0</v>
      </c>
      <c r="T383" s="986">
        <f t="shared" si="47"/>
        <v>90.31</v>
      </c>
      <c r="U383" s="999">
        <f>ROUND(NOMINA!BL353,2)</f>
        <v>10.83</v>
      </c>
      <c r="V383" s="999">
        <f>ROUND(NOMINA!BM353,2)</f>
        <v>1.35</v>
      </c>
      <c r="W383" s="999">
        <f>ROUND(+NOMINA!BN353,2)</f>
        <v>2.93</v>
      </c>
      <c r="X383" s="999">
        <f>ROUND(NOMINA!BO353,2)</f>
        <v>0</v>
      </c>
      <c r="Y383" s="999">
        <f>ROUND(NOMINA!BP353,2)</f>
        <v>0</v>
      </c>
      <c r="Z383" s="986">
        <f t="shared" si="48"/>
        <v>15.96</v>
      </c>
      <c r="AA383" s="999">
        <f>ROUND(NOMINA!BK353,2)*0</f>
        <v>0</v>
      </c>
      <c r="AB383" s="866">
        <f t="shared" si="49"/>
        <v>131.51999999999998</v>
      </c>
    </row>
    <row r="384" spans="1:28" s="629" customFormat="1" ht="20.100000000000001" customHeight="1" thickBot="1">
      <c r="A384" s="770" t="s">
        <v>2834</v>
      </c>
      <c r="B384" s="510">
        <f t="shared" si="45"/>
        <v>43</v>
      </c>
      <c r="C384" s="1009">
        <f>+NOMINA!C354</f>
        <v>12797598</v>
      </c>
      <c r="D384" s="1010" t="str">
        <f>+NOMINA!D354</f>
        <v>Gutierrez Briceño Jose Gabriel</v>
      </c>
      <c r="E384" s="978" t="s">
        <v>4622</v>
      </c>
      <c r="F384" s="1001">
        <v>27853</v>
      </c>
      <c r="G384" s="978" t="s">
        <v>4620</v>
      </c>
      <c r="H384" s="1011">
        <f>+NOMINA!H354</f>
        <v>44635</v>
      </c>
      <c r="I384" s="984">
        <f>+NOMINA!I354</f>
        <v>2</v>
      </c>
      <c r="J384" s="985">
        <f>+NOMINA!J354</f>
        <v>0</v>
      </c>
      <c r="K384" s="984">
        <f t="shared" si="46"/>
        <v>2</v>
      </c>
      <c r="L384" s="985" t="s">
        <v>4932</v>
      </c>
      <c r="M384" s="985"/>
      <c r="N384" s="1002" t="str">
        <f>+NOMINA!O354</f>
        <v>Cocinero</v>
      </c>
      <c r="O384" s="999">
        <f>ROUND(NOMINA!W354,2)</f>
        <v>85.5</v>
      </c>
      <c r="P384" s="999">
        <f>NOMINA!AF354</f>
        <v>1.71</v>
      </c>
      <c r="Q384" s="999">
        <f>NOMINA!AH354</f>
        <v>65</v>
      </c>
      <c r="R384" s="999">
        <f>NOMINA!AC354</f>
        <v>12.5</v>
      </c>
      <c r="S384" s="999">
        <f>NOMINA!AJ354</f>
        <v>0</v>
      </c>
      <c r="T384" s="986">
        <f t="shared" si="47"/>
        <v>71.33</v>
      </c>
      <c r="U384" s="999">
        <f>ROUND(NOMINA!BL354,2)</f>
        <v>11.7</v>
      </c>
      <c r="V384" s="999">
        <f>ROUND(NOMINA!BM354,2)</f>
        <v>1.46</v>
      </c>
      <c r="W384" s="999">
        <f>ROUND(+NOMINA!BN354,2)</f>
        <v>3.17</v>
      </c>
      <c r="X384" s="999">
        <f>ROUND(NOMINA!BO354,2)</f>
        <v>0</v>
      </c>
      <c r="Y384" s="999">
        <f>ROUND(NOMINA!BP354,2)</f>
        <v>0</v>
      </c>
      <c r="Z384" s="986">
        <f t="shared" si="48"/>
        <v>17.52</v>
      </c>
      <c r="AA384" s="999">
        <f>ROUND(NOMINA!BK354,2)*0</f>
        <v>0</v>
      </c>
      <c r="AB384" s="866">
        <f t="shared" si="49"/>
        <v>148.38</v>
      </c>
    </row>
    <row r="385" spans="1:28" s="629" customFormat="1" ht="20.100000000000001" customHeight="1" thickBot="1">
      <c r="A385" s="770" t="s">
        <v>2834</v>
      </c>
      <c r="B385" s="510">
        <f t="shared" si="45"/>
        <v>44</v>
      </c>
      <c r="C385" s="1009">
        <f>+NOMINA!C355</f>
        <v>13049800</v>
      </c>
      <c r="D385" s="1010" t="str">
        <f>+NOMINA!D355</f>
        <v>Artigas Sanchez Mereldes Corina</v>
      </c>
      <c r="E385" s="978" t="s">
        <v>4622</v>
      </c>
      <c r="F385" s="1001">
        <v>27853</v>
      </c>
      <c r="G385" s="978" t="s">
        <v>4620</v>
      </c>
      <c r="H385" s="1011">
        <f>+NOMINA!H355</f>
        <v>42171</v>
      </c>
      <c r="I385" s="984">
        <f>+NOMINA!I355</f>
        <v>9</v>
      </c>
      <c r="J385" s="985">
        <f>+NOMINA!J355</f>
        <v>0</v>
      </c>
      <c r="K385" s="984">
        <f t="shared" si="46"/>
        <v>9</v>
      </c>
      <c r="L385" s="985" t="s">
        <v>4932</v>
      </c>
      <c r="M385" s="985"/>
      <c r="N385" s="1002" t="str">
        <f>+NOMINA!O355</f>
        <v>Aseadora</v>
      </c>
      <c r="O385" s="999">
        <f>ROUND(NOMINA!W355,2)</f>
        <v>65</v>
      </c>
      <c r="P385" s="999">
        <f>NOMINA!AF355</f>
        <v>6.37</v>
      </c>
      <c r="Q385" s="999">
        <f>NOMINA!AH355</f>
        <v>65</v>
      </c>
      <c r="R385" s="999">
        <f>NOMINA!AC355</f>
        <v>0</v>
      </c>
      <c r="S385" s="999">
        <f>NOMINA!AJ355</f>
        <v>0</v>
      </c>
      <c r="T385" s="986">
        <f t="shared" si="47"/>
        <v>79.63</v>
      </c>
      <c r="U385" s="999">
        <f>ROUND(NOMINA!BL355,2)</f>
        <v>10.07</v>
      </c>
      <c r="V385" s="999">
        <f>ROUND(NOMINA!BM355,2)</f>
        <v>1.26</v>
      </c>
      <c r="W385" s="999">
        <f>ROUND(+NOMINA!BN355,2)</f>
        <v>2.73</v>
      </c>
      <c r="X385" s="999">
        <f>ROUND(NOMINA!BO355,2)</f>
        <v>0</v>
      </c>
      <c r="Y385" s="999">
        <f>ROUND(NOMINA!BP355,2)</f>
        <v>0</v>
      </c>
      <c r="Z385" s="986">
        <f t="shared" si="48"/>
        <v>15.77</v>
      </c>
      <c r="AA385" s="999">
        <f>ROUND(NOMINA!BK355,2)*0</f>
        <v>0</v>
      </c>
      <c r="AB385" s="866">
        <f t="shared" si="49"/>
        <v>122.31</v>
      </c>
    </row>
    <row r="386" spans="1:28" s="629" customFormat="1" ht="20.100000000000001" customHeight="1" thickBot="1">
      <c r="A386" s="770" t="s">
        <v>2834</v>
      </c>
      <c r="B386" s="510">
        <f t="shared" si="45"/>
        <v>45</v>
      </c>
      <c r="C386" s="1009">
        <f>+NOMINA!C356</f>
        <v>13260758</v>
      </c>
      <c r="D386" s="1010" t="str">
        <f>+NOMINA!D356</f>
        <v>Zerpa Silva Frank Michael</v>
      </c>
      <c r="E386" s="978" t="s">
        <v>4622</v>
      </c>
      <c r="F386" s="1001">
        <v>27853</v>
      </c>
      <c r="G386" s="978" t="s">
        <v>4620</v>
      </c>
      <c r="H386" s="1011">
        <f>+NOMINA!H356</f>
        <v>39118</v>
      </c>
      <c r="I386" s="984">
        <f>+NOMINA!I356</f>
        <v>17</v>
      </c>
      <c r="J386" s="985">
        <f>+NOMINA!J356</f>
        <v>0</v>
      </c>
      <c r="K386" s="984">
        <f t="shared" si="46"/>
        <v>17</v>
      </c>
      <c r="L386" s="985" t="s">
        <v>4932</v>
      </c>
      <c r="M386" s="985"/>
      <c r="N386" s="1002" t="str">
        <f>+NOMINA!O356</f>
        <v>Vigilante</v>
      </c>
      <c r="O386" s="999">
        <f>ROUND(NOMINA!W356,2)</f>
        <v>85.5</v>
      </c>
      <c r="P386" s="999">
        <f>NOMINA!AF356</f>
        <v>18.13</v>
      </c>
      <c r="Q386" s="999">
        <f>NOMINA!AH356</f>
        <v>65</v>
      </c>
      <c r="R386" s="999">
        <f>NOMINA!AC356</f>
        <v>0</v>
      </c>
      <c r="S386" s="999">
        <f>NOMINA!AJ356</f>
        <v>0</v>
      </c>
      <c r="T386" s="986">
        <f t="shared" si="47"/>
        <v>68.040000000000006</v>
      </c>
      <c r="U386" s="999">
        <f>ROUND(NOMINA!BL356,2)</f>
        <v>16.190000000000001</v>
      </c>
      <c r="V386" s="999">
        <f>ROUND(NOMINA!BM356,2)</f>
        <v>2.02</v>
      </c>
      <c r="W386" s="999">
        <f>ROUND(+NOMINA!BN356,2)</f>
        <v>4.38</v>
      </c>
      <c r="X386" s="999">
        <f>ROUND(NOMINA!BO356,2)</f>
        <v>0</v>
      </c>
      <c r="Y386" s="999">
        <f>ROUND(NOMINA!BP356,2)</f>
        <v>0</v>
      </c>
      <c r="Z386" s="986">
        <f t="shared" si="48"/>
        <v>14.23</v>
      </c>
      <c r="AA386" s="999">
        <f>ROUND(NOMINA!BK356,2)*0</f>
        <v>0</v>
      </c>
      <c r="AB386" s="866">
        <f t="shared" si="49"/>
        <v>146.04</v>
      </c>
    </row>
    <row r="387" spans="1:28" s="629" customFormat="1" ht="20.100000000000001" customHeight="1" thickBot="1">
      <c r="A387" s="770" t="s">
        <v>2834</v>
      </c>
      <c r="B387" s="510">
        <f t="shared" si="45"/>
        <v>46</v>
      </c>
      <c r="C387" s="1009">
        <f>+NOMINA!C357</f>
        <v>13376729</v>
      </c>
      <c r="D387" s="1010" t="str">
        <f>+NOMINA!D357</f>
        <v>Briceño Aldana Yhon Mario</v>
      </c>
      <c r="E387" s="978" t="s">
        <v>4622</v>
      </c>
      <c r="F387" s="1001">
        <v>27853</v>
      </c>
      <c r="G387" s="978" t="s">
        <v>4620</v>
      </c>
      <c r="H387" s="1011">
        <f>+NOMINA!H357</f>
        <v>42948</v>
      </c>
      <c r="I387" s="984">
        <f>+NOMINA!I357</f>
        <v>7</v>
      </c>
      <c r="J387" s="985">
        <f>+NOMINA!J357</f>
        <v>0</v>
      </c>
      <c r="K387" s="984">
        <f t="shared" si="46"/>
        <v>7</v>
      </c>
      <c r="L387" s="985" t="s">
        <v>4932</v>
      </c>
      <c r="M387" s="985"/>
      <c r="N387" s="1002" t="str">
        <f>+NOMINA!O357</f>
        <v>Vigilante</v>
      </c>
      <c r="O387" s="999">
        <f>ROUND(NOMINA!W357,2)</f>
        <v>85.5</v>
      </c>
      <c r="P387" s="999">
        <f>NOMINA!AF357</f>
        <v>6.33</v>
      </c>
      <c r="Q387" s="999">
        <f>NOMINA!AH357</f>
        <v>65</v>
      </c>
      <c r="R387" s="999">
        <f>NOMINA!AC357</f>
        <v>12.5</v>
      </c>
      <c r="S387" s="999">
        <f>NOMINA!AJ357</f>
        <v>0</v>
      </c>
      <c r="T387" s="986">
        <f t="shared" si="47"/>
        <v>81.11</v>
      </c>
      <c r="U387" s="999">
        <f>ROUND(NOMINA!BL357,2)</f>
        <v>15.66</v>
      </c>
      <c r="V387" s="999">
        <f>ROUND(NOMINA!BM357,2)</f>
        <v>1.96</v>
      </c>
      <c r="W387" s="999">
        <f>ROUND(+NOMINA!BN357,2)</f>
        <v>4.24</v>
      </c>
      <c r="X387" s="999">
        <f>ROUND(NOMINA!BO357,2)</f>
        <v>0</v>
      </c>
      <c r="Y387" s="999">
        <f>ROUND(NOMINA!BP357,2)</f>
        <v>0</v>
      </c>
      <c r="Z387" s="986">
        <f t="shared" si="48"/>
        <v>17.8</v>
      </c>
      <c r="AA387" s="999">
        <f>ROUND(NOMINA!BK357,2)*0</f>
        <v>0</v>
      </c>
      <c r="AB387" s="866">
        <f t="shared" si="49"/>
        <v>147.46999999999997</v>
      </c>
    </row>
    <row r="388" spans="1:28" s="629" customFormat="1" ht="20.100000000000001" customHeight="1" thickBot="1">
      <c r="A388" s="770" t="s">
        <v>2834</v>
      </c>
      <c r="B388" s="510">
        <f t="shared" si="45"/>
        <v>47</v>
      </c>
      <c r="C388" s="1009">
        <f>+NOMINA!C358</f>
        <v>13404824</v>
      </c>
      <c r="D388" s="1010" t="str">
        <f>+NOMINA!D358</f>
        <v>Malpica Rivas Julio Enrique</v>
      </c>
      <c r="E388" s="978" t="s">
        <v>4622</v>
      </c>
      <c r="F388" s="1001">
        <v>27853</v>
      </c>
      <c r="G388" s="978" t="s">
        <v>4620</v>
      </c>
      <c r="H388" s="1011">
        <f>+NOMINA!H358</f>
        <v>45474</v>
      </c>
      <c r="I388" s="984">
        <f>+NOMINA!I358</f>
        <v>0</v>
      </c>
      <c r="J388" s="985">
        <f>+NOMINA!J358</f>
        <v>0</v>
      </c>
      <c r="K388" s="984">
        <f t="shared" si="46"/>
        <v>0</v>
      </c>
      <c r="L388" s="985" t="s">
        <v>4932</v>
      </c>
      <c r="M388" s="985"/>
      <c r="N388" s="1002" t="str">
        <f>+NOMINA!O358</f>
        <v>Ayudante de Servicios Generales</v>
      </c>
      <c r="O388" s="999">
        <f>ROUND(NOMINA!W358,2)</f>
        <v>76</v>
      </c>
      <c r="P388" s="999">
        <f>NOMINA!AF358</f>
        <v>0</v>
      </c>
      <c r="Q388" s="999">
        <f>NOMINA!AH358</f>
        <v>65</v>
      </c>
      <c r="R388" s="999">
        <f>NOMINA!AC358</f>
        <v>0</v>
      </c>
      <c r="S388" s="999">
        <f>NOMINA!AJ358</f>
        <v>0</v>
      </c>
      <c r="T388" s="986">
        <f t="shared" si="47"/>
        <v>79.900000000000006</v>
      </c>
      <c r="U388" s="999">
        <f>ROUND(NOMINA!BL358,2)</f>
        <v>10.41</v>
      </c>
      <c r="V388" s="999">
        <f>ROUND(NOMINA!BM358,2)</f>
        <v>1.3</v>
      </c>
      <c r="W388" s="999">
        <f>ROUND(+NOMINA!BN358,2)</f>
        <v>2.82</v>
      </c>
      <c r="X388" s="999">
        <f>ROUND(NOMINA!BO358,2)</f>
        <v>0</v>
      </c>
      <c r="Y388" s="999">
        <f>ROUND(NOMINA!BP358,2)</f>
        <v>0</v>
      </c>
      <c r="Z388" s="986">
        <f t="shared" si="48"/>
        <v>14.62</v>
      </c>
      <c r="AA388" s="999">
        <f>ROUND(NOMINA!BK358,2)*0</f>
        <v>0</v>
      </c>
      <c r="AB388" s="866">
        <f t="shared" si="49"/>
        <v>126.47</v>
      </c>
    </row>
    <row r="389" spans="1:28" s="629" customFormat="1" ht="20.100000000000001" customHeight="1" thickBot="1">
      <c r="A389" s="770" t="s">
        <v>2834</v>
      </c>
      <c r="B389" s="510">
        <f t="shared" si="45"/>
        <v>48</v>
      </c>
      <c r="C389" s="1009">
        <f>+NOMINA!C359</f>
        <v>13522771</v>
      </c>
      <c r="D389" s="1010" t="str">
        <f>+NOMINA!D359</f>
        <v>Briceño Leal Ana Edelmira</v>
      </c>
      <c r="E389" s="978" t="s">
        <v>4622</v>
      </c>
      <c r="F389" s="1001">
        <v>27853</v>
      </c>
      <c r="G389" s="978" t="s">
        <v>4620</v>
      </c>
      <c r="H389" s="1011">
        <f>+NOMINA!H359</f>
        <v>44228</v>
      </c>
      <c r="I389" s="984">
        <f>+NOMINA!I359</f>
        <v>3</v>
      </c>
      <c r="J389" s="985">
        <f>+NOMINA!J359</f>
        <v>0</v>
      </c>
      <c r="K389" s="984">
        <f t="shared" si="46"/>
        <v>3</v>
      </c>
      <c r="L389" s="985" t="s">
        <v>4932</v>
      </c>
      <c r="M389" s="985"/>
      <c r="N389" s="1002" t="str">
        <f>+NOMINA!O359</f>
        <v>Aseadora</v>
      </c>
      <c r="O389" s="999">
        <f>ROUND(NOMINA!W359,2)</f>
        <v>65</v>
      </c>
      <c r="P389" s="999">
        <f>NOMINA!AF359</f>
        <v>1.95</v>
      </c>
      <c r="Q389" s="999">
        <f>NOMINA!AH359</f>
        <v>65</v>
      </c>
      <c r="R389" s="999">
        <f>NOMINA!AC359</f>
        <v>12.5</v>
      </c>
      <c r="S389" s="999">
        <f>NOMINA!AJ359</f>
        <v>0</v>
      </c>
      <c r="T389" s="986">
        <f t="shared" si="47"/>
        <v>77.739999999999995</v>
      </c>
      <c r="U389" s="999">
        <f>ROUND(NOMINA!BL359,2)</f>
        <v>10.210000000000001</v>
      </c>
      <c r="V389" s="999">
        <f>ROUND(NOMINA!BM359,2)</f>
        <v>1.28</v>
      </c>
      <c r="W389" s="999">
        <f>ROUND(+NOMINA!BN359,2)</f>
        <v>2.76</v>
      </c>
      <c r="X389" s="999">
        <f>ROUND(NOMINA!BO359,2)</f>
        <v>0</v>
      </c>
      <c r="Y389" s="999">
        <f>ROUND(NOMINA!BP359,2)</f>
        <v>0</v>
      </c>
      <c r="Z389" s="986">
        <f t="shared" si="48"/>
        <v>15.96</v>
      </c>
      <c r="AA389" s="999">
        <f>ROUND(NOMINA!BK359,2)*0</f>
        <v>0</v>
      </c>
      <c r="AB389" s="866">
        <f t="shared" si="49"/>
        <v>130.19999999999999</v>
      </c>
    </row>
    <row r="390" spans="1:28" s="629" customFormat="1" ht="20.100000000000001" customHeight="1" thickBot="1">
      <c r="A390" s="770" t="s">
        <v>2834</v>
      </c>
      <c r="B390" s="510">
        <f t="shared" si="45"/>
        <v>49</v>
      </c>
      <c r="C390" s="1009">
        <f>+NOMINA!C360</f>
        <v>13745328</v>
      </c>
      <c r="D390" s="1010" t="str">
        <f>+NOMINA!D360</f>
        <v>Arroyo Williams Jose</v>
      </c>
      <c r="E390" s="978" t="s">
        <v>4622</v>
      </c>
      <c r="F390" s="1001">
        <v>27853</v>
      </c>
      <c r="G390" s="978" t="s">
        <v>4620</v>
      </c>
      <c r="H390" s="1011">
        <f>+NOMINA!H360</f>
        <v>44805</v>
      </c>
      <c r="I390" s="984">
        <f>+NOMINA!I360</f>
        <v>2</v>
      </c>
      <c r="J390" s="985">
        <f>+NOMINA!J360</f>
        <v>0</v>
      </c>
      <c r="K390" s="984">
        <f t="shared" si="46"/>
        <v>2</v>
      </c>
      <c r="L390" s="985" t="s">
        <v>4932</v>
      </c>
      <c r="M390" s="985"/>
      <c r="N390" s="1002" t="str">
        <f>+NOMINA!O360</f>
        <v>Ayudante de Servicios Generales</v>
      </c>
      <c r="O390" s="999">
        <f>ROUND(NOMINA!W360,2)</f>
        <v>76</v>
      </c>
      <c r="P390" s="999">
        <f>NOMINA!AF360</f>
        <v>1.52</v>
      </c>
      <c r="Q390" s="999">
        <f>NOMINA!AH360</f>
        <v>65</v>
      </c>
      <c r="R390" s="999">
        <f>NOMINA!AC360</f>
        <v>12.5</v>
      </c>
      <c r="S390" s="999">
        <f>NOMINA!AJ360</f>
        <v>0</v>
      </c>
      <c r="T390" s="986">
        <f t="shared" si="47"/>
        <v>87.5</v>
      </c>
      <c r="U390" s="999">
        <f>ROUND(NOMINA!BL360,2)</f>
        <v>14.28</v>
      </c>
      <c r="V390" s="999">
        <f>ROUND(NOMINA!BM360,2)</f>
        <v>1.79</v>
      </c>
      <c r="W390" s="999">
        <f>ROUND(+NOMINA!BN360,2)</f>
        <v>3.87</v>
      </c>
      <c r="X390" s="999">
        <f>ROUND(NOMINA!BO360,2)</f>
        <v>0</v>
      </c>
      <c r="Y390" s="999">
        <f>ROUND(NOMINA!BP360,2)</f>
        <v>0</v>
      </c>
      <c r="Z390" s="986">
        <f t="shared" si="48"/>
        <v>20.89</v>
      </c>
      <c r="AA390" s="999">
        <f>ROUND(NOMINA!BK360,2)*0</f>
        <v>0</v>
      </c>
      <c r="AB390" s="866">
        <f t="shared" si="49"/>
        <v>135.07999999999998</v>
      </c>
    </row>
    <row r="391" spans="1:28" s="629" customFormat="1" ht="20.100000000000001" customHeight="1" thickBot="1">
      <c r="A391" s="770" t="s">
        <v>2834</v>
      </c>
      <c r="B391" s="510">
        <f t="shared" si="45"/>
        <v>50</v>
      </c>
      <c r="C391" s="1009">
        <f>+NOMINA!C361</f>
        <v>13996661</v>
      </c>
      <c r="D391" s="1010" t="str">
        <f>+NOMINA!D361</f>
        <v>Perez Montilla Yosmer Alexander</v>
      </c>
      <c r="E391" s="978" t="s">
        <v>4622</v>
      </c>
      <c r="F391" s="1001">
        <v>27853</v>
      </c>
      <c r="G391" s="978" t="s">
        <v>4620</v>
      </c>
      <c r="H391" s="1011">
        <f>+NOMINA!H361</f>
        <v>44743</v>
      </c>
      <c r="I391" s="984">
        <f>+NOMINA!I361</f>
        <v>2</v>
      </c>
      <c r="J391" s="985">
        <f>+NOMINA!J361</f>
        <v>0</v>
      </c>
      <c r="K391" s="984">
        <f t="shared" si="46"/>
        <v>2</v>
      </c>
      <c r="L391" s="985" t="s">
        <v>4932</v>
      </c>
      <c r="M391" s="985"/>
      <c r="N391" s="1002" t="str">
        <f>+NOMINA!O361</f>
        <v>Chofer</v>
      </c>
      <c r="O391" s="999">
        <f>ROUND(NOMINA!W361,2)</f>
        <v>80.5</v>
      </c>
      <c r="P391" s="999">
        <f>NOMINA!AF361</f>
        <v>1.61</v>
      </c>
      <c r="Q391" s="999">
        <f>NOMINA!AH361</f>
        <v>65</v>
      </c>
      <c r="R391" s="999">
        <f>NOMINA!AC361</f>
        <v>12.5</v>
      </c>
      <c r="S391" s="999">
        <f>NOMINA!AJ361</f>
        <v>0</v>
      </c>
      <c r="T391" s="986">
        <f t="shared" si="47"/>
        <v>69.28</v>
      </c>
      <c r="U391" s="999">
        <f>ROUND(NOMINA!BL361,2)</f>
        <v>14.72</v>
      </c>
      <c r="V391" s="999">
        <f>ROUND(NOMINA!BM361,2)</f>
        <v>1.84</v>
      </c>
      <c r="W391" s="999">
        <f>ROUND(+NOMINA!BN361,2)</f>
        <v>3.99</v>
      </c>
      <c r="X391" s="999">
        <f>ROUND(NOMINA!BO361,2)</f>
        <v>0</v>
      </c>
      <c r="Y391" s="999">
        <f>ROUND(NOMINA!BP361,2)</f>
        <v>0</v>
      </c>
      <c r="Z391" s="986">
        <f t="shared" si="48"/>
        <v>15.02</v>
      </c>
      <c r="AA391" s="999">
        <f>ROUND(NOMINA!BK361,2)*0</f>
        <v>0</v>
      </c>
      <c r="AB391" s="866">
        <f t="shared" si="49"/>
        <v>139.06</v>
      </c>
    </row>
    <row r="392" spans="1:28" s="629" customFormat="1" ht="20.100000000000001" customHeight="1" thickBot="1">
      <c r="A392" s="770" t="s">
        <v>2834</v>
      </c>
      <c r="B392" s="510">
        <f t="shared" si="45"/>
        <v>51</v>
      </c>
      <c r="C392" s="1009">
        <f>+NOMINA!C362</f>
        <v>13996885</v>
      </c>
      <c r="D392" s="1010" t="str">
        <f>+NOMINA!D362</f>
        <v>Pulido Rojo Wilmer Jose</v>
      </c>
      <c r="E392" s="978" t="s">
        <v>4622</v>
      </c>
      <c r="F392" s="1001">
        <v>27853</v>
      </c>
      <c r="G392" s="978" t="s">
        <v>4620</v>
      </c>
      <c r="H392" s="1011">
        <f>+NOMINA!H362</f>
        <v>44363</v>
      </c>
      <c r="I392" s="984">
        <f>+NOMINA!I362</f>
        <v>3</v>
      </c>
      <c r="J392" s="985">
        <f>+NOMINA!J362</f>
        <v>0</v>
      </c>
      <c r="K392" s="984">
        <f t="shared" si="46"/>
        <v>3</v>
      </c>
      <c r="L392" s="985" t="s">
        <v>4932</v>
      </c>
      <c r="M392" s="985"/>
      <c r="N392" s="1002" t="str">
        <f>+NOMINA!O362</f>
        <v>Chofer</v>
      </c>
      <c r="O392" s="999">
        <f>ROUND(NOMINA!W362,2)</f>
        <v>80.5</v>
      </c>
      <c r="P392" s="999">
        <f>NOMINA!AF362</f>
        <v>2.42</v>
      </c>
      <c r="Q392" s="999">
        <f>NOMINA!AH362</f>
        <v>65</v>
      </c>
      <c r="R392" s="999">
        <f>NOMINA!AC362</f>
        <v>0</v>
      </c>
      <c r="S392" s="999">
        <f>NOMINA!AJ362</f>
        <v>0</v>
      </c>
      <c r="T392" s="986">
        <f t="shared" si="47"/>
        <v>68.8</v>
      </c>
      <c r="U392" s="999">
        <f>ROUND(NOMINA!BL362,2)</f>
        <v>14.2</v>
      </c>
      <c r="V392" s="999">
        <f>ROUND(NOMINA!BM362,2)</f>
        <v>1.77</v>
      </c>
      <c r="W392" s="999">
        <f>ROUND(+NOMINA!BN362,2)</f>
        <v>3.85</v>
      </c>
      <c r="X392" s="999">
        <f>ROUND(NOMINA!BO362,2)</f>
        <v>0</v>
      </c>
      <c r="Y392" s="999">
        <f>ROUND(NOMINA!BP362,2)</f>
        <v>0</v>
      </c>
      <c r="Z392" s="986">
        <f t="shared" si="48"/>
        <v>18.45</v>
      </c>
      <c r="AA392" s="999">
        <f>ROUND(NOMINA!BK362,2)*0</f>
        <v>0</v>
      </c>
      <c r="AB392" s="866">
        <f t="shared" si="49"/>
        <v>128.10000000000002</v>
      </c>
    </row>
    <row r="393" spans="1:28" s="629" customFormat="1" ht="20.100000000000001" customHeight="1" thickBot="1">
      <c r="A393" s="770" t="s">
        <v>2834</v>
      </c>
      <c r="B393" s="510">
        <f t="shared" si="45"/>
        <v>52</v>
      </c>
      <c r="C393" s="1009">
        <f>+NOMINA!C363</f>
        <v>14149971</v>
      </c>
      <c r="D393" s="1010" t="str">
        <f>+NOMINA!D363</f>
        <v>Rivera Virginia del Carmen</v>
      </c>
      <c r="E393" s="978" t="s">
        <v>4622</v>
      </c>
      <c r="F393" s="1001">
        <v>27853</v>
      </c>
      <c r="G393" s="978" t="s">
        <v>4620</v>
      </c>
      <c r="H393" s="1011">
        <f>+NOMINA!H363</f>
        <v>41091</v>
      </c>
      <c r="I393" s="984">
        <f>+NOMINA!I363</f>
        <v>12</v>
      </c>
      <c r="J393" s="985">
        <f>+NOMINA!J363</f>
        <v>0</v>
      </c>
      <c r="K393" s="984">
        <f t="shared" si="46"/>
        <v>12</v>
      </c>
      <c r="L393" s="985" t="s">
        <v>4932</v>
      </c>
      <c r="M393" s="985"/>
      <c r="N393" s="1002" t="str">
        <f>+NOMINA!O363</f>
        <v>Aseadora</v>
      </c>
      <c r="O393" s="999">
        <f>ROUND(NOMINA!W363,2)</f>
        <v>65</v>
      </c>
      <c r="P393" s="999">
        <f>NOMINA!AF363</f>
        <v>8.9700000000000006</v>
      </c>
      <c r="Q393" s="999">
        <f>NOMINA!AH363</f>
        <v>65</v>
      </c>
      <c r="R393" s="999">
        <f>NOMINA!AC363</f>
        <v>12.5</v>
      </c>
      <c r="S393" s="999">
        <f>NOMINA!AJ363</f>
        <v>0</v>
      </c>
      <c r="T393" s="986">
        <f t="shared" si="47"/>
        <v>68.040000000000006</v>
      </c>
      <c r="U393" s="999">
        <f>ROUND(NOMINA!BL363,2)</f>
        <v>10.72</v>
      </c>
      <c r="V393" s="999">
        <f>ROUND(NOMINA!BM363,2)</f>
        <v>1.34</v>
      </c>
      <c r="W393" s="999">
        <f>ROUND(+NOMINA!BN363,2)</f>
        <v>2.9</v>
      </c>
      <c r="X393" s="999">
        <f>ROUND(NOMINA!BO363,2)</f>
        <v>0</v>
      </c>
      <c r="Y393" s="999">
        <f>ROUND(NOMINA!BP363,2)</f>
        <v>0</v>
      </c>
      <c r="Z393" s="986">
        <f t="shared" si="48"/>
        <v>16.809999999999999</v>
      </c>
      <c r="AA393" s="999">
        <f>ROUND(NOMINA!BK363,2)*0</f>
        <v>0</v>
      </c>
      <c r="AB393" s="866">
        <f t="shared" si="49"/>
        <v>136.51</v>
      </c>
    </row>
    <row r="394" spans="1:28" s="629" customFormat="1" ht="20.100000000000001" customHeight="1" thickBot="1">
      <c r="A394" s="770" t="s">
        <v>2834</v>
      </c>
      <c r="B394" s="510">
        <f t="shared" si="45"/>
        <v>53</v>
      </c>
      <c r="C394" s="1009">
        <f>+NOMINA!C364</f>
        <v>14150495</v>
      </c>
      <c r="D394" s="1010" t="str">
        <f>+NOMINA!D364</f>
        <v>Umbria de Segovia Alexandra del Carmen</v>
      </c>
      <c r="E394" s="978" t="s">
        <v>4622</v>
      </c>
      <c r="F394" s="1001">
        <v>27853</v>
      </c>
      <c r="G394" s="978" t="s">
        <v>4620</v>
      </c>
      <c r="H394" s="1011">
        <f>+NOMINA!H364</f>
        <v>44228</v>
      </c>
      <c r="I394" s="984">
        <f>+NOMINA!I364</f>
        <v>3</v>
      </c>
      <c r="J394" s="985">
        <f>+NOMINA!J364</f>
        <v>0</v>
      </c>
      <c r="K394" s="984">
        <f t="shared" si="46"/>
        <v>3</v>
      </c>
      <c r="L394" s="985" t="s">
        <v>4932</v>
      </c>
      <c r="M394" s="985"/>
      <c r="N394" s="1002" t="str">
        <f>+NOMINA!O364</f>
        <v>Ayudante de Almacen</v>
      </c>
      <c r="O394" s="999">
        <f>ROUND(NOMINA!W364,2)</f>
        <v>85.5</v>
      </c>
      <c r="P394" s="999">
        <f>NOMINA!AF364</f>
        <v>2.57</v>
      </c>
      <c r="Q394" s="999">
        <f>NOMINA!AH364</f>
        <v>65</v>
      </c>
      <c r="R394" s="999">
        <f>NOMINA!AC364</f>
        <v>0</v>
      </c>
      <c r="S394" s="999">
        <f>NOMINA!AJ364</f>
        <v>0</v>
      </c>
      <c r="T394" s="986">
        <f t="shared" si="47"/>
        <v>81.11</v>
      </c>
      <c r="U394" s="999">
        <f>ROUND(NOMINA!BL364,2)</f>
        <v>11.3</v>
      </c>
      <c r="V394" s="999">
        <f>ROUND(NOMINA!BM364,2)</f>
        <v>1.41</v>
      </c>
      <c r="W394" s="999">
        <f>ROUND(+NOMINA!BN364,2)</f>
        <v>3.06</v>
      </c>
      <c r="X394" s="999">
        <f>ROUND(NOMINA!BO364,2)</f>
        <v>0</v>
      </c>
      <c r="Y394" s="999">
        <f>ROUND(NOMINA!BP364,2)</f>
        <v>0</v>
      </c>
      <c r="Z394" s="986">
        <f t="shared" si="48"/>
        <v>15.11</v>
      </c>
      <c r="AA394" s="999">
        <f>ROUND(NOMINA!BK364,2)*0</f>
        <v>0</v>
      </c>
      <c r="AB394" s="866">
        <f t="shared" si="49"/>
        <v>137.29999999999998</v>
      </c>
    </row>
    <row r="395" spans="1:28" s="629" customFormat="1" ht="20.100000000000001" customHeight="1" thickBot="1">
      <c r="A395" s="770" t="s">
        <v>2834</v>
      </c>
      <c r="B395" s="510">
        <f t="shared" si="45"/>
        <v>54</v>
      </c>
      <c r="C395" s="1009">
        <f>+NOMINA!C365</f>
        <v>14599616</v>
      </c>
      <c r="D395" s="1010" t="str">
        <f>+NOMINA!D365</f>
        <v>Andara Briceño Jean Carlos</v>
      </c>
      <c r="E395" s="978" t="s">
        <v>4622</v>
      </c>
      <c r="F395" s="1001">
        <v>27853</v>
      </c>
      <c r="G395" s="978" t="s">
        <v>4620</v>
      </c>
      <c r="H395" s="1011">
        <f>+NOMINA!H365</f>
        <v>43525</v>
      </c>
      <c r="I395" s="984">
        <f>+NOMINA!I365</f>
        <v>5</v>
      </c>
      <c r="J395" s="985">
        <f>+NOMINA!J365</f>
        <v>0</v>
      </c>
      <c r="K395" s="984">
        <f t="shared" si="46"/>
        <v>5</v>
      </c>
      <c r="L395" s="985" t="s">
        <v>4932</v>
      </c>
      <c r="M395" s="985"/>
      <c r="N395" s="1002" t="str">
        <f>+NOMINA!O365</f>
        <v>Aseador</v>
      </c>
      <c r="O395" s="999">
        <f>ROUND(NOMINA!W365,2)</f>
        <v>65</v>
      </c>
      <c r="P395" s="999">
        <f>NOMINA!AF365</f>
        <v>3.25</v>
      </c>
      <c r="Q395" s="999">
        <f>NOMINA!AH365</f>
        <v>65</v>
      </c>
      <c r="R395" s="999">
        <f>NOMINA!AC365</f>
        <v>0</v>
      </c>
      <c r="S395" s="999">
        <f>NOMINA!AJ365</f>
        <v>0</v>
      </c>
      <c r="T395" s="986">
        <f t="shared" si="47"/>
        <v>70.63</v>
      </c>
      <c r="U395" s="999">
        <f>ROUND(NOMINA!BL365,2)</f>
        <v>9.84</v>
      </c>
      <c r="V395" s="999">
        <f>ROUND(NOMINA!BM365,2)</f>
        <v>1.23</v>
      </c>
      <c r="W395" s="999">
        <f>ROUND(+NOMINA!BN365,2)</f>
        <v>2.67</v>
      </c>
      <c r="X395" s="999">
        <f>ROUND(NOMINA!BO365,2)</f>
        <v>0</v>
      </c>
      <c r="Y395" s="999">
        <f>ROUND(NOMINA!BP365,2)</f>
        <v>0</v>
      </c>
      <c r="Z395" s="986">
        <f t="shared" si="48"/>
        <v>16.329999999999998</v>
      </c>
      <c r="AA395" s="999">
        <f>ROUND(NOMINA!BK365,2)*0</f>
        <v>0</v>
      </c>
      <c r="AB395" s="866">
        <f t="shared" si="49"/>
        <v>119.51</v>
      </c>
    </row>
    <row r="396" spans="1:28" s="629" customFormat="1" ht="20.100000000000001" customHeight="1" thickBot="1">
      <c r="A396" s="770" t="s">
        <v>2834</v>
      </c>
      <c r="B396" s="510">
        <f t="shared" si="45"/>
        <v>55</v>
      </c>
      <c r="C396" s="1009">
        <f>+NOMINA!C366</f>
        <v>14718369</v>
      </c>
      <c r="D396" s="1010" t="str">
        <f>+NOMINA!D366</f>
        <v>Pacheco Yudith Del Valle</v>
      </c>
      <c r="E396" s="978" t="s">
        <v>4622</v>
      </c>
      <c r="F396" s="1001">
        <v>27853</v>
      </c>
      <c r="G396" s="978" t="s">
        <v>4620</v>
      </c>
      <c r="H396" s="1011">
        <f>+NOMINA!H366</f>
        <v>43147</v>
      </c>
      <c r="I396" s="984">
        <f>+NOMINA!I366</f>
        <v>6</v>
      </c>
      <c r="J396" s="985">
        <f>+NOMINA!J366</f>
        <v>0</v>
      </c>
      <c r="K396" s="984">
        <f t="shared" si="46"/>
        <v>6</v>
      </c>
      <c r="L396" s="985" t="s">
        <v>4932</v>
      </c>
      <c r="M396" s="985"/>
      <c r="N396" s="1002" t="str">
        <f>+NOMINA!O366</f>
        <v>Aseadora</v>
      </c>
      <c r="O396" s="999">
        <f>ROUND(NOMINA!W366,2)</f>
        <v>65</v>
      </c>
      <c r="P396" s="999">
        <f>NOMINA!AF366</f>
        <v>4.03</v>
      </c>
      <c r="Q396" s="999">
        <f>NOMINA!AH366</f>
        <v>65</v>
      </c>
      <c r="R396" s="999">
        <f>NOMINA!AC366</f>
        <v>0</v>
      </c>
      <c r="S396" s="999">
        <f>NOMINA!AJ366</f>
        <v>0</v>
      </c>
      <c r="T396" s="986">
        <f t="shared" si="47"/>
        <v>68.040000000000006</v>
      </c>
      <c r="U396" s="999">
        <f>ROUND(NOMINA!BL366,2)</f>
        <v>9.9</v>
      </c>
      <c r="V396" s="999">
        <f>ROUND(NOMINA!BM366,2)</f>
        <v>1.24</v>
      </c>
      <c r="W396" s="999">
        <f>ROUND(+NOMINA!BN366,2)</f>
        <v>2.68</v>
      </c>
      <c r="X396" s="999">
        <f>ROUND(NOMINA!BO366,2)</f>
        <v>0</v>
      </c>
      <c r="Y396" s="999">
        <f>ROUND(NOMINA!BP366,2)</f>
        <v>0</v>
      </c>
      <c r="Z396" s="986">
        <f t="shared" si="48"/>
        <v>14.06</v>
      </c>
      <c r="AA396" s="999">
        <f>ROUND(NOMINA!BK366,2)*0</f>
        <v>0</v>
      </c>
      <c r="AB396" s="866">
        <f t="shared" si="49"/>
        <v>120.21000000000001</v>
      </c>
    </row>
    <row r="397" spans="1:28" s="629" customFormat="1" ht="20.100000000000001" customHeight="1" thickBot="1">
      <c r="A397" s="770" t="s">
        <v>2834</v>
      </c>
      <c r="B397" s="510">
        <f t="shared" si="45"/>
        <v>56</v>
      </c>
      <c r="C397" s="1009">
        <f>+NOMINA!C367</f>
        <v>14718468</v>
      </c>
      <c r="D397" s="1010" t="str">
        <f>+NOMINA!D367</f>
        <v>Frias Aldana Yhonny Ramon</v>
      </c>
      <c r="E397" s="978" t="s">
        <v>4622</v>
      </c>
      <c r="F397" s="1001">
        <v>27853</v>
      </c>
      <c r="G397" s="978" t="s">
        <v>4620</v>
      </c>
      <c r="H397" s="1011">
        <f>+NOMINA!H367</f>
        <v>42948</v>
      </c>
      <c r="I397" s="984">
        <f>+NOMINA!I367</f>
        <v>7</v>
      </c>
      <c r="J397" s="985">
        <f>+NOMINA!J367</f>
        <v>0</v>
      </c>
      <c r="K397" s="984">
        <f t="shared" si="46"/>
        <v>7</v>
      </c>
      <c r="L397" s="985" t="s">
        <v>4932</v>
      </c>
      <c r="M397" s="985"/>
      <c r="N397" s="1002" t="str">
        <f>+NOMINA!O367</f>
        <v>Ayudante De Almacen</v>
      </c>
      <c r="O397" s="999">
        <f>ROUND(NOMINA!W367,2)</f>
        <v>85.5</v>
      </c>
      <c r="P397" s="999">
        <f>NOMINA!AF367</f>
        <v>6.33</v>
      </c>
      <c r="Q397" s="999">
        <f>NOMINA!AH367</f>
        <v>65</v>
      </c>
      <c r="R397" s="999">
        <f>NOMINA!AC367</f>
        <v>12.5</v>
      </c>
      <c r="S397" s="999">
        <f>NOMINA!AJ367</f>
        <v>0</v>
      </c>
      <c r="T397" s="986">
        <f t="shared" si="47"/>
        <v>66.95</v>
      </c>
      <c r="U397" s="999">
        <f>ROUND(NOMINA!BL367,2)</f>
        <v>12.04</v>
      </c>
      <c r="V397" s="999">
        <f>ROUND(NOMINA!BM367,2)</f>
        <v>1.51</v>
      </c>
      <c r="W397" s="999">
        <f>ROUND(+NOMINA!BN367,2)</f>
        <v>3.26</v>
      </c>
      <c r="X397" s="999">
        <f>ROUND(NOMINA!BO367,2)</f>
        <v>0</v>
      </c>
      <c r="Y397" s="999">
        <f>ROUND(NOMINA!BP367,2)</f>
        <v>0</v>
      </c>
      <c r="Z397" s="986">
        <f t="shared" si="48"/>
        <v>22.59</v>
      </c>
      <c r="AA397" s="999">
        <f>ROUND(NOMINA!BK367,2)*0</f>
        <v>0</v>
      </c>
      <c r="AB397" s="866">
        <f t="shared" si="49"/>
        <v>152.51999999999998</v>
      </c>
    </row>
    <row r="398" spans="1:28" s="629" customFormat="1" ht="20.100000000000001" customHeight="1" thickBot="1">
      <c r="A398" s="770" t="s">
        <v>2834</v>
      </c>
      <c r="B398" s="510">
        <f t="shared" si="45"/>
        <v>57</v>
      </c>
      <c r="C398" s="1009">
        <f>+NOMINA!C368</f>
        <v>14719205</v>
      </c>
      <c r="D398" s="1010" t="str">
        <f>+NOMINA!D368</f>
        <v>Chinchilla Perez Jean Carlos</v>
      </c>
      <c r="E398" s="978" t="s">
        <v>4622</v>
      </c>
      <c r="F398" s="1001">
        <v>27853</v>
      </c>
      <c r="G398" s="978" t="s">
        <v>4620</v>
      </c>
      <c r="H398" s="1011">
        <f>+NOMINA!H368</f>
        <v>39861</v>
      </c>
      <c r="I398" s="984">
        <f>+NOMINA!I368</f>
        <v>15</v>
      </c>
      <c r="J398" s="985">
        <f>+NOMINA!J368</f>
        <v>0</v>
      </c>
      <c r="K398" s="984">
        <f t="shared" si="46"/>
        <v>15</v>
      </c>
      <c r="L398" s="985" t="s">
        <v>4932</v>
      </c>
      <c r="M398" s="985"/>
      <c r="N398" s="1002" t="str">
        <f>+NOMINA!O368</f>
        <v>Ayudante de Servicios Generales</v>
      </c>
      <c r="O398" s="999">
        <f>ROUND(NOMINA!W368,2)</f>
        <v>76</v>
      </c>
      <c r="P398" s="999">
        <f>NOMINA!AF368</f>
        <v>13.68</v>
      </c>
      <c r="Q398" s="999">
        <f>NOMINA!AH368</f>
        <v>65</v>
      </c>
      <c r="R398" s="999">
        <f>NOMINA!AC368</f>
        <v>0</v>
      </c>
      <c r="S398" s="999">
        <f>NOMINA!AJ368</f>
        <v>0</v>
      </c>
      <c r="T398" s="986">
        <f t="shared" si="47"/>
        <v>77.739999999999995</v>
      </c>
      <c r="U398" s="999">
        <f>ROUND(NOMINA!BL368,2)</f>
        <v>11.42</v>
      </c>
      <c r="V398" s="999">
        <f>ROUND(NOMINA!BM368,2)</f>
        <v>1.43</v>
      </c>
      <c r="W398" s="999">
        <f>ROUND(+NOMINA!BN368,2)</f>
        <v>3.09</v>
      </c>
      <c r="X398" s="999">
        <f>ROUND(NOMINA!BO368,2)</f>
        <v>0</v>
      </c>
      <c r="Y398" s="999">
        <f>ROUND(NOMINA!BP368,2)</f>
        <v>0</v>
      </c>
      <c r="Z398" s="986">
        <f t="shared" si="48"/>
        <v>21.86</v>
      </c>
      <c r="AA398" s="999">
        <f>ROUND(NOMINA!BK368,2)*0</f>
        <v>0</v>
      </c>
      <c r="AB398" s="866">
        <f t="shared" si="49"/>
        <v>138.74</v>
      </c>
    </row>
    <row r="399" spans="1:28" s="629" customFormat="1" ht="20.100000000000001" customHeight="1" thickBot="1">
      <c r="A399" s="770" t="s">
        <v>2834</v>
      </c>
      <c r="B399" s="510">
        <f t="shared" si="45"/>
        <v>58</v>
      </c>
      <c r="C399" s="1009">
        <f>+NOMINA!C369</f>
        <v>14719356</v>
      </c>
      <c r="D399" s="1010" t="str">
        <f>+NOMINA!D369</f>
        <v>Linares Montilla Gerardo Enrique</v>
      </c>
      <c r="E399" s="978" t="s">
        <v>4622</v>
      </c>
      <c r="F399" s="1001">
        <v>27853</v>
      </c>
      <c r="G399" s="978" t="s">
        <v>4620</v>
      </c>
      <c r="H399" s="1011">
        <f>+NOMINA!H369</f>
        <v>44348</v>
      </c>
      <c r="I399" s="984">
        <f>+NOMINA!I369</f>
        <v>3</v>
      </c>
      <c r="J399" s="985">
        <f>+NOMINA!J369</f>
        <v>0</v>
      </c>
      <c r="K399" s="984">
        <f t="shared" si="46"/>
        <v>3</v>
      </c>
      <c r="L399" s="985" t="s">
        <v>4932</v>
      </c>
      <c r="M399" s="985"/>
      <c r="N399" s="1002" t="str">
        <f>+NOMINA!O369</f>
        <v>Ayudante de Servicios Generales</v>
      </c>
      <c r="O399" s="999">
        <f>ROUND(NOMINA!W369,2)</f>
        <v>76</v>
      </c>
      <c r="P399" s="999">
        <f>NOMINA!AF369</f>
        <v>2.2799999999999998</v>
      </c>
      <c r="Q399" s="999">
        <f>NOMINA!AH369</f>
        <v>65</v>
      </c>
      <c r="R399" s="999">
        <f>NOMINA!AC369</f>
        <v>25</v>
      </c>
      <c r="S399" s="999">
        <f>NOMINA!AJ369</f>
        <v>0</v>
      </c>
      <c r="T399" s="986">
        <f t="shared" si="47"/>
        <v>81.760000000000005</v>
      </c>
      <c r="U399" s="999">
        <f>ROUND(NOMINA!BL369,2)</f>
        <v>11.5</v>
      </c>
      <c r="V399" s="999">
        <f>ROUND(NOMINA!BM369,2)</f>
        <v>1.44</v>
      </c>
      <c r="W399" s="999">
        <f>ROUND(+NOMINA!BN369,2)</f>
        <v>3.12</v>
      </c>
      <c r="X399" s="999">
        <f>ROUND(NOMINA!BO369,2)</f>
        <v>0</v>
      </c>
      <c r="Y399" s="999">
        <f>ROUND(NOMINA!BP369,2)</f>
        <v>0</v>
      </c>
      <c r="Z399" s="986">
        <f t="shared" si="48"/>
        <v>14.53</v>
      </c>
      <c r="AA399" s="999">
        <f>ROUND(NOMINA!BK369,2)*0</f>
        <v>0</v>
      </c>
      <c r="AB399" s="866">
        <f t="shared" si="49"/>
        <v>152.22</v>
      </c>
    </row>
    <row r="400" spans="1:28" s="629" customFormat="1" ht="20.100000000000001" customHeight="1" thickBot="1">
      <c r="A400" s="770" t="s">
        <v>2834</v>
      </c>
      <c r="B400" s="510">
        <f t="shared" si="45"/>
        <v>59</v>
      </c>
      <c r="C400" s="1009">
        <f>+NOMINA!C370</f>
        <v>14780893</v>
      </c>
      <c r="D400" s="1010" t="str">
        <f>+NOMINA!D370</f>
        <v>Perez Gonzalez Reinaldo Andre</v>
      </c>
      <c r="E400" s="978" t="s">
        <v>4622</v>
      </c>
      <c r="F400" s="1001">
        <v>27853</v>
      </c>
      <c r="G400" s="978" t="s">
        <v>4620</v>
      </c>
      <c r="H400" s="1011">
        <f>+NOMINA!H370</f>
        <v>41570</v>
      </c>
      <c r="I400" s="984">
        <f>+NOMINA!I370</f>
        <v>11</v>
      </c>
      <c r="J400" s="985">
        <f>+NOMINA!J370</f>
        <v>0</v>
      </c>
      <c r="K400" s="984">
        <f t="shared" si="46"/>
        <v>11</v>
      </c>
      <c r="L400" s="985" t="s">
        <v>4932</v>
      </c>
      <c r="M400" s="985"/>
      <c r="N400" s="1002" t="str">
        <f>+NOMINA!O370</f>
        <v>Ayudante de Servicios Generales</v>
      </c>
      <c r="O400" s="999">
        <f>ROUND(NOMINA!W370,2)</f>
        <v>76</v>
      </c>
      <c r="P400" s="999">
        <f>NOMINA!AF370</f>
        <v>9.43</v>
      </c>
      <c r="Q400" s="999">
        <f>NOMINA!AH370</f>
        <v>65</v>
      </c>
      <c r="R400" s="999">
        <f>NOMINA!AC370</f>
        <v>0</v>
      </c>
      <c r="S400" s="999">
        <f>NOMINA!AJ370</f>
        <v>0</v>
      </c>
      <c r="T400" s="986">
        <f t="shared" si="47"/>
        <v>65</v>
      </c>
      <c r="U400" s="999">
        <f>ROUND(NOMINA!BL370,2)</f>
        <v>11.11</v>
      </c>
      <c r="V400" s="999">
        <f>ROUND(NOMINA!BM370,2)</f>
        <v>1.39</v>
      </c>
      <c r="W400" s="999">
        <f>ROUND(+NOMINA!BN370,2)</f>
        <v>3.01</v>
      </c>
      <c r="X400" s="999">
        <f>ROUND(NOMINA!BO370,2)</f>
        <v>0</v>
      </c>
      <c r="Y400" s="999">
        <f>ROUND(NOMINA!BP370,2)</f>
        <v>0</v>
      </c>
      <c r="Z400" s="986">
        <f t="shared" si="48"/>
        <v>14.25</v>
      </c>
      <c r="AA400" s="999">
        <f>ROUND(NOMINA!BK370,2)*0</f>
        <v>0</v>
      </c>
      <c r="AB400" s="866">
        <f t="shared" si="49"/>
        <v>134.92000000000002</v>
      </c>
    </row>
    <row r="401" spans="1:28" s="629" customFormat="1" ht="20.100000000000001" customHeight="1" thickBot="1">
      <c r="A401" s="770" t="s">
        <v>2834</v>
      </c>
      <c r="B401" s="510">
        <f t="shared" si="45"/>
        <v>60</v>
      </c>
      <c r="C401" s="1009">
        <f>+NOMINA!C371</f>
        <v>14928047</v>
      </c>
      <c r="D401" s="1010" t="str">
        <f>+NOMINA!D371</f>
        <v>Becerra Teran Maria Alejandra</v>
      </c>
      <c r="E401" s="978" t="s">
        <v>4622</v>
      </c>
      <c r="F401" s="1001">
        <v>27853</v>
      </c>
      <c r="G401" s="978" t="s">
        <v>4620</v>
      </c>
      <c r="H401" s="1011">
        <f>+NOMINA!H371</f>
        <v>43297</v>
      </c>
      <c r="I401" s="984">
        <f>+NOMINA!I371</f>
        <v>6</v>
      </c>
      <c r="J401" s="985">
        <f>+NOMINA!J371</f>
        <v>0</v>
      </c>
      <c r="K401" s="984">
        <f t="shared" si="46"/>
        <v>6</v>
      </c>
      <c r="L401" s="985" t="s">
        <v>4932</v>
      </c>
      <c r="M401" s="985"/>
      <c r="N401" s="1002" t="str">
        <f>+NOMINA!O371</f>
        <v>Cocinera</v>
      </c>
      <c r="O401" s="999">
        <f>ROUND(NOMINA!W371,2)</f>
        <v>85.5</v>
      </c>
      <c r="P401" s="999">
        <f>NOMINA!AF371</f>
        <v>5.3</v>
      </c>
      <c r="Q401" s="999">
        <f>NOMINA!AH371</f>
        <v>65</v>
      </c>
      <c r="R401" s="999">
        <f>NOMINA!AC371</f>
        <v>0</v>
      </c>
      <c r="S401" s="999">
        <f>NOMINA!AJ371</f>
        <v>0</v>
      </c>
      <c r="T401" s="986">
        <f t="shared" si="47"/>
        <v>81.760000000000005</v>
      </c>
      <c r="U401" s="999">
        <f>ROUND(NOMINA!BL371,2)</f>
        <v>11.51</v>
      </c>
      <c r="V401" s="999">
        <f>ROUND(NOMINA!BM371,2)</f>
        <v>1.44</v>
      </c>
      <c r="W401" s="999">
        <f>ROUND(+NOMINA!BN371,2)</f>
        <v>3.12</v>
      </c>
      <c r="X401" s="999">
        <f>ROUND(NOMINA!BO371,2)</f>
        <v>0</v>
      </c>
      <c r="Y401" s="999">
        <f>ROUND(NOMINA!BP371,2)</f>
        <v>0</v>
      </c>
      <c r="Z401" s="986">
        <f t="shared" si="48"/>
        <v>19.940000000000001</v>
      </c>
      <c r="AA401" s="999">
        <f>ROUND(NOMINA!BK371,2)*0</f>
        <v>0</v>
      </c>
      <c r="AB401" s="866">
        <f t="shared" si="49"/>
        <v>139.73000000000002</v>
      </c>
    </row>
    <row r="402" spans="1:28" s="629" customFormat="1" ht="20.100000000000001" customHeight="1" thickBot="1">
      <c r="A402" s="770" t="s">
        <v>2834</v>
      </c>
      <c r="B402" s="510">
        <f t="shared" si="45"/>
        <v>61</v>
      </c>
      <c r="C402" s="1009">
        <f>+NOMINA!C372</f>
        <v>15042683</v>
      </c>
      <c r="D402" s="1010" t="str">
        <f>+NOMINA!D372</f>
        <v>Rivera Hermes Edixon</v>
      </c>
      <c r="E402" s="978" t="s">
        <v>4622</v>
      </c>
      <c r="F402" s="1001">
        <v>27853</v>
      </c>
      <c r="G402" s="978" t="s">
        <v>4620</v>
      </c>
      <c r="H402" s="1011">
        <f>+NOMINA!H372</f>
        <v>45292</v>
      </c>
      <c r="I402" s="984">
        <f>+NOMINA!I372</f>
        <v>1</v>
      </c>
      <c r="J402" s="985">
        <f>+NOMINA!J372</f>
        <v>0</v>
      </c>
      <c r="K402" s="984">
        <f t="shared" si="46"/>
        <v>1</v>
      </c>
      <c r="L402" s="985" t="s">
        <v>4932</v>
      </c>
      <c r="M402" s="985"/>
      <c r="N402" s="1002" t="str">
        <f>+NOMINA!O372</f>
        <v>Aseador</v>
      </c>
      <c r="O402" s="999">
        <f>ROUND(NOMINA!W372,2)</f>
        <v>65</v>
      </c>
      <c r="P402" s="999">
        <f>NOMINA!AF372</f>
        <v>0.65</v>
      </c>
      <c r="Q402" s="999">
        <f>NOMINA!AH372</f>
        <v>65</v>
      </c>
      <c r="R402" s="999">
        <f>NOMINA!AC372</f>
        <v>12.5</v>
      </c>
      <c r="S402" s="999">
        <f>NOMINA!AJ372</f>
        <v>0</v>
      </c>
      <c r="T402" s="986">
        <f t="shared" si="47"/>
        <v>84.5</v>
      </c>
      <c r="U402" s="999">
        <f>ROUND(NOMINA!BL372,2)</f>
        <v>10.11</v>
      </c>
      <c r="V402" s="999">
        <f>ROUND(NOMINA!BM372,2)</f>
        <v>1.26</v>
      </c>
      <c r="W402" s="999">
        <f>ROUND(+NOMINA!BN372,2)</f>
        <v>2.74</v>
      </c>
      <c r="X402" s="999">
        <f>ROUND(NOMINA!BO372,2)</f>
        <v>0</v>
      </c>
      <c r="Y402" s="999">
        <f>ROUND(NOMINA!BP372,2)</f>
        <v>0</v>
      </c>
      <c r="Z402" s="986">
        <f t="shared" si="48"/>
        <v>20.55</v>
      </c>
      <c r="AA402" s="999">
        <f>ROUND(NOMINA!BK372,2)*0</f>
        <v>0</v>
      </c>
      <c r="AB402" s="866">
        <f t="shared" si="49"/>
        <v>129.04000000000002</v>
      </c>
    </row>
    <row r="403" spans="1:28" s="629" customFormat="1" ht="20.100000000000001" customHeight="1" thickBot="1">
      <c r="A403" s="770" t="s">
        <v>2834</v>
      </c>
      <c r="B403" s="510">
        <f t="shared" si="45"/>
        <v>62</v>
      </c>
      <c r="C403" s="1009">
        <f>+NOMINA!C373</f>
        <v>15583194</v>
      </c>
      <c r="D403" s="1010" t="str">
        <f>+NOMINA!D373</f>
        <v>Garcia Briceño Wuiston Andres</v>
      </c>
      <c r="E403" s="978" t="s">
        <v>4622</v>
      </c>
      <c r="F403" s="1001">
        <v>27853</v>
      </c>
      <c r="G403" s="978" t="s">
        <v>4620</v>
      </c>
      <c r="H403" s="1011">
        <f>+NOMINA!H373</f>
        <v>44166</v>
      </c>
      <c r="I403" s="984">
        <f>+NOMINA!I373</f>
        <v>4</v>
      </c>
      <c r="J403" s="985">
        <f>+NOMINA!J373</f>
        <v>8</v>
      </c>
      <c r="K403" s="984">
        <f t="shared" si="46"/>
        <v>12</v>
      </c>
      <c r="L403" s="985" t="s">
        <v>4932</v>
      </c>
      <c r="M403" s="985"/>
      <c r="N403" s="1002" t="str">
        <f>+NOMINA!O373</f>
        <v>Cocinero</v>
      </c>
      <c r="O403" s="999">
        <f>ROUND(NOMINA!W373,2)</f>
        <v>85.5</v>
      </c>
      <c r="P403" s="999">
        <f>NOMINA!AF373</f>
        <v>11.8</v>
      </c>
      <c r="Q403" s="999">
        <f>NOMINA!AH373</f>
        <v>65</v>
      </c>
      <c r="R403" s="999">
        <f>NOMINA!AC373</f>
        <v>25</v>
      </c>
      <c r="S403" s="999">
        <f>NOMINA!AJ373</f>
        <v>0</v>
      </c>
      <c r="T403" s="986">
        <f t="shared" si="47"/>
        <v>72.36</v>
      </c>
      <c r="U403" s="999">
        <f>ROUND(NOMINA!BL373,2)</f>
        <v>12.91</v>
      </c>
      <c r="V403" s="999">
        <f>ROUND(NOMINA!BM373,2)</f>
        <v>1.61</v>
      </c>
      <c r="W403" s="999">
        <f>ROUND(+NOMINA!BN373,2)</f>
        <v>3.5</v>
      </c>
      <c r="X403" s="999">
        <f>ROUND(NOMINA!BO373,2)</f>
        <v>0</v>
      </c>
      <c r="Y403" s="999">
        <f>ROUND(NOMINA!BP373,2)</f>
        <v>0</v>
      </c>
      <c r="Z403" s="986">
        <f t="shared" si="48"/>
        <v>19.82</v>
      </c>
      <c r="AA403" s="999">
        <f>ROUND(NOMINA!BK373,2)*0</f>
        <v>0</v>
      </c>
      <c r="AB403" s="866">
        <f t="shared" si="49"/>
        <v>169.28</v>
      </c>
    </row>
    <row r="404" spans="1:28" s="629" customFormat="1" ht="20.100000000000001" customHeight="1" thickBot="1">
      <c r="A404" s="770" t="s">
        <v>2834</v>
      </c>
      <c r="B404" s="510">
        <f t="shared" si="45"/>
        <v>63</v>
      </c>
      <c r="C404" s="1009">
        <f>+NOMINA!C374</f>
        <v>14928592</v>
      </c>
      <c r="D404" s="1010" t="str">
        <f>+NOMINA!D374</f>
        <v>Rosales Ruiz Jesus Alberto</v>
      </c>
      <c r="E404" s="978" t="s">
        <v>4622</v>
      </c>
      <c r="F404" s="1001">
        <v>27853</v>
      </c>
      <c r="G404" s="978" t="s">
        <v>4620</v>
      </c>
      <c r="H404" s="1011">
        <f>+NOMINA!H374</f>
        <v>45017</v>
      </c>
      <c r="I404" s="984">
        <f>+NOMINA!I374</f>
        <v>1</v>
      </c>
      <c r="J404" s="985">
        <f>+NOMINA!J374</f>
        <v>0</v>
      </c>
      <c r="K404" s="984">
        <f t="shared" si="46"/>
        <v>1</v>
      </c>
      <c r="L404" s="985" t="s">
        <v>4932</v>
      </c>
      <c r="M404" s="985"/>
      <c r="N404" s="1002" t="str">
        <f>+NOMINA!O374</f>
        <v>Cocinero</v>
      </c>
      <c r="O404" s="999">
        <f>ROUND(NOMINA!W374,2)</f>
        <v>85.5</v>
      </c>
      <c r="P404" s="999">
        <f>NOMINA!AF374</f>
        <v>0.86</v>
      </c>
      <c r="Q404" s="999">
        <f>NOMINA!AH374</f>
        <v>65</v>
      </c>
      <c r="R404" s="999">
        <f>NOMINA!AC374</f>
        <v>0</v>
      </c>
      <c r="S404" s="999">
        <f>NOMINA!AJ374</f>
        <v>0</v>
      </c>
      <c r="T404" s="986">
        <f t="shared" si="47"/>
        <v>67.599999999999994</v>
      </c>
      <c r="U404" s="999">
        <f>ROUND(NOMINA!BL374,2)</f>
        <v>11.18</v>
      </c>
      <c r="V404" s="999">
        <f>ROUND(NOMINA!BM374,2)</f>
        <v>1.4</v>
      </c>
      <c r="W404" s="999">
        <f>ROUND(+NOMINA!BN374,2)</f>
        <v>3.03</v>
      </c>
      <c r="X404" s="999">
        <f>ROUND(NOMINA!BO374,2)</f>
        <v>0</v>
      </c>
      <c r="Y404" s="999">
        <f>ROUND(NOMINA!BP374,2)</f>
        <v>0</v>
      </c>
      <c r="Z404" s="986">
        <f t="shared" si="48"/>
        <v>14.96</v>
      </c>
      <c r="AA404" s="999">
        <f>ROUND(NOMINA!BK374,2)*0</f>
        <v>0</v>
      </c>
      <c r="AB404" s="866">
        <f t="shared" si="49"/>
        <v>135.75</v>
      </c>
    </row>
    <row r="405" spans="1:28" s="629" customFormat="1" ht="20.100000000000001" customHeight="1" thickBot="1">
      <c r="A405" s="770" t="s">
        <v>2834</v>
      </c>
      <c r="B405" s="510">
        <f t="shared" si="45"/>
        <v>64</v>
      </c>
      <c r="C405" s="1009">
        <f>+NOMINA!C375</f>
        <v>15952512</v>
      </c>
      <c r="D405" s="1010" t="str">
        <f>+NOMINA!D375</f>
        <v>Graterol Gonzalez Maria Ysela</v>
      </c>
      <c r="E405" s="978" t="s">
        <v>4622</v>
      </c>
      <c r="F405" s="1001">
        <v>27853</v>
      </c>
      <c r="G405" s="978" t="s">
        <v>4620</v>
      </c>
      <c r="H405" s="1011">
        <f>+NOMINA!H375</f>
        <v>40725</v>
      </c>
      <c r="I405" s="984">
        <f>+NOMINA!I375</f>
        <v>13</v>
      </c>
      <c r="J405" s="985">
        <f>+NOMINA!J375</f>
        <v>0</v>
      </c>
      <c r="K405" s="984">
        <f t="shared" si="46"/>
        <v>13</v>
      </c>
      <c r="L405" s="985" t="s">
        <v>4932</v>
      </c>
      <c r="M405" s="985"/>
      <c r="N405" s="1002" t="str">
        <f>+NOMINA!O375</f>
        <v>Aseadora</v>
      </c>
      <c r="O405" s="999">
        <f>ROUND(NOMINA!W375,2)</f>
        <v>65</v>
      </c>
      <c r="P405" s="999">
        <f>NOMINA!AF375</f>
        <v>9.8800000000000008</v>
      </c>
      <c r="Q405" s="999">
        <f>NOMINA!AH375</f>
        <v>65</v>
      </c>
      <c r="R405" s="999">
        <f>NOMINA!AC375</f>
        <v>0</v>
      </c>
      <c r="S405" s="999">
        <f>NOMINA!AJ375</f>
        <v>0</v>
      </c>
      <c r="T405" s="986">
        <f t="shared" si="47"/>
        <v>70.3</v>
      </c>
      <c r="U405" s="999">
        <f>ROUND(NOMINA!BL375,2)</f>
        <v>10.33</v>
      </c>
      <c r="V405" s="999">
        <f>ROUND(NOMINA!BM375,2)</f>
        <v>1.29</v>
      </c>
      <c r="W405" s="999">
        <f>ROUND(+NOMINA!BN375,2)</f>
        <v>2.8</v>
      </c>
      <c r="X405" s="999">
        <f>ROUND(NOMINA!BO375,2)</f>
        <v>0</v>
      </c>
      <c r="Y405" s="999">
        <f>ROUND(NOMINA!BP375,2)</f>
        <v>0</v>
      </c>
      <c r="Z405" s="986">
        <f t="shared" si="48"/>
        <v>15.77</v>
      </c>
      <c r="AA405" s="999">
        <f>ROUND(NOMINA!BK375,2)*0</f>
        <v>0</v>
      </c>
      <c r="AB405" s="866">
        <f t="shared" si="49"/>
        <v>125.46</v>
      </c>
    </row>
    <row r="406" spans="1:28" s="629" customFormat="1" ht="20.100000000000001" customHeight="1" thickBot="1">
      <c r="A406" s="770" t="s">
        <v>2834</v>
      </c>
      <c r="B406" s="510">
        <f t="shared" si="45"/>
        <v>65</v>
      </c>
      <c r="C406" s="1009">
        <f>+NOMINA!C376</f>
        <v>15953703</v>
      </c>
      <c r="D406" s="1010" t="str">
        <f>+NOMINA!D376</f>
        <v>Briceño Salas Jose Leonardo</v>
      </c>
      <c r="E406" s="978" t="s">
        <v>4622</v>
      </c>
      <c r="F406" s="1001">
        <v>27853</v>
      </c>
      <c r="G406" s="978" t="s">
        <v>4620</v>
      </c>
      <c r="H406" s="1011">
        <f>+NOMINA!H376</f>
        <v>38718</v>
      </c>
      <c r="I406" s="984">
        <f>+NOMINA!I376</f>
        <v>19</v>
      </c>
      <c r="J406" s="985">
        <f>+NOMINA!J376</f>
        <v>0</v>
      </c>
      <c r="K406" s="984">
        <f t="shared" si="46"/>
        <v>19</v>
      </c>
      <c r="L406" s="985" t="s">
        <v>4932</v>
      </c>
      <c r="M406" s="985"/>
      <c r="N406" s="1002" t="str">
        <f>+NOMINA!O376</f>
        <v>Ayudante de Servicios Generales</v>
      </c>
      <c r="O406" s="999">
        <f>ROUND(NOMINA!W376,2)</f>
        <v>76</v>
      </c>
      <c r="P406" s="999">
        <f>NOMINA!AF376</f>
        <v>18.55</v>
      </c>
      <c r="Q406" s="999">
        <f>NOMINA!AH376</f>
        <v>65</v>
      </c>
      <c r="R406" s="999">
        <f>NOMINA!AC376</f>
        <v>25</v>
      </c>
      <c r="S406" s="999">
        <f>NOMINA!AJ376</f>
        <v>0</v>
      </c>
      <c r="T406" s="986">
        <f t="shared" si="47"/>
        <v>67.28</v>
      </c>
      <c r="U406" s="999">
        <f>ROUND(NOMINA!BL376,2)</f>
        <v>12.7</v>
      </c>
      <c r="V406" s="999">
        <f>ROUND(NOMINA!BM376,2)</f>
        <v>1.59</v>
      </c>
      <c r="W406" s="999">
        <f>ROUND(+NOMINA!BN376,2)</f>
        <v>3.44</v>
      </c>
      <c r="X406" s="999">
        <f>ROUND(NOMINA!BO376,2)</f>
        <v>0</v>
      </c>
      <c r="Y406" s="999">
        <f>ROUND(NOMINA!BP376,2)</f>
        <v>0</v>
      </c>
      <c r="Z406" s="986">
        <f t="shared" si="48"/>
        <v>13.74</v>
      </c>
      <c r="AA406" s="999">
        <f>ROUND(NOMINA!BK376,2)*0</f>
        <v>0</v>
      </c>
      <c r="AB406" s="866">
        <f t="shared" si="49"/>
        <v>166.82000000000002</v>
      </c>
    </row>
    <row r="407" spans="1:28" s="629" customFormat="1" ht="20.100000000000001" customHeight="1" thickBot="1">
      <c r="A407" s="770" t="s">
        <v>2834</v>
      </c>
      <c r="B407" s="510">
        <f t="shared" ref="B407:B433" si="50">+B406+1</f>
        <v>66</v>
      </c>
      <c r="C407" s="1009">
        <f>+NOMINA!C377</f>
        <v>16266801</v>
      </c>
      <c r="D407" s="1010" t="str">
        <f>+NOMINA!D377</f>
        <v>Briceño Gonzalez Mirla Carolina</v>
      </c>
      <c r="E407" s="978" t="s">
        <v>4622</v>
      </c>
      <c r="F407" s="1001">
        <v>27853</v>
      </c>
      <c r="G407" s="978" t="s">
        <v>4620</v>
      </c>
      <c r="H407" s="1011">
        <f>+NOMINA!H377</f>
        <v>39496</v>
      </c>
      <c r="I407" s="984">
        <f>+NOMINA!I377</f>
        <v>16</v>
      </c>
      <c r="J407" s="985">
        <f>+NOMINA!J377</f>
        <v>0</v>
      </c>
      <c r="K407" s="984">
        <f t="shared" ref="K407:K433" si="51">I407+J407</f>
        <v>16</v>
      </c>
      <c r="L407" s="985" t="s">
        <v>4932</v>
      </c>
      <c r="M407" s="985"/>
      <c r="N407" s="1002" t="str">
        <f>+NOMINA!O377</f>
        <v>Cocinera</v>
      </c>
      <c r="O407" s="999">
        <f>ROUND(NOMINA!W377,2)</f>
        <v>85.5</v>
      </c>
      <c r="P407" s="999">
        <f>NOMINA!AF377</f>
        <v>16.760000000000002</v>
      </c>
      <c r="Q407" s="999">
        <f>NOMINA!AH377</f>
        <v>65</v>
      </c>
      <c r="R407" s="999">
        <f>NOMINA!AC377</f>
        <v>12.5</v>
      </c>
      <c r="S407" s="999">
        <f>NOMINA!AJ377</f>
        <v>0</v>
      </c>
      <c r="T407" s="986">
        <f t="shared" ref="T407:T433" si="52">+P368+Q368+R368+S368</f>
        <v>66.52</v>
      </c>
      <c r="U407" s="999">
        <f>ROUND(NOMINA!BL377,2)</f>
        <v>12.81</v>
      </c>
      <c r="V407" s="999">
        <f>ROUND(NOMINA!BM377,2)</f>
        <v>1.6</v>
      </c>
      <c r="W407" s="999">
        <f>ROUND(+NOMINA!BN377,2)</f>
        <v>3.47</v>
      </c>
      <c r="X407" s="999">
        <f>ROUND(NOMINA!BO377,2)</f>
        <v>0</v>
      </c>
      <c r="Y407" s="999">
        <f>ROUND(NOMINA!BP377,2)</f>
        <v>0</v>
      </c>
      <c r="Z407" s="986">
        <f t="shared" ref="Z407:Z433" si="53">ROUND(SUM(U396:Y396),2)</f>
        <v>13.82</v>
      </c>
      <c r="AA407" s="999">
        <f>ROUND(NOMINA!BK377,2)*0</f>
        <v>0</v>
      </c>
      <c r="AB407" s="866">
        <f t="shared" ref="AB407:AB433" si="54">+O407+P407+Q407+R407+S407-(U407+V407+W407+X407+Y407)+AA407</f>
        <v>161.88</v>
      </c>
    </row>
    <row r="408" spans="1:28" s="629" customFormat="1" ht="20.100000000000001" customHeight="1" thickBot="1">
      <c r="A408" s="770" t="s">
        <v>2834</v>
      </c>
      <c r="B408" s="510">
        <f t="shared" si="50"/>
        <v>67</v>
      </c>
      <c r="C408" s="1009">
        <f>+NOMINA!C378</f>
        <v>16739958</v>
      </c>
      <c r="D408" s="1010" t="str">
        <f>+NOMINA!D378</f>
        <v>Ramirez Ramirez Natali Gabriela</v>
      </c>
      <c r="E408" s="978" t="s">
        <v>4622</v>
      </c>
      <c r="F408" s="1001">
        <v>27853</v>
      </c>
      <c r="G408" s="978" t="s">
        <v>4620</v>
      </c>
      <c r="H408" s="1011">
        <f>+NOMINA!H378</f>
        <v>44866</v>
      </c>
      <c r="I408" s="984">
        <f>+NOMINA!I378</f>
        <v>2</v>
      </c>
      <c r="J408" s="985">
        <f>+NOMINA!J378</f>
        <v>0</v>
      </c>
      <c r="K408" s="984">
        <f t="shared" si="51"/>
        <v>2</v>
      </c>
      <c r="L408" s="985" t="s">
        <v>4932</v>
      </c>
      <c r="M408" s="985"/>
      <c r="N408" s="1002" t="str">
        <f>+NOMINA!O378</f>
        <v>Ayud. Serv. De Cocina</v>
      </c>
      <c r="O408" s="999">
        <f>ROUND(NOMINA!W378,2)</f>
        <v>71</v>
      </c>
      <c r="P408" s="999">
        <f>NOMINA!AF378</f>
        <v>1.42</v>
      </c>
      <c r="Q408" s="999">
        <f>NOMINA!AH378</f>
        <v>65</v>
      </c>
      <c r="R408" s="999">
        <f>NOMINA!AC378</f>
        <v>25</v>
      </c>
      <c r="S408" s="999">
        <f>NOMINA!AJ378</f>
        <v>0</v>
      </c>
      <c r="T408" s="986">
        <f t="shared" si="52"/>
        <v>79.900000000000006</v>
      </c>
      <c r="U408" s="999">
        <f>ROUND(NOMINA!BL378,2)</f>
        <v>11.07</v>
      </c>
      <c r="V408" s="999">
        <f>ROUND(NOMINA!BM378,2)</f>
        <v>1.38</v>
      </c>
      <c r="W408" s="999">
        <f>ROUND(+NOMINA!BN378,2)</f>
        <v>3</v>
      </c>
      <c r="X408" s="999">
        <f>ROUND(NOMINA!BO378,2)</f>
        <v>0</v>
      </c>
      <c r="Y408" s="999">
        <f>ROUND(NOMINA!BP378,2)</f>
        <v>0</v>
      </c>
      <c r="Z408" s="986">
        <f t="shared" si="53"/>
        <v>16.809999999999999</v>
      </c>
      <c r="AA408" s="999">
        <f>ROUND(NOMINA!BK378,2)*0</f>
        <v>0</v>
      </c>
      <c r="AB408" s="866">
        <f t="shared" si="54"/>
        <v>146.97000000000003</v>
      </c>
    </row>
    <row r="409" spans="1:28" s="629" customFormat="1" ht="20.100000000000001" customHeight="1" thickBot="1">
      <c r="A409" s="770" t="s">
        <v>2834</v>
      </c>
      <c r="B409" s="510">
        <f t="shared" si="50"/>
        <v>68</v>
      </c>
      <c r="C409" s="1009">
        <f>+NOMINA!C379</f>
        <v>16881526</v>
      </c>
      <c r="D409" s="1010" t="str">
        <f>+NOMINA!D379</f>
        <v>Montilla Mendoza Addy Coromoto</v>
      </c>
      <c r="E409" s="978" t="s">
        <v>4622</v>
      </c>
      <c r="F409" s="1001">
        <v>27853</v>
      </c>
      <c r="G409" s="978" t="s">
        <v>4620</v>
      </c>
      <c r="H409" s="1011">
        <f>+NOMINA!H379</f>
        <v>44470</v>
      </c>
      <c r="I409" s="984">
        <f>+NOMINA!I379</f>
        <v>3</v>
      </c>
      <c r="J409" s="985">
        <f>+NOMINA!J379</f>
        <v>0</v>
      </c>
      <c r="K409" s="984">
        <f t="shared" si="51"/>
        <v>3</v>
      </c>
      <c r="L409" s="985" t="s">
        <v>4932</v>
      </c>
      <c r="M409" s="985"/>
      <c r="N409" s="1002" t="str">
        <f>+NOMINA!O379</f>
        <v>Aseador</v>
      </c>
      <c r="O409" s="999">
        <f>ROUND(NOMINA!W379,2)</f>
        <v>65</v>
      </c>
      <c r="P409" s="999">
        <f>NOMINA!AF379</f>
        <v>1.95</v>
      </c>
      <c r="Q409" s="999">
        <f>NOMINA!AH379</f>
        <v>65</v>
      </c>
      <c r="R409" s="999">
        <f>NOMINA!AC379</f>
        <v>25</v>
      </c>
      <c r="S409" s="999">
        <f>NOMINA!AJ379</f>
        <v>0</v>
      </c>
      <c r="T409" s="986">
        <f t="shared" si="52"/>
        <v>81.760000000000005</v>
      </c>
      <c r="U409" s="999">
        <f>ROUND(NOMINA!BL379,2)</f>
        <v>10.67</v>
      </c>
      <c r="V409" s="999">
        <f>ROUND(NOMINA!BM379,2)</f>
        <v>1.33</v>
      </c>
      <c r="W409" s="999">
        <f>ROUND(+NOMINA!BN379,2)</f>
        <v>2.89</v>
      </c>
      <c r="X409" s="999">
        <f>ROUND(NOMINA!BO379,2)</f>
        <v>0</v>
      </c>
      <c r="Y409" s="999">
        <f>ROUND(NOMINA!BP379,2)</f>
        <v>0</v>
      </c>
      <c r="Z409" s="986">
        <f t="shared" si="53"/>
        <v>15.94</v>
      </c>
      <c r="AA409" s="999">
        <f>ROUND(NOMINA!BK379,2)*0</f>
        <v>0</v>
      </c>
      <c r="AB409" s="866">
        <f t="shared" si="54"/>
        <v>142.06</v>
      </c>
    </row>
    <row r="410" spans="1:28" s="629" customFormat="1" ht="20.100000000000001" customHeight="1" thickBot="1">
      <c r="A410" s="770" t="s">
        <v>2834</v>
      </c>
      <c r="B410" s="510">
        <f t="shared" si="50"/>
        <v>69</v>
      </c>
      <c r="C410" s="1009">
        <f>+NOMINA!C380</f>
        <v>17093567</v>
      </c>
      <c r="D410" s="1010" t="str">
        <f>+NOMINA!D380</f>
        <v>Torres Villarreal Yenny del Carmen</v>
      </c>
      <c r="E410" s="978" t="s">
        <v>4622</v>
      </c>
      <c r="F410" s="1001">
        <v>27853</v>
      </c>
      <c r="G410" s="978" t="s">
        <v>4620</v>
      </c>
      <c r="H410" s="1011">
        <f>+NOMINA!H380</f>
        <v>39449</v>
      </c>
      <c r="I410" s="984">
        <f>+NOMINA!I380</f>
        <v>17</v>
      </c>
      <c r="J410" s="985">
        <f>+NOMINA!J380</f>
        <v>0</v>
      </c>
      <c r="K410" s="984">
        <f t="shared" si="51"/>
        <v>17</v>
      </c>
      <c r="L410" s="985" t="s">
        <v>4932</v>
      </c>
      <c r="M410" s="985"/>
      <c r="N410" s="1002" t="str">
        <f>+NOMINA!O380</f>
        <v>Ayudante de Servicios Generales</v>
      </c>
      <c r="O410" s="999">
        <f>ROUND(NOMINA!W380,2)</f>
        <v>76</v>
      </c>
      <c r="P410" s="999">
        <f>NOMINA!AF380</f>
        <v>16.11</v>
      </c>
      <c r="Q410" s="999">
        <f>NOMINA!AH380</f>
        <v>65</v>
      </c>
      <c r="R410" s="999">
        <f>NOMINA!AC380</f>
        <v>0</v>
      </c>
      <c r="S410" s="999">
        <f>NOMINA!AJ380</f>
        <v>0</v>
      </c>
      <c r="T410" s="986">
        <f t="shared" si="52"/>
        <v>66.52</v>
      </c>
      <c r="U410" s="999">
        <f>ROUND(NOMINA!BL380,2)</f>
        <v>11.6</v>
      </c>
      <c r="V410" s="999">
        <f>ROUND(NOMINA!BM380,2)</f>
        <v>1.45</v>
      </c>
      <c r="W410" s="999">
        <f>ROUND(+NOMINA!BN380,2)</f>
        <v>3.14</v>
      </c>
      <c r="X410" s="999">
        <f>ROUND(NOMINA!BO380,2)</f>
        <v>0</v>
      </c>
      <c r="Y410" s="999">
        <f>ROUND(NOMINA!BP380,2)</f>
        <v>0</v>
      </c>
      <c r="Z410" s="986">
        <f t="shared" si="53"/>
        <v>16.059999999999999</v>
      </c>
      <c r="AA410" s="999">
        <f>ROUND(NOMINA!BK380,2)*0</f>
        <v>0</v>
      </c>
      <c r="AB410" s="866">
        <f t="shared" si="54"/>
        <v>140.92000000000002</v>
      </c>
    </row>
    <row r="411" spans="1:28" s="629" customFormat="1" ht="20.100000000000001" customHeight="1" thickBot="1">
      <c r="A411" s="770" t="s">
        <v>2834</v>
      </c>
      <c r="B411" s="510">
        <f t="shared" si="50"/>
        <v>70</v>
      </c>
      <c r="C411" s="1009">
        <f>+NOMINA!C381</f>
        <v>17093846</v>
      </c>
      <c r="D411" s="1010" t="str">
        <f>+NOMINA!D381</f>
        <v>Bastidas Rivera Junior Antonio</v>
      </c>
      <c r="E411" s="978" t="s">
        <v>4622</v>
      </c>
      <c r="F411" s="1001">
        <v>27853</v>
      </c>
      <c r="G411" s="978" t="s">
        <v>4620</v>
      </c>
      <c r="H411" s="1011">
        <f>+NOMINA!H381</f>
        <v>45017</v>
      </c>
      <c r="I411" s="984">
        <f>+NOMINA!I381</f>
        <v>1</v>
      </c>
      <c r="J411" s="985">
        <f>+NOMINA!J381</f>
        <v>0</v>
      </c>
      <c r="K411" s="984">
        <f t="shared" si="51"/>
        <v>1</v>
      </c>
      <c r="L411" s="985" t="s">
        <v>4932</v>
      </c>
      <c r="M411" s="985"/>
      <c r="N411" s="1002" t="str">
        <f>+NOMINA!O381</f>
        <v>Ayudante de Servicios Generales</v>
      </c>
      <c r="O411" s="999">
        <f>ROUND(NOMINA!W381,2)</f>
        <v>76</v>
      </c>
      <c r="P411" s="999">
        <f>NOMINA!AF381</f>
        <v>0.76</v>
      </c>
      <c r="Q411" s="999">
        <f>NOMINA!AH381</f>
        <v>65</v>
      </c>
      <c r="R411" s="999">
        <f>NOMINA!AC381</f>
        <v>0</v>
      </c>
      <c r="S411" s="999">
        <f>NOMINA!AJ381</f>
        <v>0</v>
      </c>
      <c r="T411" s="986">
        <f t="shared" si="52"/>
        <v>69.28</v>
      </c>
      <c r="U411" s="999">
        <f>ROUND(NOMINA!BL381,2)</f>
        <v>10.47</v>
      </c>
      <c r="V411" s="999">
        <f>ROUND(NOMINA!BM381,2)</f>
        <v>1.31</v>
      </c>
      <c r="W411" s="999">
        <f>ROUND(+NOMINA!BN381,2)</f>
        <v>2.84</v>
      </c>
      <c r="X411" s="999">
        <f>ROUND(NOMINA!BO381,2)</f>
        <v>0</v>
      </c>
      <c r="Y411" s="999">
        <f>ROUND(NOMINA!BP381,2)</f>
        <v>0</v>
      </c>
      <c r="Z411" s="986">
        <f t="shared" si="53"/>
        <v>15.51</v>
      </c>
      <c r="AA411" s="999">
        <f>ROUND(NOMINA!BK381,2)*0</f>
        <v>0</v>
      </c>
      <c r="AB411" s="866">
        <f t="shared" si="54"/>
        <v>127.13999999999999</v>
      </c>
    </row>
    <row r="412" spans="1:28" s="629" customFormat="1" ht="20.100000000000001" customHeight="1" thickBot="1">
      <c r="A412" s="770" t="s">
        <v>2834</v>
      </c>
      <c r="B412" s="510">
        <f t="shared" si="50"/>
        <v>71</v>
      </c>
      <c r="C412" s="1009">
        <f>+NOMINA!C382</f>
        <v>17095084</v>
      </c>
      <c r="D412" s="1010" t="str">
        <f>+NOMINA!D382</f>
        <v>Gonzalez Simancas Yulimar del Valle</v>
      </c>
      <c r="E412" s="978" t="s">
        <v>4622</v>
      </c>
      <c r="F412" s="1001">
        <v>27853</v>
      </c>
      <c r="G412" s="978" t="s">
        <v>4620</v>
      </c>
      <c r="H412" s="1011">
        <f>+NOMINA!H382</f>
        <v>44317</v>
      </c>
      <c r="I412" s="984">
        <f>+NOMINA!I382</f>
        <v>3</v>
      </c>
      <c r="J412" s="985">
        <f>+NOMINA!J382</f>
        <v>0</v>
      </c>
      <c r="K412" s="984">
        <f t="shared" si="51"/>
        <v>3</v>
      </c>
      <c r="L412" s="985" t="s">
        <v>4932</v>
      </c>
      <c r="M412" s="985"/>
      <c r="N412" s="1002" t="str">
        <f>+NOMINA!O382</f>
        <v>Cocinera</v>
      </c>
      <c r="O412" s="999">
        <f>ROUND(NOMINA!W382,2)</f>
        <v>85.5</v>
      </c>
      <c r="P412" s="999">
        <f>NOMINA!AF382</f>
        <v>2.57</v>
      </c>
      <c r="Q412" s="999">
        <f>NOMINA!AH382</f>
        <v>65</v>
      </c>
      <c r="R412" s="999">
        <f>NOMINA!AC382</f>
        <v>25</v>
      </c>
      <c r="S412" s="999">
        <f>NOMINA!AJ382</f>
        <v>0</v>
      </c>
      <c r="T412" s="986">
        <f t="shared" si="52"/>
        <v>84.5</v>
      </c>
      <c r="U412" s="999">
        <f>ROUND(NOMINA!BL382,2)</f>
        <v>12.23</v>
      </c>
      <c r="V412" s="999">
        <f>ROUND(NOMINA!BM382,2)</f>
        <v>1.53</v>
      </c>
      <c r="W412" s="999">
        <f>ROUND(+NOMINA!BN382,2)</f>
        <v>3.31</v>
      </c>
      <c r="X412" s="999">
        <f>ROUND(NOMINA!BO382,2)</f>
        <v>0</v>
      </c>
      <c r="Y412" s="999">
        <f>ROUND(NOMINA!BP382,2)</f>
        <v>0</v>
      </c>
      <c r="Z412" s="986">
        <f t="shared" si="53"/>
        <v>16.07</v>
      </c>
      <c r="AA412" s="999">
        <f>ROUND(NOMINA!BK382,2)*0</f>
        <v>0</v>
      </c>
      <c r="AB412" s="866">
        <f t="shared" si="54"/>
        <v>161</v>
      </c>
    </row>
    <row r="413" spans="1:28" s="629" customFormat="1" ht="20.100000000000001" customHeight="1" thickBot="1">
      <c r="A413" s="770" t="s">
        <v>2834</v>
      </c>
      <c r="B413" s="510">
        <f t="shared" si="50"/>
        <v>72</v>
      </c>
      <c r="C413" s="1009">
        <f>+NOMINA!C383</f>
        <v>17267173</v>
      </c>
      <c r="D413" s="1010" t="str">
        <f>+NOMINA!D383</f>
        <v>Torres Alvarez Olga Josefina</v>
      </c>
      <c r="E413" s="978" t="s">
        <v>4622</v>
      </c>
      <c r="F413" s="1001">
        <v>27853</v>
      </c>
      <c r="G413" s="978" t="s">
        <v>4620</v>
      </c>
      <c r="H413" s="1011">
        <f>+NOMINA!H383</f>
        <v>44317</v>
      </c>
      <c r="I413" s="984">
        <f>+NOMINA!I383</f>
        <v>3</v>
      </c>
      <c r="J413" s="985">
        <f>+NOMINA!J383</f>
        <v>0</v>
      </c>
      <c r="K413" s="984">
        <f t="shared" si="51"/>
        <v>3</v>
      </c>
      <c r="L413" s="985" t="s">
        <v>4932</v>
      </c>
      <c r="M413" s="985"/>
      <c r="N413" s="1002" t="str">
        <f>+NOMINA!O383</f>
        <v>AYUDANTE DE ALMACEN</v>
      </c>
      <c r="O413" s="999">
        <f>ROUND(NOMINA!W383,2)</f>
        <v>85.5</v>
      </c>
      <c r="P413" s="999">
        <f>NOMINA!AF383</f>
        <v>2.57</v>
      </c>
      <c r="Q413" s="999">
        <f>NOMINA!AH383</f>
        <v>65</v>
      </c>
      <c r="R413" s="999">
        <f>NOMINA!AC383</f>
        <v>0</v>
      </c>
      <c r="S413" s="999">
        <f>NOMINA!AJ383</f>
        <v>0</v>
      </c>
      <c r="T413" s="986">
        <f t="shared" si="52"/>
        <v>67.569999999999993</v>
      </c>
      <c r="U413" s="999">
        <f>ROUND(NOMINA!BL383,2)</f>
        <v>11.3</v>
      </c>
      <c r="V413" s="999">
        <f>ROUND(NOMINA!BM383,2)</f>
        <v>1.41</v>
      </c>
      <c r="W413" s="999">
        <f>ROUND(+NOMINA!BN383,2)</f>
        <v>3.06</v>
      </c>
      <c r="X413" s="999">
        <f>ROUND(NOMINA!BO383,2)</f>
        <v>0</v>
      </c>
      <c r="Y413" s="999">
        <f>ROUND(NOMINA!BP383,2)</f>
        <v>0</v>
      </c>
      <c r="Z413" s="986">
        <f t="shared" si="53"/>
        <v>14.11</v>
      </c>
      <c r="AA413" s="999">
        <f>ROUND(NOMINA!BK383,2)*0</f>
        <v>0</v>
      </c>
      <c r="AB413" s="866">
        <f t="shared" si="54"/>
        <v>137.29999999999998</v>
      </c>
    </row>
    <row r="414" spans="1:28" s="629" customFormat="1" ht="20.100000000000001" customHeight="1" thickBot="1">
      <c r="A414" s="770" t="s">
        <v>2834</v>
      </c>
      <c r="B414" s="510">
        <f t="shared" si="50"/>
        <v>73</v>
      </c>
      <c r="C414" s="1009">
        <f>+NOMINA!C384</f>
        <v>17267546</v>
      </c>
      <c r="D414" s="1010" t="str">
        <f>+NOMINA!D384</f>
        <v>Bastidas Rivera Franklin Enrique</v>
      </c>
      <c r="E414" s="978" t="s">
        <v>4622</v>
      </c>
      <c r="F414" s="1001">
        <v>27853</v>
      </c>
      <c r="G414" s="978" t="s">
        <v>4620</v>
      </c>
      <c r="H414" s="1011">
        <f>+NOMINA!H384</f>
        <v>39197</v>
      </c>
      <c r="I414" s="984">
        <f>+NOMINA!I384</f>
        <v>17</v>
      </c>
      <c r="J414" s="985">
        <f>+NOMINA!J384</f>
        <v>0</v>
      </c>
      <c r="K414" s="984">
        <f t="shared" si="51"/>
        <v>17</v>
      </c>
      <c r="L414" s="985" t="s">
        <v>4932</v>
      </c>
      <c r="M414" s="985"/>
      <c r="N414" s="1002" t="str">
        <f>+NOMINA!O384</f>
        <v>Ayudante de Servicios Generales</v>
      </c>
      <c r="O414" s="999">
        <f>ROUND(NOMINA!W384,2)</f>
        <v>76</v>
      </c>
      <c r="P414" s="999">
        <f>NOMINA!AF384</f>
        <v>16.11</v>
      </c>
      <c r="Q414" s="999">
        <f>NOMINA!AH384</f>
        <v>65</v>
      </c>
      <c r="R414" s="999">
        <f>NOMINA!AC384</f>
        <v>12.5</v>
      </c>
      <c r="S414" s="999">
        <f>NOMINA!AJ384</f>
        <v>0</v>
      </c>
      <c r="T414" s="986">
        <f t="shared" si="52"/>
        <v>73.06</v>
      </c>
      <c r="U414" s="999">
        <f>ROUND(NOMINA!BL384,2)</f>
        <v>12.06</v>
      </c>
      <c r="V414" s="999">
        <f>ROUND(NOMINA!BM384,2)</f>
        <v>1.51</v>
      </c>
      <c r="W414" s="999">
        <f>ROUND(+NOMINA!BN384,2)</f>
        <v>3.27</v>
      </c>
      <c r="X414" s="999">
        <f>ROUND(NOMINA!BO384,2)</f>
        <v>0</v>
      </c>
      <c r="Y414" s="999">
        <f>ROUND(NOMINA!BP384,2)</f>
        <v>0</v>
      </c>
      <c r="Z414" s="986">
        <f t="shared" si="53"/>
        <v>18.02</v>
      </c>
      <c r="AA414" s="999">
        <f>ROUND(NOMINA!BK384,2)*0</f>
        <v>0</v>
      </c>
      <c r="AB414" s="866">
        <f t="shared" si="54"/>
        <v>152.77000000000001</v>
      </c>
    </row>
    <row r="415" spans="1:28" s="629" customFormat="1" ht="20.100000000000001" customHeight="1" thickBot="1">
      <c r="A415" s="770" t="s">
        <v>2834</v>
      </c>
      <c r="B415" s="510">
        <f t="shared" si="50"/>
        <v>74</v>
      </c>
      <c r="C415" s="1009">
        <f>+NOMINA!C385</f>
        <v>18096032</v>
      </c>
      <c r="D415" s="1010" t="str">
        <f>+NOMINA!D385</f>
        <v>Graterol Graterol Isidro Antonio</v>
      </c>
      <c r="E415" s="978" t="s">
        <v>4622</v>
      </c>
      <c r="F415" s="1001">
        <v>27853</v>
      </c>
      <c r="G415" s="978" t="s">
        <v>4620</v>
      </c>
      <c r="H415" s="1011">
        <f>+NOMINA!H385</f>
        <v>45566</v>
      </c>
      <c r="I415" s="984">
        <f>+NOMINA!I385</f>
        <v>0</v>
      </c>
      <c r="J415" s="985">
        <f>+NOMINA!J385</f>
        <v>16</v>
      </c>
      <c r="K415" s="984">
        <f t="shared" si="51"/>
        <v>16</v>
      </c>
      <c r="L415" s="985" t="s">
        <v>4932</v>
      </c>
      <c r="M415" s="985"/>
      <c r="N415" s="1002" t="str">
        <f>+NOMINA!O385</f>
        <v>Chofer</v>
      </c>
      <c r="O415" s="999">
        <f>ROUND(NOMINA!W385,2)</f>
        <v>80.5</v>
      </c>
      <c r="P415" s="999">
        <f>NOMINA!AF385</f>
        <v>15.78</v>
      </c>
      <c r="Q415" s="999">
        <f>NOMINA!AH385</f>
        <v>65</v>
      </c>
      <c r="R415" s="999">
        <f>NOMINA!AC385</f>
        <v>25</v>
      </c>
      <c r="S415" s="999">
        <f>NOMINA!AJ385</f>
        <v>0</v>
      </c>
      <c r="T415" s="986">
        <f t="shared" si="52"/>
        <v>87.23</v>
      </c>
      <c r="U415" s="999">
        <f>ROUND(NOMINA!BL385,2)</f>
        <v>16.68</v>
      </c>
      <c r="V415" s="999">
        <f>ROUND(NOMINA!BM385,2)</f>
        <v>2.09</v>
      </c>
      <c r="W415" s="999">
        <f>ROUND(+NOMINA!BN385,2)</f>
        <v>4.5199999999999996</v>
      </c>
      <c r="X415" s="999">
        <f>ROUND(NOMINA!BO385,2)</f>
        <v>0</v>
      </c>
      <c r="Y415" s="999">
        <f>ROUND(NOMINA!BP385,2)</f>
        <v>0</v>
      </c>
      <c r="Z415" s="986">
        <f t="shared" si="53"/>
        <v>15.61</v>
      </c>
      <c r="AA415" s="999">
        <f>ROUND(NOMINA!BK385,2)*0</f>
        <v>0</v>
      </c>
      <c r="AB415" s="866">
        <f t="shared" si="54"/>
        <v>162.99</v>
      </c>
    </row>
    <row r="416" spans="1:28" s="629" customFormat="1" ht="20.100000000000001" customHeight="1" thickBot="1">
      <c r="A416" s="770" t="s">
        <v>2834</v>
      </c>
      <c r="B416" s="510">
        <f t="shared" si="50"/>
        <v>75</v>
      </c>
      <c r="C416" s="1009">
        <f>+NOMINA!C386</f>
        <v>18096338</v>
      </c>
      <c r="D416" s="1010" t="str">
        <f>+NOMINA!D386</f>
        <v>Ramirez Manzanilla Jose Jesus</v>
      </c>
      <c r="E416" s="978" t="s">
        <v>4622</v>
      </c>
      <c r="F416" s="1001">
        <v>27853</v>
      </c>
      <c r="G416" s="978" t="s">
        <v>4620</v>
      </c>
      <c r="H416" s="1011">
        <f>+NOMINA!H386</f>
        <v>39463</v>
      </c>
      <c r="I416" s="984">
        <f>+NOMINA!I386</f>
        <v>17</v>
      </c>
      <c r="J416" s="985">
        <f>+NOMINA!J386</f>
        <v>3</v>
      </c>
      <c r="K416" s="984">
        <f t="shared" si="51"/>
        <v>20</v>
      </c>
      <c r="L416" s="985" t="s">
        <v>4932</v>
      </c>
      <c r="M416" s="985"/>
      <c r="N416" s="1002" t="str">
        <f>+NOMINA!O386</f>
        <v>Cocinero</v>
      </c>
      <c r="O416" s="999">
        <f>ROUND(NOMINA!W386,2)</f>
        <v>85.5</v>
      </c>
      <c r="P416" s="999">
        <f>NOMINA!AF386</f>
        <v>22.23</v>
      </c>
      <c r="Q416" s="999">
        <f>NOMINA!AH386</f>
        <v>65</v>
      </c>
      <c r="R416" s="999">
        <f>NOMINA!AC386</f>
        <v>12.5</v>
      </c>
      <c r="S416" s="999">
        <f>NOMINA!AJ386</f>
        <v>0</v>
      </c>
      <c r="T416" s="986">
        <f t="shared" si="52"/>
        <v>65.760000000000005</v>
      </c>
      <c r="U416" s="999">
        <f>ROUND(NOMINA!BL386,2)</f>
        <v>13.22</v>
      </c>
      <c r="V416" s="999">
        <f>ROUND(NOMINA!BM386,2)</f>
        <v>1.65</v>
      </c>
      <c r="W416" s="999">
        <f>ROUND(+NOMINA!BN386,2)</f>
        <v>3.58</v>
      </c>
      <c r="X416" s="999">
        <f>ROUND(NOMINA!BO386,2)</f>
        <v>0</v>
      </c>
      <c r="Y416" s="999">
        <f>ROUND(NOMINA!BP386,2)</f>
        <v>0</v>
      </c>
      <c r="Z416" s="986">
        <f t="shared" si="53"/>
        <v>14.42</v>
      </c>
      <c r="AA416" s="999">
        <f>ROUND(NOMINA!BK386,2)*0</f>
        <v>0</v>
      </c>
      <c r="AB416" s="866">
        <f t="shared" si="54"/>
        <v>166.78000000000003</v>
      </c>
    </row>
    <row r="417" spans="1:28" s="629" customFormat="1" ht="20.100000000000001" customHeight="1" thickBot="1">
      <c r="A417" s="770" t="s">
        <v>2834</v>
      </c>
      <c r="B417" s="510">
        <f t="shared" si="50"/>
        <v>76</v>
      </c>
      <c r="C417" s="1009">
        <f>+NOMINA!C387</f>
        <v>18350780</v>
      </c>
      <c r="D417" s="1010" t="str">
        <f>+NOMINA!D387</f>
        <v>Frias Aldana Giovanny Jacinto</v>
      </c>
      <c r="E417" s="978" t="s">
        <v>4622</v>
      </c>
      <c r="F417" s="1001">
        <v>27853</v>
      </c>
      <c r="G417" s="978" t="s">
        <v>4620</v>
      </c>
      <c r="H417" s="1011">
        <f>+NOMINA!H387</f>
        <v>43116</v>
      </c>
      <c r="I417" s="984">
        <f>+NOMINA!I387</f>
        <v>7</v>
      </c>
      <c r="J417" s="985">
        <f>+NOMINA!J387</f>
        <v>0</v>
      </c>
      <c r="K417" s="984">
        <f t="shared" si="51"/>
        <v>7</v>
      </c>
      <c r="L417" s="985" t="s">
        <v>4932</v>
      </c>
      <c r="M417" s="985"/>
      <c r="N417" s="1002" t="str">
        <f>+NOMINA!O387</f>
        <v>Vigilante</v>
      </c>
      <c r="O417" s="999">
        <f>ROUND(NOMINA!W387,2)</f>
        <v>85.5</v>
      </c>
      <c r="P417" s="999">
        <f>NOMINA!AF387</f>
        <v>6.33</v>
      </c>
      <c r="Q417" s="999">
        <f>NOMINA!AH387</f>
        <v>65</v>
      </c>
      <c r="R417" s="999">
        <f>NOMINA!AC387</f>
        <v>12.5</v>
      </c>
      <c r="S417" s="999">
        <f>NOMINA!AJ387</f>
        <v>0</v>
      </c>
      <c r="T417" s="986">
        <f t="shared" si="52"/>
        <v>69.28</v>
      </c>
      <c r="U417" s="999">
        <f>ROUND(NOMINA!BL387,2)</f>
        <v>15.66</v>
      </c>
      <c r="V417" s="999">
        <f>ROUND(NOMINA!BM387,2)</f>
        <v>1.96</v>
      </c>
      <c r="W417" s="999">
        <f>ROUND(+NOMINA!BN387,2)</f>
        <v>4.24</v>
      </c>
      <c r="X417" s="999">
        <f>ROUND(NOMINA!BO387,2)</f>
        <v>0</v>
      </c>
      <c r="Y417" s="999">
        <f>ROUND(NOMINA!BP387,2)</f>
        <v>0</v>
      </c>
      <c r="Z417" s="986">
        <f t="shared" si="53"/>
        <v>17.73</v>
      </c>
      <c r="AA417" s="999">
        <f>ROUND(NOMINA!BK387,2)*0</f>
        <v>0</v>
      </c>
      <c r="AB417" s="866">
        <f t="shared" si="54"/>
        <v>147.46999999999997</v>
      </c>
    </row>
    <row r="418" spans="1:28" s="629" customFormat="1" ht="18" customHeight="1" thickBot="1">
      <c r="A418" s="770" t="s">
        <v>2834</v>
      </c>
      <c r="B418" s="510">
        <f t="shared" si="50"/>
        <v>77</v>
      </c>
      <c r="C418" s="1009">
        <f>+NOMINA!C388</f>
        <v>18456167</v>
      </c>
      <c r="D418" s="1010" t="str">
        <f>+NOMINA!D388</f>
        <v>Olmos Linares Luis Alberto</v>
      </c>
      <c r="E418" s="978" t="s">
        <v>4622</v>
      </c>
      <c r="F418" s="1001">
        <v>27853</v>
      </c>
      <c r="G418" s="978" t="s">
        <v>4620</v>
      </c>
      <c r="H418" s="1011">
        <f>+NOMINA!H388</f>
        <v>44516</v>
      </c>
      <c r="I418" s="984">
        <f>+NOMINA!I388</f>
        <v>3</v>
      </c>
      <c r="J418" s="985">
        <f>+NOMINA!J388</f>
        <v>0</v>
      </c>
      <c r="K418" s="984">
        <f t="shared" si="51"/>
        <v>3</v>
      </c>
      <c r="L418" s="985" t="s">
        <v>4932</v>
      </c>
      <c r="M418" s="985"/>
      <c r="N418" s="1002" t="str">
        <f>+NOMINA!O388</f>
        <v>Cocinero</v>
      </c>
      <c r="O418" s="999">
        <f>ROUND(NOMINA!W388,2)</f>
        <v>85.5</v>
      </c>
      <c r="P418" s="999">
        <f>NOMINA!AF388</f>
        <v>2.57</v>
      </c>
      <c r="Q418" s="999">
        <f>NOMINA!AH388</f>
        <v>65</v>
      </c>
      <c r="R418" s="999">
        <f>NOMINA!AC388</f>
        <v>25</v>
      </c>
      <c r="S418" s="999">
        <f>NOMINA!AJ388</f>
        <v>0</v>
      </c>
      <c r="T418" s="986">
        <f t="shared" si="52"/>
        <v>79.900000000000006</v>
      </c>
      <c r="U418" s="999">
        <f>ROUND(NOMINA!BL388,2)</f>
        <v>12.23</v>
      </c>
      <c r="V418" s="999">
        <f>ROUND(NOMINA!BM388,2)</f>
        <v>1.53</v>
      </c>
      <c r="W418" s="999">
        <f>ROUND(+NOMINA!BN388,2)</f>
        <v>3.31</v>
      </c>
      <c r="X418" s="999">
        <f>ROUND(NOMINA!BO388,2)</f>
        <v>0</v>
      </c>
      <c r="Y418" s="999">
        <f>ROUND(NOMINA!BP388,2)</f>
        <v>0</v>
      </c>
      <c r="Z418" s="986">
        <f t="shared" si="53"/>
        <v>17.88</v>
      </c>
      <c r="AA418" s="999">
        <f>ROUND(NOMINA!BK388,2)*0</f>
        <v>0</v>
      </c>
      <c r="AB418" s="866">
        <f t="shared" si="54"/>
        <v>161</v>
      </c>
    </row>
    <row r="419" spans="1:28" s="629" customFormat="1" ht="18" customHeight="1" thickBot="1">
      <c r="A419" s="770" t="s">
        <v>2834</v>
      </c>
      <c r="B419" s="510">
        <f t="shared" si="50"/>
        <v>78</v>
      </c>
      <c r="C419" s="1009">
        <f>+NOMINA!C389</f>
        <v>18456576</v>
      </c>
      <c r="D419" s="1010" t="str">
        <f>+NOMINA!D389</f>
        <v>Quintero Duran Emilio Alfonso</v>
      </c>
      <c r="E419" s="978" t="s">
        <v>4622</v>
      </c>
      <c r="F419" s="1001">
        <v>27853</v>
      </c>
      <c r="G419" s="978" t="s">
        <v>4620</v>
      </c>
      <c r="H419" s="1011">
        <f>+NOMINA!H389</f>
        <v>44743</v>
      </c>
      <c r="I419" s="984">
        <f>+NOMINA!I389</f>
        <v>2</v>
      </c>
      <c r="J419" s="985">
        <f>+NOMINA!J389</f>
        <v>0</v>
      </c>
      <c r="K419" s="984">
        <f t="shared" si="51"/>
        <v>2</v>
      </c>
      <c r="L419" s="985" t="s">
        <v>4932</v>
      </c>
      <c r="M419" s="985"/>
      <c r="N419" s="1002" t="str">
        <f>+NOMINA!O389</f>
        <v>Chofer</v>
      </c>
      <c r="O419" s="999">
        <f>ROUND(NOMINA!W389,2)</f>
        <v>80.5</v>
      </c>
      <c r="P419" s="999">
        <f>NOMINA!AF389</f>
        <v>1.61</v>
      </c>
      <c r="Q419" s="999">
        <f>NOMINA!AH389</f>
        <v>65</v>
      </c>
      <c r="R419" s="999">
        <f>NOMINA!AC389</f>
        <v>25</v>
      </c>
      <c r="S419" s="999">
        <f>NOMINA!AJ389</f>
        <v>0</v>
      </c>
      <c r="T419" s="986">
        <f t="shared" si="52"/>
        <v>69.709999999999994</v>
      </c>
      <c r="U419" s="999">
        <f>ROUND(NOMINA!BL389,2)</f>
        <v>15.32</v>
      </c>
      <c r="V419" s="999">
        <f>ROUND(NOMINA!BM389,2)</f>
        <v>1.92</v>
      </c>
      <c r="W419" s="999">
        <f>ROUND(+NOMINA!BN389,2)</f>
        <v>4.1500000000000004</v>
      </c>
      <c r="X419" s="999">
        <f>ROUND(NOMINA!BO389,2)</f>
        <v>0</v>
      </c>
      <c r="Y419" s="999">
        <f>ROUND(NOMINA!BP389,2)</f>
        <v>0</v>
      </c>
      <c r="Z419" s="986">
        <f t="shared" si="53"/>
        <v>15.45</v>
      </c>
      <c r="AA419" s="999">
        <f>ROUND(NOMINA!BK389,2)*0</f>
        <v>0</v>
      </c>
      <c r="AB419" s="866">
        <f t="shared" si="54"/>
        <v>150.72000000000003</v>
      </c>
    </row>
    <row r="420" spans="1:28" s="629" customFormat="1" ht="18" customHeight="1" thickBot="1">
      <c r="A420" s="770" t="s">
        <v>2834</v>
      </c>
      <c r="B420" s="510">
        <f t="shared" si="50"/>
        <v>79</v>
      </c>
      <c r="C420" s="1009">
        <f>+NOMINA!C390</f>
        <v>20039961</v>
      </c>
      <c r="D420" s="1010" t="str">
        <f>+NOMINA!D390</f>
        <v>Torres Villarreal Lisbeth Carolina</v>
      </c>
      <c r="E420" s="978" t="s">
        <v>4622</v>
      </c>
      <c r="F420" s="1001">
        <v>27853</v>
      </c>
      <c r="G420" s="978" t="s">
        <v>4620</v>
      </c>
      <c r="H420" s="1011">
        <f>+NOMINA!H390</f>
        <v>38412</v>
      </c>
      <c r="I420" s="984">
        <f>+NOMINA!I390</f>
        <v>19</v>
      </c>
      <c r="J420" s="985">
        <f>+NOMINA!J390</f>
        <v>0</v>
      </c>
      <c r="K420" s="984">
        <f t="shared" si="51"/>
        <v>19</v>
      </c>
      <c r="L420" s="985" t="s">
        <v>4932</v>
      </c>
      <c r="M420" s="985"/>
      <c r="N420" s="1002" t="str">
        <f>+NOMINA!O390</f>
        <v>Aseadora</v>
      </c>
      <c r="O420" s="999">
        <f>ROUND(NOMINA!W390,2)</f>
        <v>65</v>
      </c>
      <c r="P420" s="999">
        <f>NOMINA!AF390</f>
        <v>15.86</v>
      </c>
      <c r="Q420" s="999">
        <f>NOMINA!AH390</f>
        <v>65</v>
      </c>
      <c r="R420" s="999">
        <f>NOMINA!AC390</f>
        <v>25</v>
      </c>
      <c r="S420" s="999">
        <f>NOMINA!AJ390</f>
        <v>0</v>
      </c>
      <c r="T420" s="986">
        <f t="shared" si="52"/>
        <v>99.73</v>
      </c>
      <c r="U420" s="999">
        <f>ROUND(NOMINA!BL390,2)</f>
        <v>11.69</v>
      </c>
      <c r="V420" s="999">
        <f>ROUND(NOMINA!BM390,2)</f>
        <v>1.46</v>
      </c>
      <c r="W420" s="999">
        <f>ROUND(+NOMINA!BN390,2)</f>
        <v>3.17</v>
      </c>
      <c r="X420" s="999">
        <f>ROUND(NOMINA!BO390,2)</f>
        <v>0</v>
      </c>
      <c r="Y420" s="999">
        <f>ROUND(NOMINA!BP390,2)</f>
        <v>0</v>
      </c>
      <c r="Z420" s="986">
        <f t="shared" si="53"/>
        <v>14.89</v>
      </c>
      <c r="AA420" s="999">
        <f>ROUND(NOMINA!BK390,2)*0</f>
        <v>0</v>
      </c>
      <c r="AB420" s="866">
        <f t="shared" si="54"/>
        <v>154.54000000000002</v>
      </c>
    </row>
    <row r="421" spans="1:28" s="629" customFormat="1" ht="18" customHeight="1" thickBot="1">
      <c r="A421" s="770" t="s">
        <v>2834</v>
      </c>
      <c r="B421" s="510">
        <f t="shared" si="50"/>
        <v>80</v>
      </c>
      <c r="C421" s="1009">
        <f>+NOMINA!C391</f>
        <v>20040649</v>
      </c>
      <c r="D421" s="1010" t="str">
        <f>+NOMINA!D391</f>
        <v>Isarra Materan Jose de La Paz</v>
      </c>
      <c r="E421" s="978" t="s">
        <v>4622</v>
      </c>
      <c r="F421" s="1001">
        <v>27853</v>
      </c>
      <c r="G421" s="978" t="s">
        <v>4620</v>
      </c>
      <c r="H421" s="1011">
        <f>+NOMINA!H391</f>
        <v>44743</v>
      </c>
      <c r="I421" s="984">
        <f>+NOMINA!I391</f>
        <v>2</v>
      </c>
      <c r="J421" s="985">
        <f>+NOMINA!J391</f>
        <v>0</v>
      </c>
      <c r="K421" s="984">
        <f t="shared" si="51"/>
        <v>2</v>
      </c>
      <c r="L421" s="985" t="s">
        <v>4932</v>
      </c>
      <c r="M421" s="985"/>
      <c r="N421" s="1002" t="str">
        <f>+NOMINA!O391</f>
        <v>Chofer</v>
      </c>
      <c r="O421" s="999">
        <f>ROUND(NOMINA!W391,2)</f>
        <v>80.5</v>
      </c>
      <c r="P421" s="999">
        <f>NOMINA!AF391</f>
        <v>1.61</v>
      </c>
      <c r="Q421" s="999">
        <f>NOMINA!AH391</f>
        <v>65</v>
      </c>
      <c r="R421" s="999">
        <f>NOMINA!AC391</f>
        <v>25</v>
      </c>
      <c r="S421" s="999">
        <f>NOMINA!AJ391</f>
        <v>0</v>
      </c>
      <c r="T421" s="986">
        <f t="shared" si="52"/>
        <v>83.83</v>
      </c>
      <c r="U421" s="999">
        <f>ROUND(NOMINA!BL391,2)</f>
        <v>15.32</v>
      </c>
      <c r="V421" s="999">
        <f>ROUND(NOMINA!BM391,2)</f>
        <v>1.92</v>
      </c>
      <c r="W421" s="999">
        <f>ROUND(+NOMINA!BN391,2)</f>
        <v>4.1500000000000004</v>
      </c>
      <c r="X421" s="999">
        <f>ROUND(NOMINA!BO391,2)</f>
        <v>0</v>
      </c>
      <c r="Y421" s="999">
        <f>ROUND(NOMINA!BP391,2)</f>
        <v>0</v>
      </c>
      <c r="Z421" s="986">
        <f t="shared" si="53"/>
        <v>16.190000000000001</v>
      </c>
      <c r="AA421" s="999">
        <f>ROUND(NOMINA!BK391,2)*0</f>
        <v>0</v>
      </c>
      <c r="AB421" s="866">
        <f t="shared" si="54"/>
        <v>150.72000000000003</v>
      </c>
    </row>
    <row r="422" spans="1:28" s="629" customFormat="1" ht="20.100000000000001" customHeight="1" thickBot="1">
      <c r="A422" s="770" t="s">
        <v>2834</v>
      </c>
      <c r="B422" s="510">
        <f t="shared" si="50"/>
        <v>81</v>
      </c>
      <c r="C422" s="1009">
        <f>+NOMINA!C392</f>
        <v>21366579</v>
      </c>
      <c r="D422" s="1010" t="str">
        <f>+NOMINA!D392</f>
        <v>Azuaje Espinoza Erick Enrique</v>
      </c>
      <c r="E422" s="978" t="s">
        <v>4622</v>
      </c>
      <c r="F422" s="1001">
        <v>27853</v>
      </c>
      <c r="G422" s="978" t="s">
        <v>4620</v>
      </c>
      <c r="H422" s="1011">
        <f>+NOMINA!H392</f>
        <v>44774</v>
      </c>
      <c r="I422" s="984">
        <f>+NOMINA!I392</f>
        <v>2</v>
      </c>
      <c r="J422" s="985">
        <f>+NOMINA!J392</f>
        <v>0</v>
      </c>
      <c r="K422" s="984">
        <f t="shared" si="51"/>
        <v>2</v>
      </c>
      <c r="L422" s="985" t="s">
        <v>4932</v>
      </c>
      <c r="M422" s="985"/>
      <c r="N422" s="1002" t="str">
        <f>+NOMINA!O392</f>
        <v>Mensajero</v>
      </c>
      <c r="O422" s="999">
        <f>ROUND(NOMINA!W392,2)</f>
        <v>71</v>
      </c>
      <c r="P422" s="999">
        <f>NOMINA!AF392</f>
        <v>1.42</v>
      </c>
      <c r="Q422" s="999">
        <f>NOMINA!AH392</f>
        <v>65</v>
      </c>
      <c r="R422" s="999">
        <f>NOMINA!AC392</f>
        <v>12.5</v>
      </c>
      <c r="S422" s="999">
        <f>NOMINA!AJ392</f>
        <v>0</v>
      </c>
      <c r="T422" s="986">
        <f t="shared" si="52"/>
        <v>70.63</v>
      </c>
      <c r="U422" s="999">
        <f>ROUND(NOMINA!BL392,2)</f>
        <v>10.61</v>
      </c>
      <c r="V422" s="999">
        <f>ROUND(NOMINA!BM392,2)</f>
        <v>1.33</v>
      </c>
      <c r="W422" s="999">
        <f>ROUND(+NOMINA!BN392,2)</f>
        <v>2.87</v>
      </c>
      <c r="X422" s="999">
        <f>ROUND(NOMINA!BO392,2)</f>
        <v>0</v>
      </c>
      <c r="Y422" s="999">
        <f>ROUND(NOMINA!BP392,2)</f>
        <v>0</v>
      </c>
      <c r="Z422" s="986">
        <f t="shared" si="53"/>
        <v>14.62</v>
      </c>
      <c r="AA422" s="999">
        <f>ROUND(NOMINA!BK392,2)*0</f>
        <v>0</v>
      </c>
      <c r="AB422" s="866">
        <f t="shared" si="54"/>
        <v>135.11000000000001</v>
      </c>
    </row>
    <row r="423" spans="1:28" s="629" customFormat="1" ht="20.100000000000001" customHeight="1" thickBot="1">
      <c r="A423" s="770" t="s">
        <v>2834</v>
      </c>
      <c r="B423" s="510">
        <f t="shared" si="50"/>
        <v>82</v>
      </c>
      <c r="C423" s="1009">
        <f>+NOMINA!C393</f>
        <v>23594381</v>
      </c>
      <c r="D423" s="1010" t="str">
        <f>+NOMINA!D393</f>
        <v>Albornoz Montilla Daniel Enrique</v>
      </c>
      <c r="E423" s="978" t="s">
        <v>4622</v>
      </c>
      <c r="F423" s="1001">
        <v>27853</v>
      </c>
      <c r="G423" s="978" t="s">
        <v>4620</v>
      </c>
      <c r="H423" s="1011">
        <f>+NOMINA!H393</f>
        <v>45597</v>
      </c>
      <c r="I423" s="984">
        <f>+NOMINA!I393</f>
        <v>0</v>
      </c>
      <c r="J423" s="985">
        <f>+NOMINA!J393</f>
        <v>0</v>
      </c>
      <c r="K423" s="984">
        <f t="shared" si="51"/>
        <v>0</v>
      </c>
      <c r="L423" s="985" t="s">
        <v>4932</v>
      </c>
      <c r="M423" s="985"/>
      <c r="N423" s="1002" t="str">
        <f>+NOMINA!O393</f>
        <v>Ayudante de Servicios Generales</v>
      </c>
      <c r="O423" s="999">
        <f>ROUND(NOMINA!W393,2)</f>
        <v>71</v>
      </c>
      <c r="P423" s="999">
        <f>NOMINA!AF393</f>
        <v>0</v>
      </c>
      <c r="Q423" s="999">
        <f>NOMINA!AH393</f>
        <v>65</v>
      </c>
      <c r="R423" s="999">
        <f>NOMINA!AC393</f>
        <v>12.5</v>
      </c>
      <c r="S423" s="999">
        <f>NOMINA!AJ393</f>
        <v>0</v>
      </c>
      <c r="T423" s="986">
        <f t="shared" si="52"/>
        <v>79.209999999999994</v>
      </c>
      <c r="U423" s="999">
        <f>ROUND(NOMINA!BL393,2)</f>
        <v>10.5</v>
      </c>
      <c r="V423" s="999">
        <f>ROUND(NOMINA!BM393,2)</f>
        <v>1.31</v>
      </c>
      <c r="W423" s="999">
        <f>ROUND(+NOMINA!BN393,2)</f>
        <v>2.85</v>
      </c>
      <c r="X423" s="999">
        <f>ROUND(NOMINA!BO393,2)</f>
        <v>0</v>
      </c>
      <c r="Y423" s="999">
        <f>ROUND(NOMINA!BP393,2)</f>
        <v>0</v>
      </c>
      <c r="Z423" s="986">
        <f t="shared" si="53"/>
        <v>17.07</v>
      </c>
      <c r="AA423" s="999">
        <f>ROUND(NOMINA!BK393,2)*0</f>
        <v>0</v>
      </c>
      <c r="AB423" s="866">
        <f t="shared" si="54"/>
        <v>133.84</v>
      </c>
    </row>
    <row r="424" spans="1:28" s="629" customFormat="1" ht="20.100000000000001" customHeight="1" thickBot="1">
      <c r="A424" s="770"/>
      <c r="B424" s="510">
        <f t="shared" si="50"/>
        <v>83</v>
      </c>
      <c r="C424" s="1009">
        <f>+NOMINA!C394</f>
        <v>25173228</v>
      </c>
      <c r="D424" s="1010" t="str">
        <f>+NOMINA!D394</f>
        <v>Davila Sanchez Eduar Alexander</v>
      </c>
      <c r="E424" s="978" t="s">
        <v>4622</v>
      </c>
      <c r="F424" s="1001">
        <v>27853</v>
      </c>
      <c r="G424" s="978" t="s">
        <v>4620</v>
      </c>
      <c r="H424" s="1011">
        <f>+NOMINA!H394</f>
        <v>44531</v>
      </c>
      <c r="I424" s="984">
        <f>+NOMINA!I394</f>
        <v>3</v>
      </c>
      <c r="J424" s="985">
        <f>+NOMINA!J394</f>
        <v>0</v>
      </c>
      <c r="K424" s="984">
        <f t="shared" si="51"/>
        <v>3</v>
      </c>
      <c r="L424" s="985" t="s">
        <v>4932</v>
      </c>
      <c r="M424" s="985"/>
      <c r="N424" s="1002" t="str">
        <f>+NOMINA!O394</f>
        <v>Ayudante de Servicios Generales</v>
      </c>
      <c r="O424" s="999">
        <f>ROUND(NOMINA!W394,2)</f>
        <v>76</v>
      </c>
      <c r="P424" s="999">
        <f>NOMINA!AF394</f>
        <v>2.2799999999999998</v>
      </c>
      <c r="Q424" s="999">
        <f>NOMINA!AH394</f>
        <v>65</v>
      </c>
      <c r="R424" s="999">
        <f>NOMINA!AC394</f>
        <v>25</v>
      </c>
      <c r="S424" s="999">
        <f>NOMINA!AJ394</f>
        <v>0</v>
      </c>
      <c r="T424" s="986">
        <f t="shared" si="52"/>
        <v>71.37</v>
      </c>
      <c r="U424" s="999">
        <f>ROUND(NOMINA!BL394,2)</f>
        <v>14.95</v>
      </c>
      <c r="V424" s="999">
        <f>ROUND(NOMINA!BM394,2)</f>
        <v>1.87</v>
      </c>
      <c r="W424" s="999">
        <f>ROUND(+NOMINA!BN394,2)</f>
        <v>4.05</v>
      </c>
      <c r="X424" s="999">
        <f>ROUND(NOMINA!BO394,2)</f>
        <v>0</v>
      </c>
      <c r="Y424" s="999">
        <f>ROUND(NOMINA!BP394,2)</f>
        <v>0</v>
      </c>
      <c r="Z424" s="986">
        <f t="shared" si="53"/>
        <v>15.77</v>
      </c>
      <c r="AA424" s="999">
        <f>ROUND(NOMINA!BK394,2)*0</f>
        <v>0</v>
      </c>
      <c r="AB424" s="866">
        <f t="shared" si="54"/>
        <v>147.41</v>
      </c>
    </row>
    <row r="425" spans="1:28" s="629" customFormat="1" ht="20.100000000000001" customHeight="1" thickBot="1">
      <c r="A425" s="770"/>
      <c r="B425" s="510">
        <f t="shared" si="50"/>
        <v>84</v>
      </c>
      <c r="C425" s="1009">
        <f>+NOMINA!C395</f>
        <v>25631811</v>
      </c>
      <c r="D425" s="1010" t="str">
        <f>+NOMINA!D395</f>
        <v>Barrios Briceño Christian Xavier</v>
      </c>
      <c r="E425" s="978" t="s">
        <v>4622</v>
      </c>
      <c r="F425" s="1001">
        <v>27853</v>
      </c>
      <c r="G425" s="978" t="s">
        <v>4620</v>
      </c>
      <c r="H425" s="1011">
        <f>+NOMINA!H395</f>
        <v>44440</v>
      </c>
      <c r="I425" s="984">
        <f>+NOMINA!I395</f>
        <v>3</v>
      </c>
      <c r="J425" s="985">
        <f>+NOMINA!J395</f>
        <v>0</v>
      </c>
      <c r="K425" s="984">
        <f t="shared" si="51"/>
        <v>3</v>
      </c>
      <c r="L425" s="985" t="s">
        <v>4932</v>
      </c>
      <c r="M425" s="985"/>
      <c r="N425" s="1002" t="str">
        <f>+NOMINA!O395</f>
        <v>Cocinero</v>
      </c>
      <c r="O425" s="999">
        <f>ROUND(NOMINA!W395,2)</f>
        <v>85.5</v>
      </c>
      <c r="P425" s="999">
        <f>NOMINA!AF395</f>
        <v>2.57</v>
      </c>
      <c r="Q425" s="999">
        <f>NOMINA!AH395</f>
        <v>65</v>
      </c>
      <c r="R425" s="999">
        <f>NOMINA!AC395</f>
        <v>0</v>
      </c>
      <c r="S425" s="999">
        <f>NOMINA!AJ395</f>
        <v>0</v>
      </c>
      <c r="T425" s="986">
        <f t="shared" si="52"/>
        <v>83.13</v>
      </c>
      <c r="U425" s="999">
        <f>ROUND(NOMINA!BL395,2)</f>
        <v>11.3</v>
      </c>
      <c r="V425" s="999">
        <f>ROUND(NOMINA!BM395,2)</f>
        <v>1.41</v>
      </c>
      <c r="W425" s="999">
        <f>ROUND(+NOMINA!BN395,2)</f>
        <v>3.06</v>
      </c>
      <c r="X425" s="999">
        <f>ROUND(NOMINA!BO395,2)</f>
        <v>0</v>
      </c>
      <c r="Y425" s="999">
        <f>ROUND(NOMINA!BP395,2)</f>
        <v>0</v>
      </c>
      <c r="Z425" s="986">
        <f t="shared" si="53"/>
        <v>16.84</v>
      </c>
      <c r="AA425" s="999">
        <f>ROUND(NOMINA!BK395,2)*0</f>
        <v>0</v>
      </c>
      <c r="AB425" s="866">
        <f t="shared" si="54"/>
        <v>137.29999999999998</v>
      </c>
    </row>
    <row r="426" spans="1:28" s="629" customFormat="1" ht="20.100000000000001" customHeight="1" thickBot="1">
      <c r="A426" s="770"/>
      <c r="B426" s="510">
        <f>+B425+1</f>
        <v>85</v>
      </c>
      <c r="C426" s="1009">
        <f>+NOMINA!C396</f>
        <v>25919888</v>
      </c>
      <c r="D426" s="1010" t="str">
        <f>+NOMINA!D396</f>
        <v>Rivero Lamus Ninoska del Valle</v>
      </c>
      <c r="E426" s="978" t="s">
        <v>4622</v>
      </c>
      <c r="F426" s="1001">
        <v>27853</v>
      </c>
      <c r="G426" s="978" t="s">
        <v>4620</v>
      </c>
      <c r="H426" s="1011">
        <f>+NOMINA!H396</f>
        <v>44805</v>
      </c>
      <c r="I426" s="984">
        <f>+NOMINA!I396</f>
        <v>2</v>
      </c>
      <c r="J426" s="985">
        <f>+NOMINA!J396</f>
        <v>0</v>
      </c>
      <c r="K426" s="984">
        <f t="shared" si="51"/>
        <v>2</v>
      </c>
      <c r="L426" s="985" t="s">
        <v>4932</v>
      </c>
      <c r="M426" s="985"/>
      <c r="N426" s="1002" t="str">
        <f>+NOMINA!O396</f>
        <v>Aseadora</v>
      </c>
      <c r="O426" s="999">
        <f>ROUND(NOMINA!W396,2)</f>
        <v>65</v>
      </c>
      <c r="P426" s="999">
        <f>NOMINA!AF396</f>
        <v>1.3</v>
      </c>
      <c r="Q426" s="999">
        <f>NOMINA!AH396</f>
        <v>65</v>
      </c>
      <c r="R426" s="999">
        <f>NOMINA!AC396</f>
        <v>25</v>
      </c>
      <c r="S426" s="999">
        <f>NOMINA!AJ396</f>
        <v>0</v>
      </c>
      <c r="T426" s="986">
        <f t="shared" si="52"/>
        <v>83.83</v>
      </c>
      <c r="U426" s="999">
        <f>ROUND(NOMINA!BL396,2)</f>
        <v>10.62</v>
      </c>
      <c r="V426" s="999">
        <f>ROUND(NOMINA!BM396,2)</f>
        <v>1.33</v>
      </c>
      <c r="W426" s="999">
        <f>ROUND(+NOMINA!BN396,2)</f>
        <v>2.88</v>
      </c>
      <c r="X426" s="999">
        <f>ROUND(NOMINA!BO396,2)</f>
        <v>0</v>
      </c>
      <c r="Y426" s="999">
        <f>ROUND(NOMINA!BP396,2)</f>
        <v>0</v>
      </c>
      <c r="Z426" s="986">
        <f t="shared" si="53"/>
        <v>23.29</v>
      </c>
      <c r="AA426" s="999">
        <f>ROUND(NOMINA!BK396,2)*0</f>
        <v>0</v>
      </c>
      <c r="AB426" s="866">
        <f t="shared" si="54"/>
        <v>141.47000000000003</v>
      </c>
    </row>
    <row r="427" spans="1:28" s="629" customFormat="1" ht="20.100000000000001" customHeight="1" thickBot="1">
      <c r="A427" s="770"/>
      <c r="B427" s="510">
        <f t="shared" si="50"/>
        <v>86</v>
      </c>
      <c r="C427" s="1009">
        <f>+NOMINA!C397</f>
        <v>26235670</v>
      </c>
      <c r="D427" s="1010" t="str">
        <f>+NOMINA!D397</f>
        <v>Viloria Garcia Kieny Keyvit</v>
      </c>
      <c r="E427" s="978" t="s">
        <v>4622</v>
      </c>
      <c r="F427" s="1001">
        <v>27853</v>
      </c>
      <c r="G427" s="978" t="s">
        <v>4620</v>
      </c>
      <c r="H427" s="1011">
        <f>+NOMINA!H397</f>
        <v>45597</v>
      </c>
      <c r="I427" s="984">
        <f>+NOMINA!I397</f>
        <v>0</v>
      </c>
      <c r="J427" s="985">
        <f>+NOMINA!J397</f>
        <v>0</v>
      </c>
      <c r="K427" s="984">
        <f t="shared" si="51"/>
        <v>0</v>
      </c>
      <c r="L427" s="985" t="s">
        <v>4932</v>
      </c>
      <c r="M427" s="985"/>
      <c r="N427" s="1002" t="str">
        <f>+NOMINA!O397</f>
        <v>Ayudante de Servicios Generales</v>
      </c>
      <c r="O427" s="999">
        <f>ROUND(NOMINA!W397,2)</f>
        <v>71</v>
      </c>
      <c r="P427" s="999">
        <f>NOMINA!AF397</f>
        <v>0</v>
      </c>
      <c r="Q427" s="999">
        <f>NOMINA!AH397</f>
        <v>65</v>
      </c>
      <c r="R427" s="999">
        <f>NOMINA!AC397</f>
        <v>12.5</v>
      </c>
      <c r="S427" s="999">
        <f>NOMINA!AJ397</f>
        <v>0</v>
      </c>
      <c r="T427" s="986">
        <f t="shared" si="52"/>
        <v>65</v>
      </c>
      <c r="U427" s="999">
        <f>ROUND(NOMINA!BL397,2)</f>
        <v>10.5</v>
      </c>
      <c r="V427" s="999">
        <f>ROUND(NOMINA!BM397,2)</f>
        <v>1.31</v>
      </c>
      <c r="W427" s="999">
        <f>ROUND(+NOMINA!BN397,2)</f>
        <v>2.85</v>
      </c>
      <c r="X427" s="999">
        <f>ROUND(NOMINA!BO397,2)</f>
        <v>0</v>
      </c>
      <c r="Y427" s="999">
        <f>ROUND(NOMINA!BP397,2)</f>
        <v>0</v>
      </c>
      <c r="Z427" s="986">
        <f t="shared" si="53"/>
        <v>18.45</v>
      </c>
      <c r="AA427" s="999">
        <f>ROUND(NOMINA!BK397,2)*0</f>
        <v>0</v>
      </c>
      <c r="AB427" s="866">
        <f t="shared" si="54"/>
        <v>133.84</v>
      </c>
    </row>
    <row r="428" spans="1:28" s="629" customFormat="1" ht="20.100000000000001" customHeight="1">
      <c r="A428" s="770"/>
      <c r="B428" s="510">
        <f t="shared" si="50"/>
        <v>87</v>
      </c>
      <c r="C428" s="1009">
        <f>+NOMINA!C398</f>
        <v>26482867</v>
      </c>
      <c r="D428" s="1010" t="str">
        <f>+NOMINA!D398</f>
        <v>Valecillos Duran Brando Jose</v>
      </c>
      <c r="E428" s="978" t="s">
        <v>4622</v>
      </c>
      <c r="F428" s="1001">
        <v>27853</v>
      </c>
      <c r="G428" s="978" t="s">
        <v>4620</v>
      </c>
      <c r="H428" s="1011">
        <f>+NOMINA!H398</f>
        <v>45078</v>
      </c>
      <c r="I428" s="984">
        <f>+NOMINA!I398</f>
        <v>1</v>
      </c>
      <c r="J428" s="985">
        <f>+NOMINA!J398</f>
        <v>0</v>
      </c>
      <c r="K428" s="984">
        <f t="shared" si="51"/>
        <v>1</v>
      </c>
      <c r="L428" s="985" t="s">
        <v>4932</v>
      </c>
      <c r="M428" s="985"/>
      <c r="N428" s="1002" t="str">
        <f>+NOMINA!O398</f>
        <v>Ayudante de Servicios Generales</v>
      </c>
      <c r="O428" s="999">
        <f>ROUND(NOMINA!W398,2)</f>
        <v>76</v>
      </c>
      <c r="P428" s="999">
        <f>NOMINA!AF398</f>
        <v>0.76</v>
      </c>
      <c r="Q428" s="999">
        <f>NOMINA!AH398</f>
        <v>65</v>
      </c>
      <c r="R428" s="999">
        <f>NOMINA!AC398</f>
        <v>0</v>
      </c>
      <c r="S428" s="999">
        <f>NOMINA!AJ398</f>
        <v>0</v>
      </c>
      <c r="T428" s="986">
        <f t="shared" si="52"/>
        <v>79.45</v>
      </c>
      <c r="U428" s="999">
        <f>ROUND(NOMINA!BL398,2)</f>
        <v>10.47</v>
      </c>
      <c r="V428" s="999">
        <f>ROUND(NOMINA!BM398,2)</f>
        <v>1.31</v>
      </c>
      <c r="W428" s="999">
        <f>ROUND(+NOMINA!BN398,2)</f>
        <v>2.84</v>
      </c>
      <c r="X428" s="999">
        <f>ROUND(NOMINA!BO398,2)</f>
        <v>0</v>
      </c>
      <c r="Y428" s="999">
        <f>ROUND(NOMINA!BP398,2)</f>
        <v>0</v>
      </c>
      <c r="Z428" s="986">
        <f t="shared" si="53"/>
        <v>21.86</v>
      </c>
      <c r="AA428" s="999">
        <f>ROUND(NOMINA!BK398,2)*0</f>
        <v>0</v>
      </c>
      <c r="AB428" s="866">
        <f t="shared" si="54"/>
        <v>127.13999999999999</v>
      </c>
    </row>
    <row r="429" spans="1:28" s="629" customFormat="1" ht="20.100000000000001" customHeight="1">
      <c r="A429" s="708"/>
      <c r="B429" s="510">
        <f t="shared" si="50"/>
        <v>88</v>
      </c>
      <c r="C429" s="1009">
        <f>+NOMINA!C399</f>
        <v>27415509</v>
      </c>
      <c r="D429" s="1010" t="str">
        <f>+NOMINA!D399</f>
        <v>Barreto Rivero Luis Diego</v>
      </c>
      <c r="E429" s="978" t="s">
        <v>4622</v>
      </c>
      <c r="F429" s="1001">
        <v>27853</v>
      </c>
      <c r="G429" s="978" t="s">
        <v>4620</v>
      </c>
      <c r="H429" s="1011">
        <f>+NOMINA!H399</f>
        <v>43678</v>
      </c>
      <c r="I429" s="984">
        <f>+NOMINA!I399</f>
        <v>5</v>
      </c>
      <c r="J429" s="985">
        <f>+NOMINA!J399</f>
        <v>0</v>
      </c>
      <c r="K429" s="984">
        <f t="shared" si="51"/>
        <v>5</v>
      </c>
      <c r="L429" s="985" t="s">
        <v>4932</v>
      </c>
      <c r="M429" s="985"/>
      <c r="N429" s="1002" t="str">
        <f>+NOMINA!O399</f>
        <v>Ayudante de Servicios Generales</v>
      </c>
      <c r="O429" s="999">
        <f>ROUND(NOMINA!W399,2)</f>
        <v>76</v>
      </c>
      <c r="P429" s="999">
        <f>NOMINA!AF399</f>
        <v>3.8</v>
      </c>
      <c r="Q429" s="999">
        <f>NOMINA!AH399</f>
        <v>65</v>
      </c>
      <c r="R429" s="999">
        <f>NOMINA!AC399</f>
        <v>0</v>
      </c>
      <c r="S429" s="999">
        <f>NOMINA!AJ399</f>
        <v>0</v>
      </c>
      <c r="T429" s="986">
        <f t="shared" si="52"/>
        <v>79.02</v>
      </c>
      <c r="U429" s="999">
        <f>ROUND(NOMINA!BL399,2)</f>
        <v>10.69</v>
      </c>
      <c r="V429" s="999">
        <f>ROUND(NOMINA!BM399,2)</f>
        <v>1.34</v>
      </c>
      <c r="W429" s="999">
        <f>ROUND(+NOMINA!BN399,2)</f>
        <v>2.9</v>
      </c>
      <c r="X429" s="999">
        <f>ROUND(NOMINA!BO399,2)</f>
        <v>0</v>
      </c>
      <c r="Y429" s="999">
        <f>ROUND(NOMINA!BP399,2)</f>
        <v>0</v>
      </c>
      <c r="Z429" s="986">
        <f t="shared" si="53"/>
        <v>17.07</v>
      </c>
      <c r="AA429" s="999">
        <f>ROUND(NOMINA!BK399,2)*0</f>
        <v>0</v>
      </c>
      <c r="AB429" s="866">
        <f t="shared" si="54"/>
        <v>129.87</v>
      </c>
    </row>
    <row r="430" spans="1:28" s="629" customFormat="1" ht="20.100000000000001" customHeight="1">
      <c r="A430" s="708"/>
      <c r="B430" s="510">
        <f t="shared" si="50"/>
        <v>89</v>
      </c>
      <c r="C430" s="1009">
        <f>+NOMINA!C400</f>
        <v>27470077</v>
      </c>
      <c r="D430" s="1010" t="str">
        <f>+NOMINA!D400</f>
        <v>Gonzalez Castellanos Yusberly Yohandri</v>
      </c>
      <c r="E430" s="978" t="s">
        <v>4622</v>
      </c>
      <c r="F430" s="1001">
        <v>27853</v>
      </c>
      <c r="G430" s="978" t="s">
        <v>4620</v>
      </c>
      <c r="H430" s="1011">
        <f>+NOMINA!H400</f>
        <v>44743</v>
      </c>
      <c r="I430" s="984">
        <f>+NOMINA!I400</f>
        <v>2</v>
      </c>
      <c r="J430" s="985">
        <f>+NOMINA!J400</f>
        <v>0</v>
      </c>
      <c r="K430" s="984">
        <f t="shared" si="51"/>
        <v>2</v>
      </c>
      <c r="L430" s="985" t="s">
        <v>4932</v>
      </c>
      <c r="M430" s="985"/>
      <c r="N430" s="1002" t="str">
        <f>+NOMINA!O400</f>
        <v>Aseadora</v>
      </c>
      <c r="O430" s="999">
        <f>ROUND(NOMINA!W400,2)</f>
        <v>65</v>
      </c>
      <c r="P430" s="999">
        <f>NOMINA!AF400</f>
        <v>1.3</v>
      </c>
      <c r="Q430" s="999">
        <f>NOMINA!AH400</f>
        <v>65</v>
      </c>
      <c r="R430" s="999">
        <f>NOMINA!AC400</f>
        <v>12.5</v>
      </c>
      <c r="S430" s="999">
        <f>NOMINA!AJ400</f>
        <v>0</v>
      </c>
      <c r="T430" s="986">
        <f t="shared" si="52"/>
        <v>79.11</v>
      </c>
      <c r="U430" s="999">
        <f>ROUND(NOMINA!BL400,2)</f>
        <v>10.16</v>
      </c>
      <c r="V430" s="999">
        <f>ROUND(NOMINA!BM400,2)</f>
        <v>1.27</v>
      </c>
      <c r="W430" s="999">
        <f>ROUND(+NOMINA!BN400,2)</f>
        <v>2.75</v>
      </c>
      <c r="X430" s="999">
        <f>ROUND(NOMINA!BO400,2)</f>
        <v>0</v>
      </c>
      <c r="Y430" s="999">
        <f>ROUND(NOMINA!BP400,2)</f>
        <v>0</v>
      </c>
      <c r="Z430" s="986">
        <f t="shared" si="53"/>
        <v>21.39</v>
      </c>
      <c r="AA430" s="999">
        <f>ROUND(NOMINA!BK400,2)*0</f>
        <v>0</v>
      </c>
      <c r="AB430" s="866">
        <f t="shared" si="54"/>
        <v>129.62</v>
      </c>
    </row>
    <row r="431" spans="1:28" s="629" customFormat="1" ht="20.100000000000001" customHeight="1">
      <c r="A431" s="708"/>
      <c r="B431" s="510">
        <f t="shared" si="50"/>
        <v>90</v>
      </c>
      <c r="C431" s="1009">
        <f>+NOMINA!C401</f>
        <v>29539270</v>
      </c>
      <c r="D431" s="1010" t="str">
        <f>+NOMINA!D401</f>
        <v>Rojas Carrillo Laureano Augusto</v>
      </c>
      <c r="E431" s="978" t="s">
        <v>4622</v>
      </c>
      <c r="F431" s="1001">
        <v>27853</v>
      </c>
      <c r="G431" s="978" t="s">
        <v>4620</v>
      </c>
      <c r="H431" s="1011">
        <f>+NOMINA!H401</f>
        <v>44287</v>
      </c>
      <c r="I431" s="984">
        <f>+NOMINA!I401</f>
        <v>3</v>
      </c>
      <c r="J431" s="985">
        <f>+NOMINA!J401</f>
        <v>0</v>
      </c>
      <c r="K431" s="984">
        <f t="shared" si="51"/>
        <v>3</v>
      </c>
      <c r="L431" s="985" t="s">
        <v>4932</v>
      </c>
      <c r="M431" s="985"/>
      <c r="N431" s="1002" t="str">
        <f>+NOMINA!O401</f>
        <v>Ayudante de Servicios Generales</v>
      </c>
      <c r="O431" s="999">
        <f>ROUND(NOMINA!W401,2)</f>
        <v>76</v>
      </c>
      <c r="P431" s="999">
        <f>NOMINA!AF401</f>
        <v>2.2799999999999998</v>
      </c>
      <c r="Q431" s="999">
        <f>NOMINA!AH401</f>
        <v>65</v>
      </c>
      <c r="R431" s="999">
        <f>NOMINA!AC401</f>
        <v>0</v>
      </c>
      <c r="S431" s="999">
        <f>NOMINA!AJ401</f>
        <v>0</v>
      </c>
      <c r="T431" s="986">
        <f t="shared" si="52"/>
        <v>67.42</v>
      </c>
      <c r="U431" s="999">
        <f>ROUND(NOMINA!BL401,2)</f>
        <v>10.58</v>
      </c>
      <c r="V431" s="999">
        <f>ROUND(NOMINA!BM401,2)</f>
        <v>1.32</v>
      </c>
      <c r="W431" s="999">
        <f>ROUND(+NOMINA!BN401,2)</f>
        <v>2.87</v>
      </c>
      <c r="X431" s="999">
        <f>ROUND(NOMINA!BO401,2)</f>
        <v>0</v>
      </c>
      <c r="Y431" s="999">
        <f>ROUND(NOMINA!BP401,2)</f>
        <v>0</v>
      </c>
      <c r="Z431" s="986">
        <f t="shared" si="53"/>
        <v>16.32</v>
      </c>
      <c r="AA431" s="999">
        <f>ROUND(NOMINA!BK401,2)*0</f>
        <v>0</v>
      </c>
      <c r="AB431" s="866">
        <f t="shared" si="54"/>
        <v>128.51</v>
      </c>
    </row>
    <row r="432" spans="1:28" s="629" customFormat="1" ht="20.100000000000001" customHeight="1">
      <c r="A432" s="708"/>
      <c r="B432" s="510">
        <f t="shared" si="50"/>
        <v>91</v>
      </c>
      <c r="C432" s="1009">
        <f>+NOMINA!C402</f>
        <v>29994277</v>
      </c>
      <c r="D432" s="1010" t="str">
        <f>+NOMINA!D402</f>
        <v>Quintero Rangel Jose Arsenio</v>
      </c>
      <c r="E432" s="978" t="s">
        <v>4622</v>
      </c>
      <c r="F432" s="1001">
        <v>27853</v>
      </c>
      <c r="G432" s="978" t="s">
        <v>4620</v>
      </c>
      <c r="H432" s="1011">
        <f>+NOMINA!H402</f>
        <v>44562</v>
      </c>
      <c r="I432" s="984">
        <f>+NOMINA!I402</f>
        <v>3</v>
      </c>
      <c r="J432" s="985">
        <f>+NOMINA!J402</f>
        <v>0</v>
      </c>
      <c r="K432" s="984">
        <f t="shared" si="51"/>
        <v>3</v>
      </c>
      <c r="L432" s="985" t="s">
        <v>4932</v>
      </c>
      <c r="M432" s="985"/>
      <c r="N432" s="1002" t="str">
        <f>+NOMINA!O402</f>
        <v>Ayudante de Servicios Generales</v>
      </c>
      <c r="O432" s="999">
        <f>ROUND(NOMINA!W402,2)</f>
        <v>76</v>
      </c>
      <c r="P432" s="999">
        <f>NOMINA!AF402</f>
        <v>2.2799999999999998</v>
      </c>
      <c r="Q432" s="999">
        <f>NOMINA!AH402</f>
        <v>65</v>
      </c>
      <c r="R432" s="999">
        <f>NOMINA!AC402</f>
        <v>0</v>
      </c>
      <c r="S432" s="999">
        <f>NOMINA!AJ402</f>
        <v>0</v>
      </c>
      <c r="T432" s="986">
        <f t="shared" si="52"/>
        <v>86.47</v>
      </c>
      <c r="U432" s="999">
        <f>ROUND(NOMINA!BL402,2)</f>
        <v>10.58</v>
      </c>
      <c r="V432" s="999">
        <f>ROUND(NOMINA!BM402,2)</f>
        <v>1.32</v>
      </c>
      <c r="W432" s="999">
        <f>ROUND(+NOMINA!BN402,2)</f>
        <v>2.87</v>
      </c>
      <c r="X432" s="999">
        <f>ROUND(NOMINA!BO402,2)</f>
        <v>0</v>
      </c>
      <c r="Y432" s="999">
        <f>ROUND(NOMINA!BP402,2)</f>
        <v>0</v>
      </c>
      <c r="Z432" s="986">
        <f t="shared" si="53"/>
        <v>21.39</v>
      </c>
      <c r="AA432" s="999">
        <f>ROUND(NOMINA!BK402,2)*0</f>
        <v>0</v>
      </c>
      <c r="AB432" s="866">
        <f t="shared" si="54"/>
        <v>128.51</v>
      </c>
    </row>
    <row r="433" spans="1:28" s="629" customFormat="1" ht="19.5" customHeight="1">
      <c r="A433" s="708"/>
      <c r="B433" s="510">
        <f t="shared" si="50"/>
        <v>92</v>
      </c>
      <c r="C433" s="1009">
        <f>+NOMINA!C403</f>
        <v>32084560</v>
      </c>
      <c r="D433" s="1010" t="str">
        <f>+NOMINA!D403</f>
        <v>Hernandez Gomez Carmen Elena</v>
      </c>
      <c r="E433" s="978" t="s">
        <v>4622</v>
      </c>
      <c r="F433" s="1001">
        <v>27853</v>
      </c>
      <c r="G433" s="978" t="s">
        <v>4620</v>
      </c>
      <c r="H433" s="1011">
        <f>+NOMINA!H403</f>
        <v>44348</v>
      </c>
      <c r="I433" s="984">
        <f>+NOMINA!I403</f>
        <v>3</v>
      </c>
      <c r="J433" s="985">
        <f>+NOMINA!J403</f>
        <v>0</v>
      </c>
      <c r="K433" s="984">
        <f t="shared" si="51"/>
        <v>3</v>
      </c>
      <c r="L433" s="985" t="s">
        <v>4932</v>
      </c>
      <c r="M433" s="985"/>
      <c r="N433" s="1002" t="str">
        <f>+NOMINA!O403</f>
        <v xml:space="preserve">Cocinera </v>
      </c>
      <c r="O433" s="999">
        <f>ROUND(NOMINA!W403,2)</f>
        <v>85.5</v>
      </c>
      <c r="P433" s="999">
        <f>NOMINA!AF403</f>
        <v>2.57</v>
      </c>
      <c r="Q433" s="999">
        <f>NOMINA!AH403</f>
        <v>65</v>
      </c>
      <c r="R433" s="999">
        <f>NOMINA!AC403</f>
        <v>0</v>
      </c>
      <c r="S433" s="999">
        <f>NOMINA!AJ403</f>
        <v>0</v>
      </c>
      <c r="T433" s="986">
        <f t="shared" si="52"/>
        <v>67.569999999999993</v>
      </c>
      <c r="U433" s="999">
        <f>ROUND(NOMINA!BL403,2)</f>
        <v>11.3</v>
      </c>
      <c r="V433" s="999">
        <f>ROUND(NOMINA!BM403,2)</f>
        <v>1.41</v>
      </c>
      <c r="W433" s="999">
        <f>ROUND(+NOMINA!BN403,2)</f>
        <v>3.06</v>
      </c>
      <c r="X433" s="999">
        <f>ROUND(NOMINA!BO403,2)</f>
        <v>0</v>
      </c>
      <c r="Y433" s="999">
        <f>ROUND(NOMINA!BP403,2)</f>
        <v>0</v>
      </c>
      <c r="Z433" s="986">
        <f t="shared" si="53"/>
        <v>14.81</v>
      </c>
      <c r="AA433" s="999">
        <f>ROUND(NOMINA!BK403,2)*0</f>
        <v>0</v>
      </c>
      <c r="AB433" s="866">
        <f t="shared" si="54"/>
        <v>137.29999999999998</v>
      </c>
    </row>
    <row r="434" spans="1:28" s="629" customFormat="1" ht="39.950000000000003" customHeight="1" thickBot="1">
      <c r="A434" s="941"/>
      <c r="B434" s="879"/>
      <c r="C434" s="1100" t="s">
        <v>4493</v>
      </c>
      <c r="D434" s="1101"/>
      <c r="E434" s="1101"/>
      <c r="F434" s="1101"/>
      <c r="G434" s="1101"/>
      <c r="H434" s="1102"/>
      <c r="I434" s="1101"/>
      <c r="J434" s="1101"/>
      <c r="K434" s="1101"/>
      <c r="L434" s="1101"/>
      <c r="M434" s="1101"/>
      <c r="N434" s="1103"/>
      <c r="O434" s="880">
        <f t="shared" ref="O434:AB434" si="55">SUM(O342:O433)</f>
        <v>7122</v>
      </c>
      <c r="P434" s="880">
        <f t="shared" si="55"/>
        <v>685.42999999999984</v>
      </c>
      <c r="Q434" s="880">
        <f t="shared" si="55"/>
        <v>5980</v>
      </c>
      <c r="R434" s="880">
        <f t="shared" si="55"/>
        <v>562.5</v>
      </c>
      <c r="S434" s="880">
        <f t="shared" si="55"/>
        <v>0</v>
      </c>
      <c r="T434" s="880">
        <f t="shared" si="55"/>
        <v>35607.710000000014</v>
      </c>
      <c r="U434" s="880">
        <f t="shared" si="55"/>
        <v>1064.02</v>
      </c>
      <c r="V434" s="880">
        <f t="shared" si="55"/>
        <v>133.03000000000003</v>
      </c>
      <c r="W434" s="880">
        <f t="shared" si="55"/>
        <v>294.74</v>
      </c>
      <c r="X434" s="880">
        <f t="shared" si="55"/>
        <v>1.52</v>
      </c>
      <c r="Y434" s="880">
        <f t="shared" si="55"/>
        <v>0.76</v>
      </c>
      <c r="Z434" s="880">
        <f t="shared" si="55"/>
        <v>7422.16</v>
      </c>
      <c r="AA434" s="880">
        <f t="shared" si="55"/>
        <v>0</v>
      </c>
      <c r="AB434" s="880">
        <f t="shared" si="55"/>
        <v>12855.86</v>
      </c>
    </row>
    <row r="435" spans="1:28" s="629" customFormat="1" ht="15.75" customHeight="1">
      <c r="A435" s="941"/>
      <c r="B435" s="628"/>
      <c r="D435" s="631"/>
      <c r="F435" s="631"/>
      <c r="G435" s="941"/>
      <c r="H435" s="710"/>
      <c r="O435" s="628"/>
      <c r="P435" s="628"/>
      <c r="Q435" s="628"/>
      <c r="R435" s="628"/>
      <c r="S435" s="628"/>
      <c r="T435" s="628"/>
      <c r="U435" s="628"/>
      <c r="V435" s="628"/>
      <c r="W435" s="628"/>
      <c r="X435" s="628"/>
      <c r="Y435" s="628"/>
      <c r="Z435" s="628"/>
      <c r="AA435" s="628"/>
    </row>
    <row r="436" spans="1:28" s="711" customFormat="1" ht="28.5" customHeight="1" thickBot="1">
      <c r="B436" s="628"/>
      <c r="C436" s="629"/>
      <c r="D436" s="631"/>
      <c r="E436" s="629"/>
      <c r="F436" s="631"/>
      <c r="G436" s="941"/>
      <c r="H436" s="710"/>
      <c r="I436" s="629"/>
      <c r="J436" s="629"/>
      <c r="K436" s="629"/>
      <c r="L436" s="629"/>
      <c r="M436" s="629"/>
      <c r="N436" s="629"/>
      <c r="O436" s="628"/>
      <c r="P436" s="628"/>
      <c r="Q436" s="628"/>
      <c r="R436" s="628"/>
      <c r="S436" s="628"/>
      <c r="T436" s="628"/>
      <c r="U436" s="628"/>
      <c r="V436" s="628"/>
      <c r="W436" s="628"/>
      <c r="X436" s="628"/>
      <c r="Y436" s="628"/>
      <c r="Z436" s="628"/>
      <c r="AA436" s="628"/>
      <c r="AB436" s="629"/>
    </row>
    <row r="437" spans="1:28" s="629" customFormat="1" ht="40.5" customHeight="1" thickBot="1">
      <c r="A437" s="941"/>
      <c r="B437" s="712">
        <f ca="1">+B433+B330+B53+B14</f>
        <v>385</v>
      </c>
      <c r="C437" s="1113" t="s">
        <v>2875</v>
      </c>
      <c r="D437" s="1110"/>
      <c r="E437" s="1111"/>
      <c r="F437" s="1110"/>
      <c r="G437" s="1111"/>
      <c r="H437" s="1003"/>
      <c r="I437" s="1111"/>
      <c r="J437" s="1111"/>
      <c r="K437" s="1111"/>
      <c r="L437" s="1111"/>
      <c r="M437" s="1111"/>
      <c r="N437" s="1112"/>
      <c r="O437" s="717">
        <f t="shared" ref="O437:AB437" si="56">O15+O54+O331+O434</f>
        <v>37654.5</v>
      </c>
      <c r="P437" s="717">
        <f t="shared" si="56"/>
        <v>4084.1800000000012</v>
      </c>
      <c r="Q437" s="717">
        <f t="shared" si="56"/>
        <v>23530</v>
      </c>
      <c r="R437" s="717">
        <f t="shared" si="56"/>
        <v>3325</v>
      </c>
      <c r="S437" s="717">
        <f t="shared" si="56"/>
        <v>9179.6600000000035</v>
      </c>
      <c r="T437" s="717">
        <f t="shared" si="56"/>
        <v>70314.49000000002</v>
      </c>
      <c r="U437" s="717">
        <f t="shared" si="56"/>
        <v>5996.6699999999964</v>
      </c>
      <c r="V437" s="717">
        <f t="shared" si="56"/>
        <v>749.68000000000029</v>
      </c>
      <c r="W437" s="717">
        <f t="shared" si="56"/>
        <v>1640.5500000000009</v>
      </c>
      <c r="X437" s="717">
        <f t="shared" si="56"/>
        <v>1.52</v>
      </c>
      <c r="Y437" s="717">
        <f t="shared" si="56"/>
        <v>4.1899999999999995</v>
      </c>
      <c r="Z437" s="717">
        <f t="shared" si="56"/>
        <v>14622.580000000005</v>
      </c>
      <c r="AA437" s="717">
        <f t="shared" si="56"/>
        <v>0</v>
      </c>
      <c r="AB437" s="717">
        <f t="shared" si="56"/>
        <v>69380.730000000025</v>
      </c>
    </row>
    <row r="438" spans="1:28" s="629" customFormat="1">
      <c r="A438" s="941"/>
      <c r="B438" s="628"/>
      <c r="D438" s="631"/>
      <c r="F438" s="631"/>
      <c r="G438" s="941"/>
      <c r="H438" s="632"/>
      <c r="I438" s="941"/>
      <c r="J438" s="941"/>
      <c r="K438" s="941"/>
      <c r="L438" s="941"/>
      <c r="M438" s="941"/>
      <c r="O438" s="633"/>
      <c r="P438" s="633"/>
      <c r="Q438" s="633"/>
      <c r="R438" s="633"/>
      <c r="S438" s="633"/>
      <c r="T438" s="633"/>
      <c r="U438" s="633"/>
      <c r="V438" s="633"/>
      <c r="W438" s="633"/>
      <c r="X438" s="633"/>
      <c r="Y438" s="633"/>
      <c r="Z438" s="633"/>
      <c r="AA438" s="633"/>
      <c r="AB438" s="634"/>
    </row>
    <row r="439" spans="1:28" s="629" customFormat="1">
      <c r="A439" s="941"/>
      <c r="B439" s="720"/>
      <c r="C439" s="721"/>
      <c r="D439" s="722"/>
      <c r="F439" s="631"/>
      <c r="G439" s="941"/>
      <c r="H439" s="710"/>
      <c r="O439" s="633"/>
      <c r="P439" s="633"/>
      <c r="Q439" s="633"/>
      <c r="R439" s="633"/>
      <c r="S439" s="633"/>
      <c r="T439" s="633"/>
      <c r="U439" s="633"/>
      <c r="V439" s="633"/>
      <c r="W439" s="633"/>
      <c r="X439" s="633"/>
      <c r="Y439" s="633"/>
      <c r="Z439" s="633"/>
      <c r="AA439" s="633"/>
      <c r="AB439" s="634"/>
    </row>
    <row r="440" spans="1:28" s="629" customFormat="1">
      <c r="A440" s="941"/>
      <c r="B440" s="720"/>
      <c r="C440" s="721"/>
      <c r="D440" s="722"/>
      <c r="F440" s="631"/>
      <c r="G440" s="941"/>
      <c r="H440" s="632"/>
      <c r="I440" s="941"/>
      <c r="J440" s="941"/>
      <c r="K440" s="941"/>
      <c r="L440" s="941"/>
      <c r="M440" s="941"/>
      <c r="O440" s="633"/>
      <c r="P440" s="633"/>
      <c r="Q440" s="633"/>
      <c r="R440" s="633"/>
      <c r="S440" s="633"/>
      <c r="T440" s="633"/>
      <c r="U440" s="633"/>
      <c r="V440" s="633"/>
      <c r="W440" s="633"/>
      <c r="X440" s="633"/>
      <c r="Y440" s="633"/>
      <c r="Z440" s="633"/>
      <c r="AA440" s="633"/>
      <c r="AB440" s="634"/>
    </row>
    <row r="441" spans="1:28" s="629" customFormat="1">
      <c r="A441" s="941"/>
      <c r="B441" s="720"/>
      <c r="C441" s="721"/>
      <c r="D441" s="722" t="s">
        <v>2904</v>
      </c>
      <c r="F441" s="631"/>
      <c r="G441" s="941"/>
      <c r="H441" s="632"/>
      <c r="I441" s="941"/>
      <c r="J441" s="941"/>
      <c r="K441" s="941"/>
      <c r="L441" s="941"/>
      <c r="M441" s="941"/>
      <c r="O441" s="633"/>
      <c r="P441" s="633"/>
      <c r="Q441" s="633"/>
      <c r="R441" s="633"/>
      <c r="S441" s="633"/>
      <c r="T441" s="633"/>
      <c r="U441" s="628"/>
      <c r="V441" s="628"/>
      <c r="W441" s="628"/>
      <c r="X441" s="628"/>
      <c r="Y441" s="628"/>
      <c r="Z441" s="628"/>
      <c r="AA441" s="628"/>
      <c r="AB441" s="634"/>
    </row>
    <row r="442" spans="1:28" s="629" customFormat="1">
      <c r="A442" s="941"/>
      <c r="C442" s="723"/>
      <c r="D442" s="735" t="s">
        <v>5860</v>
      </c>
      <c r="E442" s="725"/>
      <c r="F442" s="725"/>
      <c r="G442" s="725"/>
      <c r="I442" s="724"/>
      <c r="L442" s="725"/>
      <c r="M442" s="725"/>
      <c r="N442" s="725"/>
      <c r="O442" s="726" t="s">
        <v>5861</v>
      </c>
      <c r="P442" s="725"/>
      <c r="Q442" s="725"/>
      <c r="R442" s="725"/>
      <c r="S442" s="826"/>
      <c r="T442" s="826"/>
      <c r="U442" s="628"/>
      <c r="V442" s="628"/>
      <c r="W442" s="724" t="s">
        <v>5862</v>
      </c>
      <c r="Y442" s="628"/>
      <c r="Z442" s="628"/>
      <c r="AA442" s="628"/>
      <c r="AB442" s="634"/>
    </row>
    <row r="443" spans="1:28" s="629" customFormat="1">
      <c r="A443" s="941"/>
      <c r="C443" s="723"/>
      <c r="E443" s="725"/>
      <c r="F443" s="725"/>
      <c r="G443" s="725"/>
      <c r="I443" s="723"/>
      <c r="L443" s="725"/>
      <c r="M443" s="725"/>
      <c r="N443" s="728"/>
      <c r="O443" s="728"/>
      <c r="P443" s="725"/>
      <c r="Q443" s="725"/>
      <c r="R443" s="725"/>
      <c r="S443" s="728"/>
      <c r="T443" s="728"/>
      <c r="U443" s="628"/>
      <c r="V443" s="628"/>
      <c r="W443" s="729"/>
      <c r="Y443" s="628"/>
      <c r="Z443" s="628"/>
      <c r="AA443" s="628"/>
      <c r="AB443" s="634"/>
    </row>
    <row r="444" spans="1:28" s="629" customFormat="1">
      <c r="A444" s="941"/>
      <c r="B444" s="723"/>
      <c r="C444" s="723"/>
      <c r="D444" s="727"/>
      <c r="E444" s="725"/>
      <c r="F444" s="725"/>
      <c r="G444" s="725"/>
      <c r="I444" s="730"/>
      <c r="L444" s="733"/>
      <c r="M444" s="733"/>
      <c r="N444" s="826"/>
      <c r="O444" s="731"/>
      <c r="P444" s="733"/>
      <c r="Q444" s="733"/>
      <c r="R444" s="733"/>
      <c r="S444" s="733"/>
      <c r="T444" s="733"/>
      <c r="U444" s="628"/>
      <c r="V444" s="628"/>
      <c r="W444" s="724"/>
      <c r="Y444" s="628"/>
      <c r="Z444" s="628"/>
      <c r="AA444" s="628"/>
      <c r="AB444" s="634"/>
    </row>
    <row r="445" spans="1:28" s="629" customFormat="1">
      <c r="A445" s="941"/>
      <c r="B445" s="734" t="s">
        <v>6879</v>
      </c>
      <c r="C445" s="735"/>
      <c r="D445" s="733"/>
      <c r="E445" s="733"/>
      <c r="F445" s="733"/>
      <c r="G445" s="733"/>
      <c r="H445" s="734" t="s">
        <v>6152</v>
      </c>
      <c r="I445" s="734"/>
      <c r="L445" s="733"/>
      <c r="M445" s="733"/>
      <c r="N445" s="733"/>
      <c r="O445" s="736" t="s">
        <v>5863</v>
      </c>
      <c r="P445" s="733"/>
      <c r="Q445" s="733"/>
      <c r="R445" s="733"/>
      <c r="S445" s="733"/>
      <c r="T445" s="733"/>
      <c r="U445" s="628"/>
      <c r="V445" s="628"/>
      <c r="W445" s="724" t="s">
        <v>5874</v>
      </c>
      <c r="Y445" s="628"/>
      <c r="Z445" s="628"/>
      <c r="AA445" s="628"/>
      <c r="AB445" s="634"/>
    </row>
    <row r="446" spans="1:28" s="629" customFormat="1">
      <c r="A446" s="941"/>
      <c r="B446" s="734" t="s">
        <v>6880</v>
      </c>
      <c r="C446" s="735"/>
      <c r="D446" s="733"/>
      <c r="E446" s="733"/>
      <c r="F446" s="733"/>
      <c r="G446" s="733"/>
      <c r="H446" s="734" t="s">
        <v>6153</v>
      </c>
      <c r="I446" s="734"/>
      <c r="L446" s="733"/>
      <c r="M446" s="733"/>
      <c r="N446" s="733"/>
      <c r="O446" s="736" t="s">
        <v>5865</v>
      </c>
      <c r="P446" s="733"/>
      <c r="Q446" s="733"/>
      <c r="R446" s="733"/>
      <c r="S446" s="733"/>
      <c r="T446" s="733"/>
      <c r="U446" s="628"/>
      <c r="V446" s="628"/>
      <c r="W446" s="734" t="s">
        <v>5866</v>
      </c>
      <c r="Y446" s="628"/>
      <c r="Z446" s="628"/>
      <c r="AA446" s="628"/>
      <c r="AB446" s="634"/>
    </row>
    <row r="447" spans="1:28" s="629" customFormat="1">
      <c r="A447" s="941"/>
      <c r="B447" s="734" t="s">
        <v>5244</v>
      </c>
      <c r="C447" s="735"/>
      <c r="D447" s="733"/>
      <c r="E447" s="733"/>
      <c r="F447" s="733"/>
      <c r="G447" s="733"/>
      <c r="H447" s="734" t="s">
        <v>5265</v>
      </c>
      <c r="I447" s="734"/>
      <c r="L447" s="733"/>
      <c r="M447" s="733"/>
      <c r="N447" s="733"/>
      <c r="O447" s="736" t="s">
        <v>5867</v>
      </c>
      <c r="P447" s="733"/>
      <c r="Q447" s="733"/>
      <c r="R447" s="733"/>
      <c r="S447" s="733"/>
      <c r="T447" s="733"/>
      <c r="U447" s="628"/>
      <c r="V447" s="628"/>
      <c r="W447" s="724" t="s">
        <v>5868</v>
      </c>
      <c r="Y447" s="628"/>
      <c r="Z447" s="628"/>
      <c r="AA447" s="628"/>
      <c r="AB447" s="634"/>
    </row>
  </sheetData>
  <sheetProtection formatCells="0" formatColumns="0" formatRows="0" insertColumns="0" insertRows="0" deleteColumns="0" deleteRows="0" sort="0" autoFilter="0"/>
  <dataConsolidate link="1"/>
  <mergeCells count="3">
    <mergeCell ref="L10:M10"/>
    <mergeCell ref="P10:R10"/>
    <mergeCell ref="U10:Y10"/>
  </mergeCells>
  <dataValidations count="7">
    <dataValidation type="list" allowBlank="1" showInputMessage="1" showErrorMessage="1" sqref="G64:G330 G28:G53 G13:G22 G342:G433">
      <formula1>GEN</formula1>
    </dataValidation>
    <dataValidation type="list" allowBlank="1" showInputMessage="1" showErrorMessage="1" sqref="E64:E330 E28:E53 E13:E22 E342:E433">
      <formula1>NAC</formula1>
    </dataValidation>
    <dataValidation type="list" allowBlank="1" showInputMessage="1" showErrorMessage="1" sqref="A342:A433 A15:A62 A64:A340">
      <formula1>"EMPLEADO,OBRERO,BOMBERO"</formula1>
    </dataValidation>
    <dataValidation type="list" allowBlank="1" showInputMessage="1" showErrorMessage="1" sqref="N342:N433">
      <formula1>Obrero</formula1>
    </dataValidation>
    <dataValidation type="list" allowBlank="1" showInputMessage="1" showErrorMessage="1" sqref="N28:N53 N13:N22 N64:N330">
      <formula1>Empleado</formula1>
    </dataValidation>
    <dataValidation type="list" allowBlank="1" showInputMessage="1" showErrorMessage="1" sqref="A13:A14">
      <formula1>"99,EMPLEADO,OBRERO"</formula1>
    </dataValidation>
    <dataValidation type="list" allowBlank="1" showInputMessage="1" showErrorMessage="1" sqref="F9">
      <formula1>MES</formula1>
    </dataValidation>
  </dataValidations>
  <pageMargins left="0.39370078740157483" right="0" top="0.39370078740157483" bottom="0.39370078740157483" header="0.31496062992125984" footer="0.31496062992125984"/>
  <pageSetup paperSize="14" scale="50" orientation="landscape" r:id="rId1"/>
  <rowBreaks count="3" manualBreakCount="3">
    <brk id="28" min="1" max="43" man="1"/>
    <brk id="62" min="1" max="44" man="1"/>
    <brk id="340" min="1" max="4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">
    <tabColor rgb="FFFF0000"/>
  </sheetPr>
  <dimension ref="A1:DN474"/>
  <sheetViews>
    <sheetView tabSelected="1" view="pageBreakPreview" topLeftCell="A11" zoomScale="80" zoomScaleNormal="60" zoomScaleSheetLayoutView="80" workbookViewId="0">
      <pane ySplit="1500" activePane="bottomLeft"/>
      <selection activeCell="A11" sqref="A1:XFD1048576"/>
      <selection pane="bottomLeft" activeCell="AM42" sqref="AM42"/>
    </sheetView>
  </sheetViews>
  <sheetFormatPr baseColWidth="10" defaultRowHeight="15"/>
  <cols>
    <col min="1" max="1" width="16.5703125" style="2" customWidth="1"/>
    <col min="2" max="2" width="7.5703125" style="2" customWidth="1"/>
    <col min="3" max="3" width="14.85546875" style="2" customWidth="1"/>
    <col min="4" max="4" width="50.140625" style="576" customWidth="1"/>
    <col min="5" max="5" width="17.42578125" style="577" customWidth="1"/>
    <col min="6" max="6" width="14.5703125" style="578" customWidth="1"/>
    <col min="7" max="7" width="10" style="2" customWidth="1"/>
    <col min="8" max="8" width="15.140625" style="579" customWidth="1"/>
    <col min="9" max="9" width="16.42578125" style="2" customWidth="1"/>
    <col min="10" max="10" width="17.42578125" style="2" customWidth="1"/>
    <col min="11" max="11" width="12.28515625" style="2" customWidth="1"/>
    <col min="12" max="12" width="44.140625" style="2" customWidth="1"/>
    <col min="13" max="14" width="22.7109375" style="2" customWidth="1"/>
    <col min="15" max="15" width="44.28515625" style="577" customWidth="1"/>
    <col min="16" max="16" width="30.7109375" style="577" customWidth="1"/>
    <col min="17" max="17" width="11.85546875" style="2" customWidth="1"/>
    <col min="18" max="18" width="48.85546875" style="580" customWidth="1"/>
    <col min="19" max="19" width="29.85546875" style="2" customWidth="1"/>
    <col min="20" max="20" width="15.140625" style="2" customWidth="1"/>
    <col min="21" max="21" width="17.140625" style="2" customWidth="1"/>
    <col min="22" max="23" width="15.140625" style="2" customWidth="1"/>
    <col min="24" max="24" width="19.28515625" style="2" customWidth="1"/>
    <col min="25" max="25" width="22.85546875" style="2" customWidth="1"/>
    <col min="26" max="26" width="7.85546875" style="581" customWidth="1"/>
    <col min="27" max="27" width="13.42578125" style="64" customWidth="1"/>
    <col min="28" max="28" width="14.28515625" style="64" customWidth="1"/>
    <col min="29" max="29" width="12.28515625" style="64" customWidth="1"/>
    <col min="30" max="30" width="21" style="64" customWidth="1"/>
    <col min="31" max="33" width="12.42578125" style="64" customWidth="1"/>
    <col min="34" max="34" width="14.42578125" style="64" customWidth="1"/>
    <col min="35" max="35" width="14" style="64" customWidth="1"/>
    <col min="36" max="37" width="12.42578125" style="64" customWidth="1"/>
    <col min="38" max="39" width="13" style="64" customWidth="1"/>
    <col min="40" max="40" width="11.7109375" style="64" customWidth="1"/>
    <col min="41" max="41" width="15.42578125" style="125" customWidth="1"/>
    <col min="42" max="42" width="10.85546875" style="125" customWidth="1"/>
    <col min="43" max="43" width="16.140625" style="125" customWidth="1"/>
    <col min="44" max="44" width="15" style="125" customWidth="1"/>
    <col min="45" max="45" width="18.140625" style="125" customWidth="1"/>
    <col min="46" max="46" width="16.42578125" style="125" customWidth="1"/>
    <col min="47" max="47" width="18.85546875" style="2" customWidth="1"/>
    <col min="48" max="48" width="11.7109375" style="107" customWidth="1"/>
    <col min="49" max="49" width="15.7109375" style="2" customWidth="1"/>
    <col min="50" max="50" width="18.140625" style="64" customWidth="1"/>
    <col min="51" max="51" width="17.140625" style="64" customWidth="1"/>
    <col min="52" max="52" width="17.42578125" style="64" customWidth="1"/>
    <col min="53" max="53" width="21.7109375" style="64" customWidth="1"/>
    <col min="54" max="54" width="13.85546875" style="2" customWidth="1"/>
    <col min="55" max="55" width="15.7109375" style="2" customWidth="1"/>
    <col min="56" max="56" width="13.85546875" style="2" customWidth="1"/>
    <col min="57" max="57" width="15.7109375" style="2" customWidth="1"/>
    <col min="58" max="58" width="16" style="2" customWidth="1"/>
    <col min="59" max="60" width="15.85546875" style="64" customWidth="1"/>
    <col min="61" max="61" width="8.7109375" style="64" customWidth="1"/>
    <col min="62" max="63" width="15.85546875" style="64" customWidth="1"/>
    <col min="64" max="68" width="13.85546875" style="2" customWidth="1"/>
    <col min="69" max="69" width="17" style="2" customWidth="1"/>
    <col min="70" max="71" width="12.28515625" style="64" customWidth="1"/>
    <col min="72" max="72" width="12.7109375" style="64" customWidth="1"/>
    <col min="73" max="74" width="15.85546875" style="64" customWidth="1"/>
    <col min="75" max="75" width="18.140625" style="64" customWidth="1"/>
    <col min="76" max="78" width="19.85546875" style="64" customWidth="1"/>
    <col min="79" max="79" width="17.5703125" style="64" customWidth="1"/>
    <col min="80" max="80" width="15.140625" style="582" customWidth="1"/>
    <col min="81" max="81" width="16.5703125" style="582" customWidth="1"/>
    <col min="82" max="83" width="13.5703125" style="582" customWidth="1"/>
    <col min="84" max="84" width="16.85546875" style="582" customWidth="1"/>
    <col min="85" max="89" width="16.140625" style="582" customWidth="1"/>
    <col min="90" max="91" width="14.28515625" style="582" customWidth="1"/>
    <col min="92" max="92" width="16.140625" style="582" customWidth="1"/>
    <col min="93" max="93" width="16.5703125" style="582" customWidth="1"/>
    <col min="94" max="94" width="14.28515625" style="582" customWidth="1"/>
    <col min="95" max="95" width="19.7109375" style="582" customWidth="1"/>
    <col min="96" max="96" width="19" style="582" customWidth="1"/>
    <col min="97" max="97" width="17.7109375" style="582" customWidth="1"/>
    <col min="98" max="98" width="14.28515625" style="582" customWidth="1"/>
    <col min="99" max="101" width="16.140625" style="582" customWidth="1"/>
    <col min="102" max="102" width="18.42578125" style="582" customWidth="1"/>
    <col min="103" max="103" width="13.5703125" style="582" customWidth="1"/>
    <col min="104" max="104" width="19.5703125" style="1190" customWidth="1"/>
    <col min="105" max="105" width="13.5703125" style="1190" customWidth="1"/>
    <col min="106" max="106" width="23" style="1190" customWidth="1"/>
    <col min="107" max="107" width="99.42578125" style="1190" bestFit="1" customWidth="1"/>
    <col min="108" max="112" width="13.5703125" style="582" customWidth="1"/>
    <col min="113" max="113" width="31" style="577" customWidth="1"/>
    <col min="114" max="114" width="29.5703125" style="582" customWidth="1"/>
    <col min="115" max="115" width="22" style="582" bestFit="1" customWidth="1"/>
    <col min="116" max="116" width="13.42578125" style="2" customWidth="1"/>
    <col min="117" max="117" width="5.85546875" style="577" customWidth="1"/>
    <col min="118" max="118" width="5.5703125" style="577" customWidth="1"/>
    <col min="119" max="16384" width="11.42578125" style="577"/>
  </cols>
  <sheetData>
    <row r="1" spans="1:118" s="473" customFormat="1" ht="22.5" customHeight="1">
      <c r="A1" s="163"/>
      <c r="B1" s="1216"/>
      <c r="C1" s="1216"/>
      <c r="D1" s="475" t="str">
        <f>F9</f>
        <v>ENERO</v>
      </c>
      <c r="F1" s="420"/>
      <c r="G1" s="1216"/>
      <c r="H1" s="476"/>
      <c r="I1" s="1216"/>
      <c r="J1" s="163"/>
      <c r="K1" s="1216"/>
      <c r="L1" s="1216"/>
      <c r="M1" s="1216"/>
      <c r="N1" s="1216"/>
      <c r="Q1" s="1216"/>
      <c r="R1" s="477"/>
      <c r="S1" s="1216"/>
      <c r="T1" s="1216"/>
      <c r="U1" s="1216"/>
      <c r="V1" s="1216"/>
      <c r="W1" s="1216"/>
      <c r="X1" s="1216"/>
      <c r="Y1" s="1216"/>
      <c r="Z1" s="1216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2"/>
      <c r="AP1" s="162"/>
      <c r="AQ1" s="162"/>
      <c r="AR1" s="162"/>
      <c r="AS1" s="162"/>
      <c r="AT1" s="162"/>
      <c r="AU1" s="1216"/>
      <c r="AV1" s="163"/>
      <c r="AW1" s="1216"/>
      <c r="AX1" s="161"/>
      <c r="AY1" s="161"/>
      <c r="AZ1" s="161"/>
      <c r="BA1" s="161"/>
      <c r="BB1" s="1216"/>
      <c r="BC1" s="1216"/>
      <c r="BD1" s="1216"/>
      <c r="BE1" s="1216"/>
      <c r="BF1" s="1216"/>
      <c r="BG1" s="161"/>
      <c r="BH1" s="161"/>
      <c r="BI1" s="161"/>
      <c r="BJ1" s="161"/>
      <c r="BK1" s="161"/>
      <c r="BL1" s="1216"/>
      <c r="BM1" s="1216"/>
      <c r="BN1" s="1216"/>
      <c r="BO1" s="1216"/>
      <c r="BP1" s="1216"/>
      <c r="BQ1" s="1216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472"/>
      <c r="CC1" s="472"/>
      <c r="CD1" s="472"/>
      <c r="CE1" s="472"/>
      <c r="CF1" s="472"/>
      <c r="CG1" s="472"/>
      <c r="CH1" s="472"/>
      <c r="CI1" s="472"/>
      <c r="CJ1" s="472"/>
      <c r="CK1" s="472"/>
      <c r="CL1" s="472"/>
      <c r="CM1" s="472"/>
      <c r="CN1" s="472"/>
      <c r="CO1" s="472"/>
      <c r="CP1" s="472"/>
      <c r="CQ1" s="472"/>
      <c r="CR1" s="472"/>
      <c r="CS1" s="472"/>
      <c r="CT1" s="472"/>
      <c r="CU1" s="472"/>
      <c r="CV1" s="472"/>
      <c r="CW1" s="472"/>
      <c r="CX1" s="472"/>
      <c r="CY1" s="472"/>
      <c r="CZ1" s="514"/>
      <c r="DA1" s="514"/>
      <c r="DB1" s="514"/>
      <c r="DC1" s="514"/>
      <c r="DD1" s="472"/>
      <c r="DE1" s="472"/>
      <c r="DF1" s="472"/>
      <c r="DG1" s="472"/>
      <c r="DH1" s="472"/>
      <c r="DJ1" s="472"/>
      <c r="DK1" s="472"/>
      <c r="DL1" s="1216"/>
    </row>
    <row r="2" spans="1:118" s="473" customFormat="1">
      <c r="A2" s="1216"/>
      <c r="B2" s="1216"/>
      <c r="C2" s="1216"/>
      <c r="D2" s="218"/>
      <c r="F2" s="420"/>
      <c r="G2" s="1216"/>
      <c r="H2" s="476"/>
      <c r="I2" s="1216"/>
      <c r="J2" s="1216"/>
      <c r="K2" s="1216"/>
      <c r="L2" s="1216"/>
      <c r="M2" s="1216"/>
      <c r="N2" s="1216"/>
      <c r="Q2" s="1216"/>
      <c r="R2" s="477"/>
      <c r="S2" s="1216"/>
      <c r="T2" s="1216"/>
      <c r="U2" s="1216"/>
      <c r="V2" s="1216"/>
      <c r="W2" s="1216"/>
      <c r="X2" s="1216"/>
      <c r="Y2" s="1216"/>
      <c r="Z2" s="1216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2"/>
      <c r="AP2" s="162"/>
      <c r="AQ2" s="162"/>
      <c r="AR2" s="162"/>
      <c r="AS2" s="162"/>
      <c r="AT2" s="162"/>
      <c r="AU2" s="1216"/>
      <c r="AV2" s="163"/>
      <c r="AW2" s="1216"/>
      <c r="AX2" s="161"/>
      <c r="AY2" s="161"/>
      <c r="AZ2" s="161"/>
      <c r="BA2" s="161"/>
      <c r="BB2" s="1216"/>
      <c r="BC2" s="1216"/>
      <c r="BD2" s="1216"/>
      <c r="BE2" s="1216"/>
      <c r="BF2" s="1216"/>
      <c r="BG2" s="161"/>
      <c r="BH2" s="161"/>
      <c r="BI2" s="161"/>
      <c r="BJ2" s="161"/>
      <c r="BK2" s="161"/>
      <c r="BL2" s="1216"/>
      <c r="BM2" s="1216"/>
      <c r="BN2" s="1216"/>
      <c r="BO2" s="1216"/>
      <c r="BP2" s="1216"/>
      <c r="BQ2" s="1216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472"/>
      <c r="CC2" s="472"/>
      <c r="CD2" s="472"/>
      <c r="CE2" s="472"/>
      <c r="CF2" s="472"/>
      <c r="CG2" s="472"/>
      <c r="CH2" s="472"/>
      <c r="CI2" s="472"/>
      <c r="CJ2" s="472"/>
      <c r="CK2" s="472"/>
      <c r="CL2" s="472"/>
      <c r="CM2" s="472"/>
      <c r="CN2" s="472"/>
      <c r="CO2" s="472"/>
      <c r="CP2" s="472"/>
      <c r="CQ2" s="472"/>
      <c r="CR2" s="472"/>
      <c r="CS2" s="472"/>
      <c r="CT2" s="472"/>
      <c r="CU2" s="472"/>
      <c r="CV2" s="472"/>
      <c r="CW2" s="472"/>
      <c r="CX2" s="472"/>
      <c r="CY2" s="472"/>
      <c r="CZ2" s="514"/>
      <c r="DA2" s="514"/>
      <c r="DB2" s="514"/>
      <c r="DC2" s="514"/>
      <c r="DD2" s="472"/>
      <c r="DE2" s="472"/>
      <c r="DF2" s="472"/>
      <c r="DG2" s="472"/>
      <c r="DH2" s="472"/>
      <c r="DJ2" s="472"/>
      <c r="DK2" s="472"/>
      <c r="DL2" s="1216"/>
    </row>
    <row r="3" spans="1:118" s="473" customFormat="1">
      <c r="A3" s="1216"/>
      <c r="B3" s="1216"/>
      <c r="C3" s="1216"/>
      <c r="D3" s="218"/>
      <c r="F3" s="420"/>
      <c r="G3" s="1216"/>
      <c r="H3" s="476"/>
      <c r="I3" s="1216"/>
      <c r="J3" s="1216"/>
      <c r="K3" s="1216"/>
      <c r="L3" s="1216"/>
      <c r="M3" s="1216"/>
      <c r="N3" s="1216"/>
      <c r="Q3" s="1216"/>
      <c r="R3" s="477"/>
      <c r="S3" s="1216"/>
      <c r="T3" s="1216"/>
      <c r="U3" s="1216"/>
      <c r="V3" s="1216"/>
      <c r="W3" s="1216"/>
      <c r="X3" s="1216"/>
      <c r="Y3" s="1216"/>
      <c r="Z3" s="1216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2"/>
      <c r="AP3" s="162"/>
      <c r="AQ3" s="162"/>
      <c r="AR3" s="162"/>
      <c r="AS3" s="162"/>
      <c r="AT3" s="162"/>
      <c r="AU3" s="1216"/>
      <c r="AV3" s="163"/>
      <c r="AW3" s="1216"/>
      <c r="AX3" s="161"/>
      <c r="AY3" s="161"/>
      <c r="AZ3" s="161"/>
      <c r="BA3" s="161"/>
      <c r="BB3" s="1216"/>
      <c r="BC3" s="1216"/>
      <c r="BD3" s="1216"/>
      <c r="BE3" s="1216"/>
      <c r="BF3" s="1216"/>
      <c r="BG3" s="161"/>
      <c r="BH3" s="161"/>
      <c r="BI3" s="161"/>
      <c r="BJ3" s="161"/>
      <c r="BK3" s="161"/>
      <c r="BL3" s="1216"/>
      <c r="BM3" s="1216"/>
      <c r="BN3" s="1216"/>
      <c r="BO3" s="1216"/>
      <c r="BP3" s="1216"/>
      <c r="BQ3" s="1216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472"/>
      <c r="CC3" s="472"/>
      <c r="CD3" s="472"/>
      <c r="CE3" s="472"/>
      <c r="CF3" s="472"/>
      <c r="CG3" s="472"/>
      <c r="CH3" s="472"/>
      <c r="CI3" s="472"/>
      <c r="CJ3" s="472"/>
      <c r="CK3" s="472"/>
      <c r="CL3" s="472"/>
      <c r="CM3" s="472"/>
      <c r="CN3" s="472"/>
      <c r="CO3" s="472"/>
      <c r="CP3" s="472"/>
      <c r="CQ3" s="472"/>
      <c r="CR3" s="472"/>
      <c r="CS3" s="472"/>
      <c r="CT3" s="472"/>
      <c r="CU3" s="472"/>
      <c r="CV3" s="472"/>
      <c r="CW3" s="472"/>
      <c r="CX3" s="472"/>
      <c r="CY3" s="472"/>
      <c r="CZ3" s="514"/>
      <c r="DA3" s="514"/>
      <c r="DB3" s="514"/>
      <c r="DC3" s="514"/>
      <c r="DD3" s="472"/>
      <c r="DE3" s="472"/>
      <c r="DF3" s="472"/>
      <c r="DG3" s="472"/>
      <c r="DH3" s="472"/>
      <c r="DJ3" s="472"/>
      <c r="DK3" s="472"/>
      <c r="DL3" s="1216"/>
    </row>
    <row r="4" spans="1:118" s="473" customFormat="1">
      <c r="A4" s="1216"/>
      <c r="B4" s="1216"/>
      <c r="C4" s="1216"/>
      <c r="D4" s="218"/>
      <c r="F4" s="420"/>
      <c r="G4" s="1216"/>
      <c r="H4" s="476"/>
      <c r="I4" s="1216"/>
      <c r="J4" s="1216"/>
      <c r="K4" s="1216"/>
      <c r="L4" s="1216"/>
      <c r="M4" s="1216"/>
      <c r="N4" s="1216"/>
      <c r="Q4" s="1216"/>
      <c r="R4" s="477"/>
      <c r="S4" s="1216"/>
      <c r="T4" s="1216"/>
      <c r="U4" s="1216"/>
      <c r="V4" s="1216"/>
      <c r="W4" s="1216"/>
      <c r="X4" s="1216"/>
      <c r="Y4" s="1216"/>
      <c r="Z4" s="1216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2"/>
      <c r="AP4" s="162"/>
      <c r="AQ4" s="162"/>
      <c r="AR4" s="162"/>
      <c r="AS4" s="162"/>
      <c r="AT4" s="162"/>
      <c r="AU4" s="1216"/>
      <c r="AV4" s="163"/>
      <c r="AW4" s="1216"/>
      <c r="AX4" s="161"/>
      <c r="AY4" s="161"/>
      <c r="AZ4" s="161"/>
      <c r="BA4" s="161"/>
      <c r="BB4" s="1216"/>
      <c r="BC4" s="1216"/>
      <c r="BD4" s="1216"/>
      <c r="BE4" s="1216"/>
      <c r="BF4" s="1216"/>
      <c r="BG4" s="161"/>
      <c r="BH4" s="161"/>
      <c r="BI4" s="161"/>
      <c r="BJ4" s="161"/>
      <c r="BK4" s="161"/>
      <c r="BL4" s="1216"/>
      <c r="BM4" s="1216"/>
      <c r="BN4" s="1216"/>
      <c r="BO4" s="1216"/>
      <c r="BP4" s="1216"/>
      <c r="BQ4" s="1216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472"/>
      <c r="CC4" s="472"/>
      <c r="CD4" s="472"/>
      <c r="CE4" s="472"/>
      <c r="CF4" s="472"/>
      <c r="CG4" s="472"/>
      <c r="CH4" s="472"/>
      <c r="CI4" s="472"/>
      <c r="CJ4" s="472"/>
      <c r="CK4" s="472"/>
      <c r="CL4" s="472"/>
      <c r="CM4" s="472"/>
      <c r="CN4" s="472"/>
      <c r="CO4" s="472"/>
      <c r="CP4" s="472"/>
      <c r="CQ4" s="472"/>
      <c r="CR4" s="472"/>
      <c r="CS4" s="472"/>
      <c r="CT4" s="472"/>
      <c r="CU4" s="472"/>
      <c r="CV4" s="472"/>
      <c r="CW4" s="472"/>
      <c r="CX4" s="472"/>
      <c r="CY4" s="472"/>
      <c r="CZ4" s="514"/>
      <c r="DA4" s="514"/>
      <c r="DB4" s="514"/>
      <c r="DC4" s="514"/>
      <c r="DD4" s="472"/>
      <c r="DE4" s="472"/>
      <c r="DF4" s="472"/>
      <c r="DG4" s="472"/>
      <c r="DH4" s="472"/>
      <c r="DJ4" s="472"/>
      <c r="DK4" s="472"/>
      <c r="DL4" s="1216"/>
    </row>
    <row r="5" spans="1:118" s="473" customFormat="1">
      <c r="A5" s="1216"/>
      <c r="B5" s="1216"/>
      <c r="C5" s="1216"/>
      <c r="D5" s="218"/>
      <c r="F5" s="420"/>
      <c r="G5" s="1216"/>
      <c r="H5" s="476"/>
      <c r="I5" s="1216"/>
      <c r="J5" s="1216"/>
      <c r="K5" s="1216"/>
      <c r="L5" s="1216"/>
      <c r="M5" s="1216"/>
      <c r="N5" s="1216"/>
      <c r="Q5" s="1216"/>
      <c r="R5" s="477"/>
      <c r="S5" s="1216"/>
      <c r="T5" s="1216"/>
      <c r="U5" s="1216"/>
      <c r="V5" s="1216"/>
      <c r="W5" s="1216"/>
      <c r="X5" s="1216"/>
      <c r="Y5" s="1216"/>
      <c r="Z5" s="1216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2"/>
      <c r="AP5" s="162"/>
      <c r="AQ5" s="162"/>
      <c r="AR5" s="162"/>
      <c r="AS5" s="162"/>
      <c r="AT5" s="162"/>
      <c r="AU5" s="1216"/>
      <c r="AV5" s="163"/>
      <c r="AW5" s="1216"/>
      <c r="AX5" s="161"/>
      <c r="AY5" s="161"/>
      <c r="AZ5" s="161"/>
      <c r="BA5" s="161"/>
      <c r="BB5" s="1216"/>
      <c r="BC5" s="1216"/>
      <c r="BD5" s="1216"/>
      <c r="BE5" s="1216"/>
      <c r="BF5" s="1216"/>
      <c r="BG5" s="161"/>
      <c r="BH5" s="161"/>
      <c r="BI5" s="161"/>
      <c r="BJ5" s="161"/>
      <c r="BK5" s="161"/>
      <c r="BL5" s="1216"/>
      <c r="BM5" s="1216"/>
      <c r="BN5" s="1216"/>
      <c r="BO5" s="1216"/>
      <c r="BP5" s="1216"/>
      <c r="BQ5" s="1216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472"/>
      <c r="CC5" s="472"/>
      <c r="CD5" s="472"/>
      <c r="CE5" s="472"/>
      <c r="CF5" s="472"/>
      <c r="CG5" s="472"/>
      <c r="CH5" s="472"/>
      <c r="CI5" s="472"/>
      <c r="CJ5" s="472"/>
      <c r="CK5" s="472"/>
      <c r="CL5" s="472"/>
      <c r="CM5" s="472"/>
      <c r="CN5" s="472"/>
      <c r="CO5" s="472"/>
      <c r="CP5" s="472"/>
      <c r="CQ5" s="472"/>
      <c r="CR5" s="472"/>
      <c r="CS5" s="472"/>
      <c r="CT5" s="472"/>
      <c r="CU5" s="472"/>
      <c r="CV5" s="472"/>
      <c r="CW5" s="472"/>
      <c r="CX5" s="472"/>
      <c r="CY5" s="472"/>
      <c r="CZ5" s="514"/>
      <c r="DA5" s="514"/>
      <c r="DB5" s="514"/>
      <c r="DC5" s="514"/>
      <c r="DD5" s="472"/>
      <c r="DE5" s="472"/>
      <c r="DF5" s="472"/>
      <c r="DG5" s="472"/>
      <c r="DH5" s="472"/>
      <c r="DJ5" s="472"/>
      <c r="DK5" s="472"/>
      <c r="DL5" s="1216"/>
    </row>
    <row r="6" spans="1:118" s="473" customFormat="1" ht="15.75" thickBot="1">
      <c r="A6" s="1216"/>
      <c r="B6" s="1216"/>
      <c r="C6" s="1216"/>
      <c r="D6" s="218"/>
      <c r="F6" s="420"/>
      <c r="G6" s="1216"/>
      <c r="H6" s="476"/>
      <c r="I6" s="1216"/>
      <c r="J6" s="1216"/>
      <c r="K6" s="1216"/>
      <c r="L6" s="1216"/>
      <c r="M6" s="1216"/>
      <c r="N6" s="1216"/>
      <c r="Q6" s="1216"/>
      <c r="R6" s="477"/>
      <c r="S6" s="1216"/>
      <c r="T6" s="1216"/>
      <c r="U6" s="1216"/>
      <c r="V6" s="1216"/>
      <c r="W6" s="1216"/>
      <c r="X6" s="1216"/>
      <c r="Y6" s="1216"/>
      <c r="Z6" s="1216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2"/>
      <c r="AP6" s="162"/>
      <c r="AQ6" s="162"/>
      <c r="AR6" s="162"/>
      <c r="AS6" s="162"/>
      <c r="AT6" s="162"/>
      <c r="AU6" s="1216"/>
      <c r="AV6" s="163"/>
      <c r="AW6" s="1216"/>
      <c r="AX6" s="161"/>
      <c r="AY6" s="161"/>
      <c r="AZ6" s="161"/>
      <c r="BA6" s="161"/>
      <c r="BB6" s="1216"/>
      <c r="BC6" s="1216"/>
      <c r="BD6" s="1216"/>
      <c r="BE6" s="1216"/>
      <c r="BF6" s="1216"/>
      <c r="BG6" s="161"/>
      <c r="BH6" s="161"/>
      <c r="BI6" s="161"/>
      <c r="BJ6" s="161"/>
      <c r="BK6" s="161"/>
      <c r="BL6" s="1216"/>
      <c r="BM6" s="1216"/>
      <c r="BN6" s="1216"/>
      <c r="BO6" s="1216"/>
      <c r="BP6" s="1216"/>
      <c r="BQ6" s="1216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472"/>
      <c r="CC6" s="472"/>
      <c r="CD6" s="472"/>
      <c r="CE6" s="472"/>
      <c r="CF6" s="472"/>
      <c r="CG6" s="472"/>
      <c r="CH6" s="472"/>
      <c r="CI6" s="472"/>
      <c r="CJ6" s="472"/>
      <c r="CK6" s="472"/>
      <c r="CL6" s="472"/>
      <c r="CM6" s="472"/>
      <c r="CN6" s="472"/>
      <c r="CO6" s="472"/>
      <c r="CP6" s="472"/>
      <c r="CQ6" s="472"/>
      <c r="CR6" s="472"/>
      <c r="CS6" s="472"/>
      <c r="CT6" s="472"/>
      <c r="CU6" s="472"/>
      <c r="CV6" s="472"/>
      <c r="CW6" s="472"/>
      <c r="CX6" s="472"/>
      <c r="CY6" s="472"/>
      <c r="CZ6" s="514"/>
      <c r="DA6" s="514"/>
      <c r="DB6" s="514"/>
      <c r="DC6" s="514"/>
      <c r="DD6" s="472"/>
      <c r="DE6" s="472"/>
      <c r="DF6" s="472"/>
      <c r="DG6" s="472"/>
      <c r="DH6" s="472"/>
      <c r="DJ6" s="472"/>
      <c r="DK6" s="472"/>
      <c r="DL6" s="1216"/>
    </row>
    <row r="7" spans="1:118" s="473" customFormat="1" ht="37.5" customHeight="1" thickBot="1">
      <c r="A7" s="1216"/>
      <c r="B7" s="1216"/>
      <c r="C7" s="1216"/>
      <c r="D7" s="218"/>
      <c r="F7" s="420"/>
      <c r="G7" s="1216"/>
      <c r="H7" s="476"/>
      <c r="I7" s="1216"/>
      <c r="J7" s="1216"/>
      <c r="K7" s="1216"/>
      <c r="L7" s="1216"/>
      <c r="M7" s="1216"/>
      <c r="N7" s="1216"/>
      <c r="Q7" s="1216"/>
      <c r="R7" s="477"/>
      <c r="S7" s="1216"/>
      <c r="T7" s="163"/>
      <c r="U7" s="1216"/>
      <c r="V7" s="1216"/>
      <c r="W7" s="1216"/>
      <c r="X7" s="1216"/>
      <c r="Y7" s="1216"/>
      <c r="Z7" s="1216"/>
      <c r="AA7" s="164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2"/>
      <c r="AP7" s="162"/>
      <c r="AQ7" s="162"/>
      <c r="AR7" s="162"/>
      <c r="AS7" s="162"/>
      <c r="AT7" s="162"/>
      <c r="AU7" s="1216"/>
      <c r="AV7" s="163"/>
      <c r="AW7" s="1216"/>
      <c r="AX7" s="161"/>
      <c r="AY7" s="161"/>
      <c r="AZ7" s="161"/>
      <c r="BA7" s="161"/>
      <c r="BB7" s="1216"/>
      <c r="BC7" s="1216"/>
      <c r="BD7" s="1216"/>
      <c r="BE7" s="1216"/>
      <c r="BF7" s="1216"/>
      <c r="BG7" s="1216"/>
      <c r="BH7" s="1216"/>
      <c r="BI7" s="1216"/>
      <c r="BJ7" s="1595"/>
      <c r="BK7" s="1216"/>
      <c r="BL7" s="1216"/>
      <c r="BM7" s="1216"/>
      <c r="BN7" s="1216"/>
      <c r="BO7" s="1216"/>
      <c r="BP7" s="1216"/>
      <c r="BQ7" s="1216"/>
      <c r="BR7" s="165" t="s">
        <v>4567</v>
      </c>
      <c r="BS7" s="166" t="s">
        <v>4618</v>
      </c>
      <c r="BT7" s="209">
        <v>2025</v>
      </c>
      <c r="BU7" s="161"/>
      <c r="BV7" s="161"/>
      <c r="BW7" s="161"/>
      <c r="BX7" s="161"/>
      <c r="BY7" s="161"/>
      <c r="BZ7" s="161"/>
      <c r="CA7" s="161"/>
      <c r="CB7" s="472"/>
      <c r="CC7" s="472"/>
      <c r="CD7" s="472"/>
      <c r="CE7" s="472"/>
      <c r="CF7" s="472"/>
      <c r="CG7" s="472"/>
      <c r="CH7" s="472"/>
      <c r="CI7" s="472"/>
      <c r="CJ7" s="472"/>
      <c r="CK7" s="472"/>
      <c r="CL7" s="472"/>
      <c r="CM7" s="472"/>
      <c r="CN7" s="472"/>
      <c r="CO7" s="472"/>
      <c r="CP7" s="472"/>
      <c r="CQ7" s="472"/>
      <c r="CR7" s="472"/>
      <c r="CS7" s="472"/>
      <c r="CT7" s="472"/>
      <c r="CU7" s="472"/>
      <c r="CV7" s="472"/>
      <c r="CW7" s="472"/>
      <c r="CX7" s="472"/>
      <c r="CY7" s="472"/>
      <c r="CZ7" s="514"/>
      <c r="DA7" s="514"/>
      <c r="DB7" s="514"/>
      <c r="DC7" s="514"/>
      <c r="DD7" s="472"/>
      <c r="DE7" s="472"/>
      <c r="DF7" s="472"/>
      <c r="DG7" s="472"/>
      <c r="DH7" s="472"/>
      <c r="DJ7" s="472"/>
      <c r="DK7" s="472"/>
      <c r="DL7" s="1216"/>
    </row>
    <row r="8" spans="1:118" s="473" customFormat="1" ht="21" customHeight="1" thickBot="1">
      <c r="A8" s="1216"/>
      <c r="B8" s="1216"/>
      <c r="C8" s="1216"/>
      <c r="D8" s="218"/>
      <c r="E8" s="480"/>
      <c r="F8" s="481"/>
      <c r="G8" s="1216"/>
      <c r="H8" s="476"/>
      <c r="I8" s="1216"/>
      <c r="J8" s="1216"/>
      <c r="K8" s="1216"/>
      <c r="L8" s="1216"/>
      <c r="M8" s="1216"/>
      <c r="N8" s="1216"/>
      <c r="Q8" s="1216"/>
      <c r="R8" s="477"/>
      <c r="S8" s="1216"/>
      <c r="T8" s="1216"/>
      <c r="U8" s="1216"/>
      <c r="V8" s="163"/>
      <c r="W8" s="1216"/>
      <c r="X8" s="1216"/>
      <c r="Y8" s="1216"/>
      <c r="Z8" s="1598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4"/>
      <c r="AM8" s="161"/>
      <c r="AN8" s="161"/>
      <c r="AO8" s="162"/>
      <c r="AP8" s="162"/>
      <c r="AQ8" s="162"/>
      <c r="AR8" s="162"/>
      <c r="AS8" s="162"/>
      <c r="AT8" s="162"/>
      <c r="AU8" s="1216"/>
      <c r="AV8" s="163"/>
      <c r="AW8" s="1216"/>
      <c r="AX8" s="161"/>
      <c r="AY8" s="161"/>
      <c r="AZ8" s="161"/>
      <c r="BA8" s="161"/>
      <c r="BB8" s="1216"/>
      <c r="BC8" s="1216"/>
      <c r="BD8" s="1216"/>
      <c r="BE8" s="1216"/>
      <c r="BF8" s="1216"/>
      <c r="BG8" s="161"/>
      <c r="BH8" s="161"/>
      <c r="BI8" s="161"/>
      <c r="BJ8" s="161"/>
      <c r="BK8" s="161"/>
      <c r="BL8" s="1216"/>
      <c r="BM8" s="1216"/>
      <c r="BN8" s="1216"/>
      <c r="BO8" s="1216"/>
      <c r="BP8" s="1216"/>
      <c r="BQ8" s="1216"/>
      <c r="BR8" s="206">
        <f>IFERROR(VLOOKUP(F9,'[16]CONCEPTOS Y PARAMETROS'!J:K,2,0),0)</f>
        <v>1</v>
      </c>
      <c r="BS8" s="207">
        <f>IFERROR(VLOOKUP(BR8,'CONCEPTOS Y PARAMETROS'!K:L,2,0),0)</f>
        <v>4</v>
      </c>
      <c r="BT8" s="161"/>
      <c r="BU8" s="161"/>
      <c r="BV8" s="161"/>
      <c r="BW8" s="161"/>
      <c r="BX8" s="161"/>
      <c r="BY8" s="161"/>
      <c r="BZ8" s="161"/>
      <c r="CA8" s="161"/>
      <c r="CB8" s="482"/>
      <c r="CC8" s="472"/>
      <c r="CD8" s="472"/>
      <c r="CE8" s="472"/>
      <c r="CF8" s="472"/>
      <c r="CG8" s="472"/>
      <c r="CH8" s="472"/>
      <c r="CI8" s="472"/>
      <c r="CJ8" s="472"/>
      <c r="CK8" s="472"/>
      <c r="CL8" s="472"/>
      <c r="CM8" s="472"/>
      <c r="CN8" s="472"/>
      <c r="CO8" s="472"/>
      <c r="CP8" s="472"/>
      <c r="CQ8" s="472"/>
      <c r="CR8" s="472"/>
      <c r="CS8" s="472"/>
      <c r="CT8" s="472"/>
      <c r="CU8" s="472"/>
      <c r="CV8" s="472"/>
      <c r="CW8" s="472"/>
      <c r="CX8" s="472"/>
      <c r="CY8" s="472"/>
      <c r="CZ8" s="514"/>
      <c r="DA8" s="514"/>
      <c r="DB8" s="514"/>
      <c r="DC8" s="514"/>
      <c r="DD8" s="472"/>
      <c r="DE8" s="472"/>
      <c r="DF8" s="472"/>
      <c r="DG8" s="472"/>
      <c r="DH8" s="472"/>
      <c r="DJ8" s="472"/>
      <c r="DK8" s="472"/>
      <c r="DL8" s="1216"/>
    </row>
    <row r="9" spans="1:118" s="473" customFormat="1" ht="29.25" customHeight="1" thickBot="1">
      <c r="A9" s="483"/>
      <c r="B9" s="483"/>
      <c r="C9" s="483" t="s">
        <v>4626</v>
      </c>
      <c r="D9" s="484"/>
      <c r="E9" s="486" t="s">
        <v>4632</v>
      </c>
      <c r="F9" s="485" t="s">
        <v>2865</v>
      </c>
      <c r="G9" s="486" t="s">
        <v>4633</v>
      </c>
      <c r="H9" s="487">
        <f>BT7</f>
        <v>2025</v>
      </c>
      <c r="I9" s="488"/>
      <c r="J9" s="488"/>
      <c r="K9" s="488"/>
      <c r="L9" s="488"/>
      <c r="M9" s="488"/>
      <c r="N9" s="1216"/>
      <c r="Q9" s="1216"/>
      <c r="R9" s="477"/>
      <c r="S9" s="1216"/>
      <c r="T9" s="1216"/>
      <c r="U9" s="1216"/>
      <c r="V9" s="1216"/>
      <c r="W9" s="1216"/>
      <c r="X9" s="1216"/>
      <c r="Y9" s="1216"/>
      <c r="Z9" s="478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2"/>
      <c r="AP9" s="162"/>
      <c r="AQ9" s="162"/>
      <c r="AR9" s="162"/>
      <c r="AS9" s="162"/>
      <c r="AT9" s="162"/>
      <c r="AU9" s="1216"/>
      <c r="AV9" s="163"/>
      <c r="AW9" s="1216"/>
      <c r="AX9" s="167">
        <f>IF(AND(MONTH(H13)=$BR$8),(AU13+AU13*4/12)/30*180,0)</f>
        <v>0</v>
      </c>
      <c r="AY9" s="161"/>
      <c r="AZ9" s="161"/>
      <c r="BA9" s="161"/>
      <c r="BB9" s="168" t="s">
        <v>4641</v>
      </c>
      <c r="BC9" s="1216"/>
      <c r="BD9" s="1216"/>
      <c r="BE9" s="1216"/>
      <c r="BF9" s="1216"/>
      <c r="BG9" s="161"/>
      <c r="BH9" s="161"/>
      <c r="BI9" s="161"/>
      <c r="BJ9" s="161"/>
      <c r="BK9" s="161"/>
      <c r="BL9" s="1216"/>
      <c r="BM9" s="1216"/>
      <c r="BN9" s="1216"/>
      <c r="BO9" s="1216"/>
      <c r="BP9" s="1216"/>
      <c r="BQ9" s="1216"/>
      <c r="BR9" s="164"/>
      <c r="BS9" s="161"/>
      <c r="BT9" s="161"/>
      <c r="BU9" s="161"/>
      <c r="BV9" s="161"/>
      <c r="BW9" s="161"/>
      <c r="BX9" s="161"/>
      <c r="BY9" s="161"/>
      <c r="BZ9" s="161"/>
      <c r="CA9" s="161"/>
      <c r="CB9" s="472"/>
      <c r="CC9" s="472"/>
      <c r="CD9" s="472"/>
      <c r="CE9" s="472"/>
      <c r="CF9" s="472"/>
      <c r="CG9" s="1747" t="s">
        <v>5515</v>
      </c>
      <c r="CH9" s="1748"/>
      <c r="CI9" s="1748"/>
      <c r="CJ9" s="1748"/>
      <c r="CK9" s="1748"/>
      <c r="CL9" s="1748"/>
      <c r="CM9" s="1748"/>
      <c r="CN9" s="1748"/>
      <c r="CO9" s="1748"/>
      <c r="CP9" s="1749"/>
      <c r="CQ9" s="489"/>
      <c r="CR9" s="489"/>
      <c r="CS9" s="489"/>
      <c r="CT9" s="489"/>
      <c r="CU9" s="489"/>
      <c r="CV9" s="489"/>
      <c r="CW9" s="489"/>
      <c r="CX9" s="489"/>
      <c r="CY9" s="472"/>
      <c r="CZ9" s="514"/>
      <c r="DA9" s="514"/>
      <c r="DB9" s="514"/>
      <c r="DC9" s="514"/>
      <c r="DD9" s="472"/>
      <c r="DE9" s="472"/>
      <c r="DF9" s="472"/>
      <c r="DG9" s="472"/>
      <c r="DH9" s="472"/>
      <c r="DJ9" s="472"/>
      <c r="DK9" s="472"/>
      <c r="DL9" s="1216"/>
    </row>
    <row r="10" spans="1:118" s="170" customFormat="1" ht="27.75" customHeight="1" thickBot="1">
      <c r="A10" s="169"/>
      <c r="B10" s="169"/>
      <c r="C10" s="169"/>
      <c r="D10" s="218"/>
      <c r="F10" s="420"/>
      <c r="G10" s="169"/>
      <c r="H10" s="424">
        <v>45688</v>
      </c>
      <c r="I10" s="169"/>
      <c r="J10" s="169"/>
      <c r="K10" s="169"/>
      <c r="L10" s="169"/>
      <c r="M10" s="1755" t="s">
        <v>4627</v>
      </c>
      <c r="N10" s="1756"/>
      <c r="O10" s="473"/>
      <c r="P10" s="473"/>
      <c r="Q10" s="169"/>
      <c r="R10" s="272"/>
      <c r="S10" s="169"/>
      <c r="T10" s="169"/>
      <c r="U10" s="169"/>
      <c r="V10" s="169"/>
      <c r="W10" s="169"/>
      <c r="Y10" s="171"/>
      <c r="Z10" s="1752" t="s">
        <v>5501</v>
      </c>
      <c r="AA10" s="1753"/>
      <c r="AB10" s="1753"/>
      <c r="AC10" s="1753"/>
      <c r="AD10" s="1754"/>
      <c r="AE10" s="161"/>
      <c r="AF10" s="161"/>
      <c r="AG10" s="161"/>
      <c r="AH10" s="161"/>
      <c r="AI10" s="161"/>
      <c r="AJ10" s="161"/>
      <c r="AK10" s="161"/>
      <c r="AL10" s="1344" t="s">
        <v>4628</v>
      </c>
      <c r="AM10" s="1345"/>
      <c r="AN10" s="161"/>
      <c r="AO10" s="1346" t="s">
        <v>4634</v>
      </c>
      <c r="AP10" s="1347"/>
      <c r="AQ10" s="1348"/>
      <c r="AR10" s="1348"/>
      <c r="AS10" s="1349"/>
      <c r="AT10" s="162"/>
      <c r="AU10" s="172"/>
      <c r="AV10" s="339"/>
      <c r="AW10" s="172"/>
      <c r="AX10" s="346">
        <f>(((AU17/30+((AU17)/30*(120/12/30)))*180))</f>
        <v>6019.04</v>
      </c>
      <c r="AY10" s="1758" t="s">
        <v>5822</v>
      </c>
      <c r="AZ10" s="1759"/>
      <c r="BA10" s="1760"/>
      <c r="BB10" s="1350">
        <v>0</v>
      </c>
      <c r="BC10" s="1351"/>
      <c r="BD10" s="1352" t="s">
        <v>4660</v>
      </c>
      <c r="BE10" s="1352"/>
      <c r="BF10" s="1353"/>
      <c r="BG10" s="161"/>
      <c r="BH10" s="161"/>
      <c r="BI10" s="161"/>
      <c r="BJ10" s="161"/>
      <c r="BK10" s="161"/>
      <c r="BL10" s="1354"/>
      <c r="BM10" s="1353" t="s">
        <v>4575</v>
      </c>
      <c r="BN10" s="1355"/>
      <c r="BO10" s="1355"/>
      <c r="BP10" s="1356"/>
      <c r="BQ10" s="1216"/>
      <c r="BR10" s="1351"/>
      <c r="BS10" s="1352" t="s">
        <v>14</v>
      </c>
      <c r="BT10" s="1352"/>
      <c r="BU10" s="1353"/>
      <c r="BV10" s="161"/>
      <c r="BW10" s="1357">
        <v>1</v>
      </c>
      <c r="BX10" s="1357"/>
      <c r="BY10" s="131"/>
      <c r="BZ10" s="131">
        <v>2</v>
      </c>
      <c r="CA10" s="131">
        <v>3</v>
      </c>
      <c r="CB10" s="131">
        <v>4</v>
      </c>
      <c r="CC10" s="131">
        <v>5</v>
      </c>
      <c r="CG10" s="347" t="s">
        <v>5504</v>
      </c>
      <c r="CH10" s="490"/>
      <c r="CI10" s="490"/>
      <c r="CJ10" s="347" t="s">
        <v>5504</v>
      </c>
      <c r="CK10" s="347" t="s">
        <v>5504</v>
      </c>
      <c r="CL10" s="347" t="s">
        <v>5504</v>
      </c>
      <c r="CM10" s="347" t="s">
        <v>5504</v>
      </c>
      <c r="CN10" s="347" t="s">
        <v>5504</v>
      </c>
      <c r="CO10" s="348"/>
      <c r="CP10" s="347" t="s">
        <v>5504</v>
      </c>
      <c r="CQ10" s="347" t="s">
        <v>5504</v>
      </c>
      <c r="CR10" s="1686" t="s">
        <v>5504</v>
      </c>
      <c r="CS10" s="1750" t="s">
        <v>5505</v>
      </c>
      <c r="CT10" s="1751"/>
      <c r="CU10" s="349"/>
      <c r="CV10" s="349"/>
      <c r="CW10" s="349"/>
      <c r="CX10" s="349"/>
      <c r="CZ10" s="642"/>
      <c r="DA10" s="642"/>
      <c r="DB10" s="642"/>
      <c r="DC10" s="642"/>
      <c r="DL10" s="169"/>
    </row>
    <row r="11" spans="1:118" s="473" customFormat="1" ht="78.75" customHeight="1" thickBot="1">
      <c r="A11" s="173" t="s">
        <v>2840</v>
      </c>
      <c r="B11" s="174" t="s">
        <v>0</v>
      </c>
      <c r="C11" s="175" t="s">
        <v>2</v>
      </c>
      <c r="D11" s="219" t="s">
        <v>3</v>
      </c>
      <c r="E11" s="175" t="s">
        <v>4619</v>
      </c>
      <c r="F11" s="217" t="s">
        <v>4580</v>
      </c>
      <c r="G11" s="175" t="s">
        <v>4623</v>
      </c>
      <c r="H11" s="175" t="s">
        <v>4</v>
      </c>
      <c r="I11" s="175" t="s">
        <v>4625</v>
      </c>
      <c r="J11" s="175" t="s">
        <v>4624</v>
      </c>
      <c r="K11" s="175" t="s">
        <v>4574</v>
      </c>
      <c r="L11" s="175" t="s">
        <v>5528</v>
      </c>
      <c r="M11" s="1358" t="s">
        <v>4636</v>
      </c>
      <c r="N11" s="1358" t="s">
        <v>4573</v>
      </c>
      <c r="O11" s="175" t="s">
        <v>5</v>
      </c>
      <c r="P11" s="175" t="s">
        <v>5102</v>
      </c>
      <c r="Q11" s="175" t="s">
        <v>6</v>
      </c>
      <c r="R11" s="271" t="s">
        <v>5047</v>
      </c>
      <c r="S11" s="174" t="s">
        <v>1</v>
      </c>
      <c r="T11" s="175" t="s">
        <v>7</v>
      </c>
      <c r="U11" s="175" t="s">
        <v>4571</v>
      </c>
      <c r="V11" s="175" t="s">
        <v>4572</v>
      </c>
      <c r="W11" s="175" t="s">
        <v>4570</v>
      </c>
      <c r="X11" s="375" t="s">
        <v>2845</v>
      </c>
      <c r="Y11" s="175" t="s">
        <v>4614</v>
      </c>
      <c r="Z11" s="176" t="s">
        <v>2862</v>
      </c>
      <c r="AA11" s="177" t="s">
        <v>2851</v>
      </c>
      <c r="AB11" s="178" t="s">
        <v>2877</v>
      </c>
      <c r="AC11" s="178" t="s">
        <v>4491</v>
      </c>
      <c r="AD11" s="212" t="s">
        <v>2854</v>
      </c>
      <c r="AE11" s="213" t="s">
        <v>5502</v>
      </c>
      <c r="AF11" s="177" t="s">
        <v>5965</v>
      </c>
      <c r="AG11" s="177" t="s">
        <v>5966</v>
      </c>
      <c r="AH11" s="178" t="s">
        <v>5967</v>
      </c>
      <c r="AI11" s="178" t="s">
        <v>5968</v>
      </c>
      <c r="AJ11" s="212" t="s">
        <v>5970</v>
      </c>
      <c r="AK11" s="212" t="s">
        <v>5969</v>
      </c>
      <c r="AL11" s="1359" t="s">
        <v>4629</v>
      </c>
      <c r="AM11" s="1360" t="s">
        <v>4630</v>
      </c>
      <c r="AN11" s="211" t="s">
        <v>4639</v>
      </c>
      <c r="AO11" s="1361" t="s">
        <v>4478</v>
      </c>
      <c r="AP11" s="1362" t="s">
        <v>4640</v>
      </c>
      <c r="AQ11" s="1361" t="s">
        <v>4481</v>
      </c>
      <c r="AR11" s="1361" t="s">
        <v>4479</v>
      </c>
      <c r="AS11" s="1363" t="s">
        <v>4480</v>
      </c>
      <c r="AT11" s="210" t="s">
        <v>4617</v>
      </c>
      <c r="AU11" s="203" t="s">
        <v>15</v>
      </c>
      <c r="AV11" s="491" t="s">
        <v>5081</v>
      </c>
      <c r="AW11" s="342" t="s">
        <v>9</v>
      </c>
      <c r="AX11" s="590" t="s">
        <v>10</v>
      </c>
      <c r="AY11" s="1364" t="s">
        <v>5818</v>
      </c>
      <c r="AZ11" s="1365" t="s">
        <v>5819</v>
      </c>
      <c r="BA11" s="1366" t="s">
        <v>5823</v>
      </c>
      <c r="BB11" s="590" t="s">
        <v>2878</v>
      </c>
      <c r="BC11" s="1367" t="s">
        <v>4656</v>
      </c>
      <c r="BD11" s="204" t="s">
        <v>4654</v>
      </c>
      <c r="BE11" s="1368" t="s">
        <v>4657</v>
      </c>
      <c r="BF11" s="204" t="s">
        <v>4655</v>
      </c>
      <c r="BG11" s="168" t="s">
        <v>4637</v>
      </c>
      <c r="BH11" s="168" t="s">
        <v>6661</v>
      </c>
      <c r="BI11" s="168" t="s">
        <v>5958</v>
      </c>
      <c r="BJ11" s="168" t="s">
        <v>7394</v>
      </c>
      <c r="BK11" s="168" t="s">
        <v>7385</v>
      </c>
      <c r="BL11" s="203" t="s">
        <v>4577</v>
      </c>
      <c r="BM11" s="1369" t="s">
        <v>4578</v>
      </c>
      <c r="BN11" s="1369" t="s">
        <v>4579</v>
      </c>
      <c r="BO11" s="1369" t="s">
        <v>5101</v>
      </c>
      <c r="BP11" s="1369" t="s">
        <v>5100</v>
      </c>
      <c r="BQ11" s="179" t="s">
        <v>4576</v>
      </c>
      <c r="BR11" s="1370" t="s">
        <v>4581</v>
      </c>
      <c r="BS11" s="1369" t="s">
        <v>4582</v>
      </c>
      <c r="BT11" s="1369" t="s">
        <v>4583</v>
      </c>
      <c r="BU11" s="204" t="s">
        <v>2876</v>
      </c>
      <c r="BV11" s="589" t="s">
        <v>4635</v>
      </c>
      <c r="BW11" s="94" t="s">
        <v>4662</v>
      </c>
      <c r="BX11" s="94" t="s">
        <v>5961</v>
      </c>
      <c r="BY11" s="94" t="s">
        <v>2859</v>
      </c>
      <c r="BZ11" s="94" t="s">
        <v>6970</v>
      </c>
      <c r="CA11" s="94" t="s">
        <v>4661</v>
      </c>
      <c r="CB11" s="94" t="s">
        <v>4568</v>
      </c>
      <c r="CC11" s="94" t="s">
        <v>4569</v>
      </c>
      <c r="CG11" s="350" t="s">
        <v>5506</v>
      </c>
      <c r="CH11" s="600" t="s">
        <v>4637</v>
      </c>
      <c r="CI11" s="350" t="s">
        <v>5507</v>
      </c>
      <c r="CJ11" s="602" t="s">
        <v>7451</v>
      </c>
      <c r="CK11" s="602" t="s">
        <v>5826</v>
      </c>
      <c r="CL11" s="350" t="s">
        <v>7409</v>
      </c>
      <c r="CM11" s="350" t="s">
        <v>7385</v>
      </c>
      <c r="CN11" s="351" t="s">
        <v>5508</v>
      </c>
      <c r="CO11" s="350" t="s">
        <v>5509</v>
      </c>
      <c r="CP11" s="350" t="s">
        <v>5510</v>
      </c>
      <c r="CQ11" s="352" t="s">
        <v>7452</v>
      </c>
      <c r="CR11" s="350" t="s">
        <v>5512</v>
      </c>
      <c r="CS11" s="353" t="s">
        <v>5507</v>
      </c>
      <c r="CT11" s="353" t="s">
        <v>5513</v>
      </c>
      <c r="CU11" s="354" t="s">
        <v>5514</v>
      </c>
      <c r="CV11" s="1564"/>
      <c r="CW11" s="1567" t="s">
        <v>7368</v>
      </c>
      <c r="CX11" s="1566" t="s">
        <v>7369</v>
      </c>
      <c r="CY11" s="472"/>
      <c r="CZ11" s="1186" t="s">
        <v>6156</v>
      </c>
      <c r="DA11" s="1186" t="s">
        <v>6157</v>
      </c>
      <c r="DB11" s="1186" t="s">
        <v>6158</v>
      </c>
      <c r="DC11" s="1186" t="s">
        <v>6159</v>
      </c>
      <c r="DD11" s="1186"/>
      <c r="DE11" s="472"/>
      <c r="DF11" s="472"/>
      <c r="DG11" s="472"/>
      <c r="DH11" s="472"/>
      <c r="DJ11" s="375" t="s">
        <v>6568</v>
      </c>
      <c r="DK11" s="894" t="s">
        <v>5950</v>
      </c>
      <c r="DL11" s="894" t="s">
        <v>5952</v>
      </c>
      <c r="DM11" s="1761" t="s">
        <v>5957</v>
      </c>
      <c r="DN11" s="1762"/>
    </row>
    <row r="12" spans="1:118" s="473" customFormat="1" ht="21.75" customHeight="1" thickBot="1">
      <c r="A12" s="391" t="s">
        <v>4627</v>
      </c>
      <c r="B12" s="501"/>
      <c r="C12" s="502"/>
      <c r="D12" s="220"/>
      <c r="E12" s="492"/>
      <c r="F12" s="423"/>
      <c r="G12" s="493"/>
      <c r="H12" s="494"/>
      <c r="I12" s="180"/>
      <c r="J12" s="180"/>
      <c r="K12" s="180"/>
      <c r="L12" s="180"/>
      <c r="M12" s="180"/>
      <c r="N12" s="180"/>
      <c r="O12" s="479"/>
      <c r="P12" s="479"/>
      <c r="Q12" s="180"/>
      <c r="R12" s="495"/>
      <c r="S12" s="180"/>
      <c r="T12" s="180"/>
      <c r="U12" s="180"/>
      <c r="V12" s="180"/>
      <c r="W12" s="180"/>
      <c r="X12" s="180"/>
      <c r="Y12" s="180"/>
      <c r="Z12" s="496"/>
      <c r="AA12" s="181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3"/>
      <c r="AP12" s="183"/>
      <c r="AQ12" s="183"/>
      <c r="AR12" s="183"/>
      <c r="AS12" s="183"/>
      <c r="AT12" s="183"/>
      <c r="AU12" s="180"/>
      <c r="AV12" s="339"/>
      <c r="AW12" s="180"/>
      <c r="AX12" s="182"/>
      <c r="AY12" s="182"/>
      <c r="AZ12" s="592"/>
      <c r="BA12" s="592"/>
      <c r="BB12" s="180"/>
      <c r="BC12" s="180"/>
      <c r="BD12" s="180"/>
      <c r="BE12" s="180"/>
      <c r="BF12" s="180"/>
      <c r="BG12" s="182"/>
      <c r="BH12" s="182"/>
      <c r="BI12" s="182"/>
      <c r="BJ12" s="182"/>
      <c r="BK12" s="182"/>
      <c r="BL12" s="180"/>
      <c r="BM12" s="180"/>
      <c r="BN12" s="180"/>
      <c r="BO12" s="180"/>
      <c r="BP12" s="180"/>
      <c r="BQ12" s="180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Y12" s="472"/>
      <c r="CZ12" s="514"/>
      <c r="DA12" s="514"/>
      <c r="DB12" s="514"/>
      <c r="DC12" s="514"/>
      <c r="DD12" s="472"/>
      <c r="DE12" s="472"/>
      <c r="DF12" s="472"/>
      <c r="DG12" s="472"/>
      <c r="DH12" s="472"/>
      <c r="DL12" s="1216"/>
    </row>
    <row r="13" spans="1:118" s="473" customFormat="1" ht="21.95" customHeight="1">
      <c r="A13" s="1516" t="s">
        <v>2846</v>
      </c>
      <c r="B13" s="194">
        <v>1</v>
      </c>
      <c r="C13" s="377">
        <v>19591141</v>
      </c>
      <c r="D13" s="378" t="s">
        <v>5210</v>
      </c>
      <c r="E13" s="366" t="s">
        <v>4622</v>
      </c>
      <c r="F13" s="421">
        <v>32351</v>
      </c>
      <c r="G13" s="366" t="s">
        <v>4620</v>
      </c>
      <c r="H13" s="421">
        <v>44537</v>
      </c>
      <c r="I13" s="1517">
        <f>IF(AND(YEAR(H13)&lt;YEAR($H$10),MONTH(H13)&gt;$BR$8),YEAR($H$10)-YEAR(H13)-1,IF(OR(H13="",YEAR(H13)&gt;YEAR($H$10)),0,YEAR($H$10)-YEAR(H13)))</f>
        <v>3</v>
      </c>
      <c r="J13" s="379">
        <v>0</v>
      </c>
      <c r="K13" s="1517">
        <f>I13+J13</f>
        <v>3</v>
      </c>
      <c r="L13" s="1176" t="s">
        <v>5529</v>
      </c>
      <c r="M13" s="379" t="s">
        <v>4932</v>
      </c>
      <c r="N13" s="379"/>
      <c r="O13" s="380" t="s">
        <v>3636</v>
      </c>
      <c r="P13" s="379" t="s">
        <v>5213</v>
      </c>
      <c r="Q13" s="1518" t="str">
        <f>IFERROR(VLOOKUP(O13,CARGOS!A:E,2,0),"")</f>
        <v>90008</v>
      </c>
      <c r="R13" s="1519" t="s">
        <v>5048</v>
      </c>
      <c r="S13" s="366" t="s">
        <v>2835</v>
      </c>
      <c r="T13" s="844">
        <v>0</v>
      </c>
      <c r="U13" s="343">
        <v>0</v>
      </c>
      <c r="V13" s="844">
        <f>T13-U13</f>
        <v>0</v>
      </c>
      <c r="W13" s="343">
        <f>ROUND(V13/2,2)</f>
        <v>0</v>
      </c>
      <c r="X13" s="366" t="s">
        <v>2885</v>
      </c>
      <c r="Y13" s="366"/>
      <c r="Z13" s="366">
        <v>0</v>
      </c>
      <c r="AA13" s="844">
        <f>ROUND(IF(H13&lt;&gt;"",VLOOKUP(SUM(I13+J13),'CONCEPTOS Y PARAMETROS'!F:G,2,0)*V13,0),2)</f>
        <v>0</v>
      </c>
      <c r="AB13" s="1520">
        <f>IF(S13&lt;&gt;"",IF(M13="",'CONCEPTOS Y PARAMETROS'!$C$4,0),0)</f>
        <v>0</v>
      </c>
      <c r="AC13" s="1520">
        <f>IF(S13&lt;&gt;"",IF(M13="",'CONCEPTOS Y PARAMETROS'!$C$7*Z13,0),0)</f>
        <v>0</v>
      </c>
      <c r="AD13" s="844">
        <f>IFERROR(ROUND(VLOOKUP($X13,'CONCEPTOS Y PARAMETROS'!H:I,2,0)*($V13+AA13+AB13+AC13),2),0)</f>
        <v>0</v>
      </c>
      <c r="AE13" s="844">
        <f>SUM(AA13:AD13)</f>
        <v>0</v>
      </c>
      <c r="AF13" s="844">
        <f>ROUND(AA13/2,2)</f>
        <v>0</v>
      </c>
      <c r="AG13" s="844">
        <f>ROUND(AA13-AF13,2)</f>
        <v>0</v>
      </c>
      <c r="AH13" s="844">
        <f>ROUND(AB13/2,2)</f>
        <v>0</v>
      </c>
      <c r="AI13" s="844">
        <f>ROUND(AB13-AH13,2)</f>
        <v>0</v>
      </c>
      <c r="AJ13" s="844">
        <f>ROUND(AD13/2,2)</f>
        <v>0</v>
      </c>
      <c r="AK13" s="844">
        <f>ROUND(AD13-AJ13,2)</f>
        <v>0</v>
      </c>
      <c r="AL13" s="343">
        <f>ROUND(AF13+AH13+AJ13+AC13,2)</f>
        <v>0</v>
      </c>
      <c r="AM13" s="343">
        <f>ROUND(AG13+AI13+AK13,2)</f>
        <v>0</v>
      </c>
      <c r="AN13" s="344">
        <v>0</v>
      </c>
      <c r="AO13" s="1521">
        <f>'CONCEPTOS Y PARAMETROS'!$C$18*AN13</f>
        <v>0</v>
      </c>
      <c r="AP13" s="344">
        <v>0</v>
      </c>
      <c r="AQ13" s="1521">
        <f>'CONCEPTOS Y PARAMETROS'!$C$21*AP13</f>
        <v>0</v>
      </c>
      <c r="AR13" s="1522">
        <v>0</v>
      </c>
      <c r="AS13" s="1522">
        <v>0</v>
      </c>
      <c r="AT13" s="1522">
        <f>+AO13+AQ13+AR13+AS13</f>
        <v>0</v>
      </c>
      <c r="AU13" s="343">
        <f>V13+AE13+AW13</f>
        <v>0</v>
      </c>
      <c r="AV13" s="1523">
        <v>0</v>
      </c>
      <c r="AW13" s="343">
        <f>ROUND(IF(O13="VIGILANTE",(V13+AE13)*30%,0),2)</f>
        <v>0</v>
      </c>
      <c r="AX13" s="844">
        <f>IF(T13&lt;&gt;"0",(ROUND(IF(A13="EMPLEADO",eval_formula('CONCEPTOS Y PARAMETROS'!$C$8,NOMINA!V13,NOMINA!$AU13,NOMINA!I13+NOMINA!J13),eval_formula('CONCEPTOS Y PARAMETROS'!$D$8,NOMINA!V13,NOMINA!$AU13,NOMINA!I13+NOMINA!J13)),2))*IF(H13&lt;&gt;"",IF(MONTH(H13)=$BR$8,IF(YEAR(H13)&lt;$BT$7,1,0),0)))</f>
        <v>0</v>
      </c>
      <c r="AY13" s="844">
        <v>180</v>
      </c>
      <c r="AZ13" s="844">
        <f>IFERROR(VLOOKUP(AY13,'CONCEPTOS Y PARAMETROS'!Y:Z,2,0),0)</f>
        <v>150</v>
      </c>
      <c r="BA13" s="844">
        <f>(((AU13))/30*AY13/12+(AU13))/30*AZ13</f>
        <v>0</v>
      </c>
      <c r="BB13" s="844">
        <f>ROUND(AU13/30*$BB$10,2)</f>
        <v>0</v>
      </c>
      <c r="BC13" s="344">
        <v>0</v>
      </c>
      <c r="BD13" s="844" t="str">
        <f>IF(BC13&gt;0,((((((V13+AA13+AB13+AC13+AD13)/30)/8)*50%)+((((V13+AA13+AB13+AC13+AD13)/30)/8)))*30%+(((((V13+AA13+AB13+AC13+AD13)/30)/8)*50%)+((((V13+AA13+AB13+AC13+AD13)/30)/8))))*BC13,"0")</f>
        <v>0</v>
      </c>
      <c r="BE13" s="344">
        <v>0</v>
      </c>
      <c r="BF13" s="844">
        <f>ROUND(IF(BE13&gt;0,(((V13+AA13+AB13+AC13+AD13)/30)*50%+((V13+AA13+AB13+AC13+AD13)/30))*BE13,"0"),2)</f>
        <v>0</v>
      </c>
      <c r="BG13" s="343">
        <v>0</v>
      </c>
      <c r="BH13" s="343">
        <f>+IF(AND(Z13&gt;0,G13="M"),12.5,0)</f>
        <v>0</v>
      </c>
      <c r="BI13" s="343">
        <v>0</v>
      </c>
      <c r="BJ13" s="343">
        <f>+IF(BI13&lt;&gt;0,(BI13*12.5),0)</f>
        <v>0</v>
      </c>
      <c r="BK13" s="343">
        <v>0</v>
      </c>
      <c r="BL13" s="1524">
        <f>ROUND(IF(M13="", (((AU13*12)/52)*4%)*$BS$8,0),2)</f>
        <v>0</v>
      </c>
      <c r="BM13" s="1524">
        <f>ROUND(IF(M13="",(((AU13*12)/52)*0.5%)*$BS$8,0),2)</f>
        <v>0</v>
      </c>
      <c r="BN13" s="1524">
        <f>ROUND(IF(M13="",(AU13*1%),0),2)</f>
        <v>0</v>
      </c>
      <c r="BO13" s="1524">
        <v>0</v>
      </c>
      <c r="BP13" s="1524">
        <v>0</v>
      </c>
      <c r="BQ13" s="1525">
        <f>ROUND(SUM(BL13:BP13),2)</f>
        <v>0</v>
      </c>
      <c r="BR13" s="1524">
        <f>ROUND(IF(M13="", (((AU13*12)/52)*9%)*$BS$8,0),2)</f>
        <v>0</v>
      </c>
      <c r="BS13" s="1524">
        <f>ROUND(IF(M13="",(((AU13*12)/52)*2%)*$BS$8,0),2)</f>
        <v>0</v>
      </c>
      <c r="BT13" s="1524">
        <f>ROUND(IF(M13="",(BN13*2),0),2)</f>
        <v>0</v>
      </c>
      <c r="BU13" s="844">
        <v>0</v>
      </c>
      <c r="BV13" s="343">
        <f t="shared" ref="BV13:BV39" si="0">ROUND(SUM(BR13:BT13),2)</f>
        <v>0</v>
      </c>
      <c r="BW13" s="673">
        <f t="shared" ref="BW13:BW39" si="1">BQ13+BV13</f>
        <v>0</v>
      </c>
      <c r="BX13" s="343">
        <f>BA13/4</f>
        <v>0</v>
      </c>
      <c r="BY13" s="343">
        <v>0</v>
      </c>
      <c r="BZ13" s="673">
        <f>+BX13+BY13</f>
        <v>0</v>
      </c>
      <c r="CA13" s="1526">
        <v>0</v>
      </c>
      <c r="CB13" s="673">
        <f>W13+AL13-BQ13</f>
        <v>0</v>
      </c>
      <c r="CC13" s="674">
        <v>0</v>
      </c>
      <c r="CG13" s="497">
        <f>W13+AL13+BG13-BQ13</f>
        <v>0</v>
      </c>
      <c r="CH13" s="1711">
        <f>BG13</f>
        <v>0</v>
      </c>
      <c r="CI13" s="497">
        <f>W13+AM13+BG13</f>
        <v>0</v>
      </c>
      <c r="CJ13" s="497">
        <f>ROUND(IF(CI13&gt;560,CI13*48%,CI13),2)</f>
        <v>0</v>
      </c>
      <c r="CK13" s="497">
        <f t="shared" ref="CK13:CK14" si="2">+CI13-CJ13</f>
        <v>0</v>
      </c>
      <c r="CL13" s="497">
        <f>+BJ13</f>
        <v>0</v>
      </c>
      <c r="CM13" s="497">
        <f>+BK13</f>
        <v>0</v>
      </c>
      <c r="CN13" s="498">
        <f>BF13+BB13</f>
        <v>0</v>
      </c>
      <c r="CO13" s="499">
        <v>0</v>
      </c>
      <c r="CP13" s="498">
        <f>AW13</f>
        <v>0</v>
      </c>
      <c r="CQ13" s="500">
        <f>AT13+CL13+CM13</f>
        <v>0</v>
      </c>
      <c r="CR13" s="498">
        <f>AX13</f>
        <v>0</v>
      </c>
      <c r="CS13" s="498">
        <f>SUM(CL13:CR13)</f>
        <v>0</v>
      </c>
      <c r="CT13" s="498">
        <f>BQ13+BV13</f>
        <v>0</v>
      </c>
      <c r="CU13" s="498">
        <f>CA13</f>
        <v>0</v>
      </c>
      <c r="CV13" s="1554"/>
      <c r="CW13" s="378" t="s">
        <v>7177</v>
      </c>
      <c r="CX13" s="378" t="s">
        <v>6935</v>
      </c>
      <c r="CY13" s="472"/>
      <c r="CZ13" s="514" t="s">
        <v>6160</v>
      </c>
      <c r="DA13" s="514" t="s">
        <v>6161</v>
      </c>
      <c r="DB13" s="514" t="s">
        <v>6162</v>
      </c>
      <c r="DC13" s="514" t="s">
        <v>6163</v>
      </c>
      <c r="DD13" s="472"/>
      <c r="DE13" s="472"/>
      <c r="DF13" s="472"/>
      <c r="DG13" s="472"/>
      <c r="DH13" s="472"/>
      <c r="DJ13" s="473" t="str">
        <f>VLOOKUP(X13,Hoja1!$A$4:$B$10,2,0)</f>
        <v>PROFESIONAL</v>
      </c>
      <c r="DK13" s="473" t="str">
        <f>VLOOKUP(S13,Hoja1!$D$4:$F$77,3,0)</f>
        <v>COORDINADOR DE ÁREA</v>
      </c>
      <c r="DL13" s="1216" t="str">
        <f>IF(AV13="NOCTURN","SI","0")</f>
        <v>0</v>
      </c>
      <c r="DM13" s="1741" t="str">
        <f>+G13</f>
        <v>F</v>
      </c>
      <c r="DN13" s="1741"/>
    </row>
    <row r="14" spans="1:118" s="473" customFormat="1" ht="21.95" customHeight="1" thickBot="1">
      <c r="A14" s="1527" t="s">
        <v>2846</v>
      </c>
      <c r="B14" s="415">
        <f t="shared" ref="B14:B38" ca="1" si="3">OFFSET(B14,-1,0)+1</f>
        <v>2</v>
      </c>
      <c r="C14" s="1387">
        <v>15827671</v>
      </c>
      <c r="D14" s="1388" t="s">
        <v>5212</v>
      </c>
      <c r="E14" s="387" t="s">
        <v>4622</v>
      </c>
      <c r="F14" s="422">
        <v>30226</v>
      </c>
      <c r="G14" s="387" t="s">
        <v>4620</v>
      </c>
      <c r="H14" s="422">
        <v>44545</v>
      </c>
      <c r="I14" s="1528">
        <f>IF(AND(YEAR(H14)&lt;YEAR($H$10),MONTH(H14)&gt;$BR$8),YEAR($H$10)-YEAR(H14)-1,IF(OR(H14="",YEAR(H14)&gt;YEAR($H$10)),0,YEAR($H$10)-YEAR(H14)))</f>
        <v>3</v>
      </c>
      <c r="J14" s="388">
        <f>14*0+1</f>
        <v>1</v>
      </c>
      <c r="K14" s="1528">
        <f>I14+J14</f>
        <v>4</v>
      </c>
      <c r="L14" s="1529" t="s">
        <v>5531</v>
      </c>
      <c r="M14" s="388" t="s">
        <v>5503</v>
      </c>
      <c r="N14" s="388"/>
      <c r="O14" s="389" t="s">
        <v>1582</v>
      </c>
      <c r="P14" s="388" t="s">
        <v>5215</v>
      </c>
      <c r="Q14" s="1530" t="str">
        <f>IFERROR(VLOOKUP(O14,CARGOS!A:E,2,0),"")</f>
        <v>00906</v>
      </c>
      <c r="R14" s="1531" t="s">
        <v>5049</v>
      </c>
      <c r="S14" s="387" t="s">
        <v>2836</v>
      </c>
      <c r="T14" s="1389">
        <f>IFERROR(VLOOKUP(S14,'TAB EMP'!A:B,2,0),0)</f>
        <v>363</v>
      </c>
      <c r="U14" s="390">
        <v>310</v>
      </c>
      <c r="V14" s="1389">
        <f>T14-U14</f>
        <v>53</v>
      </c>
      <c r="W14" s="390">
        <f>ROUND(V14/2,2)</f>
        <v>26.5</v>
      </c>
      <c r="X14" s="387" t="s">
        <v>2885</v>
      </c>
      <c r="Y14" s="387"/>
      <c r="Z14" s="387">
        <v>0</v>
      </c>
      <c r="AA14" s="1389">
        <f>ROUND(IF(H14&lt;&gt;"",VLOOKUP(SUM(I14+J14),'CONCEPTOS Y PARAMETROS'!F:G,2,0)*V14,0),2)</f>
        <v>2.12</v>
      </c>
      <c r="AB14" s="1532">
        <f>IF(S14&lt;&gt;"",IF(M14="",'CONCEPTOS Y PARAMETROS'!$C$4,0),0)</f>
        <v>0</v>
      </c>
      <c r="AC14" s="1532">
        <f>IF(S14&lt;&gt;"",IF(M14="",'CONCEPTOS Y PARAMETROS'!$C$7*Z14,0),0)</f>
        <v>0</v>
      </c>
      <c r="AD14" s="1389">
        <f>IFERROR(ROUND(VLOOKUP($X14,'CONCEPTOS Y PARAMETROS'!H:I,2,0)*($V14+AA14+AB14+AC14),2),0)</f>
        <v>13.78</v>
      </c>
      <c r="AE14" s="1389">
        <f>SUM(AA14:AD14)</f>
        <v>15.899999999999999</v>
      </c>
      <c r="AF14" s="1389">
        <f>ROUND(AA14/2,2)</f>
        <v>1.06</v>
      </c>
      <c r="AG14" s="1389">
        <f>ROUND(AA14-AF14,2)</f>
        <v>1.06</v>
      </c>
      <c r="AH14" s="1389">
        <f>ROUND(AB14/2,2)</f>
        <v>0</v>
      </c>
      <c r="AI14" s="1389">
        <f>ROUND(AB14-AH14,2)</f>
        <v>0</v>
      </c>
      <c r="AJ14" s="1389">
        <f>ROUND(AD14/2,2)</f>
        <v>6.89</v>
      </c>
      <c r="AK14" s="1389">
        <f>ROUND(AD14-AJ14,2)</f>
        <v>6.89</v>
      </c>
      <c r="AL14" s="390">
        <f>ROUND(AF14+AH14+AJ14+AC14,2)</f>
        <v>7.95</v>
      </c>
      <c r="AM14" s="390">
        <f>ROUND(AG14+AI14+AK14,2)</f>
        <v>7.95</v>
      </c>
      <c r="AN14" s="416">
        <v>0</v>
      </c>
      <c r="AO14" s="1533">
        <f>'CONCEPTOS Y PARAMETROS'!$C$18*AN14</f>
        <v>0</v>
      </c>
      <c r="AP14" s="416">
        <v>0</v>
      </c>
      <c r="AQ14" s="1533">
        <f>'CONCEPTOS Y PARAMETROS'!$C$21*AP14</f>
        <v>0</v>
      </c>
      <c r="AR14" s="1534">
        <v>0</v>
      </c>
      <c r="AS14" s="1534">
        <v>0</v>
      </c>
      <c r="AT14" s="1534">
        <f>+AO14+AQ14+AR14+AS14</f>
        <v>0</v>
      </c>
      <c r="AU14" s="390">
        <f>V14+AE14+AW14</f>
        <v>68.900000000000006</v>
      </c>
      <c r="AV14" s="1535">
        <v>0</v>
      </c>
      <c r="AW14" s="390">
        <f>ROUND(IF(O14="VIGILANTE",(V14+AE14)*30%,0),2)</f>
        <v>0</v>
      </c>
      <c r="AX14" s="1389">
        <f>IF(T14&lt;&gt;"0",(ROUND(IF(A14="EMPLEADO",eval_formula('CONCEPTOS Y PARAMETROS'!$C$8,NOMINA!V14,NOMINA!$AU14,NOMINA!I14+NOMINA!J14),eval_formula('CONCEPTOS Y PARAMETROS'!$D$8,NOMINA!V14,NOMINA!$AU14,NOMINA!I14+NOMINA!J14)),2))*IF(H14&lt;&gt;"",IF(MONTH(H14)=$BR$8,IF(YEAR(H14)&lt;$BT$7,1,0),0)))</f>
        <v>0</v>
      </c>
      <c r="AY14" s="390">
        <v>180</v>
      </c>
      <c r="AZ14" s="1389">
        <f>IFERROR(VLOOKUP(AY14,'CONCEPTOS Y PARAMETROS'!Y:Z,2,0),0)</f>
        <v>150</v>
      </c>
      <c r="BA14" s="1389">
        <f t="shared" ref="BA14" si="4">ROUND((((AU14))/30*AY14/12+(AU14))/30*AZ14,2)</f>
        <v>516.75</v>
      </c>
      <c r="BB14" s="1389">
        <f>ROUND(AU14/30*$BB$10,2)</f>
        <v>0</v>
      </c>
      <c r="BC14" s="416">
        <v>0</v>
      </c>
      <c r="BD14" s="1389" t="str">
        <f>IF(BC14&gt;0,((((((V14+AA14+AB14+AC14+AD14)/30)/8)*50%)+((((V14+AA14+AB14+AC14+AD14)/30)/8)))*30%+(((((V14+AA14+AB14+AC14+AD14)/30)/8)*50%)+((((V14+AA14+AB14+AC14+AD14)/30)/8))))*BC14,"0")</f>
        <v>0</v>
      </c>
      <c r="BE14" s="416">
        <v>0</v>
      </c>
      <c r="BF14" s="1389">
        <f>ROUND(IF(BE14&gt;0,(((V14+AA14+AB14+AC14+AD14)/30)*50%+((V14+AA14+AB14+AC14+AD14)/30))*BE14,"0"),2)</f>
        <v>0</v>
      </c>
      <c r="BG14" s="390">
        <v>300</v>
      </c>
      <c r="BH14" s="390">
        <f>+IF(AND(Z14&gt;0,G14="M"),12.5,0)</f>
        <v>0</v>
      </c>
      <c r="BI14" s="390">
        <v>0</v>
      </c>
      <c r="BJ14" s="390">
        <f>+IF(BI14&lt;&gt;0,(BI14*12.5),0)</f>
        <v>0</v>
      </c>
      <c r="BK14" s="390">
        <v>0</v>
      </c>
      <c r="BL14" s="1536">
        <f>ROUND(IF(M14="", (((AU14*12)/52)*4%)*$BS$8,0),2)</f>
        <v>0</v>
      </c>
      <c r="BM14" s="1536">
        <f>ROUND(IF(M14="",(((AU14*12)/52)*0.5%)*$BS$8,0),2)</f>
        <v>0</v>
      </c>
      <c r="BN14" s="1536">
        <f>ROUND(IF(M14="",(AU14*1%),0),2)</f>
        <v>0</v>
      </c>
      <c r="BO14" s="1536">
        <v>0</v>
      </c>
      <c r="BP14" s="1536">
        <v>0</v>
      </c>
      <c r="BQ14" s="1537">
        <f t="shared" ref="BQ14:BQ39" si="5">ROUND(SUM(BL14:BP14),2)</f>
        <v>0</v>
      </c>
      <c r="BR14" s="1536">
        <f>ROUND(IF(M14="", (((AU14*12)/52)*9%)*$BS$8,0),2)</f>
        <v>0</v>
      </c>
      <c r="BS14" s="1536">
        <f>ROUND(IF(M14="",(((AU14*12)/52)*2%)*$BS$8,0),2)</f>
        <v>0</v>
      </c>
      <c r="BT14" s="1536">
        <f>ROUND(IF(M14="",(BN14*2),0),2)</f>
        <v>0</v>
      </c>
      <c r="BU14" s="1389">
        <v>0</v>
      </c>
      <c r="BV14" s="390">
        <f t="shared" si="0"/>
        <v>0</v>
      </c>
      <c r="BW14" s="880">
        <f t="shared" si="1"/>
        <v>0</v>
      </c>
      <c r="BX14" s="390">
        <f>ROUND(BA14/4,2)</f>
        <v>129.19</v>
      </c>
      <c r="BY14" s="390">
        <v>0</v>
      </c>
      <c r="BZ14" s="880">
        <f>+BX14+BY14</f>
        <v>129.19</v>
      </c>
      <c r="CA14" s="1538">
        <v>0</v>
      </c>
      <c r="CB14" s="880">
        <f>W14+AL14-BQ14</f>
        <v>34.450000000000003</v>
      </c>
      <c r="CC14" s="1539">
        <f>ROUND((W14+AM14+AT14+AW14+AX14+BB14+BD14+BF14+BJ14+BK14+BG14),2)</f>
        <v>334.45</v>
      </c>
      <c r="CD14" s="514"/>
      <c r="CE14" s="514"/>
      <c r="CF14" s="472"/>
      <c r="CG14" s="497">
        <f>W14+AL14-BQ14</f>
        <v>34.450000000000003</v>
      </c>
      <c r="CH14" s="1711">
        <f>BG14</f>
        <v>300</v>
      </c>
      <c r="CI14" s="497">
        <f>W14+AM14+BG14</f>
        <v>334.45</v>
      </c>
      <c r="CJ14" s="497">
        <f>ROUND(IF(CI14&gt;560,CI14*48%,CI14),2)</f>
        <v>334.45</v>
      </c>
      <c r="CK14" s="497">
        <f t="shared" si="2"/>
        <v>0</v>
      </c>
      <c r="CL14" s="497">
        <f>+BJ14</f>
        <v>0</v>
      </c>
      <c r="CM14" s="497">
        <f>+BK14</f>
        <v>0</v>
      </c>
      <c r="CN14" s="498">
        <f>BF14+BB14</f>
        <v>0</v>
      </c>
      <c r="CO14" s="499">
        <v>0</v>
      </c>
      <c r="CP14" s="498">
        <f>AW14</f>
        <v>0</v>
      </c>
      <c r="CQ14" s="500">
        <f>AT14+CL14+CM14</f>
        <v>0</v>
      </c>
      <c r="CR14" s="498">
        <f>AX14</f>
        <v>0</v>
      </c>
      <c r="CS14" s="498">
        <f>SUM(CL14:CR14)</f>
        <v>0</v>
      </c>
      <c r="CT14" s="498">
        <f>BQ14+BV14</f>
        <v>0</v>
      </c>
      <c r="CU14" s="498">
        <f>CA14</f>
        <v>0</v>
      </c>
      <c r="CV14" s="1554"/>
      <c r="CW14" s="1388" t="s">
        <v>6972</v>
      </c>
      <c r="CX14" s="1388" t="s">
        <v>6928</v>
      </c>
      <c r="CY14" s="472"/>
      <c r="CZ14" s="514" t="s">
        <v>6164</v>
      </c>
      <c r="DA14" s="514" t="s">
        <v>6165</v>
      </c>
      <c r="DB14" s="514" t="s">
        <v>6166</v>
      </c>
      <c r="DC14" s="514" t="s">
        <v>6167</v>
      </c>
      <c r="DD14" s="472"/>
      <c r="DE14" s="472"/>
      <c r="DF14" s="472"/>
      <c r="DG14" s="472"/>
      <c r="DH14" s="472"/>
      <c r="DJ14" s="473" t="str">
        <f>VLOOKUP(X14,Hoja1!$A$4:$B$10,2,0)</f>
        <v>PROFESIONAL</v>
      </c>
      <c r="DK14" s="473" t="str">
        <f>VLOOKUP(S14,Hoja1!$D$4:$F$77,3,0)</f>
        <v>JEFE DE DIVISIÓN</v>
      </c>
      <c r="DL14" s="1216" t="str">
        <f>IF(AV14="NOCTURN","SI","0")</f>
        <v>0</v>
      </c>
      <c r="DM14" s="1741" t="str">
        <f>+G14</f>
        <v>F</v>
      </c>
      <c r="DN14" s="1741"/>
    </row>
    <row r="15" spans="1:118" s="473" customFormat="1" ht="20.25" customHeight="1" thickBot="1">
      <c r="A15" s="466"/>
      <c r="B15" s="381">
        <f ca="1">COUNT(B13:B14)</f>
        <v>2</v>
      </c>
      <c r="C15" s="467" t="s">
        <v>5517</v>
      </c>
      <c r="D15" s="468"/>
      <c r="E15" s="468"/>
      <c r="F15" s="381"/>
      <c r="G15" s="468"/>
      <c r="H15" s="468"/>
      <c r="I15" s="382">
        <f>SUM(I13:I14)</f>
        <v>6</v>
      </c>
      <c r="J15" s="382">
        <f t="shared" ref="J15:K15" si="6">SUM(J13:J14)</f>
        <v>1</v>
      </c>
      <c r="K15" s="382">
        <f t="shared" si="6"/>
        <v>7</v>
      </c>
      <c r="L15" s="468"/>
      <c r="M15" s="468"/>
      <c r="N15" s="468"/>
      <c r="O15" s="468"/>
      <c r="P15" s="468"/>
      <c r="Q15" s="381"/>
      <c r="R15" s="468"/>
      <c r="S15" s="468"/>
      <c r="T15" s="382">
        <f>SUM(T13:T14)</f>
        <v>363</v>
      </c>
      <c r="U15" s="382">
        <f>SUM(U13:U14)</f>
        <v>310</v>
      </c>
      <c r="V15" s="382">
        <f>SUM(V13:V14)</f>
        <v>53</v>
      </c>
      <c r="W15" s="382">
        <f>SUM(W13:W14)</f>
        <v>26.5</v>
      </c>
      <c r="X15" s="468"/>
      <c r="Y15" s="468"/>
      <c r="Z15" s="383">
        <f t="shared" ref="Z15:BE15" si="7">SUM(Z13:Z14)</f>
        <v>0</v>
      </c>
      <c r="AA15" s="382">
        <f t="shared" si="7"/>
        <v>2.12</v>
      </c>
      <c r="AB15" s="382">
        <f t="shared" si="7"/>
        <v>0</v>
      </c>
      <c r="AC15" s="382">
        <f t="shared" si="7"/>
        <v>0</v>
      </c>
      <c r="AD15" s="382">
        <f t="shared" si="7"/>
        <v>13.78</v>
      </c>
      <c r="AE15" s="382">
        <f t="shared" si="7"/>
        <v>15.899999999999999</v>
      </c>
      <c r="AF15" s="382">
        <f t="shared" si="7"/>
        <v>1.06</v>
      </c>
      <c r="AG15" s="382">
        <f t="shared" si="7"/>
        <v>1.06</v>
      </c>
      <c r="AH15" s="382">
        <f t="shared" si="7"/>
        <v>0</v>
      </c>
      <c r="AI15" s="382">
        <f t="shared" si="7"/>
        <v>0</v>
      </c>
      <c r="AJ15" s="382">
        <f t="shared" si="7"/>
        <v>6.89</v>
      </c>
      <c r="AK15" s="382">
        <f t="shared" si="7"/>
        <v>6.89</v>
      </c>
      <c r="AL15" s="382">
        <f t="shared" si="7"/>
        <v>7.95</v>
      </c>
      <c r="AM15" s="382">
        <f t="shared" si="7"/>
        <v>7.95</v>
      </c>
      <c r="AN15" s="382">
        <f t="shared" si="7"/>
        <v>0</v>
      </c>
      <c r="AO15" s="382">
        <f t="shared" si="7"/>
        <v>0</v>
      </c>
      <c r="AP15" s="382">
        <f t="shared" si="7"/>
        <v>0</v>
      </c>
      <c r="AQ15" s="382">
        <f t="shared" si="7"/>
        <v>0</v>
      </c>
      <c r="AR15" s="382">
        <f t="shared" si="7"/>
        <v>0</v>
      </c>
      <c r="AS15" s="382">
        <f t="shared" si="7"/>
        <v>0</v>
      </c>
      <c r="AT15" s="382">
        <f t="shared" si="7"/>
        <v>0</v>
      </c>
      <c r="AU15" s="382">
        <f t="shared" si="7"/>
        <v>68.900000000000006</v>
      </c>
      <c r="AV15" s="384">
        <f t="shared" si="7"/>
        <v>0</v>
      </c>
      <c r="AW15" s="382">
        <f t="shared" si="7"/>
        <v>0</v>
      </c>
      <c r="AX15" s="382">
        <f t="shared" si="7"/>
        <v>0</v>
      </c>
      <c r="AY15" s="382">
        <f t="shared" si="7"/>
        <v>360</v>
      </c>
      <c r="AZ15" s="593">
        <f t="shared" si="7"/>
        <v>300</v>
      </c>
      <c r="BA15" s="593">
        <f t="shared" si="7"/>
        <v>516.75</v>
      </c>
      <c r="BB15" s="382">
        <f t="shared" si="7"/>
        <v>0</v>
      </c>
      <c r="BC15" s="382">
        <f t="shared" si="7"/>
        <v>0</v>
      </c>
      <c r="BD15" s="382">
        <f t="shared" si="7"/>
        <v>0</v>
      </c>
      <c r="BE15" s="382">
        <f t="shared" si="7"/>
        <v>0</v>
      </c>
      <c r="BF15" s="382">
        <f t="shared" ref="BF15:CC15" si="8">SUM(BF13:BF14)</f>
        <v>0</v>
      </c>
      <c r="BG15" s="382">
        <f t="shared" si="8"/>
        <v>300</v>
      </c>
      <c r="BH15" s="382">
        <f t="shared" si="8"/>
        <v>0</v>
      </c>
      <c r="BI15" s="382">
        <f t="shared" si="8"/>
        <v>0</v>
      </c>
      <c r="BJ15" s="382">
        <f t="shared" si="8"/>
        <v>0</v>
      </c>
      <c r="BK15" s="382">
        <f t="shared" si="8"/>
        <v>0</v>
      </c>
      <c r="BL15" s="382">
        <f t="shared" si="8"/>
        <v>0</v>
      </c>
      <c r="BM15" s="382">
        <f t="shared" si="8"/>
        <v>0</v>
      </c>
      <c r="BN15" s="382">
        <f t="shared" si="8"/>
        <v>0</v>
      </c>
      <c r="BO15" s="382">
        <f t="shared" si="8"/>
        <v>0</v>
      </c>
      <c r="BP15" s="382">
        <f t="shared" si="8"/>
        <v>0</v>
      </c>
      <c r="BQ15" s="382">
        <f t="shared" si="8"/>
        <v>0</v>
      </c>
      <c r="BR15" s="382">
        <f t="shared" si="8"/>
        <v>0</v>
      </c>
      <c r="BS15" s="382">
        <f t="shared" si="8"/>
        <v>0</v>
      </c>
      <c r="BT15" s="382">
        <f t="shared" si="8"/>
        <v>0</v>
      </c>
      <c r="BU15" s="382">
        <f t="shared" si="8"/>
        <v>0</v>
      </c>
      <c r="BV15" s="382">
        <f t="shared" si="8"/>
        <v>0</v>
      </c>
      <c r="BW15" s="382">
        <f t="shared" si="8"/>
        <v>0</v>
      </c>
      <c r="BX15" s="382">
        <f t="shared" si="8"/>
        <v>129.19</v>
      </c>
      <c r="BY15" s="382">
        <f t="shared" si="8"/>
        <v>0</v>
      </c>
      <c r="BZ15" s="382">
        <f t="shared" si="8"/>
        <v>129.19</v>
      </c>
      <c r="CA15" s="382">
        <f t="shared" si="8"/>
        <v>0</v>
      </c>
      <c r="CB15" s="382">
        <f t="shared" si="8"/>
        <v>34.450000000000003</v>
      </c>
      <c r="CC15" s="385">
        <f t="shared" si="8"/>
        <v>334.45</v>
      </c>
      <c r="CD15" s="469"/>
      <c r="CE15" s="469"/>
      <c r="CF15" s="469"/>
      <c r="CG15" s="470">
        <f t="shared" ref="CG15:CU15" si="9">SUM(CG13:CG14)</f>
        <v>34.450000000000003</v>
      </c>
      <c r="CH15" s="470">
        <f>SUM(CH13:CH14)</f>
        <v>300</v>
      </c>
      <c r="CI15" s="470">
        <f>SUM(CI13:CI14)</f>
        <v>334.45</v>
      </c>
      <c r="CJ15" s="470">
        <f t="shared" si="9"/>
        <v>334.45</v>
      </c>
      <c r="CK15" s="470">
        <f t="shared" si="9"/>
        <v>0</v>
      </c>
      <c r="CL15" s="470">
        <f t="shared" si="9"/>
        <v>0</v>
      </c>
      <c r="CM15" s="470">
        <f t="shared" ref="CM15" si="10">SUM(CM13:CM14)</f>
        <v>0</v>
      </c>
      <c r="CN15" s="470">
        <f t="shared" si="9"/>
        <v>0</v>
      </c>
      <c r="CO15" s="470">
        <f t="shared" si="9"/>
        <v>0</v>
      </c>
      <c r="CP15" s="470">
        <f t="shared" si="9"/>
        <v>0</v>
      </c>
      <c r="CQ15" s="470">
        <f t="shared" si="9"/>
        <v>0</v>
      </c>
      <c r="CR15" s="471">
        <f t="shared" si="9"/>
        <v>0</v>
      </c>
      <c r="CS15" s="471">
        <f t="shared" si="9"/>
        <v>0</v>
      </c>
      <c r="CT15" s="471">
        <f t="shared" si="9"/>
        <v>0</v>
      </c>
      <c r="CU15" s="471">
        <f t="shared" si="9"/>
        <v>0</v>
      </c>
      <c r="CV15" s="1555"/>
      <c r="CW15" s="1555"/>
      <c r="CX15" s="1555"/>
      <c r="CY15" s="472"/>
      <c r="CZ15" s="514"/>
      <c r="DA15" s="514"/>
      <c r="DB15" s="514"/>
      <c r="DC15" s="514"/>
      <c r="DD15" s="472"/>
      <c r="DE15" s="472"/>
      <c r="DF15" s="472"/>
      <c r="DG15" s="472"/>
      <c r="DH15" s="472"/>
      <c r="DL15" s="1216"/>
    </row>
    <row r="16" spans="1:118" s="473" customFormat="1" ht="17.25" customHeight="1" thickBot="1">
      <c r="A16" s="391" t="s">
        <v>5516</v>
      </c>
      <c r="B16" s="501"/>
      <c r="C16" s="502"/>
      <c r="D16" s="503"/>
      <c r="E16" s="393"/>
      <c r="F16" s="504"/>
      <c r="G16" s="393"/>
      <c r="H16" s="393"/>
      <c r="I16" s="505"/>
      <c r="J16" s="506"/>
      <c r="K16" s="505"/>
      <c r="L16" s="505"/>
      <c r="M16" s="507"/>
      <c r="N16" s="508"/>
      <c r="O16" s="509"/>
      <c r="P16" s="508"/>
      <c r="Q16" s="392"/>
      <c r="R16" s="392"/>
      <c r="S16" s="392"/>
      <c r="T16" s="368"/>
      <c r="U16" s="367"/>
      <c r="V16" s="368"/>
      <c r="W16" s="394"/>
      <c r="X16" s="393"/>
      <c r="Y16" s="393"/>
      <c r="Z16" s="393"/>
      <c r="AA16" s="368"/>
      <c r="AB16" s="395"/>
      <c r="AC16" s="395"/>
      <c r="AD16" s="368"/>
      <c r="AE16" s="368"/>
      <c r="AF16" s="368"/>
      <c r="AG16" s="368"/>
      <c r="AH16" s="368"/>
      <c r="AI16" s="368"/>
      <c r="AJ16" s="368"/>
      <c r="AK16" s="368"/>
      <c r="AL16" s="396"/>
      <c r="AM16" s="396"/>
      <c r="AN16" s="397"/>
      <c r="AO16" s="398"/>
      <c r="AP16" s="397"/>
      <c r="AQ16" s="398"/>
      <c r="AR16" s="399"/>
      <c r="AS16" s="399"/>
      <c r="AT16" s="400"/>
      <c r="AU16" s="367"/>
      <c r="AV16" s="401"/>
      <c r="AW16" s="369"/>
      <c r="AX16" s="402"/>
      <c r="AY16" s="396"/>
      <c r="AZ16" s="594"/>
      <c r="BA16" s="594"/>
      <c r="BB16" s="368"/>
      <c r="BC16" s="397"/>
      <c r="BD16" s="368"/>
      <c r="BE16" s="397"/>
      <c r="BF16" s="368"/>
      <c r="BG16" s="367"/>
      <c r="BH16" s="367"/>
      <c r="BI16" s="367"/>
      <c r="BJ16" s="367"/>
      <c r="BK16" s="367"/>
      <c r="BL16" s="403"/>
      <c r="BM16" s="404"/>
      <c r="BN16" s="405"/>
      <c r="BO16" s="405"/>
      <c r="BP16" s="403"/>
      <c r="BQ16" s="406"/>
      <c r="BR16" s="403"/>
      <c r="BS16" s="403"/>
      <c r="BT16" s="403"/>
      <c r="BU16" s="368"/>
      <c r="BV16" s="369"/>
      <c r="BW16" s="407"/>
      <c r="BX16" s="407"/>
      <c r="BY16" s="407"/>
      <c r="BZ16" s="407"/>
      <c r="CA16" s="407"/>
      <c r="CB16" s="407"/>
      <c r="CC16" s="407"/>
      <c r="CF16" s="472"/>
      <c r="CG16" s="497"/>
      <c r="CH16" s="498"/>
      <c r="CI16" s="497"/>
      <c r="CJ16" s="497"/>
      <c r="CK16" s="497"/>
      <c r="CL16" s="497"/>
      <c r="CM16" s="497"/>
      <c r="CN16" s="498"/>
      <c r="CO16" s="499"/>
      <c r="CP16" s="498"/>
      <c r="CQ16" s="500"/>
      <c r="CR16" s="498"/>
      <c r="CS16" s="498"/>
      <c r="CT16" s="498"/>
      <c r="CU16" s="498"/>
      <c r="CV16" s="1554"/>
      <c r="CW16" s="1554"/>
      <c r="CX16" s="1554"/>
      <c r="CY16" s="472"/>
      <c r="CZ16" s="514"/>
      <c r="DA16" s="514"/>
      <c r="DB16" s="514"/>
      <c r="DC16" s="514"/>
      <c r="DD16" s="472"/>
      <c r="DE16" s="472"/>
      <c r="DF16" s="472"/>
      <c r="DG16" s="472"/>
      <c r="DH16" s="472"/>
      <c r="DL16" s="1216"/>
    </row>
    <row r="17" spans="1:118" s="473" customFormat="1" ht="21.95" customHeight="1">
      <c r="A17" s="1516" t="s">
        <v>2846</v>
      </c>
      <c r="B17" s="194">
        <f t="shared" ca="1" si="3"/>
        <v>1</v>
      </c>
      <c r="C17" s="377">
        <v>11894534</v>
      </c>
      <c r="D17" s="378" t="s">
        <v>7410</v>
      </c>
      <c r="E17" s="366" t="s">
        <v>4622</v>
      </c>
      <c r="F17" s="421">
        <v>26652</v>
      </c>
      <c r="G17" s="366" t="s">
        <v>4621</v>
      </c>
      <c r="H17" s="421">
        <v>40909</v>
      </c>
      <c r="I17" s="1517">
        <f t="shared" ref="I17:I40" si="11">IF(AND(YEAR(H17)&lt;YEAR($H$10),MONTH(H17)&gt;$BR$8),YEAR($H$10)-YEAR(H17)-1,IF(OR(H17="",YEAR(H17)&gt;YEAR($H$10)),0,YEAR($H$10)-YEAR(H17)))</f>
        <v>13</v>
      </c>
      <c r="J17" s="379">
        <v>13</v>
      </c>
      <c r="K17" s="1517">
        <f t="shared" ref="K17:K40" si="12">I17+J17</f>
        <v>26</v>
      </c>
      <c r="L17" s="1176" t="s">
        <v>5549</v>
      </c>
      <c r="M17" s="379"/>
      <c r="N17" s="379"/>
      <c r="O17" s="380" t="s">
        <v>1582</v>
      </c>
      <c r="P17" s="379" t="s">
        <v>5188</v>
      </c>
      <c r="Q17" s="1518" t="str">
        <f>IFERROR(VLOOKUP(O17,CARGOS!A:E,2,0),"")</f>
        <v>00906</v>
      </c>
      <c r="R17" s="1540" t="s">
        <v>5971</v>
      </c>
      <c r="S17" s="366" t="s">
        <v>2836</v>
      </c>
      <c r="T17" s="844">
        <f>IFERROR(VLOOKUP(S17,'TAB EMP'!A:B,2,0),0)</f>
        <v>363</v>
      </c>
      <c r="U17" s="343">
        <v>0</v>
      </c>
      <c r="V17" s="844">
        <f t="shared" ref="V17:V40" si="13">T17-U17</f>
        <v>363</v>
      </c>
      <c r="W17" s="343">
        <f t="shared" ref="W17:W40" si="14">ROUND(V17/2,2)</f>
        <v>181.5</v>
      </c>
      <c r="X17" s="366" t="s">
        <v>2885</v>
      </c>
      <c r="Y17" s="366"/>
      <c r="Z17" s="366">
        <v>0</v>
      </c>
      <c r="AA17" s="844">
        <f>ROUND(IF(H17&lt;&gt;"",VLOOKUP(SUM(I17+J17),'CONCEPTOS Y PARAMETROS'!F:G,2,0)*V17,0),2)</f>
        <v>108.9</v>
      </c>
      <c r="AB17" s="844">
        <f>IF(S17&lt;&gt;"",IF(M17="",'CONCEPTOS Y PARAMETROS'!$C$4,0),0)</f>
        <v>130</v>
      </c>
      <c r="AC17" s="844">
        <f>IF(S17&lt;&gt;"",IF(M17="",'CONCEPTOS Y PARAMETROS'!$C$7*Z17,0),0)</f>
        <v>0</v>
      </c>
      <c r="AD17" s="844">
        <f>IFERROR(ROUND(VLOOKUP($X17,'CONCEPTOS Y PARAMETROS'!H:I,2,0)*($V17+AA17+AB17+AC17),2),0)</f>
        <v>150.47999999999999</v>
      </c>
      <c r="AE17" s="844">
        <f t="shared" ref="AE17:AE40" si="15">SUM(AA17:AD17)</f>
        <v>389.38</v>
      </c>
      <c r="AF17" s="844">
        <f t="shared" ref="AF17:AF40" si="16">ROUND(AA17/2,2)</f>
        <v>54.45</v>
      </c>
      <c r="AG17" s="844">
        <f t="shared" ref="AG17:AG40" si="17">ROUND(AA17-AF17,2)</f>
        <v>54.45</v>
      </c>
      <c r="AH17" s="844">
        <f t="shared" ref="AH17:AH40" si="18">ROUND(AB17/2,2)</f>
        <v>65</v>
      </c>
      <c r="AI17" s="844">
        <f t="shared" ref="AI17:AI40" si="19">ROUND(AB17-AH17,2)</f>
        <v>65</v>
      </c>
      <c r="AJ17" s="844">
        <f t="shared" ref="AJ17:AJ40" si="20">ROUND(AD17/2,2)</f>
        <v>75.239999999999995</v>
      </c>
      <c r="AK17" s="844">
        <f t="shared" ref="AK17:AK40" si="21">ROUND(AD17-AJ17,2)</f>
        <v>75.239999999999995</v>
      </c>
      <c r="AL17" s="343">
        <f t="shared" ref="AL17:AL40" si="22">ROUND(AF17+AH17+AJ17+AC17,2)</f>
        <v>194.69</v>
      </c>
      <c r="AM17" s="343">
        <f t="shared" ref="AM17:AM40" si="23">ROUND(AG17+AI17+AK17,2)</f>
        <v>194.69</v>
      </c>
      <c r="AN17" s="344">
        <v>0</v>
      </c>
      <c r="AO17" s="1521">
        <f>'CONCEPTOS Y PARAMETROS'!$C$18*AN17</f>
        <v>0</v>
      </c>
      <c r="AP17" s="344">
        <v>0</v>
      </c>
      <c r="AQ17" s="1521">
        <f>'CONCEPTOS Y PARAMETROS'!$C$21*AP17</f>
        <v>0</v>
      </c>
      <c r="AR17" s="1522">
        <v>0</v>
      </c>
      <c r="AS17" s="1522">
        <v>0</v>
      </c>
      <c r="AT17" s="1522">
        <f t="shared" ref="AT17:AT39" si="24">+AO17+AQ17+AR17+AS17</f>
        <v>0</v>
      </c>
      <c r="AU17" s="343">
        <f t="shared" ref="AU17:AU40" si="25">V17+AE17+AW17</f>
        <v>752.38</v>
      </c>
      <c r="AV17" s="1523">
        <v>0</v>
      </c>
      <c r="AW17" s="343">
        <f t="shared" ref="AW17:AW31" si="26">ROUND(IF(O17="VIGILANTE",(V17+AE17)*30%,0),2)</f>
        <v>0</v>
      </c>
      <c r="AX17" s="844">
        <f>IF(T17&lt;&gt;"0",(ROUND(IF(A17="EMPLEADO",eval_formula('CONCEPTOS Y PARAMETROS'!$C$8,NOMINA!V17,NOMINA!$AU17,NOMINA!I17+NOMINA!J17),eval_formula('CONCEPTOS Y PARAMETROS'!$D$8,NOMINA!V17,NOMINA!$AU17,NOMINA!I17+NOMINA!J17)),2))*IF(H17&lt;&gt;"",IF(MONTH(H17)=$BR$8,IF(YEAR(H17)&lt;$BT$7,1,0),0)))</f>
        <v>6019.04</v>
      </c>
      <c r="AY17" s="343">
        <v>180</v>
      </c>
      <c r="AZ17" s="844">
        <f>IFERROR(VLOOKUP(AY17,'CONCEPTOS Y PARAMETROS'!Y:Z,2,0),0)</f>
        <v>150</v>
      </c>
      <c r="BA17" s="844">
        <f t="shared" ref="BA17:BA40" si="27">ROUND((((AU17))/30*AY17/12+(AU17))/30*AZ17,2)</f>
        <v>5642.85</v>
      </c>
      <c r="BB17" s="844">
        <f t="shared" ref="BB17:BB40" si="28">ROUND(AU17/30*$BB$10,2)</f>
        <v>0</v>
      </c>
      <c r="BC17" s="344">
        <v>0</v>
      </c>
      <c r="BD17" s="844" t="str">
        <f t="shared" ref="BD17:BD40" si="29">IF(BC17&gt;0,((((((V17+AA17+AB17+AC17+AD17)/30)/8)*50%)+((((V17+AA17+AB17+AC17+AD17)/30)/8)))*30%+(((((V17+AA17+AB17+AC17+AD17)/30)/8)*50%)+((((V17+AA17+AB17+AC17+AD17)/30)/8))))*BC17,"0")</f>
        <v>0</v>
      </c>
      <c r="BE17" s="344">
        <v>0</v>
      </c>
      <c r="BF17" s="844">
        <f t="shared" ref="BF17:BF38" si="30">ROUND(IF(BE17&gt;0,(((V17+AA17+AB17+AC17+AD17)/30)*50%+((V17+AA17+AB17+AC17+AD17)/30))*BE17,"0"),2)</f>
        <v>0</v>
      </c>
      <c r="BG17" s="343">
        <v>300</v>
      </c>
      <c r="BH17" s="343">
        <f t="shared" ref="BH17:BH40" si="31">+IF(AND(Z17&gt;0,G17="M"),12.5,0)*0</f>
        <v>0</v>
      </c>
      <c r="BI17" s="343">
        <v>0</v>
      </c>
      <c r="BJ17" s="343">
        <f t="shared" ref="BJ17:BJ40" si="32">+IF(BI17&lt;&gt;0,(BI17*12.5),0)</f>
        <v>0</v>
      </c>
      <c r="BK17" s="343">
        <v>0</v>
      </c>
      <c r="BL17" s="844">
        <f t="shared" ref="BL17:BL40" si="33">ROUND(IF(M17="", (((AU17*12)/52)*4%)*$BS$8,0),2)</f>
        <v>27.78</v>
      </c>
      <c r="BM17" s="844">
        <f t="shared" ref="BM17:BM40" si="34">ROUND(IF(M17="",(((AU17*12)/52)*0.5%)*$BS$8,0),2)</f>
        <v>3.47</v>
      </c>
      <c r="BN17" s="844">
        <f t="shared" ref="BN17:BN40" si="35">ROUND(IF(M17="",(AU17*1%),0),2)</f>
        <v>7.52</v>
      </c>
      <c r="BO17" s="844">
        <v>0</v>
      </c>
      <c r="BP17" s="844">
        <v>0</v>
      </c>
      <c r="BQ17" s="1525">
        <f t="shared" si="5"/>
        <v>38.770000000000003</v>
      </c>
      <c r="BR17" s="844">
        <f t="shared" ref="BR17:BR40" si="36">ROUND(IF(M17="", (((AU17*12)/52)*9%)*$BS$8,0),2)</f>
        <v>62.51</v>
      </c>
      <c r="BS17" s="844">
        <f t="shared" ref="BS17:BS40" si="37">ROUND(IF(M17="",(((AU17*12)/52)*2%)*$BS$8,0),2)</f>
        <v>13.89</v>
      </c>
      <c r="BT17" s="844">
        <f t="shared" ref="BT17:BT40" si="38">ROUND(IF(M17="",(BN17*2),0),2)</f>
        <v>15.04</v>
      </c>
      <c r="BU17" s="844">
        <v>0</v>
      </c>
      <c r="BV17" s="343">
        <f t="shared" si="0"/>
        <v>91.44</v>
      </c>
      <c r="BW17" s="673">
        <f t="shared" si="1"/>
        <v>130.21</v>
      </c>
      <c r="BX17" s="673">
        <f t="shared" ref="BX17:BX40" si="39">ROUND(BA17/4,2)</f>
        <v>1410.71</v>
      </c>
      <c r="BY17" s="673">
        <v>0</v>
      </c>
      <c r="BZ17" s="673">
        <f t="shared" ref="BZ17:BZ40" si="40">+BX17+BY17</f>
        <v>1410.71</v>
      </c>
      <c r="CA17" s="1526">
        <f>'CONCEPTOS Y PARAMETROS'!$A$102</f>
        <v>2120</v>
      </c>
      <c r="CB17" s="673">
        <f>W17+AL17-BQ17</f>
        <v>337.42</v>
      </c>
      <c r="CC17" s="674">
        <f t="shared" ref="CC17:CC40" si="41">ROUND((W17+AM17+AT17+AW17+AX17+BB17+BD17+BF17+BJ17+BK17+BG17),2)</f>
        <v>6695.23</v>
      </c>
      <c r="CD17" s="514"/>
      <c r="CE17" s="514"/>
      <c r="CF17" s="472"/>
      <c r="CG17" s="497">
        <f t="shared" ref="CG17:CG40" si="42">W17+AL17-BQ17</f>
        <v>337.42</v>
      </c>
      <c r="CH17" s="1711">
        <f t="shared" ref="CH17:CH40" si="43">BG17</f>
        <v>300</v>
      </c>
      <c r="CI17" s="497">
        <f t="shared" ref="CI17:CI40" si="44">W17+AM17+BG17</f>
        <v>676.19</v>
      </c>
      <c r="CJ17" s="497">
        <f t="shared" ref="CJ17:CJ40" si="45">ROUND(IF(CI17&gt;560,CI17*48%,CI17),2)</f>
        <v>324.57</v>
      </c>
      <c r="CK17" s="497">
        <f>+CI17-CJ17</f>
        <v>351.62000000000006</v>
      </c>
      <c r="CL17" s="497">
        <f t="shared" ref="CL17:CL40" si="46">+BJ17</f>
        <v>0</v>
      </c>
      <c r="CM17" s="497">
        <f t="shared" ref="CM17:CM40" si="47">+BK17</f>
        <v>0</v>
      </c>
      <c r="CN17" s="498">
        <f t="shared" ref="CN17:CN40" si="48">BF17+BB17</f>
        <v>0</v>
      </c>
      <c r="CO17" s="499">
        <v>0</v>
      </c>
      <c r="CP17" s="498">
        <f t="shared" ref="CP17:CP40" si="49">AW17</f>
        <v>0</v>
      </c>
      <c r="CQ17" s="500">
        <f t="shared" ref="CQ17:CQ40" si="50">AT17+CL17+CM17</f>
        <v>0</v>
      </c>
      <c r="CR17" s="498">
        <f t="shared" ref="CR17:CR40" si="51">AX17</f>
        <v>6019.04</v>
      </c>
      <c r="CS17" s="498">
        <f t="shared" ref="CS17:CS40" si="52">SUM(CL17:CR17)</f>
        <v>6019.04</v>
      </c>
      <c r="CT17" s="498">
        <f t="shared" ref="CT17:CT40" si="53">BQ17+BV17</f>
        <v>130.21</v>
      </c>
      <c r="CU17" s="498">
        <f t="shared" ref="CU17:CU40" si="54">CA17</f>
        <v>2120</v>
      </c>
      <c r="CV17" s="1554"/>
      <c r="CW17" s="378" t="s">
        <v>6929</v>
      </c>
      <c r="CX17" s="378" t="s">
        <v>6930</v>
      </c>
      <c r="CY17" s="472"/>
      <c r="CZ17" s="514" t="s">
        <v>6168</v>
      </c>
      <c r="DA17" s="514" t="s">
        <v>6169</v>
      </c>
      <c r="DB17" s="514" t="s">
        <v>6170</v>
      </c>
      <c r="DC17" s="514" t="s">
        <v>6612</v>
      </c>
      <c r="DD17" s="472"/>
      <c r="DE17" s="472"/>
      <c r="DF17" s="472"/>
      <c r="DG17" s="472"/>
      <c r="DH17" s="472"/>
      <c r="DJ17" s="473" t="str">
        <f>VLOOKUP(X17,Hoja1!$A$4:$B$10,2,0)</f>
        <v>PROFESIONAL</v>
      </c>
      <c r="DK17" s="473" t="str">
        <f>VLOOKUP(S17,Hoja1!$D$4:$F$77,3,0)</f>
        <v>JEFE DE DIVISIÓN</v>
      </c>
      <c r="DL17" s="1216" t="str">
        <f t="shared" ref="DL17:DL40" si="55">IF(AV17="NOCTURN","SI","0")</f>
        <v>0</v>
      </c>
      <c r="DM17" s="1741" t="str">
        <f t="shared" ref="DM17:DM40" si="56">+G17</f>
        <v>M</v>
      </c>
      <c r="DN17" s="1741"/>
    </row>
    <row r="18" spans="1:118" s="478" customFormat="1" ht="21.95" customHeight="1">
      <c r="A18" s="510" t="s">
        <v>2846</v>
      </c>
      <c r="B18" s="1390">
        <f t="shared" ca="1" si="3"/>
        <v>2</v>
      </c>
      <c r="C18" s="1194">
        <v>12458942</v>
      </c>
      <c r="D18" s="1195" t="s">
        <v>7417</v>
      </c>
      <c r="E18" s="1180" t="s">
        <v>4622</v>
      </c>
      <c r="F18" s="1161">
        <v>27853</v>
      </c>
      <c r="G18" s="1180" t="s">
        <v>4620</v>
      </c>
      <c r="H18" s="1161">
        <v>44424</v>
      </c>
      <c r="I18" s="1185">
        <f t="shared" si="11"/>
        <v>3</v>
      </c>
      <c r="J18" s="1177">
        <v>19</v>
      </c>
      <c r="K18" s="1185">
        <f t="shared" si="12"/>
        <v>22</v>
      </c>
      <c r="L18" s="1191" t="s">
        <v>5530</v>
      </c>
      <c r="M18" s="1177"/>
      <c r="N18" s="1177"/>
      <c r="O18" s="1040" t="s">
        <v>1582</v>
      </c>
      <c r="P18" s="1177" t="s">
        <v>5214</v>
      </c>
      <c r="Q18" s="1391" t="str">
        <f>IFERROR(VLOOKUP(O18,CARGOS!A:E,2,0),"")</f>
        <v>00906</v>
      </c>
      <c r="R18" s="1392" t="s">
        <v>6884</v>
      </c>
      <c r="S18" s="1180" t="s">
        <v>2836</v>
      </c>
      <c r="T18" s="1150">
        <f>IFERROR(VLOOKUP(S18,'TAB EMP'!A:B,2,0),0)</f>
        <v>363</v>
      </c>
      <c r="U18" s="1151">
        <v>0</v>
      </c>
      <c r="V18" s="1150">
        <f t="shared" si="13"/>
        <v>363</v>
      </c>
      <c r="W18" s="1151">
        <f t="shared" si="14"/>
        <v>181.5</v>
      </c>
      <c r="X18" s="1180" t="s">
        <v>2886</v>
      </c>
      <c r="Y18" s="1180"/>
      <c r="Z18" s="1180">
        <v>0</v>
      </c>
      <c r="AA18" s="1150">
        <f>ROUND(IF(H18&lt;&gt;"",VLOOKUP(SUM(I18+J18),'CONCEPTOS Y PARAMETROS'!F:G,2,0)*V18,0),2)</f>
        <v>107.45</v>
      </c>
      <c r="AB18" s="1393">
        <f>IF(S18&lt;&gt;"",IF(M18="",'CONCEPTOS Y PARAMETROS'!$C$4,0),0)</f>
        <v>130</v>
      </c>
      <c r="AC18" s="1393">
        <f>IF(S18&lt;&gt;"",IF(M18="",'CONCEPTOS Y PARAMETROS'!$C$7*Z18,0),0)</f>
        <v>0</v>
      </c>
      <c r="AD18" s="1150">
        <f>IFERROR(ROUND(VLOOKUP($X18,'CONCEPTOS Y PARAMETROS'!H:I,2,0)*($V18+AA18+AB18+AC18),2),0)</f>
        <v>180.14</v>
      </c>
      <c r="AE18" s="1150">
        <f>SUM(AA18:AD18)</f>
        <v>417.59</v>
      </c>
      <c r="AF18" s="1150">
        <f t="shared" si="16"/>
        <v>53.73</v>
      </c>
      <c r="AG18" s="1150">
        <f t="shared" si="17"/>
        <v>53.72</v>
      </c>
      <c r="AH18" s="1150">
        <f t="shared" si="18"/>
        <v>65</v>
      </c>
      <c r="AI18" s="1150">
        <f t="shared" si="19"/>
        <v>65</v>
      </c>
      <c r="AJ18" s="1150">
        <f t="shared" si="20"/>
        <v>90.07</v>
      </c>
      <c r="AK18" s="1150">
        <f t="shared" si="21"/>
        <v>90.07</v>
      </c>
      <c r="AL18" s="1151">
        <f t="shared" si="22"/>
        <v>208.8</v>
      </c>
      <c r="AM18" s="1151">
        <f t="shared" si="23"/>
        <v>208.79</v>
      </c>
      <c r="AN18" s="1028">
        <v>0</v>
      </c>
      <c r="AO18" s="1193">
        <f>'CONCEPTOS Y PARAMETROS'!$C$18*AN18</f>
        <v>0</v>
      </c>
      <c r="AP18" s="1028">
        <v>0</v>
      </c>
      <c r="AQ18" s="1193">
        <f>'CONCEPTOS Y PARAMETROS'!$C$21*AP18</f>
        <v>0</v>
      </c>
      <c r="AR18" s="1394">
        <v>0</v>
      </c>
      <c r="AS18" s="1394">
        <v>0</v>
      </c>
      <c r="AT18" s="1394">
        <f>+AO18+AQ18+AR18+AS18</f>
        <v>0</v>
      </c>
      <c r="AU18" s="1151">
        <f t="shared" si="25"/>
        <v>780.58999999999992</v>
      </c>
      <c r="AV18" s="1178">
        <v>0</v>
      </c>
      <c r="AW18" s="1151">
        <f t="shared" si="26"/>
        <v>0</v>
      </c>
      <c r="AX18" s="1150">
        <f>IF(T18&lt;&gt;"0",(ROUND(IF(A18="EMPLEADO",eval_formula('CONCEPTOS Y PARAMETROS'!$C$8,NOMINA!V18,NOMINA!$AU18,NOMINA!I18+NOMINA!J18),eval_formula('CONCEPTOS Y PARAMETROS'!$D$8,NOMINA!V18,NOMINA!$AU18,NOMINA!I18+NOMINA!J18)),2))*IF(H18&lt;&gt;"",IF(MONTH(H18)=$BR$8,IF(YEAR(H18)&lt;$BT$7,1,0),0)))</f>
        <v>0</v>
      </c>
      <c r="AY18" s="1151">
        <v>180</v>
      </c>
      <c r="AZ18" s="1150">
        <f>IFERROR(VLOOKUP(AY18,'CONCEPTOS Y PARAMETROS'!Y:Z,2,0),0)</f>
        <v>150</v>
      </c>
      <c r="BA18" s="1150">
        <f t="shared" si="27"/>
        <v>5854.43</v>
      </c>
      <c r="BB18" s="1150">
        <f t="shared" si="28"/>
        <v>0</v>
      </c>
      <c r="BC18" s="1028">
        <v>0</v>
      </c>
      <c r="BD18" s="1150" t="str">
        <f t="shared" si="29"/>
        <v>0</v>
      </c>
      <c r="BE18" s="1028">
        <v>0</v>
      </c>
      <c r="BF18" s="1150">
        <f t="shared" si="30"/>
        <v>0</v>
      </c>
      <c r="BG18" s="1151">
        <v>300</v>
      </c>
      <c r="BH18" s="1151">
        <f t="shared" si="31"/>
        <v>0</v>
      </c>
      <c r="BI18" s="1151">
        <v>0</v>
      </c>
      <c r="BJ18" s="810">
        <f t="shared" si="32"/>
        <v>0</v>
      </c>
      <c r="BK18" s="1151">
        <v>0</v>
      </c>
      <c r="BL18" s="1395">
        <f t="shared" si="33"/>
        <v>28.82</v>
      </c>
      <c r="BM18" s="1395">
        <f t="shared" si="34"/>
        <v>3.6</v>
      </c>
      <c r="BN18" s="1395">
        <f t="shared" si="35"/>
        <v>7.81</v>
      </c>
      <c r="BO18" s="1395">
        <v>0</v>
      </c>
      <c r="BP18" s="1395">
        <v>0</v>
      </c>
      <c r="BQ18" s="1396">
        <f t="shared" ref="BQ18" si="57">ROUND(SUM(BL18:BP18),2)</f>
        <v>40.229999999999997</v>
      </c>
      <c r="BR18" s="1395">
        <f t="shared" si="36"/>
        <v>64.849999999999994</v>
      </c>
      <c r="BS18" s="1395">
        <f t="shared" si="37"/>
        <v>14.41</v>
      </c>
      <c r="BT18" s="1395">
        <f t="shared" si="38"/>
        <v>15.62</v>
      </c>
      <c r="BU18" s="1150">
        <v>0</v>
      </c>
      <c r="BV18" s="1151">
        <f t="shared" ref="BV18" si="58">ROUND(SUM(BR18:BT18),2)</f>
        <v>94.88</v>
      </c>
      <c r="BW18" s="1155">
        <f t="shared" ref="BW18" si="59">BQ18+BV18</f>
        <v>135.10999999999999</v>
      </c>
      <c r="BX18" s="1155">
        <f t="shared" si="39"/>
        <v>1463.61</v>
      </c>
      <c r="BY18" s="1155">
        <v>0</v>
      </c>
      <c r="BZ18" s="1155">
        <f t="shared" si="40"/>
        <v>1463.61</v>
      </c>
      <c r="CA18" s="1397">
        <f>'CONCEPTOS Y PARAMETROS'!$A$102</f>
        <v>2120</v>
      </c>
      <c r="CB18" s="1155">
        <f t="shared" ref="CB18:CB40" si="60">W18+AL18-BQ18</f>
        <v>350.07</v>
      </c>
      <c r="CC18" s="1156">
        <f t="shared" si="41"/>
        <v>690.29</v>
      </c>
      <c r="CD18" s="514"/>
      <c r="CE18" s="514"/>
      <c r="CF18" s="514"/>
      <c r="CG18" s="511">
        <f t="shared" si="42"/>
        <v>350.07</v>
      </c>
      <c r="CH18" s="1712">
        <f t="shared" si="43"/>
        <v>300</v>
      </c>
      <c r="CI18" s="511">
        <f t="shared" si="44"/>
        <v>690.29</v>
      </c>
      <c r="CJ18" s="511">
        <f t="shared" si="45"/>
        <v>331.34</v>
      </c>
      <c r="CK18" s="511">
        <f t="shared" ref="CK18:CK40" si="61">+CI18-CJ18</f>
        <v>358.95</v>
      </c>
      <c r="CL18" s="497">
        <f t="shared" si="46"/>
        <v>0</v>
      </c>
      <c r="CM18" s="497">
        <f t="shared" si="47"/>
        <v>0</v>
      </c>
      <c r="CN18" s="512">
        <f t="shared" si="48"/>
        <v>0</v>
      </c>
      <c r="CO18" s="513">
        <v>0</v>
      </c>
      <c r="CP18" s="512">
        <f t="shared" si="49"/>
        <v>0</v>
      </c>
      <c r="CQ18" s="500">
        <f t="shared" si="50"/>
        <v>0</v>
      </c>
      <c r="CR18" s="512">
        <f t="shared" si="51"/>
        <v>0</v>
      </c>
      <c r="CS18" s="512">
        <f t="shared" si="52"/>
        <v>0</v>
      </c>
      <c r="CT18" s="512">
        <f t="shared" si="53"/>
        <v>135.10999999999999</v>
      </c>
      <c r="CU18" s="512">
        <f t="shared" si="54"/>
        <v>2120</v>
      </c>
      <c r="CV18" s="1556"/>
      <c r="CW18" s="1195" t="s">
        <v>6401</v>
      </c>
      <c r="CX18" s="1195" t="s">
        <v>7179</v>
      </c>
      <c r="CY18" s="514"/>
      <c r="CZ18" s="1199" t="s">
        <v>6671</v>
      </c>
      <c r="DA18" s="1199" t="s">
        <v>6173</v>
      </c>
      <c r="DB18" s="1199" t="s">
        <v>6202</v>
      </c>
      <c r="DC18" s="514" t="s">
        <v>6629</v>
      </c>
      <c r="DD18" s="514"/>
      <c r="DE18" s="514"/>
      <c r="DF18" s="514"/>
      <c r="DG18" s="514"/>
      <c r="DH18" s="514"/>
      <c r="DJ18" s="473" t="str">
        <f>VLOOKUP(X18,Hoja1!$A$4:$B$10,2,0)</f>
        <v>ESPECIALISTA</v>
      </c>
      <c r="DK18" s="473" t="str">
        <f>VLOOKUP(S18,Hoja1!$D$4:$F$77,3,0)</f>
        <v>JEFE DE DIVISIÓN</v>
      </c>
      <c r="DL18" s="1216" t="str">
        <f t="shared" si="55"/>
        <v>0</v>
      </c>
      <c r="DM18" s="1741" t="str">
        <f t="shared" si="56"/>
        <v>F</v>
      </c>
      <c r="DN18" s="1741"/>
    </row>
    <row r="19" spans="1:118" s="473" customFormat="1" ht="21.95" customHeight="1">
      <c r="A19" s="510" t="s">
        <v>2846</v>
      </c>
      <c r="B19" s="1390">
        <f t="shared" ca="1" si="3"/>
        <v>3</v>
      </c>
      <c r="C19" s="1194">
        <v>8719807</v>
      </c>
      <c r="D19" s="1195" t="s">
        <v>4668</v>
      </c>
      <c r="E19" s="1180" t="s">
        <v>4622</v>
      </c>
      <c r="F19" s="1161">
        <v>25096</v>
      </c>
      <c r="G19" s="1180" t="s">
        <v>4620</v>
      </c>
      <c r="H19" s="1161">
        <v>39874</v>
      </c>
      <c r="I19" s="1185">
        <f t="shared" si="11"/>
        <v>15</v>
      </c>
      <c r="J19" s="1177">
        <v>4</v>
      </c>
      <c r="K19" s="1185">
        <f t="shared" si="12"/>
        <v>19</v>
      </c>
      <c r="L19" s="1191" t="s">
        <v>5532</v>
      </c>
      <c r="M19" s="1177"/>
      <c r="N19" s="1177"/>
      <c r="O19" s="1040" t="s">
        <v>1582</v>
      </c>
      <c r="P19" s="1177" t="s">
        <v>5189</v>
      </c>
      <c r="Q19" s="1391" t="str">
        <f>IFERROR(VLOOKUP(O19,CARGOS!A:E,2,0),"")</f>
        <v>00906</v>
      </c>
      <c r="R19" s="1392" t="s">
        <v>5972</v>
      </c>
      <c r="S19" s="1180" t="s">
        <v>2836</v>
      </c>
      <c r="T19" s="1150">
        <f>IFERROR(VLOOKUP(S19,'TAB EMP'!A:B,2,0),0)</f>
        <v>363</v>
      </c>
      <c r="U19" s="1151">
        <v>0</v>
      </c>
      <c r="V19" s="1150">
        <f t="shared" si="13"/>
        <v>363</v>
      </c>
      <c r="W19" s="1151">
        <f t="shared" si="14"/>
        <v>181.5</v>
      </c>
      <c r="X19" s="1180" t="s">
        <v>2885</v>
      </c>
      <c r="Y19" s="1180"/>
      <c r="Z19" s="1180">
        <v>0</v>
      </c>
      <c r="AA19" s="1150">
        <f>ROUND(IF(H19&lt;&gt;"",VLOOKUP(SUM(I19+J19),'CONCEPTOS Y PARAMETROS'!F:G,2,0)*V19,0),2)</f>
        <v>88.57</v>
      </c>
      <c r="AB19" s="1150">
        <f>IF(S19&lt;&gt;"",IF(M19="",'CONCEPTOS Y PARAMETROS'!$C$4,0),0)</f>
        <v>130</v>
      </c>
      <c r="AC19" s="1150">
        <f>IF(S19&lt;&gt;"",IF(M19="",'CONCEPTOS Y PARAMETROS'!$C$7*Z19,0),0)</f>
        <v>0</v>
      </c>
      <c r="AD19" s="1150">
        <f>IFERROR(ROUND(VLOOKUP($X19,'CONCEPTOS Y PARAMETROS'!H:I,2,0)*($V19+AA19+AB19+AC19),2),0)</f>
        <v>145.38999999999999</v>
      </c>
      <c r="AE19" s="1150">
        <f t="shared" si="15"/>
        <v>363.96</v>
      </c>
      <c r="AF19" s="1150">
        <f t="shared" si="16"/>
        <v>44.29</v>
      </c>
      <c r="AG19" s="1150">
        <f t="shared" si="17"/>
        <v>44.28</v>
      </c>
      <c r="AH19" s="1150">
        <f t="shared" si="18"/>
        <v>65</v>
      </c>
      <c r="AI19" s="1150">
        <f t="shared" si="19"/>
        <v>65</v>
      </c>
      <c r="AJ19" s="1150">
        <f t="shared" si="20"/>
        <v>72.7</v>
      </c>
      <c r="AK19" s="1150">
        <f t="shared" si="21"/>
        <v>72.69</v>
      </c>
      <c r="AL19" s="1151">
        <f t="shared" si="22"/>
        <v>181.99</v>
      </c>
      <c r="AM19" s="1151">
        <f t="shared" si="23"/>
        <v>181.97</v>
      </c>
      <c r="AN19" s="1028">
        <v>0</v>
      </c>
      <c r="AO19" s="1193">
        <f>'CONCEPTOS Y PARAMETROS'!$C$18*AN19</f>
        <v>0</v>
      </c>
      <c r="AP19" s="1028">
        <v>0</v>
      </c>
      <c r="AQ19" s="1193">
        <f>'CONCEPTOS Y PARAMETROS'!$C$21*AP19</f>
        <v>0</v>
      </c>
      <c r="AR19" s="1394">
        <v>0</v>
      </c>
      <c r="AS19" s="1394">
        <v>0</v>
      </c>
      <c r="AT19" s="1394">
        <f t="shared" si="24"/>
        <v>0</v>
      </c>
      <c r="AU19" s="1151">
        <f t="shared" si="25"/>
        <v>726.96</v>
      </c>
      <c r="AV19" s="1178">
        <v>0</v>
      </c>
      <c r="AW19" s="1151">
        <f t="shared" si="26"/>
        <v>0</v>
      </c>
      <c r="AX19" s="1150">
        <f>IF(T19&lt;&gt;"0",(ROUND(IF(A19="EMPLEADO",eval_formula('CONCEPTOS Y PARAMETROS'!$C$8,NOMINA!V19,NOMINA!$AU19,NOMINA!I19+NOMINA!J19),eval_formula('CONCEPTOS Y PARAMETROS'!$D$8,NOMINA!V19,NOMINA!$AU19,NOMINA!I19+NOMINA!J19)),2))*IF(H19&lt;&gt;"",IF(MONTH(H19)=$BR$8,IF(YEAR(H19)&lt;$BT$7,1,0),0)))</f>
        <v>0</v>
      </c>
      <c r="AY19" s="1151">
        <v>180</v>
      </c>
      <c r="AZ19" s="1150">
        <f>IFERROR(VLOOKUP(AY19,'CONCEPTOS Y PARAMETROS'!Y:Z,2,0),0)</f>
        <v>150</v>
      </c>
      <c r="BA19" s="1150">
        <f t="shared" si="27"/>
        <v>5452.2</v>
      </c>
      <c r="BB19" s="1150">
        <f t="shared" si="28"/>
        <v>0</v>
      </c>
      <c r="BC19" s="1028">
        <v>0</v>
      </c>
      <c r="BD19" s="1150" t="str">
        <f t="shared" si="29"/>
        <v>0</v>
      </c>
      <c r="BE19" s="1028">
        <v>0</v>
      </c>
      <c r="BF19" s="1150">
        <f t="shared" si="30"/>
        <v>0</v>
      </c>
      <c r="BG19" s="1151">
        <v>300</v>
      </c>
      <c r="BH19" s="1151">
        <f t="shared" si="31"/>
        <v>0</v>
      </c>
      <c r="BI19" s="1151">
        <v>0</v>
      </c>
      <c r="BJ19" s="810">
        <f t="shared" si="32"/>
        <v>0</v>
      </c>
      <c r="BK19" s="1151">
        <v>0</v>
      </c>
      <c r="BL19" s="1150">
        <f t="shared" si="33"/>
        <v>26.84</v>
      </c>
      <c r="BM19" s="1150">
        <f t="shared" si="34"/>
        <v>3.36</v>
      </c>
      <c r="BN19" s="1150">
        <f t="shared" si="35"/>
        <v>7.27</v>
      </c>
      <c r="BO19" s="1150">
        <v>0</v>
      </c>
      <c r="BP19" s="1150">
        <v>0</v>
      </c>
      <c r="BQ19" s="1396">
        <f t="shared" si="5"/>
        <v>37.47</v>
      </c>
      <c r="BR19" s="1150">
        <f t="shared" si="36"/>
        <v>60.39</v>
      </c>
      <c r="BS19" s="1150">
        <f t="shared" si="37"/>
        <v>13.42</v>
      </c>
      <c r="BT19" s="1150">
        <f t="shared" si="38"/>
        <v>14.54</v>
      </c>
      <c r="BU19" s="1150">
        <v>0</v>
      </c>
      <c r="BV19" s="1151">
        <f t="shared" si="0"/>
        <v>88.35</v>
      </c>
      <c r="BW19" s="1155">
        <f t="shared" si="1"/>
        <v>125.82</v>
      </c>
      <c r="BX19" s="1155">
        <f t="shared" si="39"/>
        <v>1363.05</v>
      </c>
      <c r="BY19" s="1155">
        <v>0</v>
      </c>
      <c r="BZ19" s="1155">
        <f t="shared" si="40"/>
        <v>1363.05</v>
      </c>
      <c r="CA19" s="1397">
        <f>'CONCEPTOS Y PARAMETROS'!$A$102</f>
        <v>2120</v>
      </c>
      <c r="CB19" s="1155">
        <f t="shared" si="60"/>
        <v>326.02</v>
      </c>
      <c r="CC19" s="1156">
        <f t="shared" si="41"/>
        <v>663.47</v>
      </c>
      <c r="CD19" s="514"/>
      <c r="CE19" s="514"/>
      <c r="CG19" s="497">
        <f t="shared" si="42"/>
        <v>326.02</v>
      </c>
      <c r="CH19" s="1711">
        <f t="shared" si="43"/>
        <v>300</v>
      </c>
      <c r="CI19" s="497">
        <f t="shared" si="44"/>
        <v>663.47</v>
      </c>
      <c r="CJ19" s="497">
        <f t="shared" si="45"/>
        <v>318.47000000000003</v>
      </c>
      <c r="CK19" s="497">
        <f t="shared" si="61"/>
        <v>345</v>
      </c>
      <c r="CL19" s="497">
        <f t="shared" si="46"/>
        <v>0</v>
      </c>
      <c r="CM19" s="497">
        <f t="shared" si="47"/>
        <v>0</v>
      </c>
      <c r="CN19" s="498">
        <f t="shared" si="48"/>
        <v>0</v>
      </c>
      <c r="CO19" s="499">
        <v>0</v>
      </c>
      <c r="CP19" s="498">
        <f t="shared" si="49"/>
        <v>0</v>
      </c>
      <c r="CQ19" s="500">
        <f t="shared" si="50"/>
        <v>0</v>
      </c>
      <c r="CR19" s="498">
        <f t="shared" si="51"/>
        <v>0</v>
      </c>
      <c r="CS19" s="498">
        <f t="shared" si="52"/>
        <v>0</v>
      </c>
      <c r="CT19" s="498">
        <f t="shared" si="53"/>
        <v>125.82</v>
      </c>
      <c r="CU19" s="498">
        <f t="shared" si="54"/>
        <v>2120</v>
      </c>
      <c r="CV19" s="1554"/>
      <c r="CW19" s="1195" t="s">
        <v>6931</v>
      </c>
      <c r="CX19" s="1195" t="s">
        <v>7178</v>
      </c>
      <c r="CY19" s="472"/>
      <c r="CZ19" s="514" t="s">
        <v>6172</v>
      </c>
      <c r="DA19" s="514" t="s">
        <v>6173</v>
      </c>
      <c r="DB19" s="1199" t="s">
        <v>6202</v>
      </c>
      <c r="DC19" s="514" t="s">
        <v>6632</v>
      </c>
      <c r="DD19" s="472"/>
      <c r="DE19" s="472"/>
      <c r="DF19" s="472"/>
      <c r="DG19" s="472"/>
      <c r="DH19" s="472"/>
      <c r="DJ19" s="473" t="str">
        <f>VLOOKUP(X19,Hoja1!$A$4:$B$10,2,0)</f>
        <v>PROFESIONAL</v>
      </c>
      <c r="DK19" s="473" t="str">
        <f>VLOOKUP(S19,Hoja1!$D$4:$F$77,3,0)</f>
        <v>JEFE DE DIVISIÓN</v>
      </c>
      <c r="DL19" s="1216" t="str">
        <f t="shared" si="55"/>
        <v>0</v>
      </c>
      <c r="DM19" s="1741" t="str">
        <f t="shared" si="56"/>
        <v>F</v>
      </c>
      <c r="DN19" s="1741"/>
    </row>
    <row r="20" spans="1:118" s="473" customFormat="1" ht="21.95" customHeight="1">
      <c r="A20" s="510" t="s">
        <v>2846</v>
      </c>
      <c r="B20" s="1390">
        <f t="shared" ca="1" si="3"/>
        <v>4</v>
      </c>
      <c r="C20" s="1194">
        <v>10404528</v>
      </c>
      <c r="D20" s="1195" t="s">
        <v>4669</v>
      </c>
      <c r="E20" s="1180" t="s">
        <v>4622</v>
      </c>
      <c r="F20" s="1161">
        <v>25332</v>
      </c>
      <c r="G20" s="1180" t="s">
        <v>4621</v>
      </c>
      <c r="H20" s="1161">
        <v>37622</v>
      </c>
      <c r="I20" s="1185">
        <f t="shared" si="11"/>
        <v>22</v>
      </c>
      <c r="J20" s="1177">
        <v>0</v>
      </c>
      <c r="K20" s="1185">
        <f t="shared" si="12"/>
        <v>22</v>
      </c>
      <c r="L20" s="1191" t="s">
        <v>5533</v>
      </c>
      <c r="M20" s="1177"/>
      <c r="N20" s="1177"/>
      <c r="O20" s="1040" t="s">
        <v>1582</v>
      </c>
      <c r="P20" s="1177" t="s">
        <v>5190</v>
      </c>
      <c r="Q20" s="1391" t="str">
        <f>IFERROR(VLOOKUP(O20,CARGOS!A:E,2,0),"")</f>
        <v>00906</v>
      </c>
      <c r="R20" s="1392" t="s">
        <v>5973</v>
      </c>
      <c r="S20" s="1180" t="s">
        <v>2836</v>
      </c>
      <c r="T20" s="1150">
        <f>IFERROR(VLOOKUP(S20,'TAB EMP'!A:B,2,0),0)</f>
        <v>363</v>
      </c>
      <c r="U20" s="1151">
        <v>0</v>
      </c>
      <c r="V20" s="1150">
        <f t="shared" si="13"/>
        <v>363</v>
      </c>
      <c r="W20" s="1151">
        <f t="shared" si="14"/>
        <v>181.5</v>
      </c>
      <c r="X20" s="1180" t="s">
        <v>2885</v>
      </c>
      <c r="Y20" s="1180"/>
      <c r="Z20" s="1180">
        <v>1</v>
      </c>
      <c r="AA20" s="1150">
        <f>ROUND(IF(H20&lt;&gt;"",VLOOKUP(SUM(I20+J20),'CONCEPTOS Y PARAMETROS'!F:G,2,0)*V20,0),2)</f>
        <v>107.45</v>
      </c>
      <c r="AB20" s="1150">
        <f>IF(S20&lt;&gt;"",IF(M20="",'CONCEPTOS Y PARAMETROS'!$C$4,0),0)</f>
        <v>130</v>
      </c>
      <c r="AC20" s="1150">
        <f>IF(S20&lt;&gt;"",IF(M20="",'CONCEPTOS Y PARAMETROS'!$C$7*Z20,0),0)</f>
        <v>12.5</v>
      </c>
      <c r="AD20" s="1150">
        <f>IFERROR(ROUND(VLOOKUP($X20,'CONCEPTOS Y PARAMETROS'!H:I,2,0)*($V20+AA20+AB20+AC20),2),0)</f>
        <v>153.24</v>
      </c>
      <c r="AE20" s="1150">
        <f t="shared" si="15"/>
        <v>403.19</v>
      </c>
      <c r="AF20" s="1150">
        <f t="shared" si="16"/>
        <v>53.73</v>
      </c>
      <c r="AG20" s="1150">
        <f t="shared" si="17"/>
        <v>53.72</v>
      </c>
      <c r="AH20" s="1150">
        <f t="shared" si="18"/>
        <v>65</v>
      </c>
      <c r="AI20" s="1150">
        <f t="shared" si="19"/>
        <v>65</v>
      </c>
      <c r="AJ20" s="1150">
        <f t="shared" si="20"/>
        <v>76.62</v>
      </c>
      <c r="AK20" s="1150">
        <f t="shared" si="21"/>
        <v>76.62</v>
      </c>
      <c r="AL20" s="1151">
        <f t="shared" si="22"/>
        <v>207.85</v>
      </c>
      <c r="AM20" s="1151">
        <f t="shared" si="23"/>
        <v>195.34</v>
      </c>
      <c r="AN20" s="1583">
        <v>1</v>
      </c>
      <c r="AO20" s="1193">
        <f>'CONCEPTOS Y PARAMETROS'!$C$18*AN20</f>
        <v>12.5</v>
      </c>
      <c r="AP20" s="1028">
        <v>0</v>
      </c>
      <c r="AQ20" s="1193">
        <f>'CONCEPTOS Y PARAMETROS'!$C$21*AP20</f>
        <v>0</v>
      </c>
      <c r="AR20" s="1394">
        <v>0</v>
      </c>
      <c r="AS20" s="1394">
        <v>0</v>
      </c>
      <c r="AT20" s="1394">
        <f t="shared" si="24"/>
        <v>12.5</v>
      </c>
      <c r="AU20" s="1151">
        <f t="shared" si="25"/>
        <v>766.19</v>
      </c>
      <c r="AV20" s="1178">
        <v>0</v>
      </c>
      <c r="AW20" s="1151">
        <f t="shared" si="26"/>
        <v>0</v>
      </c>
      <c r="AX20" s="1150">
        <f>IF(T20&lt;&gt;"0",(ROUND(IF(A20="EMPLEADO",eval_formula('CONCEPTOS Y PARAMETROS'!$C$8,NOMINA!V20,NOMINA!$AU20,NOMINA!I20+NOMINA!J20),eval_formula('CONCEPTOS Y PARAMETROS'!$D$8,NOMINA!V20,NOMINA!$AU20,NOMINA!I20+NOMINA!J20)),2))*IF(H20&lt;&gt;"",IF(MONTH(H20)=$BR$8,IF(YEAR(H20)&lt;$BT$7,1,0),0)))</f>
        <v>6129.52</v>
      </c>
      <c r="AY20" s="1151">
        <v>180</v>
      </c>
      <c r="AZ20" s="1150">
        <f>IFERROR(VLOOKUP(AY20,'CONCEPTOS Y PARAMETROS'!Y:Z,2,0),0)</f>
        <v>150</v>
      </c>
      <c r="BA20" s="1150">
        <f t="shared" si="27"/>
        <v>5746.43</v>
      </c>
      <c r="BB20" s="1150">
        <f t="shared" si="28"/>
        <v>0</v>
      </c>
      <c r="BC20" s="1028">
        <v>0</v>
      </c>
      <c r="BD20" s="1150" t="str">
        <f t="shared" si="29"/>
        <v>0</v>
      </c>
      <c r="BE20" s="1028">
        <v>0</v>
      </c>
      <c r="BF20" s="1150">
        <f t="shared" si="30"/>
        <v>0</v>
      </c>
      <c r="BG20" s="1151">
        <v>300</v>
      </c>
      <c r="BH20" s="1151">
        <f t="shared" si="31"/>
        <v>0</v>
      </c>
      <c r="BI20" s="1151">
        <v>0</v>
      </c>
      <c r="BJ20" s="810">
        <f t="shared" si="32"/>
        <v>0</v>
      </c>
      <c r="BK20" s="1151">
        <v>0</v>
      </c>
      <c r="BL20" s="1150">
        <f t="shared" si="33"/>
        <v>28.29</v>
      </c>
      <c r="BM20" s="1150">
        <f t="shared" si="34"/>
        <v>3.54</v>
      </c>
      <c r="BN20" s="1150">
        <f t="shared" si="35"/>
        <v>7.66</v>
      </c>
      <c r="BO20" s="1150">
        <v>0</v>
      </c>
      <c r="BP20" s="1150">
        <v>0</v>
      </c>
      <c r="BQ20" s="1396">
        <f t="shared" si="5"/>
        <v>39.49</v>
      </c>
      <c r="BR20" s="1150">
        <f t="shared" si="36"/>
        <v>63.65</v>
      </c>
      <c r="BS20" s="1150">
        <f t="shared" si="37"/>
        <v>14.15</v>
      </c>
      <c r="BT20" s="1150">
        <f t="shared" si="38"/>
        <v>15.32</v>
      </c>
      <c r="BU20" s="1150">
        <v>0</v>
      </c>
      <c r="BV20" s="1151">
        <f t="shared" si="0"/>
        <v>93.12</v>
      </c>
      <c r="BW20" s="1155">
        <f t="shared" si="1"/>
        <v>132.61000000000001</v>
      </c>
      <c r="BX20" s="1155">
        <f t="shared" si="39"/>
        <v>1436.61</v>
      </c>
      <c r="BY20" s="1155">
        <v>0</v>
      </c>
      <c r="BZ20" s="1155">
        <f t="shared" si="40"/>
        <v>1436.61</v>
      </c>
      <c r="CA20" s="1397">
        <f>'CONCEPTOS Y PARAMETROS'!$A$102</f>
        <v>2120</v>
      </c>
      <c r="CB20" s="1155">
        <f t="shared" si="60"/>
        <v>349.86</v>
      </c>
      <c r="CC20" s="1156">
        <f t="shared" si="41"/>
        <v>6818.86</v>
      </c>
      <c r="CD20" s="514"/>
      <c r="CE20" s="514"/>
      <c r="CG20" s="497">
        <f t="shared" si="42"/>
        <v>349.86</v>
      </c>
      <c r="CH20" s="1711">
        <f t="shared" si="43"/>
        <v>300</v>
      </c>
      <c r="CI20" s="497">
        <f t="shared" si="44"/>
        <v>676.84</v>
      </c>
      <c r="CJ20" s="497">
        <f t="shared" si="45"/>
        <v>324.88</v>
      </c>
      <c r="CK20" s="497">
        <f t="shared" si="61"/>
        <v>351.96000000000004</v>
      </c>
      <c r="CL20" s="497">
        <f t="shared" si="46"/>
        <v>0</v>
      </c>
      <c r="CM20" s="497">
        <f t="shared" si="47"/>
        <v>0</v>
      </c>
      <c r="CN20" s="498">
        <f t="shared" si="48"/>
        <v>0</v>
      </c>
      <c r="CO20" s="499">
        <v>0</v>
      </c>
      <c r="CP20" s="498">
        <f t="shared" si="49"/>
        <v>0</v>
      </c>
      <c r="CQ20" s="500">
        <f t="shared" si="50"/>
        <v>12.5</v>
      </c>
      <c r="CR20" s="498">
        <f t="shared" si="51"/>
        <v>6129.52</v>
      </c>
      <c r="CS20" s="498">
        <f t="shared" si="52"/>
        <v>6142.02</v>
      </c>
      <c r="CT20" s="498">
        <f t="shared" si="53"/>
        <v>132.61000000000001</v>
      </c>
      <c r="CU20" s="498">
        <f t="shared" si="54"/>
        <v>2120</v>
      </c>
      <c r="CV20" s="1554"/>
      <c r="CW20" s="1195" t="s">
        <v>6931</v>
      </c>
      <c r="CX20" s="1195" t="s">
        <v>6996</v>
      </c>
      <c r="CY20" s="472"/>
      <c r="CZ20" s="514" t="s">
        <v>6174</v>
      </c>
      <c r="DA20" s="514" t="s">
        <v>6175</v>
      </c>
      <c r="DB20" s="514" t="s">
        <v>6176</v>
      </c>
      <c r="DC20" s="514" t="s">
        <v>6416</v>
      </c>
      <c r="DD20" s="472"/>
      <c r="DE20" s="472"/>
      <c r="DF20" s="472"/>
      <c r="DG20" s="472"/>
      <c r="DH20" s="472"/>
      <c r="DJ20" s="473" t="str">
        <f>VLOOKUP(X20,Hoja1!$A$4:$B$10,2,0)</f>
        <v>PROFESIONAL</v>
      </c>
      <c r="DK20" s="473" t="str">
        <f>VLOOKUP(S20,Hoja1!$D$4:$F$77,3,0)</f>
        <v>JEFE DE DIVISIÓN</v>
      </c>
      <c r="DL20" s="1216" t="str">
        <f t="shared" si="55"/>
        <v>0</v>
      </c>
      <c r="DM20" s="1741" t="str">
        <f t="shared" si="56"/>
        <v>M</v>
      </c>
      <c r="DN20" s="1741"/>
    </row>
    <row r="21" spans="1:118" s="473" customFormat="1" ht="21.95" customHeight="1">
      <c r="A21" s="510" t="s">
        <v>2846</v>
      </c>
      <c r="B21" s="1390">
        <f t="shared" ca="1" si="3"/>
        <v>5</v>
      </c>
      <c r="C21" s="1194">
        <v>9311822</v>
      </c>
      <c r="D21" s="1195" t="s">
        <v>4670</v>
      </c>
      <c r="E21" s="1180" t="s">
        <v>4622</v>
      </c>
      <c r="F21" s="1161">
        <v>23743</v>
      </c>
      <c r="G21" s="1180" t="s">
        <v>4621</v>
      </c>
      <c r="H21" s="1161">
        <v>37662</v>
      </c>
      <c r="I21" s="1185">
        <f t="shared" si="11"/>
        <v>21</v>
      </c>
      <c r="J21" s="1177">
        <v>0</v>
      </c>
      <c r="K21" s="1185">
        <f t="shared" si="12"/>
        <v>21</v>
      </c>
      <c r="L21" s="1191" t="s">
        <v>5534</v>
      </c>
      <c r="M21" s="1177"/>
      <c r="N21" s="1177"/>
      <c r="O21" s="1040" t="s">
        <v>1582</v>
      </c>
      <c r="P21" s="1177" t="s">
        <v>5191</v>
      </c>
      <c r="Q21" s="1391" t="str">
        <f>IFERROR(VLOOKUP(O21,CARGOS!A:E,2,0),"")</f>
        <v>00906</v>
      </c>
      <c r="R21" s="1392" t="s">
        <v>5974</v>
      </c>
      <c r="S21" s="1180" t="s">
        <v>2836</v>
      </c>
      <c r="T21" s="1150">
        <f>IFERROR(VLOOKUP(S21,'TAB EMP'!A:B,2,0),0)</f>
        <v>363</v>
      </c>
      <c r="U21" s="1151">
        <v>0</v>
      </c>
      <c r="V21" s="1150">
        <f t="shared" si="13"/>
        <v>363</v>
      </c>
      <c r="W21" s="1151">
        <f t="shared" si="14"/>
        <v>181.5</v>
      </c>
      <c r="X21" s="1180" t="s">
        <v>2884</v>
      </c>
      <c r="Y21" s="1180"/>
      <c r="Z21" s="1180">
        <v>0</v>
      </c>
      <c r="AA21" s="1150">
        <f>ROUND(IF(H21&lt;&gt;"",VLOOKUP(SUM(I21+J21),'CONCEPTOS Y PARAMETROS'!F:G,2,0)*V21,0),2)</f>
        <v>100.91</v>
      </c>
      <c r="AB21" s="1150">
        <f>IF(S21&lt;&gt;"",IF(M21="",'CONCEPTOS Y PARAMETROS'!$C$4,0),0)</f>
        <v>130</v>
      </c>
      <c r="AC21" s="1150">
        <f>IF(S21&lt;&gt;"",IF(M21="",'CONCEPTOS Y PARAMETROS'!$C$7*Z21,0),0)</f>
        <v>0</v>
      </c>
      <c r="AD21" s="1150">
        <f>IFERROR(ROUND(VLOOKUP($X21,'CONCEPTOS Y PARAMETROS'!H:I,2,0)*($V21+AA21+AB21+AC21),2),0)</f>
        <v>0</v>
      </c>
      <c r="AE21" s="1150">
        <f t="shared" si="15"/>
        <v>230.91</v>
      </c>
      <c r="AF21" s="1150">
        <f t="shared" si="16"/>
        <v>50.46</v>
      </c>
      <c r="AG21" s="1150">
        <f t="shared" si="17"/>
        <v>50.45</v>
      </c>
      <c r="AH21" s="1150">
        <f t="shared" si="18"/>
        <v>65</v>
      </c>
      <c r="AI21" s="1150">
        <f t="shared" si="19"/>
        <v>65</v>
      </c>
      <c r="AJ21" s="1150">
        <f t="shared" si="20"/>
        <v>0</v>
      </c>
      <c r="AK21" s="1150">
        <f t="shared" si="21"/>
        <v>0</v>
      </c>
      <c r="AL21" s="1151">
        <f t="shared" si="22"/>
        <v>115.46</v>
      </c>
      <c r="AM21" s="1151">
        <f t="shared" si="23"/>
        <v>115.45</v>
      </c>
      <c r="AN21" s="1028">
        <v>0</v>
      </c>
      <c r="AO21" s="1193">
        <f>'CONCEPTOS Y PARAMETROS'!$C$18*AN21</f>
        <v>0</v>
      </c>
      <c r="AP21" s="1028">
        <v>0</v>
      </c>
      <c r="AQ21" s="1193">
        <f>'CONCEPTOS Y PARAMETROS'!$C$21*AP21</f>
        <v>0</v>
      </c>
      <c r="AR21" s="1394">
        <v>0</v>
      </c>
      <c r="AS21" s="1394">
        <v>0</v>
      </c>
      <c r="AT21" s="1394">
        <f t="shared" si="24"/>
        <v>0</v>
      </c>
      <c r="AU21" s="1151">
        <f t="shared" si="25"/>
        <v>593.91</v>
      </c>
      <c r="AV21" s="1178">
        <v>0</v>
      </c>
      <c r="AW21" s="1151">
        <f t="shared" si="26"/>
        <v>0</v>
      </c>
      <c r="AX21" s="1150">
        <f>IF(T21&lt;&gt;"0",(ROUND(IF(A21="EMPLEADO",eval_formula('CONCEPTOS Y PARAMETROS'!$C$8,NOMINA!V21,NOMINA!$AU21,NOMINA!I21+NOMINA!J21),eval_formula('CONCEPTOS Y PARAMETROS'!$D$8,NOMINA!V21,NOMINA!$AU21,NOMINA!I21+NOMINA!J21)),2))*IF(H21&lt;&gt;"",IF(MONTH(H21)=$BR$8,IF(YEAR(H21)&lt;$BT$7,1,0),0)))</f>
        <v>0</v>
      </c>
      <c r="AY21" s="1151">
        <v>180</v>
      </c>
      <c r="AZ21" s="1150">
        <f>IFERROR(VLOOKUP(AY21,'CONCEPTOS Y PARAMETROS'!Y:Z,2,0),0)</f>
        <v>150</v>
      </c>
      <c r="BA21" s="1150">
        <f t="shared" si="27"/>
        <v>4454.33</v>
      </c>
      <c r="BB21" s="1150">
        <f t="shared" si="28"/>
        <v>0</v>
      </c>
      <c r="BC21" s="1028">
        <v>0</v>
      </c>
      <c r="BD21" s="1150" t="str">
        <f t="shared" si="29"/>
        <v>0</v>
      </c>
      <c r="BE21" s="1028">
        <v>0</v>
      </c>
      <c r="BF21" s="1150">
        <f t="shared" si="30"/>
        <v>0</v>
      </c>
      <c r="BG21" s="1151">
        <v>300</v>
      </c>
      <c r="BH21" s="1151">
        <f t="shared" si="31"/>
        <v>0</v>
      </c>
      <c r="BI21" s="1151">
        <v>0</v>
      </c>
      <c r="BJ21" s="810">
        <f t="shared" si="32"/>
        <v>0</v>
      </c>
      <c r="BK21" s="1151">
        <v>0</v>
      </c>
      <c r="BL21" s="1150">
        <f t="shared" si="33"/>
        <v>21.93</v>
      </c>
      <c r="BM21" s="1150">
        <f t="shared" si="34"/>
        <v>2.74</v>
      </c>
      <c r="BN21" s="1150">
        <f t="shared" si="35"/>
        <v>5.94</v>
      </c>
      <c r="BO21" s="1150">
        <v>0</v>
      </c>
      <c r="BP21" s="1150">
        <v>0</v>
      </c>
      <c r="BQ21" s="1396">
        <f t="shared" si="5"/>
        <v>30.61</v>
      </c>
      <c r="BR21" s="1150">
        <f t="shared" si="36"/>
        <v>49.34</v>
      </c>
      <c r="BS21" s="1150">
        <f t="shared" si="37"/>
        <v>10.96</v>
      </c>
      <c r="BT21" s="1150">
        <f t="shared" si="38"/>
        <v>11.88</v>
      </c>
      <c r="BU21" s="1150">
        <v>0</v>
      </c>
      <c r="BV21" s="1151">
        <f t="shared" si="0"/>
        <v>72.180000000000007</v>
      </c>
      <c r="BW21" s="1155">
        <f t="shared" si="1"/>
        <v>102.79</v>
      </c>
      <c r="BX21" s="1155">
        <f t="shared" si="39"/>
        <v>1113.58</v>
      </c>
      <c r="BY21" s="1155">
        <v>0</v>
      </c>
      <c r="BZ21" s="1155">
        <f t="shared" si="40"/>
        <v>1113.58</v>
      </c>
      <c r="CA21" s="1397">
        <f>'CONCEPTOS Y PARAMETROS'!$A$102</f>
        <v>2120</v>
      </c>
      <c r="CB21" s="1155">
        <f t="shared" si="60"/>
        <v>266.34999999999997</v>
      </c>
      <c r="CC21" s="1156">
        <f t="shared" si="41"/>
        <v>596.95000000000005</v>
      </c>
      <c r="CD21" s="514"/>
      <c r="CE21" s="514"/>
      <c r="CG21" s="497">
        <f t="shared" si="42"/>
        <v>266.34999999999997</v>
      </c>
      <c r="CH21" s="1711">
        <f t="shared" si="43"/>
        <v>300</v>
      </c>
      <c r="CI21" s="497">
        <f t="shared" si="44"/>
        <v>596.95000000000005</v>
      </c>
      <c r="CJ21" s="497">
        <f t="shared" si="45"/>
        <v>286.54000000000002</v>
      </c>
      <c r="CK21" s="497">
        <f t="shared" si="61"/>
        <v>310.41000000000003</v>
      </c>
      <c r="CL21" s="497">
        <f t="shared" si="46"/>
        <v>0</v>
      </c>
      <c r="CM21" s="497">
        <f t="shared" si="47"/>
        <v>0</v>
      </c>
      <c r="CN21" s="498">
        <f t="shared" si="48"/>
        <v>0</v>
      </c>
      <c r="CO21" s="499">
        <v>0</v>
      </c>
      <c r="CP21" s="498">
        <f t="shared" si="49"/>
        <v>0</v>
      </c>
      <c r="CQ21" s="500">
        <f t="shared" si="50"/>
        <v>0</v>
      </c>
      <c r="CR21" s="498">
        <f t="shared" si="51"/>
        <v>0</v>
      </c>
      <c r="CS21" s="498">
        <f t="shared" si="52"/>
        <v>0</v>
      </c>
      <c r="CT21" s="498">
        <f t="shared" si="53"/>
        <v>102.79</v>
      </c>
      <c r="CU21" s="498">
        <f t="shared" si="54"/>
        <v>2120</v>
      </c>
      <c r="CV21" s="1554"/>
      <c r="CW21" s="1195" t="s">
        <v>7180</v>
      </c>
      <c r="CX21" s="1195" t="s">
        <v>7181</v>
      </c>
      <c r="CY21" s="472"/>
      <c r="CZ21" s="514" t="s">
        <v>6177</v>
      </c>
      <c r="DA21" s="514" t="s">
        <v>6171</v>
      </c>
      <c r="DB21" s="514" t="s">
        <v>6178</v>
      </c>
      <c r="DC21" s="514" t="s">
        <v>6633</v>
      </c>
      <c r="DD21" s="472"/>
      <c r="DE21" s="472"/>
      <c r="DF21" s="472"/>
      <c r="DG21" s="472"/>
      <c r="DH21" s="472"/>
      <c r="DJ21" s="473" t="str">
        <f>VLOOKUP(X21,Hoja1!$A$4:$B$10,2,0)</f>
        <v>BACHILLER</v>
      </c>
      <c r="DK21" s="473" t="str">
        <f>VLOOKUP(S21,Hoja1!$D$4:$F$77,3,0)</f>
        <v>JEFE DE DIVISIÓN</v>
      </c>
      <c r="DL21" s="1216" t="str">
        <f t="shared" si="55"/>
        <v>0</v>
      </c>
      <c r="DM21" s="1741" t="str">
        <f t="shared" si="56"/>
        <v>M</v>
      </c>
      <c r="DN21" s="1741"/>
    </row>
    <row r="22" spans="1:118" s="478" customFormat="1" ht="21.95" customHeight="1">
      <c r="A22" s="510" t="s">
        <v>2846</v>
      </c>
      <c r="B22" s="1390">
        <f t="shared" ca="1" si="3"/>
        <v>6</v>
      </c>
      <c r="C22" s="1194">
        <v>21592108</v>
      </c>
      <c r="D22" s="1195" t="s">
        <v>4682</v>
      </c>
      <c r="E22" s="1180" t="s">
        <v>4622</v>
      </c>
      <c r="F22" s="1161">
        <v>33800</v>
      </c>
      <c r="G22" s="1180" t="s">
        <v>4620</v>
      </c>
      <c r="H22" s="1161">
        <v>43024</v>
      </c>
      <c r="I22" s="1185">
        <f t="shared" si="11"/>
        <v>7</v>
      </c>
      <c r="J22" s="1177">
        <v>0</v>
      </c>
      <c r="K22" s="1185">
        <f t="shared" si="12"/>
        <v>7</v>
      </c>
      <c r="L22" s="1191" t="s">
        <v>5555</v>
      </c>
      <c r="M22" s="1177"/>
      <c r="N22" s="1177"/>
      <c r="O22" s="1040" t="s">
        <v>1582</v>
      </c>
      <c r="P22" s="1177" t="s">
        <v>5197</v>
      </c>
      <c r="Q22" s="1391" t="str">
        <f>IFERROR(VLOOKUP(O22,CARGOS!A:E,2,0),"")</f>
        <v>00906</v>
      </c>
      <c r="R22" s="1392" t="s">
        <v>6824</v>
      </c>
      <c r="S22" s="1180" t="s">
        <v>2836</v>
      </c>
      <c r="T22" s="1150">
        <f>IFERROR(VLOOKUP(S22,'TAB EMP'!A:B,2,0),0)</f>
        <v>363</v>
      </c>
      <c r="U22" s="1151">
        <v>0</v>
      </c>
      <c r="V22" s="1150">
        <f t="shared" si="13"/>
        <v>363</v>
      </c>
      <c r="W22" s="1151">
        <f t="shared" si="14"/>
        <v>181.5</v>
      </c>
      <c r="X22" s="1180" t="s">
        <v>2844</v>
      </c>
      <c r="Y22" s="1180"/>
      <c r="Z22" s="1180">
        <v>1</v>
      </c>
      <c r="AA22" s="1150">
        <f>ROUND(IF(H22&lt;&gt;"",VLOOKUP(SUM(I22+J22),'CONCEPTOS Y PARAMETROS'!F:G,2,0)*V22,0),2)</f>
        <v>26.86</v>
      </c>
      <c r="AB22" s="1150">
        <f>IF(S22&lt;&gt;"",IF(M22="",'CONCEPTOS Y PARAMETROS'!$C$4,0),0)</f>
        <v>130</v>
      </c>
      <c r="AC22" s="1150">
        <f>IF(S22&lt;&gt;"",IF(M22="",'CONCEPTOS Y PARAMETROS'!$C$7*Z22,0),0)</f>
        <v>12.5</v>
      </c>
      <c r="AD22" s="1150">
        <f>IFERROR(ROUND(VLOOKUP($X22,'CONCEPTOS Y PARAMETROS'!H:I,2,0)*($V22+AA22+AB22+AC22),2),0)</f>
        <v>106.47</v>
      </c>
      <c r="AE22" s="1150">
        <f t="shared" si="15"/>
        <v>275.83000000000004</v>
      </c>
      <c r="AF22" s="1150">
        <f t="shared" si="16"/>
        <v>13.43</v>
      </c>
      <c r="AG22" s="1150">
        <f t="shared" si="17"/>
        <v>13.43</v>
      </c>
      <c r="AH22" s="1150">
        <f t="shared" si="18"/>
        <v>65</v>
      </c>
      <c r="AI22" s="1150">
        <f t="shared" si="19"/>
        <v>65</v>
      </c>
      <c r="AJ22" s="1150">
        <f t="shared" si="20"/>
        <v>53.24</v>
      </c>
      <c r="AK22" s="1150">
        <f t="shared" si="21"/>
        <v>53.23</v>
      </c>
      <c r="AL22" s="1151">
        <f t="shared" si="22"/>
        <v>144.16999999999999</v>
      </c>
      <c r="AM22" s="1151">
        <f t="shared" si="23"/>
        <v>131.66</v>
      </c>
      <c r="AN22" s="1028">
        <v>0</v>
      </c>
      <c r="AO22" s="1193">
        <f>'CONCEPTOS Y PARAMETROS'!$C$18*AN22</f>
        <v>0</v>
      </c>
      <c r="AP22" s="1028">
        <v>0</v>
      </c>
      <c r="AQ22" s="1193">
        <f>'CONCEPTOS Y PARAMETROS'!$C$21*AP22</f>
        <v>0</v>
      </c>
      <c r="AR22" s="1394">
        <v>0</v>
      </c>
      <c r="AS22" s="1394">
        <v>0</v>
      </c>
      <c r="AT22" s="1394">
        <f t="shared" ref="AT22" si="62">+AO22+AQ22+AR22+AS22</f>
        <v>0</v>
      </c>
      <c r="AU22" s="1151">
        <f t="shared" si="25"/>
        <v>638.83000000000004</v>
      </c>
      <c r="AV22" s="1178">
        <v>0</v>
      </c>
      <c r="AW22" s="1151">
        <f t="shared" si="26"/>
        <v>0</v>
      </c>
      <c r="AX22" s="1150">
        <f>IF(T22&lt;&gt;"0",(ROUND(IF(A22="EMPLEADO",eval_formula('CONCEPTOS Y PARAMETROS'!$C$8,NOMINA!V22,NOMINA!$AU22,NOMINA!I22+NOMINA!J22),eval_formula('CONCEPTOS Y PARAMETROS'!$D$8,NOMINA!V22,NOMINA!$AU22,NOMINA!I22+NOMINA!J22)),2))*IF(H22&lt;&gt;"",IF(MONTH(H22)=$BR$8,IF(YEAR(H22)&lt;$BT$7,1,0),0)))</f>
        <v>0</v>
      </c>
      <c r="AY22" s="1151">
        <v>180</v>
      </c>
      <c r="AZ22" s="1150">
        <f>IFERROR(VLOOKUP(AY22,'CONCEPTOS Y PARAMETROS'!Y:Z,2,0),0)</f>
        <v>150</v>
      </c>
      <c r="BA22" s="1150">
        <f t="shared" si="27"/>
        <v>4791.2299999999996</v>
      </c>
      <c r="BB22" s="1150">
        <f t="shared" si="28"/>
        <v>0</v>
      </c>
      <c r="BC22" s="1028">
        <v>0</v>
      </c>
      <c r="BD22" s="1150" t="str">
        <f t="shared" si="29"/>
        <v>0</v>
      </c>
      <c r="BE22" s="1028">
        <v>0</v>
      </c>
      <c r="BF22" s="1150">
        <f t="shared" si="30"/>
        <v>0</v>
      </c>
      <c r="BG22" s="1151">
        <v>300</v>
      </c>
      <c r="BH22" s="1151">
        <f t="shared" si="31"/>
        <v>0</v>
      </c>
      <c r="BI22" s="1151">
        <v>0</v>
      </c>
      <c r="BJ22" s="810">
        <f t="shared" si="32"/>
        <v>0</v>
      </c>
      <c r="BK22" s="1151">
        <v>0</v>
      </c>
      <c r="BL22" s="1150">
        <f t="shared" si="33"/>
        <v>23.59</v>
      </c>
      <c r="BM22" s="1150">
        <f t="shared" si="34"/>
        <v>2.95</v>
      </c>
      <c r="BN22" s="1150">
        <f t="shared" si="35"/>
        <v>6.39</v>
      </c>
      <c r="BO22" s="1150">
        <v>0</v>
      </c>
      <c r="BP22" s="1150">
        <v>0</v>
      </c>
      <c r="BQ22" s="1396">
        <f t="shared" ref="BQ22" si="63">ROUND(SUM(BL22:BP22),2)</f>
        <v>32.93</v>
      </c>
      <c r="BR22" s="1150">
        <f t="shared" si="36"/>
        <v>53.07</v>
      </c>
      <c r="BS22" s="1150">
        <f t="shared" si="37"/>
        <v>11.79</v>
      </c>
      <c r="BT22" s="1150">
        <f t="shared" si="38"/>
        <v>12.78</v>
      </c>
      <c r="BU22" s="1150">
        <v>0</v>
      </c>
      <c r="BV22" s="1150">
        <f t="shared" ref="BV22" si="64">ROUND(SUM(BR22:BT22),2)</f>
        <v>77.64</v>
      </c>
      <c r="BW22" s="1541">
        <f t="shared" ref="BW22" si="65">BQ22+BV22</f>
        <v>110.57</v>
      </c>
      <c r="BX22" s="1155">
        <f t="shared" si="39"/>
        <v>1197.81</v>
      </c>
      <c r="BY22" s="1155">
        <v>0</v>
      </c>
      <c r="BZ22" s="1155">
        <f t="shared" si="40"/>
        <v>1197.81</v>
      </c>
      <c r="CA22" s="1397">
        <f>'CONCEPTOS Y PARAMETROS'!$A$102</f>
        <v>2120</v>
      </c>
      <c r="CB22" s="1155">
        <f t="shared" si="60"/>
        <v>292.73999999999995</v>
      </c>
      <c r="CC22" s="1156">
        <f t="shared" si="41"/>
        <v>613.16</v>
      </c>
      <c r="CD22" s="514"/>
      <c r="CE22" s="514"/>
      <c r="CG22" s="511">
        <f t="shared" si="42"/>
        <v>292.73999999999995</v>
      </c>
      <c r="CH22" s="1711">
        <f t="shared" si="43"/>
        <v>300</v>
      </c>
      <c r="CI22" s="497">
        <f t="shared" si="44"/>
        <v>613.16</v>
      </c>
      <c r="CJ22" s="511">
        <f t="shared" si="45"/>
        <v>294.32</v>
      </c>
      <c r="CK22" s="511">
        <f t="shared" si="61"/>
        <v>318.83999999999997</v>
      </c>
      <c r="CL22" s="497">
        <f t="shared" si="46"/>
        <v>0</v>
      </c>
      <c r="CM22" s="497">
        <f t="shared" si="47"/>
        <v>0</v>
      </c>
      <c r="CN22" s="512">
        <f t="shared" si="48"/>
        <v>0</v>
      </c>
      <c r="CO22" s="513">
        <v>0</v>
      </c>
      <c r="CP22" s="512">
        <f t="shared" si="49"/>
        <v>0</v>
      </c>
      <c r="CQ22" s="500">
        <f t="shared" si="50"/>
        <v>0</v>
      </c>
      <c r="CR22" s="512">
        <f t="shared" si="51"/>
        <v>0</v>
      </c>
      <c r="CS22" s="498">
        <f t="shared" si="52"/>
        <v>0</v>
      </c>
      <c r="CT22" s="498">
        <f t="shared" si="53"/>
        <v>110.57</v>
      </c>
      <c r="CU22" s="512">
        <f t="shared" si="54"/>
        <v>2120</v>
      </c>
      <c r="CV22" s="1556"/>
      <c r="CW22" s="1195" t="s">
        <v>7130</v>
      </c>
      <c r="CX22" s="1195" t="s">
        <v>6932</v>
      </c>
      <c r="CY22" s="514"/>
      <c r="CZ22" s="514" t="s">
        <v>6204</v>
      </c>
      <c r="DA22" s="514" t="s">
        <v>6205</v>
      </c>
      <c r="DB22" s="514" t="s">
        <v>6206</v>
      </c>
      <c r="DC22" s="514" t="s">
        <v>6585</v>
      </c>
      <c r="DD22" s="514"/>
      <c r="DE22" s="514"/>
      <c r="DF22" s="514"/>
      <c r="DG22" s="514"/>
      <c r="DH22" s="514"/>
      <c r="DJ22" s="473" t="str">
        <f>VLOOKUP(X22,Hoja1!$A$4:$B$10,2,0)</f>
        <v>TÉCNICO SUPERIOR UNIVERSITARIO</v>
      </c>
      <c r="DK22" s="473" t="str">
        <f>VLOOKUP(S22,Hoja1!$D$4:$F$77,3,0)</f>
        <v>JEFE DE DIVISIÓN</v>
      </c>
      <c r="DL22" s="1216" t="str">
        <f t="shared" si="55"/>
        <v>0</v>
      </c>
      <c r="DM22" s="1741" t="str">
        <f t="shared" si="56"/>
        <v>F</v>
      </c>
      <c r="DN22" s="1741"/>
    </row>
    <row r="23" spans="1:118" s="473" customFormat="1" ht="21.95" customHeight="1">
      <c r="A23" s="510" t="s">
        <v>2846</v>
      </c>
      <c r="B23" s="1390">
        <f t="shared" ca="1" si="3"/>
        <v>7</v>
      </c>
      <c r="C23" s="1194">
        <v>13206767</v>
      </c>
      <c r="D23" s="1183" t="s">
        <v>4767</v>
      </c>
      <c r="E23" s="1180" t="s">
        <v>4622</v>
      </c>
      <c r="F23" s="1161">
        <v>27843</v>
      </c>
      <c r="G23" s="1180" t="s">
        <v>4620</v>
      </c>
      <c r="H23" s="1161">
        <v>44713</v>
      </c>
      <c r="I23" s="1185">
        <f t="shared" si="11"/>
        <v>2</v>
      </c>
      <c r="J23" s="1177">
        <v>0</v>
      </c>
      <c r="K23" s="1185">
        <f t="shared" si="12"/>
        <v>2</v>
      </c>
      <c r="L23" s="1191" t="s">
        <v>5535</v>
      </c>
      <c r="M23" s="1177"/>
      <c r="N23" s="1177"/>
      <c r="O23" s="1040" t="s">
        <v>3618</v>
      </c>
      <c r="P23" s="1177" t="s">
        <v>5192</v>
      </c>
      <c r="Q23" s="1391" t="str">
        <f>IFERROR(VLOOKUP(O23,CARGOS!A:E,2,0),"")</f>
        <v>65001</v>
      </c>
      <c r="R23" s="1392" t="s">
        <v>7450</v>
      </c>
      <c r="S23" s="1180" t="s">
        <v>2835</v>
      </c>
      <c r="T23" s="1150">
        <f>IFERROR(VLOOKUP(S23,'TAB EMP'!A:B,2,0),0)</f>
        <v>348</v>
      </c>
      <c r="U23" s="1151">
        <v>0</v>
      </c>
      <c r="V23" s="1150">
        <f t="shared" si="13"/>
        <v>348</v>
      </c>
      <c r="W23" s="1151">
        <f t="shared" si="14"/>
        <v>174</v>
      </c>
      <c r="X23" s="1180" t="s">
        <v>2885</v>
      </c>
      <c r="Y23" s="1180"/>
      <c r="Z23" s="1180">
        <v>0</v>
      </c>
      <c r="AA23" s="1150">
        <f>ROUND(IF(H23&lt;&gt;"",VLOOKUP(SUM(I23+J23),'CONCEPTOS Y PARAMETROS'!F:G,2,0)*V23,0),2)</f>
        <v>6.96</v>
      </c>
      <c r="AB23" s="1150">
        <f>IF(S23&lt;&gt;"",IF(M23="",'CONCEPTOS Y PARAMETROS'!$C$4,0),0)</f>
        <v>130</v>
      </c>
      <c r="AC23" s="1150">
        <f>IF(S23&lt;&gt;"",IF(M23="",'CONCEPTOS Y PARAMETROS'!$C$7*Z23,0),0)</f>
        <v>0</v>
      </c>
      <c r="AD23" s="1150">
        <f>IFERROR(ROUND(VLOOKUP($X23,'CONCEPTOS Y PARAMETROS'!H:I,2,0)*($V23+AA23+AB23+AC23),2),0)</f>
        <v>121.24</v>
      </c>
      <c r="AE23" s="1150">
        <f t="shared" si="15"/>
        <v>258.2</v>
      </c>
      <c r="AF23" s="1150">
        <f t="shared" si="16"/>
        <v>3.48</v>
      </c>
      <c r="AG23" s="1150">
        <f t="shared" si="17"/>
        <v>3.48</v>
      </c>
      <c r="AH23" s="1150">
        <f t="shared" si="18"/>
        <v>65</v>
      </c>
      <c r="AI23" s="1150">
        <f t="shared" si="19"/>
        <v>65</v>
      </c>
      <c r="AJ23" s="1150">
        <f t="shared" si="20"/>
        <v>60.62</v>
      </c>
      <c r="AK23" s="1150">
        <f t="shared" si="21"/>
        <v>60.62</v>
      </c>
      <c r="AL23" s="1151">
        <f t="shared" si="22"/>
        <v>129.1</v>
      </c>
      <c r="AM23" s="1151">
        <f t="shared" si="23"/>
        <v>129.1</v>
      </c>
      <c r="AN23" s="1028">
        <v>0</v>
      </c>
      <c r="AO23" s="1193">
        <f>'CONCEPTOS Y PARAMETROS'!$C$18*AN23</f>
        <v>0</v>
      </c>
      <c r="AP23" s="1028">
        <v>0</v>
      </c>
      <c r="AQ23" s="1193">
        <f>'CONCEPTOS Y PARAMETROS'!$C$21*AP23</f>
        <v>0</v>
      </c>
      <c r="AR23" s="1394">
        <v>0</v>
      </c>
      <c r="AS23" s="1394">
        <v>0</v>
      </c>
      <c r="AT23" s="1394">
        <f t="shared" si="24"/>
        <v>0</v>
      </c>
      <c r="AU23" s="1151">
        <f t="shared" si="25"/>
        <v>606.20000000000005</v>
      </c>
      <c r="AV23" s="1178">
        <v>0</v>
      </c>
      <c r="AW23" s="1151">
        <f t="shared" si="26"/>
        <v>0</v>
      </c>
      <c r="AX23" s="1150">
        <f>IF(T23&lt;&gt;"0",(ROUND(IF(A23="EMPLEADO",eval_formula('CONCEPTOS Y PARAMETROS'!$C$8,NOMINA!V23,NOMINA!$AU23,NOMINA!I23+NOMINA!J23),eval_formula('CONCEPTOS Y PARAMETROS'!$D$8,NOMINA!V23,NOMINA!$AU23,NOMINA!I23+NOMINA!J23)),2))*IF(H23&lt;&gt;"",IF(MONTH(H23)=$BR$8,IF(YEAR(H23)&lt;$BT$7,1,0),0)))</f>
        <v>0</v>
      </c>
      <c r="AY23" s="1151">
        <v>180</v>
      </c>
      <c r="AZ23" s="1150">
        <f>IFERROR(VLOOKUP(AY23,'CONCEPTOS Y PARAMETROS'!Y:Z,2,0),0)</f>
        <v>150</v>
      </c>
      <c r="BA23" s="1150">
        <f t="shared" si="27"/>
        <v>4546.5</v>
      </c>
      <c r="BB23" s="1150">
        <f t="shared" si="28"/>
        <v>0</v>
      </c>
      <c r="BC23" s="1028">
        <v>0</v>
      </c>
      <c r="BD23" s="1150" t="str">
        <f t="shared" si="29"/>
        <v>0</v>
      </c>
      <c r="BE23" s="1028">
        <v>0</v>
      </c>
      <c r="BF23" s="1150">
        <f t="shared" si="30"/>
        <v>0</v>
      </c>
      <c r="BG23" s="1151">
        <v>300</v>
      </c>
      <c r="BH23" s="1151">
        <f t="shared" si="31"/>
        <v>0</v>
      </c>
      <c r="BI23" s="1151">
        <v>0</v>
      </c>
      <c r="BJ23" s="810">
        <f t="shared" si="32"/>
        <v>0</v>
      </c>
      <c r="BK23" s="1151">
        <v>0</v>
      </c>
      <c r="BL23" s="1150">
        <f t="shared" si="33"/>
        <v>22.38</v>
      </c>
      <c r="BM23" s="1150">
        <f t="shared" si="34"/>
        <v>2.8</v>
      </c>
      <c r="BN23" s="1150">
        <f t="shared" si="35"/>
        <v>6.06</v>
      </c>
      <c r="BO23" s="1150">
        <v>0</v>
      </c>
      <c r="BP23" s="1150">
        <v>0</v>
      </c>
      <c r="BQ23" s="1396">
        <f t="shared" si="5"/>
        <v>31.24</v>
      </c>
      <c r="BR23" s="1150">
        <f t="shared" si="36"/>
        <v>50.36</v>
      </c>
      <c r="BS23" s="1150">
        <f t="shared" si="37"/>
        <v>11.19</v>
      </c>
      <c r="BT23" s="1150">
        <f t="shared" si="38"/>
        <v>12.12</v>
      </c>
      <c r="BU23" s="1150">
        <v>0</v>
      </c>
      <c r="BV23" s="1151">
        <f t="shared" si="0"/>
        <v>73.67</v>
      </c>
      <c r="BW23" s="1155">
        <f t="shared" si="1"/>
        <v>104.91</v>
      </c>
      <c r="BX23" s="1155">
        <f t="shared" si="39"/>
        <v>1136.6300000000001</v>
      </c>
      <c r="BY23" s="1155">
        <v>0</v>
      </c>
      <c r="BZ23" s="1155">
        <f t="shared" si="40"/>
        <v>1136.6300000000001</v>
      </c>
      <c r="CA23" s="1397">
        <f>'CONCEPTOS Y PARAMETROS'!$A$102</f>
        <v>2120</v>
      </c>
      <c r="CB23" s="1155">
        <f t="shared" si="60"/>
        <v>271.86</v>
      </c>
      <c r="CC23" s="1156">
        <f t="shared" si="41"/>
        <v>603.1</v>
      </c>
      <c r="CD23" s="514"/>
      <c r="CE23" s="514"/>
      <c r="CG23" s="497">
        <f t="shared" si="42"/>
        <v>271.86</v>
      </c>
      <c r="CH23" s="1711">
        <f t="shared" si="43"/>
        <v>300</v>
      </c>
      <c r="CI23" s="497">
        <f t="shared" si="44"/>
        <v>603.1</v>
      </c>
      <c r="CJ23" s="497">
        <f t="shared" si="45"/>
        <v>289.49</v>
      </c>
      <c r="CK23" s="497">
        <f t="shared" si="61"/>
        <v>313.61</v>
      </c>
      <c r="CL23" s="497">
        <f t="shared" si="46"/>
        <v>0</v>
      </c>
      <c r="CM23" s="497">
        <f t="shared" si="47"/>
        <v>0</v>
      </c>
      <c r="CN23" s="498">
        <f t="shared" si="48"/>
        <v>0</v>
      </c>
      <c r="CO23" s="499">
        <v>0</v>
      </c>
      <c r="CP23" s="498">
        <f t="shared" si="49"/>
        <v>0</v>
      </c>
      <c r="CQ23" s="500">
        <f t="shared" si="50"/>
        <v>0</v>
      </c>
      <c r="CR23" s="498">
        <f t="shared" si="51"/>
        <v>0</v>
      </c>
      <c r="CS23" s="498">
        <f t="shared" si="52"/>
        <v>0</v>
      </c>
      <c r="CT23" s="498">
        <f t="shared" si="53"/>
        <v>104.91</v>
      </c>
      <c r="CU23" s="498">
        <f t="shared" si="54"/>
        <v>2120</v>
      </c>
      <c r="CV23" s="1554"/>
      <c r="CW23" s="1183" t="s">
        <v>6947</v>
      </c>
      <c r="CX23" s="1183" t="s">
        <v>6933</v>
      </c>
      <c r="CY23" s="472"/>
      <c r="CZ23" s="514" t="s">
        <v>6207</v>
      </c>
      <c r="DA23" s="514" t="s">
        <v>6208</v>
      </c>
      <c r="DB23" s="514" t="s">
        <v>6208</v>
      </c>
      <c r="DC23" s="514" t="s">
        <v>6209</v>
      </c>
      <c r="DD23" s="472"/>
      <c r="DE23" s="472"/>
      <c r="DF23" s="472"/>
      <c r="DG23" s="472"/>
      <c r="DH23" s="472"/>
      <c r="DJ23" s="473" t="str">
        <f>VLOOKUP(X23,Hoja1!$A$4:$B$10,2,0)</f>
        <v>PROFESIONAL</v>
      </c>
      <c r="DK23" s="473" t="str">
        <f>VLOOKUP(S23,Hoja1!$D$4:$F$77,3,0)</f>
        <v>COORDINADOR DE ÁREA</v>
      </c>
      <c r="DL23" s="1216" t="str">
        <f t="shared" si="55"/>
        <v>0</v>
      </c>
      <c r="DM23" s="1741" t="str">
        <f t="shared" si="56"/>
        <v>F</v>
      </c>
      <c r="DN23" s="1741"/>
    </row>
    <row r="24" spans="1:118" s="473" customFormat="1" ht="21.95" customHeight="1">
      <c r="A24" s="510" t="s">
        <v>2846</v>
      </c>
      <c r="B24" s="1390">
        <f t="shared" ca="1" si="3"/>
        <v>8</v>
      </c>
      <c r="C24" s="1194">
        <v>13462933</v>
      </c>
      <c r="D24" s="1195" t="s">
        <v>4672</v>
      </c>
      <c r="E24" s="1180" t="s">
        <v>4622</v>
      </c>
      <c r="F24" s="1161">
        <v>28469</v>
      </c>
      <c r="G24" s="1180" t="s">
        <v>4620</v>
      </c>
      <c r="H24" s="1161">
        <v>39454</v>
      </c>
      <c r="I24" s="1185">
        <f t="shared" si="11"/>
        <v>17</v>
      </c>
      <c r="J24" s="1177">
        <v>6</v>
      </c>
      <c r="K24" s="1185">
        <f t="shared" si="12"/>
        <v>23</v>
      </c>
      <c r="L24" s="1191" t="s">
        <v>5556</v>
      </c>
      <c r="M24" s="1177"/>
      <c r="N24" s="1177"/>
      <c r="O24" s="1040" t="s">
        <v>3618</v>
      </c>
      <c r="P24" s="1177" t="s">
        <v>5193</v>
      </c>
      <c r="Q24" s="1391" t="str">
        <f>IFERROR(VLOOKUP(O24,CARGOS!A:E,2,0),"")</f>
        <v>65001</v>
      </c>
      <c r="R24" s="1392" t="s">
        <v>5975</v>
      </c>
      <c r="S24" s="1180" t="s">
        <v>2835</v>
      </c>
      <c r="T24" s="1150">
        <f>IFERROR(VLOOKUP(S24,'TAB EMP'!A:B,2,0),0)</f>
        <v>348</v>
      </c>
      <c r="U24" s="1151">
        <v>0</v>
      </c>
      <c r="V24" s="1150">
        <f t="shared" si="13"/>
        <v>348</v>
      </c>
      <c r="W24" s="1151">
        <f t="shared" si="14"/>
        <v>174</v>
      </c>
      <c r="X24" s="1180" t="s">
        <v>2844</v>
      </c>
      <c r="Y24" s="1180"/>
      <c r="Z24" s="1180">
        <v>1</v>
      </c>
      <c r="AA24" s="1150">
        <f>ROUND(IF(H24&lt;&gt;"",VLOOKUP(SUM(I24+J24),'CONCEPTOS Y PARAMETROS'!F:G,2,0)*V24,0),2)</f>
        <v>104.4</v>
      </c>
      <c r="AB24" s="1150">
        <f>IF(S24&lt;&gt;"",IF(M24="",'CONCEPTOS Y PARAMETROS'!$C$4,0),0)</f>
        <v>130</v>
      </c>
      <c r="AC24" s="1150">
        <f>IF(S24&lt;&gt;"",IF(M24="",'CONCEPTOS Y PARAMETROS'!$C$7*Z24,0),0)</f>
        <v>12.5</v>
      </c>
      <c r="AD24" s="1150">
        <f>IFERROR(ROUND(VLOOKUP($X24,'CONCEPTOS Y PARAMETROS'!H:I,2,0)*($V24+AA24+AB24+AC24),2),0)</f>
        <v>118.98</v>
      </c>
      <c r="AE24" s="1150">
        <f t="shared" si="15"/>
        <v>365.88</v>
      </c>
      <c r="AF24" s="1150">
        <f t="shared" si="16"/>
        <v>52.2</v>
      </c>
      <c r="AG24" s="1150">
        <f t="shared" si="17"/>
        <v>52.2</v>
      </c>
      <c r="AH24" s="1150">
        <f t="shared" si="18"/>
        <v>65</v>
      </c>
      <c r="AI24" s="1150">
        <f t="shared" si="19"/>
        <v>65</v>
      </c>
      <c r="AJ24" s="1150">
        <f t="shared" si="20"/>
        <v>59.49</v>
      </c>
      <c r="AK24" s="1150">
        <f t="shared" si="21"/>
        <v>59.49</v>
      </c>
      <c r="AL24" s="1151">
        <f t="shared" si="22"/>
        <v>189.19</v>
      </c>
      <c r="AM24" s="1151">
        <f t="shared" si="23"/>
        <v>176.69</v>
      </c>
      <c r="AN24" s="1583">
        <v>1</v>
      </c>
      <c r="AO24" s="1193">
        <f>'CONCEPTOS Y PARAMETROS'!$C$18*AN24</f>
        <v>12.5</v>
      </c>
      <c r="AP24" s="1028">
        <v>0</v>
      </c>
      <c r="AQ24" s="1193">
        <f>'CONCEPTOS Y PARAMETROS'!$C$21*AP24</f>
        <v>0</v>
      </c>
      <c r="AR24" s="1394">
        <v>0</v>
      </c>
      <c r="AS24" s="1394">
        <v>0</v>
      </c>
      <c r="AT24" s="1394">
        <f t="shared" si="24"/>
        <v>12.5</v>
      </c>
      <c r="AU24" s="1151">
        <f t="shared" si="25"/>
        <v>713.88</v>
      </c>
      <c r="AV24" s="1178">
        <v>0</v>
      </c>
      <c r="AW24" s="1151">
        <f t="shared" si="26"/>
        <v>0</v>
      </c>
      <c r="AX24" s="1150">
        <f>IF(T24&lt;&gt;"0",(ROUND(IF(A24="EMPLEADO",eval_formula('CONCEPTOS Y PARAMETROS'!$C$8,NOMINA!V24,NOMINA!$AU24,NOMINA!I24+NOMINA!J24),eval_formula('CONCEPTOS Y PARAMETROS'!$D$8,NOMINA!V24,NOMINA!$AU24,NOMINA!I24+NOMINA!J24)),2))*IF(H24&lt;&gt;"",IF(MONTH(H24)=$BR$8,IF(YEAR(H24)&lt;$BT$7,1,0),0)))</f>
        <v>5711.04</v>
      </c>
      <c r="AY24" s="1151">
        <v>180</v>
      </c>
      <c r="AZ24" s="1150">
        <f>IFERROR(VLOOKUP(AY24,'CONCEPTOS Y PARAMETROS'!Y:Z,2,0),0)</f>
        <v>150</v>
      </c>
      <c r="BA24" s="1150">
        <f t="shared" si="27"/>
        <v>5354.1</v>
      </c>
      <c r="BB24" s="1150">
        <f t="shared" si="28"/>
        <v>0</v>
      </c>
      <c r="BC24" s="1028">
        <v>0</v>
      </c>
      <c r="BD24" s="1150" t="str">
        <f t="shared" si="29"/>
        <v>0</v>
      </c>
      <c r="BE24" s="1028">
        <v>0</v>
      </c>
      <c r="BF24" s="1150">
        <f t="shared" si="30"/>
        <v>0</v>
      </c>
      <c r="BG24" s="1151">
        <v>300</v>
      </c>
      <c r="BH24" s="1151">
        <f t="shared" si="31"/>
        <v>0</v>
      </c>
      <c r="BI24" s="1151">
        <v>0</v>
      </c>
      <c r="BJ24" s="810">
        <f t="shared" si="32"/>
        <v>0</v>
      </c>
      <c r="BK24" s="1151">
        <v>0</v>
      </c>
      <c r="BL24" s="1150">
        <f t="shared" si="33"/>
        <v>26.36</v>
      </c>
      <c r="BM24" s="1150">
        <f t="shared" si="34"/>
        <v>3.29</v>
      </c>
      <c r="BN24" s="1150">
        <f t="shared" si="35"/>
        <v>7.14</v>
      </c>
      <c r="BO24" s="1150">
        <v>0</v>
      </c>
      <c r="BP24" s="1150">
        <v>0</v>
      </c>
      <c r="BQ24" s="1396">
        <f t="shared" si="5"/>
        <v>36.79</v>
      </c>
      <c r="BR24" s="1150">
        <f t="shared" si="36"/>
        <v>59.31</v>
      </c>
      <c r="BS24" s="1150">
        <f t="shared" si="37"/>
        <v>13.18</v>
      </c>
      <c r="BT24" s="1150">
        <f t="shared" si="38"/>
        <v>14.28</v>
      </c>
      <c r="BU24" s="1150">
        <v>0</v>
      </c>
      <c r="BV24" s="1151">
        <f t="shared" si="0"/>
        <v>86.77</v>
      </c>
      <c r="BW24" s="1155">
        <f t="shared" si="1"/>
        <v>123.56</v>
      </c>
      <c r="BX24" s="1155">
        <f t="shared" si="39"/>
        <v>1338.53</v>
      </c>
      <c r="BY24" s="1155">
        <v>0</v>
      </c>
      <c r="BZ24" s="1155">
        <f t="shared" si="40"/>
        <v>1338.53</v>
      </c>
      <c r="CA24" s="1397">
        <f>'CONCEPTOS Y PARAMETROS'!$A$102</f>
        <v>2120</v>
      </c>
      <c r="CB24" s="1155">
        <f t="shared" si="60"/>
        <v>326.39999999999998</v>
      </c>
      <c r="CC24" s="1156">
        <f t="shared" si="41"/>
        <v>6374.23</v>
      </c>
      <c r="CD24" s="514"/>
      <c r="CE24" s="514"/>
      <c r="CG24" s="497">
        <f t="shared" si="42"/>
        <v>326.39999999999998</v>
      </c>
      <c r="CH24" s="1711">
        <f t="shared" si="43"/>
        <v>300</v>
      </c>
      <c r="CI24" s="497">
        <f t="shared" si="44"/>
        <v>650.69000000000005</v>
      </c>
      <c r="CJ24" s="497">
        <f t="shared" si="45"/>
        <v>312.33</v>
      </c>
      <c r="CK24" s="497">
        <f t="shared" si="61"/>
        <v>338.36000000000007</v>
      </c>
      <c r="CL24" s="497">
        <f t="shared" si="46"/>
        <v>0</v>
      </c>
      <c r="CM24" s="497">
        <f t="shared" si="47"/>
        <v>0</v>
      </c>
      <c r="CN24" s="498">
        <f t="shared" si="48"/>
        <v>0</v>
      </c>
      <c r="CO24" s="499">
        <v>0</v>
      </c>
      <c r="CP24" s="498">
        <f t="shared" si="49"/>
        <v>0</v>
      </c>
      <c r="CQ24" s="500">
        <f t="shared" si="50"/>
        <v>12.5</v>
      </c>
      <c r="CR24" s="498">
        <f t="shared" si="51"/>
        <v>5711.04</v>
      </c>
      <c r="CS24" s="498">
        <f t="shared" si="52"/>
        <v>5723.54</v>
      </c>
      <c r="CT24" s="498">
        <f t="shared" si="53"/>
        <v>123.56</v>
      </c>
      <c r="CU24" s="498">
        <f t="shared" si="54"/>
        <v>2120</v>
      </c>
      <c r="CV24" s="1554"/>
      <c r="CW24" s="1195" t="s">
        <v>6934</v>
      </c>
      <c r="CX24" s="1195" t="s">
        <v>6935</v>
      </c>
      <c r="CY24" s="472"/>
      <c r="CZ24" s="514" t="s">
        <v>6179</v>
      </c>
      <c r="DA24" s="514" t="s">
        <v>6180</v>
      </c>
      <c r="DB24" s="514" t="s">
        <v>6181</v>
      </c>
      <c r="DC24" s="514" t="s">
        <v>6182</v>
      </c>
      <c r="DD24" s="472"/>
      <c r="DE24" s="472"/>
      <c r="DF24" s="472"/>
      <c r="DG24" s="472"/>
      <c r="DH24" s="472"/>
      <c r="DJ24" s="473" t="str">
        <f>VLOOKUP(X24,Hoja1!$A$4:$B$10,2,0)</f>
        <v>TÉCNICO SUPERIOR UNIVERSITARIO</v>
      </c>
      <c r="DK24" s="473" t="str">
        <f>VLOOKUP(S24,Hoja1!$D$4:$F$77,3,0)</f>
        <v>COORDINADOR DE ÁREA</v>
      </c>
      <c r="DL24" s="1216" t="str">
        <f t="shared" si="55"/>
        <v>0</v>
      </c>
      <c r="DM24" s="1741" t="str">
        <f t="shared" si="56"/>
        <v>F</v>
      </c>
      <c r="DN24" s="1741"/>
    </row>
    <row r="25" spans="1:118" s="478" customFormat="1" ht="21.95" customHeight="1">
      <c r="A25" s="510" t="s">
        <v>2846</v>
      </c>
      <c r="B25" s="1390">
        <f t="shared" ca="1" si="3"/>
        <v>9</v>
      </c>
      <c r="C25" s="1194">
        <v>11315315</v>
      </c>
      <c r="D25" s="1195" t="s">
        <v>6781</v>
      </c>
      <c r="E25" s="1180" t="s">
        <v>4622</v>
      </c>
      <c r="F25" s="1161">
        <v>25616</v>
      </c>
      <c r="G25" s="1180" t="s">
        <v>4621</v>
      </c>
      <c r="H25" s="1161">
        <v>45505</v>
      </c>
      <c r="I25" s="1185">
        <f t="shared" si="11"/>
        <v>0</v>
      </c>
      <c r="J25" s="1177">
        <v>0</v>
      </c>
      <c r="K25" s="1185">
        <f t="shared" si="12"/>
        <v>0</v>
      </c>
      <c r="L25" s="1191" t="s">
        <v>6782</v>
      </c>
      <c r="M25" s="1177"/>
      <c r="N25" s="1177"/>
      <c r="O25" s="1040" t="s">
        <v>3618</v>
      </c>
      <c r="P25" s="1197" t="s">
        <v>6783</v>
      </c>
      <c r="Q25" s="1391" t="str">
        <f>IFERROR(VLOOKUP(O25,CARGOS!A:E,2,0),"")</f>
        <v>65001</v>
      </c>
      <c r="R25" s="1400" t="s">
        <v>6784</v>
      </c>
      <c r="S25" s="1180" t="s">
        <v>2835</v>
      </c>
      <c r="T25" s="1150">
        <f>IFERROR(VLOOKUP(S25,'TAB EMP'!A:B,2,0),0)</f>
        <v>348</v>
      </c>
      <c r="U25" s="1151">
        <v>0</v>
      </c>
      <c r="V25" s="1150">
        <f t="shared" ref="V25" si="66">T25-U25</f>
        <v>348</v>
      </c>
      <c r="W25" s="1151">
        <f t="shared" ref="W25" si="67">ROUND(V25/2,2)</f>
        <v>174</v>
      </c>
      <c r="X25" s="1180" t="s">
        <v>2884</v>
      </c>
      <c r="Y25" s="1180"/>
      <c r="Z25" s="1180">
        <v>0</v>
      </c>
      <c r="AA25" s="1150">
        <f>ROUND(IF(H25&lt;&gt;"",VLOOKUP(SUM(I25+J25),'CONCEPTOS Y PARAMETROS'!F:G,2,0)*V25,0),2)</f>
        <v>0</v>
      </c>
      <c r="AB25" s="1150">
        <f>IF(S25&lt;&gt;"",IF(M25="",'CONCEPTOS Y PARAMETROS'!$C$4,0),0)</f>
        <v>130</v>
      </c>
      <c r="AC25" s="1150">
        <f>IF(S25&lt;&gt;"",IF(M25="",'CONCEPTOS Y PARAMETROS'!$C$7*Z25,0),0)</f>
        <v>0</v>
      </c>
      <c r="AD25" s="1150">
        <f>IFERROR(ROUND(VLOOKUP($X25,'CONCEPTOS Y PARAMETROS'!H:I,2,0)*($V25+AA25+AB25+AC25),2),0)</f>
        <v>0</v>
      </c>
      <c r="AE25" s="1150">
        <f t="shared" ref="AE25" si="68">SUM(AA25:AD25)</f>
        <v>130</v>
      </c>
      <c r="AF25" s="1150">
        <f t="shared" ref="AF25" si="69">ROUND(AA25/2,2)</f>
        <v>0</v>
      </c>
      <c r="AG25" s="1150">
        <f t="shared" ref="AG25" si="70">ROUND(AA25-AF25,2)</f>
        <v>0</v>
      </c>
      <c r="AH25" s="1150">
        <f t="shared" ref="AH25" si="71">ROUND(AB25/2,2)</f>
        <v>65</v>
      </c>
      <c r="AI25" s="1150">
        <f t="shared" ref="AI25" si="72">ROUND(AB25-AH25,2)</f>
        <v>65</v>
      </c>
      <c r="AJ25" s="1150">
        <f t="shared" ref="AJ25" si="73">ROUND(AD25/2,2)</f>
        <v>0</v>
      </c>
      <c r="AK25" s="1150">
        <f t="shared" ref="AK25" si="74">ROUND(AD25-AJ25,2)</f>
        <v>0</v>
      </c>
      <c r="AL25" s="1151">
        <f t="shared" ref="AL25" si="75">ROUND(AF25+AH25+AJ25+AC25,2)</f>
        <v>65</v>
      </c>
      <c r="AM25" s="1151">
        <f t="shared" ref="AM25" si="76">ROUND(AG25+AI25+AK25,2)</f>
        <v>65</v>
      </c>
      <c r="AN25" s="1028">
        <v>0</v>
      </c>
      <c r="AO25" s="1193">
        <f>'CONCEPTOS Y PARAMETROS'!$C$18*AN25</f>
        <v>0</v>
      </c>
      <c r="AP25" s="1028">
        <v>0</v>
      </c>
      <c r="AQ25" s="1193">
        <f>'CONCEPTOS Y PARAMETROS'!$C$21*AP25</f>
        <v>0</v>
      </c>
      <c r="AR25" s="1394">
        <v>0</v>
      </c>
      <c r="AS25" s="1394">
        <v>0</v>
      </c>
      <c r="AT25" s="1394">
        <f t="shared" ref="AT25" si="77">+AO25+AQ25+AR25+AS25</f>
        <v>0</v>
      </c>
      <c r="AU25" s="1151">
        <f t="shared" ref="AU25" si="78">V25+AE25+AW25</f>
        <v>478</v>
      </c>
      <c r="AV25" s="1178">
        <v>0</v>
      </c>
      <c r="AW25" s="1151">
        <f t="shared" ref="AW25" si="79">ROUND(IF(O25="VIGILANTE",(V25+AE25)*30%,0),2)</f>
        <v>0</v>
      </c>
      <c r="AX25" s="1150">
        <f>IF(T25&lt;&gt;"0",(ROUND(IF(A25="EMPLEADO",eval_formula('CONCEPTOS Y PARAMETROS'!$C$8,NOMINA!V25,NOMINA!$AU25,NOMINA!I25+NOMINA!J25),eval_formula('CONCEPTOS Y PARAMETROS'!$D$8,NOMINA!V25,NOMINA!$AU25,NOMINA!I25+NOMINA!J25)),2))*IF(H25&lt;&gt;"",IF(MONTH(H25)=$BR$8,IF(YEAR(H25)&lt;$BT$7,1,0),0)))</f>
        <v>0</v>
      </c>
      <c r="AY25" s="1151">
        <v>75</v>
      </c>
      <c r="AZ25" s="1150">
        <f>IFERROR(VLOOKUP(AY25,'CONCEPTOS Y PARAMETROS'!Y:Z,2,0),0)</f>
        <v>62.5</v>
      </c>
      <c r="BA25" s="1150">
        <f t="shared" ref="BA25" si="80">ROUND((((AU25))/30*AY25/12+(AU25))/30*AZ25,2)</f>
        <v>1203.3</v>
      </c>
      <c r="BB25" s="1150">
        <f t="shared" si="28"/>
        <v>0</v>
      </c>
      <c r="BC25" s="1028">
        <v>0</v>
      </c>
      <c r="BD25" s="1150" t="str">
        <f t="shared" ref="BD25" si="81">IF(BC25&gt;0,((((((V25+AA25+AB25+AC25+AD25)/30)/8)*50%)+((((V25+AA25+AB25+AC25+AD25)/30)/8)))*30%+(((((V25+AA25+AB25+AC25+AD25)/30)/8)*50%)+((((V25+AA25+AB25+AC25+AD25)/30)/8))))*BC25,"0")</f>
        <v>0</v>
      </c>
      <c r="BE25" s="1028">
        <v>0</v>
      </c>
      <c r="BF25" s="1150">
        <f t="shared" si="30"/>
        <v>0</v>
      </c>
      <c r="BG25" s="1151">
        <v>300</v>
      </c>
      <c r="BH25" s="1151">
        <f t="shared" si="31"/>
        <v>0</v>
      </c>
      <c r="BI25" s="1151">
        <v>0</v>
      </c>
      <c r="BJ25" s="810">
        <f t="shared" si="32"/>
        <v>0</v>
      </c>
      <c r="BK25" s="1151">
        <v>0</v>
      </c>
      <c r="BL25" s="1150">
        <f t="shared" si="33"/>
        <v>17.649999999999999</v>
      </c>
      <c r="BM25" s="1150">
        <f t="shared" si="34"/>
        <v>2.21</v>
      </c>
      <c r="BN25" s="1150">
        <f t="shared" si="35"/>
        <v>4.78</v>
      </c>
      <c r="BO25" s="1150">
        <v>0</v>
      </c>
      <c r="BP25" s="1150">
        <v>0</v>
      </c>
      <c r="BQ25" s="1396">
        <f t="shared" ref="BQ25" si="82">ROUND(SUM(BL25:BP25),2)</f>
        <v>24.64</v>
      </c>
      <c r="BR25" s="1150">
        <f t="shared" si="36"/>
        <v>39.71</v>
      </c>
      <c r="BS25" s="1150">
        <f t="shared" si="37"/>
        <v>8.82</v>
      </c>
      <c r="BT25" s="1150">
        <f t="shared" si="38"/>
        <v>9.56</v>
      </c>
      <c r="BU25" s="1150">
        <v>0</v>
      </c>
      <c r="BV25" s="1151">
        <f t="shared" ref="BV25" si="83">ROUND(SUM(BR25:BT25),2)</f>
        <v>58.09</v>
      </c>
      <c r="BW25" s="1155">
        <f t="shared" ref="BW25" si="84">BQ25+BV25</f>
        <v>82.73</v>
      </c>
      <c r="BX25" s="1155">
        <f t="shared" si="39"/>
        <v>300.83</v>
      </c>
      <c r="BY25" s="1155">
        <v>0</v>
      </c>
      <c r="BZ25" s="1155">
        <f t="shared" si="40"/>
        <v>300.83</v>
      </c>
      <c r="CA25" s="1397">
        <f>'CONCEPTOS Y PARAMETROS'!$A$102</f>
        <v>2120</v>
      </c>
      <c r="CB25" s="1155">
        <f t="shared" si="60"/>
        <v>214.36</v>
      </c>
      <c r="CC25" s="1156">
        <f t="shared" si="41"/>
        <v>539</v>
      </c>
      <c r="CD25" s="514"/>
      <c r="CE25" s="514"/>
      <c r="CG25" s="511">
        <f t="shared" si="42"/>
        <v>214.36</v>
      </c>
      <c r="CH25" s="1712">
        <f t="shared" si="43"/>
        <v>300</v>
      </c>
      <c r="CI25" s="511">
        <f t="shared" si="44"/>
        <v>539</v>
      </c>
      <c r="CJ25" s="511">
        <f t="shared" si="45"/>
        <v>539</v>
      </c>
      <c r="CK25" s="511">
        <f t="shared" si="61"/>
        <v>0</v>
      </c>
      <c r="CL25" s="511">
        <f t="shared" si="46"/>
        <v>0</v>
      </c>
      <c r="CM25" s="511">
        <f t="shared" si="47"/>
        <v>0</v>
      </c>
      <c r="CN25" s="512">
        <f t="shared" si="48"/>
        <v>0</v>
      </c>
      <c r="CO25" s="513">
        <v>0</v>
      </c>
      <c r="CP25" s="512">
        <f t="shared" si="49"/>
        <v>0</v>
      </c>
      <c r="CQ25" s="500">
        <f t="shared" si="50"/>
        <v>0</v>
      </c>
      <c r="CR25" s="512">
        <f t="shared" si="51"/>
        <v>0</v>
      </c>
      <c r="CS25" s="512">
        <f t="shared" si="52"/>
        <v>0</v>
      </c>
      <c r="CT25" s="512">
        <f t="shared" si="53"/>
        <v>82.73</v>
      </c>
      <c r="CU25" s="512">
        <f t="shared" si="54"/>
        <v>2120</v>
      </c>
      <c r="CV25" s="1556"/>
      <c r="CW25" s="1195" t="s">
        <v>7182</v>
      </c>
      <c r="CX25" s="1195" t="s">
        <v>6936</v>
      </c>
      <c r="CY25" s="514"/>
      <c r="CZ25" s="514" t="s">
        <v>6785</v>
      </c>
      <c r="DA25" s="1199" t="s">
        <v>6221</v>
      </c>
      <c r="DB25" s="1199" t="s">
        <v>6175</v>
      </c>
      <c r="DC25" s="1199" t="s">
        <v>6786</v>
      </c>
      <c r="DD25" s="514"/>
      <c r="DE25" s="514"/>
      <c r="DF25" s="514"/>
      <c r="DG25" s="514"/>
      <c r="DH25" s="514"/>
      <c r="DJ25" s="478" t="str">
        <f>VLOOKUP(X25,Hoja1!$A$4:$B$10,2,0)</f>
        <v>BACHILLER</v>
      </c>
      <c r="DK25" s="478" t="str">
        <f>VLOOKUP(S25,Hoja1!$D$4:$F$77,3,0)</f>
        <v>COORDINADOR DE ÁREA</v>
      </c>
      <c r="DL25" s="1225" t="str">
        <f t="shared" si="55"/>
        <v>0</v>
      </c>
      <c r="DM25" s="1743" t="str">
        <f t="shared" si="56"/>
        <v>M</v>
      </c>
      <c r="DN25" s="1743"/>
    </row>
    <row r="26" spans="1:118" s="473" customFormat="1" ht="21.95" customHeight="1">
      <c r="A26" s="510" t="s">
        <v>2846</v>
      </c>
      <c r="B26" s="1390">
        <f t="shared" ca="1" si="3"/>
        <v>10</v>
      </c>
      <c r="C26" s="1194">
        <v>12542413</v>
      </c>
      <c r="D26" s="1195" t="s">
        <v>7398</v>
      </c>
      <c r="E26" s="1180" t="s">
        <v>4622</v>
      </c>
      <c r="F26" s="1161">
        <v>27582</v>
      </c>
      <c r="G26" s="1180" t="s">
        <v>4621</v>
      </c>
      <c r="H26" s="1161">
        <v>36434</v>
      </c>
      <c r="I26" s="1185">
        <f t="shared" si="11"/>
        <v>25</v>
      </c>
      <c r="J26" s="1177">
        <v>0</v>
      </c>
      <c r="K26" s="1185">
        <f t="shared" si="12"/>
        <v>25</v>
      </c>
      <c r="L26" s="1191" t="s">
        <v>5537</v>
      </c>
      <c r="M26" s="1177"/>
      <c r="N26" s="1177"/>
      <c r="O26" s="1040" t="s">
        <v>3618</v>
      </c>
      <c r="P26" s="1177" t="s">
        <v>5195</v>
      </c>
      <c r="Q26" s="1391" t="str">
        <f>IFERROR(VLOOKUP(O26,CARGOS!A:E,2,0),"")</f>
        <v>65001</v>
      </c>
      <c r="R26" s="1392" t="s">
        <v>5976</v>
      </c>
      <c r="S26" s="1180" t="s">
        <v>2835</v>
      </c>
      <c r="T26" s="1150">
        <f>IFERROR(VLOOKUP(S26,'TAB EMP'!A:B,2,0),0)</f>
        <v>348</v>
      </c>
      <c r="U26" s="1151">
        <v>0</v>
      </c>
      <c r="V26" s="1150">
        <f t="shared" si="13"/>
        <v>348</v>
      </c>
      <c r="W26" s="1151">
        <f t="shared" si="14"/>
        <v>174</v>
      </c>
      <c r="X26" s="1180" t="s">
        <v>2884</v>
      </c>
      <c r="Y26" s="1180"/>
      <c r="Z26" s="1180">
        <v>0</v>
      </c>
      <c r="AA26" s="1150">
        <f>ROUND(IF(H26&lt;&gt;"",VLOOKUP(SUM(I26+J26),'CONCEPTOS Y PARAMETROS'!F:G,2,0)*V26,0),2)</f>
        <v>104.4</v>
      </c>
      <c r="AB26" s="1150">
        <f>IF(S26&lt;&gt;"",IF(M26="",'CONCEPTOS Y PARAMETROS'!$C$4,0),0)</f>
        <v>130</v>
      </c>
      <c r="AC26" s="1150">
        <f>IF(S26&lt;&gt;"",IF(M26="",'CONCEPTOS Y PARAMETROS'!$C$7*Z26,0),0)</f>
        <v>0</v>
      </c>
      <c r="AD26" s="1150">
        <f>IFERROR(ROUND(VLOOKUP($X26,'CONCEPTOS Y PARAMETROS'!H:I,2,0)*($V26+AA26+AB26+AC26),2),0)</f>
        <v>0</v>
      </c>
      <c r="AE26" s="1150">
        <f t="shared" si="15"/>
        <v>234.4</v>
      </c>
      <c r="AF26" s="1150">
        <f t="shared" si="16"/>
        <v>52.2</v>
      </c>
      <c r="AG26" s="1150">
        <f t="shared" si="17"/>
        <v>52.2</v>
      </c>
      <c r="AH26" s="1150">
        <f t="shared" si="18"/>
        <v>65</v>
      </c>
      <c r="AI26" s="1150">
        <f t="shared" si="19"/>
        <v>65</v>
      </c>
      <c r="AJ26" s="1150">
        <f t="shared" si="20"/>
        <v>0</v>
      </c>
      <c r="AK26" s="1150">
        <f t="shared" si="21"/>
        <v>0</v>
      </c>
      <c r="AL26" s="1151">
        <f t="shared" si="22"/>
        <v>117.2</v>
      </c>
      <c r="AM26" s="1151">
        <f t="shared" si="23"/>
        <v>117.2</v>
      </c>
      <c r="AN26" s="1028">
        <v>0</v>
      </c>
      <c r="AO26" s="1193">
        <f>'CONCEPTOS Y PARAMETROS'!$C$18*AN26</f>
        <v>0</v>
      </c>
      <c r="AP26" s="1028">
        <v>0</v>
      </c>
      <c r="AQ26" s="1193">
        <f>'CONCEPTOS Y PARAMETROS'!$C$21*AP26</f>
        <v>0</v>
      </c>
      <c r="AR26" s="1394">
        <v>0</v>
      </c>
      <c r="AS26" s="1394">
        <v>0</v>
      </c>
      <c r="AT26" s="1394">
        <f t="shared" si="24"/>
        <v>0</v>
      </c>
      <c r="AU26" s="1151">
        <f t="shared" si="25"/>
        <v>582.4</v>
      </c>
      <c r="AV26" s="1178">
        <v>0</v>
      </c>
      <c r="AW26" s="1151">
        <f t="shared" si="26"/>
        <v>0</v>
      </c>
      <c r="AX26" s="1150">
        <f>IF(T26&lt;&gt;"0",(ROUND(IF(A26="EMPLEADO",eval_formula('CONCEPTOS Y PARAMETROS'!$C$8,NOMINA!V26,NOMINA!$AU26,NOMINA!I26+NOMINA!J26),eval_formula('CONCEPTOS Y PARAMETROS'!$D$8,NOMINA!V26,NOMINA!$AU26,NOMINA!I26+NOMINA!J26)),2))*IF(H26&lt;&gt;"",IF(MONTH(H26)=$BR$8,IF(YEAR(H26)&lt;$BT$7,1,0),0)))</f>
        <v>0</v>
      </c>
      <c r="AY26" s="1151">
        <v>180</v>
      </c>
      <c r="AZ26" s="1150">
        <f>IFERROR(VLOOKUP(AY26,'CONCEPTOS Y PARAMETROS'!Y:Z,2,0),0)</f>
        <v>150</v>
      </c>
      <c r="BA26" s="1150">
        <f t="shared" si="27"/>
        <v>4368</v>
      </c>
      <c r="BB26" s="1150">
        <f t="shared" si="28"/>
        <v>0</v>
      </c>
      <c r="BC26" s="1028">
        <v>0</v>
      </c>
      <c r="BD26" s="1150" t="str">
        <f t="shared" si="29"/>
        <v>0</v>
      </c>
      <c r="BE26" s="1028">
        <v>0</v>
      </c>
      <c r="BF26" s="1150">
        <f t="shared" si="30"/>
        <v>0</v>
      </c>
      <c r="BG26" s="1151">
        <v>300</v>
      </c>
      <c r="BH26" s="1151">
        <f t="shared" si="31"/>
        <v>0</v>
      </c>
      <c r="BI26" s="1151">
        <v>0</v>
      </c>
      <c r="BJ26" s="810">
        <f t="shared" si="32"/>
        <v>0</v>
      </c>
      <c r="BK26" s="1151">
        <v>0</v>
      </c>
      <c r="BL26" s="1150">
        <f t="shared" si="33"/>
        <v>21.5</v>
      </c>
      <c r="BM26" s="1150">
        <f t="shared" si="34"/>
        <v>2.69</v>
      </c>
      <c r="BN26" s="1150">
        <f t="shared" si="35"/>
        <v>5.82</v>
      </c>
      <c r="BO26" s="1150">
        <v>0</v>
      </c>
      <c r="BP26" s="1150">
        <v>0</v>
      </c>
      <c r="BQ26" s="1396">
        <f t="shared" si="5"/>
        <v>30.01</v>
      </c>
      <c r="BR26" s="1150">
        <f t="shared" si="36"/>
        <v>48.38</v>
      </c>
      <c r="BS26" s="1150">
        <f t="shared" si="37"/>
        <v>10.75</v>
      </c>
      <c r="BT26" s="1150">
        <f t="shared" si="38"/>
        <v>11.64</v>
      </c>
      <c r="BU26" s="1150">
        <v>0</v>
      </c>
      <c r="BV26" s="1151">
        <f t="shared" si="0"/>
        <v>70.77</v>
      </c>
      <c r="BW26" s="1155">
        <f t="shared" si="1"/>
        <v>100.78</v>
      </c>
      <c r="BX26" s="1155">
        <f t="shared" si="39"/>
        <v>1092</v>
      </c>
      <c r="BY26" s="1155">
        <v>0</v>
      </c>
      <c r="BZ26" s="1155">
        <f t="shared" si="40"/>
        <v>1092</v>
      </c>
      <c r="CA26" s="1397">
        <f>'CONCEPTOS Y PARAMETROS'!$A$102</f>
        <v>2120</v>
      </c>
      <c r="CB26" s="1155">
        <f t="shared" si="60"/>
        <v>261.19</v>
      </c>
      <c r="CC26" s="1156">
        <f t="shared" si="41"/>
        <v>591.20000000000005</v>
      </c>
      <c r="CD26" s="514"/>
      <c r="CE26" s="514"/>
      <c r="CG26" s="497">
        <f t="shared" si="42"/>
        <v>261.19</v>
      </c>
      <c r="CH26" s="1711">
        <f t="shared" si="43"/>
        <v>300</v>
      </c>
      <c r="CI26" s="497">
        <f t="shared" si="44"/>
        <v>591.20000000000005</v>
      </c>
      <c r="CJ26" s="497">
        <f t="shared" si="45"/>
        <v>283.77999999999997</v>
      </c>
      <c r="CK26" s="497">
        <f t="shared" si="61"/>
        <v>307.42000000000007</v>
      </c>
      <c r="CL26" s="497">
        <f t="shared" si="46"/>
        <v>0</v>
      </c>
      <c r="CM26" s="497">
        <f t="shared" si="47"/>
        <v>0</v>
      </c>
      <c r="CN26" s="498">
        <f t="shared" si="48"/>
        <v>0</v>
      </c>
      <c r="CO26" s="499">
        <v>0</v>
      </c>
      <c r="CP26" s="498">
        <f t="shared" si="49"/>
        <v>0</v>
      </c>
      <c r="CQ26" s="500">
        <f t="shared" si="50"/>
        <v>0</v>
      </c>
      <c r="CR26" s="498">
        <f t="shared" si="51"/>
        <v>0</v>
      </c>
      <c r="CS26" s="498">
        <f t="shared" si="52"/>
        <v>0</v>
      </c>
      <c r="CT26" s="498">
        <f t="shared" si="53"/>
        <v>100.78</v>
      </c>
      <c r="CU26" s="498">
        <f t="shared" si="54"/>
        <v>2120</v>
      </c>
      <c r="CV26" s="1554"/>
      <c r="CW26" s="1195" t="s">
        <v>6975</v>
      </c>
      <c r="CX26" s="1195" t="s">
        <v>7032</v>
      </c>
      <c r="CY26" s="472"/>
      <c r="CZ26" s="514" t="s">
        <v>6184</v>
      </c>
      <c r="DA26" s="514" t="s">
        <v>6173</v>
      </c>
      <c r="DB26" s="514" t="s">
        <v>6185</v>
      </c>
      <c r="DC26" s="514" t="s">
        <v>6613</v>
      </c>
      <c r="DD26" s="472"/>
      <c r="DE26" s="472"/>
      <c r="DF26" s="472"/>
      <c r="DG26" s="472"/>
      <c r="DH26" s="472"/>
      <c r="DJ26" s="473" t="str">
        <f>VLOOKUP(X26,Hoja1!$A$4:$B$10,2,0)</f>
        <v>BACHILLER</v>
      </c>
      <c r="DK26" s="473" t="str">
        <f>VLOOKUP(S26,Hoja1!$D$4:$F$77,3,0)</f>
        <v>COORDINADOR DE ÁREA</v>
      </c>
      <c r="DL26" s="1216" t="str">
        <f t="shared" si="55"/>
        <v>0</v>
      </c>
      <c r="DM26" s="1741" t="str">
        <f t="shared" si="56"/>
        <v>M</v>
      </c>
      <c r="DN26" s="1741"/>
    </row>
    <row r="27" spans="1:118" s="473" customFormat="1" ht="21.95" customHeight="1">
      <c r="A27" s="510" t="s">
        <v>2846</v>
      </c>
      <c r="B27" s="1390">
        <f t="shared" ca="1" si="3"/>
        <v>11</v>
      </c>
      <c r="C27" s="1194">
        <v>18457406</v>
      </c>
      <c r="D27" s="1195" t="s">
        <v>4676</v>
      </c>
      <c r="E27" s="1180" t="s">
        <v>4622</v>
      </c>
      <c r="F27" s="1161">
        <v>32354</v>
      </c>
      <c r="G27" s="1180" t="s">
        <v>4621</v>
      </c>
      <c r="H27" s="1161">
        <v>41548</v>
      </c>
      <c r="I27" s="1185">
        <f t="shared" si="11"/>
        <v>11</v>
      </c>
      <c r="J27" s="1177">
        <v>0</v>
      </c>
      <c r="K27" s="1185">
        <f t="shared" si="12"/>
        <v>11</v>
      </c>
      <c r="L27" s="1191" t="s">
        <v>5534</v>
      </c>
      <c r="M27" s="1177"/>
      <c r="N27" s="1177"/>
      <c r="O27" s="1040" t="s">
        <v>3618</v>
      </c>
      <c r="P27" s="1177" t="s">
        <v>5196</v>
      </c>
      <c r="Q27" s="1391" t="str">
        <f>IFERROR(VLOOKUP(O27,CARGOS!A:E,2,0),"")</f>
        <v>65001</v>
      </c>
      <c r="R27" s="1392" t="s">
        <v>7435</v>
      </c>
      <c r="S27" s="1180" t="s">
        <v>2835</v>
      </c>
      <c r="T27" s="1150">
        <f>IFERROR(VLOOKUP(S27,'TAB EMP'!A:B,2,0),0)</f>
        <v>348</v>
      </c>
      <c r="U27" s="1151">
        <v>0</v>
      </c>
      <c r="V27" s="1150">
        <f t="shared" si="13"/>
        <v>348</v>
      </c>
      <c r="W27" s="1151">
        <f t="shared" si="14"/>
        <v>174</v>
      </c>
      <c r="X27" s="1180" t="s">
        <v>2885</v>
      </c>
      <c r="Y27" s="1180"/>
      <c r="Z27" s="1180">
        <v>1</v>
      </c>
      <c r="AA27" s="1150">
        <f>ROUND(IF(H27&lt;&gt;"",VLOOKUP(SUM(I27+J27),'CONCEPTOS Y PARAMETROS'!F:G,2,0)*V27,0),2)</f>
        <v>43.15</v>
      </c>
      <c r="AB27" s="1150">
        <f>IF(S27&lt;&gt;"",IF(M27="",'CONCEPTOS Y PARAMETROS'!$C$4,0),0)</f>
        <v>130</v>
      </c>
      <c r="AC27" s="1150">
        <f>IF(S27&lt;&gt;"",IF(M27="",'CONCEPTOS Y PARAMETROS'!$C$7*Z27,0),0)</f>
        <v>12.5</v>
      </c>
      <c r="AD27" s="1150">
        <f>IFERROR(ROUND(VLOOKUP($X27,'CONCEPTOS Y PARAMETROS'!H:I,2,0)*($V27+AA27+AB27+AC27),2),0)</f>
        <v>133.41</v>
      </c>
      <c r="AE27" s="1150">
        <f t="shared" si="15"/>
        <v>319.06</v>
      </c>
      <c r="AF27" s="1150">
        <f t="shared" si="16"/>
        <v>21.58</v>
      </c>
      <c r="AG27" s="1150">
        <f t="shared" si="17"/>
        <v>21.57</v>
      </c>
      <c r="AH27" s="1150">
        <f t="shared" si="18"/>
        <v>65</v>
      </c>
      <c r="AI27" s="1150">
        <f t="shared" si="19"/>
        <v>65</v>
      </c>
      <c r="AJ27" s="1150">
        <f t="shared" si="20"/>
        <v>66.709999999999994</v>
      </c>
      <c r="AK27" s="1150">
        <f t="shared" si="21"/>
        <v>66.7</v>
      </c>
      <c r="AL27" s="1151">
        <f t="shared" si="22"/>
        <v>165.79</v>
      </c>
      <c r="AM27" s="1151">
        <f t="shared" si="23"/>
        <v>153.27000000000001</v>
      </c>
      <c r="AN27" s="1583">
        <v>1</v>
      </c>
      <c r="AO27" s="1193">
        <f>'CONCEPTOS Y PARAMETROS'!$C$18*AN27</f>
        <v>12.5</v>
      </c>
      <c r="AP27" s="1028">
        <v>0</v>
      </c>
      <c r="AQ27" s="1193">
        <f>'CONCEPTOS Y PARAMETROS'!$C$21*AP27</f>
        <v>0</v>
      </c>
      <c r="AR27" s="1394">
        <v>0</v>
      </c>
      <c r="AS27" s="1394">
        <v>0</v>
      </c>
      <c r="AT27" s="1394">
        <f t="shared" si="24"/>
        <v>12.5</v>
      </c>
      <c r="AU27" s="1151">
        <f t="shared" si="25"/>
        <v>667.06</v>
      </c>
      <c r="AV27" s="1178">
        <v>0</v>
      </c>
      <c r="AW27" s="1151">
        <f t="shared" si="26"/>
        <v>0</v>
      </c>
      <c r="AX27" s="1150">
        <f>IF(T27&lt;&gt;"0",(ROUND(IF(A27="EMPLEADO",eval_formula('CONCEPTOS Y PARAMETROS'!$C$8,NOMINA!V27,NOMINA!$AU27,NOMINA!I27+NOMINA!J27),eval_formula('CONCEPTOS Y PARAMETROS'!$D$8,NOMINA!V27,NOMINA!$AU27,NOMINA!I27+NOMINA!J27)),2))*IF(H27&lt;&gt;"",IF(MONTH(H27)=$BR$8,IF(YEAR(H27)&lt;$BT$7,1,0),0)))</f>
        <v>0</v>
      </c>
      <c r="AY27" s="1151">
        <v>180</v>
      </c>
      <c r="AZ27" s="1150">
        <f>IFERROR(VLOOKUP(AY27,'CONCEPTOS Y PARAMETROS'!Y:Z,2,0),0)</f>
        <v>150</v>
      </c>
      <c r="BA27" s="1150">
        <f t="shared" si="27"/>
        <v>5002.95</v>
      </c>
      <c r="BB27" s="1150">
        <f t="shared" si="28"/>
        <v>0</v>
      </c>
      <c r="BC27" s="1028">
        <v>0</v>
      </c>
      <c r="BD27" s="1150" t="str">
        <f t="shared" si="29"/>
        <v>0</v>
      </c>
      <c r="BE27" s="1028">
        <v>0</v>
      </c>
      <c r="BF27" s="1150">
        <f t="shared" si="30"/>
        <v>0</v>
      </c>
      <c r="BG27" s="1151">
        <v>300</v>
      </c>
      <c r="BH27" s="1151">
        <f t="shared" si="31"/>
        <v>0</v>
      </c>
      <c r="BI27" s="1151">
        <v>0</v>
      </c>
      <c r="BJ27" s="810">
        <f t="shared" si="32"/>
        <v>0</v>
      </c>
      <c r="BK27" s="1151">
        <v>0</v>
      </c>
      <c r="BL27" s="1150">
        <f t="shared" si="33"/>
        <v>24.63</v>
      </c>
      <c r="BM27" s="1150">
        <f t="shared" si="34"/>
        <v>3.08</v>
      </c>
      <c r="BN27" s="1150">
        <f t="shared" si="35"/>
        <v>6.67</v>
      </c>
      <c r="BO27" s="1150">
        <v>0</v>
      </c>
      <c r="BP27" s="1150">
        <v>0</v>
      </c>
      <c r="BQ27" s="1396">
        <f t="shared" si="5"/>
        <v>34.380000000000003</v>
      </c>
      <c r="BR27" s="1150">
        <f t="shared" si="36"/>
        <v>55.42</v>
      </c>
      <c r="BS27" s="1150">
        <f t="shared" si="37"/>
        <v>12.31</v>
      </c>
      <c r="BT27" s="1150">
        <f t="shared" si="38"/>
        <v>13.34</v>
      </c>
      <c r="BU27" s="1150">
        <v>0</v>
      </c>
      <c r="BV27" s="1151">
        <f t="shared" si="0"/>
        <v>81.069999999999993</v>
      </c>
      <c r="BW27" s="1155">
        <f t="shared" si="1"/>
        <v>115.44999999999999</v>
      </c>
      <c r="BX27" s="1155">
        <f t="shared" si="39"/>
        <v>1250.74</v>
      </c>
      <c r="BY27" s="1155">
        <v>0</v>
      </c>
      <c r="BZ27" s="1155">
        <f t="shared" si="40"/>
        <v>1250.74</v>
      </c>
      <c r="CA27" s="1397">
        <f>'CONCEPTOS Y PARAMETROS'!$A$102</f>
        <v>2120</v>
      </c>
      <c r="CB27" s="1155">
        <f t="shared" si="60"/>
        <v>305.40999999999997</v>
      </c>
      <c r="CC27" s="1156">
        <f t="shared" si="41"/>
        <v>639.77</v>
      </c>
      <c r="CD27" s="514"/>
      <c r="CE27" s="514"/>
      <c r="CG27" s="497">
        <f t="shared" si="42"/>
        <v>305.40999999999997</v>
      </c>
      <c r="CH27" s="1711">
        <f t="shared" si="43"/>
        <v>300</v>
      </c>
      <c r="CI27" s="497">
        <f t="shared" si="44"/>
        <v>627.27</v>
      </c>
      <c r="CJ27" s="497">
        <f t="shared" si="45"/>
        <v>301.08999999999997</v>
      </c>
      <c r="CK27" s="497">
        <f t="shared" si="61"/>
        <v>326.18</v>
      </c>
      <c r="CL27" s="497">
        <f t="shared" si="46"/>
        <v>0</v>
      </c>
      <c r="CM27" s="497">
        <f t="shared" si="47"/>
        <v>0</v>
      </c>
      <c r="CN27" s="498">
        <f t="shared" si="48"/>
        <v>0</v>
      </c>
      <c r="CO27" s="499">
        <v>0</v>
      </c>
      <c r="CP27" s="498">
        <f t="shared" si="49"/>
        <v>0</v>
      </c>
      <c r="CQ27" s="500">
        <f t="shared" si="50"/>
        <v>12.5</v>
      </c>
      <c r="CR27" s="498">
        <f t="shared" si="51"/>
        <v>0</v>
      </c>
      <c r="CS27" s="498">
        <f t="shared" si="52"/>
        <v>12.5</v>
      </c>
      <c r="CT27" s="498">
        <f t="shared" si="53"/>
        <v>115.44999999999999</v>
      </c>
      <c r="CU27" s="498">
        <f t="shared" si="54"/>
        <v>2120</v>
      </c>
      <c r="CV27" s="1554"/>
      <c r="CW27" s="1195" t="s">
        <v>6937</v>
      </c>
      <c r="CX27" s="1195" t="s">
        <v>7086</v>
      </c>
      <c r="CY27" s="472"/>
      <c r="CZ27" s="514" t="s">
        <v>6186</v>
      </c>
      <c r="DA27" s="514" t="s">
        <v>6173</v>
      </c>
      <c r="DB27" s="1199" t="s">
        <v>6291</v>
      </c>
      <c r="DC27" s="514" t="s">
        <v>6381</v>
      </c>
      <c r="DD27" s="472"/>
      <c r="DE27" s="472"/>
      <c r="DF27" s="472"/>
      <c r="DG27" s="472"/>
      <c r="DH27" s="472"/>
      <c r="DJ27" s="473" t="str">
        <f>VLOOKUP(X27,Hoja1!$A$4:$B$10,2,0)</f>
        <v>PROFESIONAL</v>
      </c>
      <c r="DK27" s="473" t="str">
        <f>VLOOKUP(S27,Hoja1!$D$4:$F$77,3,0)</f>
        <v>COORDINADOR DE ÁREA</v>
      </c>
      <c r="DL27" s="1216" t="str">
        <f t="shared" si="55"/>
        <v>0</v>
      </c>
      <c r="DM27" s="1741" t="str">
        <f t="shared" si="56"/>
        <v>M</v>
      </c>
      <c r="DN27" s="1741"/>
    </row>
    <row r="28" spans="1:118" s="478" customFormat="1" ht="21.95" customHeight="1">
      <c r="A28" s="510" t="s">
        <v>2846</v>
      </c>
      <c r="B28" s="1390">
        <f t="shared" ca="1" si="3"/>
        <v>12</v>
      </c>
      <c r="C28" s="1194">
        <v>11895772</v>
      </c>
      <c r="D28" s="1195" t="s">
        <v>4677</v>
      </c>
      <c r="E28" s="1180" t="s">
        <v>4622</v>
      </c>
      <c r="F28" s="1161">
        <v>26733</v>
      </c>
      <c r="G28" s="1180" t="s">
        <v>4621</v>
      </c>
      <c r="H28" s="1161">
        <v>44743</v>
      </c>
      <c r="I28" s="1185">
        <f t="shared" si="11"/>
        <v>2</v>
      </c>
      <c r="J28" s="1177">
        <v>0</v>
      </c>
      <c r="K28" s="1185">
        <f t="shared" si="12"/>
        <v>2</v>
      </c>
      <c r="L28" s="1177" t="s">
        <v>5547</v>
      </c>
      <c r="M28" s="1177"/>
      <c r="N28" s="1177"/>
      <c r="O28" s="1040" t="s">
        <v>3618</v>
      </c>
      <c r="P28" s="1177" t="s">
        <v>5198</v>
      </c>
      <c r="Q28" s="1391" t="str">
        <f>IFERROR(VLOOKUP(O28,CARGOS!A:E,2,0),"")</f>
        <v>65001</v>
      </c>
      <c r="R28" s="1392" t="s">
        <v>7449</v>
      </c>
      <c r="S28" s="1180" t="s">
        <v>2835</v>
      </c>
      <c r="T28" s="1150">
        <f>IFERROR(VLOOKUP(S28,'TAB EMP'!A:B,2,0),0)</f>
        <v>348</v>
      </c>
      <c r="U28" s="1151">
        <v>0</v>
      </c>
      <c r="V28" s="1150">
        <f t="shared" si="13"/>
        <v>348</v>
      </c>
      <c r="W28" s="1151">
        <f t="shared" si="14"/>
        <v>174</v>
      </c>
      <c r="X28" s="1180" t="s">
        <v>2844</v>
      </c>
      <c r="Y28" s="1180"/>
      <c r="Z28" s="1180">
        <v>1</v>
      </c>
      <c r="AA28" s="1150">
        <f>ROUND(IF(H28&lt;&gt;"",VLOOKUP(SUM(I28+J28),'CONCEPTOS Y PARAMETROS'!F:G,2,0)*V28,0),2)</f>
        <v>6.96</v>
      </c>
      <c r="AB28" s="1150">
        <f>IF(S28&lt;&gt;"",IF(M28="",'CONCEPTOS Y PARAMETROS'!$C$4,0),0)</f>
        <v>130</v>
      </c>
      <c r="AC28" s="1150">
        <f>IF(S28&lt;&gt;"",IF(M28="",'CONCEPTOS Y PARAMETROS'!$C$7*Z28,0),0)</f>
        <v>12.5</v>
      </c>
      <c r="AD28" s="1150">
        <f>IFERROR(ROUND(VLOOKUP($X28,'CONCEPTOS Y PARAMETROS'!H:I,2,0)*($V28+AA28+AB28+AC28),2),0)</f>
        <v>99.49</v>
      </c>
      <c r="AE28" s="1150">
        <f t="shared" si="15"/>
        <v>248.95</v>
      </c>
      <c r="AF28" s="1150">
        <f t="shared" si="16"/>
        <v>3.48</v>
      </c>
      <c r="AG28" s="1150">
        <f t="shared" si="17"/>
        <v>3.48</v>
      </c>
      <c r="AH28" s="1150">
        <f t="shared" si="18"/>
        <v>65</v>
      </c>
      <c r="AI28" s="1150">
        <f t="shared" si="19"/>
        <v>65</v>
      </c>
      <c r="AJ28" s="1150">
        <f t="shared" si="20"/>
        <v>49.75</v>
      </c>
      <c r="AK28" s="1150">
        <f t="shared" si="21"/>
        <v>49.74</v>
      </c>
      <c r="AL28" s="1151">
        <f t="shared" si="22"/>
        <v>130.72999999999999</v>
      </c>
      <c r="AM28" s="1151">
        <f t="shared" si="23"/>
        <v>118.22</v>
      </c>
      <c r="AN28" s="1583">
        <v>1</v>
      </c>
      <c r="AO28" s="1193">
        <f>'CONCEPTOS Y PARAMETROS'!$C$18*AN28</f>
        <v>12.5</v>
      </c>
      <c r="AP28" s="1028">
        <v>0</v>
      </c>
      <c r="AQ28" s="1193">
        <f>'CONCEPTOS Y PARAMETROS'!$C$21*AP28</f>
        <v>0</v>
      </c>
      <c r="AR28" s="1394">
        <v>0</v>
      </c>
      <c r="AS28" s="1394">
        <v>0</v>
      </c>
      <c r="AT28" s="1394">
        <f t="shared" si="24"/>
        <v>12.5</v>
      </c>
      <c r="AU28" s="1151">
        <f t="shared" si="25"/>
        <v>596.95000000000005</v>
      </c>
      <c r="AV28" s="1178">
        <v>0</v>
      </c>
      <c r="AW28" s="1151">
        <f t="shared" si="26"/>
        <v>0</v>
      </c>
      <c r="AX28" s="1150">
        <f>IF(T28&lt;&gt;"0",(ROUND(IF(A28="EMPLEADO",eval_formula('CONCEPTOS Y PARAMETROS'!$C$8,NOMINA!V28,NOMINA!$AU28,NOMINA!I28+NOMINA!J28),eval_formula('CONCEPTOS Y PARAMETROS'!$D$8,NOMINA!V28,NOMINA!$AU28,NOMINA!I28+NOMINA!J28)),2))*IF(H28&lt;&gt;"",IF(MONTH(H28)=$BR$8,IF(YEAR(H28)&lt;$BT$7,1,0),0)))</f>
        <v>0</v>
      </c>
      <c r="AY28" s="1151">
        <v>180</v>
      </c>
      <c r="AZ28" s="1150">
        <f>IFERROR(VLOOKUP(AY28,'CONCEPTOS Y PARAMETROS'!Y:Z,2,0),0)</f>
        <v>150</v>
      </c>
      <c r="BA28" s="1150">
        <f t="shared" si="27"/>
        <v>4477.13</v>
      </c>
      <c r="BB28" s="1150">
        <f t="shared" si="28"/>
        <v>0</v>
      </c>
      <c r="BC28" s="1028">
        <v>0</v>
      </c>
      <c r="BD28" s="1150" t="str">
        <f t="shared" si="29"/>
        <v>0</v>
      </c>
      <c r="BE28" s="1028">
        <v>0</v>
      </c>
      <c r="BF28" s="1150">
        <f t="shared" si="30"/>
        <v>0</v>
      </c>
      <c r="BG28" s="1151">
        <v>300</v>
      </c>
      <c r="BH28" s="1151">
        <f t="shared" si="31"/>
        <v>0</v>
      </c>
      <c r="BI28" s="1151">
        <v>0</v>
      </c>
      <c r="BJ28" s="810">
        <f t="shared" si="32"/>
        <v>0</v>
      </c>
      <c r="BK28" s="1151">
        <v>0</v>
      </c>
      <c r="BL28" s="1150">
        <f t="shared" si="33"/>
        <v>22.04</v>
      </c>
      <c r="BM28" s="1150">
        <f t="shared" si="34"/>
        <v>2.76</v>
      </c>
      <c r="BN28" s="1150">
        <f t="shared" si="35"/>
        <v>5.97</v>
      </c>
      <c r="BO28" s="1150">
        <v>0</v>
      </c>
      <c r="BP28" s="1150">
        <v>0</v>
      </c>
      <c r="BQ28" s="1396">
        <f t="shared" si="5"/>
        <v>30.77</v>
      </c>
      <c r="BR28" s="1150">
        <f t="shared" si="36"/>
        <v>49.59</v>
      </c>
      <c r="BS28" s="1150">
        <f t="shared" si="37"/>
        <v>11.02</v>
      </c>
      <c r="BT28" s="1150">
        <f t="shared" si="38"/>
        <v>11.94</v>
      </c>
      <c r="BU28" s="1150">
        <v>0</v>
      </c>
      <c r="BV28" s="1151">
        <f t="shared" si="0"/>
        <v>72.55</v>
      </c>
      <c r="BW28" s="1155">
        <f t="shared" si="1"/>
        <v>103.32</v>
      </c>
      <c r="BX28" s="1155">
        <f t="shared" si="39"/>
        <v>1119.28</v>
      </c>
      <c r="BY28" s="1155">
        <v>0</v>
      </c>
      <c r="BZ28" s="1155">
        <f t="shared" si="40"/>
        <v>1119.28</v>
      </c>
      <c r="CA28" s="1397">
        <f>'CONCEPTOS Y PARAMETROS'!$A$102</f>
        <v>2120</v>
      </c>
      <c r="CB28" s="1155">
        <f t="shared" si="60"/>
        <v>273.96000000000004</v>
      </c>
      <c r="CC28" s="1156">
        <f t="shared" si="41"/>
        <v>604.72</v>
      </c>
      <c r="CD28" s="514"/>
      <c r="CE28" s="514"/>
      <c r="CG28" s="511">
        <f t="shared" si="42"/>
        <v>273.96000000000004</v>
      </c>
      <c r="CH28" s="1712">
        <f t="shared" si="43"/>
        <v>300</v>
      </c>
      <c r="CI28" s="511">
        <f t="shared" si="44"/>
        <v>592.22</v>
      </c>
      <c r="CJ28" s="511">
        <f t="shared" si="45"/>
        <v>284.27</v>
      </c>
      <c r="CK28" s="511">
        <f t="shared" si="61"/>
        <v>307.95000000000005</v>
      </c>
      <c r="CL28" s="511">
        <f t="shared" si="46"/>
        <v>0</v>
      </c>
      <c r="CM28" s="511">
        <f t="shared" si="47"/>
        <v>0</v>
      </c>
      <c r="CN28" s="512">
        <f t="shared" si="48"/>
        <v>0</v>
      </c>
      <c r="CO28" s="513">
        <v>0</v>
      </c>
      <c r="CP28" s="512">
        <f t="shared" si="49"/>
        <v>0</v>
      </c>
      <c r="CQ28" s="500">
        <f t="shared" si="50"/>
        <v>12.5</v>
      </c>
      <c r="CR28" s="512">
        <f t="shared" si="51"/>
        <v>0</v>
      </c>
      <c r="CS28" s="512">
        <f t="shared" si="52"/>
        <v>12.5</v>
      </c>
      <c r="CT28" s="512">
        <f t="shared" si="53"/>
        <v>103.32</v>
      </c>
      <c r="CU28" s="512">
        <f t="shared" si="54"/>
        <v>2120</v>
      </c>
      <c r="CV28" s="1556"/>
      <c r="CW28" s="1195" t="s">
        <v>6938</v>
      </c>
      <c r="CX28" s="1195" t="s">
        <v>6939</v>
      </c>
      <c r="CY28" s="514"/>
      <c r="CZ28" s="514" t="s">
        <v>6187</v>
      </c>
      <c r="DA28" s="514" t="s">
        <v>6188</v>
      </c>
      <c r="DB28" s="514" t="s">
        <v>6170</v>
      </c>
      <c r="DC28" s="514" t="s">
        <v>6625</v>
      </c>
      <c r="DD28" s="514"/>
      <c r="DE28" s="514"/>
      <c r="DF28" s="514"/>
      <c r="DG28" s="514"/>
      <c r="DH28" s="514"/>
      <c r="DJ28" s="478" t="str">
        <f>VLOOKUP(X28,Hoja1!$A$4:$B$10,2,0)</f>
        <v>TÉCNICO SUPERIOR UNIVERSITARIO</v>
      </c>
      <c r="DK28" s="478" t="str">
        <f>VLOOKUP(S28,Hoja1!$D$4:$F$77,3,0)</f>
        <v>COORDINADOR DE ÁREA</v>
      </c>
      <c r="DL28" s="1218" t="str">
        <f t="shared" si="55"/>
        <v>0</v>
      </c>
      <c r="DM28" s="1743" t="str">
        <f t="shared" si="56"/>
        <v>M</v>
      </c>
      <c r="DN28" s="1743"/>
    </row>
    <row r="29" spans="1:118" s="473" customFormat="1" ht="21.95" customHeight="1">
      <c r="A29" s="510" t="s">
        <v>2846</v>
      </c>
      <c r="B29" s="1390">
        <f t="shared" ca="1" si="3"/>
        <v>13</v>
      </c>
      <c r="C29" s="1194">
        <v>9495661</v>
      </c>
      <c r="D29" s="1195" t="s">
        <v>5187</v>
      </c>
      <c r="E29" s="1180" t="s">
        <v>4622</v>
      </c>
      <c r="F29" s="1161">
        <v>23909</v>
      </c>
      <c r="G29" s="1180" t="s">
        <v>4620</v>
      </c>
      <c r="H29" s="1161">
        <v>39692</v>
      </c>
      <c r="I29" s="1185">
        <f t="shared" si="11"/>
        <v>16</v>
      </c>
      <c r="J29" s="1177">
        <v>0</v>
      </c>
      <c r="K29" s="1185">
        <f t="shared" si="12"/>
        <v>16</v>
      </c>
      <c r="L29" s="1191" t="s">
        <v>5551</v>
      </c>
      <c r="M29" s="1177"/>
      <c r="N29" s="1177"/>
      <c r="O29" s="1040" t="s">
        <v>3618</v>
      </c>
      <c r="P29" s="1177" t="s">
        <v>5200</v>
      </c>
      <c r="Q29" s="1391" t="str">
        <f>IFERROR(VLOOKUP(O29,CARGOS!A:E,2,0),"")</f>
        <v>65001</v>
      </c>
      <c r="R29" s="1392" t="s">
        <v>5977</v>
      </c>
      <c r="S29" s="1180" t="s">
        <v>2835</v>
      </c>
      <c r="T29" s="1150">
        <f>IFERROR(VLOOKUP(S29,'TAB EMP'!A:B,2,0),0)</f>
        <v>348</v>
      </c>
      <c r="U29" s="1151">
        <v>0</v>
      </c>
      <c r="V29" s="1150">
        <f t="shared" si="13"/>
        <v>348</v>
      </c>
      <c r="W29" s="1151">
        <f t="shared" si="14"/>
        <v>174</v>
      </c>
      <c r="X29" s="1180" t="s">
        <v>2884</v>
      </c>
      <c r="Y29" s="1180"/>
      <c r="Z29" s="1180">
        <v>0</v>
      </c>
      <c r="AA29" s="1150">
        <f>ROUND(IF(H29&lt;&gt;"",VLOOKUP(SUM(I29+J29),'CONCEPTOS Y PARAMETROS'!F:G,2,0)*V29,0),2)</f>
        <v>68.209999999999994</v>
      </c>
      <c r="AB29" s="1150">
        <f>IF(S29&lt;&gt;"",IF(M29="",'CONCEPTOS Y PARAMETROS'!$C$4,0),0)</f>
        <v>130</v>
      </c>
      <c r="AC29" s="1150">
        <f>IF(S29&lt;&gt;"",IF(M29="",'CONCEPTOS Y PARAMETROS'!$C$7*Z29,0),0)</f>
        <v>0</v>
      </c>
      <c r="AD29" s="1150">
        <f>IFERROR(ROUND(VLOOKUP($X29,'CONCEPTOS Y PARAMETROS'!H:I,2,0)*($V29+AA29+AB29+AC29),2),0)</f>
        <v>0</v>
      </c>
      <c r="AE29" s="1150">
        <f t="shared" si="15"/>
        <v>198.20999999999998</v>
      </c>
      <c r="AF29" s="1150">
        <f t="shared" si="16"/>
        <v>34.11</v>
      </c>
      <c r="AG29" s="1150">
        <f t="shared" si="17"/>
        <v>34.1</v>
      </c>
      <c r="AH29" s="1150">
        <f t="shared" si="18"/>
        <v>65</v>
      </c>
      <c r="AI29" s="1150">
        <f t="shared" si="19"/>
        <v>65</v>
      </c>
      <c r="AJ29" s="1150">
        <f t="shared" si="20"/>
        <v>0</v>
      </c>
      <c r="AK29" s="1150">
        <f t="shared" si="21"/>
        <v>0</v>
      </c>
      <c r="AL29" s="1151">
        <f t="shared" si="22"/>
        <v>99.11</v>
      </c>
      <c r="AM29" s="1151">
        <f t="shared" si="23"/>
        <v>99.1</v>
      </c>
      <c r="AN29" s="1028">
        <v>0</v>
      </c>
      <c r="AO29" s="1193">
        <f>'CONCEPTOS Y PARAMETROS'!$C$18*AN29</f>
        <v>0</v>
      </c>
      <c r="AP29" s="1028">
        <v>0</v>
      </c>
      <c r="AQ29" s="1193">
        <f>'CONCEPTOS Y PARAMETROS'!$C$21*AP29</f>
        <v>0</v>
      </c>
      <c r="AR29" s="1394">
        <v>0</v>
      </c>
      <c r="AS29" s="1394">
        <v>0</v>
      </c>
      <c r="AT29" s="1394">
        <f t="shared" si="24"/>
        <v>0</v>
      </c>
      <c r="AU29" s="1151">
        <f t="shared" si="25"/>
        <v>546.21</v>
      </c>
      <c r="AV29" s="1178">
        <v>0</v>
      </c>
      <c r="AW29" s="1151">
        <f t="shared" si="26"/>
        <v>0</v>
      </c>
      <c r="AX29" s="1150">
        <f>IF(T29&lt;&gt;"0",(ROUND(IF(A29="EMPLEADO",eval_formula('CONCEPTOS Y PARAMETROS'!$C$8,NOMINA!V29,NOMINA!$AU29,NOMINA!I29+NOMINA!J29),eval_formula('CONCEPTOS Y PARAMETROS'!$D$8,NOMINA!V29,NOMINA!$AU29,NOMINA!I29+NOMINA!J29)),2))*IF(H29&lt;&gt;"",IF(MONTH(H29)=$BR$8,IF(YEAR(H29)&lt;$BT$7,1,0),0)))</f>
        <v>0</v>
      </c>
      <c r="AY29" s="1151">
        <v>180</v>
      </c>
      <c r="AZ29" s="1150">
        <f>IFERROR(VLOOKUP(AY29,'CONCEPTOS Y PARAMETROS'!Y:Z,2,0),0)</f>
        <v>150</v>
      </c>
      <c r="BA29" s="1150">
        <f t="shared" si="27"/>
        <v>4096.58</v>
      </c>
      <c r="BB29" s="1150">
        <f t="shared" si="28"/>
        <v>0</v>
      </c>
      <c r="BC29" s="1028">
        <v>0</v>
      </c>
      <c r="BD29" s="1150" t="str">
        <f t="shared" si="29"/>
        <v>0</v>
      </c>
      <c r="BE29" s="1028">
        <v>0</v>
      </c>
      <c r="BF29" s="1150">
        <f t="shared" si="30"/>
        <v>0</v>
      </c>
      <c r="BG29" s="1151">
        <v>300</v>
      </c>
      <c r="BH29" s="1151">
        <f t="shared" si="31"/>
        <v>0</v>
      </c>
      <c r="BI29" s="1151">
        <v>0</v>
      </c>
      <c r="BJ29" s="810">
        <f t="shared" si="32"/>
        <v>0</v>
      </c>
      <c r="BK29" s="1151">
        <v>0</v>
      </c>
      <c r="BL29" s="1150">
        <f t="shared" si="33"/>
        <v>20.170000000000002</v>
      </c>
      <c r="BM29" s="1150">
        <f t="shared" si="34"/>
        <v>2.52</v>
      </c>
      <c r="BN29" s="1150">
        <f t="shared" si="35"/>
        <v>5.46</v>
      </c>
      <c r="BO29" s="1150">
        <v>0</v>
      </c>
      <c r="BP29" s="1150">
        <v>0</v>
      </c>
      <c r="BQ29" s="1396">
        <f t="shared" si="5"/>
        <v>28.15</v>
      </c>
      <c r="BR29" s="1150">
        <f t="shared" si="36"/>
        <v>45.38</v>
      </c>
      <c r="BS29" s="1150">
        <f t="shared" si="37"/>
        <v>10.08</v>
      </c>
      <c r="BT29" s="1150">
        <f t="shared" si="38"/>
        <v>10.92</v>
      </c>
      <c r="BU29" s="1150">
        <v>0</v>
      </c>
      <c r="BV29" s="1151">
        <f t="shared" si="0"/>
        <v>66.38</v>
      </c>
      <c r="BW29" s="1155">
        <f t="shared" si="1"/>
        <v>94.53</v>
      </c>
      <c r="BX29" s="1155">
        <f t="shared" si="39"/>
        <v>1024.1500000000001</v>
      </c>
      <c r="BY29" s="1155">
        <v>0</v>
      </c>
      <c r="BZ29" s="1155">
        <f t="shared" si="40"/>
        <v>1024.1500000000001</v>
      </c>
      <c r="CA29" s="1397">
        <f>'CONCEPTOS Y PARAMETROS'!$A$102</f>
        <v>2120</v>
      </c>
      <c r="CB29" s="1155">
        <f t="shared" si="60"/>
        <v>244.96</v>
      </c>
      <c r="CC29" s="1156">
        <f t="shared" si="41"/>
        <v>573.1</v>
      </c>
      <c r="CD29" s="514"/>
      <c r="CE29" s="514"/>
      <c r="CG29" s="497">
        <f t="shared" si="42"/>
        <v>244.96</v>
      </c>
      <c r="CH29" s="1711">
        <f t="shared" si="43"/>
        <v>300</v>
      </c>
      <c r="CI29" s="497">
        <f t="shared" si="44"/>
        <v>573.1</v>
      </c>
      <c r="CJ29" s="497">
        <f t="shared" si="45"/>
        <v>275.08999999999997</v>
      </c>
      <c r="CK29" s="497">
        <f t="shared" si="61"/>
        <v>298.01000000000005</v>
      </c>
      <c r="CL29" s="497">
        <f t="shared" si="46"/>
        <v>0</v>
      </c>
      <c r="CM29" s="497">
        <f t="shared" si="47"/>
        <v>0</v>
      </c>
      <c r="CN29" s="498">
        <f t="shared" si="48"/>
        <v>0</v>
      </c>
      <c r="CO29" s="499">
        <v>0</v>
      </c>
      <c r="CP29" s="498">
        <f t="shared" si="49"/>
        <v>0</v>
      </c>
      <c r="CQ29" s="500">
        <f t="shared" si="50"/>
        <v>0</v>
      </c>
      <c r="CR29" s="498">
        <f t="shared" si="51"/>
        <v>0</v>
      </c>
      <c r="CS29" s="498">
        <f t="shared" si="52"/>
        <v>0</v>
      </c>
      <c r="CT29" s="498">
        <f t="shared" si="53"/>
        <v>94.53</v>
      </c>
      <c r="CU29" s="498">
        <f t="shared" si="54"/>
        <v>2120</v>
      </c>
      <c r="CV29" s="1554"/>
      <c r="CW29" s="1195" t="s">
        <v>6940</v>
      </c>
      <c r="CX29" s="1195" t="s">
        <v>7183</v>
      </c>
      <c r="CY29" s="472"/>
      <c r="CZ29" s="514" t="s">
        <v>6203</v>
      </c>
      <c r="DA29" s="514" t="s">
        <v>6188</v>
      </c>
      <c r="DB29" s="1199" t="s">
        <v>6229</v>
      </c>
      <c r="DC29" s="514" t="s">
        <v>6635</v>
      </c>
      <c r="DD29" s="472"/>
      <c r="DE29" s="472"/>
      <c r="DF29" s="472"/>
      <c r="DG29" s="472"/>
      <c r="DH29" s="472"/>
      <c r="DJ29" s="473" t="str">
        <f>VLOOKUP(X29,Hoja1!$A$4:$B$10,2,0)</f>
        <v>BACHILLER</v>
      </c>
      <c r="DK29" s="473" t="str">
        <f>VLOOKUP(S29,Hoja1!$D$4:$F$77,3,0)</f>
        <v>COORDINADOR DE ÁREA</v>
      </c>
      <c r="DL29" s="1216" t="str">
        <f t="shared" si="55"/>
        <v>0</v>
      </c>
      <c r="DM29" s="1741" t="str">
        <f t="shared" si="56"/>
        <v>F</v>
      </c>
      <c r="DN29" s="1741"/>
    </row>
    <row r="30" spans="1:118" s="473" customFormat="1" ht="21.95" customHeight="1">
      <c r="A30" s="510" t="s">
        <v>2846</v>
      </c>
      <c r="B30" s="1390">
        <f t="shared" ca="1" si="3"/>
        <v>14</v>
      </c>
      <c r="C30" s="1194">
        <v>5348397</v>
      </c>
      <c r="D30" s="1195" t="s">
        <v>4678</v>
      </c>
      <c r="E30" s="1180" t="s">
        <v>4622</v>
      </c>
      <c r="F30" s="1161">
        <v>21579</v>
      </c>
      <c r="G30" s="1180" t="s">
        <v>4621</v>
      </c>
      <c r="H30" s="1161">
        <v>43359</v>
      </c>
      <c r="I30" s="1185">
        <f t="shared" si="11"/>
        <v>6</v>
      </c>
      <c r="J30" s="1177">
        <v>0</v>
      </c>
      <c r="K30" s="1185">
        <f t="shared" si="12"/>
        <v>6</v>
      </c>
      <c r="L30" s="1191" t="s">
        <v>5540</v>
      </c>
      <c r="M30" s="1177"/>
      <c r="N30" s="1177"/>
      <c r="O30" s="1040" t="s">
        <v>3618</v>
      </c>
      <c r="P30" s="1177" t="s">
        <v>5201</v>
      </c>
      <c r="Q30" s="1391" t="str">
        <f>IFERROR(VLOOKUP(O30,CARGOS!A:E,2,0),"")</f>
        <v>65001</v>
      </c>
      <c r="R30" s="1403" t="s">
        <v>5050</v>
      </c>
      <c r="S30" s="1180" t="s">
        <v>2835</v>
      </c>
      <c r="T30" s="1150">
        <f>IFERROR(VLOOKUP(S30,'TAB EMP'!A:B,2,0),0)</f>
        <v>348</v>
      </c>
      <c r="U30" s="1151">
        <v>0</v>
      </c>
      <c r="V30" s="1150">
        <f t="shared" si="13"/>
        <v>348</v>
      </c>
      <c r="W30" s="1151">
        <f t="shared" si="14"/>
        <v>174</v>
      </c>
      <c r="X30" s="1180" t="s">
        <v>2887</v>
      </c>
      <c r="Y30" s="1180"/>
      <c r="Z30" s="1180">
        <v>1</v>
      </c>
      <c r="AA30" s="1150">
        <f>ROUND(IF(H30&lt;&gt;"",VLOOKUP(SUM(I30+J30),'CONCEPTOS Y PARAMETROS'!F:G,2,0)*V30,0),2)</f>
        <v>21.58</v>
      </c>
      <c r="AB30" s="1150">
        <f>IF(S30&lt;&gt;"",IF(M30="",'CONCEPTOS Y PARAMETROS'!$C$4,0),0)</f>
        <v>130</v>
      </c>
      <c r="AC30" s="1150">
        <f>IF(S30&lt;&gt;"",IF(M30="",'CONCEPTOS Y PARAMETROS'!$C$7*Z30,0),0)</f>
        <v>12.5</v>
      </c>
      <c r="AD30" s="1150">
        <f>IFERROR(ROUND(VLOOKUP($X30,'CONCEPTOS Y PARAMETROS'!H:I,2,0)*($V30+AA30+AB30+AC30),2),0)</f>
        <v>179.23</v>
      </c>
      <c r="AE30" s="1150">
        <f t="shared" si="15"/>
        <v>343.30999999999995</v>
      </c>
      <c r="AF30" s="1150">
        <f t="shared" si="16"/>
        <v>10.79</v>
      </c>
      <c r="AG30" s="1150">
        <f t="shared" si="17"/>
        <v>10.79</v>
      </c>
      <c r="AH30" s="1150">
        <f t="shared" si="18"/>
        <v>65</v>
      </c>
      <c r="AI30" s="1150">
        <f t="shared" si="19"/>
        <v>65</v>
      </c>
      <c r="AJ30" s="1150">
        <f t="shared" si="20"/>
        <v>89.62</v>
      </c>
      <c r="AK30" s="1150">
        <f t="shared" si="21"/>
        <v>89.61</v>
      </c>
      <c r="AL30" s="1151">
        <f t="shared" si="22"/>
        <v>177.91</v>
      </c>
      <c r="AM30" s="1151">
        <f t="shared" si="23"/>
        <v>165.4</v>
      </c>
      <c r="AN30" s="1028">
        <v>0</v>
      </c>
      <c r="AO30" s="1193">
        <f>'CONCEPTOS Y PARAMETROS'!$C$18*AN30</f>
        <v>0</v>
      </c>
      <c r="AP30" s="1028">
        <v>0</v>
      </c>
      <c r="AQ30" s="1193">
        <f>'CONCEPTOS Y PARAMETROS'!$C$21*AP30</f>
        <v>0</v>
      </c>
      <c r="AR30" s="1394">
        <v>0</v>
      </c>
      <c r="AS30" s="1394">
        <v>0</v>
      </c>
      <c r="AT30" s="1394">
        <f t="shared" si="24"/>
        <v>0</v>
      </c>
      <c r="AU30" s="1151">
        <f t="shared" si="25"/>
        <v>691.31</v>
      </c>
      <c r="AV30" s="1178">
        <v>0</v>
      </c>
      <c r="AW30" s="1151">
        <f t="shared" si="26"/>
        <v>0</v>
      </c>
      <c r="AX30" s="1150">
        <f>IF(T30&lt;&gt;"0",(ROUND(IF(A30="EMPLEADO",eval_formula('CONCEPTOS Y PARAMETROS'!$C$8,NOMINA!V30,NOMINA!$AU30,NOMINA!I30+NOMINA!J30),eval_formula('CONCEPTOS Y PARAMETROS'!$D$8,NOMINA!V30,NOMINA!$AU30,NOMINA!I30+NOMINA!J30)),2))*IF(H30&lt;&gt;"",IF(MONTH(H30)=$BR$8,IF(YEAR(H30)&lt;$BT$7,1,0),0)))</f>
        <v>0</v>
      </c>
      <c r="AY30" s="1151">
        <v>180</v>
      </c>
      <c r="AZ30" s="1150">
        <f>IFERROR(VLOOKUP(AY30,'CONCEPTOS Y PARAMETROS'!Y:Z,2,0),0)</f>
        <v>150</v>
      </c>
      <c r="BA30" s="1150">
        <f t="shared" si="27"/>
        <v>5184.83</v>
      </c>
      <c r="BB30" s="1150">
        <f t="shared" si="28"/>
        <v>0</v>
      </c>
      <c r="BC30" s="1028">
        <v>0</v>
      </c>
      <c r="BD30" s="1150" t="str">
        <f t="shared" si="29"/>
        <v>0</v>
      </c>
      <c r="BE30" s="1028">
        <v>0</v>
      </c>
      <c r="BF30" s="1150">
        <f t="shared" si="30"/>
        <v>0</v>
      </c>
      <c r="BG30" s="1151">
        <v>300</v>
      </c>
      <c r="BH30" s="1151">
        <f t="shared" si="31"/>
        <v>0</v>
      </c>
      <c r="BI30" s="1151">
        <v>0</v>
      </c>
      <c r="BJ30" s="810">
        <f t="shared" si="32"/>
        <v>0</v>
      </c>
      <c r="BK30" s="1151">
        <v>0</v>
      </c>
      <c r="BL30" s="1150">
        <f t="shared" si="33"/>
        <v>25.53</v>
      </c>
      <c r="BM30" s="1150">
        <f t="shared" si="34"/>
        <v>3.19</v>
      </c>
      <c r="BN30" s="1150">
        <f t="shared" si="35"/>
        <v>6.91</v>
      </c>
      <c r="BO30" s="1150">
        <v>0</v>
      </c>
      <c r="BP30" s="1150">
        <v>0</v>
      </c>
      <c r="BQ30" s="1396">
        <f t="shared" si="5"/>
        <v>35.630000000000003</v>
      </c>
      <c r="BR30" s="1150">
        <f t="shared" si="36"/>
        <v>57.43</v>
      </c>
      <c r="BS30" s="1150">
        <f t="shared" si="37"/>
        <v>12.76</v>
      </c>
      <c r="BT30" s="1150">
        <f t="shared" si="38"/>
        <v>13.82</v>
      </c>
      <c r="BU30" s="1150">
        <v>0</v>
      </c>
      <c r="BV30" s="1151">
        <f t="shared" si="0"/>
        <v>84.01</v>
      </c>
      <c r="BW30" s="1155">
        <f t="shared" si="1"/>
        <v>119.64000000000001</v>
      </c>
      <c r="BX30" s="1155">
        <f t="shared" si="39"/>
        <v>1296.21</v>
      </c>
      <c r="BY30" s="1155">
        <v>0</v>
      </c>
      <c r="BZ30" s="1155">
        <f t="shared" si="40"/>
        <v>1296.21</v>
      </c>
      <c r="CA30" s="1397">
        <f>'CONCEPTOS Y PARAMETROS'!$A$102</f>
        <v>2120</v>
      </c>
      <c r="CB30" s="1155">
        <f t="shared" si="60"/>
        <v>316.27999999999997</v>
      </c>
      <c r="CC30" s="1156">
        <f t="shared" si="41"/>
        <v>639.4</v>
      </c>
      <c r="CD30" s="514"/>
      <c r="CE30" s="514"/>
      <c r="CG30" s="497">
        <f t="shared" si="42"/>
        <v>316.27999999999997</v>
      </c>
      <c r="CH30" s="1711">
        <f t="shared" si="43"/>
        <v>300</v>
      </c>
      <c r="CI30" s="497">
        <f t="shared" si="44"/>
        <v>639.4</v>
      </c>
      <c r="CJ30" s="497">
        <f t="shared" si="45"/>
        <v>306.91000000000003</v>
      </c>
      <c r="CK30" s="497">
        <f t="shared" si="61"/>
        <v>332.48999999999995</v>
      </c>
      <c r="CL30" s="497">
        <f t="shared" si="46"/>
        <v>0</v>
      </c>
      <c r="CM30" s="497">
        <f t="shared" si="47"/>
        <v>0</v>
      </c>
      <c r="CN30" s="498">
        <f t="shared" si="48"/>
        <v>0</v>
      </c>
      <c r="CO30" s="499">
        <v>0</v>
      </c>
      <c r="CP30" s="498">
        <f t="shared" si="49"/>
        <v>0</v>
      </c>
      <c r="CQ30" s="500">
        <f t="shared" si="50"/>
        <v>0</v>
      </c>
      <c r="CR30" s="498">
        <f t="shared" si="51"/>
        <v>0</v>
      </c>
      <c r="CS30" s="498">
        <f t="shared" si="52"/>
        <v>0</v>
      </c>
      <c r="CT30" s="498">
        <f t="shared" si="53"/>
        <v>119.64000000000001</v>
      </c>
      <c r="CU30" s="498">
        <f t="shared" si="54"/>
        <v>2120</v>
      </c>
      <c r="CV30" s="1554"/>
      <c r="CW30" s="1195" t="s">
        <v>6948</v>
      </c>
      <c r="CX30" s="1195" t="s">
        <v>7217</v>
      </c>
      <c r="CY30" s="472"/>
      <c r="CZ30" s="514" t="s">
        <v>6191</v>
      </c>
      <c r="DA30" s="514" t="s">
        <v>6192</v>
      </c>
      <c r="DB30" s="514" t="s">
        <v>6193</v>
      </c>
      <c r="DC30" s="514" t="s">
        <v>6194</v>
      </c>
      <c r="DD30" s="472"/>
      <c r="DE30" s="472"/>
      <c r="DF30" s="472"/>
      <c r="DG30" s="472"/>
      <c r="DH30" s="472"/>
      <c r="DJ30" s="473" t="str">
        <f>VLOOKUP(X30,Hoja1!$A$4:$B$10,2,0)</f>
        <v>MAGISTER</v>
      </c>
      <c r="DK30" s="473" t="str">
        <f>VLOOKUP(S30,Hoja1!$D$4:$F$77,3,0)</f>
        <v>COORDINADOR DE ÁREA</v>
      </c>
      <c r="DL30" s="1216" t="str">
        <f t="shared" si="55"/>
        <v>0</v>
      </c>
      <c r="DM30" s="1741" t="str">
        <f t="shared" si="56"/>
        <v>M</v>
      </c>
      <c r="DN30" s="1741"/>
    </row>
    <row r="31" spans="1:118" s="473" customFormat="1" ht="21.95" customHeight="1">
      <c r="A31" s="510" t="s">
        <v>2846</v>
      </c>
      <c r="B31" s="1390">
        <f t="shared" ca="1" si="3"/>
        <v>15</v>
      </c>
      <c r="C31" s="1194">
        <v>9314132</v>
      </c>
      <c r="D31" s="1195" t="s">
        <v>4679</v>
      </c>
      <c r="E31" s="1180" t="s">
        <v>4622</v>
      </c>
      <c r="F31" s="1161">
        <v>25785</v>
      </c>
      <c r="G31" s="1180" t="s">
        <v>4621</v>
      </c>
      <c r="H31" s="1161">
        <v>44348</v>
      </c>
      <c r="I31" s="1185">
        <f t="shared" si="11"/>
        <v>3</v>
      </c>
      <c r="J31" s="1177">
        <v>0</v>
      </c>
      <c r="K31" s="1185">
        <f t="shared" si="12"/>
        <v>3</v>
      </c>
      <c r="L31" s="1191" t="s">
        <v>5554</v>
      </c>
      <c r="M31" s="1177"/>
      <c r="N31" s="1177"/>
      <c r="O31" s="1040" t="s">
        <v>3618</v>
      </c>
      <c r="P31" s="1177" t="s">
        <v>5202</v>
      </c>
      <c r="Q31" s="1391" t="str">
        <f>IFERROR(VLOOKUP(O31,CARGOS!A:E,2,0),"")</f>
        <v>65001</v>
      </c>
      <c r="R31" s="1403" t="s">
        <v>5050</v>
      </c>
      <c r="S31" s="1180" t="s">
        <v>2835</v>
      </c>
      <c r="T31" s="1150">
        <f>IFERROR(VLOOKUP(S31,'TAB EMP'!A:B,2,0),0)</f>
        <v>348</v>
      </c>
      <c r="U31" s="1151">
        <v>0</v>
      </c>
      <c r="V31" s="1150">
        <f t="shared" si="13"/>
        <v>348</v>
      </c>
      <c r="W31" s="1151">
        <f t="shared" si="14"/>
        <v>174</v>
      </c>
      <c r="X31" s="1180" t="s">
        <v>2887</v>
      </c>
      <c r="Y31" s="1180"/>
      <c r="Z31" s="1180">
        <v>0</v>
      </c>
      <c r="AA31" s="1150">
        <f>ROUND(IF(H31&lt;&gt;"",VLOOKUP(SUM(I31+J31),'CONCEPTOS Y PARAMETROS'!F:G,2,0)*V31,0),2)</f>
        <v>10.44</v>
      </c>
      <c r="AB31" s="1150">
        <f>IF(S31&lt;&gt;"",IF(M31="",'CONCEPTOS Y PARAMETROS'!$C$4,0),0)</f>
        <v>130</v>
      </c>
      <c r="AC31" s="1150">
        <f>IF(S31&lt;&gt;"",IF(M31="",'CONCEPTOS Y PARAMETROS'!$C$7*Z31,0),0)</f>
        <v>0</v>
      </c>
      <c r="AD31" s="1150">
        <f>IFERROR(ROUND(VLOOKUP($X31,'CONCEPTOS Y PARAMETROS'!H:I,2,0)*($V31+AA31+AB31+AC31),2),0)</f>
        <v>170.95</v>
      </c>
      <c r="AE31" s="1150">
        <f t="shared" si="15"/>
        <v>311.39</v>
      </c>
      <c r="AF31" s="1150">
        <f t="shared" si="16"/>
        <v>5.22</v>
      </c>
      <c r="AG31" s="1150">
        <f t="shared" si="17"/>
        <v>5.22</v>
      </c>
      <c r="AH31" s="1150">
        <f t="shared" si="18"/>
        <v>65</v>
      </c>
      <c r="AI31" s="1150">
        <f t="shared" si="19"/>
        <v>65</v>
      </c>
      <c r="AJ31" s="1150">
        <f t="shared" si="20"/>
        <v>85.48</v>
      </c>
      <c r="AK31" s="1150">
        <f t="shared" si="21"/>
        <v>85.47</v>
      </c>
      <c r="AL31" s="1151">
        <f t="shared" si="22"/>
        <v>155.69999999999999</v>
      </c>
      <c r="AM31" s="1151">
        <f t="shared" si="23"/>
        <v>155.69</v>
      </c>
      <c r="AN31" s="1028">
        <v>0</v>
      </c>
      <c r="AO31" s="1193">
        <f>'CONCEPTOS Y PARAMETROS'!$C$18*AN31</f>
        <v>0</v>
      </c>
      <c r="AP31" s="1028">
        <v>0</v>
      </c>
      <c r="AQ31" s="1193">
        <f>'CONCEPTOS Y PARAMETROS'!$C$21*AP31</f>
        <v>0</v>
      </c>
      <c r="AR31" s="1394">
        <v>0</v>
      </c>
      <c r="AS31" s="1394">
        <v>0</v>
      </c>
      <c r="AT31" s="1394">
        <f t="shared" si="24"/>
        <v>0</v>
      </c>
      <c r="AU31" s="1151">
        <f t="shared" si="25"/>
        <v>659.39</v>
      </c>
      <c r="AV31" s="1178">
        <v>0</v>
      </c>
      <c r="AW31" s="1151">
        <f t="shared" si="26"/>
        <v>0</v>
      </c>
      <c r="AX31" s="1150">
        <f>IF(T31&lt;&gt;"0",(ROUND(IF(A31="EMPLEADO",eval_formula('CONCEPTOS Y PARAMETROS'!$C$8,NOMINA!V31,NOMINA!$AU31,NOMINA!I31+NOMINA!J31),eval_formula('CONCEPTOS Y PARAMETROS'!$D$8,NOMINA!V31,NOMINA!$AU31,NOMINA!I31+NOMINA!J31)),2))*IF(H31&lt;&gt;"",IF(MONTH(H31)=$BR$8,IF(YEAR(H31)&lt;$BT$7,1,0),0)))</f>
        <v>0</v>
      </c>
      <c r="AY31" s="1151">
        <v>180</v>
      </c>
      <c r="AZ31" s="1150">
        <f>IFERROR(VLOOKUP(AY31,'CONCEPTOS Y PARAMETROS'!Y:Z,2,0),0)</f>
        <v>150</v>
      </c>
      <c r="BA31" s="1150">
        <f t="shared" si="27"/>
        <v>4945.43</v>
      </c>
      <c r="BB31" s="1150">
        <f t="shared" si="28"/>
        <v>0</v>
      </c>
      <c r="BC31" s="1028">
        <v>0</v>
      </c>
      <c r="BD31" s="1150" t="str">
        <f t="shared" si="29"/>
        <v>0</v>
      </c>
      <c r="BE31" s="1028">
        <v>0</v>
      </c>
      <c r="BF31" s="1150">
        <f t="shared" si="30"/>
        <v>0</v>
      </c>
      <c r="BG31" s="1151">
        <v>300</v>
      </c>
      <c r="BH31" s="1151">
        <f t="shared" si="31"/>
        <v>0</v>
      </c>
      <c r="BI31" s="1151">
        <v>0</v>
      </c>
      <c r="BJ31" s="810">
        <f t="shared" si="32"/>
        <v>0</v>
      </c>
      <c r="BK31" s="1151">
        <v>0</v>
      </c>
      <c r="BL31" s="1150">
        <f t="shared" si="33"/>
        <v>24.35</v>
      </c>
      <c r="BM31" s="1150">
        <f t="shared" si="34"/>
        <v>3.04</v>
      </c>
      <c r="BN31" s="1150">
        <f t="shared" si="35"/>
        <v>6.59</v>
      </c>
      <c r="BO31" s="1150">
        <v>0</v>
      </c>
      <c r="BP31" s="1150">
        <v>0</v>
      </c>
      <c r="BQ31" s="1396">
        <f t="shared" si="5"/>
        <v>33.979999999999997</v>
      </c>
      <c r="BR31" s="1150">
        <f t="shared" si="36"/>
        <v>54.78</v>
      </c>
      <c r="BS31" s="1150">
        <f t="shared" si="37"/>
        <v>12.17</v>
      </c>
      <c r="BT31" s="1150">
        <f t="shared" si="38"/>
        <v>13.18</v>
      </c>
      <c r="BU31" s="1150">
        <v>0</v>
      </c>
      <c r="BV31" s="1151">
        <f t="shared" si="0"/>
        <v>80.13</v>
      </c>
      <c r="BW31" s="1155">
        <f t="shared" si="1"/>
        <v>114.10999999999999</v>
      </c>
      <c r="BX31" s="1155">
        <f t="shared" si="39"/>
        <v>1236.3599999999999</v>
      </c>
      <c r="BY31" s="1155">
        <v>0</v>
      </c>
      <c r="BZ31" s="1155">
        <f t="shared" si="40"/>
        <v>1236.3599999999999</v>
      </c>
      <c r="CA31" s="1397">
        <f>'CONCEPTOS Y PARAMETROS'!$A$102</f>
        <v>2120</v>
      </c>
      <c r="CB31" s="1155">
        <f t="shared" si="60"/>
        <v>295.71999999999997</v>
      </c>
      <c r="CC31" s="1156">
        <f t="shared" si="41"/>
        <v>629.69000000000005</v>
      </c>
      <c r="CD31" s="514"/>
      <c r="CE31" s="514"/>
      <c r="CG31" s="497">
        <f t="shared" si="42"/>
        <v>295.71999999999997</v>
      </c>
      <c r="CH31" s="1711">
        <f t="shared" si="43"/>
        <v>300</v>
      </c>
      <c r="CI31" s="497">
        <f t="shared" si="44"/>
        <v>629.69000000000005</v>
      </c>
      <c r="CJ31" s="497">
        <f t="shared" si="45"/>
        <v>302.25</v>
      </c>
      <c r="CK31" s="497">
        <f t="shared" si="61"/>
        <v>327.44000000000005</v>
      </c>
      <c r="CL31" s="497">
        <f t="shared" si="46"/>
        <v>0</v>
      </c>
      <c r="CM31" s="497">
        <f t="shared" si="47"/>
        <v>0</v>
      </c>
      <c r="CN31" s="498">
        <f t="shared" si="48"/>
        <v>0</v>
      </c>
      <c r="CO31" s="499">
        <v>0</v>
      </c>
      <c r="CP31" s="498">
        <f t="shared" si="49"/>
        <v>0</v>
      </c>
      <c r="CQ31" s="500">
        <f t="shared" si="50"/>
        <v>0</v>
      </c>
      <c r="CR31" s="498">
        <f t="shared" si="51"/>
        <v>0</v>
      </c>
      <c r="CS31" s="498">
        <f t="shared" si="52"/>
        <v>0</v>
      </c>
      <c r="CT31" s="498">
        <f t="shared" si="53"/>
        <v>114.10999999999999</v>
      </c>
      <c r="CU31" s="498">
        <f t="shared" si="54"/>
        <v>2120</v>
      </c>
      <c r="CV31" s="1554"/>
      <c r="CW31" s="1195" t="s">
        <v>7020</v>
      </c>
      <c r="CX31" s="1195" t="s">
        <v>6941</v>
      </c>
      <c r="CY31" s="472"/>
      <c r="CZ31" s="514" t="s">
        <v>6195</v>
      </c>
      <c r="DA31" s="514" t="s">
        <v>6196</v>
      </c>
      <c r="DB31" s="514" t="s">
        <v>6176</v>
      </c>
      <c r="DC31" s="514" t="s">
        <v>6636</v>
      </c>
      <c r="DD31" s="472"/>
      <c r="DE31" s="472"/>
      <c r="DF31" s="472"/>
      <c r="DG31" s="472"/>
      <c r="DH31" s="472"/>
      <c r="DJ31" s="473" t="str">
        <f>VLOOKUP(X31,Hoja1!$A$4:$B$10,2,0)</f>
        <v>MAGISTER</v>
      </c>
      <c r="DK31" s="473" t="str">
        <f>VLOOKUP(S31,Hoja1!$D$4:$F$77,3,0)</f>
        <v>COORDINADOR DE ÁREA</v>
      </c>
      <c r="DL31" s="1216" t="str">
        <f t="shared" si="55"/>
        <v>0</v>
      </c>
      <c r="DM31" s="1741" t="str">
        <f t="shared" si="56"/>
        <v>M</v>
      </c>
      <c r="DN31" s="1741"/>
    </row>
    <row r="32" spans="1:118" s="478" customFormat="1" ht="21.95" customHeight="1">
      <c r="A32" s="510" t="s">
        <v>2846</v>
      </c>
      <c r="B32" s="1390">
        <f t="shared" ca="1" si="3"/>
        <v>16</v>
      </c>
      <c r="C32" s="1194">
        <v>11320533</v>
      </c>
      <c r="D32" s="1195" t="s">
        <v>4744</v>
      </c>
      <c r="E32" s="1180" t="s">
        <v>4622</v>
      </c>
      <c r="F32" s="1196">
        <v>26799</v>
      </c>
      <c r="G32" s="1180" t="s">
        <v>4620</v>
      </c>
      <c r="H32" s="1196">
        <v>37629</v>
      </c>
      <c r="I32" s="1185">
        <f t="shared" si="11"/>
        <v>22</v>
      </c>
      <c r="J32" s="1177">
        <v>0</v>
      </c>
      <c r="K32" s="1185">
        <f t="shared" si="12"/>
        <v>22</v>
      </c>
      <c r="L32" s="1191" t="s">
        <v>5540</v>
      </c>
      <c r="M32" s="1177"/>
      <c r="N32" s="1177"/>
      <c r="O32" s="1040" t="s">
        <v>3618</v>
      </c>
      <c r="P32" s="1177" t="s">
        <v>5323</v>
      </c>
      <c r="Q32" s="1391" t="str">
        <f>IFERROR(VLOOKUP(O32,CARGOS!A:E,2,0),"")</f>
        <v>65001</v>
      </c>
      <c r="R32" s="1392" t="s">
        <v>6876</v>
      </c>
      <c r="S32" s="1180" t="s">
        <v>2835</v>
      </c>
      <c r="T32" s="1150">
        <f>IFERROR(VLOOKUP(S32,'TAB EMP'!A:B,2,0),0)</f>
        <v>348</v>
      </c>
      <c r="U32" s="1151">
        <v>0</v>
      </c>
      <c r="V32" s="1150">
        <f t="shared" si="13"/>
        <v>348</v>
      </c>
      <c r="W32" s="1151">
        <f t="shared" si="14"/>
        <v>174</v>
      </c>
      <c r="X32" s="1180" t="s">
        <v>2885</v>
      </c>
      <c r="Y32" s="1180"/>
      <c r="Z32" s="1180">
        <v>1</v>
      </c>
      <c r="AA32" s="1150">
        <f>ROUND(IF(H32&lt;&gt;"",VLOOKUP(SUM(I32+J32),'CONCEPTOS Y PARAMETROS'!F:G,2,0)*V32,0),2)</f>
        <v>103.01</v>
      </c>
      <c r="AB32" s="1150">
        <f>IF(S32&lt;&gt;"",IF(M32="",'CONCEPTOS Y PARAMETROS'!$C$4,0),0)</f>
        <v>130</v>
      </c>
      <c r="AC32" s="1150">
        <f>IF(S32&lt;&gt;"",IF(M32="",'CONCEPTOS Y PARAMETROS'!$C$7*Z32,0),0)</f>
        <v>12.5</v>
      </c>
      <c r="AD32" s="1150">
        <f>IFERROR(ROUND(VLOOKUP($X32,'CONCEPTOS Y PARAMETROS'!H:I,2,0)*($V32+AA32+AB32+AC32),2),0)</f>
        <v>148.38</v>
      </c>
      <c r="AE32" s="1150">
        <f t="shared" si="15"/>
        <v>393.89</v>
      </c>
      <c r="AF32" s="1150">
        <f t="shared" si="16"/>
        <v>51.51</v>
      </c>
      <c r="AG32" s="1150">
        <f t="shared" si="17"/>
        <v>51.5</v>
      </c>
      <c r="AH32" s="1150">
        <f t="shared" si="18"/>
        <v>65</v>
      </c>
      <c r="AI32" s="1150">
        <f t="shared" si="19"/>
        <v>65</v>
      </c>
      <c r="AJ32" s="1150">
        <f t="shared" si="20"/>
        <v>74.19</v>
      </c>
      <c r="AK32" s="1150">
        <f t="shared" si="21"/>
        <v>74.19</v>
      </c>
      <c r="AL32" s="1151">
        <f t="shared" si="22"/>
        <v>203.2</v>
      </c>
      <c r="AM32" s="1151">
        <f t="shared" si="23"/>
        <v>190.69</v>
      </c>
      <c r="AN32" s="1028">
        <v>0</v>
      </c>
      <c r="AO32" s="1193">
        <f>'CONCEPTOS Y PARAMETROS'!$C$18*AN32</f>
        <v>0</v>
      </c>
      <c r="AP32" s="1028">
        <v>0</v>
      </c>
      <c r="AQ32" s="1193">
        <f>'CONCEPTOS Y PARAMETROS'!$C$21*AP32</f>
        <v>0</v>
      </c>
      <c r="AR32" s="1394">
        <v>0</v>
      </c>
      <c r="AS32" s="1394">
        <v>0</v>
      </c>
      <c r="AT32" s="1394">
        <f t="shared" si="24"/>
        <v>0</v>
      </c>
      <c r="AU32" s="1151">
        <f t="shared" si="25"/>
        <v>741.89</v>
      </c>
      <c r="AV32" s="1178">
        <v>0</v>
      </c>
      <c r="AW32" s="1151">
        <f>ROUND(IF(AV32="NOCTURN",(V32+AE32)*30%,0),2)</f>
        <v>0</v>
      </c>
      <c r="AX32" s="1150">
        <f>IF(T32&lt;&gt;"0",(ROUND(IF(A32="EMPLEADO",eval_formula('CONCEPTOS Y PARAMETROS'!$C$8,NOMINA!V32,NOMINA!$AU32,NOMINA!I32+NOMINA!J32),eval_formula('CONCEPTOS Y PARAMETROS'!$D$8,NOMINA!V32,NOMINA!$AU32,NOMINA!I32+NOMINA!J32)),2))*IF(H32&lt;&gt;"",IF(MONTH(H32)=$BR$8,IF(YEAR(H32)&lt;$BT$7,1,0),0)))</f>
        <v>5935.12</v>
      </c>
      <c r="AY32" s="1151">
        <v>180</v>
      </c>
      <c r="AZ32" s="1150">
        <f>IFERROR(VLOOKUP(AY32,'CONCEPTOS Y PARAMETROS'!Y:Z,2,0),0)</f>
        <v>150</v>
      </c>
      <c r="BA32" s="1150">
        <f t="shared" si="27"/>
        <v>5564.18</v>
      </c>
      <c r="BB32" s="1150">
        <f t="shared" si="28"/>
        <v>0</v>
      </c>
      <c r="BC32" s="1028">
        <v>0</v>
      </c>
      <c r="BD32" s="1150" t="str">
        <f t="shared" si="29"/>
        <v>0</v>
      </c>
      <c r="BE32" s="1028">
        <v>0</v>
      </c>
      <c r="BF32" s="1150">
        <f t="shared" si="30"/>
        <v>0</v>
      </c>
      <c r="BG32" s="1151">
        <v>300</v>
      </c>
      <c r="BH32" s="1151">
        <f t="shared" si="31"/>
        <v>0</v>
      </c>
      <c r="BI32" s="1151">
        <v>0</v>
      </c>
      <c r="BJ32" s="810">
        <f t="shared" si="32"/>
        <v>0</v>
      </c>
      <c r="BK32" s="1151">
        <v>0</v>
      </c>
      <c r="BL32" s="1150">
        <f t="shared" si="33"/>
        <v>27.39</v>
      </c>
      <c r="BM32" s="1150">
        <f t="shared" si="34"/>
        <v>3.42</v>
      </c>
      <c r="BN32" s="1150">
        <f t="shared" si="35"/>
        <v>7.42</v>
      </c>
      <c r="BO32" s="1150">
        <v>0</v>
      </c>
      <c r="BP32" s="1150">
        <v>1.44</v>
      </c>
      <c r="BQ32" s="1396">
        <f t="shared" si="5"/>
        <v>39.67</v>
      </c>
      <c r="BR32" s="1150">
        <f t="shared" si="36"/>
        <v>61.63</v>
      </c>
      <c r="BS32" s="1150">
        <f t="shared" si="37"/>
        <v>13.7</v>
      </c>
      <c r="BT32" s="1150">
        <f t="shared" si="38"/>
        <v>14.84</v>
      </c>
      <c r="BU32" s="1150">
        <v>0</v>
      </c>
      <c r="BV32" s="1151">
        <f t="shared" si="0"/>
        <v>90.17</v>
      </c>
      <c r="BW32" s="1155">
        <f t="shared" si="1"/>
        <v>129.84</v>
      </c>
      <c r="BX32" s="1155">
        <f t="shared" si="39"/>
        <v>1391.05</v>
      </c>
      <c r="BY32" s="1155">
        <v>0</v>
      </c>
      <c r="BZ32" s="1155">
        <f t="shared" si="40"/>
        <v>1391.05</v>
      </c>
      <c r="CA32" s="1397">
        <f>'CONCEPTOS Y PARAMETROS'!$A$102</f>
        <v>2120</v>
      </c>
      <c r="CB32" s="1155">
        <f t="shared" si="60"/>
        <v>337.53</v>
      </c>
      <c r="CC32" s="1156">
        <f t="shared" si="41"/>
        <v>6599.81</v>
      </c>
      <c r="CD32" s="514"/>
      <c r="CE32" s="514"/>
      <c r="CF32" s="521"/>
      <c r="CG32" s="511">
        <f t="shared" si="42"/>
        <v>337.53</v>
      </c>
      <c r="CH32" s="1712">
        <f t="shared" si="43"/>
        <v>300</v>
      </c>
      <c r="CI32" s="511">
        <f t="shared" si="44"/>
        <v>664.69</v>
      </c>
      <c r="CJ32" s="511">
        <f t="shared" si="45"/>
        <v>319.05</v>
      </c>
      <c r="CK32" s="511">
        <f t="shared" si="61"/>
        <v>345.64000000000004</v>
      </c>
      <c r="CL32" s="497">
        <f t="shared" si="46"/>
        <v>0</v>
      </c>
      <c r="CM32" s="497">
        <f t="shared" si="47"/>
        <v>0</v>
      </c>
      <c r="CN32" s="512">
        <f t="shared" si="48"/>
        <v>0</v>
      </c>
      <c r="CO32" s="513">
        <v>0</v>
      </c>
      <c r="CP32" s="512">
        <f t="shared" si="49"/>
        <v>0</v>
      </c>
      <c r="CQ32" s="500">
        <f t="shared" si="50"/>
        <v>0</v>
      </c>
      <c r="CR32" s="512">
        <f t="shared" si="51"/>
        <v>5935.12</v>
      </c>
      <c r="CS32" s="512">
        <f t="shared" si="52"/>
        <v>5935.12</v>
      </c>
      <c r="CT32" s="512">
        <f t="shared" si="53"/>
        <v>129.84</v>
      </c>
      <c r="CU32" s="512">
        <f t="shared" si="54"/>
        <v>2120</v>
      </c>
      <c r="CV32" s="1556"/>
      <c r="CW32" s="1195" t="s">
        <v>7113</v>
      </c>
      <c r="CX32" s="1195" t="s">
        <v>6942</v>
      </c>
      <c r="CY32" s="514"/>
      <c r="CZ32" s="514" t="s">
        <v>6225</v>
      </c>
      <c r="DA32" s="1199" t="s">
        <v>6171</v>
      </c>
      <c r="DB32" s="1199" t="s">
        <v>6457</v>
      </c>
      <c r="DC32" s="514" t="s">
        <v>6523</v>
      </c>
      <c r="DD32" s="514"/>
      <c r="DE32" s="514"/>
      <c r="DF32" s="514"/>
      <c r="DG32" s="514"/>
      <c r="DH32" s="514"/>
      <c r="DJ32" s="473" t="str">
        <f>VLOOKUP(X32,Hoja1!$A$4:$B$10,2,0)</f>
        <v>PROFESIONAL</v>
      </c>
      <c r="DK32" s="473" t="str">
        <f>VLOOKUP(S32,Hoja1!$D$4:$F$77,3,0)</f>
        <v>COORDINADOR DE ÁREA</v>
      </c>
      <c r="DL32" s="1216" t="str">
        <f t="shared" si="55"/>
        <v>0</v>
      </c>
      <c r="DM32" s="1741" t="str">
        <f t="shared" si="56"/>
        <v>F</v>
      </c>
      <c r="DN32" s="1741"/>
    </row>
    <row r="33" spans="1:118" s="473" customFormat="1" ht="21.95" customHeight="1">
      <c r="A33" s="510" t="s">
        <v>2846</v>
      </c>
      <c r="B33" s="1390">
        <f t="shared" ca="1" si="3"/>
        <v>17</v>
      </c>
      <c r="C33" s="1194">
        <v>10912595</v>
      </c>
      <c r="D33" s="1195" t="s">
        <v>4681</v>
      </c>
      <c r="E33" s="1180" t="s">
        <v>4622</v>
      </c>
      <c r="F33" s="1161">
        <v>25224</v>
      </c>
      <c r="G33" s="1180" t="s">
        <v>4621</v>
      </c>
      <c r="H33" s="1161">
        <v>36039</v>
      </c>
      <c r="I33" s="1185">
        <f t="shared" si="11"/>
        <v>26</v>
      </c>
      <c r="J33" s="1177">
        <v>0</v>
      </c>
      <c r="K33" s="1185">
        <f t="shared" si="12"/>
        <v>26</v>
      </c>
      <c r="L33" s="1191" t="s">
        <v>5541</v>
      </c>
      <c r="M33" s="1177"/>
      <c r="N33" s="1177"/>
      <c r="O33" s="1040" t="s">
        <v>3618</v>
      </c>
      <c r="P33" s="1177" t="s">
        <v>5204</v>
      </c>
      <c r="Q33" s="1391" t="str">
        <f>IFERROR(VLOOKUP(O33,CARGOS!A:E,2,0),"")</f>
        <v>65001</v>
      </c>
      <c r="R33" s="1392" t="s">
        <v>5978</v>
      </c>
      <c r="S33" s="1180" t="s">
        <v>2835</v>
      </c>
      <c r="T33" s="1150">
        <f>IFERROR(VLOOKUP(S33,'TAB EMP'!A:B,2,0),0)</f>
        <v>348</v>
      </c>
      <c r="U33" s="1151">
        <v>0</v>
      </c>
      <c r="V33" s="1150">
        <f t="shared" si="13"/>
        <v>348</v>
      </c>
      <c r="W33" s="1151">
        <f t="shared" si="14"/>
        <v>174</v>
      </c>
      <c r="X33" s="1180" t="s">
        <v>2884</v>
      </c>
      <c r="Y33" s="1180"/>
      <c r="Z33" s="1180">
        <v>0</v>
      </c>
      <c r="AA33" s="1150">
        <f>ROUND(IF(H33&lt;&gt;"",VLOOKUP(SUM(I33+J33),'CONCEPTOS Y PARAMETROS'!F:G,2,0)*V33,0),2)</f>
        <v>104.4</v>
      </c>
      <c r="AB33" s="1150">
        <f>IF(S33&lt;&gt;"",IF(M33="",'CONCEPTOS Y PARAMETROS'!$C$4,0),0)</f>
        <v>130</v>
      </c>
      <c r="AC33" s="1150">
        <f>IF(S33&lt;&gt;"",IF(M33="",'CONCEPTOS Y PARAMETROS'!$C$7*Z33,0),0)</f>
        <v>0</v>
      </c>
      <c r="AD33" s="1150">
        <f>IFERROR(ROUND(VLOOKUP($X33,'CONCEPTOS Y PARAMETROS'!H:I,2,0)*($V33+AA33+AB33+AC33),2),0)</f>
        <v>0</v>
      </c>
      <c r="AE33" s="1150">
        <f t="shared" si="15"/>
        <v>234.4</v>
      </c>
      <c r="AF33" s="1150">
        <f t="shared" si="16"/>
        <v>52.2</v>
      </c>
      <c r="AG33" s="1150">
        <f t="shared" si="17"/>
        <v>52.2</v>
      </c>
      <c r="AH33" s="1150">
        <f t="shared" si="18"/>
        <v>65</v>
      </c>
      <c r="AI33" s="1150">
        <f t="shared" si="19"/>
        <v>65</v>
      </c>
      <c r="AJ33" s="1150">
        <f t="shared" si="20"/>
        <v>0</v>
      </c>
      <c r="AK33" s="1150">
        <f t="shared" si="21"/>
        <v>0</v>
      </c>
      <c r="AL33" s="1151">
        <f t="shared" si="22"/>
        <v>117.2</v>
      </c>
      <c r="AM33" s="1151">
        <f t="shared" si="23"/>
        <v>117.2</v>
      </c>
      <c r="AN33" s="1028">
        <v>0</v>
      </c>
      <c r="AO33" s="1193">
        <f>'CONCEPTOS Y PARAMETROS'!$C$18*AN33</f>
        <v>0</v>
      </c>
      <c r="AP33" s="1028">
        <v>0</v>
      </c>
      <c r="AQ33" s="1193">
        <f>'CONCEPTOS Y PARAMETROS'!$C$21*AP33</f>
        <v>0</v>
      </c>
      <c r="AR33" s="1394">
        <v>0</v>
      </c>
      <c r="AS33" s="1394">
        <v>0</v>
      </c>
      <c r="AT33" s="1394">
        <f t="shared" si="24"/>
        <v>0</v>
      </c>
      <c r="AU33" s="1151">
        <f t="shared" si="25"/>
        <v>582.4</v>
      </c>
      <c r="AV33" s="1178">
        <v>0</v>
      </c>
      <c r="AW33" s="1151">
        <f t="shared" ref="AW33:AW40" si="85">ROUND(IF(O33="VIGILANTE",(V33+AE33)*30%,0),2)</f>
        <v>0</v>
      </c>
      <c r="AX33" s="1150">
        <f>IF(T33&lt;&gt;"0",(ROUND(IF(A33="EMPLEADO",eval_formula('CONCEPTOS Y PARAMETROS'!$C$8,NOMINA!V33,NOMINA!$AU33,NOMINA!I33+NOMINA!J33),eval_formula('CONCEPTOS Y PARAMETROS'!$D$8,NOMINA!V33,NOMINA!$AU33,NOMINA!I33+NOMINA!J33)),2))*IF(H33&lt;&gt;"",IF(MONTH(H33)=$BR$8,IF(YEAR(H33)&lt;$BT$7,1,0),0)))</f>
        <v>0</v>
      </c>
      <c r="AY33" s="1151">
        <v>180</v>
      </c>
      <c r="AZ33" s="1150">
        <f>IFERROR(VLOOKUP(AY33,'CONCEPTOS Y PARAMETROS'!Y:Z,2,0),0)</f>
        <v>150</v>
      </c>
      <c r="BA33" s="1150">
        <f t="shared" si="27"/>
        <v>4368</v>
      </c>
      <c r="BB33" s="1150">
        <f t="shared" si="28"/>
        <v>0</v>
      </c>
      <c r="BC33" s="1028">
        <v>0</v>
      </c>
      <c r="BD33" s="1150" t="str">
        <f t="shared" si="29"/>
        <v>0</v>
      </c>
      <c r="BE33" s="1028">
        <v>0</v>
      </c>
      <c r="BF33" s="1150">
        <f t="shared" si="30"/>
        <v>0</v>
      </c>
      <c r="BG33" s="1151">
        <v>300</v>
      </c>
      <c r="BH33" s="1151">
        <f t="shared" si="31"/>
        <v>0</v>
      </c>
      <c r="BI33" s="1151">
        <v>0</v>
      </c>
      <c r="BJ33" s="810">
        <f t="shared" si="32"/>
        <v>0</v>
      </c>
      <c r="BK33" s="1151">
        <v>0</v>
      </c>
      <c r="BL33" s="1150">
        <f t="shared" si="33"/>
        <v>21.5</v>
      </c>
      <c r="BM33" s="1150">
        <f t="shared" si="34"/>
        <v>2.69</v>
      </c>
      <c r="BN33" s="1150">
        <f t="shared" si="35"/>
        <v>5.82</v>
      </c>
      <c r="BO33" s="1150">
        <v>0</v>
      </c>
      <c r="BP33" s="1150">
        <v>0</v>
      </c>
      <c r="BQ33" s="1396">
        <f t="shared" si="5"/>
        <v>30.01</v>
      </c>
      <c r="BR33" s="1150">
        <f t="shared" si="36"/>
        <v>48.38</v>
      </c>
      <c r="BS33" s="1150">
        <f t="shared" si="37"/>
        <v>10.75</v>
      </c>
      <c r="BT33" s="1150">
        <f t="shared" si="38"/>
        <v>11.64</v>
      </c>
      <c r="BU33" s="1150">
        <v>0</v>
      </c>
      <c r="BV33" s="1151">
        <f t="shared" si="0"/>
        <v>70.77</v>
      </c>
      <c r="BW33" s="1155">
        <f t="shared" si="1"/>
        <v>100.78</v>
      </c>
      <c r="BX33" s="1155">
        <f t="shared" si="39"/>
        <v>1092</v>
      </c>
      <c r="BY33" s="1155">
        <v>0</v>
      </c>
      <c r="BZ33" s="1155">
        <f t="shared" si="40"/>
        <v>1092</v>
      </c>
      <c r="CA33" s="1397">
        <f>'CONCEPTOS Y PARAMETROS'!$A$102</f>
        <v>2120</v>
      </c>
      <c r="CB33" s="1155">
        <f t="shared" si="60"/>
        <v>261.19</v>
      </c>
      <c r="CC33" s="1156">
        <f t="shared" si="41"/>
        <v>591.20000000000005</v>
      </c>
      <c r="CD33" s="514"/>
      <c r="CE33" s="514"/>
      <c r="CG33" s="497">
        <f t="shared" si="42"/>
        <v>261.19</v>
      </c>
      <c r="CH33" s="1711">
        <f t="shared" si="43"/>
        <v>300</v>
      </c>
      <c r="CI33" s="497">
        <f t="shared" si="44"/>
        <v>591.20000000000005</v>
      </c>
      <c r="CJ33" s="497">
        <f t="shared" si="45"/>
        <v>283.77999999999997</v>
      </c>
      <c r="CK33" s="497">
        <f t="shared" si="61"/>
        <v>307.42000000000007</v>
      </c>
      <c r="CL33" s="497">
        <f t="shared" si="46"/>
        <v>0</v>
      </c>
      <c r="CM33" s="497">
        <f t="shared" si="47"/>
        <v>0</v>
      </c>
      <c r="CN33" s="498">
        <f t="shared" si="48"/>
        <v>0</v>
      </c>
      <c r="CO33" s="499">
        <v>0</v>
      </c>
      <c r="CP33" s="498">
        <f t="shared" si="49"/>
        <v>0</v>
      </c>
      <c r="CQ33" s="500">
        <f t="shared" si="50"/>
        <v>0</v>
      </c>
      <c r="CR33" s="498">
        <f t="shared" si="51"/>
        <v>0</v>
      </c>
      <c r="CS33" s="498">
        <f t="shared" si="52"/>
        <v>0</v>
      </c>
      <c r="CT33" s="498">
        <f t="shared" si="53"/>
        <v>100.78</v>
      </c>
      <c r="CU33" s="498">
        <f t="shared" si="54"/>
        <v>2120</v>
      </c>
      <c r="CV33" s="1554"/>
      <c r="CW33" s="1195" t="s">
        <v>6943</v>
      </c>
      <c r="CX33" s="1195" t="s">
        <v>6944</v>
      </c>
      <c r="CY33" s="472"/>
      <c r="CZ33" s="514" t="s">
        <v>6201</v>
      </c>
      <c r="DA33" s="514" t="s">
        <v>6173</v>
      </c>
      <c r="DB33" s="514" t="s">
        <v>6202</v>
      </c>
      <c r="DC33" s="514" t="s">
        <v>6617</v>
      </c>
      <c r="DD33" s="472"/>
      <c r="DE33" s="472"/>
      <c r="DF33" s="472"/>
      <c r="DG33" s="472"/>
      <c r="DH33" s="472"/>
      <c r="DJ33" s="473" t="str">
        <f>VLOOKUP(X33,Hoja1!$A$4:$B$10,2,0)</f>
        <v>BACHILLER</v>
      </c>
      <c r="DK33" s="473" t="str">
        <f>VLOOKUP(S33,Hoja1!$D$4:$F$77,3,0)</f>
        <v>COORDINADOR DE ÁREA</v>
      </c>
      <c r="DL33" s="1216" t="str">
        <f t="shared" si="55"/>
        <v>0</v>
      </c>
      <c r="DM33" s="1741" t="str">
        <f t="shared" si="56"/>
        <v>M</v>
      </c>
      <c r="DN33" s="1741"/>
    </row>
    <row r="34" spans="1:118" s="473" customFormat="1" ht="21.95" customHeight="1">
      <c r="A34" s="510" t="s">
        <v>2846</v>
      </c>
      <c r="B34" s="1390">
        <f t="shared" ca="1" si="3"/>
        <v>18</v>
      </c>
      <c r="C34" s="1194">
        <v>4306476</v>
      </c>
      <c r="D34" s="1195" t="s">
        <v>6637</v>
      </c>
      <c r="E34" s="1180" t="s">
        <v>4622</v>
      </c>
      <c r="F34" s="1161">
        <v>20781</v>
      </c>
      <c r="G34" s="1180" t="s">
        <v>4620</v>
      </c>
      <c r="H34" s="1161">
        <v>44409</v>
      </c>
      <c r="I34" s="1185">
        <f t="shared" si="11"/>
        <v>3</v>
      </c>
      <c r="J34" s="1177">
        <f>9*0+25</f>
        <v>25</v>
      </c>
      <c r="K34" s="1185">
        <f t="shared" si="12"/>
        <v>28</v>
      </c>
      <c r="L34" s="1191" t="s">
        <v>5542</v>
      </c>
      <c r="M34" s="1177"/>
      <c r="N34" s="1177"/>
      <c r="O34" s="1040" t="s">
        <v>3618</v>
      </c>
      <c r="P34" s="1177" t="s">
        <v>5205</v>
      </c>
      <c r="Q34" s="1391" t="str">
        <f>IFERROR(VLOOKUP(O34,CARGOS!A:E,2,0),"")</f>
        <v>65001</v>
      </c>
      <c r="R34" s="1403" t="s">
        <v>5050</v>
      </c>
      <c r="S34" s="1180" t="s">
        <v>2835</v>
      </c>
      <c r="T34" s="1150">
        <f>IFERROR(VLOOKUP(S34,'TAB EMP'!A:B,2,0),0)</f>
        <v>348</v>
      </c>
      <c r="U34" s="1151">
        <v>0</v>
      </c>
      <c r="V34" s="1150">
        <f t="shared" si="13"/>
        <v>348</v>
      </c>
      <c r="W34" s="1151">
        <f t="shared" si="14"/>
        <v>174</v>
      </c>
      <c r="X34" s="1180" t="s">
        <v>2887</v>
      </c>
      <c r="Y34" s="1180"/>
      <c r="Z34" s="1180">
        <v>0</v>
      </c>
      <c r="AA34" s="1150">
        <f>ROUND(IF(H34&lt;&gt;"",VLOOKUP(SUM(I34+J34),'CONCEPTOS Y PARAMETROS'!F:G,2,0)*V34,0),2)</f>
        <v>104.4</v>
      </c>
      <c r="AB34" s="1150">
        <f>IF(S34&lt;&gt;"",IF(M34="",'CONCEPTOS Y PARAMETROS'!$C$4,0),0)</f>
        <v>130</v>
      </c>
      <c r="AC34" s="1150">
        <f>IF(S34&lt;&gt;"",IF(M34="",'CONCEPTOS Y PARAMETROS'!$C$7*Z34,0),0)</f>
        <v>0</v>
      </c>
      <c r="AD34" s="1150">
        <f>IFERROR(ROUND(VLOOKUP($X34,'CONCEPTOS Y PARAMETROS'!H:I,2,0)*($V34+AA34+AB34+AC34),2),0)</f>
        <v>203.84</v>
      </c>
      <c r="AE34" s="1150">
        <f t="shared" si="15"/>
        <v>438.24</v>
      </c>
      <c r="AF34" s="1150">
        <f t="shared" si="16"/>
        <v>52.2</v>
      </c>
      <c r="AG34" s="1150">
        <f t="shared" si="17"/>
        <v>52.2</v>
      </c>
      <c r="AH34" s="1150">
        <f t="shared" si="18"/>
        <v>65</v>
      </c>
      <c r="AI34" s="1150">
        <f t="shared" si="19"/>
        <v>65</v>
      </c>
      <c r="AJ34" s="1150">
        <f t="shared" si="20"/>
        <v>101.92</v>
      </c>
      <c r="AK34" s="1150">
        <f t="shared" si="21"/>
        <v>101.92</v>
      </c>
      <c r="AL34" s="1151">
        <f t="shared" si="22"/>
        <v>219.12</v>
      </c>
      <c r="AM34" s="1151">
        <f t="shared" si="23"/>
        <v>219.12</v>
      </c>
      <c r="AN34" s="1028">
        <v>0</v>
      </c>
      <c r="AO34" s="1193">
        <f>'CONCEPTOS Y PARAMETROS'!$C$18*AN34</f>
        <v>0</v>
      </c>
      <c r="AP34" s="1028">
        <v>0</v>
      </c>
      <c r="AQ34" s="1193">
        <f>'CONCEPTOS Y PARAMETROS'!$C$21*AP34</f>
        <v>0</v>
      </c>
      <c r="AR34" s="1394">
        <v>0</v>
      </c>
      <c r="AS34" s="1394">
        <v>0</v>
      </c>
      <c r="AT34" s="1394">
        <f t="shared" si="24"/>
        <v>0</v>
      </c>
      <c r="AU34" s="1151">
        <f t="shared" si="25"/>
        <v>786.24</v>
      </c>
      <c r="AV34" s="1178">
        <v>0</v>
      </c>
      <c r="AW34" s="1151">
        <f t="shared" si="85"/>
        <v>0</v>
      </c>
      <c r="AX34" s="1150">
        <f>IF(T34&lt;&gt;"0",(ROUND(IF(A34="EMPLEADO",eval_formula('CONCEPTOS Y PARAMETROS'!$C$8,NOMINA!V34,NOMINA!$AU34,NOMINA!I34+NOMINA!J34),eval_formula('CONCEPTOS Y PARAMETROS'!$D$8,NOMINA!V34,NOMINA!$AU34,NOMINA!I34+NOMINA!J34)),2))*IF(H34&lt;&gt;"",IF(MONTH(H34)=$BR$8,IF(YEAR(H34)&lt;$BT$7,1,0),0)))</f>
        <v>0</v>
      </c>
      <c r="AY34" s="1151">
        <v>180</v>
      </c>
      <c r="AZ34" s="1150">
        <f>IFERROR(VLOOKUP(AY34,'CONCEPTOS Y PARAMETROS'!Y:Z,2,0),0)</f>
        <v>150</v>
      </c>
      <c r="BA34" s="1150">
        <f t="shared" si="27"/>
        <v>5896.8</v>
      </c>
      <c r="BB34" s="1150">
        <f t="shared" si="28"/>
        <v>0</v>
      </c>
      <c r="BC34" s="1028">
        <v>0</v>
      </c>
      <c r="BD34" s="1150" t="str">
        <f t="shared" si="29"/>
        <v>0</v>
      </c>
      <c r="BE34" s="1028">
        <v>0</v>
      </c>
      <c r="BF34" s="1150">
        <f t="shared" si="30"/>
        <v>0</v>
      </c>
      <c r="BG34" s="1151">
        <v>300</v>
      </c>
      <c r="BH34" s="1151">
        <f t="shared" si="31"/>
        <v>0</v>
      </c>
      <c r="BI34" s="1151">
        <v>0</v>
      </c>
      <c r="BJ34" s="810">
        <f t="shared" si="32"/>
        <v>0</v>
      </c>
      <c r="BK34" s="1151">
        <v>0</v>
      </c>
      <c r="BL34" s="1150">
        <f t="shared" si="33"/>
        <v>29.03</v>
      </c>
      <c r="BM34" s="1150">
        <f t="shared" si="34"/>
        <v>3.63</v>
      </c>
      <c r="BN34" s="1150">
        <f t="shared" si="35"/>
        <v>7.86</v>
      </c>
      <c r="BO34" s="1150">
        <v>0</v>
      </c>
      <c r="BP34" s="1150">
        <v>0</v>
      </c>
      <c r="BQ34" s="1396">
        <f t="shared" si="5"/>
        <v>40.520000000000003</v>
      </c>
      <c r="BR34" s="1150">
        <f t="shared" si="36"/>
        <v>65.319999999999993</v>
      </c>
      <c r="BS34" s="1150">
        <f t="shared" si="37"/>
        <v>14.52</v>
      </c>
      <c r="BT34" s="1150">
        <f t="shared" si="38"/>
        <v>15.72</v>
      </c>
      <c r="BU34" s="1150">
        <v>0</v>
      </c>
      <c r="BV34" s="1151">
        <f t="shared" si="0"/>
        <v>95.56</v>
      </c>
      <c r="BW34" s="1155">
        <f t="shared" si="1"/>
        <v>136.08000000000001</v>
      </c>
      <c r="BX34" s="1155">
        <f t="shared" si="39"/>
        <v>1474.2</v>
      </c>
      <c r="BY34" s="1155">
        <v>0</v>
      </c>
      <c r="BZ34" s="1155">
        <f t="shared" si="40"/>
        <v>1474.2</v>
      </c>
      <c r="CA34" s="1397">
        <f>'CONCEPTOS Y PARAMETROS'!$A$102</f>
        <v>2120</v>
      </c>
      <c r="CB34" s="1155">
        <f t="shared" si="60"/>
        <v>352.6</v>
      </c>
      <c r="CC34" s="1156">
        <f t="shared" si="41"/>
        <v>693.12</v>
      </c>
      <c r="CD34" s="514"/>
      <c r="CE34" s="514"/>
      <c r="CG34" s="497">
        <f t="shared" si="42"/>
        <v>352.6</v>
      </c>
      <c r="CH34" s="1711">
        <f t="shared" si="43"/>
        <v>300</v>
      </c>
      <c r="CI34" s="497">
        <f t="shared" si="44"/>
        <v>693.12</v>
      </c>
      <c r="CJ34" s="497">
        <f t="shared" si="45"/>
        <v>332.7</v>
      </c>
      <c r="CK34" s="497">
        <f t="shared" si="61"/>
        <v>360.42</v>
      </c>
      <c r="CL34" s="497">
        <f t="shared" si="46"/>
        <v>0</v>
      </c>
      <c r="CM34" s="497">
        <f t="shared" si="47"/>
        <v>0</v>
      </c>
      <c r="CN34" s="498">
        <f t="shared" si="48"/>
        <v>0</v>
      </c>
      <c r="CO34" s="499">
        <v>0</v>
      </c>
      <c r="CP34" s="498">
        <f t="shared" si="49"/>
        <v>0</v>
      </c>
      <c r="CQ34" s="500">
        <f t="shared" si="50"/>
        <v>0</v>
      </c>
      <c r="CR34" s="498">
        <f t="shared" si="51"/>
        <v>0</v>
      </c>
      <c r="CS34" s="498">
        <f t="shared" si="52"/>
        <v>0</v>
      </c>
      <c r="CT34" s="498">
        <f t="shared" si="53"/>
        <v>136.08000000000001</v>
      </c>
      <c r="CU34" s="498">
        <f t="shared" si="54"/>
        <v>2120</v>
      </c>
      <c r="CV34" s="1554"/>
      <c r="CW34" s="1195" t="s">
        <v>6945</v>
      </c>
      <c r="CX34" s="1195" t="s">
        <v>7218</v>
      </c>
      <c r="CY34" s="472"/>
      <c r="CZ34" s="514" t="s">
        <v>6210</v>
      </c>
      <c r="DA34" s="514" t="s">
        <v>6173</v>
      </c>
      <c r="DB34" s="514" t="s">
        <v>6202</v>
      </c>
      <c r="DC34" s="514" t="s">
        <v>6211</v>
      </c>
      <c r="DD34" s="472"/>
      <c r="DE34" s="472"/>
      <c r="DF34" s="472"/>
      <c r="DG34" s="472"/>
      <c r="DH34" s="472"/>
      <c r="DJ34" s="473" t="str">
        <f>VLOOKUP(X34,Hoja1!$A$4:$B$10,2,0)</f>
        <v>MAGISTER</v>
      </c>
      <c r="DK34" s="473" t="str">
        <f>VLOOKUP(S34,Hoja1!$D$4:$F$77,3,0)</f>
        <v>COORDINADOR DE ÁREA</v>
      </c>
      <c r="DL34" s="1216" t="str">
        <f t="shared" si="55"/>
        <v>0</v>
      </c>
      <c r="DM34" s="1741" t="str">
        <f t="shared" si="56"/>
        <v>F</v>
      </c>
      <c r="DN34" s="1741"/>
    </row>
    <row r="35" spans="1:118" s="473" customFormat="1" ht="21.95" customHeight="1">
      <c r="A35" s="510" t="s">
        <v>2846</v>
      </c>
      <c r="B35" s="1390">
        <f t="shared" ca="1" si="3"/>
        <v>19</v>
      </c>
      <c r="C35" s="1194">
        <v>13568733</v>
      </c>
      <c r="D35" s="1195" t="s">
        <v>4685</v>
      </c>
      <c r="E35" s="1180" t="s">
        <v>4622</v>
      </c>
      <c r="F35" s="1161">
        <v>28384</v>
      </c>
      <c r="G35" s="1180" t="s">
        <v>4620</v>
      </c>
      <c r="H35" s="1161">
        <v>44805</v>
      </c>
      <c r="I35" s="1185">
        <f t="shared" si="11"/>
        <v>2</v>
      </c>
      <c r="J35" s="1177">
        <v>0</v>
      </c>
      <c r="K35" s="1185">
        <f t="shared" si="12"/>
        <v>2</v>
      </c>
      <c r="L35" s="1191" t="s">
        <v>5543</v>
      </c>
      <c r="M35" s="1177"/>
      <c r="N35" s="1177"/>
      <c r="O35" s="1040" t="s">
        <v>3618</v>
      </c>
      <c r="P35" s="1177" t="s">
        <v>5206</v>
      </c>
      <c r="Q35" s="1391" t="str">
        <f>IFERROR(VLOOKUP(O35,CARGOS!A:E,2,0),"")</f>
        <v>65001</v>
      </c>
      <c r="R35" s="1403" t="s">
        <v>5050</v>
      </c>
      <c r="S35" s="1180" t="s">
        <v>2835</v>
      </c>
      <c r="T35" s="1150">
        <f>IFERROR(VLOOKUP(S35,'TAB EMP'!A:B,2,0),0)</f>
        <v>348</v>
      </c>
      <c r="U35" s="1151">
        <v>0</v>
      </c>
      <c r="V35" s="1150">
        <f t="shared" si="13"/>
        <v>348</v>
      </c>
      <c r="W35" s="1151">
        <f t="shared" si="14"/>
        <v>174</v>
      </c>
      <c r="X35" s="1180" t="s">
        <v>2885</v>
      </c>
      <c r="Y35" s="1180"/>
      <c r="Z35" s="1180">
        <v>1</v>
      </c>
      <c r="AA35" s="1150">
        <f>ROUND(IF(H35&lt;&gt;"",VLOOKUP(SUM(I35+J35),'CONCEPTOS Y PARAMETROS'!F:G,2,0)*V35,0),2)</f>
        <v>6.96</v>
      </c>
      <c r="AB35" s="1150">
        <f>IF(S35&lt;&gt;"",IF(M35="",'CONCEPTOS Y PARAMETROS'!$C$4,0),0)</f>
        <v>130</v>
      </c>
      <c r="AC35" s="1150">
        <f>IF(S35&lt;&gt;"",IF(M35="",'CONCEPTOS Y PARAMETROS'!$C$7*Z35,0),0)</f>
        <v>12.5</v>
      </c>
      <c r="AD35" s="1150">
        <f>IFERROR(ROUND(VLOOKUP($X35,'CONCEPTOS Y PARAMETROS'!H:I,2,0)*($V35+AA35+AB35+AC35),2),0)</f>
        <v>124.37</v>
      </c>
      <c r="AE35" s="1150">
        <f t="shared" si="15"/>
        <v>273.83000000000004</v>
      </c>
      <c r="AF35" s="1150">
        <f t="shared" si="16"/>
        <v>3.48</v>
      </c>
      <c r="AG35" s="1150">
        <f t="shared" si="17"/>
        <v>3.48</v>
      </c>
      <c r="AH35" s="1150">
        <f t="shared" si="18"/>
        <v>65</v>
      </c>
      <c r="AI35" s="1150">
        <f t="shared" si="19"/>
        <v>65</v>
      </c>
      <c r="AJ35" s="1150">
        <f t="shared" si="20"/>
        <v>62.19</v>
      </c>
      <c r="AK35" s="1150">
        <f t="shared" si="21"/>
        <v>62.18</v>
      </c>
      <c r="AL35" s="1151">
        <f t="shared" si="22"/>
        <v>143.16999999999999</v>
      </c>
      <c r="AM35" s="1151">
        <f t="shared" si="23"/>
        <v>130.66</v>
      </c>
      <c r="AN35" s="1583">
        <v>1</v>
      </c>
      <c r="AO35" s="1193">
        <f>'CONCEPTOS Y PARAMETROS'!$C$18*AN35</f>
        <v>12.5</v>
      </c>
      <c r="AP35" s="1028">
        <v>0</v>
      </c>
      <c r="AQ35" s="1193">
        <f>'CONCEPTOS Y PARAMETROS'!$C$21*AP35</f>
        <v>0</v>
      </c>
      <c r="AR35" s="1394">
        <v>0</v>
      </c>
      <c r="AS35" s="1394">
        <v>0</v>
      </c>
      <c r="AT35" s="1394">
        <f t="shared" si="24"/>
        <v>12.5</v>
      </c>
      <c r="AU35" s="1151">
        <f t="shared" si="25"/>
        <v>621.83000000000004</v>
      </c>
      <c r="AV35" s="1178">
        <v>0</v>
      </c>
      <c r="AW35" s="1151">
        <f t="shared" si="85"/>
        <v>0</v>
      </c>
      <c r="AX35" s="1150">
        <f>IF(T35&lt;&gt;"0",(ROUND(IF(A35="EMPLEADO",eval_formula('CONCEPTOS Y PARAMETROS'!$C$8,NOMINA!V35,NOMINA!$AU35,NOMINA!I35+NOMINA!J35),eval_formula('CONCEPTOS Y PARAMETROS'!$D$8,NOMINA!V35,NOMINA!$AU35,NOMINA!I35+NOMINA!J35)),2))*IF(H35&lt;&gt;"",IF(MONTH(H35)=$BR$8,IF(YEAR(H35)&lt;$BT$7,1,0),0)))</f>
        <v>0</v>
      </c>
      <c r="AY35" s="1151">
        <v>180</v>
      </c>
      <c r="AZ35" s="1150">
        <f>IFERROR(VLOOKUP(AY35,'CONCEPTOS Y PARAMETROS'!Y:Z,2,0),0)</f>
        <v>150</v>
      </c>
      <c r="BA35" s="1150">
        <f t="shared" si="27"/>
        <v>4663.7299999999996</v>
      </c>
      <c r="BB35" s="1150">
        <f t="shared" si="28"/>
        <v>0</v>
      </c>
      <c r="BC35" s="1028">
        <v>0</v>
      </c>
      <c r="BD35" s="1150" t="str">
        <f t="shared" si="29"/>
        <v>0</v>
      </c>
      <c r="BE35" s="1028">
        <v>0</v>
      </c>
      <c r="BF35" s="1150">
        <f t="shared" si="30"/>
        <v>0</v>
      </c>
      <c r="BG35" s="1151">
        <v>300</v>
      </c>
      <c r="BH35" s="1151">
        <f t="shared" si="31"/>
        <v>0</v>
      </c>
      <c r="BI35" s="1151">
        <v>0</v>
      </c>
      <c r="BJ35" s="810">
        <f t="shared" si="32"/>
        <v>0</v>
      </c>
      <c r="BK35" s="1151">
        <v>0</v>
      </c>
      <c r="BL35" s="1150">
        <f t="shared" si="33"/>
        <v>22.96</v>
      </c>
      <c r="BM35" s="1150">
        <f t="shared" si="34"/>
        <v>2.87</v>
      </c>
      <c r="BN35" s="1150">
        <f t="shared" si="35"/>
        <v>6.22</v>
      </c>
      <c r="BO35" s="1150">
        <v>0</v>
      </c>
      <c r="BP35" s="1150">
        <v>0</v>
      </c>
      <c r="BQ35" s="1396">
        <f t="shared" si="5"/>
        <v>32.049999999999997</v>
      </c>
      <c r="BR35" s="1150">
        <f t="shared" si="36"/>
        <v>51.66</v>
      </c>
      <c r="BS35" s="1150">
        <f t="shared" si="37"/>
        <v>11.48</v>
      </c>
      <c r="BT35" s="1150">
        <f t="shared" si="38"/>
        <v>12.44</v>
      </c>
      <c r="BU35" s="1150">
        <v>0</v>
      </c>
      <c r="BV35" s="1151">
        <f t="shared" si="0"/>
        <v>75.58</v>
      </c>
      <c r="BW35" s="1155">
        <f t="shared" si="1"/>
        <v>107.63</v>
      </c>
      <c r="BX35" s="1155">
        <f t="shared" si="39"/>
        <v>1165.93</v>
      </c>
      <c r="BY35" s="1155">
        <v>0</v>
      </c>
      <c r="BZ35" s="1155">
        <f t="shared" si="40"/>
        <v>1165.93</v>
      </c>
      <c r="CA35" s="1397">
        <f>'CONCEPTOS Y PARAMETROS'!$A$102</f>
        <v>2120</v>
      </c>
      <c r="CB35" s="1155">
        <f t="shared" si="60"/>
        <v>285.11999999999995</v>
      </c>
      <c r="CC35" s="1156">
        <f t="shared" si="41"/>
        <v>617.16</v>
      </c>
      <c r="CD35" s="514"/>
      <c r="CE35" s="514"/>
      <c r="CG35" s="497">
        <f t="shared" si="42"/>
        <v>285.11999999999995</v>
      </c>
      <c r="CH35" s="1711">
        <f t="shared" si="43"/>
        <v>300</v>
      </c>
      <c r="CI35" s="497">
        <f t="shared" si="44"/>
        <v>604.66</v>
      </c>
      <c r="CJ35" s="497">
        <f t="shared" si="45"/>
        <v>290.24</v>
      </c>
      <c r="CK35" s="497">
        <f t="shared" si="61"/>
        <v>314.41999999999996</v>
      </c>
      <c r="CL35" s="497">
        <f t="shared" si="46"/>
        <v>0</v>
      </c>
      <c r="CM35" s="497">
        <f t="shared" si="47"/>
        <v>0</v>
      </c>
      <c r="CN35" s="498">
        <f t="shared" si="48"/>
        <v>0</v>
      </c>
      <c r="CO35" s="499">
        <v>0</v>
      </c>
      <c r="CP35" s="498">
        <f t="shared" si="49"/>
        <v>0</v>
      </c>
      <c r="CQ35" s="500">
        <f t="shared" si="50"/>
        <v>12.5</v>
      </c>
      <c r="CR35" s="498">
        <f t="shared" si="51"/>
        <v>0</v>
      </c>
      <c r="CS35" s="498">
        <f t="shared" si="52"/>
        <v>12.5</v>
      </c>
      <c r="CT35" s="498">
        <f t="shared" si="53"/>
        <v>107.63</v>
      </c>
      <c r="CU35" s="498">
        <f t="shared" si="54"/>
        <v>2120</v>
      </c>
      <c r="CV35" s="1554"/>
      <c r="CW35" s="1195" t="s">
        <v>7184</v>
      </c>
      <c r="CX35" s="1195" t="s">
        <v>7219</v>
      </c>
      <c r="CY35" s="472"/>
      <c r="CZ35" s="514" t="s">
        <v>6215</v>
      </c>
      <c r="DA35" s="514" t="s">
        <v>6216</v>
      </c>
      <c r="DB35" s="514" t="s">
        <v>6216</v>
      </c>
      <c r="DC35" s="514" t="s">
        <v>6217</v>
      </c>
      <c r="DD35" s="472"/>
      <c r="DE35" s="472"/>
      <c r="DF35" s="472"/>
      <c r="DG35" s="472"/>
      <c r="DH35" s="472"/>
      <c r="DJ35" s="473" t="str">
        <f>VLOOKUP(X35,Hoja1!$A$4:$B$10,2,0)</f>
        <v>PROFESIONAL</v>
      </c>
      <c r="DK35" s="473" t="str">
        <f>VLOOKUP(S35,Hoja1!$D$4:$F$77,3,0)</f>
        <v>COORDINADOR DE ÁREA</v>
      </c>
      <c r="DL35" s="1216" t="str">
        <f t="shared" si="55"/>
        <v>0</v>
      </c>
      <c r="DM35" s="1741" t="str">
        <f t="shared" si="56"/>
        <v>F</v>
      </c>
      <c r="DN35" s="1741"/>
    </row>
    <row r="36" spans="1:118" s="478" customFormat="1" ht="21.95" customHeight="1">
      <c r="A36" s="510" t="s">
        <v>2846</v>
      </c>
      <c r="B36" s="1390">
        <f t="shared" ca="1" si="3"/>
        <v>20</v>
      </c>
      <c r="C36" s="1194">
        <v>20790947</v>
      </c>
      <c r="D36" s="1195" t="s">
        <v>4686</v>
      </c>
      <c r="E36" s="1180" t="s">
        <v>4622</v>
      </c>
      <c r="F36" s="1161">
        <v>33464</v>
      </c>
      <c r="G36" s="1180" t="s">
        <v>4620</v>
      </c>
      <c r="H36" s="1161">
        <v>43967</v>
      </c>
      <c r="I36" s="1185">
        <f t="shared" si="11"/>
        <v>4</v>
      </c>
      <c r="J36" s="1177">
        <v>0</v>
      </c>
      <c r="K36" s="1185">
        <f t="shared" si="12"/>
        <v>4</v>
      </c>
      <c r="L36" s="1191" t="s">
        <v>5544</v>
      </c>
      <c r="M36" s="1177"/>
      <c r="N36" s="1177"/>
      <c r="O36" s="1040" t="s">
        <v>3618</v>
      </c>
      <c r="P36" s="1177" t="s">
        <v>5207</v>
      </c>
      <c r="Q36" s="1391" t="str">
        <f>IFERROR(VLOOKUP(O36,CARGOS!A:E,2,0),"")</f>
        <v>65001</v>
      </c>
      <c r="R36" s="1392" t="s">
        <v>7440</v>
      </c>
      <c r="S36" s="1180" t="s">
        <v>2835</v>
      </c>
      <c r="T36" s="1150">
        <f>IFERROR(VLOOKUP(S36,'TAB EMP'!A:B,2,0),0)</f>
        <v>348</v>
      </c>
      <c r="U36" s="1151">
        <v>0</v>
      </c>
      <c r="V36" s="1150">
        <f t="shared" si="13"/>
        <v>348</v>
      </c>
      <c r="W36" s="1151">
        <f t="shared" si="14"/>
        <v>174</v>
      </c>
      <c r="X36" s="1180" t="s">
        <v>2885</v>
      </c>
      <c r="Y36" s="1180"/>
      <c r="Z36" s="1180">
        <v>1</v>
      </c>
      <c r="AA36" s="1150">
        <f>ROUND(IF(H36&lt;&gt;"",VLOOKUP(SUM(I36+J36),'CONCEPTOS Y PARAMETROS'!F:G,2,0)*V36,0),2)</f>
        <v>13.92</v>
      </c>
      <c r="AB36" s="1150">
        <f>IF(S36&lt;&gt;"",IF(M36="",'CONCEPTOS Y PARAMETROS'!$C$4,0),0)</f>
        <v>130</v>
      </c>
      <c r="AC36" s="1150">
        <f>IF(S36&lt;&gt;"",IF(M36="",'CONCEPTOS Y PARAMETROS'!$C$7*Z36,0),0)</f>
        <v>12.5</v>
      </c>
      <c r="AD36" s="1150">
        <f>IFERROR(ROUND(VLOOKUP($X36,'CONCEPTOS Y PARAMETROS'!H:I,2,0)*($V36+AA36+AB36+AC36),2),0)</f>
        <v>126.11</v>
      </c>
      <c r="AE36" s="1150">
        <f t="shared" si="15"/>
        <v>282.52999999999997</v>
      </c>
      <c r="AF36" s="1150">
        <f t="shared" si="16"/>
        <v>6.96</v>
      </c>
      <c r="AG36" s="1150">
        <f t="shared" si="17"/>
        <v>6.96</v>
      </c>
      <c r="AH36" s="1150">
        <f t="shared" si="18"/>
        <v>65</v>
      </c>
      <c r="AI36" s="1150">
        <f t="shared" si="19"/>
        <v>65</v>
      </c>
      <c r="AJ36" s="1150">
        <f t="shared" si="20"/>
        <v>63.06</v>
      </c>
      <c r="AK36" s="1150">
        <f t="shared" si="21"/>
        <v>63.05</v>
      </c>
      <c r="AL36" s="1151">
        <f t="shared" si="22"/>
        <v>147.52000000000001</v>
      </c>
      <c r="AM36" s="1151">
        <f t="shared" si="23"/>
        <v>135.01</v>
      </c>
      <c r="AN36" s="1583">
        <v>1</v>
      </c>
      <c r="AO36" s="1193">
        <f>'CONCEPTOS Y PARAMETROS'!$C$18*AN36</f>
        <v>12.5</v>
      </c>
      <c r="AP36" s="1028">
        <v>0</v>
      </c>
      <c r="AQ36" s="1193">
        <f>'CONCEPTOS Y PARAMETROS'!$C$21*AP36</f>
        <v>0</v>
      </c>
      <c r="AR36" s="1394">
        <v>0</v>
      </c>
      <c r="AS36" s="1394">
        <v>0</v>
      </c>
      <c r="AT36" s="1394">
        <f t="shared" si="24"/>
        <v>12.5</v>
      </c>
      <c r="AU36" s="1151">
        <f t="shared" si="25"/>
        <v>630.53</v>
      </c>
      <c r="AV36" s="1178">
        <v>0</v>
      </c>
      <c r="AW36" s="1151">
        <f t="shared" si="85"/>
        <v>0</v>
      </c>
      <c r="AX36" s="1150">
        <f>IF(T36&lt;&gt;"0",(ROUND(IF(A36="EMPLEADO",eval_formula('CONCEPTOS Y PARAMETROS'!$C$8,NOMINA!V36,NOMINA!$AU36,NOMINA!I36+NOMINA!J36),eval_formula('CONCEPTOS Y PARAMETROS'!$D$8,NOMINA!V36,NOMINA!$AU36,NOMINA!I36+NOMINA!J36)),2))*IF(H36&lt;&gt;"",IF(MONTH(H36)=$BR$8,IF(YEAR(H36)&lt;$BT$7,1,0),0)))</f>
        <v>0</v>
      </c>
      <c r="AY36" s="1151">
        <v>180</v>
      </c>
      <c r="AZ36" s="1150">
        <f>IFERROR(VLOOKUP(AY36,'CONCEPTOS Y PARAMETROS'!Y:Z,2,0),0)</f>
        <v>150</v>
      </c>
      <c r="BA36" s="1150">
        <f t="shared" si="27"/>
        <v>4728.9799999999996</v>
      </c>
      <c r="BB36" s="1150">
        <f t="shared" si="28"/>
        <v>0</v>
      </c>
      <c r="BC36" s="1028">
        <v>0</v>
      </c>
      <c r="BD36" s="1150" t="str">
        <f t="shared" si="29"/>
        <v>0</v>
      </c>
      <c r="BE36" s="1028">
        <v>0</v>
      </c>
      <c r="BF36" s="1150">
        <f t="shared" si="30"/>
        <v>0</v>
      </c>
      <c r="BG36" s="1151">
        <v>300</v>
      </c>
      <c r="BH36" s="1151">
        <f t="shared" si="31"/>
        <v>0</v>
      </c>
      <c r="BI36" s="1151">
        <v>0</v>
      </c>
      <c r="BJ36" s="810">
        <f t="shared" si="32"/>
        <v>0</v>
      </c>
      <c r="BK36" s="1151">
        <v>0</v>
      </c>
      <c r="BL36" s="1150">
        <f t="shared" si="33"/>
        <v>23.28</v>
      </c>
      <c r="BM36" s="1150">
        <f t="shared" si="34"/>
        <v>2.91</v>
      </c>
      <c r="BN36" s="1150">
        <f t="shared" si="35"/>
        <v>6.31</v>
      </c>
      <c r="BO36" s="1150">
        <v>0</v>
      </c>
      <c r="BP36" s="1150">
        <v>0</v>
      </c>
      <c r="BQ36" s="1396">
        <f t="shared" si="5"/>
        <v>32.5</v>
      </c>
      <c r="BR36" s="1150">
        <f t="shared" si="36"/>
        <v>52.38</v>
      </c>
      <c r="BS36" s="1150">
        <f t="shared" si="37"/>
        <v>11.64</v>
      </c>
      <c r="BT36" s="1150">
        <f t="shared" si="38"/>
        <v>12.62</v>
      </c>
      <c r="BU36" s="1150">
        <v>0</v>
      </c>
      <c r="BV36" s="1151">
        <f t="shared" si="0"/>
        <v>76.64</v>
      </c>
      <c r="BW36" s="1155">
        <f t="shared" si="1"/>
        <v>109.14</v>
      </c>
      <c r="BX36" s="1155">
        <f t="shared" si="39"/>
        <v>1182.25</v>
      </c>
      <c r="BY36" s="1155">
        <v>0</v>
      </c>
      <c r="BZ36" s="1155">
        <f t="shared" si="40"/>
        <v>1182.25</v>
      </c>
      <c r="CA36" s="1397">
        <f>'CONCEPTOS Y PARAMETROS'!$A$102</f>
        <v>2120</v>
      </c>
      <c r="CB36" s="1155">
        <f t="shared" si="60"/>
        <v>289.02</v>
      </c>
      <c r="CC36" s="1156">
        <f t="shared" si="41"/>
        <v>621.51</v>
      </c>
      <c r="CD36" s="514"/>
      <c r="CE36" s="514"/>
      <c r="CG36" s="511">
        <f t="shared" si="42"/>
        <v>289.02</v>
      </c>
      <c r="CH36" s="1712">
        <f t="shared" si="43"/>
        <v>300</v>
      </c>
      <c r="CI36" s="511">
        <f t="shared" si="44"/>
        <v>609.01</v>
      </c>
      <c r="CJ36" s="511">
        <f t="shared" si="45"/>
        <v>292.32</v>
      </c>
      <c r="CK36" s="511">
        <f t="shared" si="61"/>
        <v>316.69</v>
      </c>
      <c r="CL36" s="511">
        <f t="shared" si="46"/>
        <v>0</v>
      </c>
      <c r="CM36" s="511">
        <f t="shared" si="47"/>
        <v>0</v>
      </c>
      <c r="CN36" s="512">
        <f t="shared" si="48"/>
        <v>0</v>
      </c>
      <c r="CO36" s="513">
        <v>0</v>
      </c>
      <c r="CP36" s="512">
        <f t="shared" si="49"/>
        <v>0</v>
      </c>
      <c r="CQ36" s="500">
        <f t="shared" si="50"/>
        <v>12.5</v>
      </c>
      <c r="CR36" s="512">
        <f t="shared" si="51"/>
        <v>0</v>
      </c>
      <c r="CS36" s="512">
        <f t="shared" si="52"/>
        <v>12.5</v>
      </c>
      <c r="CT36" s="512">
        <f t="shared" si="53"/>
        <v>109.14</v>
      </c>
      <c r="CU36" s="512">
        <f t="shared" si="54"/>
        <v>2120</v>
      </c>
      <c r="CV36" s="1556"/>
      <c r="CW36" s="1195" t="s">
        <v>7124</v>
      </c>
      <c r="CX36" s="1195" t="s">
        <v>7125</v>
      </c>
      <c r="CY36" s="514"/>
      <c r="CZ36" s="514" t="s">
        <v>6218</v>
      </c>
      <c r="DA36" s="514" t="s">
        <v>6173</v>
      </c>
      <c r="DB36" s="514" t="s">
        <v>6219</v>
      </c>
      <c r="DC36" s="514" t="s">
        <v>6571</v>
      </c>
      <c r="DD36" s="514"/>
      <c r="DE36" s="514"/>
      <c r="DF36" s="514"/>
      <c r="DG36" s="514"/>
      <c r="DH36" s="514"/>
      <c r="DJ36" s="478" t="str">
        <f>VLOOKUP(X36,Hoja1!$A$4:$B$10,2,0)</f>
        <v>PROFESIONAL</v>
      </c>
      <c r="DK36" s="478" t="str">
        <f>VLOOKUP(S36,Hoja1!$D$4:$F$77,3,0)</f>
        <v>COORDINADOR DE ÁREA</v>
      </c>
      <c r="DL36" s="1377" t="str">
        <f t="shared" si="55"/>
        <v>0</v>
      </c>
      <c r="DM36" s="1743" t="str">
        <f t="shared" si="56"/>
        <v>F</v>
      </c>
      <c r="DN36" s="1743"/>
    </row>
    <row r="37" spans="1:118" s="478" customFormat="1" ht="21.95" customHeight="1">
      <c r="A37" s="510" t="s">
        <v>2846</v>
      </c>
      <c r="B37" s="1390">
        <f t="shared" ca="1" si="3"/>
        <v>21</v>
      </c>
      <c r="C37" s="1194">
        <v>15752183</v>
      </c>
      <c r="D37" s="1195" t="s">
        <v>4684</v>
      </c>
      <c r="E37" s="1180" t="s">
        <v>4622</v>
      </c>
      <c r="F37" s="1161">
        <v>30390</v>
      </c>
      <c r="G37" s="1180" t="s">
        <v>4620</v>
      </c>
      <c r="H37" s="1161">
        <v>38930</v>
      </c>
      <c r="I37" s="1185">
        <f t="shared" si="11"/>
        <v>18</v>
      </c>
      <c r="J37" s="1177">
        <v>0</v>
      </c>
      <c r="K37" s="1185">
        <f t="shared" si="12"/>
        <v>18</v>
      </c>
      <c r="L37" s="1402" t="s">
        <v>5538</v>
      </c>
      <c r="M37" s="1177"/>
      <c r="N37" s="1177"/>
      <c r="O37" s="1040" t="s">
        <v>3618</v>
      </c>
      <c r="P37" s="1177" t="s">
        <v>5368</v>
      </c>
      <c r="Q37" s="1391" t="str">
        <f>IFERROR(VLOOKUP(O37,CARGOS!A:E,2,0),"")</f>
        <v>65001</v>
      </c>
      <c r="R37" s="1392" t="s">
        <v>5980</v>
      </c>
      <c r="S37" s="1180" t="s">
        <v>2835</v>
      </c>
      <c r="T37" s="1150">
        <f>IFERROR(VLOOKUP(S37,'TAB EMP'!A:B,2,0),0)</f>
        <v>348</v>
      </c>
      <c r="U37" s="1151">
        <v>0</v>
      </c>
      <c r="V37" s="1150">
        <f t="shared" si="13"/>
        <v>348</v>
      </c>
      <c r="W37" s="1151">
        <f t="shared" si="14"/>
        <v>174</v>
      </c>
      <c r="X37" s="1180" t="s">
        <v>2884</v>
      </c>
      <c r="Y37" s="1180"/>
      <c r="Z37" s="1180">
        <v>2</v>
      </c>
      <c r="AA37" s="1150">
        <f>ROUND(IF(H37&lt;&gt;"",VLOOKUP(SUM(I37+J37),'CONCEPTOS Y PARAMETROS'!F:G,2,0)*V37,0),2)</f>
        <v>79.34</v>
      </c>
      <c r="AB37" s="1150">
        <f>IF(S37&lt;&gt;"",IF(M37="",'CONCEPTOS Y PARAMETROS'!$C$4,0),0)</f>
        <v>130</v>
      </c>
      <c r="AC37" s="1150">
        <f>IF(S37&lt;&gt;"",IF(M37="",'CONCEPTOS Y PARAMETROS'!$C$7*Z37,0),0)</f>
        <v>25</v>
      </c>
      <c r="AD37" s="1150">
        <f>IFERROR(ROUND(VLOOKUP($X37,'CONCEPTOS Y PARAMETROS'!H:I,2,0)*($V37+AA37+AB37+AC37),2),0)</f>
        <v>0</v>
      </c>
      <c r="AE37" s="1150">
        <f t="shared" si="15"/>
        <v>234.34</v>
      </c>
      <c r="AF37" s="1150">
        <f t="shared" si="16"/>
        <v>39.67</v>
      </c>
      <c r="AG37" s="1150">
        <f t="shared" si="17"/>
        <v>39.67</v>
      </c>
      <c r="AH37" s="1150">
        <f t="shared" si="18"/>
        <v>65</v>
      </c>
      <c r="AI37" s="1150">
        <f t="shared" si="19"/>
        <v>65</v>
      </c>
      <c r="AJ37" s="1150">
        <f t="shared" si="20"/>
        <v>0</v>
      </c>
      <c r="AK37" s="1150">
        <f t="shared" si="21"/>
        <v>0</v>
      </c>
      <c r="AL37" s="1151">
        <f t="shared" si="22"/>
        <v>129.66999999999999</v>
      </c>
      <c r="AM37" s="1151">
        <f t="shared" si="23"/>
        <v>104.67</v>
      </c>
      <c r="AN37" s="1028">
        <v>0</v>
      </c>
      <c r="AO37" s="1193">
        <f>'CONCEPTOS Y PARAMETROS'!$C$18*AN37</f>
        <v>0</v>
      </c>
      <c r="AP37" s="1028">
        <v>0</v>
      </c>
      <c r="AQ37" s="1193">
        <f>'CONCEPTOS Y PARAMETROS'!$C$21*AP37</f>
        <v>0</v>
      </c>
      <c r="AR37" s="1394">
        <v>0</v>
      </c>
      <c r="AS37" s="1394">
        <v>0</v>
      </c>
      <c r="AT37" s="1394">
        <f t="shared" si="24"/>
        <v>0</v>
      </c>
      <c r="AU37" s="1151">
        <f t="shared" si="25"/>
        <v>582.34</v>
      </c>
      <c r="AV37" s="1178">
        <v>0</v>
      </c>
      <c r="AW37" s="1151">
        <f t="shared" si="85"/>
        <v>0</v>
      </c>
      <c r="AX37" s="1151">
        <f>IF(T37&lt;&gt;"0",(ROUND(IF(A37="EMPLEADO",eval_formula('CONCEPTOS Y PARAMETROS'!$C$8,NOMINA!V37,NOMINA!$AU37,NOMINA!I37+NOMINA!J37),eval_formula('CONCEPTOS Y PARAMETROS'!$D$8,NOMINA!V37,NOMINA!$AU37,NOMINA!I37+NOMINA!J37)),2))*IF(H37&lt;&gt;"",IF(MONTH(H37)=$BR$8,IF(YEAR(H37)&lt;$BT$7,1,0),0)))</f>
        <v>0</v>
      </c>
      <c r="AY37" s="1151">
        <v>180</v>
      </c>
      <c r="AZ37" s="1150">
        <f>IFERROR(VLOOKUP(AY37,'CONCEPTOS Y PARAMETROS'!Y:Z,2,0),0)</f>
        <v>150</v>
      </c>
      <c r="BA37" s="1150">
        <f t="shared" si="27"/>
        <v>4367.55</v>
      </c>
      <c r="BB37" s="1150">
        <f t="shared" si="28"/>
        <v>0</v>
      </c>
      <c r="BC37" s="1028">
        <v>0</v>
      </c>
      <c r="BD37" s="1150" t="str">
        <f t="shared" si="29"/>
        <v>0</v>
      </c>
      <c r="BE37" s="1028">
        <v>0</v>
      </c>
      <c r="BF37" s="1150">
        <f t="shared" si="30"/>
        <v>0</v>
      </c>
      <c r="BG37" s="1151">
        <v>300</v>
      </c>
      <c r="BH37" s="1151">
        <f t="shared" si="31"/>
        <v>0</v>
      </c>
      <c r="BI37" s="1151">
        <v>0</v>
      </c>
      <c r="BJ37" s="810">
        <f t="shared" si="32"/>
        <v>0</v>
      </c>
      <c r="BK37" s="1151">
        <v>0</v>
      </c>
      <c r="BL37" s="1150">
        <f t="shared" si="33"/>
        <v>21.5</v>
      </c>
      <c r="BM37" s="1150">
        <f t="shared" si="34"/>
        <v>2.69</v>
      </c>
      <c r="BN37" s="1150">
        <f t="shared" si="35"/>
        <v>5.82</v>
      </c>
      <c r="BO37" s="1150">
        <v>0</v>
      </c>
      <c r="BP37" s="1150">
        <v>0</v>
      </c>
      <c r="BQ37" s="1396">
        <f t="shared" ref="BQ37:BQ38" si="86">ROUND(SUM(BL37:BP37),2)</f>
        <v>30.01</v>
      </c>
      <c r="BR37" s="1150">
        <f t="shared" si="36"/>
        <v>48.38</v>
      </c>
      <c r="BS37" s="1150">
        <f t="shared" si="37"/>
        <v>10.75</v>
      </c>
      <c r="BT37" s="1150">
        <f t="shared" si="38"/>
        <v>11.64</v>
      </c>
      <c r="BU37" s="1150">
        <v>0</v>
      </c>
      <c r="BV37" s="1151">
        <f t="shared" ref="BV37:BV38" si="87">ROUND(SUM(BR37:BT37),2)</f>
        <v>70.77</v>
      </c>
      <c r="BW37" s="1155">
        <f t="shared" ref="BW37:BW38" si="88">BQ37+BV37</f>
        <v>100.78</v>
      </c>
      <c r="BX37" s="1155">
        <f t="shared" si="39"/>
        <v>1091.8900000000001</v>
      </c>
      <c r="BY37" s="1155">
        <v>0</v>
      </c>
      <c r="BZ37" s="1155">
        <f t="shared" si="40"/>
        <v>1091.8900000000001</v>
      </c>
      <c r="CA37" s="1397">
        <f>'CONCEPTOS Y PARAMETROS'!$A$102</f>
        <v>2120</v>
      </c>
      <c r="CB37" s="1155">
        <f t="shared" si="60"/>
        <v>273.65999999999997</v>
      </c>
      <c r="CC37" s="1156">
        <f t="shared" si="41"/>
        <v>578.66999999999996</v>
      </c>
      <c r="CD37" s="514"/>
      <c r="CE37" s="514"/>
      <c r="CG37" s="511">
        <f t="shared" si="42"/>
        <v>273.65999999999997</v>
      </c>
      <c r="CH37" s="1712">
        <f t="shared" si="43"/>
        <v>300</v>
      </c>
      <c r="CI37" s="511">
        <f t="shared" si="44"/>
        <v>578.67000000000007</v>
      </c>
      <c r="CJ37" s="511">
        <f t="shared" si="45"/>
        <v>277.76</v>
      </c>
      <c r="CK37" s="511">
        <f t="shared" si="61"/>
        <v>300.91000000000008</v>
      </c>
      <c r="CL37" s="511">
        <f t="shared" si="46"/>
        <v>0</v>
      </c>
      <c r="CM37" s="511">
        <f t="shared" si="47"/>
        <v>0</v>
      </c>
      <c r="CN37" s="512">
        <f t="shared" si="48"/>
        <v>0</v>
      </c>
      <c r="CO37" s="513">
        <v>0</v>
      </c>
      <c r="CP37" s="512">
        <f t="shared" si="49"/>
        <v>0</v>
      </c>
      <c r="CQ37" s="500">
        <f t="shared" si="50"/>
        <v>0</v>
      </c>
      <c r="CR37" s="512">
        <f t="shared" si="51"/>
        <v>0</v>
      </c>
      <c r="CS37" s="512">
        <f t="shared" si="52"/>
        <v>0</v>
      </c>
      <c r="CT37" s="512">
        <f t="shared" si="53"/>
        <v>100.78</v>
      </c>
      <c r="CU37" s="512">
        <f t="shared" si="54"/>
        <v>2120</v>
      </c>
      <c r="CV37" s="1556"/>
      <c r="CW37" s="1195" t="s">
        <v>6997</v>
      </c>
      <c r="CX37" s="1195" t="s">
        <v>7220</v>
      </c>
      <c r="CY37" s="514"/>
      <c r="CZ37" s="514" t="s">
        <v>6212</v>
      </c>
      <c r="DA37" s="514" t="s">
        <v>6173</v>
      </c>
      <c r="DB37" s="514" t="s">
        <v>6213</v>
      </c>
      <c r="DC37" s="514" t="s">
        <v>6214</v>
      </c>
      <c r="DD37" s="514"/>
      <c r="DE37" s="514"/>
      <c r="DF37" s="514"/>
      <c r="DG37" s="514"/>
      <c r="DH37" s="514"/>
      <c r="DJ37" s="478" t="str">
        <f>VLOOKUP(X37,Hoja1!$A$4:$B$10,2,0)</f>
        <v>BACHILLER</v>
      </c>
      <c r="DK37" s="478" t="str">
        <f>VLOOKUP(S37,Hoja1!$D$4:$F$77,3,0)</f>
        <v>COORDINADOR DE ÁREA</v>
      </c>
      <c r="DL37" s="1377" t="str">
        <f t="shared" si="55"/>
        <v>0</v>
      </c>
      <c r="DM37" s="1743" t="str">
        <f t="shared" si="56"/>
        <v>F</v>
      </c>
      <c r="DN37" s="1743"/>
    </row>
    <row r="38" spans="1:118" s="478" customFormat="1" ht="21.95" customHeight="1">
      <c r="A38" s="510" t="s">
        <v>2846</v>
      </c>
      <c r="B38" s="1390">
        <f t="shared" ca="1" si="3"/>
        <v>22</v>
      </c>
      <c r="C38" s="1194">
        <v>16739081</v>
      </c>
      <c r="D38" s="1195" t="s">
        <v>4828</v>
      </c>
      <c r="E38" s="1180" t="s">
        <v>4622</v>
      </c>
      <c r="F38" s="1196">
        <v>30771</v>
      </c>
      <c r="G38" s="1180" t="s">
        <v>4620</v>
      </c>
      <c r="H38" s="1196">
        <v>42948</v>
      </c>
      <c r="I38" s="1185">
        <f t="shared" si="11"/>
        <v>7</v>
      </c>
      <c r="J38" s="1177">
        <v>0</v>
      </c>
      <c r="K38" s="1185">
        <f t="shared" si="12"/>
        <v>7</v>
      </c>
      <c r="L38" s="1191" t="s">
        <v>6899</v>
      </c>
      <c r="M38" s="1177"/>
      <c r="N38" s="1177"/>
      <c r="O38" s="1040" t="s">
        <v>3618</v>
      </c>
      <c r="P38" s="1177" t="s">
        <v>5390</v>
      </c>
      <c r="Q38" s="1391" t="str">
        <f>IFERROR(VLOOKUP(O38,CARGOS!A:E,2,0),"")</f>
        <v>65001</v>
      </c>
      <c r="R38" s="1403" t="s">
        <v>5979</v>
      </c>
      <c r="S38" s="1180" t="s">
        <v>2835</v>
      </c>
      <c r="T38" s="1150">
        <f>IFERROR(VLOOKUP(S38,'TAB EMP'!A:B,2,0),0)</f>
        <v>348</v>
      </c>
      <c r="U38" s="1151">
        <v>0</v>
      </c>
      <c r="V38" s="1150">
        <f t="shared" si="13"/>
        <v>348</v>
      </c>
      <c r="W38" s="1151">
        <f t="shared" si="14"/>
        <v>174</v>
      </c>
      <c r="X38" s="1180" t="s">
        <v>2844</v>
      </c>
      <c r="Y38" s="1180"/>
      <c r="Z38" s="1180">
        <v>2</v>
      </c>
      <c r="AA38" s="1150">
        <f>ROUND(IF(H38&lt;&gt;"",VLOOKUP(SUM(I38+J38),'CONCEPTOS Y PARAMETROS'!F:G,2,0)*V38,0),2)</f>
        <v>25.75</v>
      </c>
      <c r="AB38" s="1150">
        <f>IF(S38&lt;&gt;"",IF(M38="",'CONCEPTOS Y PARAMETROS'!$C$4,0),0)</f>
        <v>130</v>
      </c>
      <c r="AC38" s="1150">
        <f>IF(S38&lt;&gt;"",IF(M38="",'CONCEPTOS Y PARAMETROS'!$C$7*Z38,0),0)</f>
        <v>25</v>
      </c>
      <c r="AD38" s="1150">
        <f>IFERROR(ROUND(VLOOKUP($X38,'CONCEPTOS Y PARAMETROS'!H:I,2,0)*($V38+AA38+AB38+AC38),2),0)</f>
        <v>105.75</v>
      </c>
      <c r="AE38" s="1150">
        <f t="shared" si="15"/>
        <v>286.5</v>
      </c>
      <c r="AF38" s="1150">
        <f t="shared" si="16"/>
        <v>12.88</v>
      </c>
      <c r="AG38" s="1150">
        <f t="shared" si="17"/>
        <v>12.87</v>
      </c>
      <c r="AH38" s="1150">
        <f t="shared" si="18"/>
        <v>65</v>
      </c>
      <c r="AI38" s="1150">
        <f t="shared" si="19"/>
        <v>65</v>
      </c>
      <c r="AJ38" s="1150">
        <f t="shared" si="20"/>
        <v>52.88</v>
      </c>
      <c r="AK38" s="1150">
        <f t="shared" si="21"/>
        <v>52.87</v>
      </c>
      <c r="AL38" s="1151">
        <f t="shared" si="22"/>
        <v>155.76</v>
      </c>
      <c r="AM38" s="1151">
        <f t="shared" si="23"/>
        <v>130.74</v>
      </c>
      <c r="AN38" s="1028">
        <v>0</v>
      </c>
      <c r="AO38" s="1193">
        <f>'CONCEPTOS Y PARAMETROS'!$C$18*AN38</f>
        <v>0</v>
      </c>
      <c r="AP38" s="1028">
        <v>0</v>
      </c>
      <c r="AQ38" s="1193">
        <f>'CONCEPTOS Y PARAMETROS'!$C$21*AP38</f>
        <v>0</v>
      </c>
      <c r="AR38" s="1394">
        <v>0</v>
      </c>
      <c r="AS38" s="1394">
        <v>0</v>
      </c>
      <c r="AT38" s="1394">
        <f t="shared" si="24"/>
        <v>0</v>
      </c>
      <c r="AU38" s="1151">
        <f t="shared" si="25"/>
        <v>634.5</v>
      </c>
      <c r="AV38" s="1178">
        <v>0</v>
      </c>
      <c r="AW38" s="1151">
        <f t="shared" ref="AW38" si="89">ROUND(IF(AV38="NOCTURN",(V38+AE38)*30%,0),2)</f>
        <v>0</v>
      </c>
      <c r="AX38" s="1150">
        <f>IF(T38&lt;&gt;"0",(ROUND(IF(A38="EMPLEADO",eval_formula('CONCEPTOS Y PARAMETROS'!$C$8,NOMINA!V38,NOMINA!$AU38,NOMINA!I38+NOMINA!J38),eval_formula('CONCEPTOS Y PARAMETROS'!$D$8,NOMINA!V38,NOMINA!$AU38,NOMINA!I38+NOMINA!J38)),2))*IF(H38&lt;&gt;"",IF(MONTH(H38)=$BR$8,IF(YEAR(H38)&lt;$BT$7,1,0),0)))</f>
        <v>0</v>
      </c>
      <c r="AY38" s="1151">
        <v>180</v>
      </c>
      <c r="AZ38" s="1150">
        <f>IFERROR(VLOOKUP(AY38,'CONCEPTOS Y PARAMETROS'!Y:Z,2,0),0)</f>
        <v>150</v>
      </c>
      <c r="BA38" s="1150">
        <f t="shared" si="27"/>
        <v>4758.75</v>
      </c>
      <c r="BB38" s="1150">
        <f t="shared" si="28"/>
        <v>0</v>
      </c>
      <c r="BC38" s="1028">
        <v>0</v>
      </c>
      <c r="BD38" s="1150" t="str">
        <f t="shared" si="29"/>
        <v>0</v>
      </c>
      <c r="BE38" s="1028">
        <v>0</v>
      </c>
      <c r="BF38" s="1150">
        <f t="shared" si="30"/>
        <v>0</v>
      </c>
      <c r="BG38" s="1151">
        <v>300</v>
      </c>
      <c r="BH38" s="1151">
        <f t="shared" si="31"/>
        <v>0</v>
      </c>
      <c r="BI38" s="1180">
        <v>0</v>
      </c>
      <c r="BJ38" s="1600">
        <f t="shared" si="32"/>
        <v>0</v>
      </c>
      <c r="BK38" s="1151">
        <v>0</v>
      </c>
      <c r="BL38" s="1150">
        <f t="shared" si="33"/>
        <v>23.43</v>
      </c>
      <c r="BM38" s="1150">
        <f t="shared" si="34"/>
        <v>2.93</v>
      </c>
      <c r="BN38" s="1150">
        <f t="shared" si="35"/>
        <v>6.35</v>
      </c>
      <c r="BO38" s="1150">
        <v>0</v>
      </c>
      <c r="BP38" s="1150">
        <v>0</v>
      </c>
      <c r="BQ38" s="1396">
        <f t="shared" si="86"/>
        <v>32.71</v>
      </c>
      <c r="BR38" s="1150">
        <f t="shared" si="36"/>
        <v>52.71</v>
      </c>
      <c r="BS38" s="1150">
        <f t="shared" si="37"/>
        <v>11.71</v>
      </c>
      <c r="BT38" s="1150">
        <f t="shared" si="38"/>
        <v>12.7</v>
      </c>
      <c r="BU38" s="1150">
        <v>0</v>
      </c>
      <c r="BV38" s="1151">
        <f t="shared" si="87"/>
        <v>77.12</v>
      </c>
      <c r="BW38" s="1155">
        <f t="shared" si="88"/>
        <v>109.83000000000001</v>
      </c>
      <c r="BX38" s="1155">
        <f t="shared" si="39"/>
        <v>1189.69</v>
      </c>
      <c r="BY38" s="1155">
        <v>0</v>
      </c>
      <c r="BZ38" s="1155">
        <f t="shared" si="40"/>
        <v>1189.69</v>
      </c>
      <c r="CA38" s="1397">
        <f>'CONCEPTOS Y PARAMETROS'!$A$102</f>
        <v>2120</v>
      </c>
      <c r="CB38" s="1155">
        <f t="shared" si="60"/>
        <v>297.05</v>
      </c>
      <c r="CC38" s="1156">
        <f t="shared" si="41"/>
        <v>604.74</v>
      </c>
      <c r="CD38" s="514"/>
      <c r="CE38" s="514"/>
      <c r="CF38" s="521"/>
      <c r="CG38" s="511">
        <f t="shared" si="42"/>
        <v>297.05</v>
      </c>
      <c r="CH38" s="1712">
        <f t="shared" si="43"/>
        <v>300</v>
      </c>
      <c r="CI38" s="511">
        <f t="shared" si="44"/>
        <v>604.74</v>
      </c>
      <c r="CJ38" s="511">
        <f t="shared" si="45"/>
        <v>290.27999999999997</v>
      </c>
      <c r="CK38" s="511">
        <f t="shared" si="61"/>
        <v>314.46000000000004</v>
      </c>
      <c r="CL38" s="511">
        <f t="shared" si="46"/>
        <v>0</v>
      </c>
      <c r="CM38" s="511">
        <f t="shared" si="47"/>
        <v>0</v>
      </c>
      <c r="CN38" s="512">
        <f t="shared" si="48"/>
        <v>0</v>
      </c>
      <c r="CO38" s="513">
        <v>0</v>
      </c>
      <c r="CP38" s="512">
        <f t="shared" si="49"/>
        <v>0</v>
      </c>
      <c r="CQ38" s="500">
        <f t="shared" si="50"/>
        <v>0</v>
      </c>
      <c r="CR38" s="512">
        <f t="shared" si="51"/>
        <v>0</v>
      </c>
      <c r="CS38" s="512">
        <f t="shared" si="52"/>
        <v>0</v>
      </c>
      <c r="CT38" s="512">
        <f t="shared" si="53"/>
        <v>109.83000000000001</v>
      </c>
      <c r="CU38" s="512">
        <f t="shared" si="54"/>
        <v>2120</v>
      </c>
      <c r="CV38" s="1556"/>
      <c r="CW38" s="1195" t="s">
        <v>7015</v>
      </c>
      <c r="CX38" s="1195" t="s">
        <v>6946</v>
      </c>
      <c r="CY38" s="514"/>
      <c r="CZ38" s="514" t="s">
        <v>6290</v>
      </c>
      <c r="DA38" s="514" t="s">
        <v>6173</v>
      </c>
      <c r="DB38" s="514" t="s">
        <v>6291</v>
      </c>
      <c r="DC38" s="1199" t="s">
        <v>6381</v>
      </c>
      <c r="DD38" s="514"/>
      <c r="DE38" s="514"/>
      <c r="DF38" s="514"/>
      <c r="DG38" s="514"/>
      <c r="DH38" s="514"/>
      <c r="DJ38" s="478" t="str">
        <f>VLOOKUP(X38,Hoja1!$A$4:$B$10,2,0)</f>
        <v>TÉCNICO SUPERIOR UNIVERSITARIO</v>
      </c>
      <c r="DK38" s="478" t="str">
        <f>VLOOKUP(S38,Hoja1!$D$4:$F$77,3,0)</f>
        <v>COORDINADOR DE ÁREA</v>
      </c>
      <c r="DL38" s="1377" t="str">
        <f t="shared" si="55"/>
        <v>0</v>
      </c>
      <c r="DM38" s="1743" t="str">
        <f t="shared" si="56"/>
        <v>F</v>
      </c>
      <c r="DN38" s="1743"/>
    </row>
    <row r="39" spans="1:118" s="473" customFormat="1" ht="21.95" customHeight="1">
      <c r="A39" s="510" t="s">
        <v>2846</v>
      </c>
      <c r="B39" s="1390">
        <f ca="1">OFFSET(B39,-1,0)+1</f>
        <v>23</v>
      </c>
      <c r="C39" s="1194">
        <v>12781930</v>
      </c>
      <c r="D39" s="1195" t="s">
        <v>4687</v>
      </c>
      <c r="E39" s="1180" t="s">
        <v>4622</v>
      </c>
      <c r="F39" s="1161">
        <v>27754</v>
      </c>
      <c r="G39" s="1180" t="s">
        <v>4620</v>
      </c>
      <c r="H39" s="1161">
        <v>44652</v>
      </c>
      <c r="I39" s="1185">
        <f t="shared" si="11"/>
        <v>2</v>
      </c>
      <c r="J39" s="1177">
        <v>0</v>
      </c>
      <c r="K39" s="1185">
        <f t="shared" si="12"/>
        <v>2</v>
      </c>
      <c r="L39" s="1191" t="s">
        <v>5557</v>
      </c>
      <c r="M39" s="1177"/>
      <c r="N39" s="1177"/>
      <c r="O39" s="1040" t="s">
        <v>3618</v>
      </c>
      <c r="P39" s="1177" t="s">
        <v>5208</v>
      </c>
      <c r="Q39" s="1391" t="str">
        <f>IFERROR(VLOOKUP(O39,CARGOS!A:E,2,0),"")</f>
        <v>65001</v>
      </c>
      <c r="R39" s="1403" t="s">
        <v>5050</v>
      </c>
      <c r="S39" s="1180" t="s">
        <v>2835</v>
      </c>
      <c r="T39" s="1150">
        <f>IFERROR(VLOOKUP(S39,'TAB EMP'!A:B,2,0),0)</f>
        <v>348</v>
      </c>
      <c r="U39" s="1151">
        <v>0</v>
      </c>
      <c r="V39" s="1150">
        <f t="shared" si="13"/>
        <v>348</v>
      </c>
      <c r="W39" s="1151">
        <f t="shared" si="14"/>
        <v>174</v>
      </c>
      <c r="X39" s="1180" t="s">
        <v>2885</v>
      </c>
      <c r="Y39" s="1180"/>
      <c r="Z39" s="1180">
        <v>0</v>
      </c>
      <c r="AA39" s="1150">
        <f>ROUND(IF(H39&lt;&gt;"",VLOOKUP(SUM(I39+J39),'CONCEPTOS Y PARAMETROS'!F:G,2,0)*V39,0),2)</f>
        <v>6.96</v>
      </c>
      <c r="AB39" s="1150">
        <f>IF(S39&lt;&gt;"",IF(M39="",'CONCEPTOS Y PARAMETROS'!$C$4,0),0)</f>
        <v>130</v>
      </c>
      <c r="AC39" s="1150">
        <f>IF(S39&lt;&gt;"",IF(M39="",'CONCEPTOS Y PARAMETROS'!$C$7*Z39,0),0)</f>
        <v>0</v>
      </c>
      <c r="AD39" s="1150">
        <f>IFERROR(ROUND(VLOOKUP($X39,'CONCEPTOS Y PARAMETROS'!H:I,2,0)*($V39+AA39+AB39+AC39),2),0)</f>
        <v>121.24</v>
      </c>
      <c r="AE39" s="1150">
        <f t="shared" si="15"/>
        <v>258.2</v>
      </c>
      <c r="AF39" s="1150">
        <f t="shared" si="16"/>
        <v>3.48</v>
      </c>
      <c r="AG39" s="1150">
        <f t="shared" si="17"/>
        <v>3.48</v>
      </c>
      <c r="AH39" s="1150">
        <f t="shared" si="18"/>
        <v>65</v>
      </c>
      <c r="AI39" s="1150">
        <f t="shared" si="19"/>
        <v>65</v>
      </c>
      <c r="AJ39" s="1150">
        <f t="shared" si="20"/>
        <v>60.62</v>
      </c>
      <c r="AK39" s="1150">
        <f t="shared" si="21"/>
        <v>60.62</v>
      </c>
      <c r="AL39" s="1151">
        <f t="shared" si="22"/>
        <v>129.1</v>
      </c>
      <c r="AM39" s="1151">
        <f t="shared" si="23"/>
        <v>129.1</v>
      </c>
      <c r="AN39" s="1028">
        <v>0</v>
      </c>
      <c r="AO39" s="1193">
        <f>'CONCEPTOS Y PARAMETROS'!$C$18*AN39</f>
        <v>0</v>
      </c>
      <c r="AP39" s="1028">
        <v>0</v>
      </c>
      <c r="AQ39" s="1193">
        <f>'CONCEPTOS Y PARAMETROS'!$C$21*AP39</f>
        <v>0</v>
      </c>
      <c r="AR39" s="1394">
        <v>0</v>
      </c>
      <c r="AS39" s="1394">
        <v>0</v>
      </c>
      <c r="AT39" s="1394">
        <f t="shared" si="24"/>
        <v>0</v>
      </c>
      <c r="AU39" s="1151">
        <f t="shared" si="25"/>
        <v>606.20000000000005</v>
      </c>
      <c r="AV39" s="1178">
        <v>0</v>
      </c>
      <c r="AW39" s="1151">
        <f t="shared" si="85"/>
        <v>0</v>
      </c>
      <c r="AX39" s="1150">
        <f>IF(T39&lt;&gt;"0",(ROUND(IF(A39="EMPLEADO",eval_formula('CONCEPTOS Y PARAMETROS'!$C$8,NOMINA!V39,NOMINA!$AU39,NOMINA!I39+NOMINA!J39),eval_formula('CONCEPTOS Y PARAMETROS'!$D$8,NOMINA!V39,NOMINA!$AU39,NOMINA!I39+NOMINA!J39)),2))*IF(H39&lt;&gt;"",IF(MONTH(H39)=$BR$8,IF(YEAR(H39)&lt;$BT$7,1,0),0)))</f>
        <v>0</v>
      </c>
      <c r="AY39" s="1151">
        <v>180</v>
      </c>
      <c r="AZ39" s="1150">
        <f>IFERROR(VLOOKUP(AY39,'CONCEPTOS Y PARAMETROS'!Y:Z,2,0),0)</f>
        <v>150</v>
      </c>
      <c r="BA39" s="1150">
        <f t="shared" si="27"/>
        <v>4546.5</v>
      </c>
      <c r="BB39" s="1150">
        <f t="shared" si="28"/>
        <v>0</v>
      </c>
      <c r="BC39" s="1028">
        <v>0</v>
      </c>
      <c r="BD39" s="1150" t="str">
        <f t="shared" si="29"/>
        <v>0</v>
      </c>
      <c r="BE39" s="1028">
        <v>0</v>
      </c>
      <c r="BF39" s="1150">
        <f>ROUND(IF(BE39&gt;0,(((V39+AA39+AB39+AC39+AD39)/30)*50%+((V39+AA39+AB39+AC39+AD39)/30))*BE39,"0"),2)</f>
        <v>0</v>
      </c>
      <c r="BG39" s="1151">
        <v>300</v>
      </c>
      <c r="BH39" s="1151">
        <f t="shared" si="31"/>
        <v>0</v>
      </c>
      <c r="BI39" s="1151">
        <v>0</v>
      </c>
      <c r="BJ39" s="810">
        <f t="shared" si="32"/>
        <v>0</v>
      </c>
      <c r="BK39" s="1151">
        <v>0</v>
      </c>
      <c r="BL39" s="1150">
        <f t="shared" si="33"/>
        <v>22.38</v>
      </c>
      <c r="BM39" s="1150">
        <f t="shared" si="34"/>
        <v>2.8</v>
      </c>
      <c r="BN39" s="1150">
        <f t="shared" si="35"/>
        <v>6.06</v>
      </c>
      <c r="BO39" s="1150">
        <v>0</v>
      </c>
      <c r="BP39" s="1150">
        <v>0</v>
      </c>
      <c r="BQ39" s="1396">
        <f t="shared" si="5"/>
        <v>31.24</v>
      </c>
      <c r="BR39" s="1150">
        <f t="shared" si="36"/>
        <v>50.36</v>
      </c>
      <c r="BS39" s="1150">
        <f t="shared" si="37"/>
        <v>11.19</v>
      </c>
      <c r="BT39" s="1150">
        <f t="shared" si="38"/>
        <v>12.12</v>
      </c>
      <c r="BU39" s="1150">
        <v>0</v>
      </c>
      <c r="BV39" s="1151">
        <f t="shared" si="0"/>
        <v>73.67</v>
      </c>
      <c r="BW39" s="1155">
        <f t="shared" si="1"/>
        <v>104.91</v>
      </c>
      <c r="BX39" s="1155">
        <f t="shared" si="39"/>
        <v>1136.6300000000001</v>
      </c>
      <c r="BY39" s="1155">
        <v>0</v>
      </c>
      <c r="BZ39" s="1155">
        <f t="shared" si="40"/>
        <v>1136.6300000000001</v>
      </c>
      <c r="CA39" s="1397">
        <f>'CONCEPTOS Y PARAMETROS'!$A$102</f>
        <v>2120</v>
      </c>
      <c r="CB39" s="1155">
        <f t="shared" si="60"/>
        <v>271.86</v>
      </c>
      <c r="CC39" s="1156">
        <f t="shared" si="41"/>
        <v>603.1</v>
      </c>
      <c r="CD39" s="514"/>
      <c r="CE39" s="514"/>
      <c r="CG39" s="497">
        <f t="shared" si="42"/>
        <v>271.86</v>
      </c>
      <c r="CH39" s="1711">
        <f t="shared" si="43"/>
        <v>300</v>
      </c>
      <c r="CI39" s="497">
        <f t="shared" si="44"/>
        <v>603.1</v>
      </c>
      <c r="CJ39" s="497">
        <f t="shared" si="45"/>
        <v>289.49</v>
      </c>
      <c r="CK39" s="497">
        <f t="shared" si="61"/>
        <v>313.61</v>
      </c>
      <c r="CL39" s="497">
        <f t="shared" si="46"/>
        <v>0</v>
      </c>
      <c r="CM39" s="497">
        <f t="shared" si="47"/>
        <v>0</v>
      </c>
      <c r="CN39" s="498">
        <f t="shared" si="48"/>
        <v>0</v>
      </c>
      <c r="CO39" s="499">
        <v>0</v>
      </c>
      <c r="CP39" s="498">
        <f t="shared" si="49"/>
        <v>0</v>
      </c>
      <c r="CQ39" s="500">
        <f t="shared" si="50"/>
        <v>0</v>
      </c>
      <c r="CR39" s="498">
        <f t="shared" si="51"/>
        <v>0</v>
      </c>
      <c r="CS39" s="498">
        <f t="shared" si="52"/>
        <v>0</v>
      </c>
      <c r="CT39" s="498">
        <f t="shared" si="53"/>
        <v>104.91</v>
      </c>
      <c r="CU39" s="498">
        <f t="shared" si="54"/>
        <v>2120</v>
      </c>
      <c r="CV39" s="1554"/>
      <c r="CW39" s="1195" t="s">
        <v>7185</v>
      </c>
      <c r="CX39" s="1195" t="s">
        <v>6949</v>
      </c>
      <c r="CY39" s="472"/>
      <c r="CZ39" s="514" t="s">
        <v>6220</v>
      </c>
      <c r="DA39" s="514" t="s">
        <v>6221</v>
      </c>
      <c r="DB39" s="514" t="s">
        <v>6222</v>
      </c>
      <c r="DC39" s="514" t="s">
        <v>6223</v>
      </c>
      <c r="DD39" s="472"/>
      <c r="DE39" s="472"/>
      <c r="DF39" s="472"/>
      <c r="DG39" s="472"/>
      <c r="DH39" s="472"/>
      <c r="DJ39" s="473" t="str">
        <f>VLOOKUP(X39,Hoja1!$A$4:$B$10,2,0)</f>
        <v>PROFESIONAL</v>
      </c>
      <c r="DK39" s="473" t="str">
        <f>VLOOKUP(S39,Hoja1!$D$4:$F$77,3,0)</f>
        <v>COORDINADOR DE ÁREA</v>
      </c>
      <c r="DL39" s="1216" t="str">
        <f t="shared" si="55"/>
        <v>0</v>
      </c>
      <c r="DM39" s="1741" t="str">
        <f t="shared" si="56"/>
        <v>F</v>
      </c>
      <c r="DN39" s="1741"/>
    </row>
    <row r="40" spans="1:118" s="473" customFormat="1" ht="21.95" customHeight="1" thickBot="1">
      <c r="A40" s="1527" t="s">
        <v>2846</v>
      </c>
      <c r="B40" s="415">
        <f ca="1">OFFSET(B40,-1,0)+1</f>
        <v>24</v>
      </c>
      <c r="C40" s="1387">
        <v>13896239</v>
      </c>
      <c r="D40" s="1388" t="s">
        <v>4688</v>
      </c>
      <c r="E40" s="387" t="s">
        <v>4622</v>
      </c>
      <c r="F40" s="422">
        <v>28795</v>
      </c>
      <c r="G40" s="387" t="s">
        <v>4620</v>
      </c>
      <c r="H40" s="422">
        <v>42416</v>
      </c>
      <c r="I40" s="1528">
        <f t="shared" si="11"/>
        <v>8</v>
      </c>
      <c r="J40" s="388">
        <v>0</v>
      </c>
      <c r="K40" s="1528">
        <f t="shared" si="12"/>
        <v>8</v>
      </c>
      <c r="L40" s="1529" t="s">
        <v>5545</v>
      </c>
      <c r="M40" s="388"/>
      <c r="N40" s="388"/>
      <c r="O40" s="389" t="s">
        <v>3618</v>
      </c>
      <c r="P40" s="388" t="s">
        <v>5209</v>
      </c>
      <c r="Q40" s="1530" t="str">
        <f>IFERROR(VLOOKUP(O40,CARGOS!A:E,2,0),"")</f>
        <v>65001</v>
      </c>
      <c r="R40" s="1542" t="s">
        <v>5980</v>
      </c>
      <c r="S40" s="387" t="s">
        <v>2835</v>
      </c>
      <c r="T40" s="1389">
        <f>IFERROR(VLOOKUP(S40,'TAB EMP'!A:B,2,0),0)</f>
        <v>348</v>
      </c>
      <c r="U40" s="390">
        <v>0</v>
      </c>
      <c r="V40" s="1389">
        <f t="shared" si="13"/>
        <v>348</v>
      </c>
      <c r="W40" s="390">
        <f t="shared" si="14"/>
        <v>174</v>
      </c>
      <c r="X40" s="387" t="s">
        <v>2884</v>
      </c>
      <c r="Y40" s="387"/>
      <c r="Z40" s="387">
        <v>1</v>
      </c>
      <c r="AA40" s="1389">
        <f>ROUND(IF(H40&lt;&gt;"",VLOOKUP(SUM(I40+J40),'CONCEPTOS Y PARAMETROS'!F:G,2,0)*V40,0),2)</f>
        <v>29.93</v>
      </c>
      <c r="AB40" s="1389">
        <f>IF(S40&lt;&gt;"",IF(M40="",'CONCEPTOS Y PARAMETROS'!$C$4,0),0)</f>
        <v>130</v>
      </c>
      <c r="AC40" s="1389">
        <f>IF(S40&lt;&gt;"",IF(M40="",'CONCEPTOS Y PARAMETROS'!$C$7*Z40,0),0)</f>
        <v>12.5</v>
      </c>
      <c r="AD40" s="1389">
        <f>IFERROR(ROUND(VLOOKUP($X40,'CONCEPTOS Y PARAMETROS'!H:I,2,0)*($V40+AA40+AB40+AC40),2),0)</f>
        <v>0</v>
      </c>
      <c r="AE40" s="1389">
        <f t="shared" si="15"/>
        <v>172.43</v>
      </c>
      <c r="AF40" s="1389">
        <f t="shared" si="16"/>
        <v>14.97</v>
      </c>
      <c r="AG40" s="1389">
        <f t="shared" si="17"/>
        <v>14.96</v>
      </c>
      <c r="AH40" s="1389">
        <f t="shared" si="18"/>
        <v>65</v>
      </c>
      <c r="AI40" s="1389">
        <f t="shared" si="19"/>
        <v>65</v>
      </c>
      <c r="AJ40" s="1389">
        <f t="shared" si="20"/>
        <v>0</v>
      </c>
      <c r="AK40" s="1389">
        <f t="shared" si="21"/>
        <v>0</v>
      </c>
      <c r="AL40" s="390">
        <f t="shared" si="22"/>
        <v>92.47</v>
      </c>
      <c r="AM40" s="390">
        <f t="shared" si="23"/>
        <v>79.959999999999994</v>
      </c>
      <c r="AN40" s="1588">
        <v>1</v>
      </c>
      <c r="AO40" s="1533">
        <f>'CONCEPTOS Y PARAMETROS'!$C$18*AN40</f>
        <v>12.5</v>
      </c>
      <c r="AP40" s="416">
        <v>0</v>
      </c>
      <c r="AQ40" s="1533">
        <f>'CONCEPTOS Y PARAMETROS'!$C$21*AP40</f>
        <v>0</v>
      </c>
      <c r="AR40" s="1534">
        <v>0</v>
      </c>
      <c r="AS40" s="1534">
        <v>0</v>
      </c>
      <c r="AT40" s="1534">
        <f t="shared" ref="AT40" si="90">+AO40+AQ40+AR40+AS40</f>
        <v>12.5</v>
      </c>
      <c r="AU40" s="390">
        <f t="shared" si="25"/>
        <v>520.43000000000006</v>
      </c>
      <c r="AV40" s="1535">
        <v>0</v>
      </c>
      <c r="AW40" s="390">
        <f t="shared" si="85"/>
        <v>0</v>
      </c>
      <c r="AX40" s="1389">
        <f>IF(T40&lt;&gt;"0",(ROUND(IF(A40="EMPLEADO",eval_formula('CONCEPTOS Y PARAMETROS'!$C$8,NOMINA!V40,NOMINA!$AU40,NOMINA!I40+NOMINA!J40),eval_formula('CONCEPTOS Y PARAMETROS'!$D$8,NOMINA!V40,NOMINA!$AU40,NOMINA!I40+NOMINA!J40)),2))*IF(H40&lt;&gt;"",IF(MONTH(H40)=$BR$8,IF(YEAR(H40)&lt;$BT$7,1,0),0)))</f>
        <v>0</v>
      </c>
      <c r="AY40" s="390">
        <v>180</v>
      </c>
      <c r="AZ40" s="1389">
        <f>IFERROR(VLOOKUP(AY40,'CONCEPTOS Y PARAMETROS'!Y:Z,2,0),0)</f>
        <v>150</v>
      </c>
      <c r="BA40" s="1389">
        <f t="shared" si="27"/>
        <v>3903.23</v>
      </c>
      <c r="BB40" s="1389">
        <f t="shared" si="28"/>
        <v>0</v>
      </c>
      <c r="BC40" s="416">
        <v>0</v>
      </c>
      <c r="BD40" s="1389" t="str">
        <f t="shared" si="29"/>
        <v>0</v>
      </c>
      <c r="BE40" s="416">
        <v>0</v>
      </c>
      <c r="BF40" s="1389">
        <f>ROUND(IF(BE40&gt;0,(((V40+AA40+AB40+AC40+AD40)/30)*50%+((V40+AA40+AB40+AC40+AD40)/30))*BE40,"0"),2)</f>
        <v>0</v>
      </c>
      <c r="BG40" s="390">
        <v>300</v>
      </c>
      <c r="BH40" s="390">
        <f t="shared" si="31"/>
        <v>0</v>
      </c>
      <c r="BI40" s="390">
        <v>0</v>
      </c>
      <c r="BJ40" s="367">
        <f t="shared" si="32"/>
        <v>0</v>
      </c>
      <c r="BK40" s="1151">
        <v>0</v>
      </c>
      <c r="BL40" s="1389">
        <f t="shared" si="33"/>
        <v>19.22</v>
      </c>
      <c r="BM40" s="1389">
        <f t="shared" si="34"/>
        <v>2.4</v>
      </c>
      <c r="BN40" s="1389">
        <f t="shared" si="35"/>
        <v>5.2</v>
      </c>
      <c r="BO40" s="1389">
        <v>0</v>
      </c>
      <c r="BP40" s="1389">
        <v>0</v>
      </c>
      <c r="BQ40" s="1537">
        <f t="shared" ref="BQ40" si="91">ROUND(SUM(BL40:BP40),2)</f>
        <v>26.82</v>
      </c>
      <c r="BR40" s="1389">
        <f t="shared" si="36"/>
        <v>43.24</v>
      </c>
      <c r="BS40" s="1389">
        <f t="shared" si="37"/>
        <v>9.61</v>
      </c>
      <c r="BT40" s="1389">
        <f t="shared" si="38"/>
        <v>10.4</v>
      </c>
      <c r="BU40" s="1389">
        <v>0</v>
      </c>
      <c r="BV40" s="390">
        <f t="shared" ref="BV40" si="92">ROUND(SUM(BR40:BT40),2)</f>
        <v>63.25</v>
      </c>
      <c r="BW40" s="880">
        <f t="shared" ref="BW40" si="93">BQ40+BV40</f>
        <v>90.07</v>
      </c>
      <c r="BX40" s="880">
        <f t="shared" si="39"/>
        <v>975.81</v>
      </c>
      <c r="BY40" s="880">
        <v>0</v>
      </c>
      <c r="BZ40" s="880">
        <f t="shared" si="40"/>
        <v>975.81</v>
      </c>
      <c r="CA40" s="1538">
        <f>'CONCEPTOS Y PARAMETROS'!$A$102</f>
        <v>2120</v>
      </c>
      <c r="CB40" s="880">
        <f t="shared" si="60"/>
        <v>239.65000000000003</v>
      </c>
      <c r="CC40" s="1539">
        <f t="shared" si="41"/>
        <v>566.46</v>
      </c>
      <c r="CD40" s="514"/>
      <c r="CE40" s="514"/>
      <c r="CG40" s="497">
        <f t="shared" si="42"/>
        <v>239.65000000000003</v>
      </c>
      <c r="CH40" s="1711">
        <f t="shared" si="43"/>
        <v>300</v>
      </c>
      <c r="CI40" s="497">
        <f t="shared" si="44"/>
        <v>553.96</v>
      </c>
      <c r="CJ40" s="497">
        <f t="shared" si="45"/>
        <v>553.96</v>
      </c>
      <c r="CK40" s="497">
        <f t="shared" si="61"/>
        <v>0</v>
      </c>
      <c r="CL40" s="497">
        <f t="shared" si="46"/>
        <v>0</v>
      </c>
      <c r="CM40" s="497">
        <f t="shared" si="47"/>
        <v>0</v>
      </c>
      <c r="CN40" s="498">
        <f t="shared" si="48"/>
        <v>0</v>
      </c>
      <c r="CO40" s="499">
        <v>0</v>
      </c>
      <c r="CP40" s="498">
        <f t="shared" si="49"/>
        <v>0</v>
      </c>
      <c r="CQ40" s="500">
        <f t="shared" si="50"/>
        <v>12.5</v>
      </c>
      <c r="CR40" s="498">
        <f t="shared" si="51"/>
        <v>0</v>
      </c>
      <c r="CS40" s="498">
        <f t="shared" si="52"/>
        <v>12.5</v>
      </c>
      <c r="CT40" s="498">
        <f t="shared" si="53"/>
        <v>90.07</v>
      </c>
      <c r="CU40" s="498">
        <f t="shared" si="54"/>
        <v>2120</v>
      </c>
      <c r="CV40" s="1554"/>
      <c r="CW40" s="1388" t="s">
        <v>7186</v>
      </c>
      <c r="CX40" s="1388" t="s">
        <v>6982</v>
      </c>
      <c r="CY40" s="472"/>
      <c r="CZ40" s="514" t="s">
        <v>6224</v>
      </c>
      <c r="DA40" s="514" t="s">
        <v>6173</v>
      </c>
      <c r="DB40" s="514" t="s">
        <v>6185</v>
      </c>
      <c r="DC40" s="514" t="s">
        <v>6638</v>
      </c>
      <c r="DD40" s="472"/>
      <c r="DE40" s="472"/>
      <c r="DF40" s="472"/>
      <c r="DG40" s="472"/>
      <c r="DH40" s="472"/>
      <c r="DJ40" s="473" t="str">
        <f>VLOOKUP(X40,Hoja1!$A$4:$B$10,2,0)</f>
        <v>BACHILLER</v>
      </c>
      <c r="DK40" s="473" t="str">
        <f>VLOOKUP(S40,Hoja1!$D$4:$F$77,3,0)</f>
        <v>COORDINADOR DE ÁREA</v>
      </c>
      <c r="DL40" s="1216" t="str">
        <f t="shared" si="55"/>
        <v>0</v>
      </c>
      <c r="DM40" s="1741" t="str">
        <f t="shared" si="56"/>
        <v>F</v>
      </c>
      <c r="DN40" s="1741"/>
    </row>
    <row r="41" spans="1:118" s="473" customFormat="1" ht="27" customHeight="1" thickBot="1">
      <c r="A41" s="515"/>
      <c r="B41" s="408">
        <f ca="1">COUNT(B17:B40)</f>
        <v>24</v>
      </c>
      <c r="C41" s="516" t="s">
        <v>5518</v>
      </c>
      <c r="D41" s="517"/>
      <c r="E41" s="517"/>
      <c r="F41" s="518"/>
      <c r="G41" s="517"/>
      <c r="H41" s="517"/>
      <c r="I41" s="382">
        <f>SUM(I17:I40)</f>
        <v>255</v>
      </c>
      <c r="J41" s="382">
        <f t="shared" ref="J41:K41" si="94">SUM(J17:J40)</f>
        <v>67</v>
      </c>
      <c r="K41" s="382">
        <f t="shared" si="94"/>
        <v>322</v>
      </c>
      <c r="L41" s="517"/>
      <c r="M41" s="517"/>
      <c r="N41" s="517"/>
      <c r="O41" s="517"/>
      <c r="P41" s="517"/>
      <c r="Q41" s="518"/>
      <c r="R41" s="519"/>
      <c r="S41" s="519"/>
      <c r="T41" s="382">
        <f>SUM(T17:T40)</f>
        <v>8442</v>
      </c>
      <c r="U41" s="382">
        <f>SUM(U17:U40)</f>
        <v>0</v>
      </c>
      <c r="V41" s="382">
        <f>SUM(V17:V40)</f>
        <v>8442</v>
      </c>
      <c r="W41" s="382">
        <f>SUM(W17:W40)</f>
        <v>4221</v>
      </c>
      <c r="X41" s="517"/>
      <c r="Y41" s="517"/>
      <c r="Z41" s="383">
        <f t="shared" ref="Z41:AU41" si="95">SUM(Z17:Z40)</f>
        <v>14</v>
      </c>
      <c r="AA41" s="382">
        <f t="shared" si="95"/>
        <v>1380.9100000000003</v>
      </c>
      <c r="AB41" s="382">
        <f t="shared" si="95"/>
        <v>3120</v>
      </c>
      <c r="AC41" s="382">
        <f t="shared" si="95"/>
        <v>175</v>
      </c>
      <c r="AD41" s="382">
        <f t="shared" si="95"/>
        <v>2388.71</v>
      </c>
      <c r="AE41" s="382">
        <f t="shared" si="95"/>
        <v>7064.62</v>
      </c>
      <c r="AF41" s="382">
        <f t="shared" si="95"/>
        <v>690.50000000000011</v>
      </c>
      <c r="AG41" s="382">
        <f t="shared" si="95"/>
        <v>690.4100000000002</v>
      </c>
      <c r="AH41" s="382">
        <f t="shared" si="95"/>
        <v>1560</v>
      </c>
      <c r="AI41" s="382">
        <f t="shared" si="95"/>
        <v>1560</v>
      </c>
      <c r="AJ41" s="382">
        <f t="shared" si="95"/>
        <v>1194.3999999999999</v>
      </c>
      <c r="AK41" s="382">
        <f t="shared" si="95"/>
        <v>1194.3099999999997</v>
      </c>
      <c r="AL41" s="382">
        <f t="shared" si="95"/>
        <v>3619.8999999999987</v>
      </c>
      <c r="AM41" s="382">
        <f t="shared" si="95"/>
        <v>3444.72</v>
      </c>
      <c r="AN41" s="382">
        <f t="shared" si="95"/>
        <v>7</v>
      </c>
      <c r="AO41" s="382">
        <f t="shared" si="95"/>
        <v>87.5</v>
      </c>
      <c r="AP41" s="382">
        <f t="shared" si="95"/>
        <v>0</v>
      </c>
      <c r="AQ41" s="382">
        <f t="shared" si="95"/>
        <v>0</v>
      </c>
      <c r="AR41" s="382">
        <f t="shared" si="95"/>
        <v>0</v>
      </c>
      <c r="AS41" s="382">
        <f t="shared" si="95"/>
        <v>0</v>
      </c>
      <c r="AT41" s="382">
        <f t="shared" si="95"/>
        <v>87.5</v>
      </c>
      <c r="AU41" s="382">
        <f t="shared" si="95"/>
        <v>15506.619999999999</v>
      </c>
      <c r="AV41" s="384"/>
      <c r="AW41" s="382">
        <f t="shared" ref="AW41:CC41" si="96">SUM(AW17:AW40)</f>
        <v>0</v>
      </c>
      <c r="AX41" s="382">
        <f t="shared" si="96"/>
        <v>23794.720000000001</v>
      </c>
      <c r="AY41" s="382">
        <f t="shared" si="96"/>
        <v>4215</v>
      </c>
      <c r="AZ41" s="593">
        <f t="shared" si="96"/>
        <v>3512.5</v>
      </c>
      <c r="BA41" s="593">
        <f t="shared" si="96"/>
        <v>113918.01</v>
      </c>
      <c r="BB41" s="382">
        <f t="shared" si="96"/>
        <v>0</v>
      </c>
      <c r="BC41" s="382">
        <f t="shared" si="96"/>
        <v>0</v>
      </c>
      <c r="BD41" s="382">
        <f t="shared" si="96"/>
        <v>0</v>
      </c>
      <c r="BE41" s="382">
        <f t="shared" si="96"/>
        <v>0</v>
      </c>
      <c r="BF41" s="382">
        <f t="shared" si="96"/>
        <v>0</v>
      </c>
      <c r="BG41" s="382">
        <f t="shared" si="96"/>
        <v>7200</v>
      </c>
      <c r="BH41" s="382">
        <f t="shared" si="96"/>
        <v>0</v>
      </c>
      <c r="BI41" s="382">
        <f t="shared" si="96"/>
        <v>0</v>
      </c>
      <c r="BJ41" s="382">
        <f t="shared" si="96"/>
        <v>0</v>
      </c>
      <c r="BK41" s="382">
        <f t="shared" si="96"/>
        <v>0</v>
      </c>
      <c r="BL41" s="382">
        <f t="shared" si="96"/>
        <v>572.55000000000007</v>
      </c>
      <c r="BM41" s="382">
        <f t="shared" si="96"/>
        <v>71.580000000000013</v>
      </c>
      <c r="BN41" s="382">
        <f t="shared" si="96"/>
        <v>155.04999999999995</v>
      </c>
      <c r="BO41" s="382">
        <f t="shared" si="96"/>
        <v>0</v>
      </c>
      <c r="BP41" s="382">
        <f t="shared" si="96"/>
        <v>1.44</v>
      </c>
      <c r="BQ41" s="382">
        <f t="shared" si="96"/>
        <v>800.62</v>
      </c>
      <c r="BR41" s="382">
        <f t="shared" si="96"/>
        <v>1288.2300000000002</v>
      </c>
      <c r="BS41" s="382">
        <f t="shared" si="96"/>
        <v>286.25</v>
      </c>
      <c r="BT41" s="382">
        <f t="shared" si="96"/>
        <v>310.09999999999991</v>
      </c>
      <c r="BU41" s="382">
        <f t="shared" si="96"/>
        <v>0</v>
      </c>
      <c r="BV41" s="382">
        <f t="shared" si="96"/>
        <v>1884.58</v>
      </c>
      <c r="BW41" s="382">
        <f t="shared" si="96"/>
        <v>2685.2</v>
      </c>
      <c r="BX41" s="382">
        <f t="shared" si="96"/>
        <v>28479.550000000003</v>
      </c>
      <c r="BY41" s="382">
        <f t="shared" si="96"/>
        <v>0</v>
      </c>
      <c r="BZ41" s="382">
        <f t="shared" si="96"/>
        <v>28479.550000000003</v>
      </c>
      <c r="CA41" s="382">
        <f t="shared" si="96"/>
        <v>50880</v>
      </c>
      <c r="CB41" s="382">
        <f t="shared" si="96"/>
        <v>7040.2799999999988</v>
      </c>
      <c r="CC41" s="382">
        <f t="shared" si="96"/>
        <v>38747.939999999995</v>
      </c>
      <c r="CD41" s="469"/>
      <c r="CE41" s="469"/>
      <c r="CF41" s="469"/>
      <c r="CG41" s="470">
        <f t="shared" ref="CG41:CU41" si="97">SUM(CG17:CG40)</f>
        <v>7040.2799999999988</v>
      </c>
      <c r="CH41" s="470">
        <f>SUM(CH17:CH40)</f>
        <v>7200</v>
      </c>
      <c r="CI41" s="470">
        <f>SUM(CI17:CI40)</f>
        <v>14865.720000000005</v>
      </c>
      <c r="CJ41" s="470">
        <f t="shared" si="97"/>
        <v>7703.909999999998</v>
      </c>
      <c r="CK41" s="470">
        <f t="shared" si="97"/>
        <v>7161.8099999999995</v>
      </c>
      <c r="CL41" s="470">
        <f t="shared" si="97"/>
        <v>0</v>
      </c>
      <c r="CM41" s="470">
        <f t="shared" si="97"/>
        <v>0</v>
      </c>
      <c r="CN41" s="470">
        <f t="shared" si="97"/>
        <v>0</v>
      </c>
      <c r="CO41" s="470">
        <f t="shared" si="97"/>
        <v>0</v>
      </c>
      <c r="CP41" s="470">
        <f t="shared" si="97"/>
        <v>0</v>
      </c>
      <c r="CQ41" s="470">
        <f t="shared" si="97"/>
        <v>87.5</v>
      </c>
      <c r="CR41" s="471">
        <f t="shared" si="97"/>
        <v>23794.720000000001</v>
      </c>
      <c r="CS41" s="471">
        <f t="shared" si="97"/>
        <v>23882.22</v>
      </c>
      <c r="CT41" s="471">
        <f t="shared" si="97"/>
        <v>2685.2</v>
      </c>
      <c r="CU41" s="471">
        <f t="shared" si="97"/>
        <v>50880</v>
      </c>
      <c r="CV41" s="1555"/>
      <c r="CW41" s="1555"/>
      <c r="CX41" s="1555"/>
      <c r="CY41" s="472"/>
      <c r="CZ41" s="478"/>
      <c r="DA41" s="478"/>
      <c r="DB41" s="478"/>
      <c r="DC41" s="478"/>
      <c r="DD41" s="472"/>
      <c r="DE41" s="472"/>
      <c r="DF41" s="472"/>
      <c r="DG41" s="472"/>
      <c r="DH41" s="472"/>
      <c r="DJ41" s="469"/>
      <c r="DK41" s="469"/>
      <c r="DL41" s="1216"/>
    </row>
    <row r="42" spans="1:118" s="192" customFormat="1" ht="25.5" customHeight="1" thickBot="1">
      <c r="A42" s="365" t="s">
        <v>4561</v>
      </c>
      <c r="B42" s="409"/>
      <c r="C42" s="419"/>
      <c r="D42" s="220"/>
      <c r="E42" s="184"/>
      <c r="F42" s="423"/>
      <c r="G42" s="185"/>
      <c r="H42" s="185"/>
      <c r="I42" s="186"/>
      <c r="J42" s="186"/>
      <c r="K42" s="186"/>
      <c r="L42" s="186"/>
      <c r="M42" s="186"/>
      <c r="N42" s="186"/>
      <c r="O42" s="187"/>
      <c r="P42" s="186"/>
      <c r="Q42" s="186"/>
      <c r="R42" s="273"/>
      <c r="S42" s="273"/>
      <c r="T42" s="188"/>
      <c r="U42" s="186"/>
      <c r="V42" s="186"/>
      <c r="W42" s="189"/>
      <c r="X42" s="189"/>
      <c r="Y42" s="186"/>
      <c r="Z42" s="372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90"/>
      <c r="AP42" s="190"/>
      <c r="AQ42" s="190"/>
      <c r="AR42" s="190"/>
      <c r="AS42" s="190"/>
      <c r="AT42" s="190"/>
      <c r="AU42" s="186"/>
      <c r="AV42" s="339"/>
      <c r="AW42" s="186"/>
      <c r="AX42" s="189"/>
      <c r="AY42" s="410"/>
      <c r="AZ42" s="595"/>
      <c r="BA42" s="596"/>
      <c r="BB42" s="186"/>
      <c r="BC42" s="186"/>
      <c r="BD42" s="186"/>
      <c r="BE42" s="186"/>
      <c r="BF42" s="186"/>
      <c r="BG42" s="189"/>
      <c r="BH42" s="189"/>
      <c r="BI42" s="189"/>
      <c r="BJ42" s="189"/>
      <c r="BK42" s="189"/>
      <c r="BL42" s="186"/>
      <c r="BM42" s="186"/>
      <c r="BN42" s="186"/>
      <c r="BO42" s="186"/>
      <c r="BP42" s="186"/>
      <c r="BQ42" s="186"/>
      <c r="BR42" s="189"/>
      <c r="BS42" s="189"/>
      <c r="BT42" s="189"/>
      <c r="BU42" s="189"/>
      <c r="BV42" s="189"/>
      <c r="BW42" s="189"/>
      <c r="BX42" s="189"/>
      <c r="BY42" s="189"/>
      <c r="BZ42" s="189"/>
      <c r="CA42" s="189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191"/>
      <c r="CO42" s="191"/>
      <c r="CP42" s="191"/>
      <c r="CQ42" s="191"/>
      <c r="CR42" s="191"/>
      <c r="CS42" s="191"/>
      <c r="CT42" s="191"/>
      <c r="CU42" s="191"/>
      <c r="CV42" s="191"/>
      <c r="CW42" s="191"/>
      <c r="CX42" s="191"/>
      <c r="CY42" s="191"/>
      <c r="CZ42" s="692"/>
      <c r="DA42" s="692"/>
      <c r="DB42" s="692"/>
      <c r="DC42" s="692"/>
      <c r="DD42" s="191"/>
      <c r="DE42" s="191"/>
      <c r="DF42" s="191"/>
      <c r="DG42" s="191"/>
      <c r="DH42" s="191"/>
      <c r="DJ42" s="191"/>
      <c r="DK42" s="191"/>
      <c r="DL42" s="193"/>
    </row>
    <row r="43" spans="1:118" s="1654" customFormat="1" ht="21.95" customHeight="1">
      <c r="A43" s="1688" t="s">
        <v>2846</v>
      </c>
      <c r="B43" s="1689">
        <v>1</v>
      </c>
      <c r="C43" s="1690">
        <v>4324055</v>
      </c>
      <c r="D43" s="1691" t="s">
        <v>4689</v>
      </c>
      <c r="E43" s="1692" t="s">
        <v>4622</v>
      </c>
      <c r="F43" s="1693">
        <v>20249</v>
      </c>
      <c r="G43" s="1692" t="s">
        <v>4621</v>
      </c>
      <c r="H43" s="1693">
        <v>44470</v>
      </c>
      <c r="I43" s="1694">
        <f t="shared" ref="I43:I106" si="98">IF(AND(YEAR(H43)&lt;YEAR($H$10),MONTH(H43)&gt;$BR$8),YEAR($H$10)-YEAR(H43)-1,IF(OR(H43="",YEAR(H43)&gt;YEAR($H$10)),0,YEAR($H$10)-YEAR(H43)))</f>
        <v>3</v>
      </c>
      <c r="J43" s="1695">
        <v>0</v>
      </c>
      <c r="K43" s="1694">
        <f t="shared" ref="K43:K106" si="99">I43+J43</f>
        <v>3</v>
      </c>
      <c r="L43" s="1696" t="s">
        <v>5536</v>
      </c>
      <c r="M43" s="1695"/>
      <c r="N43" s="1695"/>
      <c r="O43" s="1697" t="s">
        <v>7419</v>
      </c>
      <c r="P43" s="1695" t="s">
        <v>5274</v>
      </c>
      <c r="Q43" s="1698" t="str">
        <f>IFERROR(VLOOKUP(O43,CARGOS!A:E,2,0),"")</f>
        <v>35122</v>
      </c>
      <c r="R43" s="1699" t="s">
        <v>7419</v>
      </c>
      <c r="S43" s="1700" t="s">
        <v>5480</v>
      </c>
      <c r="T43" s="1701">
        <f>IFERROR(VLOOKUP(S43,'TAB EMP'!A:B,2,0),0)</f>
        <v>277</v>
      </c>
      <c r="U43" s="1702">
        <v>0</v>
      </c>
      <c r="V43" s="1701">
        <f t="shared" ref="V43:V110" si="100">T43-U43</f>
        <v>277</v>
      </c>
      <c r="W43" s="1702">
        <f t="shared" ref="W43:W110" si="101">ROUND(V43/2,2)</f>
        <v>138.5</v>
      </c>
      <c r="X43" s="1692" t="s">
        <v>2885</v>
      </c>
      <c r="Y43" s="1692"/>
      <c r="Z43" s="1692">
        <v>0</v>
      </c>
      <c r="AA43" s="1701">
        <f>ROUND(IF(H43&lt;&gt;"",VLOOKUP(SUM(I43+J43),'CONCEPTOS Y PARAMETROS'!F:G,2,0)*V43,0),2)</f>
        <v>8.31</v>
      </c>
      <c r="AB43" s="1701">
        <f>IF(S43&lt;&gt;"",IF(M43="",'CONCEPTOS Y PARAMETROS'!$C$4,0),0)</f>
        <v>130</v>
      </c>
      <c r="AC43" s="1701">
        <f>IF(S43&lt;&gt;"",IF(M43="",'CONCEPTOS Y PARAMETROS'!$C$7*Z43,0),0)</f>
        <v>0</v>
      </c>
      <c r="AD43" s="1701">
        <f>IFERROR(ROUND(VLOOKUP($X43,'CONCEPTOS Y PARAMETROS'!H:I,2,0)*($V43+AA43+AB43+AC43),2),0)</f>
        <v>103.83</v>
      </c>
      <c r="AE43" s="1701">
        <f t="shared" ref="AE43:AE109" si="102">SUM(AA43:AD43)</f>
        <v>242.14</v>
      </c>
      <c r="AF43" s="1701">
        <f t="shared" ref="AF43:AF110" si="103">ROUND(AA43/2,2)</f>
        <v>4.16</v>
      </c>
      <c r="AG43" s="1701">
        <f t="shared" ref="AG43:AG110" si="104">ROUND(AA43-AF43,2)</f>
        <v>4.1500000000000004</v>
      </c>
      <c r="AH43" s="1701">
        <f t="shared" ref="AH43:AH110" si="105">ROUND(AB43/2,2)</f>
        <v>65</v>
      </c>
      <c r="AI43" s="1701">
        <f t="shared" ref="AI43:AI110" si="106">ROUND(AB43-AH43,2)</f>
        <v>65</v>
      </c>
      <c r="AJ43" s="1701">
        <f t="shared" ref="AJ43:AJ110" si="107">ROUND(AD43/2,2)</f>
        <v>51.92</v>
      </c>
      <c r="AK43" s="1701">
        <f t="shared" ref="AK43:AK110" si="108">ROUND(AD43-AJ43,2)</f>
        <v>51.91</v>
      </c>
      <c r="AL43" s="1702">
        <f t="shared" ref="AL43:AL110" si="109">ROUND(AF43+AH43+AJ43+AC43,2)</f>
        <v>121.08</v>
      </c>
      <c r="AM43" s="1702">
        <f t="shared" ref="AM43:AM110" si="110">ROUND(AG43+AI43+AK43,2)</f>
        <v>121.06</v>
      </c>
      <c r="AN43" s="1703">
        <v>0</v>
      </c>
      <c r="AO43" s="1704">
        <f>'CONCEPTOS Y PARAMETROS'!$C$18*AN43</f>
        <v>0</v>
      </c>
      <c r="AP43" s="1703">
        <v>0</v>
      </c>
      <c r="AQ43" s="1704">
        <f>'CONCEPTOS Y PARAMETROS'!$C$21*AP43</f>
        <v>0</v>
      </c>
      <c r="AR43" s="1705">
        <v>0</v>
      </c>
      <c r="AS43" s="1705">
        <v>0</v>
      </c>
      <c r="AT43" s="1705">
        <f t="shared" ref="AT43:AT76" si="111">+AO43+AQ43+AR43+AS43</f>
        <v>0</v>
      </c>
      <c r="AU43" s="1702">
        <f t="shared" ref="AU43:AU110" si="112">V43+AE43+AW43</f>
        <v>519.14</v>
      </c>
      <c r="AV43" s="1706">
        <v>0</v>
      </c>
      <c r="AW43" s="1702">
        <f t="shared" ref="AW43:AW77" si="113">ROUND(IF(AV43="NOCTURN",(V43+AE43)*30%,0),2)</f>
        <v>0</v>
      </c>
      <c r="AX43" s="1701">
        <f>IF(T43&lt;&gt;"0",(ROUND(IF(A43="EMPLEADO",eval_formula('CONCEPTOS Y PARAMETROS'!$C$8,NOMINA!V43,NOMINA!$AU43,NOMINA!I43+NOMINA!J43),eval_formula('CONCEPTOS Y PARAMETROS'!$D$8,NOMINA!V43,NOMINA!$AU43,NOMINA!I43+NOMINA!J43)),2))*IF(H43&lt;&gt;"",IF(MONTH(H43)=$BR$8,IF(YEAR(H43)&lt;$BT$7,1,0),0)))</f>
        <v>0</v>
      </c>
      <c r="AY43" s="1702">
        <v>180</v>
      </c>
      <c r="AZ43" s="1701">
        <f>IFERROR(VLOOKUP(AY43,'CONCEPTOS Y PARAMETROS'!Y:Z,2,0),0)</f>
        <v>150</v>
      </c>
      <c r="BA43" s="1701">
        <f t="shared" ref="BA43:BA110" si="114">ROUND((((AU43))/30*AY43/12+(AU43))/30*AZ43,2)</f>
        <v>3893.55</v>
      </c>
      <c r="BB43" s="1701">
        <f>ROUND(AU43/30*$BB$10,2)</f>
        <v>0</v>
      </c>
      <c r="BC43" s="1703">
        <v>0</v>
      </c>
      <c r="BD43" s="1701" t="str">
        <f t="shared" ref="BD43:BD110" si="115">IF(BC43&gt;0,((((((V43+AA43+AB43+AC43+AD43)/30)/8)*50%)+((((V43+AA43+AB43+AC43+AD43)/30)/8)))*30%+(((((V43+AA43+AB43+AC43+AD43)/30)/8)*50%)+((((V43+AA43+AB43+AC43+AD43)/30)/8))))*BC43,"0")</f>
        <v>0</v>
      </c>
      <c r="BE43" s="1703">
        <v>0</v>
      </c>
      <c r="BF43" s="1701">
        <f t="shared" ref="BF43:BF49" si="116">ROUND(IF(BE43&gt;0,(((V43+AA43+AB43+AC43+AD43+AW43)/30)*50%+((V43+AA43+AB43+AC43+AD43+AW43)/30))*BE43,"0"),2)</f>
        <v>0</v>
      </c>
      <c r="BG43" s="1702">
        <v>300</v>
      </c>
      <c r="BH43" s="1702">
        <f t="shared" ref="BH43:BH106" si="117">+IF(AND(Z43&gt;0,G43="M"),12.5,0)*0</f>
        <v>0</v>
      </c>
      <c r="BI43" s="1692">
        <v>0</v>
      </c>
      <c r="BJ43" s="1692">
        <f t="shared" ref="BJ43:BJ106" si="118">+IF(BI43&lt;&gt;0,(BI43*12.5),0)</f>
        <v>0</v>
      </c>
      <c r="BK43" s="1702">
        <v>0</v>
      </c>
      <c r="BL43" s="1701">
        <f>ROUND(IF(M43="", (((AU43*12)/52)*4%)*$BS$8,0),2)</f>
        <v>19.170000000000002</v>
      </c>
      <c r="BM43" s="1701">
        <f>ROUND(IF(M43="",(((AU43*12)/52)*0.5%)*$BS$8,0),2)</f>
        <v>2.4</v>
      </c>
      <c r="BN43" s="1701">
        <f t="shared" ref="BN43:BN106" si="119">ROUND(IF(M43="",(AU43*1%),0),2)</f>
        <v>5.19</v>
      </c>
      <c r="BO43" s="1701">
        <v>0</v>
      </c>
      <c r="BP43" s="1701">
        <v>0</v>
      </c>
      <c r="BQ43" s="1707">
        <f t="shared" ref="BQ43:BQ110" si="120">ROUND(SUM(BL43:BP43),2)</f>
        <v>26.76</v>
      </c>
      <c r="BR43" s="1701">
        <f>ROUND(IF(M43="", (((AU43*12)/52)*9%)*$BS$8,0),2)</f>
        <v>43.13</v>
      </c>
      <c r="BS43" s="1701">
        <f>ROUND(IF(M43="",(((AU43*12)/52)*2%)*$BS$8,0),2)</f>
        <v>9.58</v>
      </c>
      <c r="BT43" s="1701">
        <f t="shared" ref="BT43:BT106" si="121">ROUND(IF(M43="",(BN43*2),0),2)</f>
        <v>10.38</v>
      </c>
      <c r="BU43" s="1701">
        <v>0</v>
      </c>
      <c r="BV43" s="1702">
        <f t="shared" ref="BV43:BV110" si="122">ROUND(SUM(BR43:BT43),2)</f>
        <v>63.09</v>
      </c>
      <c r="BW43" s="1708">
        <f t="shared" ref="BW43:BW110" si="123">BQ43+BV43</f>
        <v>89.850000000000009</v>
      </c>
      <c r="BX43" s="1708">
        <f t="shared" ref="BX43:BX56" si="124">ROUND(BA43/4,2)</f>
        <v>973.39</v>
      </c>
      <c r="BY43" s="1708">
        <v>0</v>
      </c>
      <c r="BZ43" s="1708">
        <f t="shared" ref="BZ43:BZ106" si="125">+BX43+BY43</f>
        <v>973.39</v>
      </c>
      <c r="CA43" s="1709">
        <f>'CONCEPTOS Y PARAMETROS'!$A$102</f>
        <v>2120</v>
      </c>
      <c r="CB43" s="1708">
        <f t="shared" ref="CB43:CB106" si="126">W43+AL43-BQ43</f>
        <v>232.82</v>
      </c>
      <c r="CC43" s="1710">
        <f t="shared" ref="CC43:CC106" si="127">ROUND((W43+AM43+AT43+AW43+AX43+BB43+BD43+BF43+BJ43+BK43+BG43),2)</f>
        <v>559.55999999999995</v>
      </c>
      <c r="CD43" s="1647"/>
      <c r="CE43" s="1647"/>
      <c r="CF43" s="1648"/>
      <c r="CG43" s="1649">
        <f t="shared" ref="CG43:CG106" si="128">W43+AL43-BQ43</f>
        <v>232.82</v>
      </c>
      <c r="CH43" s="1713">
        <f t="shared" ref="CH43:CH106" si="129">BG43</f>
        <v>300</v>
      </c>
      <c r="CI43" s="1649">
        <f t="shared" ref="CI43:CI106" si="130">W43+AM43+BG43</f>
        <v>559.55999999999995</v>
      </c>
      <c r="CJ43" s="1649">
        <f t="shared" ref="CJ43:CJ106" si="131">ROUND(IF(CI43&gt;560,CI43*48%,CI43),2)</f>
        <v>559.55999999999995</v>
      </c>
      <c r="CK43" s="1649">
        <f t="shared" ref="CK43:CK106" si="132">+CI43-CJ43</f>
        <v>0</v>
      </c>
      <c r="CL43" s="1649">
        <f t="shared" ref="CL43:CL106" si="133">+BJ43</f>
        <v>0</v>
      </c>
      <c r="CM43" s="1649">
        <f t="shared" ref="CM43:CM106" si="134">+BK43</f>
        <v>0</v>
      </c>
      <c r="CN43" s="1650">
        <f t="shared" ref="CN43:CN106" si="135">BF43+BB43</f>
        <v>0</v>
      </c>
      <c r="CO43" s="1651">
        <v>0</v>
      </c>
      <c r="CP43" s="1650">
        <f t="shared" ref="CP43:CP106" si="136">AW43</f>
        <v>0</v>
      </c>
      <c r="CQ43" s="1652">
        <f t="shared" ref="CQ43:CQ106" si="137">AT43+CL43+CM43</f>
        <v>0</v>
      </c>
      <c r="CR43" s="1650">
        <f t="shared" ref="CR43:CR106" si="138">AX43</f>
        <v>0</v>
      </c>
      <c r="CS43" s="1650">
        <f t="shared" ref="CS43:CS106" si="139">SUM(CL43:CR43)</f>
        <v>0</v>
      </c>
      <c r="CT43" s="1650">
        <f t="shared" ref="CT43:CT106" si="140">BQ43+BV43</f>
        <v>89.850000000000009</v>
      </c>
      <c r="CU43" s="1650">
        <f t="shared" ref="CU43:CU106" si="141">CA43</f>
        <v>2120</v>
      </c>
      <c r="CV43" s="1653"/>
      <c r="CW43" s="1691" t="s">
        <v>6950</v>
      </c>
      <c r="CX43" s="1691" t="s">
        <v>7181</v>
      </c>
      <c r="CY43" s="1647"/>
      <c r="CZ43" s="1647" t="s">
        <v>6356</v>
      </c>
      <c r="DA43" s="1647" t="s">
        <v>6257</v>
      </c>
      <c r="DB43" s="1647" t="s">
        <v>6238</v>
      </c>
      <c r="DC43" s="1647" t="s">
        <v>6255</v>
      </c>
      <c r="DD43" s="1647"/>
      <c r="DE43" s="1647"/>
      <c r="DF43" s="1647"/>
      <c r="DG43" s="1647"/>
      <c r="DH43" s="1647"/>
      <c r="DJ43" s="1654" t="str">
        <f>VLOOKUP(X43,Hoja1!$A$4:$B$10,2,0)</f>
        <v>PROFESIONAL</v>
      </c>
      <c r="DK43" s="1654" t="str">
        <f>VLOOKUP(S43,Hoja1!$D$4:$F$77,3,0)</f>
        <v>PII - II</v>
      </c>
      <c r="DL43" s="1687" t="str">
        <f t="shared" ref="DL43:DL106" si="142">IF(AV43="NOCTURN","SI","0")</f>
        <v>0</v>
      </c>
      <c r="DM43" s="1742" t="str">
        <f t="shared" ref="DM43:DM106" si="143">+G43</f>
        <v>M</v>
      </c>
      <c r="DN43" s="1742"/>
    </row>
    <row r="44" spans="1:118" s="473" customFormat="1" ht="21.95" customHeight="1">
      <c r="A44" s="510" t="s">
        <v>2846</v>
      </c>
      <c r="B44" s="1390">
        <f t="shared" ref="B44:B137" ca="1" si="144">OFFSET(B44,-1,0)+1</f>
        <v>2</v>
      </c>
      <c r="C44" s="1194">
        <v>4657974</v>
      </c>
      <c r="D44" s="1195" t="s">
        <v>4690</v>
      </c>
      <c r="E44" s="1180" t="s">
        <v>4622</v>
      </c>
      <c r="F44" s="1196">
        <v>19914</v>
      </c>
      <c r="G44" s="1180" t="s">
        <v>4621</v>
      </c>
      <c r="H44" s="1196">
        <v>39463</v>
      </c>
      <c r="I44" s="1185">
        <f t="shared" si="98"/>
        <v>17</v>
      </c>
      <c r="J44" s="1177">
        <v>0</v>
      </c>
      <c r="K44" s="1185">
        <f t="shared" si="99"/>
        <v>17</v>
      </c>
      <c r="L44" s="1191" t="s">
        <v>5547</v>
      </c>
      <c r="M44" s="1177"/>
      <c r="N44" s="1177"/>
      <c r="O44" s="1040" t="s">
        <v>5217</v>
      </c>
      <c r="P44" s="1177" t="s">
        <v>5275</v>
      </c>
      <c r="Q44" s="1391" t="str">
        <f>IFERROR(VLOOKUP(O44,CARGOS!A:E,2,0),"")</f>
        <v>37921</v>
      </c>
      <c r="R44" s="1403" t="s">
        <v>5217</v>
      </c>
      <c r="S44" s="1192" t="s">
        <v>5470</v>
      </c>
      <c r="T44" s="1150">
        <f>IFERROR(VLOOKUP(S44,'TAB EMP'!A:B,2,0),0)</f>
        <v>176</v>
      </c>
      <c r="U44" s="1151">
        <v>0</v>
      </c>
      <c r="V44" s="1150">
        <f t="shared" si="100"/>
        <v>176</v>
      </c>
      <c r="W44" s="1151">
        <f t="shared" si="101"/>
        <v>88</v>
      </c>
      <c r="X44" s="1180" t="s">
        <v>2884</v>
      </c>
      <c r="Y44" s="1180"/>
      <c r="Z44" s="1180">
        <v>0</v>
      </c>
      <c r="AA44" s="1150">
        <f>ROUND(IF(H44&lt;&gt;"",VLOOKUP(SUM(I44+J44),'CONCEPTOS Y PARAMETROS'!F:G,2,0)*V44,0),2)</f>
        <v>37.31</v>
      </c>
      <c r="AB44" s="1150">
        <f>IF(S44&lt;&gt;"",IF(M44="",'CONCEPTOS Y PARAMETROS'!$C$4,0),0)</f>
        <v>130</v>
      </c>
      <c r="AC44" s="1150">
        <f>IF(S44&lt;&gt;"",IF(M44="",'CONCEPTOS Y PARAMETROS'!$C$7*Z44,0),0)</f>
        <v>0</v>
      </c>
      <c r="AD44" s="1150">
        <f>IFERROR(ROUND(VLOOKUP($X44,'CONCEPTOS Y PARAMETROS'!H:I,2,0)*($V44+AA44+AB44+AC44),2),0)</f>
        <v>0</v>
      </c>
      <c r="AE44" s="1150">
        <f t="shared" si="102"/>
        <v>167.31</v>
      </c>
      <c r="AF44" s="1150">
        <f t="shared" si="103"/>
        <v>18.66</v>
      </c>
      <c r="AG44" s="1150">
        <f t="shared" si="104"/>
        <v>18.649999999999999</v>
      </c>
      <c r="AH44" s="1150">
        <f t="shared" si="105"/>
        <v>65</v>
      </c>
      <c r="AI44" s="1150">
        <f t="shared" si="106"/>
        <v>65</v>
      </c>
      <c r="AJ44" s="1150">
        <f t="shared" si="107"/>
        <v>0</v>
      </c>
      <c r="AK44" s="1150">
        <f t="shared" si="108"/>
        <v>0</v>
      </c>
      <c r="AL44" s="1151">
        <f t="shared" si="109"/>
        <v>83.66</v>
      </c>
      <c r="AM44" s="1151">
        <f t="shared" si="110"/>
        <v>83.65</v>
      </c>
      <c r="AN44" s="1028">
        <v>0</v>
      </c>
      <c r="AO44" s="1193">
        <f>'CONCEPTOS Y PARAMETROS'!$C$18*AN44</f>
        <v>0</v>
      </c>
      <c r="AP44" s="1028">
        <v>0</v>
      </c>
      <c r="AQ44" s="1193">
        <f>'CONCEPTOS Y PARAMETROS'!$C$21*AP44</f>
        <v>0</v>
      </c>
      <c r="AR44" s="1394">
        <v>0</v>
      </c>
      <c r="AS44" s="1394">
        <v>0</v>
      </c>
      <c r="AT44" s="1394">
        <f t="shared" si="111"/>
        <v>0</v>
      </c>
      <c r="AU44" s="1151">
        <f t="shared" si="112"/>
        <v>343.31</v>
      </c>
      <c r="AV44" s="1178">
        <v>0</v>
      </c>
      <c r="AW44" s="1151">
        <f t="shared" si="113"/>
        <v>0</v>
      </c>
      <c r="AX44" s="1150">
        <f>IF(T44&lt;&gt;"0",(ROUND(IF(A44="EMPLEADO",eval_formula('CONCEPTOS Y PARAMETROS'!$C$8,NOMINA!V44,NOMINA!$AU44,NOMINA!I44+NOMINA!J44),eval_formula('CONCEPTOS Y PARAMETROS'!$D$8,NOMINA!V44,NOMINA!$AU44,NOMINA!I44+NOMINA!J44)),2))*IF(H44&lt;&gt;"",IF(MONTH(H44)=$BR$8,IF(YEAR(H44)&lt;$BT$7,1,0),0)))</f>
        <v>2746.48</v>
      </c>
      <c r="AY44" s="1151">
        <v>180</v>
      </c>
      <c r="AZ44" s="1150">
        <f>IFERROR(VLOOKUP(AY44,'CONCEPTOS Y PARAMETROS'!Y:Z,2,0),0)</f>
        <v>150</v>
      </c>
      <c r="BA44" s="1150">
        <f t="shared" si="114"/>
        <v>2574.83</v>
      </c>
      <c r="BB44" s="1150">
        <f>ROUND(AU44/30*$BB$10,2)</f>
        <v>0</v>
      </c>
      <c r="BC44" s="1028">
        <v>0</v>
      </c>
      <c r="BD44" s="1150" t="str">
        <f t="shared" si="115"/>
        <v>0</v>
      </c>
      <c r="BE44" s="1028">
        <v>0</v>
      </c>
      <c r="BF44" s="1150">
        <f t="shared" si="116"/>
        <v>0</v>
      </c>
      <c r="BG44" s="1151">
        <v>300</v>
      </c>
      <c r="BH44" s="1151">
        <f t="shared" si="117"/>
        <v>0</v>
      </c>
      <c r="BI44" s="1180">
        <v>0</v>
      </c>
      <c r="BJ44" s="1600">
        <f t="shared" si="118"/>
        <v>0</v>
      </c>
      <c r="BK44" s="1151">
        <v>0</v>
      </c>
      <c r="BL44" s="1150">
        <f>ROUND(IF(M44="", (((AU44*12)/52)*4%)*$BS$8,0),2)</f>
        <v>12.68</v>
      </c>
      <c r="BM44" s="1150">
        <f>ROUND(IF(M44="",(((AU44*12)/52)*0.5%)*$BS$8,0),2)</f>
        <v>1.58</v>
      </c>
      <c r="BN44" s="1150">
        <f t="shared" si="119"/>
        <v>3.43</v>
      </c>
      <c r="BO44" s="1150">
        <v>0</v>
      </c>
      <c r="BP44" s="1150">
        <v>0</v>
      </c>
      <c r="BQ44" s="1396">
        <f t="shared" si="120"/>
        <v>17.690000000000001</v>
      </c>
      <c r="BR44" s="1150">
        <f>ROUND(IF(M44="", (((AU44*12)/52)*9%)*$BS$8,0),2)</f>
        <v>28.52</v>
      </c>
      <c r="BS44" s="1150">
        <f>ROUND(IF(M44="",(((AU44*12)/52)*2%)*$BS$8,0),2)</f>
        <v>6.34</v>
      </c>
      <c r="BT44" s="1150">
        <f t="shared" si="121"/>
        <v>6.86</v>
      </c>
      <c r="BU44" s="1150">
        <v>0</v>
      </c>
      <c r="BV44" s="1151">
        <f t="shared" si="122"/>
        <v>41.72</v>
      </c>
      <c r="BW44" s="1155">
        <f t="shared" si="123"/>
        <v>59.41</v>
      </c>
      <c r="BX44" s="1155">
        <f t="shared" si="124"/>
        <v>643.71</v>
      </c>
      <c r="BY44" s="1151">
        <v>0</v>
      </c>
      <c r="BZ44" s="1151">
        <f t="shared" si="125"/>
        <v>643.71</v>
      </c>
      <c r="CA44" s="1397">
        <f>'CONCEPTOS Y PARAMETROS'!$A$102</f>
        <v>2120</v>
      </c>
      <c r="CB44" s="1155">
        <f t="shared" si="126"/>
        <v>153.97</v>
      </c>
      <c r="CC44" s="1156">
        <f t="shared" si="127"/>
        <v>3218.13</v>
      </c>
      <c r="CD44" s="514"/>
      <c r="CE44" s="514"/>
      <c r="CF44" s="520"/>
      <c r="CG44" s="497">
        <f t="shared" si="128"/>
        <v>153.97</v>
      </c>
      <c r="CH44" s="1711">
        <f t="shared" si="129"/>
        <v>300</v>
      </c>
      <c r="CI44" s="497">
        <f t="shared" si="130"/>
        <v>471.65</v>
      </c>
      <c r="CJ44" s="497">
        <f t="shared" si="131"/>
        <v>471.65</v>
      </c>
      <c r="CK44" s="497">
        <f t="shared" si="132"/>
        <v>0</v>
      </c>
      <c r="CL44" s="497">
        <f t="shared" si="133"/>
        <v>0</v>
      </c>
      <c r="CM44" s="497">
        <f t="shared" si="134"/>
        <v>0</v>
      </c>
      <c r="CN44" s="498">
        <f t="shared" si="135"/>
        <v>0</v>
      </c>
      <c r="CO44" s="499">
        <v>0</v>
      </c>
      <c r="CP44" s="498">
        <f t="shared" si="136"/>
        <v>0</v>
      </c>
      <c r="CQ44" s="500">
        <f t="shared" si="137"/>
        <v>0</v>
      </c>
      <c r="CR44" s="498">
        <f t="shared" si="138"/>
        <v>2746.48</v>
      </c>
      <c r="CS44" s="498">
        <f t="shared" si="139"/>
        <v>2746.48</v>
      </c>
      <c r="CT44" s="498">
        <f t="shared" si="140"/>
        <v>59.41</v>
      </c>
      <c r="CU44" s="498">
        <f t="shared" si="141"/>
        <v>2120</v>
      </c>
      <c r="CV44" s="1554"/>
      <c r="CW44" s="1195" t="s">
        <v>7187</v>
      </c>
      <c r="CX44" s="1195" t="s">
        <v>7221</v>
      </c>
      <c r="CY44" s="472"/>
      <c r="CZ44" s="514" t="s">
        <v>6374</v>
      </c>
      <c r="DA44" s="514" t="s">
        <v>6188</v>
      </c>
      <c r="DB44" s="514" t="s">
        <v>6375</v>
      </c>
      <c r="DC44" s="514" t="s">
        <v>6271</v>
      </c>
      <c r="DD44" s="472"/>
      <c r="DE44" s="472"/>
      <c r="DF44" s="472"/>
      <c r="DG44" s="472"/>
      <c r="DH44" s="472"/>
      <c r="DJ44" s="473" t="str">
        <f>VLOOKUP(X44,Hoja1!$A$4:$B$10,2,0)</f>
        <v>BACHILLER</v>
      </c>
      <c r="DK44" s="473" t="str">
        <f>VLOOKUP(S44,Hoja1!$D$4:$F$77,3,0)</f>
        <v>BIII - VI</v>
      </c>
      <c r="DL44" s="1216" t="str">
        <f t="shared" si="142"/>
        <v>0</v>
      </c>
      <c r="DM44" s="1741" t="str">
        <f t="shared" si="143"/>
        <v>M</v>
      </c>
      <c r="DN44" s="1741"/>
    </row>
    <row r="45" spans="1:118" s="473" customFormat="1" ht="21.95" customHeight="1">
      <c r="A45" s="510" t="s">
        <v>2846</v>
      </c>
      <c r="B45" s="1390">
        <f t="shared" ca="1" si="144"/>
        <v>3</v>
      </c>
      <c r="C45" s="1194">
        <v>5762861</v>
      </c>
      <c r="D45" s="1195" t="s">
        <v>4691</v>
      </c>
      <c r="E45" s="1180" t="s">
        <v>4622</v>
      </c>
      <c r="F45" s="1196">
        <v>22691</v>
      </c>
      <c r="G45" s="1180" t="s">
        <v>4620</v>
      </c>
      <c r="H45" s="1196">
        <v>37851</v>
      </c>
      <c r="I45" s="1185">
        <f t="shared" si="98"/>
        <v>21</v>
      </c>
      <c r="J45" s="1177">
        <v>4</v>
      </c>
      <c r="K45" s="1185">
        <f t="shared" si="99"/>
        <v>25</v>
      </c>
      <c r="L45" s="1191" t="s">
        <v>5548</v>
      </c>
      <c r="M45" s="1177"/>
      <c r="N45" s="1177"/>
      <c r="O45" s="1040" t="s">
        <v>5218</v>
      </c>
      <c r="P45" s="1177" t="s">
        <v>5276</v>
      </c>
      <c r="Q45" s="1391" t="str">
        <f>IFERROR(VLOOKUP(O45,CARGOS!A:E,2,0),"")</f>
        <v/>
      </c>
      <c r="R45" s="1403" t="s">
        <v>5218</v>
      </c>
      <c r="S45" s="1192" t="s">
        <v>5471</v>
      </c>
      <c r="T45" s="1150">
        <f>IFERROR(VLOOKUP(S45,'TAB EMP'!A:B,2,0),0)</f>
        <v>287</v>
      </c>
      <c r="U45" s="1151">
        <v>0</v>
      </c>
      <c r="V45" s="1150">
        <f t="shared" si="100"/>
        <v>287</v>
      </c>
      <c r="W45" s="1151">
        <f t="shared" si="101"/>
        <v>143.5</v>
      </c>
      <c r="X45" s="1180" t="s">
        <v>2885</v>
      </c>
      <c r="Y45" s="1180"/>
      <c r="Z45" s="1180">
        <v>0</v>
      </c>
      <c r="AA45" s="1150">
        <f>ROUND(IF(H45&lt;&gt;"",VLOOKUP(SUM(I45+J45),'CONCEPTOS Y PARAMETROS'!F:G,2,0)*V45,0),2)</f>
        <v>86.1</v>
      </c>
      <c r="AB45" s="1150">
        <f>IF(S45&lt;&gt;"",IF(M45="",'CONCEPTOS Y PARAMETROS'!$C$4,0),0)</f>
        <v>130</v>
      </c>
      <c r="AC45" s="1150">
        <f>IF(S45&lt;&gt;"",IF(M45="",'CONCEPTOS Y PARAMETROS'!$C$7*Z45,0),0)</f>
        <v>0</v>
      </c>
      <c r="AD45" s="1150">
        <f>IFERROR(ROUND(VLOOKUP($X45,'CONCEPTOS Y PARAMETROS'!H:I,2,0)*($V45+AA45+AB45+AC45),2),0)</f>
        <v>125.78</v>
      </c>
      <c r="AE45" s="1150">
        <f t="shared" si="102"/>
        <v>341.88</v>
      </c>
      <c r="AF45" s="1150">
        <f t="shared" si="103"/>
        <v>43.05</v>
      </c>
      <c r="AG45" s="1150">
        <f t="shared" si="104"/>
        <v>43.05</v>
      </c>
      <c r="AH45" s="1150">
        <f t="shared" si="105"/>
        <v>65</v>
      </c>
      <c r="AI45" s="1150">
        <f t="shared" si="106"/>
        <v>65</v>
      </c>
      <c r="AJ45" s="1150">
        <f t="shared" si="107"/>
        <v>62.89</v>
      </c>
      <c r="AK45" s="1150">
        <f t="shared" si="108"/>
        <v>62.89</v>
      </c>
      <c r="AL45" s="1151">
        <f t="shared" si="109"/>
        <v>170.94</v>
      </c>
      <c r="AM45" s="1151">
        <f t="shared" si="110"/>
        <v>170.94</v>
      </c>
      <c r="AN45" s="1028">
        <v>0</v>
      </c>
      <c r="AO45" s="1193">
        <f>'CONCEPTOS Y PARAMETROS'!$C$18*AN45</f>
        <v>0</v>
      </c>
      <c r="AP45" s="1028">
        <v>0</v>
      </c>
      <c r="AQ45" s="1193">
        <f>'CONCEPTOS Y PARAMETROS'!$C$21*AP45</f>
        <v>0</v>
      </c>
      <c r="AR45" s="1394">
        <v>0</v>
      </c>
      <c r="AS45" s="1394">
        <v>0</v>
      </c>
      <c r="AT45" s="1394">
        <f t="shared" si="111"/>
        <v>0</v>
      </c>
      <c r="AU45" s="1151">
        <f t="shared" si="112"/>
        <v>628.88</v>
      </c>
      <c r="AV45" s="1178">
        <v>0</v>
      </c>
      <c r="AW45" s="1151">
        <f t="shared" si="113"/>
        <v>0</v>
      </c>
      <c r="AX45" s="1150">
        <f>IF(T45&lt;&gt;"0",(ROUND(IF(A45="EMPLEADO",eval_formula('CONCEPTOS Y PARAMETROS'!$C$8,NOMINA!V45,NOMINA!$AU45,NOMINA!I45+NOMINA!J45),eval_formula('CONCEPTOS Y PARAMETROS'!$D$8,NOMINA!V45,NOMINA!$AU45,NOMINA!I45+NOMINA!J45)),2))*IF(H45&lt;&gt;"",IF(MONTH(H45)=$BR$8,IF(YEAR(H45)&lt;$BT$7,1,0),0)))</f>
        <v>0</v>
      </c>
      <c r="AY45" s="1151">
        <v>180</v>
      </c>
      <c r="AZ45" s="1150">
        <f>IFERROR(VLOOKUP(AY45,'CONCEPTOS Y PARAMETROS'!Y:Z,2,0),0)</f>
        <v>150</v>
      </c>
      <c r="BA45" s="1150">
        <f t="shared" si="114"/>
        <v>4716.6000000000004</v>
      </c>
      <c r="BB45" s="1150">
        <f t="shared" ref="BB45:BB109" si="145">ROUND(AU45/30*$BB$10,2)</f>
        <v>0</v>
      </c>
      <c r="BC45" s="1028">
        <v>0</v>
      </c>
      <c r="BD45" s="1150" t="str">
        <f t="shared" si="115"/>
        <v>0</v>
      </c>
      <c r="BE45" s="1028">
        <v>0</v>
      </c>
      <c r="BF45" s="1150">
        <f t="shared" si="116"/>
        <v>0</v>
      </c>
      <c r="BG45" s="1151">
        <v>300</v>
      </c>
      <c r="BH45" s="1151">
        <f t="shared" si="117"/>
        <v>0</v>
      </c>
      <c r="BI45" s="1180">
        <v>0</v>
      </c>
      <c r="BJ45" s="1600">
        <f t="shared" si="118"/>
        <v>0</v>
      </c>
      <c r="BK45" s="1151">
        <v>0</v>
      </c>
      <c r="BL45" s="1150">
        <v>0</v>
      </c>
      <c r="BM45" s="1150">
        <v>0</v>
      </c>
      <c r="BN45" s="1150">
        <f t="shared" si="119"/>
        <v>6.29</v>
      </c>
      <c r="BO45" s="1150">
        <v>0</v>
      </c>
      <c r="BP45" s="1150">
        <v>0</v>
      </c>
      <c r="BQ45" s="1396">
        <f t="shared" si="120"/>
        <v>6.29</v>
      </c>
      <c r="BR45" s="1150">
        <v>0</v>
      </c>
      <c r="BS45" s="1150">
        <v>0</v>
      </c>
      <c r="BT45" s="1150">
        <f t="shared" si="121"/>
        <v>12.58</v>
      </c>
      <c r="BU45" s="1150">
        <v>0</v>
      </c>
      <c r="BV45" s="1151">
        <f t="shared" si="122"/>
        <v>12.58</v>
      </c>
      <c r="BW45" s="1155">
        <f t="shared" si="123"/>
        <v>18.87</v>
      </c>
      <c r="BX45" s="1155">
        <f t="shared" si="124"/>
        <v>1179.1500000000001</v>
      </c>
      <c r="BY45" s="1151">
        <v>0</v>
      </c>
      <c r="BZ45" s="1151">
        <f t="shared" si="125"/>
        <v>1179.1500000000001</v>
      </c>
      <c r="CA45" s="1397">
        <f>'CONCEPTOS Y PARAMETROS'!$A$102</f>
        <v>2120</v>
      </c>
      <c r="CB45" s="1155">
        <f t="shared" si="126"/>
        <v>308.14999999999998</v>
      </c>
      <c r="CC45" s="1156">
        <f t="shared" si="127"/>
        <v>614.44000000000005</v>
      </c>
      <c r="CD45" s="514"/>
      <c r="CE45" s="514"/>
      <c r="CF45" s="520"/>
      <c r="CG45" s="497">
        <f t="shared" si="128"/>
        <v>308.14999999999998</v>
      </c>
      <c r="CH45" s="1711">
        <f t="shared" si="129"/>
        <v>300</v>
      </c>
      <c r="CI45" s="497">
        <f t="shared" si="130"/>
        <v>614.44000000000005</v>
      </c>
      <c r="CJ45" s="497">
        <f t="shared" si="131"/>
        <v>294.93</v>
      </c>
      <c r="CK45" s="497">
        <f t="shared" si="132"/>
        <v>319.51000000000005</v>
      </c>
      <c r="CL45" s="497">
        <f t="shared" si="133"/>
        <v>0</v>
      </c>
      <c r="CM45" s="497">
        <f t="shared" si="134"/>
        <v>0</v>
      </c>
      <c r="CN45" s="498">
        <f t="shared" si="135"/>
        <v>0</v>
      </c>
      <c r="CO45" s="499">
        <v>0</v>
      </c>
      <c r="CP45" s="498">
        <f t="shared" si="136"/>
        <v>0</v>
      </c>
      <c r="CQ45" s="500">
        <f t="shared" si="137"/>
        <v>0</v>
      </c>
      <c r="CR45" s="498">
        <f t="shared" si="138"/>
        <v>0</v>
      </c>
      <c r="CS45" s="498">
        <f t="shared" si="139"/>
        <v>0</v>
      </c>
      <c r="CT45" s="498">
        <f t="shared" si="140"/>
        <v>18.87</v>
      </c>
      <c r="CU45" s="498">
        <f t="shared" si="141"/>
        <v>2120</v>
      </c>
      <c r="CV45" s="1554"/>
      <c r="CW45" s="1195" t="s">
        <v>6951</v>
      </c>
      <c r="CX45" s="1195" t="s">
        <v>7222</v>
      </c>
      <c r="CY45" s="472"/>
      <c r="CZ45" s="514" t="s">
        <v>6464</v>
      </c>
      <c r="DA45" s="514" t="s">
        <v>6241</v>
      </c>
      <c r="DB45" s="514" t="s">
        <v>6237</v>
      </c>
      <c r="DC45" s="514" t="s">
        <v>6253</v>
      </c>
      <c r="DD45" s="472"/>
      <c r="DE45" s="472"/>
      <c r="DF45" s="472"/>
      <c r="DG45" s="472"/>
      <c r="DH45" s="472"/>
      <c r="DJ45" s="473" t="str">
        <f>VLOOKUP(X45,Hoja1!$A$4:$B$10,2,0)</f>
        <v>PROFESIONAL</v>
      </c>
      <c r="DK45" s="473" t="str">
        <f>VLOOKUP(S45,Hoja1!$D$4:$F$77,3,0)</f>
        <v>PII - VII</v>
      </c>
      <c r="DL45" s="1216" t="str">
        <f t="shared" si="142"/>
        <v>0</v>
      </c>
      <c r="DM45" s="1741" t="str">
        <f t="shared" si="143"/>
        <v>F</v>
      </c>
      <c r="DN45" s="1741"/>
    </row>
    <row r="46" spans="1:118" s="473" customFormat="1" ht="21.95" customHeight="1">
      <c r="A46" s="510" t="s">
        <v>2846</v>
      </c>
      <c r="B46" s="1390">
        <f t="shared" ca="1" si="144"/>
        <v>4</v>
      </c>
      <c r="C46" s="1194">
        <v>5782060</v>
      </c>
      <c r="D46" s="1195" t="s">
        <v>4692</v>
      </c>
      <c r="E46" s="1180" t="s">
        <v>4622</v>
      </c>
      <c r="F46" s="1196">
        <v>23100</v>
      </c>
      <c r="G46" s="1180" t="s">
        <v>4621</v>
      </c>
      <c r="H46" s="1196">
        <v>39539</v>
      </c>
      <c r="I46" s="1185">
        <f t="shared" si="98"/>
        <v>16</v>
      </c>
      <c r="J46" s="1177">
        <v>0</v>
      </c>
      <c r="K46" s="1185">
        <f t="shared" si="99"/>
        <v>16</v>
      </c>
      <c r="L46" s="1191" t="s">
        <v>5543</v>
      </c>
      <c r="M46" s="1177"/>
      <c r="N46" s="1177"/>
      <c r="O46" s="1040" t="s">
        <v>5219</v>
      </c>
      <c r="P46" s="1177" t="s">
        <v>5277</v>
      </c>
      <c r="Q46" s="1391" t="str">
        <f>IFERROR(VLOOKUP(O46,CARGOS!A:E,2,0),"")</f>
        <v>12113</v>
      </c>
      <c r="R46" s="1403" t="s">
        <v>5219</v>
      </c>
      <c r="S46" s="1192" t="s">
        <v>5474</v>
      </c>
      <c r="T46" s="1150">
        <f>IFERROR(VLOOKUP(S46,'TAB EMP'!A:B,2,0),0)</f>
        <v>226</v>
      </c>
      <c r="U46" s="1151">
        <v>0</v>
      </c>
      <c r="V46" s="1150">
        <f t="shared" si="100"/>
        <v>226</v>
      </c>
      <c r="W46" s="1151">
        <f t="shared" si="101"/>
        <v>113</v>
      </c>
      <c r="X46" s="1180" t="s">
        <v>2844</v>
      </c>
      <c r="Y46" s="1180"/>
      <c r="Z46" s="1180">
        <v>0</v>
      </c>
      <c r="AA46" s="1150">
        <f>ROUND(IF(H46&lt;&gt;"",VLOOKUP(SUM(I46+J46),'CONCEPTOS Y PARAMETROS'!F:G,2,0)*V46,0),2)</f>
        <v>44.3</v>
      </c>
      <c r="AB46" s="1150">
        <f>IF(S46&lt;&gt;"",IF(M46="",'CONCEPTOS Y PARAMETROS'!$C$4,0),0)</f>
        <v>130</v>
      </c>
      <c r="AC46" s="1150">
        <f>IF(S46&lt;&gt;"",IF(M46="",'CONCEPTOS Y PARAMETROS'!$C$7*Z46,0),0)</f>
        <v>0</v>
      </c>
      <c r="AD46" s="1150">
        <f>IFERROR(ROUND(VLOOKUP($X46,'CONCEPTOS Y PARAMETROS'!H:I,2,0)*($V46+AA46+AB46+AC46),2),0)</f>
        <v>80.06</v>
      </c>
      <c r="AE46" s="1150">
        <f t="shared" si="102"/>
        <v>254.36</v>
      </c>
      <c r="AF46" s="1150">
        <f t="shared" si="103"/>
        <v>22.15</v>
      </c>
      <c r="AG46" s="1150">
        <f t="shared" si="104"/>
        <v>22.15</v>
      </c>
      <c r="AH46" s="1150">
        <f t="shared" si="105"/>
        <v>65</v>
      </c>
      <c r="AI46" s="1150">
        <f t="shared" si="106"/>
        <v>65</v>
      </c>
      <c r="AJ46" s="1150">
        <f t="shared" si="107"/>
        <v>40.03</v>
      </c>
      <c r="AK46" s="1150">
        <f t="shared" si="108"/>
        <v>40.03</v>
      </c>
      <c r="AL46" s="1151">
        <f t="shared" si="109"/>
        <v>127.18</v>
      </c>
      <c r="AM46" s="1151">
        <f t="shared" si="110"/>
        <v>127.18</v>
      </c>
      <c r="AN46" s="1028">
        <v>0</v>
      </c>
      <c r="AO46" s="1193">
        <f>'CONCEPTOS Y PARAMETROS'!$C$18*AN46</f>
        <v>0</v>
      </c>
      <c r="AP46" s="1028">
        <v>0</v>
      </c>
      <c r="AQ46" s="1193">
        <f>'CONCEPTOS Y PARAMETROS'!$C$21*AP46</f>
        <v>0</v>
      </c>
      <c r="AR46" s="1394">
        <v>0</v>
      </c>
      <c r="AS46" s="1394">
        <v>0</v>
      </c>
      <c r="AT46" s="1394">
        <f t="shared" si="111"/>
        <v>0</v>
      </c>
      <c r="AU46" s="1151">
        <f t="shared" si="112"/>
        <v>480.36</v>
      </c>
      <c r="AV46" s="1178">
        <v>0</v>
      </c>
      <c r="AW46" s="1151">
        <f t="shared" si="113"/>
        <v>0</v>
      </c>
      <c r="AX46" s="1150">
        <f>IF(T46&lt;&gt;"0",(ROUND(IF(A46="EMPLEADO",eval_formula('CONCEPTOS Y PARAMETROS'!$C$8,NOMINA!V46,NOMINA!$AU46,NOMINA!I46+NOMINA!J46),eval_formula('CONCEPTOS Y PARAMETROS'!$D$8,NOMINA!V46,NOMINA!$AU46,NOMINA!I46+NOMINA!J46)),2))*IF(H46&lt;&gt;"",IF(MONTH(H46)=$BR$8,IF(YEAR(H46)&lt;$BT$7,1,0),0)))</f>
        <v>0</v>
      </c>
      <c r="AY46" s="1151">
        <v>180</v>
      </c>
      <c r="AZ46" s="1150">
        <f>IFERROR(VLOOKUP(AY46,'CONCEPTOS Y PARAMETROS'!Y:Z,2,0),0)</f>
        <v>150</v>
      </c>
      <c r="BA46" s="1150">
        <f t="shared" si="114"/>
        <v>3602.7</v>
      </c>
      <c r="BB46" s="1150">
        <f t="shared" si="145"/>
        <v>0</v>
      </c>
      <c r="BC46" s="1028">
        <v>0</v>
      </c>
      <c r="BD46" s="1150" t="str">
        <f t="shared" si="115"/>
        <v>0</v>
      </c>
      <c r="BE46" s="1028">
        <v>0</v>
      </c>
      <c r="BF46" s="1150">
        <f t="shared" si="116"/>
        <v>0</v>
      </c>
      <c r="BG46" s="1151">
        <v>300</v>
      </c>
      <c r="BH46" s="1151">
        <f t="shared" si="117"/>
        <v>0</v>
      </c>
      <c r="BI46" s="1180">
        <v>0</v>
      </c>
      <c r="BJ46" s="1600">
        <f t="shared" si="118"/>
        <v>0</v>
      </c>
      <c r="BK46" s="1151">
        <v>0</v>
      </c>
      <c r="BL46" s="1150">
        <f t="shared" ref="BL46:BL54" si="146">ROUND(IF(M46="", (((AU46*12)/52)*4%)*$BS$8,0),2)</f>
        <v>17.739999999999998</v>
      </c>
      <c r="BM46" s="1150">
        <f t="shared" ref="BM46:BM54" si="147">ROUND(IF(M46="",(((AU46*12)/52)*0.5%)*$BS$8,0),2)</f>
        <v>2.2200000000000002</v>
      </c>
      <c r="BN46" s="1150">
        <f t="shared" si="119"/>
        <v>4.8</v>
      </c>
      <c r="BO46" s="1150">
        <v>0</v>
      </c>
      <c r="BP46" s="1150">
        <v>0</v>
      </c>
      <c r="BQ46" s="1396">
        <f t="shared" si="120"/>
        <v>24.76</v>
      </c>
      <c r="BR46" s="1150">
        <f t="shared" ref="BR46:BR54" si="148">ROUND(IF(M46="", (((AU46*12)/52)*9%)*$BS$8,0),2)</f>
        <v>39.909999999999997</v>
      </c>
      <c r="BS46" s="1150">
        <f t="shared" ref="BS46:BS54" si="149">ROUND(IF(M46="",(((AU46*12)/52)*2%)*$BS$8,0),2)</f>
        <v>8.8699999999999992</v>
      </c>
      <c r="BT46" s="1150">
        <f t="shared" si="121"/>
        <v>9.6</v>
      </c>
      <c r="BU46" s="1150">
        <v>0</v>
      </c>
      <c r="BV46" s="1151">
        <f t="shared" si="122"/>
        <v>58.38</v>
      </c>
      <c r="BW46" s="1155">
        <f t="shared" si="123"/>
        <v>83.14</v>
      </c>
      <c r="BX46" s="1155">
        <f t="shared" si="124"/>
        <v>900.68</v>
      </c>
      <c r="BY46" s="1151">
        <v>0</v>
      </c>
      <c r="BZ46" s="1151">
        <f t="shared" si="125"/>
        <v>900.68</v>
      </c>
      <c r="CA46" s="1397">
        <f>'CONCEPTOS Y PARAMETROS'!$A$102</f>
        <v>2120</v>
      </c>
      <c r="CB46" s="1155">
        <f t="shared" si="126"/>
        <v>215.42000000000002</v>
      </c>
      <c r="CC46" s="1156">
        <f t="shared" si="127"/>
        <v>540.17999999999995</v>
      </c>
      <c r="CD46" s="514"/>
      <c r="CE46" s="514"/>
      <c r="CF46" s="520"/>
      <c r="CG46" s="497">
        <f t="shared" si="128"/>
        <v>215.42000000000002</v>
      </c>
      <c r="CH46" s="1711">
        <f t="shared" si="129"/>
        <v>300</v>
      </c>
      <c r="CI46" s="497">
        <f t="shared" si="130"/>
        <v>540.18000000000006</v>
      </c>
      <c r="CJ46" s="497">
        <f t="shared" si="131"/>
        <v>540.17999999999995</v>
      </c>
      <c r="CK46" s="497">
        <f t="shared" si="132"/>
        <v>0</v>
      </c>
      <c r="CL46" s="497">
        <f t="shared" si="133"/>
        <v>0</v>
      </c>
      <c r="CM46" s="497">
        <f t="shared" si="134"/>
        <v>0</v>
      </c>
      <c r="CN46" s="498">
        <f t="shared" si="135"/>
        <v>0</v>
      </c>
      <c r="CO46" s="499">
        <v>0</v>
      </c>
      <c r="CP46" s="498">
        <f t="shared" si="136"/>
        <v>0</v>
      </c>
      <c r="CQ46" s="500">
        <f t="shared" si="137"/>
        <v>0</v>
      </c>
      <c r="CR46" s="498">
        <f t="shared" si="138"/>
        <v>0</v>
      </c>
      <c r="CS46" s="498">
        <f t="shared" si="139"/>
        <v>0</v>
      </c>
      <c r="CT46" s="498">
        <f t="shared" si="140"/>
        <v>83.14</v>
      </c>
      <c r="CU46" s="498">
        <f t="shared" si="141"/>
        <v>2120</v>
      </c>
      <c r="CV46" s="1554"/>
      <c r="CW46" s="1195" t="s">
        <v>6971</v>
      </c>
      <c r="CX46" s="1195" t="s">
        <v>7223</v>
      </c>
      <c r="CY46" s="472"/>
      <c r="CZ46" s="1199" t="s">
        <v>6662</v>
      </c>
      <c r="DA46" s="514" t="s">
        <v>6161</v>
      </c>
      <c r="DB46" s="514" t="s">
        <v>6417</v>
      </c>
      <c r="DC46" s="514" t="s">
        <v>6418</v>
      </c>
      <c r="DD46" s="472"/>
      <c r="DE46" s="472"/>
      <c r="DF46" s="472"/>
      <c r="DG46" s="472"/>
      <c r="DH46" s="472"/>
      <c r="DJ46" s="473" t="str">
        <f>VLOOKUP(X46,Hoja1!$A$4:$B$10,2,0)</f>
        <v>TÉCNICO SUPERIOR UNIVERSITARIO</v>
      </c>
      <c r="DK46" s="473" t="str">
        <f>VLOOKUP(S46,Hoja1!$D$4:$F$77,3,0)</f>
        <v>TII - VI</v>
      </c>
      <c r="DL46" s="1216" t="str">
        <f t="shared" si="142"/>
        <v>0</v>
      </c>
      <c r="DM46" s="1741" t="str">
        <f t="shared" si="143"/>
        <v>M</v>
      </c>
      <c r="DN46" s="1741"/>
    </row>
    <row r="47" spans="1:118" s="473" customFormat="1" ht="21.95" customHeight="1">
      <c r="A47" s="510" t="s">
        <v>2846</v>
      </c>
      <c r="B47" s="1390">
        <f t="shared" ca="1" si="144"/>
        <v>5</v>
      </c>
      <c r="C47" s="1194">
        <v>5790501</v>
      </c>
      <c r="D47" s="1195" t="s">
        <v>4694</v>
      </c>
      <c r="E47" s="1180" t="s">
        <v>4622</v>
      </c>
      <c r="F47" s="1196">
        <v>23094</v>
      </c>
      <c r="G47" s="1180" t="s">
        <v>4620</v>
      </c>
      <c r="H47" s="1196">
        <v>39707</v>
      </c>
      <c r="I47" s="1185">
        <f t="shared" si="98"/>
        <v>16</v>
      </c>
      <c r="J47" s="1177">
        <v>3</v>
      </c>
      <c r="K47" s="1185">
        <f t="shared" si="99"/>
        <v>19</v>
      </c>
      <c r="L47" s="1191" t="s">
        <v>5543</v>
      </c>
      <c r="M47" s="1177"/>
      <c r="N47" s="1177"/>
      <c r="O47" s="1040" t="s">
        <v>5220</v>
      </c>
      <c r="P47" s="1177" t="s">
        <v>5278</v>
      </c>
      <c r="Q47" s="1391" t="str">
        <f>IFERROR(VLOOKUP(O47,CARGOS!A:E,2,0),"")</f>
        <v>13313</v>
      </c>
      <c r="R47" s="1403" t="s">
        <v>5220</v>
      </c>
      <c r="S47" s="1192" t="s">
        <v>5484</v>
      </c>
      <c r="T47" s="1150">
        <f>IFERROR(VLOOKUP(S47,'TAB EMP'!A:B,2,0),0)</f>
        <v>228</v>
      </c>
      <c r="U47" s="1151">
        <v>0</v>
      </c>
      <c r="V47" s="1150">
        <f t="shared" si="100"/>
        <v>228</v>
      </c>
      <c r="W47" s="1151">
        <f t="shared" si="101"/>
        <v>114</v>
      </c>
      <c r="X47" s="1180" t="s">
        <v>2885</v>
      </c>
      <c r="Y47" s="1180"/>
      <c r="Z47" s="1180">
        <v>0</v>
      </c>
      <c r="AA47" s="1150">
        <f>ROUND(IF(H47&lt;&gt;"",VLOOKUP(SUM(I47+J47),'CONCEPTOS Y PARAMETROS'!F:G,2,0)*V47,0),2)</f>
        <v>55.63</v>
      </c>
      <c r="AB47" s="1150">
        <f>IF(S47&lt;&gt;"",IF(M47="",'CONCEPTOS Y PARAMETROS'!$C$4,0),0)</f>
        <v>130</v>
      </c>
      <c r="AC47" s="1150">
        <f>IF(S47&lt;&gt;"",IF(M47="",'CONCEPTOS Y PARAMETROS'!$C$7*Z47,0),0)</f>
        <v>0</v>
      </c>
      <c r="AD47" s="1150">
        <f>IFERROR(ROUND(VLOOKUP($X47,'CONCEPTOS Y PARAMETROS'!H:I,2,0)*($V47+AA47+AB47+AC47),2),0)</f>
        <v>103.41</v>
      </c>
      <c r="AE47" s="1150">
        <f t="shared" si="102"/>
        <v>289.03999999999996</v>
      </c>
      <c r="AF47" s="1150">
        <f t="shared" si="103"/>
        <v>27.82</v>
      </c>
      <c r="AG47" s="1150">
        <f t="shared" si="104"/>
        <v>27.81</v>
      </c>
      <c r="AH47" s="1150">
        <f t="shared" si="105"/>
        <v>65</v>
      </c>
      <c r="AI47" s="1150">
        <f t="shared" si="106"/>
        <v>65</v>
      </c>
      <c r="AJ47" s="1150">
        <f t="shared" si="107"/>
        <v>51.71</v>
      </c>
      <c r="AK47" s="1150">
        <f t="shared" si="108"/>
        <v>51.7</v>
      </c>
      <c r="AL47" s="1151">
        <f t="shared" si="109"/>
        <v>144.53</v>
      </c>
      <c r="AM47" s="1151">
        <f t="shared" si="110"/>
        <v>144.51</v>
      </c>
      <c r="AN47" s="1028">
        <v>0</v>
      </c>
      <c r="AO47" s="1193">
        <f>'CONCEPTOS Y PARAMETROS'!$C$18*AN47</f>
        <v>0</v>
      </c>
      <c r="AP47" s="1028">
        <v>0</v>
      </c>
      <c r="AQ47" s="1193">
        <f>'CONCEPTOS Y PARAMETROS'!$C$21*AP47</f>
        <v>0</v>
      </c>
      <c r="AR47" s="1394">
        <v>0</v>
      </c>
      <c r="AS47" s="1394">
        <v>0</v>
      </c>
      <c r="AT47" s="1394">
        <f t="shared" si="111"/>
        <v>0</v>
      </c>
      <c r="AU47" s="1151">
        <f t="shared" si="112"/>
        <v>517.04</v>
      </c>
      <c r="AV47" s="1178">
        <v>0</v>
      </c>
      <c r="AW47" s="1151">
        <f t="shared" si="113"/>
        <v>0</v>
      </c>
      <c r="AX47" s="1150">
        <f>IF(T47&lt;&gt;"0",(ROUND(IF(A47="EMPLEADO",eval_formula('CONCEPTOS Y PARAMETROS'!$C$8,NOMINA!V47,NOMINA!$AU47,NOMINA!I47+NOMINA!J47),eval_formula('CONCEPTOS Y PARAMETROS'!$D$8,NOMINA!V47,NOMINA!$AU47,NOMINA!I47+NOMINA!J47)),2))*IF(H47&lt;&gt;"",IF(MONTH(H47)=$BR$8,IF(YEAR(H47)&lt;$BT$7,1,0),0)))</f>
        <v>0</v>
      </c>
      <c r="AY47" s="1151">
        <v>180</v>
      </c>
      <c r="AZ47" s="1150">
        <f>IFERROR(VLOOKUP(AY47,'CONCEPTOS Y PARAMETROS'!Y:Z,2,0),0)</f>
        <v>150</v>
      </c>
      <c r="BA47" s="1150">
        <f t="shared" si="114"/>
        <v>3877.8</v>
      </c>
      <c r="BB47" s="1150">
        <f t="shared" si="145"/>
        <v>0</v>
      </c>
      <c r="BC47" s="1028">
        <v>0</v>
      </c>
      <c r="BD47" s="1150" t="str">
        <f t="shared" si="115"/>
        <v>0</v>
      </c>
      <c r="BE47" s="1028">
        <v>0</v>
      </c>
      <c r="BF47" s="1150">
        <f t="shared" si="116"/>
        <v>0</v>
      </c>
      <c r="BG47" s="1151">
        <v>300</v>
      </c>
      <c r="BH47" s="1151">
        <f t="shared" si="117"/>
        <v>0</v>
      </c>
      <c r="BI47" s="1180">
        <v>0</v>
      </c>
      <c r="BJ47" s="1600">
        <f t="shared" si="118"/>
        <v>0</v>
      </c>
      <c r="BK47" s="1151">
        <v>0</v>
      </c>
      <c r="BL47" s="1150">
        <f t="shared" si="146"/>
        <v>19.09</v>
      </c>
      <c r="BM47" s="1150">
        <f t="shared" si="147"/>
        <v>2.39</v>
      </c>
      <c r="BN47" s="1150">
        <f t="shared" si="119"/>
        <v>5.17</v>
      </c>
      <c r="BO47" s="1150">
        <v>0</v>
      </c>
      <c r="BP47" s="1150">
        <v>0</v>
      </c>
      <c r="BQ47" s="1396">
        <f t="shared" si="120"/>
        <v>26.65</v>
      </c>
      <c r="BR47" s="1150">
        <f t="shared" si="148"/>
        <v>42.95</v>
      </c>
      <c r="BS47" s="1150">
        <f t="shared" si="149"/>
        <v>9.5500000000000007</v>
      </c>
      <c r="BT47" s="1150">
        <f t="shared" si="121"/>
        <v>10.34</v>
      </c>
      <c r="BU47" s="1150">
        <v>0</v>
      </c>
      <c r="BV47" s="1151">
        <f t="shared" si="122"/>
        <v>62.84</v>
      </c>
      <c r="BW47" s="1155">
        <f t="shared" si="123"/>
        <v>89.490000000000009</v>
      </c>
      <c r="BX47" s="1155">
        <f t="shared" si="124"/>
        <v>969.45</v>
      </c>
      <c r="BY47" s="1151">
        <v>0</v>
      </c>
      <c r="BZ47" s="1151">
        <f t="shared" si="125"/>
        <v>969.45</v>
      </c>
      <c r="CA47" s="1397">
        <f>'CONCEPTOS Y PARAMETROS'!$A$102</f>
        <v>2120</v>
      </c>
      <c r="CB47" s="1155">
        <f t="shared" si="126"/>
        <v>231.87999999999997</v>
      </c>
      <c r="CC47" s="1156">
        <f t="shared" si="127"/>
        <v>558.51</v>
      </c>
      <c r="CD47" s="514"/>
      <c r="CE47" s="514"/>
      <c r="CF47" s="520"/>
      <c r="CG47" s="497">
        <f t="shared" si="128"/>
        <v>231.87999999999997</v>
      </c>
      <c r="CH47" s="1711">
        <f t="shared" si="129"/>
        <v>300</v>
      </c>
      <c r="CI47" s="497">
        <f t="shared" si="130"/>
        <v>558.51</v>
      </c>
      <c r="CJ47" s="497">
        <f t="shared" si="131"/>
        <v>558.51</v>
      </c>
      <c r="CK47" s="497">
        <f t="shared" si="132"/>
        <v>0</v>
      </c>
      <c r="CL47" s="497">
        <f t="shared" si="133"/>
        <v>0</v>
      </c>
      <c r="CM47" s="497">
        <f t="shared" si="134"/>
        <v>0</v>
      </c>
      <c r="CN47" s="498">
        <f t="shared" si="135"/>
        <v>0</v>
      </c>
      <c r="CO47" s="499">
        <v>0</v>
      </c>
      <c r="CP47" s="498">
        <f t="shared" si="136"/>
        <v>0</v>
      </c>
      <c r="CQ47" s="500">
        <f t="shared" si="137"/>
        <v>0</v>
      </c>
      <c r="CR47" s="498">
        <f t="shared" si="138"/>
        <v>0</v>
      </c>
      <c r="CS47" s="498">
        <f t="shared" si="139"/>
        <v>0</v>
      </c>
      <c r="CT47" s="498">
        <f t="shared" si="140"/>
        <v>89.490000000000009</v>
      </c>
      <c r="CU47" s="498">
        <f t="shared" si="141"/>
        <v>2120</v>
      </c>
      <c r="CV47" s="1554"/>
      <c r="CW47" s="1195" t="s">
        <v>7138</v>
      </c>
      <c r="CX47" s="1195" t="s">
        <v>6935</v>
      </c>
      <c r="CY47" s="472"/>
      <c r="CZ47" s="514" t="s">
        <v>6419</v>
      </c>
      <c r="DA47" s="514" t="s">
        <v>6161</v>
      </c>
      <c r="DB47" s="514" t="s">
        <v>6420</v>
      </c>
      <c r="DC47" s="514" t="s">
        <v>6421</v>
      </c>
      <c r="DD47" s="514"/>
      <c r="DE47" s="472"/>
      <c r="DF47" s="472"/>
      <c r="DG47" s="472"/>
      <c r="DH47" s="472"/>
      <c r="DJ47" s="473" t="str">
        <f>VLOOKUP(X47,Hoja1!$A$4:$B$10,2,0)</f>
        <v>PROFESIONAL</v>
      </c>
      <c r="DK47" s="473" t="str">
        <f>VLOOKUP(S47,Hoja1!$D$4:$F$77,3,0)</f>
        <v>TII - VII</v>
      </c>
      <c r="DL47" s="1216" t="str">
        <f t="shared" si="142"/>
        <v>0</v>
      </c>
      <c r="DM47" s="1741" t="str">
        <f t="shared" si="143"/>
        <v>F</v>
      </c>
      <c r="DN47" s="1741"/>
    </row>
    <row r="48" spans="1:118" s="473" customFormat="1" ht="21.95" customHeight="1">
      <c r="A48" s="510" t="s">
        <v>2846</v>
      </c>
      <c r="B48" s="1390">
        <f t="shared" ca="1" si="144"/>
        <v>6</v>
      </c>
      <c r="C48" s="1194">
        <v>7744688</v>
      </c>
      <c r="D48" s="1195" t="s">
        <v>4695</v>
      </c>
      <c r="E48" s="1180" t="s">
        <v>4622</v>
      </c>
      <c r="F48" s="1196">
        <v>23739</v>
      </c>
      <c r="G48" s="1180" t="s">
        <v>4621</v>
      </c>
      <c r="H48" s="1196">
        <v>44713</v>
      </c>
      <c r="I48" s="1185">
        <f t="shared" si="98"/>
        <v>2</v>
      </c>
      <c r="J48" s="1177">
        <v>0</v>
      </c>
      <c r="K48" s="1185">
        <f t="shared" si="99"/>
        <v>2</v>
      </c>
      <c r="L48" s="1191" t="s">
        <v>5538</v>
      </c>
      <c r="M48" s="1177"/>
      <c r="N48" s="1177"/>
      <c r="O48" s="1040" t="s">
        <v>5219</v>
      </c>
      <c r="P48" s="1177" t="s">
        <v>5279</v>
      </c>
      <c r="Q48" s="1391" t="str">
        <f>IFERROR(VLOOKUP(O48,CARGOS!A:E,2,0),"")</f>
        <v>12113</v>
      </c>
      <c r="R48" s="1403" t="s">
        <v>5219</v>
      </c>
      <c r="S48" s="1192" t="s">
        <v>5475</v>
      </c>
      <c r="T48" s="1150">
        <f>IFERROR(VLOOKUP(S48,'TAB EMP'!A:B,2,0),0)</f>
        <v>192</v>
      </c>
      <c r="U48" s="1151">
        <v>0</v>
      </c>
      <c r="V48" s="1150">
        <f t="shared" si="100"/>
        <v>192</v>
      </c>
      <c r="W48" s="1151">
        <f t="shared" si="101"/>
        <v>96</v>
      </c>
      <c r="X48" s="1180" t="s">
        <v>2844</v>
      </c>
      <c r="Y48" s="1180"/>
      <c r="Z48" s="1180">
        <v>0</v>
      </c>
      <c r="AA48" s="1150">
        <f>ROUND(IF(H48&lt;&gt;"",VLOOKUP(SUM(I48+J48),'CONCEPTOS Y PARAMETROS'!F:G,2,0)*V48,0),2)</f>
        <v>3.84</v>
      </c>
      <c r="AB48" s="1150">
        <f>IF(S48&lt;&gt;"",IF(M48="",'CONCEPTOS Y PARAMETROS'!$C$4,0),0)</f>
        <v>130</v>
      </c>
      <c r="AC48" s="1150">
        <f>IF(S48&lt;&gt;"",IF(M48="",'CONCEPTOS Y PARAMETROS'!$C$7*Z48,0),0)</f>
        <v>0</v>
      </c>
      <c r="AD48" s="1150">
        <f>IFERROR(ROUND(VLOOKUP($X48,'CONCEPTOS Y PARAMETROS'!H:I,2,0)*($V48+AA48+AB48+AC48),2),0)</f>
        <v>65.17</v>
      </c>
      <c r="AE48" s="1150">
        <f t="shared" si="102"/>
        <v>199.01</v>
      </c>
      <c r="AF48" s="1150">
        <f t="shared" si="103"/>
        <v>1.92</v>
      </c>
      <c r="AG48" s="1150">
        <f t="shared" si="104"/>
        <v>1.92</v>
      </c>
      <c r="AH48" s="1150">
        <f t="shared" si="105"/>
        <v>65</v>
      </c>
      <c r="AI48" s="1150">
        <f t="shared" si="106"/>
        <v>65</v>
      </c>
      <c r="AJ48" s="1150">
        <f t="shared" si="107"/>
        <v>32.590000000000003</v>
      </c>
      <c r="AK48" s="1150">
        <f t="shared" si="108"/>
        <v>32.58</v>
      </c>
      <c r="AL48" s="1151">
        <f t="shared" si="109"/>
        <v>99.51</v>
      </c>
      <c r="AM48" s="1151">
        <f t="shared" si="110"/>
        <v>99.5</v>
      </c>
      <c r="AN48" s="1028">
        <v>0</v>
      </c>
      <c r="AO48" s="1193">
        <f>'CONCEPTOS Y PARAMETROS'!$C$18*AN48</f>
        <v>0</v>
      </c>
      <c r="AP48" s="1028">
        <v>0</v>
      </c>
      <c r="AQ48" s="1193">
        <f>'CONCEPTOS Y PARAMETROS'!$C$21*AP48</f>
        <v>0</v>
      </c>
      <c r="AR48" s="1394">
        <v>0</v>
      </c>
      <c r="AS48" s="1394">
        <v>0</v>
      </c>
      <c r="AT48" s="1394">
        <f t="shared" si="111"/>
        <v>0</v>
      </c>
      <c r="AU48" s="1151">
        <f t="shared" si="112"/>
        <v>391.01</v>
      </c>
      <c r="AV48" s="1178">
        <v>0</v>
      </c>
      <c r="AW48" s="1151">
        <f t="shared" si="113"/>
        <v>0</v>
      </c>
      <c r="AX48" s="1150">
        <f>IF(T48&lt;&gt;"0",(ROUND(IF(A48="EMPLEADO",eval_formula('CONCEPTOS Y PARAMETROS'!$C$8,NOMINA!V48,NOMINA!$AU48,NOMINA!I48+NOMINA!J48),eval_formula('CONCEPTOS Y PARAMETROS'!$D$8,NOMINA!V48,NOMINA!$AU48,NOMINA!I48+NOMINA!J48)),2))*IF(H48&lt;&gt;"",IF(MONTH(H48)=$BR$8,IF(YEAR(H48)&lt;$BT$7,1,0),0)))</f>
        <v>0</v>
      </c>
      <c r="AY48" s="1151">
        <v>180</v>
      </c>
      <c r="AZ48" s="1150">
        <f>IFERROR(VLOOKUP(AY48,'CONCEPTOS Y PARAMETROS'!Y:Z,2,0),0)</f>
        <v>150</v>
      </c>
      <c r="BA48" s="1150">
        <f t="shared" si="114"/>
        <v>2932.58</v>
      </c>
      <c r="BB48" s="1150">
        <f t="shared" si="145"/>
        <v>0</v>
      </c>
      <c r="BC48" s="1028">
        <v>0</v>
      </c>
      <c r="BD48" s="1150" t="str">
        <f t="shared" si="115"/>
        <v>0</v>
      </c>
      <c r="BE48" s="1028">
        <v>0</v>
      </c>
      <c r="BF48" s="1150">
        <f t="shared" si="116"/>
        <v>0</v>
      </c>
      <c r="BG48" s="1151">
        <v>300</v>
      </c>
      <c r="BH48" s="1151">
        <f t="shared" si="117"/>
        <v>0</v>
      </c>
      <c r="BI48" s="1180">
        <v>0</v>
      </c>
      <c r="BJ48" s="1600">
        <f t="shared" si="118"/>
        <v>0</v>
      </c>
      <c r="BK48" s="1151">
        <v>0</v>
      </c>
      <c r="BL48" s="1150">
        <f t="shared" si="146"/>
        <v>14.44</v>
      </c>
      <c r="BM48" s="1150">
        <f t="shared" si="147"/>
        <v>1.8</v>
      </c>
      <c r="BN48" s="1150">
        <f t="shared" si="119"/>
        <v>3.91</v>
      </c>
      <c r="BO48" s="1150">
        <v>0</v>
      </c>
      <c r="BP48" s="1150">
        <v>0</v>
      </c>
      <c r="BQ48" s="1396">
        <f t="shared" si="120"/>
        <v>20.149999999999999</v>
      </c>
      <c r="BR48" s="1150">
        <f t="shared" si="148"/>
        <v>32.479999999999997</v>
      </c>
      <c r="BS48" s="1150">
        <f t="shared" si="149"/>
        <v>7.22</v>
      </c>
      <c r="BT48" s="1150">
        <f t="shared" si="121"/>
        <v>7.82</v>
      </c>
      <c r="BU48" s="1150">
        <v>0</v>
      </c>
      <c r="BV48" s="1151">
        <f t="shared" si="122"/>
        <v>47.52</v>
      </c>
      <c r="BW48" s="1155">
        <f t="shared" si="123"/>
        <v>67.67</v>
      </c>
      <c r="BX48" s="1155">
        <f t="shared" si="124"/>
        <v>733.15</v>
      </c>
      <c r="BY48" s="1151">
        <v>0</v>
      </c>
      <c r="BZ48" s="1151">
        <f t="shared" si="125"/>
        <v>733.15</v>
      </c>
      <c r="CA48" s="1397">
        <f>'CONCEPTOS Y PARAMETROS'!$A$102</f>
        <v>2120</v>
      </c>
      <c r="CB48" s="1155">
        <f t="shared" si="126"/>
        <v>175.35999999999999</v>
      </c>
      <c r="CC48" s="1156">
        <f t="shared" si="127"/>
        <v>495.5</v>
      </c>
      <c r="CD48" s="514"/>
      <c r="CE48" s="514"/>
      <c r="CF48" s="520"/>
      <c r="CG48" s="497">
        <f t="shared" si="128"/>
        <v>175.35999999999999</v>
      </c>
      <c r="CH48" s="1711">
        <f t="shared" si="129"/>
        <v>300</v>
      </c>
      <c r="CI48" s="497">
        <f t="shared" si="130"/>
        <v>495.5</v>
      </c>
      <c r="CJ48" s="497">
        <f t="shared" si="131"/>
        <v>495.5</v>
      </c>
      <c r="CK48" s="497">
        <f t="shared" si="132"/>
        <v>0</v>
      </c>
      <c r="CL48" s="497">
        <f t="shared" si="133"/>
        <v>0</v>
      </c>
      <c r="CM48" s="497">
        <f t="shared" si="134"/>
        <v>0</v>
      </c>
      <c r="CN48" s="498">
        <f t="shared" si="135"/>
        <v>0</v>
      </c>
      <c r="CO48" s="499">
        <v>0</v>
      </c>
      <c r="CP48" s="498">
        <f t="shared" si="136"/>
        <v>0</v>
      </c>
      <c r="CQ48" s="500">
        <f t="shared" si="137"/>
        <v>0</v>
      </c>
      <c r="CR48" s="498">
        <f t="shared" si="138"/>
        <v>0</v>
      </c>
      <c r="CS48" s="498">
        <f t="shared" si="139"/>
        <v>0</v>
      </c>
      <c r="CT48" s="498">
        <f t="shared" si="140"/>
        <v>67.67</v>
      </c>
      <c r="CU48" s="498">
        <f t="shared" si="141"/>
        <v>2120</v>
      </c>
      <c r="CV48" s="1554"/>
      <c r="CW48" s="1195" t="s">
        <v>7188</v>
      </c>
      <c r="CX48" s="1195" t="s">
        <v>6941</v>
      </c>
      <c r="CY48" s="472"/>
      <c r="CZ48" s="514" t="s">
        <v>6438</v>
      </c>
      <c r="DA48" s="514" t="s">
        <v>6173</v>
      </c>
      <c r="DB48" s="1199" t="s">
        <v>6291</v>
      </c>
      <c r="DC48" s="514" t="s">
        <v>6572</v>
      </c>
      <c r="DD48" s="935"/>
      <c r="DE48" s="472"/>
      <c r="DF48" s="472"/>
      <c r="DG48" s="472"/>
      <c r="DH48" s="472"/>
      <c r="DJ48" s="473" t="str">
        <f>VLOOKUP(X48,Hoja1!$A$4:$B$10,2,0)</f>
        <v>TÉCNICO SUPERIOR UNIVERSITARIO</v>
      </c>
      <c r="DK48" s="473" t="str">
        <f>VLOOKUP(S48,Hoja1!$D$4:$F$77,3,0)</f>
        <v>TI</v>
      </c>
      <c r="DL48" s="1216" t="str">
        <f t="shared" si="142"/>
        <v>0</v>
      </c>
      <c r="DM48" s="1741" t="str">
        <f t="shared" si="143"/>
        <v>M</v>
      </c>
      <c r="DN48" s="1741"/>
    </row>
    <row r="49" spans="1:118" s="473" customFormat="1" ht="21.95" customHeight="1">
      <c r="A49" s="510" t="s">
        <v>2846</v>
      </c>
      <c r="B49" s="1390">
        <f t="shared" ca="1" si="144"/>
        <v>7</v>
      </c>
      <c r="C49" s="1194">
        <v>7890070</v>
      </c>
      <c r="D49" s="1195" t="s">
        <v>4696</v>
      </c>
      <c r="E49" s="1180" t="s">
        <v>4622</v>
      </c>
      <c r="F49" s="1196">
        <v>24161</v>
      </c>
      <c r="G49" s="1180" t="s">
        <v>4620</v>
      </c>
      <c r="H49" s="1196">
        <v>38930</v>
      </c>
      <c r="I49" s="1185">
        <f t="shared" si="98"/>
        <v>18</v>
      </c>
      <c r="J49" s="1177">
        <v>5</v>
      </c>
      <c r="K49" s="1185">
        <f t="shared" si="99"/>
        <v>23</v>
      </c>
      <c r="L49" s="1191" t="s">
        <v>5539</v>
      </c>
      <c r="M49" s="1177"/>
      <c r="N49" s="1177"/>
      <c r="O49" s="1040" t="s">
        <v>5221</v>
      </c>
      <c r="P49" s="1177" t="s">
        <v>5280</v>
      </c>
      <c r="Q49" s="1391" t="str">
        <f>IFERROR(VLOOKUP(O49,CARGOS!A:E,2,0),"")</f>
        <v>79512</v>
      </c>
      <c r="R49" s="1403" t="s">
        <v>5221</v>
      </c>
      <c r="S49" s="1192" t="s">
        <v>5476</v>
      </c>
      <c r="T49" s="1150">
        <f>IFERROR(VLOOKUP(S49,'TAB EMP'!A:B,2,0),0)</f>
        <v>177</v>
      </c>
      <c r="U49" s="1151">
        <v>0</v>
      </c>
      <c r="V49" s="1150">
        <f t="shared" si="100"/>
        <v>177</v>
      </c>
      <c r="W49" s="1151">
        <f t="shared" si="101"/>
        <v>88.5</v>
      </c>
      <c r="X49" s="1180" t="s">
        <v>2884</v>
      </c>
      <c r="Y49" s="1180"/>
      <c r="Z49" s="1180">
        <v>0</v>
      </c>
      <c r="AA49" s="1150">
        <f>ROUND(IF(H49&lt;&gt;"",VLOOKUP(SUM(I49+J49),'CONCEPTOS Y PARAMETROS'!F:G,2,0)*V49,0),2)</f>
        <v>53.1</v>
      </c>
      <c r="AB49" s="1150">
        <f>IF(S49&lt;&gt;"",IF(M49="",'CONCEPTOS Y PARAMETROS'!$C$4,0),0)</f>
        <v>130</v>
      </c>
      <c r="AC49" s="1150">
        <f>IF(S49&lt;&gt;"",IF(M49="",'CONCEPTOS Y PARAMETROS'!$C$7*Z49,0),0)</f>
        <v>0</v>
      </c>
      <c r="AD49" s="1150">
        <f>IFERROR(ROUND(VLOOKUP($X49,'CONCEPTOS Y PARAMETROS'!H:I,2,0)*($V49+AA49+AB49+AC49),2),0)</f>
        <v>0</v>
      </c>
      <c r="AE49" s="1150">
        <f t="shared" si="102"/>
        <v>183.1</v>
      </c>
      <c r="AF49" s="1150">
        <f t="shared" si="103"/>
        <v>26.55</v>
      </c>
      <c r="AG49" s="1150">
        <f t="shared" si="104"/>
        <v>26.55</v>
      </c>
      <c r="AH49" s="1150">
        <f t="shared" si="105"/>
        <v>65</v>
      </c>
      <c r="AI49" s="1150">
        <f t="shared" si="106"/>
        <v>65</v>
      </c>
      <c r="AJ49" s="1150">
        <f t="shared" si="107"/>
        <v>0</v>
      </c>
      <c r="AK49" s="1150">
        <f t="shared" si="108"/>
        <v>0</v>
      </c>
      <c r="AL49" s="1151">
        <f t="shared" si="109"/>
        <v>91.55</v>
      </c>
      <c r="AM49" s="1151">
        <f t="shared" si="110"/>
        <v>91.55</v>
      </c>
      <c r="AN49" s="1028">
        <v>0</v>
      </c>
      <c r="AO49" s="1193">
        <f>'CONCEPTOS Y PARAMETROS'!$C$18*AN49</f>
        <v>0</v>
      </c>
      <c r="AP49" s="1028">
        <v>0</v>
      </c>
      <c r="AQ49" s="1193">
        <f>'CONCEPTOS Y PARAMETROS'!$C$21*AP49</f>
        <v>0</v>
      </c>
      <c r="AR49" s="1394">
        <v>0</v>
      </c>
      <c r="AS49" s="1394">
        <v>0</v>
      </c>
      <c r="AT49" s="1394">
        <f t="shared" si="111"/>
        <v>0</v>
      </c>
      <c r="AU49" s="1151">
        <f t="shared" si="112"/>
        <v>360.1</v>
      </c>
      <c r="AV49" s="1178">
        <v>0</v>
      </c>
      <c r="AW49" s="1151">
        <f t="shared" si="113"/>
        <v>0</v>
      </c>
      <c r="AX49" s="1150">
        <f>IF(T49&lt;&gt;"0",(ROUND(IF(A49="EMPLEADO",eval_formula('CONCEPTOS Y PARAMETROS'!$C$8,NOMINA!V49,NOMINA!$AU49,NOMINA!I49+NOMINA!J49),eval_formula('CONCEPTOS Y PARAMETROS'!$D$8,NOMINA!V49,NOMINA!$AU49,NOMINA!I49+NOMINA!J49)),2))*IF(H49&lt;&gt;"",IF(MONTH(H49)=$BR$8,IF(YEAR(H49)&lt;$BT$7,1,0),0)))</f>
        <v>0</v>
      </c>
      <c r="AY49" s="1151">
        <v>180</v>
      </c>
      <c r="AZ49" s="1150">
        <f>IFERROR(VLOOKUP(AY49,'CONCEPTOS Y PARAMETROS'!Y:Z,2,0),0)</f>
        <v>150</v>
      </c>
      <c r="BA49" s="1150">
        <f t="shared" si="114"/>
        <v>2700.75</v>
      </c>
      <c r="BB49" s="1150">
        <f t="shared" si="145"/>
        <v>0</v>
      </c>
      <c r="BC49" s="1028">
        <v>0</v>
      </c>
      <c r="BD49" s="1150" t="str">
        <f t="shared" si="115"/>
        <v>0</v>
      </c>
      <c r="BE49" s="1028">
        <v>0</v>
      </c>
      <c r="BF49" s="1150">
        <f t="shared" si="116"/>
        <v>0</v>
      </c>
      <c r="BG49" s="1151">
        <v>300</v>
      </c>
      <c r="BH49" s="1151">
        <f t="shared" si="117"/>
        <v>0</v>
      </c>
      <c r="BI49" s="1180">
        <v>0</v>
      </c>
      <c r="BJ49" s="1600">
        <f t="shared" si="118"/>
        <v>0</v>
      </c>
      <c r="BK49" s="1151">
        <v>0</v>
      </c>
      <c r="BL49" s="1150">
        <f t="shared" si="146"/>
        <v>13.3</v>
      </c>
      <c r="BM49" s="1150">
        <f t="shared" si="147"/>
        <v>1.66</v>
      </c>
      <c r="BN49" s="1150">
        <f t="shared" si="119"/>
        <v>3.6</v>
      </c>
      <c r="BO49" s="1150">
        <v>0</v>
      </c>
      <c r="BP49" s="1150">
        <v>0</v>
      </c>
      <c r="BQ49" s="1396">
        <f t="shared" si="120"/>
        <v>18.559999999999999</v>
      </c>
      <c r="BR49" s="1150">
        <f t="shared" si="148"/>
        <v>29.92</v>
      </c>
      <c r="BS49" s="1150">
        <f t="shared" si="149"/>
        <v>6.65</v>
      </c>
      <c r="BT49" s="1150">
        <f t="shared" si="121"/>
        <v>7.2</v>
      </c>
      <c r="BU49" s="1150">
        <v>0</v>
      </c>
      <c r="BV49" s="1151">
        <f t="shared" si="122"/>
        <v>43.77</v>
      </c>
      <c r="BW49" s="1155">
        <f t="shared" si="123"/>
        <v>62.33</v>
      </c>
      <c r="BX49" s="1155">
        <f t="shared" si="124"/>
        <v>675.19</v>
      </c>
      <c r="BY49" s="1151">
        <v>0</v>
      </c>
      <c r="BZ49" s="1151">
        <f t="shared" si="125"/>
        <v>675.19</v>
      </c>
      <c r="CA49" s="1397">
        <f>'CONCEPTOS Y PARAMETROS'!$A$102</f>
        <v>2120</v>
      </c>
      <c r="CB49" s="1155">
        <f t="shared" si="126"/>
        <v>161.49</v>
      </c>
      <c r="CC49" s="1156">
        <f t="shared" si="127"/>
        <v>480.05</v>
      </c>
      <c r="CD49" s="514"/>
      <c r="CE49" s="514"/>
      <c r="CF49" s="520"/>
      <c r="CG49" s="497">
        <f t="shared" si="128"/>
        <v>161.49</v>
      </c>
      <c r="CH49" s="1711">
        <f t="shared" si="129"/>
        <v>300</v>
      </c>
      <c r="CI49" s="497">
        <f t="shared" si="130"/>
        <v>480.05</v>
      </c>
      <c r="CJ49" s="497">
        <f t="shared" si="131"/>
        <v>480.05</v>
      </c>
      <c r="CK49" s="497">
        <f t="shared" si="132"/>
        <v>0</v>
      </c>
      <c r="CL49" s="497">
        <f t="shared" si="133"/>
        <v>0</v>
      </c>
      <c r="CM49" s="497">
        <f t="shared" si="134"/>
        <v>0</v>
      </c>
      <c r="CN49" s="498">
        <f t="shared" si="135"/>
        <v>0</v>
      </c>
      <c r="CO49" s="499">
        <v>0</v>
      </c>
      <c r="CP49" s="498">
        <f t="shared" si="136"/>
        <v>0</v>
      </c>
      <c r="CQ49" s="500">
        <f t="shared" si="137"/>
        <v>0</v>
      </c>
      <c r="CR49" s="498">
        <f t="shared" si="138"/>
        <v>0</v>
      </c>
      <c r="CS49" s="498">
        <f t="shared" si="139"/>
        <v>0</v>
      </c>
      <c r="CT49" s="498">
        <f t="shared" si="140"/>
        <v>62.33</v>
      </c>
      <c r="CU49" s="498">
        <f t="shared" si="141"/>
        <v>2120</v>
      </c>
      <c r="CV49" s="1554"/>
      <c r="CW49" s="1195" t="s">
        <v>7189</v>
      </c>
      <c r="CX49" s="1195" t="s">
        <v>7224</v>
      </c>
      <c r="CY49" s="472"/>
      <c r="CZ49" s="514" t="s">
        <v>6252</v>
      </c>
      <c r="DA49" s="514" t="s">
        <v>6241</v>
      </c>
      <c r="DB49" s="514" t="s">
        <v>6237</v>
      </c>
      <c r="DC49" s="514" t="s">
        <v>6253</v>
      </c>
      <c r="DD49" s="472"/>
      <c r="DE49" s="472"/>
      <c r="DF49" s="472"/>
      <c r="DG49" s="472"/>
      <c r="DH49" s="472"/>
      <c r="DJ49" s="473" t="str">
        <f>VLOOKUP(X49,Hoja1!$A$4:$B$10,2,0)</f>
        <v>BACHILLER</v>
      </c>
      <c r="DK49" s="473" t="str">
        <f>VLOOKUP(S49,Hoja1!$D$4:$F$77,3,0)</f>
        <v>BIII - VII</v>
      </c>
      <c r="DL49" s="1216" t="str">
        <f t="shared" si="142"/>
        <v>0</v>
      </c>
      <c r="DM49" s="1741" t="str">
        <f t="shared" si="143"/>
        <v>F</v>
      </c>
      <c r="DN49" s="1741"/>
    </row>
    <row r="50" spans="1:118" s="930" customFormat="1" ht="21.95" customHeight="1">
      <c r="A50" s="929" t="s">
        <v>2846</v>
      </c>
      <c r="B50" s="1404">
        <f ca="1">OFFSET(B50,-1,0)+1</f>
        <v>8</v>
      </c>
      <c r="C50" s="1405">
        <v>8719807</v>
      </c>
      <c r="D50" s="1406" t="s">
        <v>4668</v>
      </c>
      <c r="E50" s="1407" t="s">
        <v>4622</v>
      </c>
      <c r="F50" s="1408">
        <v>25096</v>
      </c>
      <c r="G50" s="1407" t="s">
        <v>4620</v>
      </c>
      <c r="H50" s="1408">
        <v>39874</v>
      </c>
      <c r="I50" s="1409">
        <f t="shared" si="98"/>
        <v>15</v>
      </c>
      <c r="J50" s="1410">
        <v>4</v>
      </c>
      <c r="K50" s="1409">
        <f t="shared" si="99"/>
        <v>19</v>
      </c>
      <c r="L50" s="1411" t="s">
        <v>5532</v>
      </c>
      <c r="M50" s="1410"/>
      <c r="N50" s="1410"/>
      <c r="O50" s="1412" t="s">
        <v>5497</v>
      </c>
      <c r="P50" s="1410" t="s">
        <v>5189</v>
      </c>
      <c r="Q50" s="1413" t="str">
        <f>IFERROR(VLOOKUP(O50,CARGOS!A:E,2,0),"")</f>
        <v>35125</v>
      </c>
      <c r="R50" s="1412" t="s">
        <v>5497</v>
      </c>
      <c r="S50" s="1414" t="s">
        <v>5471</v>
      </c>
      <c r="T50" s="1415">
        <v>0</v>
      </c>
      <c r="U50" s="1382">
        <v>0</v>
      </c>
      <c r="V50" s="1415">
        <f>T50-U50</f>
        <v>0</v>
      </c>
      <c r="W50" s="1382">
        <f>ROUND(V50/2,2)</f>
        <v>0</v>
      </c>
      <c r="X50" s="1407" t="s">
        <v>2885</v>
      </c>
      <c r="Y50" s="1407"/>
      <c r="Z50" s="1407">
        <v>0</v>
      </c>
      <c r="AA50" s="1415">
        <f>ROUND(IF(H50&lt;&gt;"",VLOOKUP(SUM(I50+J50),'CONCEPTOS Y PARAMETROS'!F:G,2,0)*V50,0),2)</f>
        <v>0</v>
      </c>
      <c r="AB50" s="1415">
        <v>0</v>
      </c>
      <c r="AC50" s="1415">
        <v>0</v>
      </c>
      <c r="AD50" s="1415">
        <f>IFERROR(ROUND(VLOOKUP($X50,'CONCEPTOS Y PARAMETROS'!H:I,2,0)*($V50+AA50+AB50+AC50),2),0)</f>
        <v>0</v>
      </c>
      <c r="AE50" s="1415">
        <f>SUM(AA50:AD50)</f>
        <v>0</v>
      </c>
      <c r="AF50" s="1415">
        <f>ROUND(AA50/2,2)</f>
        <v>0</v>
      </c>
      <c r="AG50" s="1415">
        <f>ROUND(AA50-AF50,2)</f>
        <v>0</v>
      </c>
      <c r="AH50" s="1415">
        <f>ROUND(AB50/2,2)</f>
        <v>0</v>
      </c>
      <c r="AI50" s="1415">
        <f>ROUND(AB50-AH50,2)</f>
        <v>0</v>
      </c>
      <c r="AJ50" s="1415">
        <f>ROUND(AD50/2,2)</f>
        <v>0</v>
      </c>
      <c r="AK50" s="1415">
        <f>ROUND(AD50-AJ50,2)</f>
        <v>0</v>
      </c>
      <c r="AL50" s="1382">
        <f>ROUND(AF50+AH50+AJ50+AC50,2)</f>
        <v>0</v>
      </c>
      <c r="AM50" s="1382">
        <f>ROUND(AG50+AI50+AK50,2)</f>
        <v>0</v>
      </c>
      <c r="AN50" s="1416">
        <v>0</v>
      </c>
      <c r="AO50" s="1417">
        <v>0</v>
      </c>
      <c r="AP50" s="1416">
        <v>0</v>
      </c>
      <c r="AQ50" s="1417">
        <f>'CONCEPTOS Y PARAMETROS'!$C$21*AP50</f>
        <v>0</v>
      </c>
      <c r="AR50" s="1418">
        <v>0</v>
      </c>
      <c r="AS50" s="1418">
        <v>0</v>
      </c>
      <c r="AT50" s="1418">
        <f>+AO50+AQ50+AR50+AS50</f>
        <v>0</v>
      </c>
      <c r="AU50" s="1382">
        <f>V50+AE50+AW50</f>
        <v>0</v>
      </c>
      <c r="AV50" s="1419">
        <v>0</v>
      </c>
      <c r="AW50" s="1382">
        <f>ROUND(IF(O50="VIGILANTE",(V50+AE50)*30%,0),2)</f>
        <v>0</v>
      </c>
      <c r="AX50" s="1415">
        <f>IF(T50&lt;&gt;"0",(ROUND(IF(A50="EMPLEADO",eval_formula('CONCEPTOS Y PARAMETROS'!$C$8,NOMINA!V50,NOMINA!$AU50,NOMINA!I50+NOMINA!J50),eval_formula('CONCEPTOS Y PARAMETROS'!$D$8,NOMINA!V50,NOMINA!$AU50,NOMINA!I50+NOMINA!J50)),2))*IF(H50&lt;&gt;"",IF(MONTH(H50)=$BR$8,IF(YEAR(H50)&lt;$BT$7,1,0),0)))</f>
        <v>0</v>
      </c>
      <c r="AY50" s="1382">
        <v>180</v>
      </c>
      <c r="AZ50" s="1415">
        <f>IFERROR(VLOOKUP(AY50,'CONCEPTOS Y PARAMETROS'!Y:Z,2,0),0)</f>
        <v>150</v>
      </c>
      <c r="BA50" s="1415">
        <f>ROUND((((AU50))/30*AY50/12+(AU50))/30*AZ50,2)</f>
        <v>0</v>
      </c>
      <c r="BB50" s="1415">
        <f t="shared" si="145"/>
        <v>0</v>
      </c>
      <c r="BC50" s="1416">
        <v>0</v>
      </c>
      <c r="BD50" s="1415" t="str">
        <f>IF(BC50&gt;0,((((((V50+AA50+AB50+AC50+AD50)/30)/8)*50%)+((((V50+AA50+AB50+AC50+AD50)/30)/8)))*30%+(((((V50+AA50+AB50+AC50+AD50)/30)/8)*50%)+((((V50+AA50+AB50+AC50+AD50)/30)/8))))*BC50,"0")</f>
        <v>0</v>
      </c>
      <c r="BE50" s="1416">
        <v>0</v>
      </c>
      <c r="BF50" s="1415">
        <f>ROUND(IF(BE50&gt;0,(((V50+AA50+AB50+AC50+AD50)/30)*50%+((V50+AA50+AB50+AC50+AD50)/30))*BE50,"0"),2)</f>
        <v>0</v>
      </c>
      <c r="BG50" s="1382">
        <v>0</v>
      </c>
      <c r="BH50" s="1382">
        <f t="shared" si="117"/>
        <v>0</v>
      </c>
      <c r="BI50" s="1382">
        <v>0</v>
      </c>
      <c r="BJ50" s="1382">
        <f t="shared" si="118"/>
        <v>0</v>
      </c>
      <c r="BK50" s="1382">
        <v>0</v>
      </c>
      <c r="BL50" s="1415">
        <f t="shared" si="146"/>
        <v>0</v>
      </c>
      <c r="BM50" s="1415">
        <f t="shared" si="147"/>
        <v>0</v>
      </c>
      <c r="BN50" s="1415">
        <f t="shared" si="119"/>
        <v>0</v>
      </c>
      <c r="BO50" s="1415">
        <v>0</v>
      </c>
      <c r="BP50" s="1415">
        <v>0</v>
      </c>
      <c r="BQ50" s="1420">
        <f>ROUND(SUM(BL50:BP50),2)</f>
        <v>0</v>
      </c>
      <c r="BR50" s="1415">
        <f t="shared" si="148"/>
        <v>0</v>
      </c>
      <c r="BS50" s="1415">
        <f t="shared" si="149"/>
        <v>0</v>
      </c>
      <c r="BT50" s="1415">
        <f t="shared" si="121"/>
        <v>0</v>
      </c>
      <c r="BU50" s="1415">
        <v>0</v>
      </c>
      <c r="BV50" s="1382">
        <f>ROUND(SUM(BR50:BT50),2)</f>
        <v>0</v>
      </c>
      <c r="BW50" s="1379">
        <f>BQ50+BV50</f>
        <v>0</v>
      </c>
      <c r="BX50" s="1379">
        <f t="shared" si="124"/>
        <v>0</v>
      </c>
      <c r="BY50" s="1382">
        <v>0</v>
      </c>
      <c r="BZ50" s="1382">
        <f t="shared" si="125"/>
        <v>0</v>
      </c>
      <c r="CA50" s="1421">
        <v>0</v>
      </c>
      <c r="CB50" s="1379">
        <f t="shared" si="126"/>
        <v>0</v>
      </c>
      <c r="CC50" s="1422">
        <f t="shared" si="127"/>
        <v>0</v>
      </c>
      <c r="CD50" s="514"/>
      <c r="CE50" s="514"/>
      <c r="CG50" s="931">
        <f t="shared" si="128"/>
        <v>0</v>
      </c>
      <c r="CH50" s="1714">
        <f t="shared" si="129"/>
        <v>0</v>
      </c>
      <c r="CI50" s="931">
        <f t="shared" si="130"/>
        <v>0</v>
      </c>
      <c r="CJ50" s="931">
        <f t="shared" si="131"/>
        <v>0</v>
      </c>
      <c r="CK50" s="931">
        <f t="shared" si="132"/>
        <v>0</v>
      </c>
      <c r="CL50" s="931">
        <f t="shared" si="133"/>
        <v>0</v>
      </c>
      <c r="CM50" s="931">
        <f t="shared" si="134"/>
        <v>0</v>
      </c>
      <c r="CN50" s="932">
        <f t="shared" si="135"/>
        <v>0</v>
      </c>
      <c r="CO50" s="933">
        <v>0</v>
      </c>
      <c r="CP50" s="932">
        <f t="shared" si="136"/>
        <v>0</v>
      </c>
      <c r="CQ50" s="934">
        <f t="shared" si="137"/>
        <v>0</v>
      </c>
      <c r="CR50" s="932">
        <f t="shared" si="138"/>
        <v>0</v>
      </c>
      <c r="CS50" s="932">
        <f t="shared" si="139"/>
        <v>0</v>
      </c>
      <c r="CT50" s="932">
        <f t="shared" si="140"/>
        <v>0</v>
      </c>
      <c r="CU50" s="932">
        <f t="shared" si="141"/>
        <v>0</v>
      </c>
      <c r="CV50" s="1557"/>
      <c r="CW50" s="1406" t="s">
        <v>6931</v>
      </c>
      <c r="CX50" s="1406" t="s">
        <v>7178</v>
      </c>
      <c r="CY50" s="935"/>
      <c r="CZ50" s="514"/>
      <c r="DA50" s="478"/>
      <c r="DB50" s="478"/>
      <c r="DC50" s="478"/>
      <c r="DD50" s="472"/>
      <c r="DE50" s="935"/>
      <c r="DF50" s="935"/>
      <c r="DG50" s="935"/>
      <c r="DH50" s="935"/>
      <c r="DJ50" s="930" t="str">
        <f>VLOOKUP(X50,Hoja1!$A$4:$B$10,2,0)</f>
        <v>PROFESIONAL</v>
      </c>
      <c r="DK50" s="930" t="str">
        <f>VLOOKUP(S50,Hoja1!$D$4:$F$77,3,0)</f>
        <v>PII - VII</v>
      </c>
      <c r="DL50" s="1217" t="str">
        <f t="shared" si="142"/>
        <v>0</v>
      </c>
      <c r="DM50" s="1745" t="str">
        <f t="shared" si="143"/>
        <v>F</v>
      </c>
      <c r="DN50" s="1745"/>
    </row>
    <row r="51" spans="1:118" s="478" customFormat="1" ht="21.95" customHeight="1">
      <c r="A51" s="510" t="s">
        <v>2846</v>
      </c>
      <c r="B51" s="1390">
        <f ca="1">OFFSET(B51,-1,0)+1</f>
        <v>9</v>
      </c>
      <c r="C51" s="1194">
        <v>8266170</v>
      </c>
      <c r="D51" s="1195" t="s">
        <v>4938</v>
      </c>
      <c r="E51" s="1180" t="s">
        <v>4622</v>
      </c>
      <c r="F51" s="1196">
        <v>25913</v>
      </c>
      <c r="G51" s="1180" t="s">
        <v>4620</v>
      </c>
      <c r="H51" s="1196">
        <v>45323</v>
      </c>
      <c r="I51" s="1185">
        <f t="shared" si="98"/>
        <v>0</v>
      </c>
      <c r="J51" s="1177">
        <v>5</v>
      </c>
      <c r="K51" s="1185">
        <f t="shared" si="99"/>
        <v>5</v>
      </c>
      <c r="L51" s="1191" t="s">
        <v>5551</v>
      </c>
      <c r="M51" s="1177"/>
      <c r="N51" s="1177"/>
      <c r="O51" s="1040" t="s">
        <v>5222</v>
      </c>
      <c r="P51" s="1177" t="s">
        <v>6000</v>
      </c>
      <c r="Q51" s="1391" t="str">
        <f>IFERROR(VLOOKUP(O51,CARGOS!A:E,2,0),"")</f>
        <v>79511</v>
      </c>
      <c r="R51" s="1040" t="s">
        <v>5222</v>
      </c>
      <c r="S51" s="1192" t="s">
        <v>5475</v>
      </c>
      <c r="T51" s="1150">
        <f>IFERROR(VLOOKUP(S51,'TAB EMP'!A:B,2,0),0)</f>
        <v>192</v>
      </c>
      <c r="U51" s="1151">
        <v>0</v>
      </c>
      <c r="V51" s="1150">
        <f t="shared" ref="V51" si="150">T51-U51</f>
        <v>192</v>
      </c>
      <c r="W51" s="1151">
        <f t="shared" ref="W51" si="151">ROUND(V51/2,2)</f>
        <v>96</v>
      </c>
      <c r="X51" s="1180" t="s">
        <v>2885</v>
      </c>
      <c r="Y51" s="1180"/>
      <c r="Z51" s="1180">
        <v>1</v>
      </c>
      <c r="AA51" s="1150">
        <f>ROUND(IF(H51&lt;&gt;"",VLOOKUP(SUM(I51+J51),'CONCEPTOS Y PARAMETROS'!F:G,2,0)*V51,0),2)</f>
        <v>9.6</v>
      </c>
      <c r="AB51" s="1150">
        <f>IF(S51&lt;&gt;"",IF(M51="",'CONCEPTOS Y PARAMETROS'!$C$4,0),0)</f>
        <v>130</v>
      </c>
      <c r="AC51" s="1150">
        <f>IF(S51&lt;&gt;"",IF(M51="",'CONCEPTOS Y PARAMETROS'!$C$7*Z51,0),0)</f>
        <v>12.5</v>
      </c>
      <c r="AD51" s="1150">
        <f>IFERROR(ROUND(VLOOKUP($X51,'CONCEPTOS Y PARAMETROS'!H:I,2,0)*($V51+AA51+AB51+AC51),2),0)</f>
        <v>86.03</v>
      </c>
      <c r="AE51" s="1150">
        <f t="shared" ref="AE51" si="152">SUM(AA51:AD51)</f>
        <v>238.13</v>
      </c>
      <c r="AF51" s="1150">
        <f t="shared" ref="AF51" si="153">ROUND(AA51/2,2)</f>
        <v>4.8</v>
      </c>
      <c r="AG51" s="1150">
        <f t="shared" ref="AG51" si="154">ROUND(AA51-AF51,2)</f>
        <v>4.8</v>
      </c>
      <c r="AH51" s="1150">
        <f t="shared" ref="AH51" si="155">ROUND(AB51/2,2)</f>
        <v>65</v>
      </c>
      <c r="AI51" s="1150">
        <f t="shared" ref="AI51" si="156">ROUND(AB51-AH51,2)</f>
        <v>65</v>
      </c>
      <c r="AJ51" s="1150">
        <f t="shared" ref="AJ51" si="157">ROUND(AD51/2,2)</f>
        <v>43.02</v>
      </c>
      <c r="AK51" s="1150">
        <f t="shared" ref="AK51" si="158">ROUND(AD51-AJ51,2)</f>
        <v>43.01</v>
      </c>
      <c r="AL51" s="1151">
        <f t="shared" ref="AL51" si="159">ROUND(AF51+AH51+AJ51+AC51,2)</f>
        <v>125.32</v>
      </c>
      <c r="AM51" s="1151">
        <f t="shared" ref="AM51" si="160">ROUND(AG51+AI51+AK51,2)</f>
        <v>112.81</v>
      </c>
      <c r="AN51" s="1028">
        <v>0</v>
      </c>
      <c r="AO51" s="1193">
        <f>'CONCEPTOS Y PARAMETROS'!$C$18*AN51</f>
        <v>0</v>
      </c>
      <c r="AP51" s="1028">
        <v>0</v>
      </c>
      <c r="AQ51" s="1193">
        <f>'CONCEPTOS Y PARAMETROS'!$C$21*AP51</f>
        <v>0</v>
      </c>
      <c r="AR51" s="1394">
        <v>0</v>
      </c>
      <c r="AS51" s="1394">
        <v>0</v>
      </c>
      <c r="AT51" s="1394">
        <f t="shared" ref="AT51" si="161">+AO51+AQ51+AR51+AS51</f>
        <v>0</v>
      </c>
      <c r="AU51" s="1151">
        <f t="shared" ref="AU51" si="162">V51+AE51+AW51</f>
        <v>559.16999999999996</v>
      </c>
      <c r="AV51" s="1178" t="s">
        <v>5080</v>
      </c>
      <c r="AW51" s="1151">
        <f t="shared" ref="AW51" si="163">ROUND(IF(AV51="NOCTURN",(V51+AE51)*30%,0),2)</f>
        <v>129.04</v>
      </c>
      <c r="AX51" s="1150">
        <f>IF(T51&lt;&gt;"0",(ROUND(IF(A51="EMPLEADO",eval_formula('CONCEPTOS Y PARAMETROS'!$C$8,NOMINA!V51,NOMINA!$AU51,NOMINA!I51+NOMINA!J51),eval_formula('CONCEPTOS Y PARAMETROS'!$D$8,NOMINA!V51,NOMINA!$AU51,NOMINA!I51+NOMINA!J51)),2))*IF(H51&lt;&gt;"",IF(MONTH(H51)=$BR$8,IF(YEAR(H51)&lt;$BT$7,1,0),0)))</f>
        <v>0</v>
      </c>
      <c r="AY51" s="1151">
        <v>165</v>
      </c>
      <c r="AZ51" s="1150">
        <f>IFERROR(VLOOKUP(AY51,'CONCEPTOS Y PARAMETROS'!Y:Z,2,0),0)</f>
        <v>137.5</v>
      </c>
      <c r="BA51" s="1150">
        <f t="shared" ref="BA51" si="164">ROUND((((AU51))/30*AY51/12+(AU51))/30*AZ51,2)</f>
        <v>3737.51</v>
      </c>
      <c r="BB51" s="1150">
        <f t="shared" si="145"/>
        <v>0</v>
      </c>
      <c r="BC51" s="1028">
        <v>0</v>
      </c>
      <c r="BD51" s="1150" t="str">
        <f t="shared" ref="BD51" si="165">IF(BC51&gt;0,((((((V51+AA51+AB51+AC51+AD51)/30)/8)*50%)+((((V51+AA51+AB51+AC51+AD51)/30)/8)))*30%+(((((V51+AA51+AB51+AC51+AD51)/30)/8)*50%)+((((V51+AA51+AB51+AC51+AD51)/30)/8))))*BC51,"0")</f>
        <v>0</v>
      </c>
      <c r="BE51" s="1028">
        <v>4</v>
      </c>
      <c r="BF51" s="1150">
        <f t="shared" ref="BF51:BF57" si="166">ROUND(IF(BE51&gt;0,(((V51+AA51+AB51+AC51+AD51+AW51)/30)*50%+((V51+AA51+AB51+AC51+AD51+AW51)/30))*BE51,"0"),2)</f>
        <v>111.83</v>
      </c>
      <c r="BG51" s="1151">
        <v>300</v>
      </c>
      <c r="BH51" s="1151">
        <f t="shared" si="117"/>
        <v>0</v>
      </c>
      <c r="BI51" s="1180">
        <v>0</v>
      </c>
      <c r="BJ51" s="1180">
        <f t="shared" si="118"/>
        <v>0</v>
      </c>
      <c r="BK51" s="1151">
        <v>0</v>
      </c>
      <c r="BL51" s="1150">
        <f t="shared" si="146"/>
        <v>20.65</v>
      </c>
      <c r="BM51" s="1150">
        <f t="shared" si="147"/>
        <v>2.58</v>
      </c>
      <c r="BN51" s="1150">
        <f t="shared" si="119"/>
        <v>5.59</v>
      </c>
      <c r="BO51" s="1150">
        <v>0</v>
      </c>
      <c r="BP51" s="1150">
        <v>0</v>
      </c>
      <c r="BQ51" s="1396">
        <f t="shared" ref="BQ51" si="167">ROUND(SUM(BL51:BP51),2)</f>
        <v>28.82</v>
      </c>
      <c r="BR51" s="1150">
        <f t="shared" si="148"/>
        <v>46.45</v>
      </c>
      <c r="BS51" s="1150">
        <f t="shared" si="149"/>
        <v>10.32</v>
      </c>
      <c r="BT51" s="1150">
        <f t="shared" si="121"/>
        <v>11.18</v>
      </c>
      <c r="BU51" s="1150">
        <v>0</v>
      </c>
      <c r="BV51" s="1151">
        <f t="shared" ref="BV51" si="168">ROUND(SUM(BR51:BT51),2)</f>
        <v>67.95</v>
      </c>
      <c r="BW51" s="1155">
        <f t="shared" ref="BW51" si="169">BQ51+BV51</f>
        <v>96.77000000000001</v>
      </c>
      <c r="BX51" s="1155">
        <f t="shared" si="124"/>
        <v>934.38</v>
      </c>
      <c r="BY51" s="1151">
        <v>0</v>
      </c>
      <c r="BZ51" s="1151">
        <f t="shared" si="125"/>
        <v>934.38</v>
      </c>
      <c r="CA51" s="1397">
        <f>'CONCEPTOS Y PARAMETROS'!$A$102</f>
        <v>2120</v>
      </c>
      <c r="CB51" s="1155">
        <f t="shared" si="126"/>
        <v>192.5</v>
      </c>
      <c r="CC51" s="1156">
        <f t="shared" si="127"/>
        <v>749.68</v>
      </c>
      <c r="CD51" s="514"/>
      <c r="CE51" s="514"/>
      <c r="CF51" s="521"/>
      <c r="CG51" s="511">
        <f t="shared" si="128"/>
        <v>192.5</v>
      </c>
      <c r="CH51" s="1712">
        <f t="shared" si="129"/>
        <v>300</v>
      </c>
      <c r="CI51" s="511">
        <f t="shared" si="130"/>
        <v>508.81</v>
      </c>
      <c r="CJ51" s="511">
        <f t="shared" si="131"/>
        <v>508.81</v>
      </c>
      <c r="CK51" s="511">
        <f t="shared" si="132"/>
        <v>0</v>
      </c>
      <c r="CL51" s="511">
        <f t="shared" si="133"/>
        <v>0</v>
      </c>
      <c r="CM51" s="511">
        <f t="shared" si="134"/>
        <v>0</v>
      </c>
      <c r="CN51" s="512">
        <f t="shared" si="135"/>
        <v>111.83</v>
      </c>
      <c r="CO51" s="513">
        <v>0</v>
      </c>
      <c r="CP51" s="512">
        <f t="shared" si="136"/>
        <v>129.04</v>
      </c>
      <c r="CQ51" s="500">
        <f t="shared" si="137"/>
        <v>0</v>
      </c>
      <c r="CR51" s="512">
        <f t="shared" si="138"/>
        <v>0</v>
      </c>
      <c r="CS51" s="512">
        <f t="shared" si="139"/>
        <v>240.87</v>
      </c>
      <c r="CT51" s="512">
        <f t="shared" si="140"/>
        <v>96.77000000000001</v>
      </c>
      <c r="CU51" s="512">
        <f t="shared" si="141"/>
        <v>2120</v>
      </c>
      <c r="CV51" s="1556"/>
      <c r="CW51" s="1195" t="s">
        <v>6952</v>
      </c>
      <c r="CX51" s="1195" t="s">
        <v>6953</v>
      </c>
      <c r="CY51" s="514"/>
      <c r="CZ51" s="1199" t="s">
        <v>6663</v>
      </c>
      <c r="DA51" s="1188" t="s">
        <v>6188</v>
      </c>
      <c r="DB51" s="1188" t="s">
        <v>6570</v>
      </c>
      <c r="DC51" s="514" t="s">
        <v>6381</v>
      </c>
      <c r="DD51" s="472"/>
      <c r="DE51" s="514"/>
      <c r="DF51" s="514"/>
      <c r="DG51" s="514"/>
      <c r="DH51" s="514"/>
      <c r="DJ51" s="478" t="str">
        <f>VLOOKUP(X51,Hoja1!$A$4:$B$10,2,0)</f>
        <v>PROFESIONAL</v>
      </c>
      <c r="DK51" s="478" t="str">
        <f>VLOOKUP(S51,Hoja1!$D$4:$F$77,3,0)</f>
        <v>TI</v>
      </c>
      <c r="DL51" s="1218" t="str">
        <f t="shared" si="142"/>
        <v>SI</v>
      </c>
      <c r="DM51" s="1743" t="str">
        <f t="shared" si="143"/>
        <v>F</v>
      </c>
      <c r="DN51" s="1743"/>
    </row>
    <row r="52" spans="1:118" s="473" customFormat="1" ht="21.95" customHeight="1">
      <c r="A52" s="510" t="s">
        <v>2846</v>
      </c>
      <c r="B52" s="1390">
        <f t="shared" ca="1" si="144"/>
        <v>10</v>
      </c>
      <c r="C52" s="1194">
        <v>9162178</v>
      </c>
      <c r="D52" s="1195" t="s">
        <v>7395</v>
      </c>
      <c r="E52" s="1180" t="s">
        <v>4622</v>
      </c>
      <c r="F52" s="1196">
        <v>22346</v>
      </c>
      <c r="G52" s="1180" t="s">
        <v>4620</v>
      </c>
      <c r="H52" s="1196">
        <v>39566</v>
      </c>
      <c r="I52" s="1185">
        <f t="shared" si="98"/>
        <v>16</v>
      </c>
      <c r="J52" s="1177">
        <v>4</v>
      </c>
      <c r="K52" s="1185">
        <f t="shared" si="99"/>
        <v>20</v>
      </c>
      <c r="L52" s="1191" t="s">
        <v>5542</v>
      </c>
      <c r="M52" s="1177"/>
      <c r="N52" s="1177"/>
      <c r="O52" s="1040" t="s">
        <v>5221</v>
      </c>
      <c r="P52" s="1177" t="s">
        <v>5281</v>
      </c>
      <c r="Q52" s="1391" t="str">
        <f>IFERROR(VLOOKUP(O52,CARGOS!A:E,2,0),"")</f>
        <v>79512</v>
      </c>
      <c r="R52" s="1403" t="s">
        <v>5221</v>
      </c>
      <c r="S52" s="1192" t="s">
        <v>5476</v>
      </c>
      <c r="T52" s="1150">
        <f>IFERROR(VLOOKUP(S52,'TAB EMP'!A:B,2,0),0)</f>
        <v>177</v>
      </c>
      <c r="U52" s="1151">
        <v>0</v>
      </c>
      <c r="V52" s="1150">
        <f t="shared" si="100"/>
        <v>177</v>
      </c>
      <c r="W52" s="1151">
        <f t="shared" si="101"/>
        <v>88.5</v>
      </c>
      <c r="X52" s="1180" t="s">
        <v>2884</v>
      </c>
      <c r="Y52" s="1180"/>
      <c r="Z52" s="1180">
        <v>0</v>
      </c>
      <c r="AA52" s="1150">
        <f>ROUND(IF(H52&lt;&gt;"",VLOOKUP(SUM(I52+J52),'CONCEPTOS Y PARAMETROS'!F:G,2,0)*V52,0),2)</f>
        <v>46.02</v>
      </c>
      <c r="AB52" s="1150">
        <f>IF(S52&lt;&gt;"",IF(M52="",'CONCEPTOS Y PARAMETROS'!$C$4,0),0)</f>
        <v>130</v>
      </c>
      <c r="AC52" s="1150">
        <f>IF(S52&lt;&gt;"",IF(M52="",'CONCEPTOS Y PARAMETROS'!$C$7*Z52,0),0)</f>
        <v>0</v>
      </c>
      <c r="AD52" s="1150">
        <f>IFERROR(ROUND(VLOOKUP($X52,'CONCEPTOS Y PARAMETROS'!H:I,2,0)*($V52+AA52+AB52+AC52),2),0)</f>
        <v>0</v>
      </c>
      <c r="AE52" s="1150">
        <f t="shared" si="102"/>
        <v>176.02</v>
      </c>
      <c r="AF52" s="1150">
        <f t="shared" si="103"/>
        <v>23.01</v>
      </c>
      <c r="AG52" s="1150">
        <f t="shared" si="104"/>
        <v>23.01</v>
      </c>
      <c r="AH52" s="1150">
        <f t="shared" si="105"/>
        <v>65</v>
      </c>
      <c r="AI52" s="1150">
        <f t="shared" si="106"/>
        <v>65</v>
      </c>
      <c r="AJ52" s="1150">
        <f t="shared" si="107"/>
        <v>0</v>
      </c>
      <c r="AK52" s="1150">
        <f t="shared" si="108"/>
        <v>0</v>
      </c>
      <c r="AL52" s="1151">
        <f t="shared" si="109"/>
        <v>88.01</v>
      </c>
      <c r="AM52" s="1151">
        <f t="shared" si="110"/>
        <v>88.01</v>
      </c>
      <c r="AN52" s="1028">
        <v>0</v>
      </c>
      <c r="AO52" s="1193">
        <f>'CONCEPTOS Y PARAMETROS'!$C$18*AN52</f>
        <v>0</v>
      </c>
      <c r="AP52" s="1028">
        <v>0</v>
      </c>
      <c r="AQ52" s="1193">
        <f>'CONCEPTOS Y PARAMETROS'!$C$21*AP52</f>
        <v>0</v>
      </c>
      <c r="AR52" s="1394">
        <v>0</v>
      </c>
      <c r="AS52" s="1394">
        <v>0</v>
      </c>
      <c r="AT52" s="1394">
        <f t="shared" si="111"/>
        <v>0</v>
      </c>
      <c r="AU52" s="1151">
        <f t="shared" si="112"/>
        <v>458.92999999999995</v>
      </c>
      <c r="AV52" s="1178" t="s">
        <v>5080</v>
      </c>
      <c r="AW52" s="1151">
        <f t="shared" si="113"/>
        <v>105.91</v>
      </c>
      <c r="AX52" s="1150">
        <f>IF(T52&lt;&gt;"0",(ROUND(IF(A52="EMPLEADO",eval_formula('CONCEPTOS Y PARAMETROS'!$C$8,NOMINA!V52,NOMINA!$AU52,NOMINA!I52+NOMINA!J52),eval_formula('CONCEPTOS Y PARAMETROS'!$D$8,NOMINA!V52,NOMINA!$AU52,NOMINA!I52+NOMINA!J52)),2))*IF(H52&lt;&gt;"",IF(MONTH(H52)=$BR$8,IF(YEAR(H52)&lt;$BT$7,1,0),0)))</f>
        <v>0</v>
      </c>
      <c r="AY52" s="1151">
        <v>180</v>
      </c>
      <c r="AZ52" s="1150">
        <f>IFERROR(VLOOKUP(AY52,'CONCEPTOS Y PARAMETROS'!Y:Z,2,0),0)</f>
        <v>150</v>
      </c>
      <c r="BA52" s="1150">
        <f t="shared" si="114"/>
        <v>3441.98</v>
      </c>
      <c r="BB52" s="1150">
        <f t="shared" si="145"/>
        <v>0</v>
      </c>
      <c r="BC52" s="1028">
        <v>0</v>
      </c>
      <c r="BD52" s="1150" t="str">
        <f t="shared" si="115"/>
        <v>0</v>
      </c>
      <c r="BE52" s="1028">
        <v>3</v>
      </c>
      <c r="BF52" s="1150">
        <f t="shared" si="166"/>
        <v>68.84</v>
      </c>
      <c r="BG52" s="1151">
        <v>300</v>
      </c>
      <c r="BH52" s="1151">
        <f t="shared" si="117"/>
        <v>0</v>
      </c>
      <c r="BI52" s="1180">
        <v>0</v>
      </c>
      <c r="BJ52" s="1180">
        <f t="shared" si="118"/>
        <v>0</v>
      </c>
      <c r="BK52" s="1151">
        <v>0</v>
      </c>
      <c r="BL52" s="1150">
        <f t="shared" si="146"/>
        <v>16.95</v>
      </c>
      <c r="BM52" s="1150">
        <f t="shared" si="147"/>
        <v>2.12</v>
      </c>
      <c r="BN52" s="1150">
        <f t="shared" si="119"/>
        <v>4.59</v>
      </c>
      <c r="BO52" s="1150">
        <v>0</v>
      </c>
      <c r="BP52" s="1150">
        <v>0</v>
      </c>
      <c r="BQ52" s="1396">
        <f t="shared" si="120"/>
        <v>23.66</v>
      </c>
      <c r="BR52" s="1150">
        <f t="shared" si="148"/>
        <v>38.130000000000003</v>
      </c>
      <c r="BS52" s="1150">
        <f t="shared" si="149"/>
        <v>8.4700000000000006</v>
      </c>
      <c r="BT52" s="1150">
        <f t="shared" si="121"/>
        <v>9.18</v>
      </c>
      <c r="BU52" s="1150">
        <v>0</v>
      </c>
      <c r="BV52" s="1151">
        <f t="shared" si="122"/>
        <v>55.78</v>
      </c>
      <c r="BW52" s="1155">
        <f t="shared" si="123"/>
        <v>79.44</v>
      </c>
      <c r="BX52" s="1155">
        <f t="shared" si="124"/>
        <v>860.5</v>
      </c>
      <c r="BY52" s="1151">
        <v>0</v>
      </c>
      <c r="BZ52" s="1151">
        <f t="shared" si="125"/>
        <v>860.5</v>
      </c>
      <c r="CA52" s="1397">
        <f>'CONCEPTOS Y PARAMETROS'!$A$102</f>
        <v>2120</v>
      </c>
      <c r="CB52" s="1155">
        <f t="shared" si="126"/>
        <v>152.85</v>
      </c>
      <c r="CC52" s="1156">
        <f t="shared" si="127"/>
        <v>651.26</v>
      </c>
      <c r="CD52" s="514"/>
      <c r="CE52" s="514"/>
      <c r="CF52" s="520"/>
      <c r="CG52" s="497">
        <f t="shared" si="128"/>
        <v>152.85</v>
      </c>
      <c r="CH52" s="1711">
        <f t="shared" si="129"/>
        <v>300</v>
      </c>
      <c r="CI52" s="497">
        <f t="shared" si="130"/>
        <v>476.51</v>
      </c>
      <c r="CJ52" s="497">
        <f t="shared" si="131"/>
        <v>476.51</v>
      </c>
      <c r="CK52" s="497">
        <f t="shared" si="132"/>
        <v>0</v>
      </c>
      <c r="CL52" s="497">
        <f t="shared" si="133"/>
        <v>0</v>
      </c>
      <c r="CM52" s="497">
        <f t="shared" si="134"/>
        <v>0</v>
      </c>
      <c r="CN52" s="498">
        <f t="shared" si="135"/>
        <v>68.84</v>
      </c>
      <c r="CO52" s="499">
        <v>0</v>
      </c>
      <c r="CP52" s="498">
        <f t="shared" si="136"/>
        <v>105.91</v>
      </c>
      <c r="CQ52" s="500">
        <f t="shared" si="137"/>
        <v>0</v>
      </c>
      <c r="CR52" s="498">
        <f t="shared" si="138"/>
        <v>0</v>
      </c>
      <c r="CS52" s="498">
        <f t="shared" si="139"/>
        <v>174.75</v>
      </c>
      <c r="CT52" s="498">
        <f t="shared" si="140"/>
        <v>79.44</v>
      </c>
      <c r="CU52" s="498">
        <f t="shared" si="141"/>
        <v>2120</v>
      </c>
      <c r="CV52" s="1554"/>
      <c r="CW52" s="1195" t="s">
        <v>6954</v>
      </c>
      <c r="CX52" s="1195" t="s">
        <v>7024</v>
      </c>
      <c r="CY52" s="472"/>
      <c r="CZ52" s="1199" t="s">
        <v>6664</v>
      </c>
      <c r="DA52" s="514" t="s">
        <v>6188</v>
      </c>
      <c r="DB52" s="514" t="s">
        <v>6302</v>
      </c>
      <c r="DC52" s="514" t="s">
        <v>6303</v>
      </c>
      <c r="DD52" s="472"/>
      <c r="DE52" s="472"/>
      <c r="DF52" s="472"/>
      <c r="DG52" s="472"/>
      <c r="DH52" s="472"/>
      <c r="DJ52" s="473" t="str">
        <f>VLOOKUP(X52,Hoja1!$A$4:$B$10,2,0)</f>
        <v>BACHILLER</v>
      </c>
      <c r="DK52" s="473" t="str">
        <f>VLOOKUP(S52,Hoja1!$D$4:$F$77,3,0)</f>
        <v>BIII - VII</v>
      </c>
      <c r="DL52" s="1216" t="str">
        <f t="shared" si="142"/>
        <v>SI</v>
      </c>
      <c r="DM52" s="1741" t="str">
        <f t="shared" si="143"/>
        <v>F</v>
      </c>
      <c r="DN52" s="1741"/>
    </row>
    <row r="53" spans="1:118" s="473" customFormat="1" ht="21.95" customHeight="1">
      <c r="A53" s="510" t="s">
        <v>2846</v>
      </c>
      <c r="B53" s="1390">
        <f t="shared" ca="1" si="144"/>
        <v>11</v>
      </c>
      <c r="C53" s="1194">
        <v>9162243</v>
      </c>
      <c r="D53" s="1195" t="s">
        <v>4698</v>
      </c>
      <c r="E53" s="1180" t="s">
        <v>4622</v>
      </c>
      <c r="F53" s="1196">
        <v>22457</v>
      </c>
      <c r="G53" s="1180" t="s">
        <v>4621</v>
      </c>
      <c r="H53" s="1196">
        <v>35535</v>
      </c>
      <c r="I53" s="1185">
        <f t="shared" si="98"/>
        <v>27</v>
      </c>
      <c r="J53" s="1177">
        <v>0</v>
      </c>
      <c r="K53" s="1185">
        <f t="shared" si="99"/>
        <v>27</v>
      </c>
      <c r="L53" s="1191" t="s">
        <v>5546</v>
      </c>
      <c r="M53" s="1177"/>
      <c r="N53" s="1177"/>
      <c r="O53" s="1040" t="s">
        <v>5221</v>
      </c>
      <c r="P53" s="1177" t="s">
        <v>5282</v>
      </c>
      <c r="Q53" s="1391" t="str">
        <f>IFERROR(VLOOKUP(O53,CARGOS!A:E,2,0),"")</f>
        <v>79512</v>
      </c>
      <c r="R53" s="1403" t="s">
        <v>5221</v>
      </c>
      <c r="S53" s="1192" t="s">
        <v>5476</v>
      </c>
      <c r="T53" s="1150">
        <f>IFERROR(VLOOKUP(S53,'TAB EMP'!A:B,2,0),0)</f>
        <v>177</v>
      </c>
      <c r="U53" s="1151">
        <v>0</v>
      </c>
      <c r="V53" s="1150">
        <f t="shared" si="100"/>
        <v>177</v>
      </c>
      <c r="W53" s="1151">
        <f t="shared" si="101"/>
        <v>88.5</v>
      </c>
      <c r="X53" s="1180" t="s">
        <v>2884</v>
      </c>
      <c r="Y53" s="1180"/>
      <c r="Z53" s="1180">
        <v>0</v>
      </c>
      <c r="AA53" s="1150">
        <f>ROUND(IF(H53&lt;&gt;"",VLOOKUP(SUM(I53+J53),'CONCEPTOS Y PARAMETROS'!F:G,2,0)*V53,0),2)</f>
        <v>53.1</v>
      </c>
      <c r="AB53" s="1150">
        <f>IF(S53&lt;&gt;"",IF(M53="",'CONCEPTOS Y PARAMETROS'!$C$4,0),0)</f>
        <v>130</v>
      </c>
      <c r="AC53" s="1150">
        <f>IF(S53&lt;&gt;"",IF(M53="",'CONCEPTOS Y PARAMETROS'!$C$7*Z53,0),0)</f>
        <v>0</v>
      </c>
      <c r="AD53" s="1150">
        <f>IFERROR(ROUND(VLOOKUP($X53,'CONCEPTOS Y PARAMETROS'!H:I,2,0)*($V53+AA53+AB53+AC53),2),0)</f>
        <v>0</v>
      </c>
      <c r="AE53" s="1150">
        <f t="shared" si="102"/>
        <v>183.1</v>
      </c>
      <c r="AF53" s="1150">
        <f t="shared" si="103"/>
        <v>26.55</v>
      </c>
      <c r="AG53" s="1150">
        <f t="shared" si="104"/>
        <v>26.55</v>
      </c>
      <c r="AH53" s="1150">
        <f t="shared" si="105"/>
        <v>65</v>
      </c>
      <c r="AI53" s="1150">
        <f t="shared" si="106"/>
        <v>65</v>
      </c>
      <c r="AJ53" s="1150">
        <f t="shared" si="107"/>
        <v>0</v>
      </c>
      <c r="AK53" s="1150">
        <f t="shared" si="108"/>
        <v>0</v>
      </c>
      <c r="AL53" s="1151">
        <f t="shared" si="109"/>
        <v>91.55</v>
      </c>
      <c r="AM53" s="1151">
        <f t="shared" si="110"/>
        <v>91.55</v>
      </c>
      <c r="AN53" s="1028">
        <v>0</v>
      </c>
      <c r="AO53" s="1193">
        <f>'CONCEPTOS Y PARAMETROS'!$C$18*AN53</f>
        <v>0</v>
      </c>
      <c r="AP53" s="1028">
        <v>0</v>
      </c>
      <c r="AQ53" s="1193">
        <f>'CONCEPTOS Y PARAMETROS'!$C$21*AP53</f>
        <v>0</v>
      </c>
      <c r="AR53" s="1394">
        <v>0</v>
      </c>
      <c r="AS53" s="1394">
        <v>0</v>
      </c>
      <c r="AT53" s="1394">
        <f t="shared" si="111"/>
        <v>0</v>
      </c>
      <c r="AU53" s="1151">
        <f t="shared" si="112"/>
        <v>360.1</v>
      </c>
      <c r="AV53" s="1178">
        <v>0</v>
      </c>
      <c r="AW53" s="1151">
        <f t="shared" si="113"/>
        <v>0</v>
      </c>
      <c r="AX53" s="1150">
        <f>IF(T53&lt;&gt;"0",(ROUND(IF(A53="EMPLEADO",eval_formula('CONCEPTOS Y PARAMETROS'!$C$8,NOMINA!V53,NOMINA!$AU53,NOMINA!I53+NOMINA!J53),eval_formula('CONCEPTOS Y PARAMETROS'!$D$8,NOMINA!V53,NOMINA!$AU53,NOMINA!I53+NOMINA!J53)),2))*IF(H53&lt;&gt;"",IF(MONTH(H53)=$BR$8,IF(YEAR(H53)&lt;$BT$7,1,0),0)))</f>
        <v>0</v>
      </c>
      <c r="AY53" s="1151">
        <v>180</v>
      </c>
      <c r="AZ53" s="1150">
        <f>IFERROR(VLOOKUP(AY53,'CONCEPTOS Y PARAMETROS'!Y:Z,2,0),0)</f>
        <v>150</v>
      </c>
      <c r="BA53" s="1150">
        <f t="shared" si="114"/>
        <v>2700.75</v>
      </c>
      <c r="BB53" s="1150">
        <f t="shared" si="145"/>
        <v>0</v>
      </c>
      <c r="BC53" s="1028">
        <v>0</v>
      </c>
      <c r="BD53" s="1150" t="str">
        <f t="shared" si="115"/>
        <v>0</v>
      </c>
      <c r="BE53" s="1028">
        <v>0</v>
      </c>
      <c r="BF53" s="1150">
        <f t="shared" si="166"/>
        <v>0</v>
      </c>
      <c r="BG53" s="1151">
        <v>300</v>
      </c>
      <c r="BH53" s="1151">
        <f t="shared" si="117"/>
        <v>0</v>
      </c>
      <c r="BI53" s="1180">
        <v>0</v>
      </c>
      <c r="BJ53" s="1180">
        <f t="shared" si="118"/>
        <v>0</v>
      </c>
      <c r="BK53" s="1151">
        <v>0</v>
      </c>
      <c r="BL53" s="1150">
        <f t="shared" si="146"/>
        <v>13.3</v>
      </c>
      <c r="BM53" s="1150">
        <f t="shared" si="147"/>
        <v>1.66</v>
      </c>
      <c r="BN53" s="1150">
        <f t="shared" si="119"/>
        <v>3.6</v>
      </c>
      <c r="BO53" s="1150">
        <v>0</v>
      </c>
      <c r="BP53" s="1150">
        <v>0</v>
      </c>
      <c r="BQ53" s="1396">
        <f t="shared" si="120"/>
        <v>18.559999999999999</v>
      </c>
      <c r="BR53" s="1150">
        <f t="shared" si="148"/>
        <v>29.92</v>
      </c>
      <c r="BS53" s="1150">
        <f t="shared" si="149"/>
        <v>6.65</v>
      </c>
      <c r="BT53" s="1150">
        <f t="shared" si="121"/>
        <v>7.2</v>
      </c>
      <c r="BU53" s="1150">
        <v>0</v>
      </c>
      <c r="BV53" s="1151">
        <f t="shared" si="122"/>
        <v>43.77</v>
      </c>
      <c r="BW53" s="1155">
        <f t="shared" si="123"/>
        <v>62.33</v>
      </c>
      <c r="BX53" s="1155">
        <f t="shared" si="124"/>
        <v>675.19</v>
      </c>
      <c r="BY53" s="1151">
        <v>0</v>
      </c>
      <c r="BZ53" s="1151">
        <f t="shared" si="125"/>
        <v>675.19</v>
      </c>
      <c r="CA53" s="1397">
        <v>0</v>
      </c>
      <c r="CB53" s="1155">
        <f t="shared" si="126"/>
        <v>161.49</v>
      </c>
      <c r="CC53" s="1156">
        <f t="shared" si="127"/>
        <v>480.05</v>
      </c>
      <c r="CD53" s="514"/>
      <c r="CE53" s="514"/>
      <c r="CF53" s="520"/>
      <c r="CG53" s="497">
        <f t="shared" si="128"/>
        <v>161.49</v>
      </c>
      <c r="CH53" s="1711">
        <f t="shared" si="129"/>
        <v>300</v>
      </c>
      <c r="CI53" s="497">
        <f t="shared" si="130"/>
        <v>480.05</v>
      </c>
      <c r="CJ53" s="497">
        <f t="shared" si="131"/>
        <v>480.05</v>
      </c>
      <c r="CK53" s="497">
        <f t="shared" si="132"/>
        <v>0</v>
      </c>
      <c r="CL53" s="497">
        <f t="shared" si="133"/>
        <v>0</v>
      </c>
      <c r="CM53" s="497">
        <f t="shared" si="134"/>
        <v>0</v>
      </c>
      <c r="CN53" s="498">
        <f t="shared" si="135"/>
        <v>0</v>
      </c>
      <c r="CO53" s="499">
        <v>0</v>
      </c>
      <c r="CP53" s="498">
        <f t="shared" si="136"/>
        <v>0</v>
      </c>
      <c r="CQ53" s="500">
        <f t="shared" si="137"/>
        <v>0</v>
      </c>
      <c r="CR53" s="498">
        <f t="shared" si="138"/>
        <v>0</v>
      </c>
      <c r="CS53" s="498">
        <f t="shared" si="139"/>
        <v>0</v>
      </c>
      <c r="CT53" s="498">
        <f t="shared" si="140"/>
        <v>62.33</v>
      </c>
      <c r="CU53" s="498">
        <f t="shared" si="141"/>
        <v>0</v>
      </c>
      <c r="CV53" s="1554"/>
      <c r="CW53" s="1195" t="s">
        <v>6188</v>
      </c>
      <c r="CX53" s="1195" t="s">
        <v>7225</v>
      </c>
      <c r="CY53" s="472"/>
      <c r="CZ53" s="514" t="s">
        <v>6357</v>
      </c>
      <c r="DA53" s="514" t="s">
        <v>6173</v>
      </c>
      <c r="DB53" s="514" t="s">
        <v>6213</v>
      </c>
      <c r="DC53" s="514" t="s">
        <v>6358</v>
      </c>
      <c r="DD53" s="472"/>
      <c r="DE53" s="472"/>
      <c r="DF53" s="472"/>
      <c r="DG53" s="472"/>
      <c r="DH53" s="472"/>
      <c r="DJ53" s="473" t="str">
        <f>VLOOKUP(X53,Hoja1!$A$4:$B$10,2,0)</f>
        <v>BACHILLER</v>
      </c>
      <c r="DK53" s="473" t="str">
        <f>VLOOKUP(S53,Hoja1!$D$4:$F$77,3,0)</f>
        <v>BIII - VII</v>
      </c>
      <c r="DL53" s="1216" t="str">
        <f t="shared" si="142"/>
        <v>0</v>
      </c>
      <c r="DM53" s="1741" t="str">
        <f t="shared" si="143"/>
        <v>M</v>
      </c>
      <c r="DN53" s="1741"/>
    </row>
    <row r="54" spans="1:118" s="473" customFormat="1" ht="21.95" customHeight="1">
      <c r="A54" s="510" t="s">
        <v>2846</v>
      </c>
      <c r="B54" s="1390">
        <f t="shared" ca="1" si="144"/>
        <v>12</v>
      </c>
      <c r="C54" s="1194">
        <v>9170647</v>
      </c>
      <c r="D54" s="1195" t="s">
        <v>4699</v>
      </c>
      <c r="E54" s="1180" t="s">
        <v>4622</v>
      </c>
      <c r="F54" s="1196">
        <v>23104</v>
      </c>
      <c r="G54" s="1180" t="s">
        <v>4620</v>
      </c>
      <c r="H54" s="1196">
        <v>39238</v>
      </c>
      <c r="I54" s="1185">
        <f t="shared" si="98"/>
        <v>17</v>
      </c>
      <c r="J54" s="1177">
        <v>0</v>
      </c>
      <c r="K54" s="1185">
        <f t="shared" si="99"/>
        <v>17</v>
      </c>
      <c r="L54" s="1191" t="s">
        <v>7377</v>
      </c>
      <c r="M54" s="1177"/>
      <c r="N54" s="1177"/>
      <c r="O54" s="1040" t="s">
        <v>5221</v>
      </c>
      <c r="P54" s="1177" t="s">
        <v>5283</v>
      </c>
      <c r="Q54" s="1391" t="str">
        <f>IFERROR(VLOOKUP(O54,CARGOS!A:E,2,0),"")</f>
        <v>79512</v>
      </c>
      <c r="R54" s="1403" t="s">
        <v>5221</v>
      </c>
      <c r="S54" s="1192" t="s">
        <v>5474</v>
      </c>
      <c r="T54" s="1150">
        <f>IFERROR(VLOOKUP(S54,'TAB EMP'!A:B,2,0),0)</f>
        <v>226</v>
      </c>
      <c r="U54" s="1151">
        <v>0</v>
      </c>
      <c r="V54" s="1150">
        <f t="shared" si="100"/>
        <v>226</v>
      </c>
      <c r="W54" s="1151">
        <f t="shared" si="101"/>
        <v>113</v>
      </c>
      <c r="X54" s="1180" t="s">
        <v>2844</v>
      </c>
      <c r="Y54" s="1180"/>
      <c r="Z54" s="1180">
        <v>0</v>
      </c>
      <c r="AA54" s="1150">
        <f>ROUND(IF(H54&lt;&gt;"",VLOOKUP(SUM(I54+J54),'CONCEPTOS Y PARAMETROS'!F:G,2,0)*V54,0),2)</f>
        <v>47.91</v>
      </c>
      <c r="AB54" s="1150">
        <f>IF(S54&lt;&gt;"",IF(M54="",'CONCEPTOS Y PARAMETROS'!$C$4,0),0)</f>
        <v>130</v>
      </c>
      <c r="AC54" s="1150">
        <f>IF(S54&lt;&gt;"",IF(M54="",'CONCEPTOS Y PARAMETROS'!$C$7*Z54,0),0)</f>
        <v>0</v>
      </c>
      <c r="AD54" s="1150">
        <f>IFERROR(ROUND(VLOOKUP($X54,'CONCEPTOS Y PARAMETROS'!H:I,2,0)*($V54+AA54+AB54+AC54),2),0)</f>
        <v>80.78</v>
      </c>
      <c r="AE54" s="1150">
        <f t="shared" si="102"/>
        <v>258.69</v>
      </c>
      <c r="AF54" s="1150">
        <f t="shared" si="103"/>
        <v>23.96</v>
      </c>
      <c r="AG54" s="1150">
        <f t="shared" si="104"/>
        <v>23.95</v>
      </c>
      <c r="AH54" s="1150">
        <f t="shared" si="105"/>
        <v>65</v>
      </c>
      <c r="AI54" s="1150">
        <f t="shared" si="106"/>
        <v>65</v>
      </c>
      <c r="AJ54" s="1150">
        <f t="shared" si="107"/>
        <v>40.39</v>
      </c>
      <c r="AK54" s="1150">
        <f t="shared" si="108"/>
        <v>40.39</v>
      </c>
      <c r="AL54" s="1151">
        <f t="shared" si="109"/>
        <v>129.35</v>
      </c>
      <c r="AM54" s="1151">
        <f t="shared" si="110"/>
        <v>129.34</v>
      </c>
      <c r="AN54" s="1028">
        <v>0</v>
      </c>
      <c r="AO54" s="1193">
        <f>'CONCEPTOS Y PARAMETROS'!$C$18*AN54</f>
        <v>0</v>
      </c>
      <c r="AP54" s="1028">
        <v>0</v>
      </c>
      <c r="AQ54" s="1193">
        <f>'CONCEPTOS Y PARAMETROS'!$C$21*AP54</f>
        <v>0</v>
      </c>
      <c r="AR54" s="1394">
        <v>0</v>
      </c>
      <c r="AS54" s="1394">
        <v>0</v>
      </c>
      <c r="AT54" s="1394">
        <f t="shared" si="111"/>
        <v>0</v>
      </c>
      <c r="AU54" s="1151">
        <f t="shared" si="112"/>
        <v>630.1</v>
      </c>
      <c r="AV54" s="1178" t="s">
        <v>5080</v>
      </c>
      <c r="AW54" s="1151">
        <f t="shared" si="113"/>
        <v>145.41</v>
      </c>
      <c r="AX54" s="1150">
        <f>IF(T54&lt;&gt;"0",(ROUND(IF(A54="EMPLEADO",eval_formula('CONCEPTOS Y PARAMETROS'!$C$8,NOMINA!V54,NOMINA!$AU54,NOMINA!I54+NOMINA!J54),eval_formula('CONCEPTOS Y PARAMETROS'!$D$8,NOMINA!V54,NOMINA!$AU54,NOMINA!I54+NOMINA!J54)),2))*IF(H54&lt;&gt;"",IF(MONTH(H54)=$BR$8,IF(YEAR(H54)&lt;$BT$7,1,0),0)))</f>
        <v>0</v>
      </c>
      <c r="AY54" s="1151">
        <v>180</v>
      </c>
      <c r="AZ54" s="1150">
        <f>IFERROR(VLOOKUP(AY54,'CONCEPTOS Y PARAMETROS'!Y:Z,2,0),0)</f>
        <v>150</v>
      </c>
      <c r="BA54" s="1150">
        <f t="shared" si="114"/>
        <v>4725.75</v>
      </c>
      <c r="BB54" s="1150">
        <f t="shared" si="145"/>
        <v>0</v>
      </c>
      <c r="BC54" s="1028">
        <v>0</v>
      </c>
      <c r="BD54" s="1150" t="str">
        <f t="shared" si="115"/>
        <v>0</v>
      </c>
      <c r="BE54" s="1028">
        <v>5</v>
      </c>
      <c r="BF54" s="1150">
        <f t="shared" si="166"/>
        <v>157.53</v>
      </c>
      <c r="BG54" s="1151">
        <v>300</v>
      </c>
      <c r="BH54" s="1151">
        <f t="shared" si="117"/>
        <v>0</v>
      </c>
      <c r="BI54" s="1180">
        <v>0</v>
      </c>
      <c r="BJ54" s="1180">
        <f t="shared" si="118"/>
        <v>0</v>
      </c>
      <c r="BK54" s="1151">
        <v>0</v>
      </c>
      <c r="BL54" s="1150">
        <f t="shared" si="146"/>
        <v>23.27</v>
      </c>
      <c r="BM54" s="1150">
        <f t="shared" si="147"/>
        <v>2.91</v>
      </c>
      <c r="BN54" s="1150">
        <f t="shared" si="119"/>
        <v>6.3</v>
      </c>
      <c r="BO54" s="1150">
        <v>0</v>
      </c>
      <c r="BP54" s="1150">
        <v>0</v>
      </c>
      <c r="BQ54" s="1396">
        <f t="shared" si="120"/>
        <v>32.479999999999997</v>
      </c>
      <c r="BR54" s="1150">
        <f t="shared" si="148"/>
        <v>52.35</v>
      </c>
      <c r="BS54" s="1150">
        <f t="shared" si="149"/>
        <v>11.63</v>
      </c>
      <c r="BT54" s="1150">
        <f t="shared" si="121"/>
        <v>12.6</v>
      </c>
      <c r="BU54" s="1150">
        <v>0</v>
      </c>
      <c r="BV54" s="1151">
        <f t="shared" si="122"/>
        <v>76.58</v>
      </c>
      <c r="BW54" s="1155">
        <f t="shared" si="123"/>
        <v>109.06</v>
      </c>
      <c r="BX54" s="1155">
        <f t="shared" si="124"/>
        <v>1181.44</v>
      </c>
      <c r="BY54" s="1151">
        <v>0</v>
      </c>
      <c r="BZ54" s="1151">
        <f t="shared" si="125"/>
        <v>1181.44</v>
      </c>
      <c r="CA54" s="1397">
        <f>'CONCEPTOS Y PARAMETROS'!$A$102</f>
        <v>2120</v>
      </c>
      <c r="CB54" s="1155">
        <f t="shared" si="126"/>
        <v>209.87</v>
      </c>
      <c r="CC54" s="1156">
        <f t="shared" si="127"/>
        <v>845.28</v>
      </c>
      <c r="CD54" s="514"/>
      <c r="CE54" s="514"/>
      <c r="CF54" s="520"/>
      <c r="CG54" s="497">
        <f t="shared" si="128"/>
        <v>209.87</v>
      </c>
      <c r="CH54" s="1711">
        <f t="shared" si="129"/>
        <v>300</v>
      </c>
      <c r="CI54" s="497">
        <f t="shared" si="130"/>
        <v>542.34</v>
      </c>
      <c r="CJ54" s="497">
        <f t="shared" si="131"/>
        <v>542.34</v>
      </c>
      <c r="CK54" s="497">
        <f t="shared" si="132"/>
        <v>0</v>
      </c>
      <c r="CL54" s="497">
        <f t="shared" si="133"/>
        <v>0</v>
      </c>
      <c r="CM54" s="497">
        <f t="shared" si="134"/>
        <v>0</v>
      </c>
      <c r="CN54" s="498">
        <f t="shared" si="135"/>
        <v>157.53</v>
      </c>
      <c r="CO54" s="499">
        <v>0</v>
      </c>
      <c r="CP54" s="498">
        <f t="shared" si="136"/>
        <v>145.41</v>
      </c>
      <c r="CQ54" s="500">
        <f t="shared" si="137"/>
        <v>0</v>
      </c>
      <c r="CR54" s="498">
        <f t="shared" si="138"/>
        <v>0</v>
      </c>
      <c r="CS54" s="498">
        <f t="shared" si="139"/>
        <v>302.94</v>
      </c>
      <c r="CT54" s="498">
        <f t="shared" si="140"/>
        <v>109.06</v>
      </c>
      <c r="CU54" s="498">
        <f t="shared" si="141"/>
        <v>2120</v>
      </c>
      <c r="CV54" s="1554"/>
      <c r="CW54" s="1195" t="s">
        <v>6958</v>
      </c>
      <c r="CX54" s="1195" t="s">
        <v>7226</v>
      </c>
      <c r="CY54" s="472"/>
      <c r="CZ54" s="514" t="s">
        <v>6363</v>
      </c>
      <c r="DA54" s="514" t="s">
        <v>6173</v>
      </c>
      <c r="DB54" s="1199" t="s">
        <v>6291</v>
      </c>
      <c r="DC54" s="514" t="s">
        <v>6572</v>
      </c>
      <c r="DD54" s="472"/>
      <c r="DE54" s="472"/>
      <c r="DF54" s="472"/>
      <c r="DG54" s="472"/>
      <c r="DH54" s="472"/>
      <c r="DJ54" s="473" t="str">
        <f>VLOOKUP(X54,Hoja1!$A$4:$B$10,2,0)</f>
        <v>TÉCNICO SUPERIOR UNIVERSITARIO</v>
      </c>
      <c r="DK54" s="473" t="str">
        <f>VLOOKUP(S54,Hoja1!$D$4:$F$77,3,0)</f>
        <v>TII - VI</v>
      </c>
      <c r="DL54" s="1216" t="str">
        <f t="shared" si="142"/>
        <v>SI</v>
      </c>
      <c r="DM54" s="1741" t="str">
        <f t="shared" si="143"/>
        <v>F</v>
      </c>
      <c r="DN54" s="1741"/>
    </row>
    <row r="55" spans="1:118" s="473" customFormat="1" ht="21.95" customHeight="1">
      <c r="A55" s="510" t="s">
        <v>2846</v>
      </c>
      <c r="B55" s="1390">
        <f t="shared" ca="1" si="144"/>
        <v>13</v>
      </c>
      <c r="C55" s="1194">
        <v>9177323</v>
      </c>
      <c r="D55" s="1195" t="s">
        <v>4700</v>
      </c>
      <c r="E55" s="1180" t="s">
        <v>4622</v>
      </c>
      <c r="F55" s="1196">
        <v>22286</v>
      </c>
      <c r="G55" s="1180" t="s">
        <v>4620</v>
      </c>
      <c r="H55" s="1196">
        <v>37879</v>
      </c>
      <c r="I55" s="1185">
        <f t="shared" si="98"/>
        <v>21</v>
      </c>
      <c r="J55" s="1177">
        <v>0</v>
      </c>
      <c r="K55" s="1185">
        <f t="shared" si="99"/>
        <v>21</v>
      </c>
      <c r="L55" s="1191" t="s">
        <v>5539</v>
      </c>
      <c r="M55" s="1177"/>
      <c r="N55" s="1177"/>
      <c r="O55" s="1040" t="s">
        <v>5219</v>
      </c>
      <c r="P55" s="1177" t="s">
        <v>5284</v>
      </c>
      <c r="Q55" s="1391" t="str">
        <f>IFERROR(VLOOKUP(O55,CARGOS!A:E,2,0),"")</f>
        <v>12113</v>
      </c>
      <c r="R55" s="1403" t="s">
        <v>5219</v>
      </c>
      <c r="S55" s="1192" t="s">
        <v>5476</v>
      </c>
      <c r="T55" s="1150">
        <f>IFERROR(VLOOKUP(S55,'TAB EMP'!A:B,2,0),0)</f>
        <v>177</v>
      </c>
      <c r="U55" s="1151">
        <v>0</v>
      </c>
      <c r="V55" s="1150">
        <f t="shared" si="100"/>
        <v>177</v>
      </c>
      <c r="W55" s="1151">
        <f t="shared" si="101"/>
        <v>88.5</v>
      </c>
      <c r="X55" s="1180" t="s">
        <v>2884</v>
      </c>
      <c r="Y55" s="1180"/>
      <c r="Z55" s="1180">
        <v>0</v>
      </c>
      <c r="AA55" s="1150">
        <f>ROUND(IF(H55&lt;&gt;"",VLOOKUP(SUM(I55+J55),'CONCEPTOS Y PARAMETROS'!F:G,2,0)*V55,0),2)</f>
        <v>49.21</v>
      </c>
      <c r="AB55" s="1150">
        <f>IF(S55&lt;&gt;"",IF(M55="",'CONCEPTOS Y PARAMETROS'!$C$4,0),0)</f>
        <v>130</v>
      </c>
      <c r="AC55" s="1150">
        <f>IF(S55&lt;&gt;"",IF(M55="",'CONCEPTOS Y PARAMETROS'!$C$7*Z55,0),0)</f>
        <v>0</v>
      </c>
      <c r="AD55" s="1150">
        <f>IFERROR(ROUND(VLOOKUP($X55,'CONCEPTOS Y PARAMETROS'!H:I,2,0)*($V55+AA55+AB55+AC55),2),0)</f>
        <v>0</v>
      </c>
      <c r="AE55" s="1150">
        <f t="shared" si="102"/>
        <v>179.21</v>
      </c>
      <c r="AF55" s="1150">
        <f t="shared" si="103"/>
        <v>24.61</v>
      </c>
      <c r="AG55" s="1150">
        <f t="shared" si="104"/>
        <v>24.6</v>
      </c>
      <c r="AH55" s="1150">
        <f t="shared" si="105"/>
        <v>65</v>
      </c>
      <c r="AI55" s="1150">
        <f t="shared" si="106"/>
        <v>65</v>
      </c>
      <c r="AJ55" s="1150">
        <f t="shared" si="107"/>
        <v>0</v>
      </c>
      <c r="AK55" s="1150">
        <f t="shared" si="108"/>
        <v>0</v>
      </c>
      <c r="AL55" s="1151">
        <f t="shared" si="109"/>
        <v>89.61</v>
      </c>
      <c r="AM55" s="1151">
        <f t="shared" si="110"/>
        <v>89.6</v>
      </c>
      <c r="AN55" s="1028">
        <v>0</v>
      </c>
      <c r="AO55" s="1193">
        <f>'CONCEPTOS Y PARAMETROS'!$C$18*AN55</f>
        <v>0</v>
      </c>
      <c r="AP55" s="1028">
        <v>0</v>
      </c>
      <c r="AQ55" s="1193">
        <f>'CONCEPTOS Y PARAMETROS'!$C$21*AP55</f>
        <v>0</v>
      </c>
      <c r="AR55" s="1394">
        <v>0</v>
      </c>
      <c r="AS55" s="1394">
        <v>0</v>
      </c>
      <c r="AT55" s="1394">
        <f t="shared" si="111"/>
        <v>0</v>
      </c>
      <c r="AU55" s="1151">
        <f t="shared" si="112"/>
        <v>356.21000000000004</v>
      </c>
      <c r="AV55" s="1178">
        <v>0</v>
      </c>
      <c r="AW55" s="1151">
        <f t="shared" si="113"/>
        <v>0</v>
      </c>
      <c r="AX55" s="1150">
        <f>IF(T55&lt;&gt;"0",(ROUND(IF(A55="EMPLEADO",eval_formula('CONCEPTOS Y PARAMETROS'!$C$8,NOMINA!V55,NOMINA!$AU55,NOMINA!I55+NOMINA!J55),eval_formula('CONCEPTOS Y PARAMETROS'!$D$8,NOMINA!V55,NOMINA!$AU55,NOMINA!I55+NOMINA!J55)),2))*IF(H55&lt;&gt;"",IF(MONTH(H55)=$BR$8,IF(YEAR(H55)&lt;$BT$7,1,0),0)))</f>
        <v>0</v>
      </c>
      <c r="AY55" s="1151">
        <v>180</v>
      </c>
      <c r="AZ55" s="1150">
        <f>IFERROR(VLOOKUP(AY55,'CONCEPTOS Y PARAMETROS'!Y:Z,2,0),0)</f>
        <v>150</v>
      </c>
      <c r="BA55" s="1150">
        <f t="shared" si="114"/>
        <v>2671.58</v>
      </c>
      <c r="BB55" s="1150">
        <f t="shared" si="145"/>
        <v>0</v>
      </c>
      <c r="BC55" s="1028">
        <v>0</v>
      </c>
      <c r="BD55" s="1150" t="str">
        <f t="shared" si="115"/>
        <v>0</v>
      </c>
      <c r="BE55" s="1028">
        <v>0</v>
      </c>
      <c r="BF55" s="1150">
        <f t="shared" si="166"/>
        <v>0</v>
      </c>
      <c r="BG55" s="1151">
        <v>300</v>
      </c>
      <c r="BH55" s="1151">
        <f t="shared" si="117"/>
        <v>0</v>
      </c>
      <c r="BI55" s="1180">
        <v>0</v>
      </c>
      <c r="BJ55" s="1180">
        <f t="shared" si="118"/>
        <v>0</v>
      </c>
      <c r="BK55" s="1151">
        <v>0</v>
      </c>
      <c r="BL55" s="1150">
        <v>0</v>
      </c>
      <c r="BM55" s="1150">
        <v>0</v>
      </c>
      <c r="BN55" s="1150">
        <f t="shared" si="119"/>
        <v>3.56</v>
      </c>
      <c r="BO55" s="1150">
        <v>0</v>
      </c>
      <c r="BP55" s="1150">
        <v>0</v>
      </c>
      <c r="BQ55" s="1396">
        <f t="shared" si="120"/>
        <v>3.56</v>
      </c>
      <c r="BR55" s="1150">
        <f>ROUND(IF(M55="", (((AU55*12)/52)*9%)*$BS$8,0),2)*0</f>
        <v>0</v>
      </c>
      <c r="BS55" s="1150">
        <v>0</v>
      </c>
      <c r="BT55" s="1150">
        <f t="shared" si="121"/>
        <v>7.12</v>
      </c>
      <c r="BU55" s="1150">
        <v>0</v>
      </c>
      <c r="BV55" s="1151">
        <f t="shared" si="122"/>
        <v>7.12</v>
      </c>
      <c r="BW55" s="1155">
        <f t="shared" si="123"/>
        <v>10.68</v>
      </c>
      <c r="BX55" s="1155">
        <f t="shared" si="124"/>
        <v>667.9</v>
      </c>
      <c r="BY55" s="1151">
        <v>0</v>
      </c>
      <c r="BZ55" s="1151">
        <f t="shared" si="125"/>
        <v>667.9</v>
      </c>
      <c r="CA55" s="1397">
        <f>'CONCEPTOS Y PARAMETROS'!$A$102</f>
        <v>2120</v>
      </c>
      <c r="CB55" s="1155">
        <f t="shared" si="126"/>
        <v>174.55</v>
      </c>
      <c r="CC55" s="1156">
        <f t="shared" si="127"/>
        <v>478.1</v>
      </c>
      <c r="CD55" s="514"/>
      <c r="CE55" s="514"/>
      <c r="CF55" s="520"/>
      <c r="CG55" s="497">
        <f t="shared" si="128"/>
        <v>174.55</v>
      </c>
      <c r="CH55" s="1711">
        <f t="shared" si="129"/>
        <v>300</v>
      </c>
      <c r="CI55" s="497">
        <f t="shared" si="130"/>
        <v>478.1</v>
      </c>
      <c r="CJ55" s="497">
        <f t="shared" si="131"/>
        <v>478.1</v>
      </c>
      <c r="CK55" s="497">
        <f t="shared" si="132"/>
        <v>0</v>
      </c>
      <c r="CL55" s="497">
        <f t="shared" si="133"/>
        <v>0</v>
      </c>
      <c r="CM55" s="497">
        <f t="shared" si="134"/>
        <v>0</v>
      </c>
      <c r="CN55" s="498">
        <f t="shared" si="135"/>
        <v>0</v>
      </c>
      <c r="CO55" s="499">
        <v>0</v>
      </c>
      <c r="CP55" s="498">
        <f t="shared" si="136"/>
        <v>0</v>
      </c>
      <c r="CQ55" s="500">
        <f t="shared" si="137"/>
        <v>0</v>
      </c>
      <c r="CR55" s="498">
        <f t="shared" si="138"/>
        <v>0</v>
      </c>
      <c r="CS55" s="498">
        <f t="shared" si="139"/>
        <v>0</v>
      </c>
      <c r="CT55" s="498">
        <f t="shared" si="140"/>
        <v>10.68</v>
      </c>
      <c r="CU55" s="498">
        <f t="shared" si="141"/>
        <v>2120</v>
      </c>
      <c r="CV55" s="1554"/>
      <c r="CW55" s="1195" t="s">
        <v>7190</v>
      </c>
      <c r="CX55" s="1195" t="s">
        <v>7227</v>
      </c>
      <c r="CY55" s="472"/>
      <c r="CZ55" s="514" t="s">
        <v>6341</v>
      </c>
      <c r="DA55" s="514" t="s">
        <v>6188</v>
      </c>
      <c r="DB55" s="514" t="s">
        <v>6234</v>
      </c>
      <c r="DC55" s="514" t="s">
        <v>6639</v>
      </c>
      <c r="DD55" s="935"/>
      <c r="DE55" s="472"/>
      <c r="DF55" s="472"/>
      <c r="DG55" s="472"/>
      <c r="DH55" s="472"/>
      <c r="DJ55" s="473" t="str">
        <f>VLOOKUP(X55,Hoja1!$A$4:$B$10,2,0)</f>
        <v>BACHILLER</v>
      </c>
      <c r="DK55" s="473" t="str">
        <f>VLOOKUP(S55,Hoja1!$D$4:$F$77,3,0)</f>
        <v>BIII - VII</v>
      </c>
      <c r="DL55" s="1216" t="str">
        <f t="shared" si="142"/>
        <v>0</v>
      </c>
      <c r="DM55" s="1741" t="str">
        <f t="shared" si="143"/>
        <v>F</v>
      </c>
      <c r="DN55" s="1741"/>
    </row>
    <row r="56" spans="1:118" s="473" customFormat="1" ht="21.95" customHeight="1">
      <c r="A56" s="510" t="s">
        <v>2846</v>
      </c>
      <c r="B56" s="1390">
        <f t="shared" ca="1" si="144"/>
        <v>14</v>
      </c>
      <c r="C56" s="1194">
        <v>9178087</v>
      </c>
      <c r="D56" s="1195" t="s">
        <v>4701</v>
      </c>
      <c r="E56" s="1180" t="s">
        <v>4622</v>
      </c>
      <c r="F56" s="1196">
        <v>21373</v>
      </c>
      <c r="G56" s="1180" t="s">
        <v>4621</v>
      </c>
      <c r="H56" s="1196">
        <v>37622</v>
      </c>
      <c r="I56" s="1185">
        <f t="shared" si="98"/>
        <v>22</v>
      </c>
      <c r="J56" s="1177">
        <v>0</v>
      </c>
      <c r="K56" s="1185">
        <f t="shared" si="99"/>
        <v>22</v>
      </c>
      <c r="L56" s="1191" t="s">
        <v>5543</v>
      </c>
      <c r="M56" s="1177"/>
      <c r="N56" s="1177"/>
      <c r="O56" s="1040" t="s">
        <v>5219</v>
      </c>
      <c r="P56" s="1177" t="s">
        <v>5285</v>
      </c>
      <c r="Q56" s="1391" t="str">
        <f>IFERROR(VLOOKUP(O56,CARGOS!A:E,2,0),"")</f>
        <v>12113</v>
      </c>
      <c r="R56" s="1403" t="s">
        <v>5219</v>
      </c>
      <c r="S56" s="1192" t="s">
        <v>5476</v>
      </c>
      <c r="T56" s="1150">
        <f>IFERROR(VLOOKUP(S56,'TAB EMP'!A:B,2,0),0)</f>
        <v>177</v>
      </c>
      <c r="U56" s="1151">
        <v>0</v>
      </c>
      <c r="V56" s="1150">
        <f t="shared" si="100"/>
        <v>177</v>
      </c>
      <c r="W56" s="1151">
        <f t="shared" si="101"/>
        <v>88.5</v>
      </c>
      <c r="X56" s="1180" t="s">
        <v>2884</v>
      </c>
      <c r="Y56" s="1180"/>
      <c r="Z56" s="1180">
        <v>0</v>
      </c>
      <c r="AA56" s="1150">
        <f>ROUND(IF(H56&lt;&gt;"",VLOOKUP(SUM(I56+J56),'CONCEPTOS Y PARAMETROS'!F:G,2,0)*V56,0),2)</f>
        <v>52.39</v>
      </c>
      <c r="AB56" s="1150">
        <f>IF(S56&lt;&gt;"",IF(M56="",'CONCEPTOS Y PARAMETROS'!$C$4,0),0)</f>
        <v>130</v>
      </c>
      <c r="AC56" s="1150">
        <f>IF(S56&lt;&gt;"",IF(M56="",'CONCEPTOS Y PARAMETROS'!$C$7*Z56,0),0)</f>
        <v>0</v>
      </c>
      <c r="AD56" s="1150">
        <f>IFERROR(ROUND(VLOOKUP($X56,'CONCEPTOS Y PARAMETROS'!H:I,2,0)*($V56+AA56+AB56+AC56),2),0)</f>
        <v>0</v>
      </c>
      <c r="AE56" s="1150">
        <f t="shared" si="102"/>
        <v>182.39</v>
      </c>
      <c r="AF56" s="1150">
        <f t="shared" si="103"/>
        <v>26.2</v>
      </c>
      <c r="AG56" s="1150">
        <f t="shared" si="104"/>
        <v>26.19</v>
      </c>
      <c r="AH56" s="1150">
        <f t="shared" si="105"/>
        <v>65</v>
      </c>
      <c r="AI56" s="1150">
        <f t="shared" si="106"/>
        <v>65</v>
      </c>
      <c r="AJ56" s="1150">
        <f t="shared" si="107"/>
        <v>0</v>
      </c>
      <c r="AK56" s="1150">
        <f t="shared" si="108"/>
        <v>0</v>
      </c>
      <c r="AL56" s="1151">
        <f t="shared" si="109"/>
        <v>91.2</v>
      </c>
      <c r="AM56" s="1151">
        <f t="shared" si="110"/>
        <v>91.19</v>
      </c>
      <c r="AN56" s="1028">
        <v>0</v>
      </c>
      <c r="AO56" s="1193">
        <f>'CONCEPTOS Y PARAMETROS'!$C$18*AN56</f>
        <v>0</v>
      </c>
      <c r="AP56" s="1028">
        <v>0</v>
      </c>
      <c r="AQ56" s="1193">
        <f>'CONCEPTOS Y PARAMETROS'!$C$21*AP56</f>
        <v>0</v>
      </c>
      <c r="AR56" s="1394">
        <v>0</v>
      </c>
      <c r="AS56" s="1394">
        <v>0</v>
      </c>
      <c r="AT56" s="1394">
        <f t="shared" si="111"/>
        <v>0</v>
      </c>
      <c r="AU56" s="1151">
        <f t="shared" si="112"/>
        <v>359.39</v>
      </c>
      <c r="AV56" s="1178">
        <v>0</v>
      </c>
      <c r="AW56" s="1151">
        <f t="shared" si="113"/>
        <v>0</v>
      </c>
      <c r="AX56" s="1150">
        <f>IF(T56&lt;&gt;"0",(ROUND(IF(A56="EMPLEADO",eval_formula('CONCEPTOS Y PARAMETROS'!$C$8,NOMINA!V56,NOMINA!$AU56,NOMINA!I56+NOMINA!J56),eval_formula('CONCEPTOS Y PARAMETROS'!$D$8,NOMINA!V56,NOMINA!$AU56,NOMINA!I56+NOMINA!J56)),2))*IF(H56&lt;&gt;"",IF(MONTH(H56)=$BR$8,IF(YEAR(H56)&lt;$BT$7,1,0),0)))</f>
        <v>2875.12</v>
      </c>
      <c r="AY56" s="1151">
        <v>180</v>
      </c>
      <c r="AZ56" s="1150">
        <f>IFERROR(VLOOKUP(AY56,'CONCEPTOS Y PARAMETROS'!Y:Z,2,0),0)</f>
        <v>150</v>
      </c>
      <c r="BA56" s="1150">
        <f t="shared" si="114"/>
        <v>2695.43</v>
      </c>
      <c r="BB56" s="1150">
        <f t="shared" si="145"/>
        <v>0</v>
      </c>
      <c r="BC56" s="1028">
        <v>0</v>
      </c>
      <c r="BD56" s="1150" t="str">
        <f t="shared" si="115"/>
        <v>0</v>
      </c>
      <c r="BE56" s="1028">
        <v>0</v>
      </c>
      <c r="BF56" s="1150">
        <f t="shared" si="166"/>
        <v>0</v>
      </c>
      <c r="BG56" s="1151">
        <v>300</v>
      </c>
      <c r="BH56" s="1151">
        <f t="shared" si="117"/>
        <v>0</v>
      </c>
      <c r="BI56" s="1180">
        <v>0</v>
      </c>
      <c r="BJ56" s="1180">
        <f t="shared" si="118"/>
        <v>0</v>
      </c>
      <c r="BK56" s="1151">
        <v>0</v>
      </c>
      <c r="BL56" s="1150">
        <f t="shared" ref="BL56:BL119" si="170">ROUND(IF(M56="", (((AU56*12)/52)*4%)*$BS$8,0),2)</f>
        <v>13.27</v>
      </c>
      <c r="BM56" s="1150">
        <f t="shared" ref="BM56:BM119" si="171">ROUND(IF(M56="",(((AU56*12)/52)*0.5%)*$BS$8,0),2)</f>
        <v>1.66</v>
      </c>
      <c r="BN56" s="1150">
        <f t="shared" si="119"/>
        <v>3.59</v>
      </c>
      <c r="BO56" s="1150">
        <v>0</v>
      </c>
      <c r="BP56" s="1150">
        <v>0</v>
      </c>
      <c r="BQ56" s="1396">
        <f t="shared" si="120"/>
        <v>18.52</v>
      </c>
      <c r="BR56" s="1150">
        <f t="shared" ref="BR56:BR119" si="172">ROUND(IF(M56="", (((AU56*12)/52)*9%)*$BS$8,0),2)</f>
        <v>29.86</v>
      </c>
      <c r="BS56" s="1150">
        <f t="shared" ref="BS56:BS119" si="173">ROUND(IF(M56="",(((AU56*12)/52)*2%)*$BS$8,0),2)</f>
        <v>6.63</v>
      </c>
      <c r="BT56" s="1150">
        <f t="shared" si="121"/>
        <v>7.18</v>
      </c>
      <c r="BU56" s="1150">
        <v>0</v>
      </c>
      <c r="BV56" s="1151">
        <f t="shared" si="122"/>
        <v>43.67</v>
      </c>
      <c r="BW56" s="1155">
        <f t="shared" si="123"/>
        <v>62.19</v>
      </c>
      <c r="BX56" s="1155">
        <f t="shared" si="124"/>
        <v>673.86</v>
      </c>
      <c r="BY56" s="1151">
        <v>0</v>
      </c>
      <c r="BZ56" s="1151">
        <f t="shared" si="125"/>
        <v>673.86</v>
      </c>
      <c r="CA56" s="1397">
        <f>'CONCEPTOS Y PARAMETROS'!$A$102</f>
        <v>2120</v>
      </c>
      <c r="CB56" s="1155">
        <f t="shared" si="126"/>
        <v>161.17999999999998</v>
      </c>
      <c r="CC56" s="1156">
        <f t="shared" si="127"/>
        <v>3354.81</v>
      </c>
      <c r="CD56" s="514"/>
      <c r="CE56" s="514"/>
      <c r="CF56" s="520"/>
      <c r="CG56" s="497">
        <f t="shared" si="128"/>
        <v>161.17999999999998</v>
      </c>
      <c r="CH56" s="1711">
        <f t="shared" si="129"/>
        <v>300</v>
      </c>
      <c r="CI56" s="497">
        <f t="shared" si="130"/>
        <v>479.69</v>
      </c>
      <c r="CJ56" s="497">
        <f t="shared" si="131"/>
        <v>479.69</v>
      </c>
      <c r="CK56" s="497">
        <f t="shared" si="132"/>
        <v>0</v>
      </c>
      <c r="CL56" s="497">
        <f t="shared" si="133"/>
        <v>0</v>
      </c>
      <c r="CM56" s="497">
        <f t="shared" si="134"/>
        <v>0</v>
      </c>
      <c r="CN56" s="498">
        <f t="shared" si="135"/>
        <v>0</v>
      </c>
      <c r="CO56" s="499">
        <v>0</v>
      </c>
      <c r="CP56" s="498">
        <f t="shared" si="136"/>
        <v>0</v>
      </c>
      <c r="CQ56" s="500">
        <f t="shared" si="137"/>
        <v>0</v>
      </c>
      <c r="CR56" s="498">
        <f t="shared" si="138"/>
        <v>2875.12</v>
      </c>
      <c r="CS56" s="498">
        <f t="shared" si="139"/>
        <v>2875.12</v>
      </c>
      <c r="CT56" s="498">
        <f t="shared" si="140"/>
        <v>62.19</v>
      </c>
      <c r="CU56" s="498">
        <f t="shared" si="141"/>
        <v>2120</v>
      </c>
      <c r="CV56" s="1554"/>
      <c r="CW56" s="1195" t="s">
        <v>6955</v>
      </c>
      <c r="CX56" s="1195" t="s">
        <v>7228</v>
      </c>
      <c r="CY56" s="472"/>
      <c r="CZ56" s="1199" t="s">
        <v>6665</v>
      </c>
      <c r="DA56" s="514" t="s">
        <v>6180</v>
      </c>
      <c r="DB56" s="514" t="s">
        <v>6180</v>
      </c>
      <c r="DC56" s="514" t="s">
        <v>6458</v>
      </c>
      <c r="DD56" s="935"/>
      <c r="DE56" s="472"/>
      <c r="DF56" s="472"/>
      <c r="DG56" s="472"/>
      <c r="DH56" s="472"/>
      <c r="DJ56" s="473" t="str">
        <f>VLOOKUP(X56,Hoja1!$A$4:$B$10,2,0)</f>
        <v>BACHILLER</v>
      </c>
      <c r="DK56" s="473" t="str">
        <f>VLOOKUP(S56,Hoja1!$D$4:$F$77,3,0)</f>
        <v>BIII - VII</v>
      </c>
      <c r="DL56" s="1216" t="str">
        <f t="shared" si="142"/>
        <v>0</v>
      </c>
      <c r="DM56" s="1741" t="str">
        <f t="shared" si="143"/>
        <v>M</v>
      </c>
      <c r="DN56" s="1741"/>
    </row>
    <row r="57" spans="1:118" s="478" customFormat="1" ht="21.95" customHeight="1">
      <c r="A57" s="510" t="s">
        <v>2846</v>
      </c>
      <c r="B57" s="1390">
        <f t="shared" ca="1" si="144"/>
        <v>15</v>
      </c>
      <c r="C57" s="1194">
        <v>9179981</v>
      </c>
      <c r="D57" s="1195" t="s">
        <v>4702</v>
      </c>
      <c r="E57" s="1180" t="s">
        <v>4622</v>
      </c>
      <c r="F57" s="1196">
        <v>23294</v>
      </c>
      <c r="G57" s="1180" t="s">
        <v>4621</v>
      </c>
      <c r="H57" s="1196">
        <v>45597</v>
      </c>
      <c r="I57" s="1185">
        <f t="shared" si="98"/>
        <v>0</v>
      </c>
      <c r="J57" s="1177">
        <f>11+7</f>
        <v>18</v>
      </c>
      <c r="K57" s="1185">
        <f t="shared" si="99"/>
        <v>18</v>
      </c>
      <c r="L57" s="1191" t="s">
        <v>5545</v>
      </c>
      <c r="M57" s="1177"/>
      <c r="N57" s="1177"/>
      <c r="O57" s="1040" t="s">
        <v>5262</v>
      </c>
      <c r="P57" s="1177" t="s">
        <v>6923</v>
      </c>
      <c r="Q57" s="1391" t="str">
        <f>IFERROR(VLOOKUP(O57,CARGOS!A:E,2,0),"")</f>
        <v>41413</v>
      </c>
      <c r="R57" s="1403" t="s">
        <v>5262</v>
      </c>
      <c r="S57" s="1192" t="s">
        <v>5476</v>
      </c>
      <c r="T57" s="1150">
        <f>IFERROR(VLOOKUP(S57,'TAB EMP'!A:B,2,0),0)</f>
        <v>177</v>
      </c>
      <c r="U57" s="1151">
        <v>0</v>
      </c>
      <c r="V57" s="1150">
        <f t="shared" ref="V57" si="174">T57-U57</f>
        <v>177</v>
      </c>
      <c r="W57" s="1151">
        <f t="shared" ref="W57" si="175">ROUND(V57/2,2)</f>
        <v>88.5</v>
      </c>
      <c r="X57" s="1180" t="s">
        <v>2885</v>
      </c>
      <c r="Y57" s="1180"/>
      <c r="Z57" s="1180">
        <v>1</v>
      </c>
      <c r="AA57" s="1150">
        <f>ROUND(IF(H57&lt;&gt;"",VLOOKUP(SUM(I57+J57),'CONCEPTOS Y PARAMETROS'!F:G,2,0)*V57,0),2)</f>
        <v>40.36</v>
      </c>
      <c r="AB57" s="1150">
        <f>IF(S57&lt;&gt;"",IF(M57="",'CONCEPTOS Y PARAMETROS'!$C$4,0),0)</f>
        <v>130</v>
      </c>
      <c r="AC57" s="1150">
        <f>IF(S57&lt;&gt;"",IF(M57="",'CONCEPTOS Y PARAMETROS'!$C$7*Z57,0),0)</f>
        <v>12.5</v>
      </c>
      <c r="AD57" s="1150">
        <f>IFERROR(ROUND(VLOOKUP($X57,'CONCEPTOS Y PARAMETROS'!H:I,2,0)*($V57+AA57+AB57+AC57),2),0)</f>
        <v>89.97</v>
      </c>
      <c r="AE57" s="1150">
        <f t="shared" ref="AE57" si="176">SUM(AA57:AD57)</f>
        <v>272.83000000000004</v>
      </c>
      <c r="AF57" s="1150">
        <f t="shared" ref="AF57" si="177">ROUND(AA57/2,2)</f>
        <v>20.18</v>
      </c>
      <c r="AG57" s="1150">
        <f t="shared" ref="AG57" si="178">ROUND(AA57-AF57,2)</f>
        <v>20.18</v>
      </c>
      <c r="AH57" s="1150">
        <f t="shared" ref="AH57" si="179">ROUND(AB57/2,2)</f>
        <v>65</v>
      </c>
      <c r="AI57" s="1150">
        <f t="shared" ref="AI57" si="180">ROUND(AB57-AH57,2)</f>
        <v>65</v>
      </c>
      <c r="AJ57" s="1150">
        <f t="shared" ref="AJ57" si="181">ROUND(AD57/2,2)</f>
        <v>44.99</v>
      </c>
      <c r="AK57" s="1150">
        <f t="shared" ref="AK57" si="182">ROUND(AD57-AJ57,2)</f>
        <v>44.98</v>
      </c>
      <c r="AL57" s="1151">
        <f t="shared" ref="AL57" si="183">ROUND(AF57+AH57+AJ57+AC57,2)</f>
        <v>142.66999999999999</v>
      </c>
      <c r="AM57" s="1151">
        <f t="shared" ref="AM57" si="184">ROUND(AG57+AI57+AK57,2)</f>
        <v>130.16</v>
      </c>
      <c r="AN57" s="1028">
        <v>0</v>
      </c>
      <c r="AO57" s="1193">
        <f>'CONCEPTOS Y PARAMETROS'!$C$18*AN57</f>
        <v>0</v>
      </c>
      <c r="AP57" s="1028">
        <v>0</v>
      </c>
      <c r="AQ57" s="1193">
        <f>'CONCEPTOS Y PARAMETROS'!$C$21*AP57</f>
        <v>0</v>
      </c>
      <c r="AR57" s="1394">
        <v>0</v>
      </c>
      <c r="AS57" s="1394">
        <v>0</v>
      </c>
      <c r="AT57" s="1394">
        <f t="shared" ref="AT57" si="185">+AO57+AQ57+AR57+AS57</f>
        <v>0</v>
      </c>
      <c r="AU57" s="1151">
        <f t="shared" ref="AU57" si="186">V57+AE57+AW57</f>
        <v>449.83000000000004</v>
      </c>
      <c r="AV57" s="1178">
        <v>0</v>
      </c>
      <c r="AW57" s="1151">
        <f t="shared" ref="AW57" si="187">ROUND(IF(AV57="NOCTURN",(V57+AE57)*30%,0),2)</f>
        <v>0</v>
      </c>
      <c r="AX57" s="1150">
        <f>IF(T57&lt;&gt;"0",(ROUND(IF(A57="EMPLEADO",eval_formula('CONCEPTOS Y PARAMETROS'!$C$8,NOMINA!V57,NOMINA!$AU57,NOMINA!I57+NOMINA!J57),eval_formula('CONCEPTOS Y PARAMETROS'!$D$8,NOMINA!V57,NOMINA!$AU57,NOMINA!I57+NOMINA!J57)),2))*IF(H57&lt;&gt;"",IF(MONTH(H57)=$BR$8,IF(YEAR(H57)&lt;$BT$7,1,0),0)))</f>
        <v>0</v>
      </c>
      <c r="AY57" s="1151">
        <v>30</v>
      </c>
      <c r="AZ57" s="1150">
        <f>IFERROR(VLOOKUP(AY57,'CONCEPTOS Y PARAMETROS'!Y:Z,2,0),0)</f>
        <v>25</v>
      </c>
      <c r="BA57" s="1150">
        <f t="shared" ref="BA57" si="188">ROUND((((AU57))/30*AY57/12+(AU57))/30*AZ57,2)</f>
        <v>406.1</v>
      </c>
      <c r="BB57" s="1150">
        <f t="shared" ref="BB57" si="189">ROUND(AU57/30*$BB$10,2)</f>
        <v>0</v>
      </c>
      <c r="BC57" s="1028">
        <v>0</v>
      </c>
      <c r="BD57" s="1150" t="str">
        <f t="shared" ref="BD57" si="190">IF(BC57&gt;0,((((((V57+AA57+AB57+AC57+AD57)/30)/8)*50%)+((((V57+AA57+AB57+AC57+AD57)/30)/8)))*30%+(((((V57+AA57+AB57+AC57+AD57)/30)/8)*50%)+((((V57+AA57+AB57+AC57+AD57)/30)/8))))*BC57,"0")</f>
        <v>0</v>
      </c>
      <c r="BE57" s="1028">
        <v>0</v>
      </c>
      <c r="BF57" s="1150">
        <f t="shared" si="166"/>
        <v>0</v>
      </c>
      <c r="BG57" s="1151">
        <v>300</v>
      </c>
      <c r="BH57" s="1151">
        <f t="shared" si="117"/>
        <v>0</v>
      </c>
      <c r="BI57" s="1180">
        <v>0</v>
      </c>
      <c r="BJ57" s="1180">
        <f t="shared" si="118"/>
        <v>0</v>
      </c>
      <c r="BK57" s="1151">
        <v>0</v>
      </c>
      <c r="BL57" s="1150">
        <f t="shared" si="170"/>
        <v>16.61</v>
      </c>
      <c r="BM57" s="1150">
        <f t="shared" si="171"/>
        <v>2.08</v>
      </c>
      <c r="BN57" s="1150">
        <f t="shared" si="119"/>
        <v>4.5</v>
      </c>
      <c r="BO57" s="1150">
        <v>0</v>
      </c>
      <c r="BP57" s="1150">
        <v>0</v>
      </c>
      <c r="BQ57" s="1396">
        <f t="shared" ref="BQ57" si="191">ROUND(SUM(BL57:BP57),2)</f>
        <v>23.19</v>
      </c>
      <c r="BR57" s="1150">
        <f t="shared" si="172"/>
        <v>37.369999999999997</v>
      </c>
      <c r="BS57" s="1150">
        <f t="shared" si="173"/>
        <v>8.3000000000000007</v>
      </c>
      <c r="BT57" s="1150">
        <f t="shared" si="121"/>
        <v>9</v>
      </c>
      <c r="BU57" s="1150">
        <v>0</v>
      </c>
      <c r="BV57" s="1151">
        <f t="shared" ref="BV57" si="192">ROUND(SUM(BR57:BT57),2)</f>
        <v>54.67</v>
      </c>
      <c r="BW57" s="1155">
        <f t="shared" ref="BW57" si="193">BQ57+BV57</f>
        <v>77.86</v>
      </c>
      <c r="BX57" s="1155">
        <f>ROUND(BA57/3,2)</f>
        <v>135.37</v>
      </c>
      <c r="BY57" s="1151">
        <v>0</v>
      </c>
      <c r="BZ57" s="1151">
        <f t="shared" si="125"/>
        <v>135.37</v>
      </c>
      <c r="CA57" s="1397">
        <f>'CONCEPTOS Y PARAMETROS'!$A$102</f>
        <v>2120</v>
      </c>
      <c r="CB57" s="1155">
        <f t="shared" si="126"/>
        <v>207.98</v>
      </c>
      <c r="CC57" s="1156">
        <f t="shared" si="127"/>
        <v>518.66</v>
      </c>
      <c r="CD57" s="1582"/>
      <c r="CE57" s="514"/>
      <c r="CF57" s="521"/>
      <c r="CG57" s="511">
        <f t="shared" si="128"/>
        <v>207.98</v>
      </c>
      <c r="CH57" s="1712">
        <f t="shared" si="129"/>
        <v>300</v>
      </c>
      <c r="CI57" s="511">
        <f t="shared" si="130"/>
        <v>518.66</v>
      </c>
      <c r="CJ57" s="511">
        <f t="shared" si="131"/>
        <v>518.66</v>
      </c>
      <c r="CK57" s="511">
        <f t="shared" si="132"/>
        <v>0</v>
      </c>
      <c r="CL57" s="511">
        <f t="shared" si="133"/>
        <v>0</v>
      </c>
      <c r="CM57" s="511">
        <f t="shared" si="134"/>
        <v>0</v>
      </c>
      <c r="CN57" s="512">
        <f t="shared" si="135"/>
        <v>0</v>
      </c>
      <c r="CO57" s="513">
        <v>0</v>
      </c>
      <c r="CP57" s="512">
        <f t="shared" si="136"/>
        <v>0</v>
      </c>
      <c r="CQ57" s="500">
        <f t="shared" si="137"/>
        <v>0</v>
      </c>
      <c r="CR57" s="512">
        <f t="shared" si="138"/>
        <v>0</v>
      </c>
      <c r="CS57" s="512">
        <f t="shared" si="139"/>
        <v>0</v>
      </c>
      <c r="CT57" s="512">
        <f t="shared" si="140"/>
        <v>77.86</v>
      </c>
      <c r="CU57" s="512">
        <f t="shared" si="141"/>
        <v>2120</v>
      </c>
      <c r="CV57" s="1556"/>
      <c r="CW57" s="1195" t="s">
        <v>7031</v>
      </c>
      <c r="CX57" s="1195" t="s">
        <v>7229</v>
      </c>
      <c r="CY57" s="514"/>
      <c r="CZ57" s="1199" t="s">
        <v>6925</v>
      </c>
      <c r="DA57" s="514" t="s">
        <v>6173</v>
      </c>
      <c r="DB57" s="514" t="s">
        <v>6202</v>
      </c>
      <c r="DC57" s="514" t="s">
        <v>6640</v>
      </c>
      <c r="DD57" s="514"/>
      <c r="DE57" s="514"/>
      <c r="DF57" s="514"/>
      <c r="DG57" s="514"/>
      <c r="DH57" s="514"/>
      <c r="DJ57" s="478" t="str">
        <f>VLOOKUP(X57,Hoja1!$A$4:$B$10,2,0)</f>
        <v>PROFESIONAL</v>
      </c>
      <c r="DK57" s="478" t="str">
        <f>VLOOKUP(S57,Hoja1!$D$4:$F$77,3,0)</f>
        <v>BIII - VII</v>
      </c>
      <c r="DL57" s="1581" t="str">
        <f t="shared" si="142"/>
        <v>0</v>
      </c>
      <c r="DM57" s="1743" t="str">
        <f t="shared" si="143"/>
        <v>M</v>
      </c>
      <c r="DN57" s="1743"/>
    </row>
    <row r="58" spans="1:118" s="930" customFormat="1" ht="21.95" customHeight="1">
      <c r="A58" s="929" t="s">
        <v>2846</v>
      </c>
      <c r="B58" s="1404">
        <f t="shared" ca="1" si="144"/>
        <v>16</v>
      </c>
      <c r="C58" s="1405">
        <v>9311822</v>
      </c>
      <c r="D58" s="1406" t="s">
        <v>4670</v>
      </c>
      <c r="E58" s="1407" t="s">
        <v>4622</v>
      </c>
      <c r="F58" s="1408">
        <v>23743</v>
      </c>
      <c r="G58" s="1407" t="s">
        <v>4621</v>
      </c>
      <c r="H58" s="1408">
        <v>37662</v>
      </c>
      <c r="I58" s="1409">
        <f t="shared" si="98"/>
        <v>21</v>
      </c>
      <c r="J58" s="1410">
        <v>0</v>
      </c>
      <c r="K58" s="1409">
        <f t="shared" si="99"/>
        <v>21</v>
      </c>
      <c r="L58" s="1411" t="s">
        <v>5534</v>
      </c>
      <c r="M58" s="1410"/>
      <c r="N58" s="1410"/>
      <c r="O58" s="1412" t="s">
        <v>5219</v>
      </c>
      <c r="P58" s="1410" t="s">
        <v>5191</v>
      </c>
      <c r="Q58" s="1413" t="str">
        <f>IFERROR(VLOOKUP(O58,CARGOS!A:E,2,0),"")</f>
        <v>12113</v>
      </c>
      <c r="R58" s="1412" t="s">
        <v>5219</v>
      </c>
      <c r="S58" s="1414" t="s">
        <v>5476</v>
      </c>
      <c r="T58" s="1415">
        <v>0</v>
      </c>
      <c r="U58" s="1382">
        <v>0</v>
      </c>
      <c r="V58" s="1415">
        <f t="shared" si="100"/>
        <v>0</v>
      </c>
      <c r="W58" s="1382">
        <f t="shared" si="101"/>
        <v>0</v>
      </c>
      <c r="X58" s="1407" t="s">
        <v>2884</v>
      </c>
      <c r="Y58" s="1407"/>
      <c r="Z58" s="1407">
        <v>0</v>
      </c>
      <c r="AA58" s="1415">
        <f>ROUND(IF(H58&lt;&gt;"",VLOOKUP(SUM(I58+J58),'CONCEPTOS Y PARAMETROS'!F:G,2,0)*V58,0),2)</f>
        <v>0</v>
      </c>
      <c r="AB58" s="1415">
        <v>0</v>
      </c>
      <c r="AC58" s="1415">
        <v>0</v>
      </c>
      <c r="AD58" s="1415">
        <f>IFERROR(ROUND(VLOOKUP($X58,'CONCEPTOS Y PARAMETROS'!H:I,2,0)*($V58+AA58+AB58+AC58),2),0)</f>
        <v>0</v>
      </c>
      <c r="AE58" s="1415">
        <f t="shared" si="102"/>
        <v>0</v>
      </c>
      <c r="AF58" s="1415">
        <f t="shared" si="103"/>
        <v>0</v>
      </c>
      <c r="AG58" s="1415">
        <f t="shared" si="104"/>
        <v>0</v>
      </c>
      <c r="AH58" s="1415">
        <f t="shared" si="105"/>
        <v>0</v>
      </c>
      <c r="AI58" s="1415">
        <f t="shared" si="106"/>
        <v>0</v>
      </c>
      <c r="AJ58" s="1415">
        <f t="shared" si="107"/>
        <v>0</v>
      </c>
      <c r="AK58" s="1415">
        <f t="shared" si="108"/>
        <v>0</v>
      </c>
      <c r="AL58" s="1382">
        <f t="shared" si="109"/>
        <v>0</v>
      </c>
      <c r="AM58" s="1382">
        <f t="shared" si="110"/>
        <v>0</v>
      </c>
      <c r="AN58" s="1416">
        <v>0</v>
      </c>
      <c r="AO58" s="1417">
        <v>0</v>
      </c>
      <c r="AP58" s="1416">
        <v>0</v>
      </c>
      <c r="AQ58" s="1417">
        <f>'CONCEPTOS Y PARAMETROS'!$C$21*AP58</f>
        <v>0</v>
      </c>
      <c r="AR58" s="1418">
        <v>0</v>
      </c>
      <c r="AS58" s="1418">
        <v>0</v>
      </c>
      <c r="AT58" s="1418">
        <f t="shared" si="111"/>
        <v>0</v>
      </c>
      <c r="AU58" s="1382">
        <f t="shared" si="112"/>
        <v>0</v>
      </c>
      <c r="AV58" s="1419">
        <v>0</v>
      </c>
      <c r="AW58" s="1382">
        <f>ROUND(IF(O58="VIGILANTE",(V58+AE58)*30%,0),2)</f>
        <v>0</v>
      </c>
      <c r="AX58" s="1415">
        <f>IF(T58&lt;&gt;"0",(ROUND(IF(A58="EMPLEADO",eval_formula('CONCEPTOS Y PARAMETROS'!$C$8,NOMINA!V58,NOMINA!$AU58,NOMINA!I58+NOMINA!J58),eval_formula('CONCEPTOS Y PARAMETROS'!$D$8,NOMINA!V58,NOMINA!$AU58,NOMINA!I58+NOMINA!J58)),2))*IF(H58&lt;&gt;"",IF(MONTH(H58)=$BR$8,IF(YEAR(H58)&lt;$BT$7,1,0),0)))</f>
        <v>0</v>
      </c>
      <c r="AY58" s="1382">
        <v>180</v>
      </c>
      <c r="AZ58" s="1415">
        <f>IFERROR(VLOOKUP(AY58,'CONCEPTOS Y PARAMETROS'!Y:Z,2,0),0)</f>
        <v>150</v>
      </c>
      <c r="BA58" s="1415">
        <f t="shared" si="114"/>
        <v>0</v>
      </c>
      <c r="BB58" s="1415">
        <f t="shared" si="145"/>
        <v>0</v>
      </c>
      <c r="BC58" s="1416">
        <v>0</v>
      </c>
      <c r="BD58" s="1415" t="str">
        <f t="shared" si="115"/>
        <v>0</v>
      </c>
      <c r="BE58" s="1416">
        <v>0</v>
      </c>
      <c r="BF58" s="1415">
        <f>ROUND(IF(BE58&gt;0,(((V58+AA58+AB58+AC58+AD58)/30)*50%+((V58+AA58+AB58+AC58+AD58)/30))*BE58,"0"),2)</f>
        <v>0</v>
      </c>
      <c r="BG58" s="1382">
        <v>0</v>
      </c>
      <c r="BH58" s="1382">
        <f t="shared" si="117"/>
        <v>0</v>
      </c>
      <c r="BI58" s="1382">
        <v>0</v>
      </c>
      <c r="BJ58" s="1382">
        <f t="shared" si="118"/>
        <v>0</v>
      </c>
      <c r="BK58" s="1382">
        <v>0</v>
      </c>
      <c r="BL58" s="1415">
        <f t="shared" si="170"/>
        <v>0</v>
      </c>
      <c r="BM58" s="1415">
        <f t="shared" si="171"/>
        <v>0</v>
      </c>
      <c r="BN58" s="1415">
        <f t="shared" si="119"/>
        <v>0</v>
      </c>
      <c r="BO58" s="1415">
        <v>0</v>
      </c>
      <c r="BP58" s="1415">
        <v>0</v>
      </c>
      <c r="BQ58" s="1420">
        <f t="shared" si="120"/>
        <v>0</v>
      </c>
      <c r="BR58" s="1415">
        <f t="shared" si="172"/>
        <v>0</v>
      </c>
      <c r="BS58" s="1415">
        <f t="shared" si="173"/>
        <v>0</v>
      </c>
      <c r="BT58" s="1415">
        <f t="shared" si="121"/>
        <v>0</v>
      </c>
      <c r="BU58" s="1415">
        <v>0</v>
      </c>
      <c r="BV58" s="1382">
        <f t="shared" si="122"/>
        <v>0</v>
      </c>
      <c r="BW58" s="1379">
        <f t="shared" si="123"/>
        <v>0</v>
      </c>
      <c r="BX58" s="1379">
        <f t="shared" ref="BX58:BX89" si="194">ROUND(BA58/4,2)</f>
        <v>0</v>
      </c>
      <c r="BY58" s="1382">
        <v>0</v>
      </c>
      <c r="BZ58" s="1382">
        <f t="shared" si="125"/>
        <v>0</v>
      </c>
      <c r="CA58" s="1421">
        <v>0</v>
      </c>
      <c r="CB58" s="1379">
        <f t="shared" si="126"/>
        <v>0</v>
      </c>
      <c r="CC58" s="1422">
        <f t="shared" si="127"/>
        <v>0</v>
      </c>
      <c r="CD58" s="514"/>
      <c r="CE58" s="514"/>
      <c r="CG58" s="931">
        <f t="shared" si="128"/>
        <v>0</v>
      </c>
      <c r="CH58" s="1714">
        <f t="shared" si="129"/>
        <v>0</v>
      </c>
      <c r="CI58" s="931">
        <f t="shared" si="130"/>
        <v>0</v>
      </c>
      <c r="CJ58" s="931">
        <f t="shared" si="131"/>
        <v>0</v>
      </c>
      <c r="CK58" s="931">
        <f t="shared" si="132"/>
        <v>0</v>
      </c>
      <c r="CL58" s="931">
        <f t="shared" si="133"/>
        <v>0</v>
      </c>
      <c r="CM58" s="931">
        <f t="shared" si="134"/>
        <v>0</v>
      </c>
      <c r="CN58" s="932">
        <f t="shared" si="135"/>
        <v>0</v>
      </c>
      <c r="CO58" s="933">
        <v>0</v>
      </c>
      <c r="CP58" s="932">
        <f t="shared" si="136"/>
        <v>0</v>
      </c>
      <c r="CQ58" s="934">
        <f t="shared" si="137"/>
        <v>0</v>
      </c>
      <c r="CR58" s="932">
        <f t="shared" si="138"/>
        <v>0</v>
      </c>
      <c r="CS58" s="932">
        <f t="shared" si="139"/>
        <v>0</v>
      </c>
      <c r="CT58" s="932">
        <f t="shared" si="140"/>
        <v>0</v>
      </c>
      <c r="CU58" s="932">
        <f t="shared" si="141"/>
        <v>0</v>
      </c>
      <c r="CV58" s="1557"/>
      <c r="CW58" s="1406" t="s">
        <v>7180</v>
      </c>
      <c r="CX58" s="1406" t="s">
        <v>7181</v>
      </c>
      <c r="CY58" s="935"/>
      <c r="CZ58" s="514"/>
      <c r="DA58" s="478"/>
      <c r="DB58" s="478"/>
      <c r="DC58" s="478"/>
      <c r="DE58" s="935"/>
      <c r="DF58" s="935"/>
      <c r="DG58" s="935"/>
      <c r="DH58" s="935"/>
      <c r="DJ58" s="930" t="str">
        <f>VLOOKUP(X58,Hoja1!$A$4:$B$10,2,0)</f>
        <v>BACHILLER</v>
      </c>
      <c r="DK58" s="930" t="str">
        <f>VLOOKUP(S58,Hoja1!$D$4:$F$77,3,0)</f>
        <v>BIII - VII</v>
      </c>
      <c r="DL58" s="1217" t="str">
        <f t="shared" si="142"/>
        <v>0</v>
      </c>
      <c r="DM58" s="1745" t="str">
        <f t="shared" si="143"/>
        <v>M</v>
      </c>
      <c r="DN58" s="1745"/>
    </row>
    <row r="59" spans="1:118" s="473" customFormat="1" ht="21.95" customHeight="1">
      <c r="A59" s="510" t="s">
        <v>2846</v>
      </c>
      <c r="B59" s="1390">
        <f t="shared" ca="1" si="144"/>
        <v>17</v>
      </c>
      <c r="C59" s="1194">
        <v>9315117</v>
      </c>
      <c r="D59" s="1195" t="s">
        <v>4703</v>
      </c>
      <c r="E59" s="1180" t="s">
        <v>4622</v>
      </c>
      <c r="F59" s="1196">
        <v>23716</v>
      </c>
      <c r="G59" s="1180" t="s">
        <v>4620</v>
      </c>
      <c r="H59" s="1196">
        <v>38412</v>
      </c>
      <c r="I59" s="1185">
        <f t="shared" si="98"/>
        <v>19</v>
      </c>
      <c r="J59" s="1177">
        <v>0</v>
      </c>
      <c r="K59" s="1185">
        <f t="shared" si="99"/>
        <v>19</v>
      </c>
      <c r="L59" s="1191" t="s">
        <v>5552</v>
      </c>
      <c r="M59" s="1177"/>
      <c r="N59" s="1177"/>
      <c r="O59" s="1040" t="s">
        <v>5259</v>
      </c>
      <c r="P59" s="1177" t="s">
        <v>5286</v>
      </c>
      <c r="Q59" s="1391" t="str">
        <f>IFERROR(VLOOKUP(O59,CARGOS!A:E,2,0),"")</f>
        <v>15125</v>
      </c>
      <c r="R59" s="1403" t="s">
        <v>5259</v>
      </c>
      <c r="S59" s="1192" t="s">
        <v>5471</v>
      </c>
      <c r="T59" s="1150">
        <f>IFERROR(VLOOKUP(S59,'TAB EMP'!A:B,2,0),0)</f>
        <v>287</v>
      </c>
      <c r="U59" s="1151">
        <v>0</v>
      </c>
      <c r="V59" s="1150">
        <f t="shared" si="100"/>
        <v>287</v>
      </c>
      <c r="W59" s="1151">
        <f t="shared" si="101"/>
        <v>143.5</v>
      </c>
      <c r="X59" s="1180" t="s">
        <v>2885</v>
      </c>
      <c r="Y59" s="1180"/>
      <c r="Z59" s="1180">
        <v>0</v>
      </c>
      <c r="AA59" s="1150">
        <f>ROUND(IF(H59&lt;&gt;"",VLOOKUP(SUM(I59+J59),'CONCEPTOS Y PARAMETROS'!F:G,2,0)*V59,0),2)</f>
        <v>70.03</v>
      </c>
      <c r="AB59" s="1150">
        <f>IF(S59&lt;&gt;"",IF(M59="",'CONCEPTOS Y PARAMETROS'!$C$4,0),0)</f>
        <v>130</v>
      </c>
      <c r="AC59" s="1150">
        <f>IF(S59&lt;&gt;"",IF(M59="",'CONCEPTOS Y PARAMETROS'!$C$7*Z59,0),0)</f>
        <v>0</v>
      </c>
      <c r="AD59" s="1150">
        <f>IFERROR(ROUND(VLOOKUP($X59,'CONCEPTOS Y PARAMETROS'!H:I,2,0)*($V59+AA59+AB59+AC59),2),0)</f>
        <v>121.76</v>
      </c>
      <c r="AE59" s="1150">
        <f t="shared" si="102"/>
        <v>321.79000000000002</v>
      </c>
      <c r="AF59" s="1150">
        <f t="shared" si="103"/>
        <v>35.020000000000003</v>
      </c>
      <c r="AG59" s="1150">
        <f t="shared" si="104"/>
        <v>35.01</v>
      </c>
      <c r="AH59" s="1150">
        <f t="shared" si="105"/>
        <v>65</v>
      </c>
      <c r="AI59" s="1150">
        <f t="shared" si="106"/>
        <v>65</v>
      </c>
      <c r="AJ59" s="1150">
        <f t="shared" si="107"/>
        <v>60.88</v>
      </c>
      <c r="AK59" s="1150">
        <f t="shared" si="108"/>
        <v>60.88</v>
      </c>
      <c r="AL59" s="1151">
        <f t="shared" si="109"/>
        <v>160.9</v>
      </c>
      <c r="AM59" s="1151">
        <f t="shared" si="110"/>
        <v>160.88999999999999</v>
      </c>
      <c r="AN59" s="1028">
        <v>0</v>
      </c>
      <c r="AO59" s="1193">
        <f>'CONCEPTOS Y PARAMETROS'!$C$18*AN59</f>
        <v>0</v>
      </c>
      <c r="AP59" s="1028">
        <v>0</v>
      </c>
      <c r="AQ59" s="1193">
        <f>'CONCEPTOS Y PARAMETROS'!$C$21*AP59</f>
        <v>0</v>
      </c>
      <c r="AR59" s="1394">
        <v>0</v>
      </c>
      <c r="AS59" s="1394">
        <v>0</v>
      </c>
      <c r="AT59" s="1394">
        <f t="shared" si="111"/>
        <v>0</v>
      </c>
      <c r="AU59" s="1151">
        <f t="shared" si="112"/>
        <v>608.79</v>
      </c>
      <c r="AV59" s="1178">
        <v>0</v>
      </c>
      <c r="AW59" s="1151">
        <f t="shared" si="113"/>
        <v>0</v>
      </c>
      <c r="AX59" s="1150">
        <f>IF(T59&lt;&gt;"0",(ROUND(IF(A59="EMPLEADO",eval_formula('CONCEPTOS Y PARAMETROS'!$C$8,NOMINA!V59,NOMINA!$AU59,NOMINA!I59+NOMINA!J59),eval_formula('CONCEPTOS Y PARAMETROS'!$D$8,NOMINA!V59,NOMINA!$AU59,NOMINA!I59+NOMINA!J59)),2))*IF(H59&lt;&gt;"",IF(MONTH(H59)=$BR$8,IF(YEAR(H59)&lt;$BT$7,1,0),0)))</f>
        <v>0</v>
      </c>
      <c r="AY59" s="1151">
        <v>180</v>
      </c>
      <c r="AZ59" s="1150">
        <f>IFERROR(VLOOKUP(AY59,'CONCEPTOS Y PARAMETROS'!Y:Z,2,0),0)</f>
        <v>150</v>
      </c>
      <c r="BA59" s="1150">
        <f t="shared" si="114"/>
        <v>4565.93</v>
      </c>
      <c r="BB59" s="1150">
        <f t="shared" si="145"/>
        <v>0</v>
      </c>
      <c r="BC59" s="1028">
        <v>0</v>
      </c>
      <c r="BD59" s="1150" t="str">
        <f t="shared" si="115"/>
        <v>0</v>
      </c>
      <c r="BE59" s="1028">
        <v>0</v>
      </c>
      <c r="BF59" s="1150">
        <f t="shared" ref="BF59:BF65" si="195">ROUND(IF(BE59&gt;0,(((V59+AA59+AB59+AC59+AD59+AW59)/30)*50%+((V59+AA59+AB59+AC59+AD59+AW59)/30))*BE59,"0"),2)</f>
        <v>0</v>
      </c>
      <c r="BG59" s="1151">
        <v>300</v>
      </c>
      <c r="BH59" s="1151">
        <f t="shared" si="117"/>
        <v>0</v>
      </c>
      <c r="BI59" s="1180">
        <v>0</v>
      </c>
      <c r="BJ59" s="1180">
        <f t="shared" si="118"/>
        <v>0</v>
      </c>
      <c r="BK59" s="1151">
        <v>0</v>
      </c>
      <c r="BL59" s="1150">
        <f t="shared" si="170"/>
        <v>22.48</v>
      </c>
      <c r="BM59" s="1150">
        <f t="shared" si="171"/>
        <v>2.81</v>
      </c>
      <c r="BN59" s="1150">
        <f t="shared" si="119"/>
        <v>6.09</v>
      </c>
      <c r="BO59" s="1150">
        <v>0</v>
      </c>
      <c r="BP59" s="1150">
        <v>0</v>
      </c>
      <c r="BQ59" s="1396">
        <f t="shared" si="120"/>
        <v>31.38</v>
      </c>
      <c r="BR59" s="1150">
        <f t="shared" si="172"/>
        <v>50.58</v>
      </c>
      <c r="BS59" s="1150">
        <f t="shared" si="173"/>
        <v>11.24</v>
      </c>
      <c r="BT59" s="1150">
        <f t="shared" si="121"/>
        <v>12.18</v>
      </c>
      <c r="BU59" s="1150">
        <v>0</v>
      </c>
      <c r="BV59" s="1151">
        <f t="shared" si="122"/>
        <v>74</v>
      </c>
      <c r="BW59" s="1155">
        <f t="shared" si="123"/>
        <v>105.38</v>
      </c>
      <c r="BX59" s="1155">
        <f t="shared" si="194"/>
        <v>1141.48</v>
      </c>
      <c r="BY59" s="1151">
        <v>0</v>
      </c>
      <c r="BZ59" s="1151">
        <f t="shared" si="125"/>
        <v>1141.48</v>
      </c>
      <c r="CA59" s="1397">
        <f>'CONCEPTOS Y PARAMETROS'!$A$102</f>
        <v>2120</v>
      </c>
      <c r="CB59" s="1155">
        <f t="shared" si="126"/>
        <v>273.02</v>
      </c>
      <c r="CC59" s="1156">
        <f t="shared" si="127"/>
        <v>604.39</v>
      </c>
      <c r="CD59" s="514"/>
      <c r="CE59" s="514"/>
      <c r="CF59" s="521"/>
      <c r="CG59" s="511">
        <f t="shared" si="128"/>
        <v>273.02</v>
      </c>
      <c r="CH59" s="1712">
        <f t="shared" si="129"/>
        <v>300</v>
      </c>
      <c r="CI59" s="497">
        <f t="shared" si="130"/>
        <v>604.39</v>
      </c>
      <c r="CJ59" s="511">
        <f t="shared" si="131"/>
        <v>290.11</v>
      </c>
      <c r="CK59" s="511">
        <f t="shared" si="132"/>
        <v>314.27999999999997</v>
      </c>
      <c r="CL59" s="497">
        <f t="shared" si="133"/>
        <v>0</v>
      </c>
      <c r="CM59" s="497">
        <f t="shared" si="134"/>
        <v>0</v>
      </c>
      <c r="CN59" s="512">
        <f t="shared" si="135"/>
        <v>0</v>
      </c>
      <c r="CO59" s="513">
        <v>0</v>
      </c>
      <c r="CP59" s="512">
        <f t="shared" si="136"/>
        <v>0</v>
      </c>
      <c r="CQ59" s="500">
        <f t="shared" si="137"/>
        <v>0</v>
      </c>
      <c r="CR59" s="512">
        <f t="shared" si="138"/>
        <v>0</v>
      </c>
      <c r="CS59" s="498">
        <f t="shared" si="139"/>
        <v>0</v>
      </c>
      <c r="CT59" s="498">
        <f t="shared" si="140"/>
        <v>105.38</v>
      </c>
      <c r="CU59" s="512">
        <f t="shared" si="141"/>
        <v>2120</v>
      </c>
      <c r="CV59" s="1556"/>
      <c r="CW59" s="1195" t="s">
        <v>6956</v>
      </c>
      <c r="CX59" s="1195" t="s">
        <v>7230</v>
      </c>
      <c r="CY59" s="514"/>
      <c r="CZ59" s="514" t="s">
        <v>6469</v>
      </c>
      <c r="DA59" s="514" t="s">
        <v>6173</v>
      </c>
      <c r="DB59" s="514" t="s">
        <v>6202</v>
      </c>
      <c r="DC59" s="514" t="s">
        <v>6470</v>
      </c>
      <c r="DD59" s="472"/>
      <c r="DE59" s="514"/>
      <c r="DF59" s="514"/>
      <c r="DG59" s="514"/>
      <c r="DH59" s="514"/>
      <c r="DI59" s="478"/>
      <c r="DJ59" s="473" t="str">
        <f>VLOOKUP(X59,Hoja1!$A$4:$B$10,2,0)</f>
        <v>PROFESIONAL</v>
      </c>
      <c r="DK59" s="473" t="str">
        <f>VLOOKUP(S59,Hoja1!$D$4:$F$77,3,0)</f>
        <v>PII - VII</v>
      </c>
      <c r="DL59" s="1216" t="str">
        <f t="shared" si="142"/>
        <v>0</v>
      </c>
      <c r="DM59" s="1741" t="str">
        <f t="shared" si="143"/>
        <v>F</v>
      </c>
      <c r="DN59" s="1741"/>
    </row>
    <row r="60" spans="1:118" s="473" customFormat="1" ht="21.95" customHeight="1">
      <c r="A60" s="510" t="s">
        <v>2846</v>
      </c>
      <c r="B60" s="1390">
        <f t="shared" ca="1" si="144"/>
        <v>18</v>
      </c>
      <c r="C60" s="1194">
        <v>9315325</v>
      </c>
      <c r="D60" s="1195" t="s">
        <v>4704</v>
      </c>
      <c r="E60" s="1180" t="s">
        <v>4622</v>
      </c>
      <c r="F60" s="1196">
        <v>24079</v>
      </c>
      <c r="G60" s="1180" t="s">
        <v>4620</v>
      </c>
      <c r="H60" s="1196">
        <v>39678</v>
      </c>
      <c r="I60" s="1185">
        <f t="shared" si="98"/>
        <v>16</v>
      </c>
      <c r="J60" s="1177">
        <v>2</v>
      </c>
      <c r="K60" s="1185">
        <f t="shared" si="99"/>
        <v>18</v>
      </c>
      <c r="L60" s="1191" t="s">
        <v>5553</v>
      </c>
      <c r="M60" s="1177"/>
      <c r="N60" s="1177"/>
      <c r="O60" s="1040" t="s">
        <v>5223</v>
      </c>
      <c r="P60" s="1177" t="s">
        <v>5287</v>
      </c>
      <c r="Q60" s="1391" t="str">
        <f>IFERROR(VLOOKUP(O60,CARGOS!A:E,2,0),"")</f>
        <v>12114</v>
      </c>
      <c r="R60" s="1403" t="s">
        <v>5223</v>
      </c>
      <c r="S60" s="1192" t="s">
        <v>5484</v>
      </c>
      <c r="T60" s="1150">
        <f>IFERROR(VLOOKUP(S60,'TAB EMP'!A:B,2,0),0)</f>
        <v>228</v>
      </c>
      <c r="U60" s="1151">
        <v>0</v>
      </c>
      <c r="V60" s="1150">
        <f t="shared" si="100"/>
        <v>228</v>
      </c>
      <c r="W60" s="1151">
        <f t="shared" si="101"/>
        <v>114</v>
      </c>
      <c r="X60" s="1180" t="s">
        <v>2844</v>
      </c>
      <c r="Y60" s="1180"/>
      <c r="Z60" s="1180">
        <v>0</v>
      </c>
      <c r="AA60" s="1150">
        <f>ROUND(IF(H60&lt;&gt;"",VLOOKUP(SUM(I60+J60),'CONCEPTOS Y PARAMETROS'!F:G,2,0)*V60,0),2)</f>
        <v>51.98</v>
      </c>
      <c r="AB60" s="1150">
        <f>IF(S60&lt;&gt;"",IF(M60="",'CONCEPTOS Y PARAMETROS'!$C$4,0),0)</f>
        <v>130</v>
      </c>
      <c r="AC60" s="1150">
        <f>IF(S60&lt;&gt;"",IF(M60="",'CONCEPTOS Y PARAMETROS'!$C$7*Z60,0),0)</f>
        <v>0</v>
      </c>
      <c r="AD60" s="1150">
        <f>IFERROR(ROUND(VLOOKUP($X60,'CONCEPTOS Y PARAMETROS'!H:I,2,0)*($V60+AA60+AB60+AC60),2),0)</f>
        <v>82</v>
      </c>
      <c r="AE60" s="1150">
        <f t="shared" si="102"/>
        <v>263.98</v>
      </c>
      <c r="AF60" s="1150">
        <f t="shared" si="103"/>
        <v>25.99</v>
      </c>
      <c r="AG60" s="1150">
        <f t="shared" si="104"/>
        <v>25.99</v>
      </c>
      <c r="AH60" s="1150">
        <f t="shared" si="105"/>
        <v>65</v>
      </c>
      <c r="AI60" s="1150">
        <f t="shared" si="106"/>
        <v>65</v>
      </c>
      <c r="AJ60" s="1150">
        <f t="shared" si="107"/>
        <v>41</v>
      </c>
      <c r="AK60" s="1150">
        <f t="shared" si="108"/>
        <v>41</v>
      </c>
      <c r="AL60" s="1151">
        <f t="shared" si="109"/>
        <v>131.99</v>
      </c>
      <c r="AM60" s="1151">
        <f t="shared" si="110"/>
        <v>131.99</v>
      </c>
      <c r="AN60" s="1028">
        <v>0</v>
      </c>
      <c r="AO60" s="1193">
        <f>'CONCEPTOS Y PARAMETROS'!$C$18*AN60</f>
        <v>0</v>
      </c>
      <c r="AP60" s="1028">
        <v>0</v>
      </c>
      <c r="AQ60" s="1193">
        <f>'CONCEPTOS Y PARAMETROS'!$C$21*AP60</f>
        <v>0</v>
      </c>
      <c r="AR60" s="1394">
        <v>0</v>
      </c>
      <c r="AS60" s="1394">
        <v>0</v>
      </c>
      <c r="AT60" s="1394">
        <f t="shared" si="111"/>
        <v>0</v>
      </c>
      <c r="AU60" s="1151">
        <f t="shared" si="112"/>
        <v>491.98</v>
      </c>
      <c r="AV60" s="1178">
        <v>0</v>
      </c>
      <c r="AW60" s="1151">
        <f t="shared" si="113"/>
        <v>0</v>
      </c>
      <c r="AX60" s="1150">
        <f>IF(T60&lt;&gt;"0",(ROUND(IF(A60="EMPLEADO",eval_formula('CONCEPTOS Y PARAMETROS'!$C$8,NOMINA!V60,NOMINA!$AU60,NOMINA!I60+NOMINA!J60),eval_formula('CONCEPTOS Y PARAMETROS'!$D$8,NOMINA!V60,NOMINA!$AU60,NOMINA!I60+NOMINA!J60)),2))*IF(H60&lt;&gt;"",IF(MONTH(H60)=$BR$8,IF(YEAR(H60)&lt;$BT$7,1,0),0)))</f>
        <v>0</v>
      </c>
      <c r="AY60" s="1151">
        <v>180</v>
      </c>
      <c r="AZ60" s="1150">
        <f>IFERROR(VLOOKUP(AY60,'CONCEPTOS Y PARAMETROS'!Y:Z,2,0),0)</f>
        <v>150</v>
      </c>
      <c r="BA60" s="1150">
        <f t="shared" si="114"/>
        <v>3689.85</v>
      </c>
      <c r="BB60" s="1150">
        <f t="shared" si="145"/>
        <v>0</v>
      </c>
      <c r="BC60" s="1028">
        <v>0</v>
      </c>
      <c r="BD60" s="1150" t="str">
        <f t="shared" si="115"/>
        <v>0</v>
      </c>
      <c r="BE60" s="1028">
        <v>0</v>
      </c>
      <c r="BF60" s="1150">
        <f t="shared" si="195"/>
        <v>0</v>
      </c>
      <c r="BG60" s="1151">
        <v>300</v>
      </c>
      <c r="BH60" s="1151">
        <f t="shared" si="117"/>
        <v>0</v>
      </c>
      <c r="BI60" s="1180">
        <v>0</v>
      </c>
      <c r="BJ60" s="1180">
        <f t="shared" si="118"/>
        <v>0</v>
      </c>
      <c r="BK60" s="1151">
        <v>0</v>
      </c>
      <c r="BL60" s="1150">
        <f t="shared" si="170"/>
        <v>18.170000000000002</v>
      </c>
      <c r="BM60" s="1150">
        <f t="shared" si="171"/>
        <v>2.27</v>
      </c>
      <c r="BN60" s="1150">
        <f t="shared" si="119"/>
        <v>4.92</v>
      </c>
      <c r="BO60" s="1150">
        <v>0</v>
      </c>
      <c r="BP60" s="1150">
        <v>0</v>
      </c>
      <c r="BQ60" s="1396">
        <f t="shared" si="120"/>
        <v>25.36</v>
      </c>
      <c r="BR60" s="1150">
        <f t="shared" si="172"/>
        <v>40.869999999999997</v>
      </c>
      <c r="BS60" s="1150">
        <f t="shared" si="173"/>
        <v>9.08</v>
      </c>
      <c r="BT60" s="1150">
        <f t="shared" si="121"/>
        <v>9.84</v>
      </c>
      <c r="BU60" s="1150">
        <v>0</v>
      </c>
      <c r="BV60" s="1151">
        <f t="shared" si="122"/>
        <v>59.79</v>
      </c>
      <c r="BW60" s="1155">
        <f t="shared" si="123"/>
        <v>85.15</v>
      </c>
      <c r="BX60" s="1155">
        <f t="shared" si="194"/>
        <v>922.46</v>
      </c>
      <c r="BY60" s="1151">
        <v>0</v>
      </c>
      <c r="BZ60" s="1151">
        <f t="shared" si="125"/>
        <v>922.46</v>
      </c>
      <c r="CA60" s="1397">
        <f>'CONCEPTOS Y PARAMETROS'!$A$102</f>
        <v>2120</v>
      </c>
      <c r="CB60" s="1155">
        <f t="shared" si="126"/>
        <v>220.63</v>
      </c>
      <c r="CC60" s="1156">
        <f t="shared" si="127"/>
        <v>545.99</v>
      </c>
      <c r="CD60" s="514"/>
      <c r="CE60" s="514"/>
      <c r="CF60" s="520"/>
      <c r="CG60" s="497">
        <f t="shared" si="128"/>
        <v>220.63</v>
      </c>
      <c r="CH60" s="1711">
        <f t="shared" si="129"/>
        <v>300</v>
      </c>
      <c r="CI60" s="497">
        <f t="shared" si="130"/>
        <v>545.99</v>
      </c>
      <c r="CJ60" s="497">
        <f t="shared" si="131"/>
        <v>545.99</v>
      </c>
      <c r="CK60" s="497">
        <f t="shared" si="132"/>
        <v>0</v>
      </c>
      <c r="CL60" s="497">
        <f t="shared" si="133"/>
        <v>0</v>
      </c>
      <c r="CM60" s="497">
        <f t="shared" si="134"/>
        <v>0</v>
      </c>
      <c r="CN60" s="498">
        <f t="shared" si="135"/>
        <v>0</v>
      </c>
      <c r="CO60" s="499">
        <v>0</v>
      </c>
      <c r="CP60" s="498">
        <f t="shared" si="136"/>
        <v>0</v>
      </c>
      <c r="CQ60" s="500">
        <f t="shared" si="137"/>
        <v>0</v>
      </c>
      <c r="CR60" s="498">
        <f t="shared" si="138"/>
        <v>0</v>
      </c>
      <c r="CS60" s="498">
        <f t="shared" si="139"/>
        <v>0</v>
      </c>
      <c r="CT60" s="498">
        <f t="shared" si="140"/>
        <v>85.15</v>
      </c>
      <c r="CU60" s="498">
        <f t="shared" si="141"/>
        <v>2120</v>
      </c>
      <c r="CV60" s="1554"/>
      <c r="CW60" s="1195" t="s">
        <v>6998</v>
      </c>
      <c r="CX60" s="1195" t="s">
        <v>6957</v>
      </c>
      <c r="CY60" s="472"/>
      <c r="CZ60" s="514" t="s">
        <v>6476</v>
      </c>
      <c r="DA60" s="1199" t="s">
        <v>6241</v>
      </c>
      <c r="DB60" s="1199" t="s">
        <v>6237</v>
      </c>
      <c r="DC60" s="514" t="s">
        <v>6641</v>
      </c>
      <c r="DD60" s="472"/>
      <c r="DE60" s="472"/>
      <c r="DF60" s="472"/>
      <c r="DG60" s="472"/>
      <c r="DH60" s="472"/>
      <c r="DJ60" s="473" t="str">
        <f>VLOOKUP(X60,Hoja1!$A$4:$B$10,2,0)</f>
        <v>TÉCNICO SUPERIOR UNIVERSITARIO</v>
      </c>
      <c r="DK60" s="473" t="str">
        <f>VLOOKUP(S60,Hoja1!$D$4:$F$77,3,0)</f>
        <v>TII - VII</v>
      </c>
      <c r="DL60" s="1216" t="str">
        <f t="shared" si="142"/>
        <v>0</v>
      </c>
      <c r="DM60" s="1741" t="str">
        <f t="shared" si="143"/>
        <v>F</v>
      </c>
      <c r="DN60" s="1741"/>
    </row>
    <row r="61" spans="1:118" s="1654" customFormat="1" ht="21.95" customHeight="1">
      <c r="A61" s="1624" t="s">
        <v>2846</v>
      </c>
      <c r="B61" s="1625">
        <f t="shared" ca="1" si="144"/>
        <v>19</v>
      </c>
      <c r="C61" s="1626">
        <v>9316224</v>
      </c>
      <c r="D61" s="1627" t="s">
        <v>4705</v>
      </c>
      <c r="E61" s="1628" t="s">
        <v>4622</v>
      </c>
      <c r="F61" s="1629">
        <v>23981</v>
      </c>
      <c r="G61" s="1628" t="s">
        <v>4620</v>
      </c>
      <c r="H61" s="1629">
        <v>44317</v>
      </c>
      <c r="I61" s="1630">
        <f t="shared" si="98"/>
        <v>3</v>
      </c>
      <c r="J61" s="1631">
        <v>0</v>
      </c>
      <c r="K61" s="1630">
        <f t="shared" si="99"/>
        <v>3</v>
      </c>
      <c r="L61" s="1632" t="s">
        <v>5563</v>
      </c>
      <c r="M61" s="1631"/>
      <c r="N61" s="1631"/>
      <c r="O61" s="1633" t="s">
        <v>5254</v>
      </c>
      <c r="P61" s="1631" t="s">
        <v>5288</v>
      </c>
      <c r="Q61" s="1634" t="str">
        <f>IFERROR(VLOOKUP(O61,CARGOS!A:E,2,0),"")</f>
        <v>79342</v>
      </c>
      <c r="R61" s="1635" t="s">
        <v>5254</v>
      </c>
      <c r="S61" s="1636" t="s">
        <v>5481</v>
      </c>
      <c r="T61" s="1637">
        <f>IFERROR(VLOOKUP(S61,'TAB EMP'!A:B,2,0),0)</f>
        <v>219</v>
      </c>
      <c r="U61" s="1638">
        <v>0</v>
      </c>
      <c r="V61" s="1637">
        <f t="shared" si="100"/>
        <v>219</v>
      </c>
      <c r="W61" s="1638">
        <f t="shared" si="101"/>
        <v>109.5</v>
      </c>
      <c r="X61" s="1628" t="s">
        <v>2844</v>
      </c>
      <c r="Y61" s="1628"/>
      <c r="Z61" s="1628">
        <v>0</v>
      </c>
      <c r="AA61" s="1637">
        <f>ROUND(IF(H61&lt;&gt;"",VLOOKUP(SUM(I61+J61),'CONCEPTOS Y PARAMETROS'!F:G,2,0)*V61,0),2)</f>
        <v>6.57</v>
      </c>
      <c r="AB61" s="1637">
        <f>IF(S61&lt;&gt;"",IF(M61="",'CONCEPTOS Y PARAMETROS'!$C$4,0),0)</f>
        <v>130</v>
      </c>
      <c r="AC61" s="1637">
        <f>IF(S61&lt;&gt;"",IF(M61="",'CONCEPTOS Y PARAMETROS'!$C$7*Z61,0),0)</f>
        <v>0</v>
      </c>
      <c r="AD61" s="1637">
        <f>IFERROR(ROUND(VLOOKUP($X61,'CONCEPTOS Y PARAMETROS'!H:I,2,0)*($V61+AA61+AB61+AC61),2),0)</f>
        <v>71.11</v>
      </c>
      <c r="AE61" s="1637">
        <f t="shared" si="102"/>
        <v>207.68</v>
      </c>
      <c r="AF61" s="1637">
        <f t="shared" si="103"/>
        <v>3.29</v>
      </c>
      <c r="AG61" s="1637">
        <f t="shared" si="104"/>
        <v>3.28</v>
      </c>
      <c r="AH61" s="1637">
        <f t="shared" si="105"/>
        <v>65</v>
      </c>
      <c r="AI61" s="1637">
        <f t="shared" si="106"/>
        <v>65</v>
      </c>
      <c r="AJ61" s="1637">
        <f t="shared" si="107"/>
        <v>35.56</v>
      </c>
      <c r="AK61" s="1637">
        <f t="shared" si="108"/>
        <v>35.549999999999997</v>
      </c>
      <c r="AL61" s="1638">
        <f t="shared" si="109"/>
        <v>103.85</v>
      </c>
      <c r="AM61" s="1638">
        <f t="shared" si="110"/>
        <v>103.83</v>
      </c>
      <c r="AN61" s="1639">
        <v>0</v>
      </c>
      <c r="AO61" s="1640">
        <f>'CONCEPTOS Y PARAMETROS'!$C$18*AN61</f>
        <v>0</v>
      </c>
      <c r="AP61" s="1639">
        <v>0</v>
      </c>
      <c r="AQ61" s="1640">
        <f>'CONCEPTOS Y PARAMETROS'!$C$21*AP61</f>
        <v>0</v>
      </c>
      <c r="AR61" s="1641">
        <v>0</v>
      </c>
      <c r="AS61" s="1641">
        <v>0</v>
      </c>
      <c r="AT61" s="1641">
        <f t="shared" si="111"/>
        <v>0</v>
      </c>
      <c r="AU61" s="1638">
        <f t="shared" si="112"/>
        <v>426.68</v>
      </c>
      <c r="AV61" s="1642">
        <v>0</v>
      </c>
      <c r="AW61" s="1638">
        <f t="shared" si="113"/>
        <v>0</v>
      </c>
      <c r="AX61" s="1637">
        <f>IF(T61&lt;&gt;"0",(ROUND(IF(A61="EMPLEADO",eval_formula('CONCEPTOS Y PARAMETROS'!$C$8,NOMINA!V61,NOMINA!$AU61,NOMINA!I61+NOMINA!J61),eval_formula('CONCEPTOS Y PARAMETROS'!$D$8,NOMINA!V61,NOMINA!$AU61,NOMINA!I61+NOMINA!J61)),2))*IF(H61&lt;&gt;"",IF(MONTH(H61)=$BR$8,IF(YEAR(H61)&lt;$BT$7,1,0),0)))</f>
        <v>0</v>
      </c>
      <c r="AY61" s="1638">
        <v>180</v>
      </c>
      <c r="AZ61" s="1637">
        <f>IFERROR(VLOOKUP(AY61,'CONCEPTOS Y PARAMETROS'!Y:Z,2,0),0)</f>
        <v>150</v>
      </c>
      <c r="BA61" s="1637">
        <f t="shared" si="114"/>
        <v>3200.1</v>
      </c>
      <c r="BB61" s="1637">
        <f t="shared" si="145"/>
        <v>0</v>
      </c>
      <c r="BC61" s="1639">
        <v>0</v>
      </c>
      <c r="BD61" s="1637" t="str">
        <f t="shared" si="115"/>
        <v>0</v>
      </c>
      <c r="BE61" s="1639">
        <v>0</v>
      </c>
      <c r="BF61" s="1637">
        <f t="shared" si="195"/>
        <v>0</v>
      </c>
      <c r="BG61" s="1638">
        <v>300</v>
      </c>
      <c r="BH61" s="1638">
        <f t="shared" si="117"/>
        <v>0</v>
      </c>
      <c r="BI61" s="1628">
        <v>0</v>
      </c>
      <c r="BJ61" s="1628">
        <f t="shared" si="118"/>
        <v>0</v>
      </c>
      <c r="BK61" s="1638">
        <v>0</v>
      </c>
      <c r="BL61" s="1637">
        <f t="shared" si="170"/>
        <v>15.75</v>
      </c>
      <c r="BM61" s="1637">
        <f t="shared" si="171"/>
        <v>1.97</v>
      </c>
      <c r="BN61" s="1637">
        <f t="shared" si="119"/>
        <v>4.2699999999999996</v>
      </c>
      <c r="BO61" s="1637">
        <v>0</v>
      </c>
      <c r="BP61" s="1637">
        <v>0</v>
      </c>
      <c r="BQ61" s="1643">
        <f t="shared" si="120"/>
        <v>21.99</v>
      </c>
      <c r="BR61" s="1637">
        <f t="shared" si="172"/>
        <v>35.450000000000003</v>
      </c>
      <c r="BS61" s="1637">
        <f t="shared" si="173"/>
        <v>7.88</v>
      </c>
      <c r="BT61" s="1637">
        <f t="shared" si="121"/>
        <v>8.5399999999999991</v>
      </c>
      <c r="BU61" s="1637">
        <v>0</v>
      </c>
      <c r="BV61" s="1638">
        <f t="shared" si="122"/>
        <v>51.87</v>
      </c>
      <c r="BW61" s="1644">
        <f t="shared" si="123"/>
        <v>73.86</v>
      </c>
      <c r="BX61" s="1644">
        <f t="shared" si="194"/>
        <v>800.03</v>
      </c>
      <c r="BY61" s="1638">
        <v>0</v>
      </c>
      <c r="BZ61" s="1638">
        <f t="shared" si="125"/>
        <v>800.03</v>
      </c>
      <c r="CA61" s="1645">
        <f>'CONCEPTOS Y PARAMETROS'!$A$102</f>
        <v>2120</v>
      </c>
      <c r="CB61" s="1644">
        <f t="shared" si="126"/>
        <v>191.35999999999999</v>
      </c>
      <c r="CC61" s="1646">
        <f t="shared" si="127"/>
        <v>513.33000000000004</v>
      </c>
      <c r="CD61" s="1647"/>
      <c r="CE61" s="1647"/>
      <c r="CF61" s="1648"/>
      <c r="CG61" s="1649">
        <f t="shared" si="128"/>
        <v>191.35999999999999</v>
      </c>
      <c r="CH61" s="1713">
        <f t="shared" si="129"/>
        <v>300</v>
      </c>
      <c r="CI61" s="1649">
        <f t="shared" si="130"/>
        <v>513.32999999999993</v>
      </c>
      <c r="CJ61" s="1649">
        <f t="shared" si="131"/>
        <v>513.33000000000004</v>
      </c>
      <c r="CK61" s="1649">
        <f t="shared" si="132"/>
        <v>0</v>
      </c>
      <c r="CL61" s="1649">
        <f t="shared" si="133"/>
        <v>0</v>
      </c>
      <c r="CM61" s="1649">
        <f t="shared" si="134"/>
        <v>0</v>
      </c>
      <c r="CN61" s="1650">
        <f t="shared" si="135"/>
        <v>0</v>
      </c>
      <c r="CO61" s="1651">
        <v>0</v>
      </c>
      <c r="CP61" s="1650">
        <f t="shared" si="136"/>
        <v>0</v>
      </c>
      <c r="CQ61" s="1652">
        <f t="shared" si="137"/>
        <v>0</v>
      </c>
      <c r="CR61" s="1650">
        <f t="shared" si="138"/>
        <v>0</v>
      </c>
      <c r="CS61" s="1650">
        <f t="shared" si="139"/>
        <v>0</v>
      </c>
      <c r="CT61" s="1650">
        <f t="shared" si="140"/>
        <v>73.86</v>
      </c>
      <c r="CU61" s="1650">
        <f t="shared" si="141"/>
        <v>2120</v>
      </c>
      <c r="CV61" s="1653"/>
      <c r="CW61" s="1627" t="s">
        <v>7191</v>
      </c>
      <c r="CX61" s="1627" t="s">
        <v>7231</v>
      </c>
      <c r="CY61" s="1647"/>
      <c r="CZ61" s="1647" t="s">
        <v>6304</v>
      </c>
      <c r="DA61" s="1647" t="s">
        <v>6188</v>
      </c>
      <c r="DB61" s="1647" t="s">
        <v>6302</v>
      </c>
      <c r="DC61" s="1647" t="s">
        <v>6271</v>
      </c>
      <c r="DD61" s="1647"/>
      <c r="DE61" s="1647"/>
      <c r="DF61" s="1647"/>
      <c r="DG61" s="1647"/>
      <c r="DH61" s="1647"/>
      <c r="DJ61" s="1654" t="str">
        <f>VLOOKUP(X61,Hoja1!$A$4:$B$10,2,0)</f>
        <v>TÉCNICO SUPERIOR UNIVERSITARIO</v>
      </c>
      <c r="DK61" s="1654" t="str">
        <f>VLOOKUP(S61,Hoja1!$D$4:$F$77,3,0)</f>
        <v>TII - II</v>
      </c>
      <c r="DL61" s="1687" t="str">
        <f t="shared" si="142"/>
        <v>0</v>
      </c>
      <c r="DM61" s="1742" t="str">
        <f t="shared" si="143"/>
        <v>F</v>
      </c>
      <c r="DN61" s="1742"/>
    </row>
    <row r="62" spans="1:118" s="478" customFormat="1" ht="21.95" customHeight="1">
      <c r="A62" s="510" t="s">
        <v>2846</v>
      </c>
      <c r="B62" s="1390">
        <f t="shared" ca="1" si="144"/>
        <v>20</v>
      </c>
      <c r="C62" s="1194">
        <v>9323927</v>
      </c>
      <c r="D62" s="1195" t="s">
        <v>4706</v>
      </c>
      <c r="E62" s="1180" t="s">
        <v>4622</v>
      </c>
      <c r="F62" s="1196">
        <v>23888</v>
      </c>
      <c r="G62" s="1180" t="s">
        <v>4621</v>
      </c>
      <c r="H62" s="1196">
        <v>35704</v>
      </c>
      <c r="I62" s="1185">
        <f t="shared" si="98"/>
        <v>27</v>
      </c>
      <c r="J62" s="1177">
        <v>0</v>
      </c>
      <c r="K62" s="1185">
        <f t="shared" si="99"/>
        <v>27</v>
      </c>
      <c r="L62" s="1191" t="s">
        <v>5541</v>
      </c>
      <c r="M62" s="1177"/>
      <c r="N62" s="1177"/>
      <c r="O62" s="1040" t="s">
        <v>5221</v>
      </c>
      <c r="P62" s="1177" t="s">
        <v>5289</v>
      </c>
      <c r="Q62" s="1391" t="str">
        <f>IFERROR(VLOOKUP(O62,CARGOS!A:E,2,0),"")</f>
        <v>79512</v>
      </c>
      <c r="R62" s="1403" t="s">
        <v>5221</v>
      </c>
      <c r="S62" s="1192" t="s">
        <v>5476</v>
      </c>
      <c r="T62" s="1150">
        <f>IFERROR(VLOOKUP(S62,'TAB EMP'!A:B,2,0),0)</f>
        <v>177</v>
      </c>
      <c r="U62" s="1151">
        <v>0</v>
      </c>
      <c r="V62" s="1150">
        <f t="shared" si="100"/>
        <v>177</v>
      </c>
      <c r="W62" s="1151">
        <f t="shared" si="101"/>
        <v>88.5</v>
      </c>
      <c r="X62" s="1180" t="s">
        <v>2884</v>
      </c>
      <c r="Y62" s="1180"/>
      <c r="Z62" s="1180">
        <v>0</v>
      </c>
      <c r="AA62" s="1150">
        <f>ROUND(IF(H62&lt;&gt;"",VLOOKUP(SUM(I62+J62),'CONCEPTOS Y PARAMETROS'!F:G,2,0)*V62,0),2)</f>
        <v>53.1</v>
      </c>
      <c r="AB62" s="1150">
        <f>IF(S62&lt;&gt;"",IF(M62="",'CONCEPTOS Y PARAMETROS'!$C$4,0),0)</f>
        <v>130</v>
      </c>
      <c r="AC62" s="1150">
        <f>IF(S62&lt;&gt;"",IF(M62="",'CONCEPTOS Y PARAMETROS'!$C$7*Z62,0),0)</f>
        <v>0</v>
      </c>
      <c r="AD62" s="1150">
        <f>IFERROR(ROUND(VLOOKUP($X62,'CONCEPTOS Y PARAMETROS'!H:I,2,0)*($V62+AA62+AB62+AC62),2),0)</f>
        <v>0</v>
      </c>
      <c r="AE62" s="1150">
        <f t="shared" si="102"/>
        <v>183.1</v>
      </c>
      <c r="AF62" s="1150">
        <f t="shared" si="103"/>
        <v>26.55</v>
      </c>
      <c r="AG62" s="1150">
        <f t="shared" si="104"/>
        <v>26.55</v>
      </c>
      <c r="AH62" s="1150">
        <f t="shared" si="105"/>
        <v>65</v>
      </c>
      <c r="AI62" s="1150">
        <f t="shared" si="106"/>
        <v>65</v>
      </c>
      <c r="AJ62" s="1150">
        <f t="shared" si="107"/>
        <v>0</v>
      </c>
      <c r="AK62" s="1150">
        <f t="shared" si="108"/>
        <v>0</v>
      </c>
      <c r="AL62" s="1151">
        <f t="shared" si="109"/>
        <v>91.55</v>
      </c>
      <c r="AM62" s="1151">
        <f t="shared" si="110"/>
        <v>91.55</v>
      </c>
      <c r="AN62" s="1028">
        <v>0</v>
      </c>
      <c r="AO62" s="1193">
        <f>'CONCEPTOS Y PARAMETROS'!$C$18*AN62</f>
        <v>0</v>
      </c>
      <c r="AP62" s="1028">
        <v>0</v>
      </c>
      <c r="AQ62" s="1193">
        <f>'CONCEPTOS Y PARAMETROS'!$C$21*AP62</f>
        <v>0</v>
      </c>
      <c r="AR62" s="1394">
        <v>0</v>
      </c>
      <c r="AS62" s="1394">
        <v>0</v>
      </c>
      <c r="AT62" s="1394">
        <f t="shared" si="111"/>
        <v>0</v>
      </c>
      <c r="AU62" s="1151">
        <f t="shared" si="112"/>
        <v>360.1</v>
      </c>
      <c r="AV62" s="1178">
        <v>0</v>
      </c>
      <c r="AW62" s="1151">
        <f t="shared" si="113"/>
        <v>0</v>
      </c>
      <c r="AX62" s="1150">
        <f>IF(T62&lt;&gt;"0",(ROUND(IF(A62="EMPLEADO",eval_formula('CONCEPTOS Y PARAMETROS'!$C$8,NOMINA!V62,NOMINA!$AU62,NOMINA!I62+NOMINA!J62),eval_formula('CONCEPTOS Y PARAMETROS'!$D$8,NOMINA!V62,NOMINA!$AU62,NOMINA!I62+NOMINA!J62)),2))*IF(H62&lt;&gt;"",IF(MONTH(H62)=$BR$8,IF(YEAR(H62)&lt;$BT$7,1,0),0)))</f>
        <v>0</v>
      </c>
      <c r="AY62" s="1151">
        <v>180</v>
      </c>
      <c r="AZ62" s="1150">
        <f>IFERROR(VLOOKUP(AY62,'CONCEPTOS Y PARAMETROS'!Y:Z,2,0),0)</f>
        <v>150</v>
      </c>
      <c r="BA62" s="1150">
        <f t="shared" si="114"/>
        <v>2700.75</v>
      </c>
      <c r="BB62" s="1150">
        <f t="shared" si="145"/>
        <v>0</v>
      </c>
      <c r="BC62" s="1028">
        <v>0</v>
      </c>
      <c r="BD62" s="1150" t="str">
        <f t="shared" si="115"/>
        <v>0</v>
      </c>
      <c r="BE62" s="1028">
        <v>0</v>
      </c>
      <c r="BF62" s="1150">
        <f t="shared" si="195"/>
        <v>0</v>
      </c>
      <c r="BG62" s="1151">
        <v>300</v>
      </c>
      <c r="BH62" s="1151">
        <f t="shared" si="117"/>
        <v>0</v>
      </c>
      <c r="BI62" s="1180">
        <v>0</v>
      </c>
      <c r="BJ62" s="1180">
        <f t="shared" si="118"/>
        <v>0</v>
      </c>
      <c r="BK62" s="1151">
        <v>0</v>
      </c>
      <c r="BL62" s="1150">
        <f t="shared" si="170"/>
        <v>13.3</v>
      </c>
      <c r="BM62" s="1150">
        <f t="shared" si="171"/>
        <v>1.66</v>
      </c>
      <c r="BN62" s="1150">
        <f t="shared" si="119"/>
        <v>3.6</v>
      </c>
      <c r="BO62" s="1150">
        <v>0</v>
      </c>
      <c r="BP62" s="1150">
        <v>0</v>
      </c>
      <c r="BQ62" s="1396">
        <f t="shared" si="120"/>
        <v>18.559999999999999</v>
      </c>
      <c r="BR62" s="1150">
        <f t="shared" si="172"/>
        <v>29.92</v>
      </c>
      <c r="BS62" s="1150">
        <f t="shared" si="173"/>
        <v>6.65</v>
      </c>
      <c r="BT62" s="1150">
        <f t="shared" si="121"/>
        <v>7.2</v>
      </c>
      <c r="BU62" s="1150">
        <v>0</v>
      </c>
      <c r="BV62" s="1151">
        <f t="shared" si="122"/>
        <v>43.77</v>
      </c>
      <c r="BW62" s="1155">
        <f t="shared" si="123"/>
        <v>62.33</v>
      </c>
      <c r="BX62" s="1155">
        <f t="shared" si="194"/>
        <v>675.19</v>
      </c>
      <c r="BY62" s="1151">
        <v>0</v>
      </c>
      <c r="BZ62" s="1151">
        <f t="shared" si="125"/>
        <v>675.19</v>
      </c>
      <c r="CA62" s="1397">
        <f>'CONCEPTOS Y PARAMETROS'!$A$102</f>
        <v>2120</v>
      </c>
      <c r="CB62" s="1155">
        <f t="shared" si="126"/>
        <v>161.49</v>
      </c>
      <c r="CC62" s="1156">
        <f t="shared" si="127"/>
        <v>480.05</v>
      </c>
      <c r="CD62" s="514"/>
      <c r="CE62" s="514"/>
      <c r="CF62" s="520"/>
      <c r="CG62" s="497">
        <f t="shared" si="128"/>
        <v>161.49</v>
      </c>
      <c r="CH62" s="1711">
        <f t="shared" si="129"/>
        <v>300</v>
      </c>
      <c r="CI62" s="497">
        <f t="shared" si="130"/>
        <v>480.05</v>
      </c>
      <c r="CJ62" s="497">
        <f t="shared" si="131"/>
        <v>480.05</v>
      </c>
      <c r="CK62" s="497">
        <f t="shared" si="132"/>
        <v>0</v>
      </c>
      <c r="CL62" s="497">
        <f t="shared" si="133"/>
        <v>0</v>
      </c>
      <c r="CM62" s="497">
        <f t="shared" si="134"/>
        <v>0</v>
      </c>
      <c r="CN62" s="498">
        <f t="shared" si="135"/>
        <v>0</v>
      </c>
      <c r="CO62" s="499">
        <v>0</v>
      </c>
      <c r="CP62" s="498">
        <f t="shared" si="136"/>
        <v>0</v>
      </c>
      <c r="CQ62" s="500">
        <f t="shared" si="137"/>
        <v>0</v>
      </c>
      <c r="CR62" s="498">
        <f t="shared" si="138"/>
        <v>0</v>
      </c>
      <c r="CS62" s="498">
        <f t="shared" si="139"/>
        <v>0</v>
      </c>
      <c r="CT62" s="498">
        <f t="shared" si="140"/>
        <v>62.33</v>
      </c>
      <c r="CU62" s="498">
        <f t="shared" si="141"/>
        <v>2120</v>
      </c>
      <c r="CV62" s="1554"/>
      <c r="CW62" s="1195" t="s">
        <v>7192</v>
      </c>
      <c r="CX62" s="1195" t="s">
        <v>7047</v>
      </c>
      <c r="CY62" s="472"/>
      <c r="CZ62" s="514" t="s">
        <v>6232</v>
      </c>
      <c r="DA62" s="514" t="s">
        <v>6173</v>
      </c>
      <c r="DB62" s="514" t="s">
        <v>6202</v>
      </c>
      <c r="DC62" s="514" t="s">
        <v>6642</v>
      </c>
      <c r="DD62" s="472"/>
      <c r="DE62" s="472"/>
      <c r="DF62" s="472"/>
      <c r="DG62" s="472"/>
      <c r="DH62" s="472"/>
      <c r="DI62" s="473"/>
      <c r="DJ62" s="473" t="str">
        <f>VLOOKUP(X62,Hoja1!$A$4:$B$10,2,0)</f>
        <v>BACHILLER</v>
      </c>
      <c r="DK62" s="473" t="str">
        <f>VLOOKUP(S62,Hoja1!$D$4:$F$77,3,0)</f>
        <v>BIII - VII</v>
      </c>
      <c r="DL62" s="1216" t="str">
        <f t="shared" si="142"/>
        <v>0</v>
      </c>
      <c r="DM62" s="1741" t="str">
        <f t="shared" si="143"/>
        <v>M</v>
      </c>
      <c r="DN62" s="1741"/>
    </row>
    <row r="63" spans="1:118" s="473" customFormat="1" ht="21.95" customHeight="1">
      <c r="A63" s="510" t="s">
        <v>2846</v>
      </c>
      <c r="B63" s="1390">
        <f t="shared" ca="1" si="144"/>
        <v>21</v>
      </c>
      <c r="C63" s="1194">
        <v>9327253</v>
      </c>
      <c r="D63" s="1195" t="s">
        <v>4707</v>
      </c>
      <c r="E63" s="1180" t="s">
        <v>4622</v>
      </c>
      <c r="F63" s="1196">
        <v>23674</v>
      </c>
      <c r="G63" s="1180" t="s">
        <v>4621</v>
      </c>
      <c r="H63" s="1196">
        <v>38930</v>
      </c>
      <c r="I63" s="1185">
        <f t="shared" si="98"/>
        <v>18</v>
      </c>
      <c r="J63" s="1177">
        <v>0</v>
      </c>
      <c r="K63" s="1185">
        <f t="shared" si="99"/>
        <v>18</v>
      </c>
      <c r="L63" s="1191" t="s">
        <v>5538</v>
      </c>
      <c r="M63" s="1177"/>
      <c r="N63" s="1177"/>
      <c r="O63" s="1040" t="s">
        <v>5225</v>
      </c>
      <c r="P63" s="1177" t="s">
        <v>5290</v>
      </c>
      <c r="Q63" s="1391" t="str">
        <f>IFERROR(VLOOKUP(O63,CARGOS!A:E,2,0),"")</f>
        <v>13413</v>
      </c>
      <c r="R63" s="1403" t="s">
        <v>5225</v>
      </c>
      <c r="S63" s="1192" t="s">
        <v>5471</v>
      </c>
      <c r="T63" s="1150">
        <f>IFERROR(VLOOKUP(S63,'TAB EMP'!A:B,2,0),0)</f>
        <v>287</v>
      </c>
      <c r="U63" s="1151">
        <v>0</v>
      </c>
      <c r="V63" s="1150">
        <f t="shared" si="100"/>
        <v>287</v>
      </c>
      <c r="W63" s="1151">
        <f t="shared" si="101"/>
        <v>143.5</v>
      </c>
      <c r="X63" s="1180" t="s">
        <v>2884</v>
      </c>
      <c r="Y63" s="1180"/>
      <c r="Z63" s="1180">
        <v>1</v>
      </c>
      <c r="AA63" s="1150">
        <f>ROUND(IF(H63&lt;&gt;"",VLOOKUP(SUM(I63+J63),'CONCEPTOS Y PARAMETROS'!F:G,2,0)*V63,0),2)</f>
        <v>65.44</v>
      </c>
      <c r="AB63" s="1150">
        <f>IF(S63&lt;&gt;"",IF(M63="",'CONCEPTOS Y PARAMETROS'!$C$4,0),0)</f>
        <v>130</v>
      </c>
      <c r="AC63" s="1150">
        <f>IF(S63&lt;&gt;"",IF(M63="",'CONCEPTOS Y PARAMETROS'!$C$7*Z63,0),0)</f>
        <v>12.5</v>
      </c>
      <c r="AD63" s="1150">
        <f>IFERROR(ROUND(VLOOKUP($X63,'CONCEPTOS Y PARAMETROS'!H:I,2,0)*($V63+AA63+AB63+AC63),2),0)</f>
        <v>0</v>
      </c>
      <c r="AE63" s="1150">
        <f t="shared" si="102"/>
        <v>207.94</v>
      </c>
      <c r="AF63" s="1150">
        <f t="shared" si="103"/>
        <v>32.72</v>
      </c>
      <c r="AG63" s="1150">
        <f t="shared" si="104"/>
        <v>32.72</v>
      </c>
      <c r="AH63" s="1150">
        <f t="shared" si="105"/>
        <v>65</v>
      </c>
      <c r="AI63" s="1150">
        <f t="shared" si="106"/>
        <v>65</v>
      </c>
      <c r="AJ63" s="1150">
        <f t="shared" si="107"/>
        <v>0</v>
      </c>
      <c r="AK63" s="1150">
        <f t="shared" si="108"/>
        <v>0</v>
      </c>
      <c r="AL63" s="1151">
        <f t="shared" si="109"/>
        <v>110.22</v>
      </c>
      <c r="AM63" s="1151">
        <f t="shared" si="110"/>
        <v>97.72</v>
      </c>
      <c r="AN63" s="1028">
        <v>0</v>
      </c>
      <c r="AO63" s="1193">
        <f>'CONCEPTOS Y PARAMETROS'!$C$18*AN63</f>
        <v>0</v>
      </c>
      <c r="AP63" s="1028">
        <v>0</v>
      </c>
      <c r="AQ63" s="1193">
        <f>'CONCEPTOS Y PARAMETROS'!$C$21*AP63</f>
        <v>0</v>
      </c>
      <c r="AR63" s="1394">
        <v>0</v>
      </c>
      <c r="AS63" s="1394">
        <v>0</v>
      </c>
      <c r="AT63" s="1394">
        <f t="shared" si="111"/>
        <v>0</v>
      </c>
      <c r="AU63" s="1151">
        <f t="shared" si="112"/>
        <v>494.94</v>
      </c>
      <c r="AV63" s="1178">
        <v>0</v>
      </c>
      <c r="AW63" s="1151">
        <f t="shared" si="113"/>
        <v>0</v>
      </c>
      <c r="AX63" s="1150">
        <f>IF(T63&lt;&gt;"0",(ROUND(IF(A63="EMPLEADO",eval_formula('CONCEPTOS Y PARAMETROS'!$C$8,NOMINA!V63,NOMINA!$AU63,NOMINA!I63+NOMINA!J63),eval_formula('CONCEPTOS Y PARAMETROS'!$D$8,NOMINA!V63,NOMINA!$AU63,NOMINA!I63+NOMINA!J63)),2))*IF(H63&lt;&gt;"",IF(MONTH(H63)=$BR$8,IF(YEAR(H63)&lt;$BT$7,1,0),0)))</f>
        <v>0</v>
      </c>
      <c r="AY63" s="1151">
        <v>180</v>
      </c>
      <c r="AZ63" s="1150">
        <f>IFERROR(VLOOKUP(AY63,'CONCEPTOS Y PARAMETROS'!Y:Z,2,0),0)</f>
        <v>150</v>
      </c>
      <c r="BA63" s="1150">
        <f t="shared" si="114"/>
        <v>3712.05</v>
      </c>
      <c r="BB63" s="1150">
        <f t="shared" si="145"/>
        <v>0</v>
      </c>
      <c r="BC63" s="1028">
        <v>0</v>
      </c>
      <c r="BD63" s="1150" t="str">
        <f t="shared" si="115"/>
        <v>0</v>
      </c>
      <c r="BE63" s="1028">
        <v>0</v>
      </c>
      <c r="BF63" s="1150">
        <f t="shared" si="195"/>
        <v>0</v>
      </c>
      <c r="BG63" s="1151">
        <v>300</v>
      </c>
      <c r="BH63" s="1151">
        <f t="shared" si="117"/>
        <v>0</v>
      </c>
      <c r="BI63" s="1180">
        <v>0</v>
      </c>
      <c r="BJ63" s="1180">
        <f t="shared" si="118"/>
        <v>0</v>
      </c>
      <c r="BK63" s="1151">
        <v>0</v>
      </c>
      <c r="BL63" s="1150">
        <f t="shared" si="170"/>
        <v>18.27</v>
      </c>
      <c r="BM63" s="1150">
        <f t="shared" si="171"/>
        <v>2.2799999999999998</v>
      </c>
      <c r="BN63" s="1150">
        <f t="shared" si="119"/>
        <v>4.95</v>
      </c>
      <c r="BO63" s="1150">
        <v>0</v>
      </c>
      <c r="BP63" s="1150">
        <v>0</v>
      </c>
      <c r="BQ63" s="1396">
        <f t="shared" si="120"/>
        <v>25.5</v>
      </c>
      <c r="BR63" s="1150">
        <f t="shared" si="172"/>
        <v>41.12</v>
      </c>
      <c r="BS63" s="1150">
        <f t="shared" si="173"/>
        <v>9.14</v>
      </c>
      <c r="BT63" s="1150">
        <f t="shared" si="121"/>
        <v>9.9</v>
      </c>
      <c r="BU63" s="1150">
        <v>0</v>
      </c>
      <c r="BV63" s="1151">
        <f t="shared" si="122"/>
        <v>60.16</v>
      </c>
      <c r="BW63" s="1155">
        <f t="shared" si="123"/>
        <v>85.66</v>
      </c>
      <c r="BX63" s="1155">
        <f t="shared" si="194"/>
        <v>928.01</v>
      </c>
      <c r="BY63" s="1151">
        <v>0</v>
      </c>
      <c r="BZ63" s="1151">
        <f t="shared" si="125"/>
        <v>928.01</v>
      </c>
      <c r="CA63" s="1397">
        <f>'CONCEPTOS Y PARAMETROS'!$A$102</f>
        <v>2120</v>
      </c>
      <c r="CB63" s="1155">
        <f t="shared" si="126"/>
        <v>228.22</v>
      </c>
      <c r="CC63" s="1156">
        <f t="shared" si="127"/>
        <v>541.22</v>
      </c>
      <c r="CD63" s="514"/>
      <c r="CE63" s="514"/>
      <c r="CF63" s="520"/>
      <c r="CG63" s="497">
        <f t="shared" si="128"/>
        <v>228.22</v>
      </c>
      <c r="CH63" s="1711">
        <f t="shared" si="129"/>
        <v>300</v>
      </c>
      <c r="CI63" s="497">
        <f t="shared" si="130"/>
        <v>541.22</v>
      </c>
      <c r="CJ63" s="497">
        <f t="shared" si="131"/>
        <v>541.22</v>
      </c>
      <c r="CK63" s="497">
        <f t="shared" si="132"/>
        <v>0</v>
      </c>
      <c r="CL63" s="497">
        <f t="shared" si="133"/>
        <v>0</v>
      </c>
      <c r="CM63" s="497">
        <f t="shared" si="134"/>
        <v>0</v>
      </c>
      <c r="CN63" s="498">
        <f t="shared" si="135"/>
        <v>0</v>
      </c>
      <c r="CO63" s="499">
        <v>0</v>
      </c>
      <c r="CP63" s="498">
        <f t="shared" si="136"/>
        <v>0</v>
      </c>
      <c r="CQ63" s="500">
        <f t="shared" si="137"/>
        <v>0</v>
      </c>
      <c r="CR63" s="498">
        <f t="shared" si="138"/>
        <v>0</v>
      </c>
      <c r="CS63" s="498">
        <f t="shared" si="139"/>
        <v>0</v>
      </c>
      <c r="CT63" s="498">
        <f t="shared" si="140"/>
        <v>85.66</v>
      </c>
      <c r="CU63" s="498">
        <f t="shared" si="141"/>
        <v>2120</v>
      </c>
      <c r="CV63" s="1554"/>
      <c r="CW63" s="1195" t="s">
        <v>7193</v>
      </c>
      <c r="CX63" s="1195" t="s">
        <v>6944</v>
      </c>
      <c r="CY63" s="472"/>
      <c r="CZ63" s="1199" t="s">
        <v>6666</v>
      </c>
      <c r="DA63" s="514" t="s">
        <v>6161</v>
      </c>
      <c r="DB63" s="514" t="s">
        <v>6439</v>
      </c>
      <c r="DC63" s="514" t="s">
        <v>6440</v>
      </c>
      <c r="DD63" s="472"/>
      <c r="DE63" s="472"/>
      <c r="DF63" s="472"/>
      <c r="DG63" s="472"/>
      <c r="DH63" s="472"/>
      <c r="DJ63" s="473" t="str">
        <f>VLOOKUP(X63,Hoja1!$A$4:$B$10,2,0)</f>
        <v>BACHILLER</v>
      </c>
      <c r="DK63" s="473" t="str">
        <f>VLOOKUP(S63,Hoja1!$D$4:$F$77,3,0)</f>
        <v>PII - VII</v>
      </c>
      <c r="DL63" s="1216" t="str">
        <f t="shared" si="142"/>
        <v>0</v>
      </c>
      <c r="DM63" s="1741" t="str">
        <f t="shared" si="143"/>
        <v>M</v>
      </c>
      <c r="DN63" s="1741"/>
    </row>
    <row r="64" spans="1:118" s="473" customFormat="1" ht="21.95" customHeight="1">
      <c r="A64" s="510" t="s">
        <v>2846</v>
      </c>
      <c r="B64" s="1390">
        <f t="shared" ca="1" si="144"/>
        <v>22</v>
      </c>
      <c r="C64" s="1194">
        <v>9328157</v>
      </c>
      <c r="D64" s="1195" t="s">
        <v>4708</v>
      </c>
      <c r="E64" s="1180" t="s">
        <v>4622</v>
      </c>
      <c r="F64" s="1196">
        <v>24156</v>
      </c>
      <c r="G64" s="1180" t="s">
        <v>4620</v>
      </c>
      <c r="H64" s="1196">
        <v>41153</v>
      </c>
      <c r="I64" s="1185">
        <f t="shared" si="98"/>
        <v>12</v>
      </c>
      <c r="J64" s="1177">
        <v>0</v>
      </c>
      <c r="K64" s="1185">
        <f t="shared" si="99"/>
        <v>12</v>
      </c>
      <c r="L64" s="1191" t="s">
        <v>5554</v>
      </c>
      <c r="M64" s="1177"/>
      <c r="N64" s="1177"/>
      <c r="O64" s="1040" t="s">
        <v>5221</v>
      </c>
      <c r="P64" s="1177" t="s">
        <v>5291</v>
      </c>
      <c r="Q64" s="1391" t="str">
        <f>IFERROR(VLOOKUP(O64,CARGOS!A:E,2,0),"")</f>
        <v>79512</v>
      </c>
      <c r="R64" s="1403" t="s">
        <v>5221</v>
      </c>
      <c r="S64" s="1192" t="s">
        <v>5477</v>
      </c>
      <c r="T64" s="1150">
        <f>IFERROR(VLOOKUP(S64,'TAB EMP'!A:B,2,0),0)</f>
        <v>174</v>
      </c>
      <c r="U64" s="1151">
        <v>0</v>
      </c>
      <c r="V64" s="1150">
        <f t="shared" si="100"/>
        <v>174</v>
      </c>
      <c r="W64" s="1151">
        <f t="shared" si="101"/>
        <v>87</v>
      </c>
      <c r="X64" s="1180" t="s">
        <v>2884</v>
      </c>
      <c r="Y64" s="1180"/>
      <c r="Z64" s="1180">
        <v>0</v>
      </c>
      <c r="AA64" s="1150">
        <f>ROUND(IF(H64&lt;&gt;"",VLOOKUP(SUM(I64+J64),'CONCEPTOS Y PARAMETROS'!F:G,2,0)*V64,0),2)</f>
        <v>24.01</v>
      </c>
      <c r="AB64" s="1150">
        <f>IF(S64&lt;&gt;"",IF(M64="",'CONCEPTOS Y PARAMETROS'!$C$4,0),0)</f>
        <v>130</v>
      </c>
      <c r="AC64" s="1150">
        <f>IF(S64&lt;&gt;"",IF(M64="",'CONCEPTOS Y PARAMETROS'!$C$7*Z64,0),0)</f>
        <v>0</v>
      </c>
      <c r="AD64" s="1150">
        <f>IFERROR(ROUND(VLOOKUP($X64,'CONCEPTOS Y PARAMETROS'!H:I,2,0)*($V64+AA64+AB64+AC64),2),0)</f>
        <v>0</v>
      </c>
      <c r="AE64" s="1150">
        <f t="shared" si="102"/>
        <v>154.01</v>
      </c>
      <c r="AF64" s="1150">
        <f t="shared" si="103"/>
        <v>12.01</v>
      </c>
      <c r="AG64" s="1150">
        <f t="shared" si="104"/>
        <v>12</v>
      </c>
      <c r="AH64" s="1150">
        <f t="shared" si="105"/>
        <v>65</v>
      </c>
      <c r="AI64" s="1150">
        <f t="shared" si="106"/>
        <v>65</v>
      </c>
      <c r="AJ64" s="1150">
        <f t="shared" si="107"/>
        <v>0</v>
      </c>
      <c r="AK64" s="1150">
        <f t="shared" si="108"/>
        <v>0</v>
      </c>
      <c r="AL64" s="1151">
        <f t="shared" si="109"/>
        <v>77.010000000000005</v>
      </c>
      <c r="AM64" s="1151">
        <f t="shared" si="110"/>
        <v>77</v>
      </c>
      <c r="AN64" s="1028">
        <v>0</v>
      </c>
      <c r="AO64" s="1193">
        <f>'CONCEPTOS Y PARAMETROS'!$C$18*AN64</f>
        <v>0</v>
      </c>
      <c r="AP64" s="1028">
        <v>0</v>
      </c>
      <c r="AQ64" s="1193">
        <f>'CONCEPTOS Y PARAMETROS'!$C$21*AP64</f>
        <v>0</v>
      </c>
      <c r="AR64" s="1394">
        <v>0</v>
      </c>
      <c r="AS64" s="1394">
        <v>0</v>
      </c>
      <c r="AT64" s="1394">
        <f t="shared" si="111"/>
        <v>0</v>
      </c>
      <c r="AU64" s="1151">
        <f t="shared" si="112"/>
        <v>328.01</v>
      </c>
      <c r="AV64" s="1178">
        <v>0</v>
      </c>
      <c r="AW64" s="1151">
        <f t="shared" si="113"/>
        <v>0</v>
      </c>
      <c r="AX64" s="1150">
        <f>IF(T64&lt;&gt;"0",(ROUND(IF(A64="EMPLEADO",eval_formula('CONCEPTOS Y PARAMETROS'!$C$8,NOMINA!V64,NOMINA!$AU64,NOMINA!I64+NOMINA!J64),eval_formula('CONCEPTOS Y PARAMETROS'!$D$8,NOMINA!V64,NOMINA!$AU64,NOMINA!I64+NOMINA!J64)),2))*IF(H64&lt;&gt;"",IF(MONTH(H64)=$BR$8,IF(YEAR(H64)&lt;$BT$7,1,0),0)))</f>
        <v>0</v>
      </c>
      <c r="AY64" s="1151">
        <v>180</v>
      </c>
      <c r="AZ64" s="1150">
        <f>IFERROR(VLOOKUP(AY64,'CONCEPTOS Y PARAMETROS'!Y:Z,2,0),0)</f>
        <v>150</v>
      </c>
      <c r="BA64" s="1150">
        <f t="shared" si="114"/>
        <v>2460.08</v>
      </c>
      <c r="BB64" s="1150">
        <f t="shared" si="145"/>
        <v>0</v>
      </c>
      <c r="BC64" s="1028">
        <v>0</v>
      </c>
      <c r="BD64" s="1150" t="str">
        <f t="shared" si="115"/>
        <v>0</v>
      </c>
      <c r="BE64" s="1028">
        <v>0</v>
      </c>
      <c r="BF64" s="1150">
        <f t="shared" si="195"/>
        <v>0</v>
      </c>
      <c r="BG64" s="1151">
        <v>300</v>
      </c>
      <c r="BH64" s="1151">
        <f t="shared" si="117"/>
        <v>0</v>
      </c>
      <c r="BI64" s="1180">
        <v>0</v>
      </c>
      <c r="BJ64" s="1180">
        <f t="shared" si="118"/>
        <v>0</v>
      </c>
      <c r="BK64" s="1151">
        <v>0</v>
      </c>
      <c r="BL64" s="1150">
        <f t="shared" si="170"/>
        <v>12.11</v>
      </c>
      <c r="BM64" s="1150">
        <f t="shared" si="171"/>
        <v>1.51</v>
      </c>
      <c r="BN64" s="1150">
        <f t="shared" si="119"/>
        <v>3.28</v>
      </c>
      <c r="BO64" s="1150">
        <v>0</v>
      </c>
      <c r="BP64" s="1150">
        <v>0</v>
      </c>
      <c r="BQ64" s="1396">
        <f t="shared" si="120"/>
        <v>16.899999999999999</v>
      </c>
      <c r="BR64" s="1150">
        <f t="shared" si="172"/>
        <v>27.25</v>
      </c>
      <c r="BS64" s="1150">
        <f t="shared" si="173"/>
        <v>6.06</v>
      </c>
      <c r="BT64" s="1150">
        <f t="shared" si="121"/>
        <v>6.56</v>
      </c>
      <c r="BU64" s="1150">
        <v>0</v>
      </c>
      <c r="BV64" s="1151">
        <f t="shared" si="122"/>
        <v>39.869999999999997</v>
      </c>
      <c r="BW64" s="1155">
        <f t="shared" si="123"/>
        <v>56.769999999999996</v>
      </c>
      <c r="BX64" s="1155">
        <f t="shared" si="194"/>
        <v>615.02</v>
      </c>
      <c r="BY64" s="1151">
        <v>0</v>
      </c>
      <c r="BZ64" s="1151">
        <f t="shared" si="125"/>
        <v>615.02</v>
      </c>
      <c r="CA64" s="1397">
        <f>'CONCEPTOS Y PARAMETROS'!$A$102</f>
        <v>2120</v>
      </c>
      <c r="CB64" s="1155">
        <f t="shared" si="126"/>
        <v>147.10999999999999</v>
      </c>
      <c r="CC64" s="1156">
        <f t="shared" si="127"/>
        <v>464</v>
      </c>
      <c r="CD64" s="514"/>
      <c r="CE64" s="514"/>
      <c r="CF64" s="520"/>
      <c r="CG64" s="497">
        <f t="shared" si="128"/>
        <v>147.10999999999999</v>
      </c>
      <c r="CH64" s="1711">
        <f t="shared" si="129"/>
        <v>300</v>
      </c>
      <c r="CI64" s="497">
        <f t="shared" si="130"/>
        <v>464</v>
      </c>
      <c r="CJ64" s="497">
        <f t="shared" si="131"/>
        <v>464</v>
      </c>
      <c r="CK64" s="497">
        <f t="shared" si="132"/>
        <v>0</v>
      </c>
      <c r="CL64" s="497">
        <f t="shared" si="133"/>
        <v>0</v>
      </c>
      <c r="CM64" s="497">
        <f t="shared" si="134"/>
        <v>0</v>
      </c>
      <c r="CN64" s="498">
        <f t="shared" si="135"/>
        <v>0</v>
      </c>
      <c r="CO64" s="499">
        <v>0</v>
      </c>
      <c r="CP64" s="498">
        <f t="shared" si="136"/>
        <v>0</v>
      </c>
      <c r="CQ64" s="500">
        <f t="shared" si="137"/>
        <v>0</v>
      </c>
      <c r="CR64" s="498">
        <f t="shared" si="138"/>
        <v>0</v>
      </c>
      <c r="CS64" s="498">
        <f t="shared" si="139"/>
        <v>0</v>
      </c>
      <c r="CT64" s="498">
        <f t="shared" si="140"/>
        <v>56.769999999999996</v>
      </c>
      <c r="CU64" s="498">
        <f t="shared" si="141"/>
        <v>2120</v>
      </c>
      <c r="CV64" s="1554"/>
      <c r="CW64" s="1195" t="s">
        <v>6931</v>
      </c>
      <c r="CX64" s="1195" t="s">
        <v>7232</v>
      </c>
      <c r="CY64" s="472"/>
      <c r="CZ64" s="514" t="s">
        <v>6405</v>
      </c>
      <c r="DA64" s="1199" t="s">
        <v>6175</v>
      </c>
      <c r="DB64" s="1199" t="s">
        <v>6414</v>
      </c>
      <c r="DC64" s="514" t="s">
        <v>6415</v>
      </c>
      <c r="DD64" s="472"/>
      <c r="DE64" s="472"/>
      <c r="DF64" s="472"/>
      <c r="DG64" s="472"/>
      <c r="DH64" s="472"/>
      <c r="DJ64" s="473" t="str">
        <f>VLOOKUP(X64,Hoja1!$A$4:$B$10,2,0)</f>
        <v>BACHILLER</v>
      </c>
      <c r="DK64" s="473" t="str">
        <f>VLOOKUP(S64,Hoja1!$D$4:$F$77,3,0)</f>
        <v>BIII - V</v>
      </c>
      <c r="DL64" s="1216" t="str">
        <f t="shared" si="142"/>
        <v>0</v>
      </c>
      <c r="DM64" s="1741" t="str">
        <f t="shared" si="143"/>
        <v>F</v>
      </c>
      <c r="DN64" s="1741"/>
    </row>
    <row r="65" spans="1:118" s="473" customFormat="1" ht="21.95" customHeight="1">
      <c r="A65" s="510" t="s">
        <v>2846</v>
      </c>
      <c r="B65" s="1390">
        <f t="shared" ca="1" si="144"/>
        <v>23</v>
      </c>
      <c r="C65" s="1194">
        <v>9328224</v>
      </c>
      <c r="D65" s="1195" t="s">
        <v>4709</v>
      </c>
      <c r="E65" s="1180" t="s">
        <v>4622</v>
      </c>
      <c r="F65" s="1196">
        <v>24238</v>
      </c>
      <c r="G65" s="1180" t="s">
        <v>4621</v>
      </c>
      <c r="H65" s="1196">
        <v>39356</v>
      </c>
      <c r="I65" s="1185">
        <f t="shared" si="98"/>
        <v>17</v>
      </c>
      <c r="J65" s="1177">
        <v>2</v>
      </c>
      <c r="K65" s="1185">
        <f t="shared" si="99"/>
        <v>19</v>
      </c>
      <c r="L65" s="1191" t="s">
        <v>5540</v>
      </c>
      <c r="M65" s="1177"/>
      <c r="N65" s="1177"/>
      <c r="O65" s="1040" t="s">
        <v>5226</v>
      </c>
      <c r="P65" s="1177" t="s">
        <v>5292</v>
      </c>
      <c r="Q65" s="1391" t="str">
        <f>IFERROR(VLOOKUP(O65,CARGOS!A:E,2,0),"")</f>
        <v>41113</v>
      </c>
      <c r="R65" s="1403" t="s">
        <v>5226</v>
      </c>
      <c r="S65" s="1192" t="s">
        <v>5484</v>
      </c>
      <c r="T65" s="1150">
        <f>IFERROR(VLOOKUP(S65,'TAB EMP'!A:B,2,0),0)</f>
        <v>228</v>
      </c>
      <c r="U65" s="1151">
        <v>0</v>
      </c>
      <c r="V65" s="1150">
        <f t="shared" si="100"/>
        <v>228</v>
      </c>
      <c r="W65" s="1151">
        <f t="shared" si="101"/>
        <v>114</v>
      </c>
      <c r="X65" s="1180" t="s">
        <v>2884</v>
      </c>
      <c r="Y65" s="1180"/>
      <c r="Z65" s="1180">
        <v>0</v>
      </c>
      <c r="AA65" s="1150">
        <f>ROUND(IF(H65&lt;&gt;"",VLOOKUP(SUM(I65+J65),'CONCEPTOS Y PARAMETROS'!F:G,2,0)*V65,0),2)</f>
        <v>55.63</v>
      </c>
      <c r="AB65" s="1150">
        <f>IF(S65&lt;&gt;"",IF(M65="",'CONCEPTOS Y PARAMETROS'!$C$4,0),0)</f>
        <v>130</v>
      </c>
      <c r="AC65" s="1150">
        <f>IF(S65&lt;&gt;"",IF(M65="",'CONCEPTOS Y PARAMETROS'!$C$7*Z65,0),0)</f>
        <v>0</v>
      </c>
      <c r="AD65" s="1150">
        <f>IFERROR(ROUND(VLOOKUP($X65,'CONCEPTOS Y PARAMETROS'!H:I,2,0)*($V65+AA65+AB65+AC65),2),0)</f>
        <v>0</v>
      </c>
      <c r="AE65" s="1150">
        <f t="shared" si="102"/>
        <v>185.63</v>
      </c>
      <c r="AF65" s="1150">
        <f t="shared" si="103"/>
        <v>27.82</v>
      </c>
      <c r="AG65" s="1150">
        <f t="shared" si="104"/>
        <v>27.81</v>
      </c>
      <c r="AH65" s="1150">
        <f t="shared" si="105"/>
        <v>65</v>
      </c>
      <c r="AI65" s="1150">
        <f t="shared" si="106"/>
        <v>65</v>
      </c>
      <c r="AJ65" s="1150">
        <f t="shared" si="107"/>
        <v>0</v>
      </c>
      <c r="AK65" s="1150">
        <f t="shared" si="108"/>
        <v>0</v>
      </c>
      <c r="AL65" s="1151">
        <f t="shared" si="109"/>
        <v>92.82</v>
      </c>
      <c r="AM65" s="1151">
        <f t="shared" si="110"/>
        <v>92.81</v>
      </c>
      <c r="AN65" s="1028">
        <v>0</v>
      </c>
      <c r="AO65" s="1193">
        <f>'CONCEPTOS Y PARAMETROS'!$C$18*AN65</f>
        <v>0</v>
      </c>
      <c r="AP65" s="1028">
        <v>0</v>
      </c>
      <c r="AQ65" s="1193">
        <f>'CONCEPTOS Y PARAMETROS'!$C$21*AP65</f>
        <v>0</v>
      </c>
      <c r="AR65" s="1394">
        <v>0</v>
      </c>
      <c r="AS65" s="1394">
        <v>0</v>
      </c>
      <c r="AT65" s="1394">
        <f t="shared" si="111"/>
        <v>0</v>
      </c>
      <c r="AU65" s="1151">
        <f t="shared" si="112"/>
        <v>413.63</v>
      </c>
      <c r="AV65" s="1178">
        <v>0</v>
      </c>
      <c r="AW65" s="1151">
        <f t="shared" si="113"/>
        <v>0</v>
      </c>
      <c r="AX65" s="1150">
        <f>IF(T65&lt;&gt;"0",(ROUND(IF(A65="EMPLEADO",eval_formula('CONCEPTOS Y PARAMETROS'!$C$8,NOMINA!V65,NOMINA!$AU65,NOMINA!I65+NOMINA!J65),eval_formula('CONCEPTOS Y PARAMETROS'!$D$8,NOMINA!V65,NOMINA!$AU65,NOMINA!I65+NOMINA!J65)),2))*IF(H65&lt;&gt;"",IF(MONTH(H65)=$BR$8,IF(YEAR(H65)&lt;$BT$7,1,0),0)))</f>
        <v>0</v>
      </c>
      <c r="AY65" s="1151">
        <v>180</v>
      </c>
      <c r="AZ65" s="1150">
        <f>IFERROR(VLOOKUP(AY65,'CONCEPTOS Y PARAMETROS'!Y:Z,2,0),0)</f>
        <v>150</v>
      </c>
      <c r="BA65" s="1150">
        <f t="shared" si="114"/>
        <v>3102.23</v>
      </c>
      <c r="BB65" s="1150">
        <f t="shared" si="145"/>
        <v>0</v>
      </c>
      <c r="BC65" s="1028">
        <v>0</v>
      </c>
      <c r="BD65" s="1150" t="str">
        <f t="shared" si="115"/>
        <v>0</v>
      </c>
      <c r="BE65" s="1028">
        <v>0</v>
      </c>
      <c r="BF65" s="1150">
        <f t="shared" si="195"/>
        <v>0</v>
      </c>
      <c r="BG65" s="1151">
        <v>300</v>
      </c>
      <c r="BH65" s="1151">
        <f t="shared" si="117"/>
        <v>0</v>
      </c>
      <c r="BI65" s="1180">
        <v>0</v>
      </c>
      <c r="BJ65" s="1180">
        <f t="shared" si="118"/>
        <v>0</v>
      </c>
      <c r="BK65" s="1151">
        <v>0</v>
      </c>
      <c r="BL65" s="1150">
        <f t="shared" si="170"/>
        <v>15.27</v>
      </c>
      <c r="BM65" s="1150">
        <f t="shared" si="171"/>
        <v>1.91</v>
      </c>
      <c r="BN65" s="1150">
        <f t="shared" si="119"/>
        <v>4.1399999999999997</v>
      </c>
      <c r="BO65" s="1150">
        <v>0</v>
      </c>
      <c r="BP65" s="1150">
        <v>1.1299999999999999</v>
      </c>
      <c r="BQ65" s="1396">
        <f t="shared" si="120"/>
        <v>22.45</v>
      </c>
      <c r="BR65" s="1150">
        <f t="shared" si="172"/>
        <v>34.36</v>
      </c>
      <c r="BS65" s="1150">
        <f t="shared" si="173"/>
        <v>7.64</v>
      </c>
      <c r="BT65" s="1150">
        <f t="shared" si="121"/>
        <v>8.2799999999999994</v>
      </c>
      <c r="BU65" s="1150">
        <v>0</v>
      </c>
      <c r="BV65" s="1151">
        <f t="shared" si="122"/>
        <v>50.28</v>
      </c>
      <c r="BW65" s="1155">
        <f t="shared" si="123"/>
        <v>72.73</v>
      </c>
      <c r="BX65" s="1155">
        <f t="shared" si="194"/>
        <v>775.56</v>
      </c>
      <c r="BY65" s="1151">
        <v>0</v>
      </c>
      <c r="BZ65" s="1151">
        <f t="shared" si="125"/>
        <v>775.56</v>
      </c>
      <c r="CA65" s="1397">
        <f>'CONCEPTOS Y PARAMETROS'!$A$102</f>
        <v>2120</v>
      </c>
      <c r="CB65" s="1155">
        <f t="shared" si="126"/>
        <v>184.37</v>
      </c>
      <c r="CC65" s="1156">
        <f t="shared" si="127"/>
        <v>506.81</v>
      </c>
      <c r="CD65" s="514"/>
      <c r="CE65" s="514"/>
      <c r="CF65" s="520"/>
      <c r="CG65" s="497">
        <f t="shared" si="128"/>
        <v>184.37</v>
      </c>
      <c r="CH65" s="1711">
        <f t="shared" si="129"/>
        <v>300</v>
      </c>
      <c r="CI65" s="497">
        <f t="shared" si="130"/>
        <v>506.81</v>
      </c>
      <c r="CJ65" s="497">
        <f t="shared" si="131"/>
        <v>506.81</v>
      </c>
      <c r="CK65" s="497">
        <f t="shared" si="132"/>
        <v>0</v>
      </c>
      <c r="CL65" s="497">
        <f t="shared" si="133"/>
        <v>0</v>
      </c>
      <c r="CM65" s="497">
        <f t="shared" si="134"/>
        <v>0</v>
      </c>
      <c r="CN65" s="498">
        <f t="shared" si="135"/>
        <v>0</v>
      </c>
      <c r="CO65" s="499">
        <v>0</v>
      </c>
      <c r="CP65" s="498">
        <f t="shared" si="136"/>
        <v>0</v>
      </c>
      <c r="CQ65" s="500">
        <f t="shared" si="137"/>
        <v>0</v>
      </c>
      <c r="CR65" s="498">
        <f t="shared" si="138"/>
        <v>0</v>
      </c>
      <c r="CS65" s="498">
        <f t="shared" si="139"/>
        <v>0</v>
      </c>
      <c r="CT65" s="498">
        <f t="shared" si="140"/>
        <v>72.73</v>
      </c>
      <c r="CU65" s="498">
        <f t="shared" si="141"/>
        <v>2120</v>
      </c>
      <c r="CV65" s="1554"/>
      <c r="CW65" s="1195" t="s">
        <v>7073</v>
      </c>
      <c r="CX65" s="1195" t="s">
        <v>7233</v>
      </c>
      <c r="CY65" s="472"/>
      <c r="CZ65" s="514" t="s">
        <v>6380</v>
      </c>
      <c r="DA65" s="514" t="s">
        <v>6188</v>
      </c>
      <c r="DB65" s="514" t="s">
        <v>6287</v>
      </c>
      <c r="DC65" s="514" t="s">
        <v>6569</v>
      </c>
      <c r="DD65" s="472"/>
      <c r="DE65" s="472"/>
      <c r="DF65" s="472"/>
      <c r="DG65" s="472"/>
      <c r="DH65" s="472"/>
      <c r="DJ65" s="473" t="str">
        <f>VLOOKUP(X65,Hoja1!$A$4:$B$10,2,0)</f>
        <v>BACHILLER</v>
      </c>
      <c r="DK65" s="473" t="str">
        <f>VLOOKUP(S65,Hoja1!$D$4:$F$77,3,0)</f>
        <v>TII - VII</v>
      </c>
      <c r="DL65" s="1216" t="str">
        <f t="shared" si="142"/>
        <v>0</v>
      </c>
      <c r="DM65" s="1741" t="str">
        <f t="shared" si="143"/>
        <v>M</v>
      </c>
      <c r="DN65" s="1741"/>
    </row>
    <row r="66" spans="1:118" s="930" customFormat="1" ht="21.95" customHeight="1">
      <c r="A66" s="929" t="s">
        <v>2846</v>
      </c>
      <c r="B66" s="1404">
        <f t="shared" ca="1" si="144"/>
        <v>24</v>
      </c>
      <c r="C66" s="1405">
        <v>9495661</v>
      </c>
      <c r="D66" s="1406" t="s">
        <v>5187</v>
      </c>
      <c r="E66" s="1407" t="s">
        <v>4622</v>
      </c>
      <c r="F66" s="1408">
        <v>23909</v>
      </c>
      <c r="G66" s="1407" t="s">
        <v>4620</v>
      </c>
      <c r="H66" s="1408">
        <v>39692</v>
      </c>
      <c r="I66" s="1409">
        <f t="shared" si="98"/>
        <v>16</v>
      </c>
      <c r="J66" s="1410">
        <v>0</v>
      </c>
      <c r="K66" s="1409">
        <f t="shared" si="99"/>
        <v>16</v>
      </c>
      <c r="L66" s="1411" t="s">
        <v>5551</v>
      </c>
      <c r="M66" s="1410"/>
      <c r="N66" s="1410"/>
      <c r="O66" s="1034" t="s">
        <v>5218</v>
      </c>
      <c r="P66" s="1410" t="s">
        <v>5200</v>
      </c>
      <c r="Q66" s="1413" t="str">
        <f>IFERROR(VLOOKUP(O66,CARGOS!A:E,2,0),"")</f>
        <v/>
      </c>
      <c r="R66" s="1412" t="s">
        <v>5218</v>
      </c>
      <c r="S66" s="1414" t="s">
        <v>5470</v>
      </c>
      <c r="T66" s="1415">
        <v>0</v>
      </c>
      <c r="U66" s="1382">
        <v>0</v>
      </c>
      <c r="V66" s="1415">
        <f t="shared" si="100"/>
        <v>0</v>
      </c>
      <c r="W66" s="1382">
        <f t="shared" si="101"/>
        <v>0</v>
      </c>
      <c r="X66" s="1407" t="s">
        <v>2884</v>
      </c>
      <c r="Y66" s="1407"/>
      <c r="Z66" s="1407">
        <v>0</v>
      </c>
      <c r="AA66" s="1415">
        <f>ROUND(IF(H66&lt;&gt;"",VLOOKUP(SUM(I66+J66),'CONCEPTOS Y PARAMETROS'!F:G,2,0)*V66,0),2)</f>
        <v>0</v>
      </c>
      <c r="AB66" s="1415">
        <v>0</v>
      </c>
      <c r="AC66" s="1415">
        <f>IF(S66&lt;&gt;"",IF(M66="",'CONCEPTOS Y PARAMETROS'!$C$7*Z66,0),0)</f>
        <v>0</v>
      </c>
      <c r="AD66" s="1415">
        <f>IFERROR(ROUND(VLOOKUP($X66,'CONCEPTOS Y PARAMETROS'!H:I,2,0)*($V66+AA66+AB66+AC66),2),0)</f>
        <v>0</v>
      </c>
      <c r="AE66" s="1415">
        <f t="shared" si="102"/>
        <v>0</v>
      </c>
      <c r="AF66" s="1415">
        <f t="shared" si="103"/>
        <v>0</v>
      </c>
      <c r="AG66" s="1415">
        <f t="shared" si="104"/>
        <v>0</v>
      </c>
      <c r="AH66" s="1415">
        <f t="shared" si="105"/>
        <v>0</v>
      </c>
      <c r="AI66" s="1415">
        <f t="shared" si="106"/>
        <v>0</v>
      </c>
      <c r="AJ66" s="1415">
        <f t="shared" si="107"/>
        <v>0</v>
      </c>
      <c r="AK66" s="1415">
        <f t="shared" si="108"/>
        <v>0</v>
      </c>
      <c r="AL66" s="1382">
        <f t="shared" si="109"/>
        <v>0</v>
      </c>
      <c r="AM66" s="1382">
        <f t="shared" si="110"/>
        <v>0</v>
      </c>
      <c r="AN66" s="1416">
        <v>0</v>
      </c>
      <c r="AO66" s="1417">
        <f>'CONCEPTOS Y PARAMETROS'!$C$18*AN66</f>
        <v>0</v>
      </c>
      <c r="AP66" s="1416">
        <v>0</v>
      </c>
      <c r="AQ66" s="1417">
        <f>'CONCEPTOS Y PARAMETROS'!$C$21*AP66</f>
        <v>0</v>
      </c>
      <c r="AR66" s="1418">
        <v>0</v>
      </c>
      <c r="AS66" s="1418">
        <v>0</v>
      </c>
      <c r="AT66" s="1418">
        <f t="shared" si="111"/>
        <v>0</v>
      </c>
      <c r="AU66" s="1382">
        <f t="shared" si="112"/>
        <v>0</v>
      </c>
      <c r="AV66" s="1419">
        <v>0</v>
      </c>
      <c r="AW66" s="1382">
        <f>ROUND(IF(O66="VIGILANTE",(V66+AE66)*30%,0),2)</f>
        <v>0</v>
      </c>
      <c r="AX66" s="1415">
        <f>IF(T66&lt;&gt;"0",(ROUND(IF(A66="EMPLEADO",eval_formula('CONCEPTOS Y PARAMETROS'!$C$8,NOMINA!V66,NOMINA!$AU66,NOMINA!I66+NOMINA!J66),eval_formula('CONCEPTOS Y PARAMETROS'!$D$8,NOMINA!V66,NOMINA!$AU66,NOMINA!I66+NOMINA!J66)),2))*IF(H66&lt;&gt;"",IF(MONTH(H66)=$BR$8,IF(YEAR(H66)&lt;$BT$7,1,0),0)))</f>
        <v>0</v>
      </c>
      <c r="AY66" s="1382">
        <v>180</v>
      </c>
      <c r="AZ66" s="1415">
        <f>IFERROR(VLOOKUP(AY66,'CONCEPTOS Y PARAMETROS'!Y:Z,2,0),0)</f>
        <v>150</v>
      </c>
      <c r="BA66" s="1415">
        <f t="shared" si="114"/>
        <v>0</v>
      </c>
      <c r="BB66" s="1415">
        <f t="shared" si="145"/>
        <v>0</v>
      </c>
      <c r="BC66" s="1416">
        <v>0</v>
      </c>
      <c r="BD66" s="1415" t="str">
        <f t="shared" si="115"/>
        <v>0</v>
      </c>
      <c r="BE66" s="1416">
        <v>0</v>
      </c>
      <c r="BF66" s="1415">
        <f>ROUND(IF(BE66&gt;0,(((V66+AA66+AB66+AC66+AD66)/30)*50%+((V66+AA66+AB66+AC66+AD66)/30))*BE66,"0"),2)</f>
        <v>0</v>
      </c>
      <c r="BG66" s="1382">
        <v>0</v>
      </c>
      <c r="BH66" s="1382">
        <f t="shared" si="117"/>
        <v>0</v>
      </c>
      <c r="BI66" s="1382">
        <v>0</v>
      </c>
      <c r="BJ66" s="1382">
        <f t="shared" si="118"/>
        <v>0</v>
      </c>
      <c r="BK66" s="1382">
        <v>0</v>
      </c>
      <c r="BL66" s="1415">
        <f t="shared" si="170"/>
        <v>0</v>
      </c>
      <c r="BM66" s="1415">
        <f t="shared" si="171"/>
        <v>0</v>
      </c>
      <c r="BN66" s="1415">
        <f t="shared" si="119"/>
        <v>0</v>
      </c>
      <c r="BO66" s="1415">
        <v>0</v>
      </c>
      <c r="BP66" s="1415">
        <v>0</v>
      </c>
      <c r="BQ66" s="1420">
        <f t="shared" si="120"/>
        <v>0</v>
      </c>
      <c r="BR66" s="1415">
        <f t="shared" si="172"/>
        <v>0</v>
      </c>
      <c r="BS66" s="1415">
        <f t="shared" si="173"/>
        <v>0</v>
      </c>
      <c r="BT66" s="1415">
        <f t="shared" si="121"/>
        <v>0</v>
      </c>
      <c r="BU66" s="1415">
        <v>0</v>
      </c>
      <c r="BV66" s="1382">
        <f t="shared" si="122"/>
        <v>0</v>
      </c>
      <c r="BW66" s="1379">
        <f t="shared" si="123"/>
        <v>0</v>
      </c>
      <c r="BX66" s="1379">
        <f t="shared" si="194"/>
        <v>0</v>
      </c>
      <c r="BY66" s="1382">
        <v>0</v>
      </c>
      <c r="BZ66" s="1382">
        <f t="shared" si="125"/>
        <v>0</v>
      </c>
      <c r="CA66" s="1421">
        <v>0</v>
      </c>
      <c r="CB66" s="1379">
        <f t="shared" si="126"/>
        <v>0</v>
      </c>
      <c r="CC66" s="1422">
        <f t="shared" si="127"/>
        <v>0</v>
      </c>
      <c r="CD66" s="514"/>
      <c r="CE66" s="514"/>
      <c r="CG66" s="931">
        <f t="shared" si="128"/>
        <v>0</v>
      </c>
      <c r="CH66" s="1714">
        <f t="shared" si="129"/>
        <v>0</v>
      </c>
      <c r="CI66" s="931">
        <f t="shared" si="130"/>
        <v>0</v>
      </c>
      <c r="CJ66" s="931">
        <f t="shared" si="131"/>
        <v>0</v>
      </c>
      <c r="CK66" s="931">
        <f t="shared" si="132"/>
        <v>0</v>
      </c>
      <c r="CL66" s="931">
        <f t="shared" si="133"/>
        <v>0</v>
      </c>
      <c r="CM66" s="931">
        <f t="shared" si="134"/>
        <v>0</v>
      </c>
      <c r="CN66" s="932">
        <f t="shared" si="135"/>
        <v>0</v>
      </c>
      <c r="CO66" s="933">
        <v>0</v>
      </c>
      <c r="CP66" s="932">
        <f t="shared" si="136"/>
        <v>0</v>
      </c>
      <c r="CQ66" s="934">
        <f t="shared" si="137"/>
        <v>0</v>
      </c>
      <c r="CR66" s="932">
        <f t="shared" si="138"/>
        <v>0</v>
      </c>
      <c r="CS66" s="932">
        <f t="shared" si="139"/>
        <v>0</v>
      </c>
      <c r="CT66" s="932">
        <f t="shared" si="140"/>
        <v>0</v>
      </c>
      <c r="CU66" s="932">
        <f t="shared" si="141"/>
        <v>0</v>
      </c>
      <c r="CV66" s="1557"/>
      <c r="CW66" s="1406" t="s">
        <v>6940</v>
      </c>
      <c r="CX66" s="1406" t="s">
        <v>7183</v>
      </c>
      <c r="CY66" s="935"/>
      <c r="CZ66" s="514"/>
      <c r="DA66" s="478"/>
      <c r="DB66" s="478"/>
      <c r="DC66" s="478"/>
      <c r="DD66" s="472"/>
      <c r="DE66" s="935"/>
      <c r="DF66" s="935"/>
      <c r="DG66" s="935"/>
      <c r="DH66" s="935"/>
      <c r="DJ66" s="930" t="str">
        <f>VLOOKUP(X66,Hoja1!$A$4:$B$10,2,0)</f>
        <v>BACHILLER</v>
      </c>
      <c r="DK66" s="930" t="str">
        <f>VLOOKUP(S66,Hoja1!$D$4:$F$77,3,0)</f>
        <v>BIII - VI</v>
      </c>
      <c r="DL66" s="1217" t="str">
        <f t="shared" si="142"/>
        <v>0</v>
      </c>
      <c r="DM66" s="1745" t="str">
        <f t="shared" si="143"/>
        <v>F</v>
      </c>
      <c r="DN66" s="1745"/>
    </row>
    <row r="67" spans="1:118" s="1654" customFormat="1" ht="21.95" customHeight="1">
      <c r="A67" s="1624" t="s">
        <v>2846</v>
      </c>
      <c r="B67" s="1625">
        <f t="shared" ca="1" si="144"/>
        <v>25</v>
      </c>
      <c r="C67" s="1626">
        <v>9496860</v>
      </c>
      <c r="D67" s="1627" t="s">
        <v>4710</v>
      </c>
      <c r="E67" s="1628" t="s">
        <v>4622</v>
      </c>
      <c r="F67" s="1629">
        <v>23795</v>
      </c>
      <c r="G67" s="1628" t="s">
        <v>4621</v>
      </c>
      <c r="H67" s="1629">
        <v>43877</v>
      </c>
      <c r="I67" s="1630">
        <f t="shared" si="98"/>
        <v>4</v>
      </c>
      <c r="J67" s="1631">
        <v>9</v>
      </c>
      <c r="K67" s="1630">
        <f t="shared" si="99"/>
        <v>13</v>
      </c>
      <c r="L67" s="1632" t="s">
        <v>5555</v>
      </c>
      <c r="M67" s="1631"/>
      <c r="N67" s="1631"/>
      <c r="O67" s="1633" t="s">
        <v>513</v>
      </c>
      <c r="P67" s="1631" t="s">
        <v>5293</v>
      </c>
      <c r="Q67" s="1634" t="str">
        <f>IFERROR(VLOOKUP(O67,CARGOS!A:E,2,0),"")</f>
        <v>21213</v>
      </c>
      <c r="R67" s="1635" t="s">
        <v>7448</v>
      </c>
      <c r="S67" s="1636" t="s">
        <v>5479</v>
      </c>
      <c r="T67" s="1637">
        <f>IFERROR(VLOOKUP(S67,'TAB EMP'!A:B,2,0),0)</f>
        <v>283</v>
      </c>
      <c r="U67" s="1638">
        <v>0</v>
      </c>
      <c r="V67" s="1637">
        <f t="shared" si="100"/>
        <v>283</v>
      </c>
      <c r="W67" s="1638">
        <f t="shared" si="101"/>
        <v>141.5</v>
      </c>
      <c r="X67" s="1628" t="s">
        <v>2885</v>
      </c>
      <c r="Y67" s="1628"/>
      <c r="Z67" s="1628">
        <v>0</v>
      </c>
      <c r="AA67" s="1637">
        <f>ROUND(IF(H67&lt;&gt;"",VLOOKUP(SUM(I67+J67),'CONCEPTOS Y PARAMETROS'!F:G,2,0)*V67,0),2)</f>
        <v>43.02</v>
      </c>
      <c r="AB67" s="1637">
        <f>IF(S67&lt;&gt;"",IF(M67="",'CONCEPTOS Y PARAMETROS'!$C$4,0),0)</f>
        <v>130</v>
      </c>
      <c r="AC67" s="1637">
        <f>IF(S67&lt;&gt;"",IF(M67="",'CONCEPTOS Y PARAMETROS'!$C$7*Z67,0),0)</f>
        <v>0</v>
      </c>
      <c r="AD67" s="1637">
        <f>IFERROR(ROUND(VLOOKUP($X67,'CONCEPTOS Y PARAMETROS'!H:I,2,0)*($V67+AA67+AB67+AC67),2),0)</f>
        <v>114.01</v>
      </c>
      <c r="AE67" s="1637">
        <f t="shared" si="102"/>
        <v>287.03000000000003</v>
      </c>
      <c r="AF67" s="1637">
        <f t="shared" si="103"/>
        <v>21.51</v>
      </c>
      <c r="AG67" s="1637">
        <f t="shared" si="104"/>
        <v>21.51</v>
      </c>
      <c r="AH67" s="1637">
        <f t="shared" si="105"/>
        <v>65</v>
      </c>
      <c r="AI67" s="1637">
        <f t="shared" si="106"/>
        <v>65</v>
      </c>
      <c r="AJ67" s="1637">
        <f t="shared" si="107"/>
        <v>57.01</v>
      </c>
      <c r="AK67" s="1637">
        <f t="shared" si="108"/>
        <v>57</v>
      </c>
      <c r="AL67" s="1638">
        <f t="shared" si="109"/>
        <v>143.52000000000001</v>
      </c>
      <c r="AM67" s="1638">
        <f t="shared" si="110"/>
        <v>143.51</v>
      </c>
      <c r="AN67" s="1639">
        <v>0</v>
      </c>
      <c r="AO67" s="1640">
        <f>'CONCEPTOS Y PARAMETROS'!$C$18*AN67</f>
        <v>0</v>
      </c>
      <c r="AP67" s="1639">
        <v>0</v>
      </c>
      <c r="AQ67" s="1640">
        <f>'CONCEPTOS Y PARAMETROS'!$C$21*AP67</f>
        <v>0</v>
      </c>
      <c r="AR67" s="1641">
        <v>0</v>
      </c>
      <c r="AS67" s="1641">
        <v>0</v>
      </c>
      <c r="AT67" s="1641">
        <f t="shared" si="111"/>
        <v>0</v>
      </c>
      <c r="AU67" s="1638">
        <f t="shared" si="112"/>
        <v>570.03</v>
      </c>
      <c r="AV67" s="1642">
        <v>0</v>
      </c>
      <c r="AW67" s="1638">
        <f t="shared" si="113"/>
        <v>0</v>
      </c>
      <c r="AX67" s="1637">
        <f>IF(T67&lt;&gt;"0",(ROUND(IF(A67="EMPLEADO",eval_formula('CONCEPTOS Y PARAMETROS'!$C$8,NOMINA!V67,NOMINA!$AU67,NOMINA!I67+NOMINA!J67),eval_formula('CONCEPTOS Y PARAMETROS'!$D$8,NOMINA!V67,NOMINA!$AU67,NOMINA!I67+NOMINA!J67)),2))*IF(H67&lt;&gt;"",IF(MONTH(H67)=$BR$8,IF(YEAR(H67)&lt;$BT$7,1,0),0)))</f>
        <v>0</v>
      </c>
      <c r="AY67" s="1638">
        <v>180</v>
      </c>
      <c r="AZ67" s="1637">
        <f>IFERROR(VLOOKUP(AY67,'CONCEPTOS Y PARAMETROS'!Y:Z,2,0),0)</f>
        <v>150</v>
      </c>
      <c r="BA67" s="1637">
        <f t="shared" si="114"/>
        <v>4275.2299999999996</v>
      </c>
      <c r="BB67" s="1637">
        <f t="shared" si="145"/>
        <v>0</v>
      </c>
      <c r="BC67" s="1639">
        <v>0</v>
      </c>
      <c r="BD67" s="1637" t="str">
        <f t="shared" si="115"/>
        <v>0</v>
      </c>
      <c r="BE67" s="1639">
        <v>0</v>
      </c>
      <c r="BF67" s="1637">
        <f t="shared" ref="BF67:BF81" si="196">ROUND(IF(BE67&gt;0,(((V67+AA67+AB67+AC67+AD67+AW67)/30)*50%+((V67+AA67+AB67+AC67+AD67+AW67)/30))*BE67,"0"),2)</f>
        <v>0</v>
      </c>
      <c r="BG67" s="1638">
        <v>300</v>
      </c>
      <c r="BH67" s="1638">
        <f t="shared" si="117"/>
        <v>0</v>
      </c>
      <c r="BI67" s="1628">
        <v>0</v>
      </c>
      <c r="BJ67" s="1628">
        <f t="shared" si="118"/>
        <v>0</v>
      </c>
      <c r="BK67" s="1638">
        <v>0</v>
      </c>
      <c r="BL67" s="1637">
        <f t="shared" si="170"/>
        <v>21.05</v>
      </c>
      <c r="BM67" s="1637">
        <f t="shared" si="171"/>
        <v>2.63</v>
      </c>
      <c r="BN67" s="1637">
        <f t="shared" si="119"/>
        <v>5.7</v>
      </c>
      <c r="BO67" s="1637">
        <v>0</v>
      </c>
      <c r="BP67" s="1637">
        <v>0</v>
      </c>
      <c r="BQ67" s="1643">
        <f t="shared" si="120"/>
        <v>29.38</v>
      </c>
      <c r="BR67" s="1637">
        <f t="shared" si="172"/>
        <v>47.36</v>
      </c>
      <c r="BS67" s="1637">
        <f t="shared" si="173"/>
        <v>10.52</v>
      </c>
      <c r="BT67" s="1637">
        <f t="shared" si="121"/>
        <v>11.4</v>
      </c>
      <c r="BU67" s="1637">
        <v>0</v>
      </c>
      <c r="BV67" s="1638">
        <f t="shared" si="122"/>
        <v>69.28</v>
      </c>
      <c r="BW67" s="1644">
        <f t="shared" si="123"/>
        <v>98.66</v>
      </c>
      <c r="BX67" s="1644">
        <f t="shared" si="194"/>
        <v>1068.81</v>
      </c>
      <c r="BY67" s="1638">
        <v>0</v>
      </c>
      <c r="BZ67" s="1638">
        <f t="shared" si="125"/>
        <v>1068.81</v>
      </c>
      <c r="CA67" s="1645">
        <f>'CONCEPTOS Y PARAMETROS'!$A$102</f>
        <v>2120</v>
      </c>
      <c r="CB67" s="1644">
        <f t="shared" si="126"/>
        <v>255.64</v>
      </c>
      <c r="CC67" s="1646">
        <f t="shared" si="127"/>
        <v>585.01</v>
      </c>
      <c r="CD67" s="1647"/>
      <c r="CE67" s="1647"/>
      <c r="CF67" s="1648"/>
      <c r="CG67" s="1649">
        <f t="shared" si="128"/>
        <v>255.64</v>
      </c>
      <c r="CH67" s="1713">
        <f t="shared" si="129"/>
        <v>300</v>
      </c>
      <c r="CI67" s="1649">
        <f t="shared" si="130"/>
        <v>585.01</v>
      </c>
      <c r="CJ67" s="1649">
        <f t="shared" si="131"/>
        <v>280.8</v>
      </c>
      <c r="CK67" s="1649">
        <f t="shared" si="132"/>
        <v>304.20999999999998</v>
      </c>
      <c r="CL67" s="1649">
        <f t="shared" si="133"/>
        <v>0</v>
      </c>
      <c r="CM67" s="1649">
        <f t="shared" si="134"/>
        <v>0</v>
      </c>
      <c r="CN67" s="1650">
        <f t="shared" si="135"/>
        <v>0</v>
      </c>
      <c r="CO67" s="1651">
        <v>0</v>
      </c>
      <c r="CP67" s="1650">
        <f t="shared" si="136"/>
        <v>0</v>
      </c>
      <c r="CQ67" s="1652">
        <f t="shared" si="137"/>
        <v>0</v>
      </c>
      <c r="CR67" s="1650">
        <f t="shared" si="138"/>
        <v>0</v>
      </c>
      <c r="CS67" s="1650">
        <f t="shared" si="139"/>
        <v>0</v>
      </c>
      <c r="CT67" s="1650">
        <f t="shared" si="140"/>
        <v>98.66</v>
      </c>
      <c r="CU67" s="1650">
        <f t="shared" si="141"/>
        <v>2120</v>
      </c>
      <c r="CV67" s="1653"/>
      <c r="CW67" s="1627" t="s">
        <v>7100</v>
      </c>
      <c r="CX67" s="1627" t="s">
        <v>6944</v>
      </c>
      <c r="CY67" s="1647"/>
      <c r="CZ67" s="1662" t="s">
        <v>6588</v>
      </c>
      <c r="DA67" s="1647" t="s">
        <v>6188</v>
      </c>
      <c r="DB67" s="1647" t="s">
        <v>6302</v>
      </c>
      <c r="DC67" s="1647" t="s">
        <v>6571</v>
      </c>
      <c r="DD67" s="1647"/>
      <c r="DE67" s="1647"/>
      <c r="DF67" s="1647"/>
      <c r="DG67" s="1647"/>
      <c r="DH67" s="1647"/>
      <c r="DJ67" s="1654" t="str">
        <f>VLOOKUP(X67,Hoja1!$A$4:$B$10,2,0)</f>
        <v>PROFESIONAL</v>
      </c>
      <c r="DK67" s="1654" t="str">
        <f>VLOOKUP(S67,Hoja1!$D$4:$F$77,3,0)</f>
        <v>PII - V</v>
      </c>
      <c r="DL67" s="1687" t="str">
        <f t="shared" si="142"/>
        <v>0</v>
      </c>
      <c r="DM67" s="1742" t="str">
        <f t="shared" si="143"/>
        <v>M</v>
      </c>
      <c r="DN67" s="1742"/>
    </row>
    <row r="68" spans="1:118" s="473" customFormat="1" ht="21.95" customHeight="1">
      <c r="A68" s="510" t="s">
        <v>2846</v>
      </c>
      <c r="B68" s="1390">
        <f t="shared" ca="1" si="144"/>
        <v>26</v>
      </c>
      <c r="C68" s="1194">
        <v>9497151</v>
      </c>
      <c r="D68" s="1195" t="s">
        <v>4711</v>
      </c>
      <c r="E68" s="1180" t="s">
        <v>4622</v>
      </c>
      <c r="F68" s="1196">
        <v>24911</v>
      </c>
      <c r="G68" s="1180" t="s">
        <v>4621</v>
      </c>
      <c r="H68" s="1196">
        <v>36770</v>
      </c>
      <c r="I68" s="1185">
        <f t="shared" si="98"/>
        <v>24</v>
      </c>
      <c r="J68" s="1177">
        <v>0</v>
      </c>
      <c r="K68" s="1185">
        <f t="shared" si="99"/>
        <v>24</v>
      </c>
      <c r="L68" s="1191" t="s">
        <v>5540</v>
      </c>
      <c r="M68" s="1177"/>
      <c r="N68" s="1177"/>
      <c r="O68" s="1040" t="s">
        <v>5227</v>
      </c>
      <c r="P68" s="1177" t="s">
        <v>5294</v>
      </c>
      <c r="Q68" s="1391" t="str">
        <f>IFERROR(VLOOKUP(O68,CARGOS!A:E,2,0),"")</f>
        <v>46612</v>
      </c>
      <c r="R68" s="1403" t="s">
        <v>5227</v>
      </c>
      <c r="S68" s="1192" t="s">
        <v>5471</v>
      </c>
      <c r="T68" s="1150">
        <f>IFERROR(VLOOKUP(S68,'TAB EMP'!A:B,2,0),0)</f>
        <v>287</v>
      </c>
      <c r="U68" s="1151">
        <v>0</v>
      </c>
      <c r="V68" s="1150">
        <f t="shared" si="100"/>
        <v>287</v>
      </c>
      <c r="W68" s="1151">
        <f t="shared" si="101"/>
        <v>143.5</v>
      </c>
      <c r="X68" s="1180" t="s">
        <v>2885</v>
      </c>
      <c r="Y68" s="1180"/>
      <c r="Z68" s="1180">
        <v>0</v>
      </c>
      <c r="AA68" s="1150">
        <f>ROUND(IF(H68&lt;&gt;"",VLOOKUP(SUM(I68+J68),'CONCEPTOS Y PARAMETROS'!F:G,2,0)*V68,0),2)</f>
        <v>86.1</v>
      </c>
      <c r="AB68" s="1150">
        <f>IF(S68&lt;&gt;"",IF(M68="",'CONCEPTOS Y PARAMETROS'!$C$4,0),0)</f>
        <v>130</v>
      </c>
      <c r="AC68" s="1150">
        <f>IF(S68&lt;&gt;"",IF(M68="",'CONCEPTOS Y PARAMETROS'!$C$7*Z68,0),0)</f>
        <v>0</v>
      </c>
      <c r="AD68" s="1150">
        <f>IFERROR(ROUND(VLOOKUP($X68,'CONCEPTOS Y PARAMETROS'!H:I,2,0)*($V68+AA68+AB68+AC68),2),0)</f>
        <v>125.78</v>
      </c>
      <c r="AE68" s="1150">
        <f t="shared" si="102"/>
        <v>341.88</v>
      </c>
      <c r="AF68" s="1150">
        <f t="shared" si="103"/>
        <v>43.05</v>
      </c>
      <c r="AG68" s="1150">
        <f t="shared" si="104"/>
        <v>43.05</v>
      </c>
      <c r="AH68" s="1150">
        <f t="shared" si="105"/>
        <v>65</v>
      </c>
      <c r="AI68" s="1150">
        <f t="shared" si="106"/>
        <v>65</v>
      </c>
      <c r="AJ68" s="1150">
        <f t="shared" si="107"/>
        <v>62.89</v>
      </c>
      <c r="AK68" s="1150">
        <f t="shared" si="108"/>
        <v>62.89</v>
      </c>
      <c r="AL68" s="1151">
        <f t="shared" si="109"/>
        <v>170.94</v>
      </c>
      <c r="AM68" s="1151">
        <f t="shared" si="110"/>
        <v>170.94</v>
      </c>
      <c r="AN68" s="1028">
        <v>0</v>
      </c>
      <c r="AO68" s="1193">
        <f>'CONCEPTOS Y PARAMETROS'!$C$18*AN68</f>
        <v>0</v>
      </c>
      <c r="AP68" s="1028">
        <v>0</v>
      </c>
      <c r="AQ68" s="1193">
        <f>'CONCEPTOS Y PARAMETROS'!$C$21*AP68</f>
        <v>0</v>
      </c>
      <c r="AR68" s="1394">
        <v>0</v>
      </c>
      <c r="AS68" s="1394">
        <v>0</v>
      </c>
      <c r="AT68" s="1394">
        <f t="shared" si="111"/>
        <v>0</v>
      </c>
      <c r="AU68" s="1151">
        <f t="shared" si="112"/>
        <v>628.88</v>
      </c>
      <c r="AV68" s="1178">
        <v>0</v>
      </c>
      <c r="AW68" s="1151">
        <f t="shared" si="113"/>
        <v>0</v>
      </c>
      <c r="AX68" s="1150">
        <f>IF(T68&lt;&gt;"0",(ROUND(IF(A68="EMPLEADO",eval_formula('CONCEPTOS Y PARAMETROS'!$C$8,NOMINA!V68,NOMINA!$AU68,NOMINA!I68+NOMINA!J68),eval_formula('CONCEPTOS Y PARAMETROS'!$D$8,NOMINA!V68,NOMINA!$AU68,NOMINA!I68+NOMINA!J68)),2))*IF(H68&lt;&gt;"",IF(MONTH(H68)=$BR$8,IF(YEAR(H68)&lt;$BT$7,1,0),0)))</f>
        <v>0</v>
      </c>
      <c r="AY68" s="1151">
        <v>180</v>
      </c>
      <c r="AZ68" s="1150">
        <f>IFERROR(VLOOKUP(AY68,'CONCEPTOS Y PARAMETROS'!Y:Z,2,0),0)</f>
        <v>150</v>
      </c>
      <c r="BA68" s="1150">
        <f t="shared" si="114"/>
        <v>4716.6000000000004</v>
      </c>
      <c r="BB68" s="1150">
        <f t="shared" si="145"/>
        <v>0</v>
      </c>
      <c r="BC68" s="1028">
        <v>0</v>
      </c>
      <c r="BD68" s="1150" t="str">
        <f t="shared" si="115"/>
        <v>0</v>
      </c>
      <c r="BE68" s="1028">
        <v>0</v>
      </c>
      <c r="BF68" s="1150">
        <f t="shared" si="196"/>
        <v>0</v>
      </c>
      <c r="BG68" s="1151">
        <v>300</v>
      </c>
      <c r="BH68" s="1151">
        <f t="shared" si="117"/>
        <v>0</v>
      </c>
      <c r="BI68" s="1180">
        <v>0</v>
      </c>
      <c r="BJ68" s="1180">
        <f t="shared" si="118"/>
        <v>0</v>
      </c>
      <c r="BK68" s="1151">
        <v>0</v>
      </c>
      <c r="BL68" s="1150">
        <f t="shared" si="170"/>
        <v>23.22</v>
      </c>
      <c r="BM68" s="1150">
        <f t="shared" si="171"/>
        <v>2.9</v>
      </c>
      <c r="BN68" s="1150">
        <f t="shared" si="119"/>
        <v>6.29</v>
      </c>
      <c r="BO68" s="1150">
        <v>0</v>
      </c>
      <c r="BP68" s="1150">
        <v>0</v>
      </c>
      <c r="BQ68" s="1396">
        <f t="shared" si="120"/>
        <v>32.409999999999997</v>
      </c>
      <c r="BR68" s="1150">
        <f t="shared" si="172"/>
        <v>52.25</v>
      </c>
      <c r="BS68" s="1150">
        <f t="shared" si="173"/>
        <v>11.61</v>
      </c>
      <c r="BT68" s="1150">
        <f t="shared" si="121"/>
        <v>12.58</v>
      </c>
      <c r="BU68" s="1150">
        <v>0</v>
      </c>
      <c r="BV68" s="1151">
        <f t="shared" si="122"/>
        <v>76.44</v>
      </c>
      <c r="BW68" s="1155">
        <f t="shared" si="123"/>
        <v>108.85</v>
      </c>
      <c r="BX68" s="1155">
        <f t="shared" si="194"/>
        <v>1179.1500000000001</v>
      </c>
      <c r="BY68" s="1151">
        <v>0</v>
      </c>
      <c r="BZ68" s="1151">
        <f t="shared" si="125"/>
        <v>1179.1500000000001</v>
      </c>
      <c r="CA68" s="1397">
        <f>'CONCEPTOS Y PARAMETROS'!$A$102</f>
        <v>2120</v>
      </c>
      <c r="CB68" s="1155">
        <f t="shared" si="126"/>
        <v>282.02999999999997</v>
      </c>
      <c r="CC68" s="1156">
        <f t="shared" si="127"/>
        <v>614.44000000000005</v>
      </c>
      <c r="CD68" s="514"/>
      <c r="CE68" s="514"/>
      <c r="CF68" s="520"/>
      <c r="CG68" s="497">
        <f t="shared" si="128"/>
        <v>282.02999999999997</v>
      </c>
      <c r="CH68" s="1711">
        <f t="shared" si="129"/>
        <v>300</v>
      </c>
      <c r="CI68" s="497">
        <f t="shared" si="130"/>
        <v>614.44000000000005</v>
      </c>
      <c r="CJ68" s="497">
        <f t="shared" si="131"/>
        <v>294.93</v>
      </c>
      <c r="CK68" s="497">
        <f t="shared" si="132"/>
        <v>319.51000000000005</v>
      </c>
      <c r="CL68" s="497">
        <f t="shared" si="133"/>
        <v>0</v>
      </c>
      <c r="CM68" s="497">
        <f t="shared" si="134"/>
        <v>0</v>
      </c>
      <c r="CN68" s="498">
        <f t="shared" si="135"/>
        <v>0</v>
      </c>
      <c r="CO68" s="499">
        <v>0</v>
      </c>
      <c r="CP68" s="498">
        <f t="shared" si="136"/>
        <v>0</v>
      </c>
      <c r="CQ68" s="500">
        <f t="shared" si="137"/>
        <v>0</v>
      </c>
      <c r="CR68" s="498">
        <f t="shared" si="138"/>
        <v>0</v>
      </c>
      <c r="CS68" s="498">
        <f t="shared" si="139"/>
        <v>0</v>
      </c>
      <c r="CT68" s="498">
        <f t="shared" si="140"/>
        <v>108.85</v>
      </c>
      <c r="CU68" s="498">
        <f t="shared" si="141"/>
        <v>2120</v>
      </c>
      <c r="CV68" s="1554"/>
      <c r="CW68" s="1195" t="s">
        <v>6401</v>
      </c>
      <c r="CX68" s="1195" t="s">
        <v>7234</v>
      </c>
      <c r="CY68" s="472"/>
      <c r="CZ68" s="1188" t="s">
        <v>6667</v>
      </c>
      <c r="DA68" s="1199" t="s">
        <v>6173</v>
      </c>
      <c r="DB68" s="1199" t="s">
        <v>6291</v>
      </c>
      <c r="DC68" s="514" t="s">
        <v>6381</v>
      </c>
      <c r="DD68" s="514"/>
      <c r="DE68" s="472"/>
      <c r="DF68" s="472"/>
      <c r="DG68" s="472"/>
      <c r="DH68" s="472"/>
      <c r="DJ68" s="473" t="str">
        <f>VLOOKUP(X68,Hoja1!$A$4:$B$10,2,0)</f>
        <v>PROFESIONAL</v>
      </c>
      <c r="DK68" s="473" t="str">
        <f>VLOOKUP(S68,Hoja1!$D$4:$F$77,3,0)</f>
        <v>PII - VII</v>
      </c>
      <c r="DL68" s="1216" t="str">
        <f t="shared" si="142"/>
        <v>0</v>
      </c>
      <c r="DM68" s="1741" t="str">
        <f t="shared" si="143"/>
        <v>M</v>
      </c>
      <c r="DN68" s="1741"/>
    </row>
    <row r="69" spans="1:118" s="1654" customFormat="1" ht="21.95" customHeight="1">
      <c r="A69" s="1624" t="s">
        <v>2846</v>
      </c>
      <c r="B69" s="1625">
        <f t="shared" ca="1" si="144"/>
        <v>27</v>
      </c>
      <c r="C69" s="1626">
        <v>10033119</v>
      </c>
      <c r="D69" s="1627" t="s">
        <v>4712</v>
      </c>
      <c r="E69" s="1628" t="s">
        <v>4622</v>
      </c>
      <c r="F69" s="1629">
        <v>25282</v>
      </c>
      <c r="G69" s="1628" t="s">
        <v>4620</v>
      </c>
      <c r="H69" s="1629">
        <v>43359</v>
      </c>
      <c r="I69" s="1630">
        <f t="shared" si="98"/>
        <v>6</v>
      </c>
      <c r="J69" s="1631">
        <v>0</v>
      </c>
      <c r="K69" s="1630">
        <f t="shared" si="99"/>
        <v>6</v>
      </c>
      <c r="L69" s="1632" t="s">
        <v>5540</v>
      </c>
      <c r="M69" s="1631"/>
      <c r="N69" s="1631"/>
      <c r="O69" s="1633" t="s">
        <v>5237</v>
      </c>
      <c r="P69" s="1631" t="s">
        <v>5295</v>
      </c>
      <c r="Q69" s="1634" t="str">
        <f>IFERROR(VLOOKUP(O69,CARGOS!A:E,2,0),"")</f>
        <v>79523</v>
      </c>
      <c r="R69" s="1635" t="s">
        <v>5237</v>
      </c>
      <c r="S69" s="1636" t="s">
        <v>5488</v>
      </c>
      <c r="T69" s="1637">
        <f>IFERROR(VLOOKUP(S69,'TAB EMP'!A:B,2,0),0)</f>
        <v>279</v>
      </c>
      <c r="U69" s="1638">
        <v>0</v>
      </c>
      <c r="V69" s="1637">
        <f t="shared" si="100"/>
        <v>279</v>
      </c>
      <c r="W69" s="1638">
        <f t="shared" si="101"/>
        <v>139.5</v>
      </c>
      <c r="X69" s="1628" t="s">
        <v>2885</v>
      </c>
      <c r="Y69" s="1628"/>
      <c r="Z69" s="1628">
        <v>0</v>
      </c>
      <c r="AA69" s="1637">
        <f>ROUND(IF(H69&lt;&gt;"",VLOOKUP(SUM(I69+J69),'CONCEPTOS Y PARAMETROS'!F:G,2,0)*V69,0),2)</f>
        <v>17.3</v>
      </c>
      <c r="AB69" s="1637">
        <f>IF(S69&lt;&gt;"",IF(M69="",'CONCEPTOS Y PARAMETROS'!$C$4,0),0)</f>
        <v>130</v>
      </c>
      <c r="AC69" s="1637">
        <f>IF(S69&lt;&gt;"",IF(M69="",'CONCEPTOS Y PARAMETROS'!$C$7*Z69,0),0)</f>
        <v>0</v>
      </c>
      <c r="AD69" s="1637">
        <f>IFERROR(ROUND(VLOOKUP($X69,'CONCEPTOS Y PARAMETROS'!H:I,2,0)*($V69+AA69+AB69+AC69),2),0)</f>
        <v>106.58</v>
      </c>
      <c r="AE69" s="1637">
        <f t="shared" si="102"/>
        <v>253.88</v>
      </c>
      <c r="AF69" s="1637">
        <f t="shared" si="103"/>
        <v>8.65</v>
      </c>
      <c r="AG69" s="1637">
        <f t="shared" si="104"/>
        <v>8.65</v>
      </c>
      <c r="AH69" s="1637">
        <f t="shared" si="105"/>
        <v>65</v>
      </c>
      <c r="AI69" s="1637">
        <f t="shared" si="106"/>
        <v>65</v>
      </c>
      <c r="AJ69" s="1637">
        <f t="shared" si="107"/>
        <v>53.29</v>
      </c>
      <c r="AK69" s="1637">
        <f t="shared" si="108"/>
        <v>53.29</v>
      </c>
      <c r="AL69" s="1638">
        <f t="shared" si="109"/>
        <v>126.94</v>
      </c>
      <c r="AM69" s="1638">
        <f t="shared" si="110"/>
        <v>126.94</v>
      </c>
      <c r="AN69" s="1639">
        <v>0</v>
      </c>
      <c r="AO69" s="1640">
        <f>'CONCEPTOS Y PARAMETROS'!$C$18*AN69</f>
        <v>0</v>
      </c>
      <c r="AP69" s="1639">
        <v>0</v>
      </c>
      <c r="AQ69" s="1640">
        <f>'CONCEPTOS Y PARAMETROS'!$C$21*AP69</f>
        <v>0</v>
      </c>
      <c r="AR69" s="1641">
        <v>0</v>
      </c>
      <c r="AS69" s="1641">
        <v>0</v>
      </c>
      <c r="AT69" s="1641">
        <f t="shared" si="111"/>
        <v>0</v>
      </c>
      <c r="AU69" s="1638">
        <f t="shared" si="112"/>
        <v>532.88</v>
      </c>
      <c r="AV69" s="1642">
        <v>0</v>
      </c>
      <c r="AW69" s="1638">
        <f t="shared" si="113"/>
        <v>0</v>
      </c>
      <c r="AX69" s="1637">
        <f>IF(T69&lt;&gt;"0",(ROUND(IF(A69="EMPLEADO",eval_formula('CONCEPTOS Y PARAMETROS'!$C$8,NOMINA!V69,NOMINA!$AU69,NOMINA!I69+NOMINA!J69),eval_formula('CONCEPTOS Y PARAMETROS'!$D$8,NOMINA!V69,NOMINA!$AU69,NOMINA!I69+NOMINA!J69)),2))*IF(H69&lt;&gt;"",IF(MONTH(H69)=$BR$8,IF(YEAR(H69)&lt;$BT$7,1,0),0)))</f>
        <v>0</v>
      </c>
      <c r="AY69" s="1638">
        <v>180</v>
      </c>
      <c r="AZ69" s="1637">
        <f>IFERROR(VLOOKUP(AY69,'CONCEPTOS Y PARAMETROS'!Y:Z,2,0),0)</f>
        <v>150</v>
      </c>
      <c r="BA69" s="1637">
        <f t="shared" si="114"/>
        <v>3996.6</v>
      </c>
      <c r="BB69" s="1637">
        <f t="shared" si="145"/>
        <v>0</v>
      </c>
      <c r="BC69" s="1639">
        <v>0</v>
      </c>
      <c r="BD69" s="1637" t="str">
        <f t="shared" si="115"/>
        <v>0</v>
      </c>
      <c r="BE69" s="1639">
        <v>0</v>
      </c>
      <c r="BF69" s="1637">
        <f t="shared" si="196"/>
        <v>0</v>
      </c>
      <c r="BG69" s="1638">
        <v>300</v>
      </c>
      <c r="BH69" s="1638">
        <f t="shared" si="117"/>
        <v>0</v>
      </c>
      <c r="BI69" s="1628">
        <v>0</v>
      </c>
      <c r="BJ69" s="1628">
        <f t="shared" si="118"/>
        <v>0</v>
      </c>
      <c r="BK69" s="1638">
        <v>0</v>
      </c>
      <c r="BL69" s="1637">
        <f t="shared" si="170"/>
        <v>19.68</v>
      </c>
      <c r="BM69" s="1637">
        <f t="shared" si="171"/>
        <v>2.46</v>
      </c>
      <c r="BN69" s="1637">
        <f t="shared" si="119"/>
        <v>5.33</v>
      </c>
      <c r="BO69" s="1637">
        <v>0</v>
      </c>
      <c r="BP69" s="1637">
        <v>0</v>
      </c>
      <c r="BQ69" s="1643">
        <f t="shared" si="120"/>
        <v>27.47</v>
      </c>
      <c r="BR69" s="1637">
        <f t="shared" si="172"/>
        <v>44.27</v>
      </c>
      <c r="BS69" s="1637">
        <f t="shared" si="173"/>
        <v>9.84</v>
      </c>
      <c r="BT69" s="1637">
        <f t="shared" si="121"/>
        <v>10.66</v>
      </c>
      <c r="BU69" s="1637">
        <v>0</v>
      </c>
      <c r="BV69" s="1638">
        <f t="shared" si="122"/>
        <v>64.77</v>
      </c>
      <c r="BW69" s="1644">
        <f t="shared" si="123"/>
        <v>92.24</v>
      </c>
      <c r="BX69" s="1644">
        <f t="shared" si="194"/>
        <v>999.15</v>
      </c>
      <c r="BY69" s="1638">
        <v>0</v>
      </c>
      <c r="BZ69" s="1638">
        <f t="shared" si="125"/>
        <v>999.15</v>
      </c>
      <c r="CA69" s="1645">
        <f>'CONCEPTOS Y PARAMETROS'!$A$102</f>
        <v>2120</v>
      </c>
      <c r="CB69" s="1644">
        <f t="shared" si="126"/>
        <v>238.97</v>
      </c>
      <c r="CC69" s="1646">
        <f t="shared" si="127"/>
        <v>566.44000000000005</v>
      </c>
      <c r="CD69" s="1647"/>
      <c r="CE69" s="1647"/>
      <c r="CF69" s="1648"/>
      <c r="CG69" s="1649">
        <f t="shared" si="128"/>
        <v>238.97</v>
      </c>
      <c r="CH69" s="1713">
        <f t="shared" si="129"/>
        <v>300</v>
      </c>
      <c r="CI69" s="1649">
        <f t="shared" si="130"/>
        <v>566.44000000000005</v>
      </c>
      <c r="CJ69" s="1649">
        <f t="shared" si="131"/>
        <v>271.89</v>
      </c>
      <c r="CK69" s="1649">
        <f t="shared" si="132"/>
        <v>294.55000000000007</v>
      </c>
      <c r="CL69" s="1649">
        <f t="shared" si="133"/>
        <v>0</v>
      </c>
      <c r="CM69" s="1649">
        <f t="shared" si="134"/>
        <v>0</v>
      </c>
      <c r="CN69" s="1650">
        <f t="shared" si="135"/>
        <v>0</v>
      </c>
      <c r="CO69" s="1651">
        <v>0</v>
      </c>
      <c r="CP69" s="1650">
        <f t="shared" si="136"/>
        <v>0</v>
      </c>
      <c r="CQ69" s="1652">
        <f t="shared" si="137"/>
        <v>0</v>
      </c>
      <c r="CR69" s="1650">
        <f t="shared" si="138"/>
        <v>0</v>
      </c>
      <c r="CS69" s="1650">
        <f t="shared" si="139"/>
        <v>0</v>
      </c>
      <c r="CT69" s="1650">
        <f t="shared" si="140"/>
        <v>92.24</v>
      </c>
      <c r="CU69" s="1650">
        <f t="shared" si="141"/>
        <v>2120</v>
      </c>
      <c r="CV69" s="1653"/>
      <c r="CW69" s="1627" t="s">
        <v>7194</v>
      </c>
      <c r="CX69" s="1627" t="s">
        <v>6990</v>
      </c>
      <c r="CY69" s="1647"/>
      <c r="CZ69" s="1647" t="s">
        <v>6382</v>
      </c>
      <c r="DA69" s="1647" t="s">
        <v>6188</v>
      </c>
      <c r="DB69" s="1647" t="s">
        <v>6229</v>
      </c>
      <c r="DC69" s="1647" t="s">
        <v>6635</v>
      </c>
      <c r="DD69" s="1647"/>
      <c r="DE69" s="1647"/>
      <c r="DF69" s="1647"/>
      <c r="DG69" s="1647"/>
      <c r="DH69" s="1647"/>
      <c r="DJ69" s="1654" t="str">
        <f>VLOOKUP(X69,Hoja1!$A$4:$B$10,2,0)</f>
        <v>PROFESIONAL</v>
      </c>
      <c r="DK69" s="1654" t="str">
        <f>VLOOKUP(S69,Hoja1!$D$4:$F$77,3,0)</f>
        <v>PII - III</v>
      </c>
      <c r="DL69" s="1687" t="str">
        <f t="shared" si="142"/>
        <v>0</v>
      </c>
      <c r="DM69" s="1742" t="str">
        <f t="shared" si="143"/>
        <v>F</v>
      </c>
      <c r="DN69" s="1742"/>
    </row>
    <row r="70" spans="1:118" s="1654" customFormat="1" ht="21.95" customHeight="1">
      <c r="A70" s="1624" t="s">
        <v>2846</v>
      </c>
      <c r="B70" s="1625">
        <f t="shared" ca="1" si="144"/>
        <v>28</v>
      </c>
      <c r="C70" s="1626">
        <v>10035540</v>
      </c>
      <c r="D70" s="1627" t="s">
        <v>4713</v>
      </c>
      <c r="E70" s="1628" t="s">
        <v>4622</v>
      </c>
      <c r="F70" s="1629">
        <v>25221</v>
      </c>
      <c r="G70" s="1628" t="s">
        <v>4620</v>
      </c>
      <c r="H70" s="1629">
        <v>43236</v>
      </c>
      <c r="I70" s="1630">
        <f t="shared" si="98"/>
        <v>6</v>
      </c>
      <c r="J70" s="1631">
        <v>0</v>
      </c>
      <c r="K70" s="1630">
        <f t="shared" si="99"/>
        <v>6</v>
      </c>
      <c r="L70" s="1632" t="s">
        <v>5541</v>
      </c>
      <c r="M70" s="1631"/>
      <c r="N70" s="1631"/>
      <c r="O70" s="1633" t="s">
        <v>5254</v>
      </c>
      <c r="P70" s="1631" t="s">
        <v>5296</v>
      </c>
      <c r="Q70" s="1634" t="str">
        <f>IFERROR(VLOOKUP(O70,CARGOS!A:E,2,0),"")</f>
        <v>79342</v>
      </c>
      <c r="R70" s="1635" t="s">
        <v>5254</v>
      </c>
      <c r="S70" s="1636" t="s">
        <v>5491</v>
      </c>
      <c r="T70" s="1637">
        <f>IFERROR(VLOOKUP(S70,'TAB EMP'!A:B,2,0),0)</f>
        <v>221</v>
      </c>
      <c r="U70" s="1638">
        <v>0</v>
      </c>
      <c r="V70" s="1637">
        <f t="shared" si="100"/>
        <v>221</v>
      </c>
      <c r="W70" s="1638">
        <f t="shared" si="101"/>
        <v>110.5</v>
      </c>
      <c r="X70" s="1628" t="s">
        <v>2885</v>
      </c>
      <c r="Y70" s="1628"/>
      <c r="Z70" s="1628">
        <v>0</v>
      </c>
      <c r="AA70" s="1637">
        <f>ROUND(IF(H70&lt;&gt;"",VLOOKUP(SUM(I70+J70),'CONCEPTOS Y PARAMETROS'!F:G,2,0)*V70,0),2)</f>
        <v>13.7</v>
      </c>
      <c r="AB70" s="1637">
        <f>IF(S70&lt;&gt;"",IF(M70="",'CONCEPTOS Y PARAMETROS'!$C$4,0),0)</f>
        <v>130</v>
      </c>
      <c r="AC70" s="1637">
        <f>IF(S70&lt;&gt;"",IF(M70="",'CONCEPTOS Y PARAMETROS'!$C$7*Z70,0),0)</f>
        <v>0</v>
      </c>
      <c r="AD70" s="1637">
        <f>IFERROR(ROUND(VLOOKUP($X70,'CONCEPTOS Y PARAMETROS'!H:I,2,0)*($V70+AA70+AB70+AC70),2),0)</f>
        <v>91.18</v>
      </c>
      <c r="AE70" s="1637">
        <f t="shared" si="102"/>
        <v>234.88</v>
      </c>
      <c r="AF70" s="1637">
        <f t="shared" si="103"/>
        <v>6.85</v>
      </c>
      <c r="AG70" s="1637">
        <f t="shared" si="104"/>
        <v>6.85</v>
      </c>
      <c r="AH70" s="1637">
        <f t="shared" si="105"/>
        <v>65</v>
      </c>
      <c r="AI70" s="1637">
        <f t="shared" si="106"/>
        <v>65</v>
      </c>
      <c r="AJ70" s="1637">
        <f t="shared" si="107"/>
        <v>45.59</v>
      </c>
      <c r="AK70" s="1637">
        <f t="shared" si="108"/>
        <v>45.59</v>
      </c>
      <c r="AL70" s="1638">
        <f t="shared" si="109"/>
        <v>117.44</v>
      </c>
      <c r="AM70" s="1638">
        <f t="shared" si="110"/>
        <v>117.44</v>
      </c>
      <c r="AN70" s="1639">
        <v>0</v>
      </c>
      <c r="AO70" s="1640">
        <f>'CONCEPTOS Y PARAMETROS'!$C$18*AN70</f>
        <v>0</v>
      </c>
      <c r="AP70" s="1639">
        <v>1</v>
      </c>
      <c r="AQ70" s="1640">
        <f>'CONCEPTOS Y PARAMETROS'!$C$21*AP70</f>
        <v>12.5</v>
      </c>
      <c r="AR70" s="1641">
        <v>0</v>
      </c>
      <c r="AS70" s="1641">
        <v>0</v>
      </c>
      <c r="AT70" s="1641">
        <f t="shared" si="111"/>
        <v>12.5</v>
      </c>
      <c r="AU70" s="1638">
        <f t="shared" si="112"/>
        <v>455.88</v>
      </c>
      <c r="AV70" s="1642">
        <v>0</v>
      </c>
      <c r="AW70" s="1638">
        <f t="shared" si="113"/>
        <v>0</v>
      </c>
      <c r="AX70" s="1637">
        <f>IF(T70&lt;&gt;"0",(ROUND(IF(A70="EMPLEADO",eval_formula('CONCEPTOS Y PARAMETROS'!$C$8,NOMINA!V70,NOMINA!$AU70,NOMINA!I70+NOMINA!J70),eval_formula('CONCEPTOS Y PARAMETROS'!$D$8,NOMINA!V70,NOMINA!$AU70,NOMINA!I70+NOMINA!J70)),2))*IF(H70&lt;&gt;"",IF(MONTH(H70)=$BR$8,IF(YEAR(H70)&lt;$BT$7,1,0),0)))</f>
        <v>0</v>
      </c>
      <c r="AY70" s="1638">
        <v>180</v>
      </c>
      <c r="AZ70" s="1637">
        <f>IFERROR(VLOOKUP(AY70,'CONCEPTOS Y PARAMETROS'!Y:Z,2,0),0)</f>
        <v>150</v>
      </c>
      <c r="BA70" s="1637">
        <f t="shared" si="114"/>
        <v>3419.1</v>
      </c>
      <c r="BB70" s="1637">
        <f t="shared" si="145"/>
        <v>0</v>
      </c>
      <c r="BC70" s="1639">
        <v>0</v>
      </c>
      <c r="BD70" s="1637" t="str">
        <f t="shared" si="115"/>
        <v>0</v>
      </c>
      <c r="BE70" s="1639">
        <v>0</v>
      </c>
      <c r="BF70" s="1637">
        <f t="shared" si="196"/>
        <v>0</v>
      </c>
      <c r="BG70" s="1638">
        <v>300</v>
      </c>
      <c r="BH70" s="1638">
        <f t="shared" si="117"/>
        <v>0</v>
      </c>
      <c r="BI70" s="1628">
        <v>0</v>
      </c>
      <c r="BJ70" s="1628">
        <f t="shared" si="118"/>
        <v>0</v>
      </c>
      <c r="BK70" s="1638">
        <v>0</v>
      </c>
      <c r="BL70" s="1637">
        <f t="shared" si="170"/>
        <v>16.829999999999998</v>
      </c>
      <c r="BM70" s="1637">
        <f t="shared" si="171"/>
        <v>2.1</v>
      </c>
      <c r="BN70" s="1637">
        <f t="shared" si="119"/>
        <v>4.5599999999999996</v>
      </c>
      <c r="BO70" s="1637">
        <v>0</v>
      </c>
      <c r="BP70" s="1637">
        <v>0</v>
      </c>
      <c r="BQ70" s="1643">
        <f t="shared" si="120"/>
        <v>23.49</v>
      </c>
      <c r="BR70" s="1637">
        <f t="shared" si="172"/>
        <v>37.869999999999997</v>
      </c>
      <c r="BS70" s="1637">
        <f t="shared" si="173"/>
        <v>8.42</v>
      </c>
      <c r="BT70" s="1637">
        <f t="shared" si="121"/>
        <v>9.1199999999999992</v>
      </c>
      <c r="BU70" s="1637">
        <v>0</v>
      </c>
      <c r="BV70" s="1638">
        <f t="shared" si="122"/>
        <v>55.41</v>
      </c>
      <c r="BW70" s="1644">
        <f t="shared" si="123"/>
        <v>78.899999999999991</v>
      </c>
      <c r="BX70" s="1644">
        <f t="shared" si="194"/>
        <v>854.78</v>
      </c>
      <c r="BY70" s="1638">
        <v>0</v>
      </c>
      <c r="BZ70" s="1638">
        <f t="shared" si="125"/>
        <v>854.78</v>
      </c>
      <c r="CA70" s="1645">
        <f>'CONCEPTOS Y PARAMETROS'!$A$102</f>
        <v>2120</v>
      </c>
      <c r="CB70" s="1644">
        <f t="shared" si="126"/>
        <v>204.45</v>
      </c>
      <c r="CC70" s="1646">
        <f t="shared" si="127"/>
        <v>540.44000000000005</v>
      </c>
      <c r="CD70" s="1647"/>
      <c r="CE70" s="1647"/>
      <c r="CF70" s="1648"/>
      <c r="CG70" s="1649">
        <f t="shared" si="128"/>
        <v>204.45</v>
      </c>
      <c r="CH70" s="1713">
        <f t="shared" si="129"/>
        <v>300</v>
      </c>
      <c r="CI70" s="1649">
        <f t="shared" si="130"/>
        <v>527.94000000000005</v>
      </c>
      <c r="CJ70" s="1649">
        <f t="shared" si="131"/>
        <v>527.94000000000005</v>
      </c>
      <c r="CK70" s="1649">
        <f t="shared" si="132"/>
        <v>0</v>
      </c>
      <c r="CL70" s="1649">
        <f t="shared" si="133"/>
        <v>0</v>
      </c>
      <c r="CM70" s="1649">
        <f t="shared" si="134"/>
        <v>0</v>
      </c>
      <c r="CN70" s="1650">
        <f t="shared" si="135"/>
        <v>0</v>
      </c>
      <c r="CO70" s="1651">
        <v>0</v>
      </c>
      <c r="CP70" s="1650">
        <f t="shared" si="136"/>
        <v>0</v>
      </c>
      <c r="CQ70" s="1652">
        <f t="shared" si="137"/>
        <v>12.5</v>
      </c>
      <c r="CR70" s="1650">
        <f t="shared" si="138"/>
        <v>0</v>
      </c>
      <c r="CS70" s="1650">
        <f t="shared" si="139"/>
        <v>12.5</v>
      </c>
      <c r="CT70" s="1650">
        <f t="shared" si="140"/>
        <v>78.899999999999991</v>
      </c>
      <c r="CU70" s="1650">
        <f t="shared" si="141"/>
        <v>2120</v>
      </c>
      <c r="CV70" s="1653"/>
      <c r="CW70" s="1627" t="s">
        <v>6971</v>
      </c>
      <c r="CX70" s="1627" t="s">
        <v>7235</v>
      </c>
      <c r="CY70" s="1647"/>
      <c r="CZ70" s="1647" t="s">
        <v>6233</v>
      </c>
      <c r="DA70" s="1647" t="s">
        <v>6173</v>
      </c>
      <c r="DB70" s="1647" t="s">
        <v>6234</v>
      </c>
      <c r="DC70" s="1647" t="s">
        <v>6235</v>
      </c>
      <c r="DD70" s="1647"/>
      <c r="DE70" s="1647"/>
      <c r="DF70" s="1647"/>
      <c r="DG70" s="1647"/>
      <c r="DH70" s="1647"/>
      <c r="DJ70" s="1654" t="str">
        <f>VLOOKUP(X70,Hoja1!$A$4:$B$10,2,0)</f>
        <v>PROFESIONAL</v>
      </c>
      <c r="DK70" s="1654" t="str">
        <f>VLOOKUP(S70,Hoja1!$D$4:$F$77,3,0)</f>
        <v>TII - III</v>
      </c>
      <c r="DL70" s="1687" t="str">
        <f t="shared" si="142"/>
        <v>0</v>
      </c>
      <c r="DM70" s="1742" t="str">
        <f t="shared" si="143"/>
        <v>F</v>
      </c>
      <c r="DN70" s="1742"/>
    </row>
    <row r="71" spans="1:118" s="473" customFormat="1" ht="21.95" customHeight="1">
      <c r="A71" s="510" t="s">
        <v>2846</v>
      </c>
      <c r="B71" s="1390">
        <f t="shared" ca="1" si="144"/>
        <v>29</v>
      </c>
      <c r="C71" s="1194">
        <v>10037054</v>
      </c>
      <c r="D71" s="1195" t="s">
        <v>7396</v>
      </c>
      <c r="E71" s="1180" t="s">
        <v>4622</v>
      </c>
      <c r="F71" s="1196">
        <v>25063</v>
      </c>
      <c r="G71" s="1180" t="s">
        <v>4620</v>
      </c>
      <c r="H71" s="1196">
        <v>39820</v>
      </c>
      <c r="I71" s="1185">
        <f t="shared" si="98"/>
        <v>16</v>
      </c>
      <c r="J71" s="1177">
        <v>0</v>
      </c>
      <c r="K71" s="1185">
        <f t="shared" si="99"/>
        <v>16</v>
      </c>
      <c r="L71" s="1191" t="s">
        <v>5550</v>
      </c>
      <c r="M71" s="1177"/>
      <c r="N71" s="1177"/>
      <c r="O71" s="1040" t="s">
        <v>5221</v>
      </c>
      <c r="P71" s="1177" t="s">
        <v>5297</v>
      </c>
      <c r="Q71" s="1391" t="str">
        <f>IFERROR(VLOOKUP(O71,CARGOS!A:E,2,0),"")</f>
        <v>79512</v>
      </c>
      <c r="R71" s="1403" t="s">
        <v>5221</v>
      </c>
      <c r="S71" s="1192" t="s">
        <v>5470</v>
      </c>
      <c r="T71" s="1150">
        <f>IFERROR(VLOOKUP(S71,'TAB EMP'!A:B,2,0),0)</f>
        <v>176</v>
      </c>
      <c r="U71" s="1151">
        <v>0</v>
      </c>
      <c r="V71" s="1150">
        <f t="shared" si="100"/>
        <v>176</v>
      </c>
      <c r="W71" s="1151">
        <f t="shared" si="101"/>
        <v>88</v>
      </c>
      <c r="X71" s="1180" t="s">
        <v>2884</v>
      </c>
      <c r="Y71" s="1180"/>
      <c r="Z71" s="1180">
        <v>0</v>
      </c>
      <c r="AA71" s="1150">
        <f>ROUND(IF(H71&lt;&gt;"",VLOOKUP(SUM(I71+J71),'CONCEPTOS Y PARAMETROS'!F:G,2,0)*V71,0),2)</f>
        <v>34.5</v>
      </c>
      <c r="AB71" s="1150">
        <f>IF(S71&lt;&gt;"",IF(M71="",'CONCEPTOS Y PARAMETROS'!$C$4,0),0)</f>
        <v>130</v>
      </c>
      <c r="AC71" s="1150">
        <f>IF(S71&lt;&gt;"",IF(M71="",'CONCEPTOS Y PARAMETROS'!$C$7*Z71,0),0)</f>
        <v>0</v>
      </c>
      <c r="AD71" s="1150">
        <f>IFERROR(ROUND(VLOOKUP($X71,'CONCEPTOS Y PARAMETROS'!H:I,2,0)*($V71+AA71+AB71+AC71),2),0)</f>
        <v>0</v>
      </c>
      <c r="AE71" s="1150">
        <f t="shared" si="102"/>
        <v>164.5</v>
      </c>
      <c r="AF71" s="1150">
        <f t="shared" si="103"/>
        <v>17.25</v>
      </c>
      <c r="AG71" s="1150">
        <f t="shared" si="104"/>
        <v>17.25</v>
      </c>
      <c r="AH71" s="1150">
        <f t="shared" si="105"/>
        <v>65</v>
      </c>
      <c r="AI71" s="1150">
        <f t="shared" si="106"/>
        <v>65</v>
      </c>
      <c r="AJ71" s="1150">
        <f t="shared" si="107"/>
        <v>0</v>
      </c>
      <c r="AK71" s="1150">
        <f t="shared" si="108"/>
        <v>0</v>
      </c>
      <c r="AL71" s="1151">
        <f t="shared" si="109"/>
        <v>82.25</v>
      </c>
      <c r="AM71" s="1151">
        <f t="shared" si="110"/>
        <v>82.25</v>
      </c>
      <c r="AN71" s="1028">
        <v>0</v>
      </c>
      <c r="AO71" s="1193">
        <f>'CONCEPTOS Y PARAMETROS'!$C$18*AN71</f>
        <v>0</v>
      </c>
      <c r="AP71" s="1028">
        <v>0</v>
      </c>
      <c r="AQ71" s="1193">
        <f>'CONCEPTOS Y PARAMETROS'!$C$21*AP71</f>
        <v>0</v>
      </c>
      <c r="AR71" s="1394">
        <v>0</v>
      </c>
      <c r="AS71" s="1394">
        <v>0</v>
      </c>
      <c r="AT71" s="1394">
        <f t="shared" si="111"/>
        <v>0</v>
      </c>
      <c r="AU71" s="1151">
        <f t="shared" si="112"/>
        <v>442.65</v>
      </c>
      <c r="AV71" s="1178" t="s">
        <v>5080</v>
      </c>
      <c r="AW71" s="1151">
        <f t="shared" si="113"/>
        <v>102.15</v>
      </c>
      <c r="AX71" s="1150">
        <f>IF(T71&lt;&gt;"0",(ROUND(IF(A71="EMPLEADO",eval_formula('CONCEPTOS Y PARAMETROS'!$C$8,NOMINA!V71,NOMINA!$AU71,NOMINA!I71+NOMINA!J71),eval_formula('CONCEPTOS Y PARAMETROS'!$D$8,NOMINA!V71,NOMINA!$AU71,NOMINA!I71+NOMINA!J71)),2))*IF(H71&lt;&gt;"",IF(MONTH(H71)=$BR$8,IF(YEAR(H71)&lt;$BT$7,1,0),0)))</f>
        <v>3541.2</v>
      </c>
      <c r="AY71" s="1151">
        <v>180</v>
      </c>
      <c r="AZ71" s="1150">
        <f>IFERROR(VLOOKUP(AY71,'CONCEPTOS Y PARAMETROS'!Y:Z,2,0),0)</f>
        <v>150</v>
      </c>
      <c r="BA71" s="1150">
        <f t="shared" si="114"/>
        <v>3319.88</v>
      </c>
      <c r="BB71" s="1150">
        <f t="shared" si="145"/>
        <v>0</v>
      </c>
      <c r="BC71" s="1028">
        <v>0</v>
      </c>
      <c r="BD71" s="1150" t="str">
        <f t="shared" si="115"/>
        <v>0</v>
      </c>
      <c r="BE71" s="1028">
        <v>3</v>
      </c>
      <c r="BF71" s="1150">
        <f t="shared" si="196"/>
        <v>66.400000000000006</v>
      </c>
      <c r="BG71" s="1151">
        <v>300</v>
      </c>
      <c r="BH71" s="1151">
        <f t="shared" si="117"/>
        <v>0</v>
      </c>
      <c r="BI71" s="1180">
        <v>0</v>
      </c>
      <c r="BJ71" s="1180">
        <f t="shared" si="118"/>
        <v>0</v>
      </c>
      <c r="BK71" s="1151">
        <v>0</v>
      </c>
      <c r="BL71" s="1150">
        <f t="shared" si="170"/>
        <v>16.34</v>
      </c>
      <c r="BM71" s="1150">
        <f t="shared" si="171"/>
        <v>2.04</v>
      </c>
      <c r="BN71" s="1150">
        <f t="shared" si="119"/>
        <v>4.43</v>
      </c>
      <c r="BO71" s="1150">
        <v>0</v>
      </c>
      <c r="BP71" s="1150">
        <v>0</v>
      </c>
      <c r="BQ71" s="1396">
        <f t="shared" si="120"/>
        <v>22.81</v>
      </c>
      <c r="BR71" s="1150">
        <f t="shared" si="172"/>
        <v>36.770000000000003</v>
      </c>
      <c r="BS71" s="1150">
        <f t="shared" si="173"/>
        <v>8.17</v>
      </c>
      <c r="BT71" s="1150">
        <f t="shared" si="121"/>
        <v>8.86</v>
      </c>
      <c r="BU71" s="1150">
        <v>0</v>
      </c>
      <c r="BV71" s="1151">
        <f t="shared" si="122"/>
        <v>53.8</v>
      </c>
      <c r="BW71" s="1155">
        <f t="shared" si="123"/>
        <v>76.61</v>
      </c>
      <c r="BX71" s="1155">
        <f t="shared" si="194"/>
        <v>829.97</v>
      </c>
      <c r="BY71" s="1151">
        <v>0</v>
      </c>
      <c r="BZ71" s="1151">
        <f t="shared" si="125"/>
        <v>829.97</v>
      </c>
      <c r="CA71" s="1397">
        <f>'CONCEPTOS Y PARAMETROS'!$A$102</f>
        <v>2120</v>
      </c>
      <c r="CB71" s="1155">
        <f t="shared" si="126"/>
        <v>147.44</v>
      </c>
      <c r="CC71" s="1156">
        <f t="shared" si="127"/>
        <v>4180</v>
      </c>
      <c r="CD71" s="514"/>
      <c r="CE71" s="514"/>
      <c r="CF71" s="520"/>
      <c r="CG71" s="497">
        <f t="shared" si="128"/>
        <v>147.44</v>
      </c>
      <c r="CH71" s="1711">
        <f t="shared" si="129"/>
        <v>300</v>
      </c>
      <c r="CI71" s="497">
        <f t="shared" si="130"/>
        <v>470.25</v>
      </c>
      <c r="CJ71" s="497">
        <f t="shared" si="131"/>
        <v>470.25</v>
      </c>
      <c r="CK71" s="497">
        <f t="shared" si="132"/>
        <v>0</v>
      </c>
      <c r="CL71" s="497">
        <f t="shared" si="133"/>
        <v>0</v>
      </c>
      <c r="CM71" s="497">
        <f t="shared" si="134"/>
        <v>0</v>
      </c>
      <c r="CN71" s="498">
        <f t="shared" si="135"/>
        <v>66.400000000000006</v>
      </c>
      <c r="CO71" s="499">
        <v>0</v>
      </c>
      <c r="CP71" s="498">
        <f t="shared" si="136"/>
        <v>102.15</v>
      </c>
      <c r="CQ71" s="500">
        <f t="shared" si="137"/>
        <v>0</v>
      </c>
      <c r="CR71" s="498">
        <f t="shared" si="138"/>
        <v>3541.2</v>
      </c>
      <c r="CS71" s="498">
        <f t="shared" si="139"/>
        <v>3709.75</v>
      </c>
      <c r="CT71" s="498">
        <f t="shared" si="140"/>
        <v>76.61</v>
      </c>
      <c r="CU71" s="498">
        <f t="shared" si="141"/>
        <v>2120</v>
      </c>
      <c r="CV71" s="1554"/>
      <c r="CW71" s="1195" t="s">
        <v>6940</v>
      </c>
      <c r="CX71" s="1195" t="s">
        <v>7236</v>
      </c>
      <c r="CY71" s="472"/>
      <c r="CZ71" s="514" t="s">
        <v>6284</v>
      </c>
      <c r="DA71" s="514" t="s">
        <v>6173</v>
      </c>
      <c r="DB71" s="514" t="s">
        <v>6185</v>
      </c>
      <c r="DC71" s="514" t="s">
        <v>6638</v>
      </c>
      <c r="DD71" s="472"/>
      <c r="DE71" s="472"/>
      <c r="DF71" s="472"/>
      <c r="DG71" s="472"/>
      <c r="DH71" s="472"/>
      <c r="DJ71" s="473" t="str">
        <f>VLOOKUP(X71,Hoja1!$A$4:$B$10,2,0)</f>
        <v>BACHILLER</v>
      </c>
      <c r="DK71" s="473" t="str">
        <f>VLOOKUP(S71,Hoja1!$D$4:$F$77,3,0)</f>
        <v>BIII - VI</v>
      </c>
      <c r="DL71" s="1216" t="str">
        <f t="shared" si="142"/>
        <v>SI</v>
      </c>
      <c r="DM71" s="1741" t="str">
        <f t="shared" si="143"/>
        <v>F</v>
      </c>
      <c r="DN71" s="1741"/>
    </row>
    <row r="72" spans="1:118" s="473" customFormat="1" ht="21.95" customHeight="1">
      <c r="A72" s="510" t="s">
        <v>2846</v>
      </c>
      <c r="B72" s="1390">
        <f t="shared" ca="1" si="144"/>
        <v>30</v>
      </c>
      <c r="C72" s="1194">
        <v>10175616</v>
      </c>
      <c r="D72" s="1195" t="s">
        <v>4715</v>
      </c>
      <c r="E72" s="1180" t="s">
        <v>4622</v>
      </c>
      <c r="F72" s="1196">
        <v>26696</v>
      </c>
      <c r="G72" s="1180" t="s">
        <v>4620</v>
      </c>
      <c r="H72" s="1196">
        <v>44228</v>
      </c>
      <c r="I72" s="1185">
        <f t="shared" si="98"/>
        <v>3</v>
      </c>
      <c r="J72" s="1177">
        <v>0</v>
      </c>
      <c r="K72" s="1185">
        <f t="shared" si="99"/>
        <v>3</v>
      </c>
      <c r="L72" s="1191" t="s">
        <v>5556</v>
      </c>
      <c r="M72" s="1177"/>
      <c r="N72" s="1177"/>
      <c r="O72" s="1040" t="s">
        <v>5229</v>
      </c>
      <c r="P72" s="1177" t="s">
        <v>5298</v>
      </c>
      <c r="Q72" s="1391" t="str">
        <f>IFERROR(VLOOKUP(O72,CARGOS!A:E,2,0),"")</f>
        <v>75141</v>
      </c>
      <c r="R72" s="1403" t="s">
        <v>5229</v>
      </c>
      <c r="S72" s="1192" t="s">
        <v>5489</v>
      </c>
      <c r="T72" s="1150">
        <f>IFERROR(VLOOKUP(S72,'TAB EMP'!A:B,2,0),0)</f>
        <v>307</v>
      </c>
      <c r="U72" s="1151">
        <v>0</v>
      </c>
      <c r="V72" s="1150">
        <f t="shared" si="100"/>
        <v>307</v>
      </c>
      <c r="W72" s="1151">
        <f t="shared" si="101"/>
        <v>153.5</v>
      </c>
      <c r="X72" s="1180" t="s">
        <v>2886</v>
      </c>
      <c r="Y72" s="1180"/>
      <c r="Z72" s="1180">
        <v>0</v>
      </c>
      <c r="AA72" s="1150">
        <f>ROUND(IF(H72&lt;&gt;"",VLOOKUP(SUM(I72+J72),'CONCEPTOS Y PARAMETROS'!F:G,2,0)*V72,0),2)</f>
        <v>9.2100000000000009</v>
      </c>
      <c r="AB72" s="1150">
        <f>IF(S72&lt;&gt;"",IF(M72="",'CONCEPTOS Y PARAMETROS'!$C$4,0),0)</f>
        <v>130</v>
      </c>
      <c r="AC72" s="1150">
        <f>IF(S72&lt;&gt;"",IF(M72="",'CONCEPTOS Y PARAMETROS'!$C$7*Z72,0),0)</f>
        <v>0</v>
      </c>
      <c r="AD72" s="1150">
        <f>IFERROR(ROUND(VLOOKUP($X72,'CONCEPTOS Y PARAMETROS'!H:I,2,0)*($V72+AA72+AB72+AC72),2),0)</f>
        <v>133.86000000000001</v>
      </c>
      <c r="AE72" s="1150">
        <f t="shared" si="102"/>
        <v>273.07000000000005</v>
      </c>
      <c r="AF72" s="1150">
        <f t="shared" si="103"/>
        <v>4.6100000000000003</v>
      </c>
      <c r="AG72" s="1150">
        <f t="shared" si="104"/>
        <v>4.5999999999999996</v>
      </c>
      <c r="AH72" s="1150">
        <f t="shared" si="105"/>
        <v>65</v>
      </c>
      <c r="AI72" s="1150">
        <f t="shared" si="106"/>
        <v>65</v>
      </c>
      <c r="AJ72" s="1150">
        <f t="shared" si="107"/>
        <v>66.930000000000007</v>
      </c>
      <c r="AK72" s="1150">
        <f t="shared" si="108"/>
        <v>66.930000000000007</v>
      </c>
      <c r="AL72" s="1151">
        <f t="shared" si="109"/>
        <v>136.54</v>
      </c>
      <c r="AM72" s="1151">
        <f t="shared" si="110"/>
        <v>136.53</v>
      </c>
      <c r="AN72" s="1028">
        <v>0</v>
      </c>
      <c r="AO72" s="1193">
        <f>'CONCEPTOS Y PARAMETROS'!$C$18*AN72</f>
        <v>0</v>
      </c>
      <c r="AP72" s="1028">
        <v>0</v>
      </c>
      <c r="AQ72" s="1193">
        <f>'CONCEPTOS Y PARAMETROS'!$C$21*AP72</f>
        <v>0</v>
      </c>
      <c r="AR72" s="1394">
        <v>0</v>
      </c>
      <c r="AS72" s="1394">
        <v>0</v>
      </c>
      <c r="AT72" s="1394">
        <f t="shared" si="111"/>
        <v>0</v>
      </c>
      <c r="AU72" s="1151">
        <f t="shared" si="112"/>
        <v>580.07000000000005</v>
      </c>
      <c r="AV72" s="1178">
        <v>0</v>
      </c>
      <c r="AW72" s="1151">
        <f t="shared" si="113"/>
        <v>0</v>
      </c>
      <c r="AX72" s="1150">
        <f>IF(T72&lt;&gt;"0",(ROUND(IF(A72="EMPLEADO",eval_formula('CONCEPTOS Y PARAMETROS'!$C$8,NOMINA!V72,NOMINA!$AU72,NOMINA!I72+NOMINA!J72),eval_formula('CONCEPTOS Y PARAMETROS'!$D$8,NOMINA!V72,NOMINA!$AU72,NOMINA!I72+NOMINA!J72)),2))*IF(H72&lt;&gt;"",IF(MONTH(H72)=$BR$8,IF(YEAR(H72)&lt;$BT$7,1,0),0)))</f>
        <v>0</v>
      </c>
      <c r="AY72" s="1151">
        <v>180</v>
      </c>
      <c r="AZ72" s="1150">
        <f>IFERROR(VLOOKUP(AY72,'CONCEPTOS Y PARAMETROS'!Y:Z,2,0),0)</f>
        <v>150</v>
      </c>
      <c r="BA72" s="1150">
        <f t="shared" si="114"/>
        <v>4350.53</v>
      </c>
      <c r="BB72" s="1150">
        <f t="shared" si="145"/>
        <v>0</v>
      </c>
      <c r="BC72" s="1028">
        <v>0</v>
      </c>
      <c r="BD72" s="1150" t="str">
        <f t="shared" si="115"/>
        <v>0</v>
      </c>
      <c r="BE72" s="1028">
        <v>0</v>
      </c>
      <c r="BF72" s="1150">
        <f t="shared" si="196"/>
        <v>0</v>
      </c>
      <c r="BG72" s="1151">
        <v>300</v>
      </c>
      <c r="BH72" s="1151">
        <f t="shared" si="117"/>
        <v>0</v>
      </c>
      <c r="BI72" s="1180">
        <v>0</v>
      </c>
      <c r="BJ72" s="1180">
        <f t="shared" si="118"/>
        <v>0</v>
      </c>
      <c r="BK72" s="1151">
        <v>0</v>
      </c>
      <c r="BL72" s="1150">
        <f t="shared" si="170"/>
        <v>21.42</v>
      </c>
      <c r="BM72" s="1150">
        <f t="shared" si="171"/>
        <v>2.68</v>
      </c>
      <c r="BN72" s="1150">
        <f t="shared" si="119"/>
        <v>5.8</v>
      </c>
      <c r="BO72" s="1150">
        <v>0</v>
      </c>
      <c r="BP72" s="1150">
        <v>0</v>
      </c>
      <c r="BQ72" s="1396">
        <f t="shared" si="120"/>
        <v>29.9</v>
      </c>
      <c r="BR72" s="1150">
        <f t="shared" si="172"/>
        <v>48.19</v>
      </c>
      <c r="BS72" s="1150">
        <f t="shared" si="173"/>
        <v>10.71</v>
      </c>
      <c r="BT72" s="1150">
        <f t="shared" si="121"/>
        <v>11.6</v>
      </c>
      <c r="BU72" s="1150">
        <v>0</v>
      </c>
      <c r="BV72" s="1151">
        <f t="shared" si="122"/>
        <v>70.5</v>
      </c>
      <c r="BW72" s="1155">
        <f t="shared" si="123"/>
        <v>100.4</v>
      </c>
      <c r="BX72" s="1155">
        <f t="shared" si="194"/>
        <v>1087.6300000000001</v>
      </c>
      <c r="BY72" s="1151">
        <v>0</v>
      </c>
      <c r="BZ72" s="1151">
        <f t="shared" si="125"/>
        <v>1087.6300000000001</v>
      </c>
      <c r="CA72" s="1397">
        <f>'CONCEPTOS Y PARAMETROS'!$A$102</f>
        <v>2120</v>
      </c>
      <c r="CB72" s="1155">
        <f t="shared" si="126"/>
        <v>260.14</v>
      </c>
      <c r="CC72" s="1156">
        <f t="shared" si="127"/>
        <v>590.03</v>
      </c>
      <c r="CD72" s="514"/>
      <c r="CE72" s="514"/>
      <c r="CF72" s="520"/>
      <c r="CG72" s="497">
        <f t="shared" si="128"/>
        <v>260.14</v>
      </c>
      <c r="CH72" s="1711">
        <f t="shared" si="129"/>
        <v>300</v>
      </c>
      <c r="CI72" s="497">
        <f t="shared" si="130"/>
        <v>590.03</v>
      </c>
      <c r="CJ72" s="497">
        <f t="shared" si="131"/>
        <v>283.20999999999998</v>
      </c>
      <c r="CK72" s="497">
        <f t="shared" si="132"/>
        <v>306.82</v>
      </c>
      <c r="CL72" s="497">
        <f t="shared" si="133"/>
        <v>0</v>
      </c>
      <c r="CM72" s="497">
        <f t="shared" si="134"/>
        <v>0</v>
      </c>
      <c r="CN72" s="498">
        <f t="shared" si="135"/>
        <v>0</v>
      </c>
      <c r="CO72" s="499">
        <v>0</v>
      </c>
      <c r="CP72" s="498">
        <f t="shared" si="136"/>
        <v>0</v>
      </c>
      <c r="CQ72" s="500">
        <f t="shared" si="137"/>
        <v>0</v>
      </c>
      <c r="CR72" s="498">
        <f t="shared" si="138"/>
        <v>0</v>
      </c>
      <c r="CS72" s="498">
        <f t="shared" si="139"/>
        <v>0</v>
      </c>
      <c r="CT72" s="498">
        <f t="shared" si="140"/>
        <v>100.4</v>
      </c>
      <c r="CU72" s="498">
        <f t="shared" si="141"/>
        <v>2120</v>
      </c>
      <c r="CV72" s="1554"/>
      <c r="CW72" s="1195" t="s">
        <v>7006</v>
      </c>
      <c r="CX72" s="1195" t="s">
        <v>7237</v>
      </c>
      <c r="CY72" s="472"/>
      <c r="CZ72" s="514" t="s">
        <v>6402</v>
      </c>
      <c r="DA72" s="514" t="s">
        <v>6188</v>
      </c>
      <c r="DB72" s="514" t="s">
        <v>6287</v>
      </c>
      <c r="DC72" s="514" t="s">
        <v>6403</v>
      </c>
      <c r="DD72" s="472"/>
      <c r="DE72" s="472"/>
      <c r="DF72" s="472"/>
      <c r="DG72" s="472"/>
      <c r="DH72" s="472"/>
      <c r="DJ72" s="473" t="str">
        <f>VLOOKUP(X72,Hoja1!$A$4:$B$10,2,0)</f>
        <v>ESPECIALISTA</v>
      </c>
      <c r="DK72" s="473" t="str">
        <f>VLOOKUP(S72,Hoja1!$D$4:$F$77,3,0)</f>
        <v>PIII - II</v>
      </c>
      <c r="DL72" s="1216" t="str">
        <f t="shared" si="142"/>
        <v>0</v>
      </c>
      <c r="DM72" s="1741" t="str">
        <f t="shared" si="143"/>
        <v>F</v>
      </c>
      <c r="DN72" s="1741"/>
    </row>
    <row r="73" spans="1:118" s="1654" customFormat="1" ht="21.95" customHeight="1">
      <c r="A73" s="1624" t="s">
        <v>2846</v>
      </c>
      <c r="B73" s="1625">
        <f t="shared" ca="1" si="144"/>
        <v>31</v>
      </c>
      <c r="C73" s="1626">
        <v>10257016</v>
      </c>
      <c r="D73" s="1627" t="s">
        <v>4716</v>
      </c>
      <c r="E73" s="1628" t="s">
        <v>4622</v>
      </c>
      <c r="F73" s="1629">
        <v>25603</v>
      </c>
      <c r="G73" s="1628" t="s">
        <v>4620</v>
      </c>
      <c r="H73" s="1629">
        <v>35947</v>
      </c>
      <c r="I73" s="1630">
        <f t="shared" si="98"/>
        <v>26</v>
      </c>
      <c r="J73" s="1631">
        <v>0</v>
      </c>
      <c r="K73" s="1630">
        <f t="shared" si="99"/>
        <v>26</v>
      </c>
      <c r="L73" s="1632" t="s">
        <v>5557</v>
      </c>
      <c r="M73" s="1631"/>
      <c r="N73" s="1631"/>
      <c r="O73" s="1633" t="s">
        <v>5237</v>
      </c>
      <c r="P73" s="1631" t="s">
        <v>5299</v>
      </c>
      <c r="Q73" s="1634" t="str">
        <f>IFERROR(VLOOKUP(O73,CARGOS!A:E,2,0),"")</f>
        <v>79523</v>
      </c>
      <c r="R73" s="1635" t="s">
        <v>5237</v>
      </c>
      <c r="S73" s="1636" t="s">
        <v>5471</v>
      </c>
      <c r="T73" s="1637">
        <f>IFERROR(VLOOKUP(S73,'TAB EMP'!A:B,2,0),0)</f>
        <v>287</v>
      </c>
      <c r="U73" s="1638">
        <v>0</v>
      </c>
      <c r="V73" s="1637">
        <f t="shared" si="100"/>
        <v>287</v>
      </c>
      <c r="W73" s="1638">
        <f t="shared" si="101"/>
        <v>143.5</v>
      </c>
      <c r="X73" s="1628" t="s">
        <v>2885</v>
      </c>
      <c r="Y73" s="1628"/>
      <c r="Z73" s="1628">
        <v>0</v>
      </c>
      <c r="AA73" s="1637">
        <f>ROUND(IF(H73&lt;&gt;"",VLOOKUP(SUM(I73+J73),'CONCEPTOS Y PARAMETROS'!F:G,2,0)*V73,0),2)</f>
        <v>86.1</v>
      </c>
      <c r="AB73" s="1637">
        <f>IF(S73&lt;&gt;"",IF(M73="",'CONCEPTOS Y PARAMETROS'!$C$4,0),0)</f>
        <v>130</v>
      </c>
      <c r="AC73" s="1637">
        <f>IF(S73&lt;&gt;"",IF(M73="",'CONCEPTOS Y PARAMETROS'!$C$7*Z73,0),0)</f>
        <v>0</v>
      </c>
      <c r="AD73" s="1637">
        <f>IFERROR(ROUND(VLOOKUP($X73,'CONCEPTOS Y PARAMETROS'!H:I,2,0)*($V73+AA73+AB73+AC73),2),0)</f>
        <v>125.78</v>
      </c>
      <c r="AE73" s="1637">
        <f t="shared" si="102"/>
        <v>341.88</v>
      </c>
      <c r="AF73" s="1637">
        <f t="shared" si="103"/>
        <v>43.05</v>
      </c>
      <c r="AG73" s="1637">
        <f t="shared" si="104"/>
        <v>43.05</v>
      </c>
      <c r="AH73" s="1637">
        <f t="shared" si="105"/>
        <v>65</v>
      </c>
      <c r="AI73" s="1637">
        <f t="shared" si="106"/>
        <v>65</v>
      </c>
      <c r="AJ73" s="1637">
        <f t="shared" si="107"/>
        <v>62.89</v>
      </c>
      <c r="AK73" s="1637">
        <f t="shared" si="108"/>
        <v>62.89</v>
      </c>
      <c r="AL73" s="1638">
        <f t="shared" si="109"/>
        <v>170.94</v>
      </c>
      <c r="AM73" s="1638">
        <f t="shared" si="110"/>
        <v>170.94</v>
      </c>
      <c r="AN73" s="1639">
        <v>0</v>
      </c>
      <c r="AO73" s="1640">
        <f>'CONCEPTOS Y PARAMETROS'!$C$18*AN73</f>
        <v>0</v>
      </c>
      <c r="AP73" s="1639">
        <v>0</v>
      </c>
      <c r="AQ73" s="1640">
        <f>'CONCEPTOS Y PARAMETROS'!$C$21*AP73</f>
        <v>0</v>
      </c>
      <c r="AR73" s="1641">
        <v>0</v>
      </c>
      <c r="AS73" s="1641">
        <v>0</v>
      </c>
      <c r="AT73" s="1641">
        <f t="shared" si="111"/>
        <v>0</v>
      </c>
      <c r="AU73" s="1638">
        <f t="shared" si="112"/>
        <v>628.88</v>
      </c>
      <c r="AV73" s="1642">
        <v>0</v>
      </c>
      <c r="AW73" s="1638">
        <f t="shared" si="113"/>
        <v>0</v>
      </c>
      <c r="AX73" s="1637">
        <f>IF(T73&lt;&gt;"0",(ROUND(IF(A73="EMPLEADO",eval_formula('CONCEPTOS Y PARAMETROS'!$C$8,NOMINA!V73,NOMINA!$AU73,NOMINA!I73+NOMINA!J73),eval_formula('CONCEPTOS Y PARAMETROS'!$D$8,NOMINA!V73,NOMINA!$AU73,NOMINA!I73+NOMINA!J73)),2))*IF(H73&lt;&gt;"",IF(MONTH(H73)=$BR$8,IF(YEAR(H73)&lt;$BT$7,1,0),0)))</f>
        <v>0</v>
      </c>
      <c r="AY73" s="1638">
        <v>180</v>
      </c>
      <c r="AZ73" s="1637">
        <f>IFERROR(VLOOKUP(AY73,'CONCEPTOS Y PARAMETROS'!Y:Z,2,0),0)</f>
        <v>150</v>
      </c>
      <c r="BA73" s="1637">
        <f t="shared" si="114"/>
        <v>4716.6000000000004</v>
      </c>
      <c r="BB73" s="1637">
        <f t="shared" si="145"/>
        <v>0</v>
      </c>
      <c r="BC73" s="1639">
        <v>0</v>
      </c>
      <c r="BD73" s="1637" t="str">
        <f t="shared" si="115"/>
        <v>0</v>
      </c>
      <c r="BE73" s="1639">
        <v>0</v>
      </c>
      <c r="BF73" s="1637">
        <f t="shared" si="196"/>
        <v>0</v>
      </c>
      <c r="BG73" s="1638">
        <v>300</v>
      </c>
      <c r="BH73" s="1638">
        <f t="shared" si="117"/>
        <v>0</v>
      </c>
      <c r="BI73" s="1628">
        <v>0</v>
      </c>
      <c r="BJ73" s="1628">
        <f t="shared" si="118"/>
        <v>0</v>
      </c>
      <c r="BK73" s="1638">
        <v>0</v>
      </c>
      <c r="BL73" s="1637">
        <f t="shared" si="170"/>
        <v>23.22</v>
      </c>
      <c r="BM73" s="1637">
        <f t="shared" si="171"/>
        <v>2.9</v>
      </c>
      <c r="BN73" s="1637">
        <f t="shared" si="119"/>
        <v>6.29</v>
      </c>
      <c r="BO73" s="1637">
        <v>0</v>
      </c>
      <c r="BP73" s="1637">
        <v>0</v>
      </c>
      <c r="BQ73" s="1643">
        <f t="shared" si="120"/>
        <v>32.409999999999997</v>
      </c>
      <c r="BR73" s="1637">
        <f t="shared" si="172"/>
        <v>52.25</v>
      </c>
      <c r="BS73" s="1637">
        <f t="shared" si="173"/>
        <v>11.61</v>
      </c>
      <c r="BT73" s="1637">
        <f t="shared" si="121"/>
        <v>12.58</v>
      </c>
      <c r="BU73" s="1637">
        <v>0</v>
      </c>
      <c r="BV73" s="1638">
        <f t="shared" si="122"/>
        <v>76.44</v>
      </c>
      <c r="BW73" s="1644">
        <f t="shared" si="123"/>
        <v>108.85</v>
      </c>
      <c r="BX73" s="1644">
        <f t="shared" si="194"/>
        <v>1179.1500000000001</v>
      </c>
      <c r="BY73" s="1638">
        <v>0</v>
      </c>
      <c r="BZ73" s="1638">
        <f t="shared" si="125"/>
        <v>1179.1500000000001</v>
      </c>
      <c r="CA73" s="1645">
        <f>'CONCEPTOS Y PARAMETROS'!$A$102</f>
        <v>2120</v>
      </c>
      <c r="CB73" s="1644">
        <f t="shared" si="126"/>
        <v>282.02999999999997</v>
      </c>
      <c r="CC73" s="1646">
        <f t="shared" si="127"/>
        <v>614.44000000000005</v>
      </c>
      <c r="CD73" s="1647"/>
      <c r="CE73" s="1647"/>
      <c r="CF73" s="1648"/>
      <c r="CG73" s="1649">
        <f t="shared" si="128"/>
        <v>282.02999999999997</v>
      </c>
      <c r="CH73" s="1713">
        <f t="shared" si="129"/>
        <v>300</v>
      </c>
      <c r="CI73" s="1649">
        <f t="shared" si="130"/>
        <v>614.44000000000005</v>
      </c>
      <c r="CJ73" s="1649">
        <f t="shared" si="131"/>
        <v>294.93</v>
      </c>
      <c r="CK73" s="1649">
        <f t="shared" si="132"/>
        <v>319.51000000000005</v>
      </c>
      <c r="CL73" s="1649">
        <f t="shared" si="133"/>
        <v>0</v>
      </c>
      <c r="CM73" s="1649">
        <f t="shared" si="134"/>
        <v>0</v>
      </c>
      <c r="CN73" s="1650">
        <f t="shared" si="135"/>
        <v>0</v>
      </c>
      <c r="CO73" s="1651">
        <v>0</v>
      </c>
      <c r="CP73" s="1650">
        <f t="shared" si="136"/>
        <v>0</v>
      </c>
      <c r="CQ73" s="1652">
        <f t="shared" si="137"/>
        <v>0</v>
      </c>
      <c r="CR73" s="1650">
        <f t="shared" si="138"/>
        <v>0</v>
      </c>
      <c r="CS73" s="1650">
        <f t="shared" si="139"/>
        <v>0</v>
      </c>
      <c r="CT73" s="1650">
        <f t="shared" si="140"/>
        <v>108.85</v>
      </c>
      <c r="CU73" s="1650">
        <f t="shared" si="141"/>
        <v>2120</v>
      </c>
      <c r="CV73" s="1653"/>
      <c r="CW73" s="1627" t="s">
        <v>6958</v>
      </c>
      <c r="CX73" s="1627" t="s">
        <v>7238</v>
      </c>
      <c r="CY73" s="1647"/>
      <c r="CZ73" s="1654" t="s">
        <v>6226</v>
      </c>
      <c r="DA73" s="1654" t="s">
        <v>6221</v>
      </c>
      <c r="DB73" s="1654" t="s">
        <v>6227</v>
      </c>
      <c r="DC73" s="1647" t="s">
        <v>6643</v>
      </c>
      <c r="DD73" s="1647"/>
      <c r="DE73" s="1647"/>
      <c r="DF73" s="1647"/>
      <c r="DG73" s="1647"/>
      <c r="DH73" s="1647"/>
      <c r="DJ73" s="1654" t="str">
        <f>VLOOKUP(X73,Hoja1!$A$4:$B$10,2,0)</f>
        <v>PROFESIONAL</v>
      </c>
      <c r="DK73" s="1654" t="str">
        <f>VLOOKUP(S73,Hoja1!$D$4:$F$77,3,0)</f>
        <v>PII - VII</v>
      </c>
      <c r="DL73" s="1687" t="str">
        <f t="shared" si="142"/>
        <v>0</v>
      </c>
      <c r="DM73" s="1742" t="str">
        <f t="shared" si="143"/>
        <v>F</v>
      </c>
      <c r="DN73" s="1742"/>
    </row>
    <row r="74" spans="1:118" s="473" customFormat="1" ht="21.95" customHeight="1">
      <c r="A74" s="510" t="s">
        <v>2846</v>
      </c>
      <c r="B74" s="1390">
        <f t="shared" ca="1" si="144"/>
        <v>32</v>
      </c>
      <c r="C74" s="1194">
        <v>10315803</v>
      </c>
      <c r="D74" s="1195" t="s">
        <v>4717</v>
      </c>
      <c r="E74" s="1180" t="s">
        <v>4622</v>
      </c>
      <c r="F74" s="1196">
        <v>25431</v>
      </c>
      <c r="G74" s="1180" t="s">
        <v>4621</v>
      </c>
      <c r="H74" s="1196">
        <v>35415</v>
      </c>
      <c r="I74" s="1185">
        <f t="shared" si="98"/>
        <v>28</v>
      </c>
      <c r="J74" s="1177">
        <v>0</v>
      </c>
      <c r="K74" s="1185">
        <f t="shared" si="99"/>
        <v>28</v>
      </c>
      <c r="L74" s="1191" t="s">
        <v>5546</v>
      </c>
      <c r="M74" s="1177"/>
      <c r="N74" s="1177"/>
      <c r="O74" s="1040" t="s">
        <v>5221</v>
      </c>
      <c r="P74" s="1177" t="s">
        <v>5300</v>
      </c>
      <c r="Q74" s="1391" t="str">
        <f>IFERROR(VLOOKUP(O74,CARGOS!A:E,2,0),"")</f>
        <v>79512</v>
      </c>
      <c r="R74" s="1403" t="s">
        <v>5221</v>
      </c>
      <c r="S74" s="1192" t="s">
        <v>5476</v>
      </c>
      <c r="T74" s="1150">
        <f>IFERROR(VLOOKUP(S74,'TAB EMP'!A:B,2,0),0)</f>
        <v>177</v>
      </c>
      <c r="U74" s="1151">
        <v>0</v>
      </c>
      <c r="V74" s="1150">
        <f t="shared" si="100"/>
        <v>177</v>
      </c>
      <c r="W74" s="1151">
        <f t="shared" si="101"/>
        <v>88.5</v>
      </c>
      <c r="X74" s="1180" t="s">
        <v>2884</v>
      </c>
      <c r="Y74" s="1180"/>
      <c r="Z74" s="1180">
        <v>0</v>
      </c>
      <c r="AA74" s="1150">
        <f>ROUND(IF(H74&lt;&gt;"",VLOOKUP(SUM(I74+J74),'CONCEPTOS Y PARAMETROS'!F:G,2,0)*V74,0),2)</f>
        <v>53.1</v>
      </c>
      <c r="AB74" s="1150">
        <f>IF(S74&lt;&gt;"",IF(M74="",'CONCEPTOS Y PARAMETROS'!$C$4,0),0)</f>
        <v>130</v>
      </c>
      <c r="AC74" s="1150">
        <f>IF(S74&lt;&gt;"",IF(M74="",'CONCEPTOS Y PARAMETROS'!$C$7*Z74,0),0)</f>
        <v>0</v>
      </c>
      <c r="AD74" s="1150">
        <f>IFERROR(ROUND(VLOOKUP($X74,'CONCEPTOS Y PARAMETROS'!H:I,2,0)*($V74+AA74+AB74+AC74),2),0)</f>
        <v>0</v>
      </c>
      <c r="AE74" s="1150">
        <f t="shared" si="102"/>
        <v>183.1</v>
      </c>
      <c r="AF74" s="1150">
        <f t="shared" si="103"/>
        <v>26.55</v>
      </c>
      <c r="AG74" s="1150">
        <f t="shared" si="104"/>
        <v>26.55</v>
      </c>
      <c r="AH74" s="1150">
        <f t="shared" si="105"/>
        <v>65</v>
      </c>
      <c r="AI74" s="1150">
        <f t="shared" si="106"/>
        <v>65</v>
      </c>
      <c r="AJ74" s="1150">
        <f t="shared" si="107"/>
        <v>0</v>
      </c>
      <c r="AK74" s="1150">
        <f t="shared" si="108"/>
        <v>0</v>
      </c>
      <c r="AL74" s="1151">
        <f t="shared" si="109"/>
        <v>91.55</v>
      </c>
      <c r="AM74" s="1151">
        <f t="shared" si="110"/>
        <v>91.55</v>
      </c>
      <c r="AN74" s="1028">
        <v>0</v>
      </c>
      <c r="AO74" s="1193">
        <f>'CONCEPTOS Y PARAMETROS'!$C$18*AN74</f>
        <v>0</v>
      </c>
      <c r="AP74" s="1028">
        <v>0</v>
      </c>
      <c r="AQ74" s="1193">
        <f>'CONCEPTOS Y PARAMETROS'!$C$21*AP74</f>
        <v>0</v>
      </c>
      <c r="AR74" s="1394">
        <v>0</v>
      </c>
      <c r="AS74" s="1394">
        <v>0</v>
      </c>
      <c r="AT74" s="1394">
        <f t="shared" si="111"/>
        <v>0</v>
      </c>
      <c r="AU74" s="1151">
        <f t="shared" si="112"/>
        <v>468.13</v>
      </c>
      <c r="AV74" s="1178" t="s">
        <v>5080</v>
      </c>
      <c r="AW74" s="1151">
        <f t="shared" si="113"/>
        <v>108.03</v>
      </c>
      <c r="AX74" s="1150">
        <f>IF(T74&lt;&gt;"0",(ROUND(IF(A74="EMPLEADO",eval_formula('CONCEPTOS Y PARAMETROS'!$C$8,NOMINA!V74,NOMINA!$AU74,NOMINA!I74+NOMINA!J74),eval_formula('CONCEPTOS Y PARAMETROS'!$D$8,NOMINA!V74,NOMINA!$AU74,NOMINA!I74+NOMINA!J74)),2))*IF(H74&lt;&gt;"",IF(MONTH(H74)=$BR$8,IF(YEAR(H74)&lt;$BT$7,1,0),0)))</f>
        <v>0</v>
      </c>
      <c r="AY74" s="1151">
        <v>180</v>
      </c>
      <c r="AZ74" s="1150">
        <f>IFERROR(VLOOKUP(AY74,'CONCEPTOS Y PARAMETROS'!Y:Z,2,0),0)</f>
        <v>150</v>
      </c>
      <c r="BA74" s="1150">
        <f t="shared" si="114"/>
        <v>3510.98</v>
      </c>
      <c r="BB74" s="1150">
        <f t="shared" si="145"/>
        <v>0</v>
      </c>
      <c r="BC74" s="1028">
        <v>0</v>
      </c>
      <c r="BD74" s="1150" t="str">
        <f t="shared" si="115"/>
        <v>0</v>
      </c>
      <c r="BE74" s="1028">
        <v>3</v>
      </c>
      <c r="BF74" s="1150">
        <f t="shared" si="196"/>
        <v>70.22</v>
      </c>
      <c r="BG74" s="1151">
        <v>300</v>
      </c>
      <c r="BH74" s="1151">
        <f t="shared" si="117"/>
        <v>0</v>
      </c>
      <c r="BI74" s="1180">
        <v>0</v>
      </c>
      <c r="BJ74" s="1180">
        <f t="shared" si="118"/>
        <v>0</v>
      </c>
      <c r="BK74" s="1151">
        <v>0</v>
      </c>
      <c r="BL74" s="1150">
        <f t="shared" si="170"/>
        <v>17.28</v>
      </c>
      <c r="BM74" s="1150">
        <f t="shared" si="171"/>
        <v>2.16</v>
      </c>
      <c r="BN74" s="1150">
        <f t="shared" si="119"/>
        <v>4.68</v>
      </c>
      <c r="BO74" s="1150">
        <v>0</v>
      </c>
      <c r="BP74" s="1150">
        <v>0</v>
      </c>
      <c r="BQ74" s="1396">
        <f t="shared" si="120"/>
        <v>24.12</v>
      </c>
      <c r="BR74" s="1150">
        <f t="shared" si="172"/>
        <v>38.89</v>
      </c>
      <c r="BS74" s="1150">
        <f t="shared" si="173"/>
        <v>8.64</v>
      </c>
      <c r="BT74" s="1150">
        <f t="shared" si="121"/>
        <v>9.36</v>
      </c>
      <c r="BU74" s="1150">
        <v>0</v>
      </c>
      <c r="BV74" s="1151">
        <f t="shared" si="122"/>
        <v>56.89</v>
      </c>
      <c r="BW74" s="1155">
        <f t="shared" si="123"/>
        <v>81.010000000000005</v>
      </c>
      <c r="BX74" s="1155">
        <f t="shared" si="194"/>
        <v>877.75</v>
      </c>
      <c r="BY74" s="1151">
        <v>0</v>
      </c>
      <c r="BZ74" s="1151">
        <f t="shared" si="125"/>
        <v>877.75</v>
      </c>
      <c r="CA74" s="1397">
        <f>'CONCEPTOS Y PARAMETROS'!$A$102</f>
        <v>2120</v>
      </c>
      <c r="CB74" s="1155">
        <f t="shared" si="126"/>
        <v>155.93</v>
      </c>
      <c r="CC74" s="1156">
        <f t="shared" si="127"/>
        <v>658.3</v>
      </c>
      <c r="CD74" s="514"/>
      <c r="CE74" s="514"/>
      <c r="CF74" s="520"/>
      <c r="CG74" s="497">
        <f t="shared" si="128"/>
        <v>155.93</v>
      </c>
      <c r="CH74" s="1711">
        <f t="shared" si="129"/>
        <v>300</v>
      </c>
      <c r="CI74" s="497">
        <f t="shared" si="130"/>
        <v>480.05</v>
      </c>
      <c r="CJ74" s="497">
        <f t="shared" si="131"/>
        <v>480.05</v>
      </c>
      <c r="CK74" s="497">
        <f t="shared" si="132"/>
        <v>0</v>
      </c>
      <c r="CL74" s="497">
        <f t="shared" si="133"/>
        <v>0</v>
      </c>
      <c r="CM74" s="497">
        <f t="shared" si="134"/>
        <v>0</v>
      </c>
      <c r="CN74" s="498">
        <f t="shared" si="135"/>
        <v>70.22</v>
      </c>
      <c r="CO74" s="499">
        <v>0</v>
      </c>
      <c r="CP74" s="498">
        <f t="shared" si="136"/>
        <v>108.03</v>
      </c>
      <c r="CQ74" s="500">
        <f t="shared" si="137"/>
        <v>0</v>
      </c>
      <c r="CR74" s="498">
        <f t="shared" si="138"/>
        <v>0</v>
      </c>
      <c r="CS74" s="498">
        <f t="shared" si="139"/>
        <v>178.25</v>
      </c>
      <c r="CT74" s="498">
        <f t="shared" si="140"/>
        <v>81.010000000000005</v>
      </c>
      <c r="CU74" s="498">
        <f t="shared" si="141"/>
        <v>2120</v>
      </c>
      <c r="CV74" s="1554"/>
      <c r="CW74" s="1195" t="s">
        <v>6934</v>
      </c>
      <c r="CX74" s="1195" t="s">
        <v>7239</v>
      </c>
      <c r="CY74" s="472"/>
      <c r="CZ74" s="514" t="s">
        <v>6422</v>
      </c>
      <c r="DA74" s="514" t="s">
        <v>6423</v>
      </c>
      <c r="DB74" s="514" t="s">
        <v>6280</v>
      </c>
      <c r="DC74" s="514" t="s">
        <v>6644</v>
      </c>
      <c r="DD74" s="472"/>
      <c r="DE74" s="472"/>
      <c r="DF74" s="472"/>
      <c r="DG74" s="472"/>
      <c r="DH74" s="472"/>
      <c r="DJ74" s="473" t="str">
        <f>VLOOKUP(X74,Hoja1!$A$4:$B$10,2,0)</f>
        <v>BACHILLER</v>
      </c>
      <c r="DK74" s="473" t="str">
        <f>VLOOKUP(S74,Hoja1!$D$4:$F$77,3,0)</f>
        <v>BIII - VII</v>
      </c>
      <c r="DL74" s="1216" t="str">
        <f t="shared" si="142"/>
        <v>SI</v>
      </c>
      <c r="DM74" s="1741" t="str">
        <f t="shared" si="143"/>
        <v>M</v>
      </c>
      <c r="DN74" s="1741"/>
    </row>
    <row r="75" spans="1:118" s="1654" customFormat="1" ht="21.95" customHeight="1">
      <c r="A75" s="1624" t="s">
        <v>2846</v>
      </c>
      <c r="B75" s="1625">
        <f t="shared" ca="1" si="144"/>
        <v>33</v>
      </c>
      <c r="C75" s="1626">
        <v>10319457</v>
      </c>
      <c r="D75" s="1627" t="s">
        <v>4718</v>
      </c>
      <c r="E75" s="1628" t="s">
        <v>4622</v>
      </c>
      <c r="F75" s="1629">
        <v>26255</v>
      </c>
      <c r="G75" s="1628" t="s">
        <v>4620</v>
      </c>
      <c r="H75" s="1629">
        <v>38831</v>
      </c>
      <c r="I75" s="1630">
        <f t="shared" si="98"/>
        <v>18</v>
      </c>
      <c r="J75" s="1631">
        <v>0</v>
      </c>
      <c r="K75" s="1630">
        <f t="shared" si="99"/>
        <v>18</v>
      </c>
      <c r="L75" s="1632" t="s">
        <v>5549</v>
      </c>
      <c r="M75" s="1631"/>
      <c r="N75" s="1631"/>
      <c r="O75" s="1633" t="s">
        <v>7421</v>
      </c>
      <c r="P75" s="1631" t="s">
        <v>5301</v>
      </c>
      <c r="Q75" s="1634" t="str">
        <f>IFERROR(VLOOKUP(O75,CARGOS!A:E,2,0),"")</f>
        <v>24343</v>
      </c>
      <c r="R75" s="1635" t="s">
        <v>7420</v>
      </c>
      <c r="S75" s="1636" t="s">
        <v>5476</v>
      </c>
      <c r="T75" s="1637">
        <f>IFERROR(VLOOKUP(S75,'TAB EMP'!A:B,2,0),0)</f>
        <v>177</v>
      </c>
      <c r="U75" s="1638">
        <v>0</v>
      </c>
      <c r="V75" s="1637">
        <f t="shared" si="100"/>
        <v>177</v>
      </c>
      <c r="W75" s="1638">
        <f t="shared" si="101"/>
        <v>88.5</v>
      </c>
      <c r="X75" s="1628" t="s">
        <v>2884</v>
      </c>
      <c r="Y75" s="1628"/>
      <c r="Z75" s="1628">
        <v>1</v>
      </c>
      <c r="AA75" s="1637">
        <f>ROUND(IF(H75&lt;&gt;"",VLOOKUP(SUM(I75+J75),'CONCEPTOS Y PARAMETROS'!F:G,2,0)*V75,0),2)</f>
        <v>40.36</v>
      </c>
      <c r="AB75" s="1637">
        <f>IF(S75&lt;&gt;"",IF(M75="",'CONCEPTOS Y PARAMETROS'!$C$4,0),0)</f>
        <v>130</v>
      </c>
      <c r="AC75" s="1637">
        <f>IF(S75&lt;&gt;"",IF(M75="",'CONCEPTOS Y PARAMETROS'!$C$7*Z75,0),0)</f>
        <v>12.5</v>
      </c>
      <c r="AD75" s="1637">
        <f>IFERROR(ROUND(VLOOKUP($X75,'CONCEPTOS Y PARAMETROS'!H:I,2,0)*($V75+AA75+AB75+AC75),2),0)</f>
        <v>0</v>
      </c>
      <c r="AE75" s="1637">
        <f t="shared" si="102"/>
        <v>182.86</v>
      </c>
      <c r="AF75" s="1637">
        <f t="shared" si="103"/>
        <v>20.18</v>
      </c>
      <c r="AG75" s="1637">
        <f t="shared" si="104"/>
        <v>20.18</v>
      </c>
      <c r="AH75" s="1637">
        <f t="shared" si="105"/>
        <v>65</v>
      </c>
      <c r="AI75" s="1637">
        <f t="shared" si="106"/>
        <v>65</v>
      </c>
      <c r="AJ75" s="1637">
        <f t="shared" si="107"/>
        <v>0</v>
      </c>
      <c r="AK75" s="1637">
        <f t="shared" si="108"/>
        <v>0</v>
      </c>
      <c r="AL75" s="1638">
        <f t="shared" si="109"/>
        <v>97.68</v>
      </c>
      <c r="AM75" s="1638">
        <f t="shared" si="110"/>
        <v>85.18</v>
      </c>
      <c r="AN75" s="1639">
        <v>0</v>
      </c>
      <c r="AO75" s="1640">
        <f>'CONCEPTOS Y PARAMETROS'!$C$18*AN75</f>
        <v>0</v>
      </c>
      <c r="AP75" s="1639">
        <v>0</v>
      </c>
      <c r="AQ75" s="1640">
        <f>'CONCEPTOS Y PARAMETROS'!$C$21*AP75</f>
        <v>0</v>
      </c>
      <c r="AR75" s="1641">
        <v>0</v>
      </c>
      <c r="AS75" s="1641">
        <v>0</v>
      </c>
      <c r="AT75" s="1641">
        <f t="shared" si="111"/>
        <v>0</v>
      </c>
      <c r="AU75" s="1638">
        <f t="shared" si="112"/>
        <v>359.86</v>
      </c>
      <c r="AV75" s="1642">
        <v>0</v>
      </c>
      <c r="AW75" s="1638">
        <f t="shared" si="113"/>
        <v>0</v>
      </c>
      <c r="AX75" s="1637">
        <f>IF(T75&lt;&gt;"0",(ROUND(IF(A75="EMPLEADO",eval_formula('CONCEPTOS Y PARAMETROS'!$C$8,NOMINA!V75,NOMINA!$AU75,NOMINA!I75+NOMINA!J75),eval_formula('CONCEPTOS Y PARAMETROS'!$D$8,NOMINA!V75,NOMINA!$AU75,NOMINA!I75+NOMINA!J75)),2))*IF(H75&lt;&gt;"",IF(MONTH(H75)=$BR$8,IF(YEAR(H75)&lt;$BT$7,1,0),0)))</f>
        <v>0</v>
      </c>
      <c r="AY75" s="1638">
        <v>180</v>
      </c>
      <c r="AZ75" s="1637">
        <f>IFERROR(VLOOKUP(AY75,'CONCEPTOS Y PARAMETROS'!Y:Z,2,0),0)</f>
        <v>150</v>
      </c>
      <c r="BA75" s="1637">
        <f t="shared" si="114"/>
        <v>2698.95</v>
      </c>
      <c r="BB75" s="1637">
        <f t="shared" si="145"/>
        <v>0</v>
      </c>
      <c r="BC75" s="1639">
        <v>0</v>
      </c>
      <c r="BD75" s="1637" t="str">
        <f t="shared" si="115"/>
        <v>0</v>
      </c>
      <c r="BE75" s="1639">
        <v>0</v>
      </c>
      <c r="BF75" s="1637">
        <f t="shared" si="196"/>
        <v>0</v>
      </c>
      <c r="BG75" s="1638">
        <v>300</v>
      </c>
      <c r="BH75" s="1638">
        <f t="shared" si="117"/>
        <v>0</v>
      </c>
      <c r="BI75" s="1628">
        <v>0</v>
      </c>
      <c r="BJ75" s="1628">
        <f t="shared" si="118"/>
        <v>0</v>
      </c>
      <c r="BK75" s="1638">
        <v>0</v>
      </c>
      <c r="BL75" s="1637">
        <f t="shared" si="170"/>
        <v>13.29</v>
      </c>
      <c r="BM75" s="1637">
        <f t="shared" si="171"/>
        <v>1.66</v>
      </c>
      <c r="BN75" s="1637">
        <f t="shared" si="119"/>
        <v>3.6</v>
      </c>
      <c r="BO75" s="1637">
        <v>0</v>
      </c>
      <c r="BP75" s="1637">
        <v>0</v>
      </c>
      <c r="BQ75" s="1643">
        <f t="shared" si="120"/>
        <v>18.55</v>
      </c>
      <c r="BR75" s="1637">
        <f t="shared" si="172"/>
        <v>29.9</v>
      </c>
      <c r="BS75" s="1637">
        <f t="shared" si="173"/>
        <v>6.64</v>
      </c>
      <c r="BT75" s="1637">
        <f t="shared" si="121"/>
        <v>7.2</v>
      </c>
      <c r="BU75" s="1637">
        <v>0</v>
      </c>
      <c r="BV75" s="1638">
        <f t="shared" si="122"/>
        <v>43.74</v>
      </c>
      <c r="BW75" s="1644">
        <f t="shared" si="123"/>
        <v>62.290000000000006</v>
      </c>
      <c r="BX75" s="1644">
        <f t="shared" si="194"/>
        <v>674.74</v>
      </c>
      <c r="BY75" s="1638">
        <v>0</v>
      </c>
      <c r="BZ75" s="1638">
        <f t="shared" si="125"/>
        <v>674.74</v>
      </c>
      <c r="CA75" s="1645">
        <f>'CONCEPTOS Y PARAMETROS'!$A$102</f>
        <v>2120</v>
      </c>
      <c r="CB75" s="1644">
        <f t="shared" si="126"/>
        <v>167.63</v>
      </c>
      <c r="CC75" s="1646">
        <f t="shared" si="127"/>
        <v>473.68</v>
      </c>
      <c r="CD75" s="1647"/>
      <c r="CE75" s="1647"/>
      <c r="CF75" s="1648"/>
      <c r="CG75" s="1649">
        <f t="shared" si="128"/>
        <v>167.63</v>
      </c>
      <c r="CH75" s="1713">
        <f t="shared" si="129"/>
        <v>300</v>
      </c>
      <c r="CI75" s="1649">
        <f t="shared" si="130"/>
        <v>473.68</v>
      </c>
      <c r="CJ75" s="1649">
        <f t="shared" si="131"/>
        <v>473.68</v>
      </c>
      <c r="CK75" s="1649">
        <f t="shared" si="132"/>
        <v>0</v>
      </c>
      <c r="CL75" s="1649">
        <f t="shared" si="133"/>
        <v>0</v>
      </c>
      <c r="CM75" s="1649">
        <f t="shared" si="134"/>
        <v>0</v>
      </c>
      <c r="CN75" s="1650">
        <f t="shared" si="135"/>
        <v>0</v>
      </c>
      <c r="CO75" s="1651">
        <v>0</v>
      </c>
      <c r="CP75" s="1650">
        <f t="shared" si="136"/>
        <v>0</v>
      </c>
      <c r="CQ75" s="1652">
        <f t="shared" si="137"/>
        <v>0</v>
      </c>
      <c r="CR75" s="1650">
        <f t="shared" si="138"/>
        <v>0</v>
      </c>
      <c r="CS75" s="1650">
        <f t="shared" si="139"/>
        <v>0</v>
      </c>
      <c r="CT75" s="1650">
        <f t="shared" si="140"/>
        <v>62.290000000000006</v>
      </c>
      <c r="CU75" s="1650">
        <f t="shared" si="141"/>
        <v>2120</v>
      </c>
      <c r="CV75" s="1653"/>
      <c r="CW75" s="1627" t="s">
        <v>7195</v>
      </c>
      <c r="CX75" s="1627" t="s">
        <v>7240</v>
      </c>
      <c r="CY75" s="1647"/>
      <c r="CZ75" s="1647" t="s">
        <v>6424</v>
      </c>
      <c r="DA75" s="1647" t="s">
        <v>6181</v>
      </c>
      <c r="DB75" s="1657" t="s">
        <v>6180</v>
      </c>
      <c r="DC75" s="1647" t="s">
        <v>6425</v>
      </c>
      <c r="DD75" s="1647"/>
      <c r="DE75" s="1647"/>
      <c r="DF75" s="1647"/>
      <c r="DG75" s="1647"/>
      <c r="DH75" s="1647"/>
      <c r="DJ75" s="1654" t="str">
        <f>VLOOKUP(X75,Hoja1!$A$4:$B$10,2,0)</f>
        <v>BACHILLER</v>
      </c>
      <c r="DK75" s="1654" t="str">
        <f>VLOOKUP(S75,Hoja1!$D$4:$F$77,3,0)</f>
        <v>BIII - VII</v>
      </c>
      <c r="DL75" s="1687" t="str">
        <f t="shared" si="142"/>
        <v>0</v>
      </c>
      <c r="DM75" s="1742" t="str">
        <f t="shared" si="143"/>
        <v>F</v>
      </c>
      <c r="DN75" s="1742"/>
    </row>
    <row r="76" spans="1:118" s="1654" customFormat="1" ht="21.95" customHeight="1">
      <c r="A76" s="1624" t="s">
        <v>2846</v>
      </c>
      <c r="B76" s="1625">
        <f t="shared" ca="1" si="144"/>
        <v>34</v>
      </c>
      <c r="C76" s="1626">
        <v>10396379</v>
      </c>
      <c r="D76" s="1627" t="s">
        <v>4719</v>
      </c>
      <c r="E76" s="1628" t="s">
        <v>4622</v>
      </c>
      <c r="F76" s="1629">
        <v>25168</v>
      </c>
      <c r="G76" s="1628" t="s">
        <v>4621</v>
      </c>
      <c r="H76" s="1629">
        <v>44743</v>
      </c>
      <c r="I76" s="1630">
        <f t="shared" si="98"/>
        <v>2</v>
      </c>
      <c r="J76" s="1631">
        <v>0</v>
      </c>
      <c r="K76" s="1630">
        <f t="shared" si="99"/>
        <v>2</v>
      </c>
      <c r="L76" s="1632" t="s">
        <v>5544</v>
      </c>
      <c r="M76" s="1631"/>
      <c r="N76" s="1631"/>
      <c r="O76" s="1633" t="s">
        <v>4956</v>
      </c>
      <c r="P76" s="1631" t="s">
        <v>5302</v>
      </c>
      <c r="Q76" s="1634" t="str">
        <f>IFERROR(VLOOKUP(O76,CARGOS!A:E,2,0),"")</f>
        <v>34232</v>
      </c>
      <c r="R76" s="1635" t="s">
        <v>5270</v>
      </c>
      <c r="S76" s="1636" t="s">
        <v>5483</v>
      </c>
      <c r="T76" s="1637">
        <f>IFERROR(VLOOKUP(S76,'TAB EMP'!A:B,2,0),0)</f>
        <v>130</v>
      </c>
      <c r="U76" s="1638">
        <v>0</v>
      </c>
      <c r="V76" s="1637">
        <f t="shared" si="100"/>
        <v>130</v>
      </c>
      <c r="W76" s="1638">
        <f t="shared" si="101"/>
        <v>65</v>
      </c>
      <c r="X76" s="1628" t="s">
        <v>2884</v>
      </c>
      <c r="Y76" s="1628"/>
      <c r="Z76" s="1628">
        <v>0</v>
      </c>
      <c r="AA76" s="1637">
        <f>ROUND(IF(H76&lt;&gt;"",VLOOKUP(SUM(I76+J76),'CONCEPTOS Y PARAMETROS'!F:G,2,0)*V76,0),2)</f>
        <v>2.6</v>
      </c>
      <c r="AB76" s="1637">
        <f>IF(S76&lt;&gt;"",IF(M76="",'CONCEPTOS Y PARAMETROS'!$C$4,0),0)</f>
        <v>130</v>
      </c>
      <c r="AC76" s="1637">
        <f>IF(S76&lt;&gt;"",IF(M76="",'CONCEPTOS Y PARAMETROS'!$C$7*Z76,0),0)</f>
        <v>0</v>
      </c>
      <c r="AD76" s="1637">
        <f>IFERROR(ROUND(VLOOKUP($X76,'CONCEPTOS Y PARAMETROS'!H:I,2,0)*($V76+AA76+AB76+AC76),2),0)</f>
        <v>0</v>
      </c>
      <c r="AE76" s="1637">
        <f t="shared" si="102"/>
        <v>132.6</v>
      </c>
      <c r="AF76" s="1637">
        <f t="shared" si="103"/>
        <v>1.3</v>
      </c>
      <c r="AG76" s="1637">
        <f t="shared" si="104"/>
        <v>1.3</v>
      </c>
      <c r="AH76" s="1637">
        <f t="shared" si="105"/>
        <v>65</v>
      </c>
      <c r="AI76" s="1637">
        <f t="shared" si="106"/>
        <v>65</v>
      </c>
      <c r="AJ76" s="1637">
        <f t="shared" si="107"/>
        <v>0</v>
      </c>
      <c r="AK76" s="1637">
        <f t="shared" si="108"/>
        <v>0</v>
      </c>
      <c r="AL76" s="1638">
        <f t="shared" si="109"/>
        <v>66.3</v>
      </c>
      <c r="AM76" s="1638">
        <f t="shared" si="110"/>
        <v>66.3</v>
      </c>
      <c r="AN76" s="1639">
        <v>0</v>
      </c>
      <c r="AO76" s="1640">
        <f>'CONCEPTOS Y PARAMETROS'!$C$18*AN76</f>
        <v>0</v>
      </c>
      <c r="AP76" s="1639">
        <v>0</v>
      </c>
      <c r="AQ76" s="1640">
        <f>'CONCEPTOS Y PARAMETROS'!$C$21*AP76</f>
        <v>0</v>
      </c>
      <c r="AR76" s="1641">
        <v>0</v>
      </c>
      <c r="AS76" s="1641">
        <v>0</v>
      </c>
      <c r="AT76" s="1641">
        <f t="shared" si="111"/>
        <v>0</v>
      </c>
      <c r="AU76" s="1638">
        <f t="shared" si="112"/>
        <v>262.60000000000002</v>
      </c>
      <c r="AV76" s="1642">
        <v>0</v>
      </c>
      <c r="AW76" s="1638">
        <f t="shared" si="113"/>
        <v>0</v>
      </c>
      <c r="AX76" s="1637">
        <f>IF(T76&lt;&gt;"0",(ROUND(IF(A76="EMPLEADO",eval_formula('CONCEPTOS Y PARAMETROS'!$C$8,NOMINA!V76,NOMINA!$AU76,NOMINA!I76+NOMINA!J76),eval_formula('CONCEPTOS Y PARAMETROS'!$D$8,NOMINA!V76,NOMINA!$AU76,NOMINA!I76+NOMINA!J76)),2))*IF(H76&lt;&gt;"",IF(MONTH(H76)=$BR$8,IF(YEAR(H76)&lt;$BT$7,1,0),0)))</f>
        <v>0</v>
      </c>
      <c r="AY76" s="1638">
        <v>180</v>
      </c>
      <c r="AZ76" s="1637">
        <f>IFERROR(VLOOKUP(AY76,'CONCEPTOS Y PARAMETROS'!Y:Z,2,0),0)</f>
        <v>150</v>
      </c>
      <c r="BA76" s="1637">
        <f t="shared" si="114"/>
        <v>1969.5</v>
      </c>
      <c r="BB76" s="1637">
        <f t="shared" si="145"/>
        <v>0</v>
      </c>
      <c r="BC76" s="1639">
        <v>0</v>
      </c>
      <c r="BD76" s="1637" t="str">
        <f t="shared" si="115"/>
        <v>0</v>
      </c>
      <c r="BE76" s="1639">
        <v>0</v>
      </c>
      <c r="BF76" s="1637">
        <f t="shared" si="196"/>
        <v>0</v>
      </c>
      <c r="BG76" s="1638">
        <v>300</v>
      </c>
      <c r="BH76" s="1638">
        <f t="shared" si="117"/>
        <v>0</v>
      </c>
      <c r="BI76" s="1628">
        <v>0</v>
      </c>
      <c r="BJ76" s="1628">
        <f t="shared" si="118"/>
        <v>0</v>
      </c>
      <c r="BK76" s="1638">
        <v>0</v>
      </c>
      <c r="BL76" s="1637">
        <f t="shared" si="170"/>
        <v>9.6999999999999993</v>
      </c>
      <c r="BM76" s="1637">
        <f t="shared" si="171"/>
        <v>1.21</v>
      </c>
      <c r="BN76" s="1637">
        <f t="shared" si="119"/>
        <v>2.63</v>
      </c>
      <c r="BO76" s="1637">
        <v>0</v>
      </c>
      <c r="BP76" s="1637">
        <v>0</v>
      </c>
      <c r="BQ76" s="1643">
        <f t="shared" si="120"/>
        <v>13.54</v>
      </c>
      <c r="BR76" s="1637">
        <f t="shared" si="172"/>
        <v>21.82</v>
      </c>
      <c r="BS76" s="1637">
        <f t="shared" si="173"/>
        <v>4.8499999999999996</v>
      </c>
      <c r="BT76" s="1637">
        <f t="shared" si="121"/>
        <v>5.26</v>
      </c>
      <c r="BU76" s="1637">
        <v>0</v>
      </c>
      <c r="BV76" s="1638">
        <f t="shared" si="122"/>
        <v>31.93</v>
      </c>
      <c r="BW76" s="1644">
        <f t="shared" si="123"/>
        <v>45.47</v>
      </c>
      <c r="BX76" s="1644">
        <f t="shared" si="194"/>
        <v>492.38</v>
      </c>
      <c r="BY76" s="1638">
        <v>0</v>
      </c>
      <c r="BZ76" s="1638">
        <f t="shared" si="125"/>
        <v>492.38</v>
      </c>
      <c r="CA76" s="1645">
        <f>'CONCEPTOS Y PARAMETROS'!$A$102</f>
        <v>2120</v>
      </c>
      <c r="CB76" s="1644">
        <f t="shared" si="126"/>
        <v>117.76000000000002</v>
      </c>
      <c r="CC76" s="1646">
        <f t="shared" si="127"/>
        <v>431.3</v>
      </c>
      <c r="CD76" s="1647"/>
      <c r="CE76" s="1647"/>
      <c r="CF76" s="1648"/>
      <c r="CG76" s="1649">
        <f t="shared" si="128"/>
        <v>117.76000000000002</v>
      </c>
      <c r="CH76" s="1713">
        <f t="shared" si="129"/>
        <v>300</v>
      </c>
      <c r="CI76" s="1649">
        <f t="shared" si="130"/>
        <v>431.3</v>
      </c>
      <c r="CJ76" s="1649">
        <f t="shared" si="131"/>
        <v>431.3</v>
      </c>
      <c r="CK76" s="1649">
        <f t="shared" si="132"/>
        <v>0</v>
      </c>
      <c r="CL76" s="1649">
        <f t="shared" si="133"/>
        <v>0</v>
      </c>
      <c r="CM76" s="1649">
        <f t="shared" si="134"/>
        <v>0</v>
      </c>
      <c r="CN76" s="1650">
        <f t="shared" si="135"/>
        <v>0</v>
      </c>
      <c r="CO76" s="1651">
        <v>0</v>
      </c>
      <c r="CP76" s="1650">
        <f t="shared" si="136"/>
        <v>0</v>
      </c>
      <c r="CQ76" s="1652">
        <f t="shared" si="137"/>
        <v>0</v>
      </c>
      <c r="CR76" s="1650">
        <f t="shared" si="138"/>
        <v>0</v>
      </c>
      <c r="CS76" s="1650">
        <f t="shared" si="139"/>
        <v>0</v>
      </c>
      <c r="CT76" s="1650">
        <f t="shared" si="140"/>
        <v>45.47</v>
      </c>
      <c r="CU76" s="1650">
        <f t="shared" si="141"/>
        <v>2120</v>
      </c>
      <c r="CV76" s="1653"/>
      <c r="CW76" s="1627" t="s">
        <v>6959</v>
      </c>
      <c r="CX76" s="1627" t="s">
        <v>7139</v>
      </c>
      <c r="CY76" s="1647"/>
      <c r="CZ76" s="1647" t="s">
        <v>6435</v>
      </c>
      <c r="DA76" s="1647" t="s">
        <v>6188</v>
      </c>
      <c r="DB76" s="1657" t="s">
        <v>6302</v>
      </c>
      <c r="DC76" s="1647" t="s">
        <v>6640</v>
      </c>
      <c r="DD76" s="1647"/>
      <c r="DE76" s="1647"/>
      <c r="DF76" s="1647"/>
      <c r="DG76" s="1647"/>
      <c r="DH76" s="1647"/>
      <c r="DJ76" s="1654" t="str">
        <f>VLOOKUP(X76,Hoja1!$A$4:$B$10,2,0)</f>
        <v>BACHILLER</v>
      </c>
      <c r="DK76" s="1654" t="str">
        <f>VLOOKUP(S76,Hoja1!$D$4:$F$77,3,0)</f>
        <v>BI</v>
      </c>
      <c r="DL76" s="1687" t="str">
        <f t="shared" si="142"/>
        <v>0</v>
      </c>
      <c r="DM76" s="1742" t="str">
        <f t="shared" si="143"/>
        <v>M</v>
      </c>
      <c r="DN76" s="1742"/>
    </row>
    <row r="77" spans="1:118" s="473" customFormat="1" ht="21.95" customHeight="1">
      <c r="A77" s="510" t="s">
        <v>2846</v>
      </c>
      <c r="B77" s="1390">
        <f t="shared" ca="1" si="144"/>
        <v>35</v>
      </c>
      <c r="C77" s="1194">
        <v>10398694</v>
      </c>
      <c r="D77" s="1195" t="s">
        <v>4721</v>
      </c>
      <c r="E77" s="1180" t="s">
        <v>4622</v>
      </c>
      <c r="F77" s="1196">
        <v>25913</v>
      </c>
      <c r="G77" s="1180" t="s">
        <v>4621</v>
      </c>
      <c r="H77" s="1196">
        <v>44743</v>
      </c>
      <c r="I77" s="1185">
        <f t="shared" si="98"/>
        <v>2</v>
      </c>
      <c r="J77" s="1177">
        <f>19+4</f>
        <v>23</v>
      </c>
      <c r="K77" s="1185">
        <f t="shared" si="99"/>
        <v>25</v>
      </c>
      <c r="L77" s="1191" t="s">
        <v>5561</v>
      </c>
      <c r="M77" s="1177"/>
      <c r="N77" s="1177"/>
      <c r="O77" s="1040" t="s">
        <v>5222</v>
      </c>
      <c r="P77" s="1177" t="s">
        <v>5303</v>
      </c>
      <c r="Q77" s="1391" t="str">
        <f>IFERROR(VLOOKUP(O77,CARGOS!A:E,2,0),"")</f>
        <v>79511</v>
      </c>
      <c r="R77" s="1403" t="s">
        <v>5222</v>
      </c>
      <c r="S77" s="1192" t="s">
        <v>5484</v>
      </c>
      <c r="T77" s="1150">
        <f>IFERROR(VLOOKUP(S77,'TAB EMP'!A:B,2,0),0)</f>
        <v>228</v>
      </c>
      <c r="U77" s="1151">
        <v>0</v>
      </c>
      <c r="V77" s="1150">
        <f t="shared" si="100"/>
        <v>228</v>
      </c>
      <c r="W77" s="1151">
        <f t="shared" si="101"/>
        <v>114</v>
      </c>
      <c r="X77" s="1180" t="s">
        <v>2844</v>
      </c>
      <c r="Y77" s="1180"/>
      <c r="Z77" s="1180">
        <v>0</v>
      </c>
      <c r="AA77" s="1150">
        <f>ROUND(IF(H77&lt;&gt;"",VLOOKUP(SUM(I77+J77),'CONCEPTOS Y PARAMETROS'!F:G,2,0)*V77,0),2)</f>
        <v>68.400000000000006</v>
      </c>
      <c r="AB77" s="1150">
        <f>IF(S77&lt;&gt;"",IF(M77="",'CONCEPTOS Y PARAMETROS'!$C$4,0),0)</f>
        <v>130</v>
      </c>
      <c r="AC77" s="1150">
        <f>IF(S77&lt;&gt;"",IF(M77="",'CONCEPTOS Y PARAMETROS'!$C$7*Z77,0),0)</f>
        <v>0</v>
      </c>
      <c r="AD77" s="1150">
        <f>IFERROR(ROUND(VLOOKUP($X77,'CONCEPTOS Y PARAMETROS'!H:I,2,0)*($V77+AA77+AB77+AC77),2),0)</f>
        <v>85.28</v>
      </c>
      <c r="AE77" s="1150">
        <f t="shared" si="102"/>
        <v>283.68</v>
      </c>
      <c r="AF77" s="1150">
        <f t="shared" si="103"/>
        <v>34.200000000000003</v>
      </c>
      <c r="AG77" s="1150">
        <f t="shared" si="104"/>
        <v>34.200000000000003</v>
      </c>
      <c r="AH77" s="1150">
        <f t="shared" si="105"/>
        <v>65</v>
      </c>
      <c r="AI77" s="1150">
        <f t="shared" si="106"/>
        <v>65</v>
      </c>
      <c r="AJ77" s="1150">
        <f t="shared" si="107"/>
        <v>42.64</v>
      </c>
      <c r="AK77" s="1150">
        <f t="shared" si="108"/>
        <v>42.64</v>
      </c>
      <c r="AL77" s="1151">
        <f t="shared" si="109"/>
        <v>141.84</v>
      </c>
      <c r="AM77" s="1151">
        <f t="shared" si="110"/>
        <v>141.84</v>
      </c>
      <c r="AN77" s="1028">
        <v>0</v>
      </c>
      <c r="AO77" s="1193">
        <f>'CONCEPTOS Y PARAMETROS'!$C$18*AN77</f>
        <v>0</v>
      </c>
      <c r="AP77" s="1028">
        <v>0</v>
      </c>
      <c r="AQ77" s="1193">
        <f>'CONCEPTOS Y PARAMETROS'!$C$21*AP77</f>
        <v>0</v>
      </c>
      <c r="AR77" s="1394">
        <v>0</v>
      </c>
      <c r="AS77" s="1394">
        <v>0</v>
      </c>
      <c r="AT77" s="1394">
        <f t="shared" ref="AT77:AT109" si="197">+AO77+AQ77+AR77+AS77</f>
        <v>0</v>
      </c>
      <c r="AU77" s="1151">
        <f t="shared" si="112"/>
        <v>665.18000000000006</v>
      </c>
      <c r="AV77" s="1178" t="s">
        <v>5080</v>
      </c>
      <c r="AW77" s="1151">
        <f t="shared" si="113"/>
        <v>153.5</v>
      </c>
      <c r="AX77" s="1150">
        <f>IF(T77&lt;&gt;"0",(ROUND(IF(A77="EMPLEADO",eval_formula('CONCEPTOS Y PARAMETROS'!$C$8,NOMINA!V77,NOMINA!$AU77,NOMINA!I77+NOMINA!J77),eval_formula('CONCEPTOS Y PARAMETROS'!$D$8,NOMINA!V77,NOMINA!$AU77,NOMINA!I77+NOMINA!J77)),2))*IF(H77&lt;&gt;"",IF(MONTH(H77)=$BR$8,IF(YEAR(H77)&lt;$BT$7,1,0),0)))</f>
        <v>0</v>
      </c>
      <c r="AY77" s="1151">
        <v>180</v>
      </c>
      <c r="AZ77" s="1150">
        <f>IFERROR(VLOOKUP(AY77,'CONCEPTOS Y PARAMETROS'!Y:Z,2,0),0)</f>
        <v>150</v>
      </c>
      <c r="BA77" s="1150">
        <f t="shared" si="114"/>
        <v>4988.8500000000004</v>
      </c>
      <c r="BB77" s="1150">
        <f t="shared" si="145"/>
        <v>0</v>
      </c>
      <c r="BC77" s="1028">
        <v>0</v>
      </c>
      <c r="BD77" s="1150" t="str">
        <f t="shared" si="115"/>
        <v>0</v>
      </c>
      <c r="BE77" s="1028">
        <v>3</v>
      </c>
      <c r="BF77" s="1150">
        <f t="shared" si="196"/>
        <v>99.78</v>
      </c>
      <c r="BG77" s="1151">
        <v>300</v>
      </c>
      <c r="BH77" s="1151">
        <f t="shared" si="117"/>
        <v>0</v>
      </c>
      <c r="BI77" s="1180">
        <v>0</v>
      </c>
      <c r="BJ77" s="1180">
        <f t="shared" si="118"/>
        <v>0</v>
      </c>
      <c r="BK77" s="1151">
        <v>0</v>
      </c>
      <c r="BL77" s="1150">
        <f t="shared" si="170"/>
        <v>24.56</v>
      </c>
      <c r="BM77" s="1150">
        <f t="shared" si="171"/>
        <v>3.07</v>
      </c>
      <c r="BN77" s="1150">
        <f t="shared" si="119"/>
        <v>6.65</v>
      </c>
      <c r="BO77" s="1150">
        <v>0</v>
      </c>
      <c r="BP77" s="1150">
        <v>0</v>
      </c>
      <c r="BQ77" s="1396">
        <f t="shared" si="120"/>
        <v>34.28</v>
      </c>
      <c r="BR77" s="1150">
        <f t="shared" si="172"/>
        <v>55.26</v>
      </c>
      <c r="BS77" s="1150">
        <f t="shared" si="173"/>
        <v>12.28</v>
      </c>
      <c r="BT77" s="1150">
        <f t="shared" si="121"/>
        <v>13.3</v>
      </c>
      <c r="BU77" s="1150">
        <v>0</v>
      </c>
      <c r="BV77" s="1151">
        <f t="shared" si="122"/>
        <v>80.84</v>
      </c>
      <c r="BW77" s="1155">
        <f t="shared" si="123"/>
        <v>115.12</v>
      </c>
      <c r="BX77" s="1155">
        <f t="shared" si="194"/>
        <v>1247.21</v>
      </c>
      <c r="BY77" s="1151">
        <v>0</v>
      </c>
      <c r="BZ77" s="1151">
        <f t="shared" si="125"/>
        <v>1247.21</v>
      </c>
      <c r="CA77" s="1397">
        <f>'CONCEPTOS Y PARAMETROS'!$A$102</f>
        <v>2120</v>
      </c>
      <c r="CB77" s="1155">
        <f t="shared" si="126"/>
        <v>221.56</v>
      </c>
      <c r="CC77" s="1156">
        <f t="shared" si="127"/>
        <v>809.12</v>
      </c>
      <c r="CD77" s="514"/>
      <c r="CE77" s="514"/>
      <c r="CF77" s="520"/>
      <c r="CG77" s="497">
        <f t="shared" si="128"/>
        <v>221.56</v>
      </c>
      <c r="CH77" s="1711">
        <f t="shared" si="129"/>
        <v>300</v>
      </c>
      <c r="CI77" s="497">
        <f t="shared" si="130"/>
        <v>555.84</v>
      </c>
      <c r="CJ77" s="497">
        <f t="shared" si="131"/>
        <v>555.84</v>
      </c>
      <c r="CK77" s="497">
        <f t="shared" si="132"/>
        <v>0</v>
      </c>
      <c r="CL77" s="497">
        <f t="shared" si="133"/>
        <v>0</v>
      </c>
      <c r="CM77" s="497">
        <f t="shared" si="134"/>
        <v>0</v>
      </c>
      <c r="CN77" s="498">
        <f t="shared" si="135"/>
        <v>99.78</v>
      </c>
      <c r="CO77" s="499">
        <v>0</v>
      </c>
      <c r="CP77" s="498">
        <f t="shared" si="136"/>
        <v>153.5</v>
      </c>
      <c r="CQ77" s="500">
        <f t="shared" si="137"/>
        <v>0</v>
      </c>
      <c r="CR77" s="498">
        <f t="shared" si="138"/>
        <v>0</v>
      </c>
      <c r="CS77" s="498">
        <f t="shared" si="139"/>
        <v>253.28</v>
      </c>
      <c r="CT77" s="498">
        <f t="shared" si="140"/>
        <v>115.12</v>
      </c>
      <c r="CU77" s="498">
        <f t="shared" si="141"/>
        <v>2120</v>
      </c>
      <c r="CV77" s="1554"/>
      <c r="CW77" s="1195" t="s">
        <v>7196</v>
      </c>
      <c r="CX77" s="1195" t="s">
        <v>6944</v>
      </c>
      <c r="CY77" s="472"/>
      <c r="CZ77" s="514" t="s">
        <v>6359</v>
      </c>
      <c r="DA77" s="1199" t="s">
        <v>6646</v>
      </c>
      <c r="DB77" s="514" t="s">
        <v>6237</v>
      </c>
      <c r="DC77" s="514" t="s">
        <v>6641</v>
      </c>
      <c r="DD77" s="472"/>
      <c r="DE77" s="472"/>
      <c r="DF77" s="472"/>
      <c r="DG77" s="472"/>
      <c r="DH77" s="472"/>
      <c r="DJ77" s="473" t="str">
        <f>VLOOKUP(X77,Hoja1!$A$4:$B$10,2,0)</f>
        <v>TÉCNICO SUPERIOR UNIVERSITARIO</v>
      </c>
      <c r="DK77" s="473" t="str">
        <f>VLOOKUP(S77,Hoja1!$D$4:$F$77,3,0)</f>
        <v>TII - VII</v>
      </c>
      <c r="DL77" s="1216" t="str">
        <f t="shared" si="142"/>
        <v>SI</v>
      </c>
      <c r="DM77" s="1741" t="str">
        <f t="shared" si="143"/>
        <v>M</v>
      </c>
      <c r="DN77" s="1741"/>
    </row>
    <row r="78" spans="1:118" s="473" customFormat="1" ht="21.95" customHeight="1">
      <c r="A78" s="510" t="s">
        <v>2846</v>
      </c>
      <c r="B78" s="1390">
        <f t="shared" ca="1" si="144"/>
        <v>36</v>
      </c>
      <c r="C78" s="1194">
        <v>10399064</v>
      </c>
      <c r="D78" s="1195" t="s">
        <v>4722</v>
      </c>
      <c r="E78" s="1180" t="s">
        <v>4622</v>
      </c>
      <c r="F78" s="1196">
        <v>25081</v>
      </c>
      <c r="G78" s="1180" t="s">
        <v>4620</v>
      </c>
      <c r="H78" s="1196">
        <v>39328</v>
      </c>
      <c r="I78" s="1185">
        <f t="shared" si="98"/>
        <v>17</v>
      </c>
      <c r="J78" s="1177">
        <v>0</v>
      </c>
      <c r="K78" s="1185">
        <f t="shared" si="99"/>
        <v>17</v>
      </c>
      <c r="L78" s="1191" t="s">
        <v>5542</v>
      </c>
      <c r="M78" s="1177"/>
      <c r="N78" s="1177"/>
      <c r="O78" s="1040" t="s">
        <v>5221</v>
      </c>
      <c r="P78" s="1177" t="s">
        <v>5304</v>
      </c>
      <c r="Q78" s="1391" t="str">
        <f>IFERROR(VLOOKUP(O78,CARGOS!A:E,2,0),"")</f>
        <v>79512</v>
      </c>
      <c r="R78" s="1403" t="s">
        <v>5221</v>
      </c>
      <c r="S78" s="1192" t="s">
        <v>5474</v>
      </c>
      <c r="T78" s="1150">
        <f>IFERROR(VLOOKUP(S78,'TAB EMP'!A:B,2,0),0)</f>
        <v>226</v>
      </c>
      <c r="U78" s="1151">
        <v>0</v>
      </c>
      <c r="V78" s="1150">
        <f t="shared" si="100"/>
        <v>226</v>
      </c>
      <c r="W78" s="1151">
        <f t="shared" si="101"/>
        <v>113</v>
      </c>
      <c r="X78" s="1180" t="s">
        <v>2844</v>
      </c>
      <c r="Y78" s="1180"/>
      <c r="Z78" s="1180">
        <v>0</v>
      </c>
      <c r="AA78" s="1150">
        <f>ROUND(IF(H78&lt;&gt;"",VLOOKUP(SUM(I78+J78),'CONCEPTOS Y PARAMETROS'!F:G,2,0)*V78,0),2)</f>
        <v>47.91</v>
      </c>
      <c r="AB78" s="1150">
        <f>IF(S78&lt;&gt;"",IF(M78="",'CONCEPTOS Y PARAMETROS'!$C$4,0),0)</f>
        <v>130</v>
      </c>
      <c r="AC78" s="1150">
        <f>IF(S78&lt;&gt;"",IF(M78="",'CONCEPTOS Y PARAMETROS'!$C$7*Z78,0),0)</f>
        <v>0</v>
      </c>
      <c r="AD78" s="1150">
        <f>IFERROR(ROUND(VLOOKUP($X78,'CONCEPTOS Y PARAMETROS'!H:I,2,0)*($V78+AA78+AB78+AC78),2),0)</f>
        <v>80.78</v>
      </c>
      <c r="AE78" s="1150">
        <f t="shared" si="102"/>
        <v>258.69</v>
      </c>
      <c r="AF78" s="1150">
        <f t="shared" si="103"/>
        <v>23.96</v>
      </c>
      <c r="AG78" s="1150">
        <f t="shared" si="104"/>
        <v>23.95</v>
      </c>
      <c r="AH78" s="1150">
        <f t="shared" si="105"/>
        <v>65</v>
      </c>
      <c r="AI78" s="1150">
        <f t="shared" si="106"/>
        <v>65</v>
      </c>
      <c r="AJ78" s="1150">
        <f t="shared" si="107"/>
        <v>40.39</v>
      </c>
      <c r="AK78" s="1150">
        <f t="shared" si="108"/>
        <v>40.39</v>
      </c>
      <c r="AL78" s="1151">
        <f t="shared" si="109"/>
        <v>129.35</v>
      </c>
      <c r="AM78" s="1151">
        <f t="shared" si="110"/>
        <v>129.34</v>
      </c>
      <c r="AN78" s="1028">
        <v>0</v>
      </c>
      <c r="AO78" s="1193">
        <f>'CONCEPTOS Y PARAMETROS'!$C$18*AN78</f>
        <v>0</v>
      </c>
      <c r="AP78" s="1028">
        <v>0</v>
      </c>
      <c r="AQ78" s="1193">
        <f>'CONCEPTOS Y PARAMETROS'!$C$21*AP78</f>
        <v>0</v>
      </c>
      <c r="AR78" s="1394">
        <v>0</v>
      </c>
      <c r="AS78" s="1394">
        <v>0</v>
      </c>
      <c r="AT78" s="1394">
        <f t="shared" si="197"/>
        <v>0</v>
      </c>
      <c r="AU78" s="1151">
        <f t="shared" si="112"/>
        <v>630.1</v>
      </c>
      <c r="AV78" s="1178" t="s">
        <v>5080</v>
      </c>
      <c r="AW78" s="1151">
        <f t="shared" ref="AW78:AW110" si="198">ROUND(IF(AV78="NOCTURN",(V78+AE78)*30%,0),2)</f>
        <v>145.41</v>
      </c>
      <c r="AX78" s="1150">
        <f>IF(T78&lt;&gt;"0",(ROUND(IF(A78="EMPLEADO",eval_formula('CONCEPTOS Y PARAMETROS'!$C$8,NOMINA!V78,NOMINA!$AU78,NOMINA!I78+NOMINA!J78),eval_formula('CONCEPTOS Y PARAMETROS'!$D$8,NOMINA!V78,NOMINA!$AU78,NOMINA!I78+NOMINA!J78)),2))*IF(H78&lt;&gt;"",IF(MONTH(H78)=$BR$8,IF(YEAR(H78)&lt;$BT$7,1,0),0)))</f>
        <v>0</v>
      </c>
      <c r="AY78" s="1151">
        <v>180</v>
      </c>
      <c r="AZ78" s="1150">
        <f>IFERROR(VLOOKUP(AY78,'CONCEPTOS Y PARAMETROS'!Y:Z,2,0),0)</f>
        <v>150</v>
      </c>
      <c r="BA78" s="1150">
        <f t="shared" si="114"/>
        <v>4725.75</v>
      </c>
      <c r="BB78" s="1150">
        <f t="shared" si="145"/>
        <v>0</v>
      </c>
      <c r="BC78" s="1028">
        <v>0</v>
      </c>
      <c r="BD78" s="1150" t="str">
        <f t="shared" si="115"/>
        <v>0</v>
      </c>
      <c r="BE78" s="1028">
        <v>3</v>
      </c>
      <c r="BF78" s="1150">
        <f t="shared" si="196"/>
        <v>94.52</v>
      </c>
      <c r="BG78" s="1151">
        <v>300</v>
      </c>
      <c r="BH78" s="1151">
        <f t="shared" si="117"/>
        <v>0</v>
      </c>
      <c r="BI78" s="1180">
        <v>0</v>
      </c>
      <c r="BJ78" s="1180">
        <f t="shared" si="118"/>
        <v>0</v>
      </c>
      <c r="BK78" s="1151">
        <v>0</v>
      </c>
      <c r="BL78" s="1150">
        <f t="shared" si="170"/>
        <v>23.27</v>
      </c>
      <c r="BM78" s="1150">
        <f t="shared" si="171"/>
        <v>2.91</v>
      </c>
      <c r="BN78" s="1150">
        <f t="shared" si="119"/>
        <v>6.3</v>
      </c>
      <c r="BO78" s="1150">
        <v>0</v>
      </c>
      <c r="BP78" s="1150">
        <v>0</v>
      </c>
      <c r="BQ78" s="1396">
        <f t="shared" si="120"/>
        <v>32.479999999999997</v>
      </c>
      <c r="BR78" s="1150">
        <f t="shared" si="172"/>
        <v>52.35</v>
      </c>
      <c r="BS78" s="1150">
        <f t="shared" si="173"/>
        <v>11.63</v>
      </c>
      <c r="BT78" s="1150">
        <f t="shared" si="121"/>
        <v>12.6</v>
      </c>
      <c r="BU78" s="1150">
        <v>0</v>
      </c>
      <c r="BV78" s="1151">
        <f t="shared" si="122"/>
        <v>76.58</v>
      </c>
      <c r="BW78" s="1155">
        <f t="shared" si="123"/>
        <v>109.06</v>
      </c>
      <c r="BX78" s="1155">
        <f t="shared" si="194"/>
        <v>1181.44</v>
      </c>
      <c r="BY78" s="1151">
        <v>0</v>
      </c>
      <c r="BZ78" s="1151">
        <f t="shared" si="125"/>
        <v>1181.44</v>
      </c>
      <c r="CA78" s="1397">
        <f>'CONCEPTOS Y PARAMETROS'!$A$102</f>
        <v>2120</v>
      </c>
      <c r="CB78" s="1155">
        <f t="shared" si="126"/>
        <v>209.87</v>
      </c>
      <c r="CC78" s="1156">
        <f t="shared" si="127"/>
        <v>782.27</v>
      </c>
      <c r="CD78" s="514"/>
      <c r="CE78" s="514"/>
      <c r="CF78" s="520"/>
      <c r="CG78" s="497">
        <f t="shared" si="128"/>
        <v>209.87</v>
      </c>
      <c r="CH78" s="1711">
        <f t="shared" si="129"/>
        <v>300</v>
      </c>
      <c r="CI78" s="497">
        <f t="shared" si="130"/>
        <v>542.34</v>
      </c>
      <c r="CJ78" s="497">
        <f t="shared" si="131"/>
        <v>542.34</v>
      </c>
      <c r="CK78" s="497">
        <f t="shared" si="132"/>
        <v>0</v>
      </c>
      <c r="CL78" s="497">
        <f t="shared" si="133"/>
        <v>0</v>
      </c>
      <c r="CM78" s="497">
        <f t="shared" si="134"/>
        <v>0</v>
      </c>
      <c r="CN78" s="498">
        <f t="shared" si="135"/>
        <v>94.52</v>
      </c>
      <c r="CO78" s="499">
        <v>0</v>
      </c>
      <c r="CP78" s="498">
        <f t="shared" si="136"/>
        <v>145.41</v>
      </c>
      <c r="CQ78" s="500">
        <f t="shared" si="137"/>
        <v>0</v>
      </c>
      <c r="CR78" s="498">
        <f t="shared" si="138"/>
        <v>0</v>
      </c>
      <c r="CS78" s="498">
        <f t="shared" si="139"/>
        <v>239.93</v>
      </c>
      <c r="CT78" s="498">
        <f t="shared" si="140"/>
        <v>109.06</v>
      </c>
      <c r="CU78" s="498">
        <f t="shared" si="141"/>
        <v>2120</v>
      </c>
      <c r="CV78" s="1554"/>
      <c r="CW78" s="1195" t="s">
        <v>7007</v>
      </c>
      <c r="CX78" s="1195" t="s">
        <v>7003</v>
      </c>
      <c r="CY78" s="472"/>
      <c r="CZ78" s="514" t="s">
        <v>6306</v>
      </c>
      <c r="DA78" s="514" t="s">
        <v>6171</v>
      </c>
      <c r="DB78" s="514" t="s">
        <v>6171</v>
      </c>
      <c r="DC78" s="514" t="s">
        <v>6307</v>
      </c>
      <c r="DD78" s="514"/>
      <c r="DE78" s="472"/>
      <c r="DF78" s="472"/>
      <c r="DG78" s="472"/>
      <c r="DH78" s="472"/>
      <c r="DJ78" s="473" t="str">
        <f>VLOOKUP(X78,Hoja1!$A$4:$B$10,2,0)</f>
        <v>TÉCNICO SUPERIOR UNIVERSITARIO</v>
      </c>
      <c r="DK78" s="473" t="str">
        <f>VLOOKUP(S78,Hoja1!$D$4:$F$77,3,0)</f>
        <v>TII - VI</v>
      </c>
      <c r="DL78" s="1216" t="str">
        <f t="shared" si="142"/>
        <v>SI</v>
      </c>
      <c r="DM78" s="1741" t="str">
        <f t="shared" si="143"/>
        <v>F</v>
      </c>
      <c r="DN78" s="1741"/>
    </row>
    <row r="79" spans="1:118" s="473" customFormat="1" ht="21.95" customHeight="1">
      <c r="A79" s="510" t="s">
        <v>2846</v>
      </c>
      <c r="B79" s="1390">
        <f t="shared" ca="1" si="144"/>
        <v>37</v>
      </c>
      <c r="C79" s="1194">
        <v>10400214</v>
      </c>
      <c r="D79" s="1195" t="s">
        <v>4723</v>
      </c>
      <c r="E79" s="1180" t="s">
        <v>4622</v>
      </c>
      <c r="F79" s="1196">
        <v>25947</v>
      </c>
      <c r="G79" s="1180" t="s">
        <v>4620</v>
      </c>
      <c r="H79" s="1196">
        <v>41153</v>
      </c>
      <c r="I79" s="1185">
        <f t="shared" si="98"/>
        <v>12</v>
      </c>
      <c r="J79" s="1177">
        <v>0</v>
      </c>
      <c r="K79" s="1185">
        <f t="shared" si="99"/>
        <v>12</v>
      </c>
      <c r="L79" s="1191" t="s">
        <v>5551</v>
      </c>
      <c r="M79" s="1177"/>
      <c r="N79" s="1177"/>
      <c r="O79" s="1040" t="s">
        <v>5221</v>
      </c>
      <c r="P79" s="1177" t="s">
        <v>5305</v>
      </c>
      <c r="Q79" s="1391" t="str">
        <f>IFERROR(VLOOKUP(O79,CARGOS!A:E,2,0),"")</f>
        <v>79512</v>
      </c>
      <c r="R79" s="1403" t="s">
        <v>5221</v>
      </c>
      <c r="S79" s="1192" t="s">
        <v>5472</v>
      </c>
      <c r="T79" s="1150">
        <f>IFERROR(VLOOKUP(S79,'TAB EMP'!A:B,2,0),0)</f>
        <v>225</v>
      </c>
      <c r="U79" s="1151">
        <v>0</v>
      </c>
      <c r="V79" s="1150">
        <f t="shared" si="100"/>
        <v>225</v>
      </c>
      <c r="W79" s="1151">
        <f t="shared" si="101"/>
        <v>112.5</v>
      </c>
      <c r="X79" s="1180" t="s">
        <v>2844</v>
      </c>
      <c r="Y79" s="1180"/>
      <c r="Z79" s="1180">
        <v>0</v>
      </c>
      <c r="AA79" s="1150">
        <f>ROUND(IF(H79&lt;&gt;"",VLOOKUP(SUM(I79+J79),'CONCEPTOS Y PARAMETROS'!F:G,2,0)*V79,0),2)</f>
        <v>31.05</v>
      </c>
      <c r="AB79" s="1150">
        <f>IF(S79&lt;&gt;"",IF(M79="",'CONCEPTOS Y PARAMETROS'!$C$4,0),0)</f>
        <v>130</v>
      </c>
      <c r="AC79" s="1150">
        <f>IF(S79&lt;&gt;"",IF(M79="",'CONCEPTOS Y PARAMETROS'!$C$7*Z79,0),0)</f>
        <v>0</v>
      </c>
      <c r="AD79" s="1150">
        <f>IFERROR(ROUND(VLOOKUP($X79,'CONCEPTOS Y PARAMETROS'!H:I,2,0)*($V79+AA79+AB79+AC79),2),0)</f>
        <v>77.209999999999994</v>
      </c>
      <c r="AE79" s="1150">
        <f t="shared" si="102"/>
        <v>238.26</v>
      </c>
      <c r="AF79" s="1150">
        <f t="shared" si="103"/>
        <v>15.53</v>
      </c>
      <c r="AG79" s="1150">
        <f t="shared" si="104"/>
        <v>15.52</v>
      </c>
      <c r="AH79" s="1150">
        <f t="shared" si="105"/>
        <v>65</v>
      </c>
      <c r="AI79" s="1150">
        <f t="shared" si="106"/>
        <v>65</v>
      </c>
      <c r="AJ79" s="1150">
        <f t="shared" si="107"/>
        <v>38.61</v>
      </c>
      <c r="AK79" s="1150">
        <f t="shared" si="108"/>
        <v>38.6</v>
      </c>
      <c r="AL79" s="1151">
        <f t="shared" si="109"/>
        <v>119.14</v>
      </c>
      <c r="AM79" s="1151">
        <f t="shared" si="110"/>
        <v>119.12</v>
      </c>
      <c r="AN79" s="1028">
        <v>0</v>
      </c>
      <c r="AO79" s="1193">
        <f>'CONCEPTOS Y PARAMETROS'!$C$18*AN79</f>
        <v>0</v>
      </c>
      <c r="AP79" s="1028">
        <v>0</v>
      </c>
      <c r="AQ79" s="1193">
        <f>'CONCEPTOS Y PARAMETROS'!$C$21*AP79</f>
        <v>0</v>
      </c>
      <c r="AR79" s="1394">
        <v>0</v>
      </c>
      <c r="AS79" s="1394">
        <v>0</v>
      </c>
      <c r="AT79" s="1394">
        <f t="shared" si="197"/>
        <v>0</v>
      </c>
      <c r="AU79" s="1151">
        <f t="shared" si="112"/>
        <v>602.24</v>
      </c>
      <c r="AV79" s="1178" t="s">
        <v>5080</v>
      </c>
      <c r="AW79" s="1151">
        <f t="shared" si="198"/>
        <v>138.97999999999999</v>
      </c>
      <c r="AX79" s="1150">
        <f>IF(T79&lt;&gt;"0",(ROUND(IF(A79="EMPLEADO",eval_formula('CONCEPTOS Y PARAMETROS'!$C$8,NOMINA!V79,NOMINA!$AU79,NOMINA!I79+NOMINA!J79),eval_formula('CONCEPTOS Y PARAMETROS'!$D$8,NOMINA!V79,NOMINA!$AU79,NOMINA!I79+NOMINA!J79)),2))*IF(H79&lt;&gt;"",IF(MONTH(H79)=$BR$8,IF(YEAR(H79)&lt;$BT$7,1,0),0)))</f>
        <v>0</v>
      </c>
      <c r="AY79" s="1151">
        <v>180</v>
      </c>
      <c r="AZ79" s="1150">
        <f>IFERROR(VLOOKUP(AY79,'CONCEPTOS Y PARAMETROS'!Y:Z,2,0),0)</f>
        <v>150</v>
      </c>
      <c r="BA79" s="1150">
        <f t="shared" si="114"/>
        <v>4516.8</v>
      </c>
      <c r="BB79" s="1150">
        <f t="shared" si="145"/>
        <v>0</v>
      </c>
      <c r="BC79" s="1028">
        <v>0</v>
      </c>
      <c r="BD79" s="1150" t="str">
        <f t="shared" si="115"/>
        <v>0</v>
      </c>
      <c r="BE79" s="1028">
        <v>0</v>
      </c>
      <c r="BF79" s="1150">
        <f t="shared" si="196"/>
        <v>0</v>
      </c>
      <c r="BG79" s="1151">
        <v>300</v>
      </c>
      <c r="BH79" s="1151">
        <f t="shared" si="117"/>
        <v>0</v>
      </c>
      <c r="BI79" s="1180">
        <v>0</v>
      </c>
      <c r="BJ79" s="1180">
        <f t="shared" si="118"/>
        <v>0</v>
      </c>
      <c r="BK79" s="1151">
        <v>0</v>
      </c>
      <c r="BL79" s="1150">
        <f t="shared" si="170"/>
        <v>22.24</v>
      </c>
      <c r="BM79" s="1150">
        <f t="shared" si="171"/>
        <v>2.78</v>
      </c>
      <c r="BN79" s="1150">
        <f t="shared" si="119"/>
        <v>6.02</v>
      </c>
      <c r="BO79" s="1150">
        <v>0</v>
      </c>
      <c r="BP79" s="1150">
        <v>0</v>
      </c>
      <c r="BQ79" s="1396">
        <f t="shared" si="120"/>
        <v>31.04</v>
      </c>
      <c r="BR79" s="1150">
        <f t="shared" si="172"/>
        <v>50.03</v>
      </c>
      <c r="BS79" s="1150">
        <f t="shared" si="173"/>
        <v>11.12</v>
      </c>
      <c r="BT79" s="1150">
        <f t="shared" si="121"/>
        <v>12.04</v>
      </c>
      <c r="BU79" s="1150">
        <v>0</v>
      </c>
      <c r="BV79" s="1151">
        <f t="shared" si="122"/>
        <v>73.19</v>
      </c>
      <c r="BW79" s="1155">
        <f t="shared" si="123"/>
        <v>104.22999999999999</v>
      </c>
      <c r="BX79" s="1155">
        <f t="shared" si="194"/>
        <v>1129.2</v>
      </c>
      <c r="BY79" s="1151">
        <v>0</v>
      </c>
      <c r="BZ79" s="1151">
        <f t="shared" si="125"/>
        <v>1129.2</v>
      </c>
      <c r="CA79" s="1397">
        <f>'CONCEPTOS Y PARAMETROS'!$A$102</f>
        <v>2120</v>
      </c>
      <c r="CB79" s="1155">
        <f t="shared" si="126"/>
        <v>200.6</v>
      </c>
      <c r="CC79" s="1156">
        <f t="shared" si="127"/>
        <v>670.6</v>
      </c>
      <c r="CD79" s="514"/>
      <c r="CE79" s="514"/>
      <c r="CF79" s="520"/>
      <c r="CG79" s="497">
        <f t="shared" si="128"/>
        <v>200.6</v>
      </c>
      <c r="CH79" s="1711">
        <f t="shared" si="129"/>
        <v>300</v>
      </c>
      <c r="CI79" s="497">
        <f t="shared" si="130"/>
        <v>531.62</v>
      </c>
      <c r="CJ79" s="497">
        <f t="shared" si="131"/>
        <v>531.62</v>
      </c>
      <c r="CK79" s="497">
        <f t="shared" si="132"/>
        <v>0</v>
      </c>
      <c r="CL79" s="497">
        <f t="shared" si="133"/>
        <v>0</v>
      </c>
      <c r="CM79" s="497">
        <f t="shared" si="134"/>
        <v>0</v>
      </c>
      <c r="CN79" s="498">
        <f t="shared" si="135"/>
        <v>0</v>
      </c>
      <c r="CO79" s="499">
        <v>0</v>
      </c>
      <c r="CP79" s="498">
        <f t="shared" si="136"/>
        <v>138.97999999999999</v>
      </c>
      <c r="CQ79" s="500">
        <f t="shared" si="137"/>
        <v>0</v>
      </c>
      <c r="CR79" s="498">
        <f t="shared" si="138"/>
        <v>0</v>
      </c>
      <c r="CS79" s="498">
        <f t="shared" si="139"/>
        <v>138.97999999999999</v>
      </c>
      <c r="CT79" s="498">
        <f t="shared" si="140"/>
        <v>104.22999999999999</v>
      </c>
      <c r="CU79" s="498">
        <f t="shared" si="141"/>
        <v>2120</v>
      </c>
      <c r="CV79" s="1554"/>
      <c r="CW79" s="1195" t="s">
        <v>6947</v>
      </c>
      <c r="CX79" s="1195" t="s">
        <v>7241</v>
      </c>
      <c r="CY79" s="472"/>
      <c r="CZ79" s="514" t="s">
        <v>6285</v>
      </c>
      <c r="DA79" s="514" t="s">
        <v>6175</v>
      </c>
      <c r="DB79" s="514" t="s">
        <v>6176</v>
      </c>
      <c r="DC79" s="514" t="s">
        <v>6416</v>
      </c>
      <c r="DD79" s="472"/>
      <c r="DE79" s="472"/>
      <c r="DF79" s="472"/>
      <c r="DG79" s="472"/>
      <c r="DH79" s="472"/>
      <c r="DJ79" s="473" t="str">
        <f>VLOOKUP(X79,Hoja1!$A$4:$B$10,2,0)</f>
        <v>TÉCNICO SUPERIOR UNIVERSITARIO</v>
      </c>
      <c r="DK79" s="473" t="str">
        <f>VLOOKUP(S79,Hoja1!$D$4:$F$77,3,0)</f>
        <v>TII - V</v>
      </c>
      <c r="DL79" s="1216" t="str">
        <f t="shared" si="142"/>
        <v>SI</v>
      </c>
      <c r="DM79" s="1741" t="str">
        <f t="shared" si="143"/>
        <v>F</v>
      </c>
      <c r="DN79" s="1741"/>
    </row>
    <row r="80" spans="1:118" s="478" customFormat="1" ht="21.95" customHeight="1">
      <c r="A80" s="510" t="s">
        <v>2846</v>
      </c>
      <c r="B80" s="1390">
        <f t="shared" ca="1" si="144"/>
        <v>38</v>
      </c>
      <c r="C80" s="1194">
        <v>10400365</v>
      </c>
      <c r="D80" s="1195" t="s">
        <v>4724</v>
      </c>
      <c r="E80" s="1180" t="s">
        <v>4622</v>
      </c>
      <c r="F80" s="1196">
        <v>26172</v>
      </c>
      <c r="G80" s="1180" t="s">
        <v>4620</v>
      </c>
      <c r="H80" s="1196">
        <v>39328</v>
      </c>
      <c r="I80" s="1185">
        <f t="shared" si="98"/>
        <v>17</v>
      </c>
      <c r="J80" s="1177">
        <v>0</v>
      </c>
      <c r="K80" s="1185">
        <f t="shared" si="99"/>
        <v>17</v>
      </c>
      <c r="L80" s="1191" t="s">
        <v>5551</v>
      </c>
      <c r="M80" s="1177"/>
      <c r="N80" s="1177"/>
      <c r="O80" s="1040" t="s">
        <v>5233</v>
      </c>
      <c r="P80" s="1177" t="s">
        <v>5306</v>
      </c>
      <c r="Q80" s="1391" t="str">
        <f>IFERROR(VLOOKUP(O80,CARGOS!A:E,2,0),"")</f>
        <v/>
      </c>
      <c r="R80" s="1403" t="s">
        <v>5233</v>
      </c>
      <c r="S80" s="1192" t="s">
        <v>5474</v>
      </c>
      <c r="T80" s="1150">
        <f>IFERROR(VLOOKUP(S80,'TAB EMP'!A:B,2,0),0)</f>
        <v>226</v>
      </c>
      <c r="U80" s="1151">
        <v>0</v>
      </c>
      <c r="V80" s="1150">
        <f t="shared" si="100"/>
        <v>226</v>
      </c>
      <c r="W80" s="1151">
        <f t="shared" si="101"/>
        <v>113</v>
      </c>
      <c r="X80" s="1180" t="s">
        <v>2844</v>
      </c>
      <c r="Y80" s="1180"/>
      <c r="Z80" s="1180">
        <v>0</v>
      </c>
      <c r="AA80" s="1150">
        <f>ROUND(IF(H80&lt;&gt;"",VLOOKUP(SUM(I80+J80),'CONCEPTOS Y PARAMETROS'!F:G,2,0)*V80,0),2)</f>
        <v>47.91</v>
      </c>
      <c r="AB80" s="1150">
        <f>IF(S80&lt;&gt;"",IF(M80="",'CONCEPTOS Y PARAMETROS'!$C$4,0),0)</f>
        <v>130</v>
      </c>
      <c r="AC80" s="1150">
        <f>IF(S80&lt;&gt;"",IF(M80="",'CONCEPTOS Y PARAMETROS'!$C$7*Z80,0),0)</f>
        <v>0</v>
      </c>
      <c r="AD80" s="1150">
        <f>IFERROR(ROUND(VLOOKUP($X80,'CONCEPTOS Y PARAMETROS'!H:I,2,0)*($V80+AA80+AB80+AC80),2),0)</f>
        <v>80.78</v>
      </c>
      <c r="AE80" s="1150">
        <f t="shared" si="102"/>
        <v>258.69</v>
      </c>
      <c r="AF80" s="1150">
        <f t="shared" si="103"/>
        <v>23.96</v>
      </c>
      <c r="AG80" s="1150">
        <f t="shared" si="104"/>
        <v>23.95</v>
      </c>
      <c r="AH80" s="1150">
        <f t="shared" si="105"/>
        <v>65</v>
      </c>
      <c r="AI80" s="1150">
        <f t="shared" si="106"/>
        <v>65</v>
      </c>
      <c r="AJ80" s="1150">
        <f t="shared" si="107"/>
        <v>40.39</v>
      </c>
      <c r="AK80" s="1150">
        <f t="shared" si="108"/>
        <v>40.39</v>
      </c>
      <c r="AL80" s="1151">
        <f t="shared" si="109"/>
        <v>129.35</v>
      </c>
      <c r="AM80" s="1151">
        <f t="shared" si="110"/>
        <v>129.34</v>
      </c>
      <c r="AN80" s="1028">
        <v>0</v>
      </c>
      <c r="AO80" s="1193">
        <f>'CONCEPTOS Y PARAMETROS'!$C$18*AN80</f>
        <v>0</v>
      </c>
      <c r="AP80" s="1028">
        <v>0</v>
      </c>
      <c r="AQ80" s="1193">
        <f>'CONCEPTOS Y PARAMETROS'!$C$21*AP80</f>
        <v>0</v>
      </c>
      <c r="AR80" s="1394">
        <v>0</v>
      </c>
      <c r="AS80" s="1394">
        <v>0</v>
      </c>
      <c r="AT80" s="1394">
        <f t="shared" si="197"/>
        <v>0</v>
      </c>
      <c r="AU80" s="1151">
        <f t="shared" si="112"/>
        <v>484.69</v>
      </c>
      <c r="AV80" s="1178">
        <v>0</v>
      </c>
      <c r="AW80" s="1151">
        <f t="shared" si="198"/>
        <v>0</v>
      </c>
      <c r="AX80" s="1150">
        <f>IF(T80&lt;&gt;"0",(ROUND(IF(A80="EMPLEADO",eval_formula('CONCEPTOS Y PARAMETROS'!$C$8,NOMINA!V80,NOMINA!$AU80,NOMINA!I80+NOMINA!J80),eval_formula('CONCEPTOS Y PARAMETROS'!$D$8,NOMINA!V80,NOMINA!$AU80,NOMINA!I80+NOMINA!J80)),2))*IF(H80&lt;&gt;"",IF(MONTH(H80)=$BR$8,IF(YEAR(H80)&lt;$BT$7,1,0),0)))</f>
        <v>0</v>
      </c>
      <c r="AY80" s="1151">
        <v>180</v>
      </c>
      <c r="AZ80" s="1150">
        <f>IFERROR(VLOOKUP(AY80,'CONCEPTOS Y PARAMETROS'!Y:Z,2,0),0)</f>
        <v>150</v>
      </c>
      <c r="BA80" s="1150">
        <f t="shared" si="114"/>
        <v>3635.18</v>
      </c>
      <c r="BB80" s="1150">
        <f t="shared" si="145"/>
        <v>0</v>
      </c>
      <c r="BC80" s="1028">
        <v>0</v>
      </c>
      <c r="BD80" s="1150" t="str">
        <f t="shared" si="115"/>
        <v>0</v>
      </c>
      <c r="BE80" s="1028">
        <v>0</v>
      </c>
      <c r="BF80" s="1150">
        <f t="shared" si="196"/>
        <v>0</v>
      </c>
      <c r="BG80" s="1151">
        <v>300</v>
      </c>
      <c r="BH80" s="1151">
        <f t="shared" si="117"/>
        <v>0</v>
      </c>
      <c r="BI80" s="1180">
        <v>0</v>
      </c>
      <c r="BJ80" s="1180">
        <f t="shared" si="118"/>
        <v>0</v>
      </c>
      <c r="BK80" s="1151">
        <v>0</v>
      </c>
      <c r="BL80" s="1150">
        <f t="shared" si="170"/>
        <v>17.899999999999999</v>
      </c>
      <c r="BM80" s="1150">
        <f t="shared" si="171"/>
        <v>2.2400000000000002</v>
      </c>
      <c r="BN80" s="1150">
        <f t="shared" si="119"/>
        <v>4.8499999999999996</v>
      </c>
      <c r="BO80" s="1150">
        <v>0</v>
      </c>
      <c r="BP80" s="1150">
        <v>0</v>
      </c>
      <c r="BQ80" s="1396">
        <f t="shared" si="120"/>
        <v>24.99</v>
      </c>
      <c r="BR80" s="1150">
        <f t="shared" si="172"/>
        <v>40.270000000000003</v>
      </c>
      <c r="BS80" s="1150">
        <f t="shared" si="173"/>
        <v>8.9499999999999993</v>
      </c>
      <c r="BT80" s="1150">
        <f t="shared" si="121"/>
        <v>9.6999999999999993</v>
      </c>
      <c r="BU80" s="1150">
        <v>0</v>
      </c>
      <c r="BV80" s="1151">
        <f t="shared" si="122"/>
        <v>58.92</v>
      </c>
      <c r="BW80" s="1155">
        <f t="shared" si="123"/>
        <v>83.91</v>
      </c>
      <c r="BX80" s="1155">
        <f t="shared" si="194"/>
        <v>908.8</v>
      </c>
      <c r="BY80" s="1151">
        <v>0</v>
      </c>
      <c r="BZ80" s="1151">
        <f t="shared" si="125"/>
        <v>908.8</v>
      </c>
      <c r="CA80" s="1397">
        <f>'CONCEPTOS Y PARAMETROS'!$A$102</f>
        <v>2120</v>
      </c>
      <c r="CB80" s="1155">
        <f t="shared" si="126"/>
        <v>217.35999999999999</v>
      </c>
      <c r="CC80" s="1156">
        <f t="shared" si="127"/>
        <v>542.34</v>
      </c>
      <c r="CD80" s="514"/>
      <c r="CE80" s="514"/>
      <c r="CF80" s="520"/>
      <c r="CG80" s="497">
        <f t="shared" si="128"/>
        <v>217.35999999999999</v>
      </c>
      <c r="CH80" s="1711">
        <f t="shared" si="129"/>
        <v>300</v>
      </c>
      <c r="CI80" s="497">
        <f t="shared" si="130"/>
        <v>542.34</v>
      </c>
      <c r="CJ80" s="497">
        <f t="shared" si="131"/>
        <v>542.34</v>
      </c>
      <c r="CK80" s="497">
        <f t="shared" si="132"/>
        <v>0</v>
      </c>
      <c r="CL80" s="497">
        <f t="shared" si="133"/>
        <v>0</v>
      </c>
      <c r="CM80" s="497">
        <f t="shared" si="134"/>
        <v>0</v>
      </c>
      <c r="CN80" s="498">
        <f t="shared" si="135"/>
        <v>0</v>
      </c>
      <c r="CO80" s="499">
        <v>0</v>
      </c>
      <c r="CP80" s="498">
        <f t="shared" si="136"/>
        <v>0</v>
      </c>
      <c r="CQ80" s="500">
        <f t="shared" si="137"/>
        <v>0</v>
      </c>
      <c r="CR80" s="498">
        <f t="shared" si="138"/>
        <v>0</v>
      </c>
      <c r="CS80" s="498">
        <f t="shared" si="139"/>
        <v>0</v>
      </c>
      <c r="CT80" s="498">
        <f t="shared" si="140"/>
        <v>83.91</v>
      </c>
      <c r="CU80" s="498">
        <f t="shared" si="141"/>
        <v>2120</v>
      </c>
      <c r="CV80" s="1554"/>
      <c r="CW80" s="1195" t="s">
        <v>6960</v>
      </c>
      <c r="CX80" s="1195" t="s">
        <v>7242</v>
      </c>
      <c r="CY80" s="472"/>
      <c r="CZ80" s="514" t="s">
        <v>6441</v>
      </c>
      <c r="DA80" s="514" t="s">
        <v>6173</v>
      </c>
      <c r="DB80" s="514" t="s">
        <v>6234</v>
      </c>
      <c r="DC80" s="514" t="s">
        <v>6442</v>
      </c>
      <c r="DD80" s="472"/>
      <c r="DE80" s="472"/>
      <c r="DF80" s="472"/>
      <c r="DG80" s="472"/>
      <c r="DH80" s="472"/>
      <c r="DI80" s="473"/>
      <c r="DJ80" s="473" t="str">
        <f>VLOOKUP(X80,Hoja1!$A$4:$B$10,2,0)</f>
        <v>TÉCNICO SUPERIOR UNIVERSITARIO</v>
      </c>
      <c r="DK80" s="473" t="str">
        <f>VLOOKUP(S80,Hoja1!$D$4:$F$77,3,0)</f>
        <v>TII - VI</v>
      </c>
      <c r="DL80" s="1216" t="str">
        <f t="shared" si="142"/>
        <v>0</v>
      </c>
      <c r="DM80" s="1741" t="str">
        <f t="shared" si="143"/>
        <v>F</v>
      </c>
      <c r="DN80" s="1741"/>
    </row>
    <row r="81" spans="1:118" s="473" customFormat="1" ht="21.95" customHeight="1">
      <c r="A81" s="510" t="s">
        <v>2846</v>
      </c>
      <c r="B81" s="1390">
        <f t="shared" ca="1" si="144"/>
        <v>39</v>
      </c>
      <c r="C81" s="1194">
        <v>10400876</v>
      </c>
      <c r="D81" s="1195" t="s">
        <v>4726</v>
      </c>
      <c r="E81" s="1180" t="s">
        <v>4622</v>
      </c>
      <c r="F81" s="1196">
        <v>25785</v>
      </c>
      <c r="G81" s="1180" t="s">
        <v>4620</v>
      </c>
      <c r="H81" s="1196">
        <v>43556</v>
      </c>
      <c r="I81" s="1185">
        <f t="shared" si="98"/>
        <v>5</v>
      </c>
      <c r="J81" s="1177">
        <v>10</v>
      </c>
      <c r="K81" s="1185">
        <f t="shared" si="99"/>
        <v>15</v>
      </c>
      <c r="L81" s="1191" t="s">
        <v>5541</v>
      </c>
      <c r="M81" s="1177"/>
      <c r="N81" s="1177"/>
      <c r="O81" s="1040" t="s">
        <v>5234</v>
      </c>
      <c r="P81" s="1177" t="s">
        <v>5307</v>
      </c>
      <c r="Q81" s="1391" t="str">
        <f>IFERROR(VLOOKUP(O81,CARGOS!A:E,2,0),"")</f>
        <v>23451</v>
      </c>
      <c r="R81" s="1403" t="s">
        <v>5234</v>
      </c>
      <c r="S81" s="1192" t="s">
        <v>5474</v>
      </c>
      <c r="T81" s="1150">
        <f>IFERROR(VLOOKUP(S81,'TAB EMP'!A:B,2,0),0)</f>
        <v>226</v>
      </c>
      <c r="U81" s="1151">
        <v>0</v>
      </c>
      <c r="V81" s="1150">
        <f t="shared" si="100"/>
        <v>226</v>
      </c>
      <c r="W81" s="1151">
        <f t="shared" si="101"/>
        <v>113</v>
      </c>
      <c r="X81" s="1180" t="s">
        <v>2844</v>
      </c>
      <c r="Y81" s="1180"/>
      <c r="Z81" s="1180">
        <v>0</v>
      </c>
      <c r="AA81" s="1150">
        <f>ROUND(IF(H81&lt;&gt;"",VLOOKUP(SUM(I81+J81),'CONCEPTOS Y PARAMETROS'!F:G,2,0)*V81,0),2)</f>
        <v>40.68</v>
      </c>
      <c r="AB81" s="1150">
        <f>IF(S81&lt;&gt;"",IF(M81="",'CONCEPTOS Y PARAMETROS'!$C$4,0),0)</f>
        <v>130</v>
      </c>
      <c r="AC81" s="1150">
        <f>IF(S81&lt;&gt;"",IF(M81="",'CONCEPTOS Y PARAMETROS'!$C$7*Z81,0),0)</f>
        <v>0</v>
      </c>
      <c r="AD81" s="1150">
        <f>IFERROR(ROUND(VLOOKUP($X81,'CONCEPTOS Y PARAMETROS'!H:I,2,0)*($V81+AA81+AB81+AC81),2),0)</f>
        <v>79.34</v>
      </c>
      <c r="AE81" s="1150">
        <f t="shared" si="102"/>
        <v>250.02</v>
      </c>
      <c r="AF81" s="1150">
        <f t="shared" si="103"/>
        <v>20.34</v>
      </c>
      <c r="AG81" s="1150">
        <f t="shared" si="104"/>
        <v>20.34</v>
      </c>
      <c r="AH81" s="1150">
        <f t="shared" si="105"/>
        <v>65</v>
      </c>
      <c r="AI81" s="1150">
        <f t="shared" si="106"/>
        <v>65</v>
      </c>
      <c r="AJ81" s="1150">
        <f t="shared" si="107"/>
        <v>39.67</v>
      </c>
      <c r="AK81" s="1150">
        <f t="shared" si="108"/>
        <v>39.67</v>
      </c>
      <c r="AL81" s="1151">
        <f t="shared" si="109"/>
        <v>125.01</v>
      </c>
      <c r="AM81" s="1151">
        <f t="shared" si="110"/>
        <v>125.01</v>
      </c>
      <c r="AN81" s="1028">
        <v>0</v>
      </c>
      <c r="AO81" s="1193">
        <f>'CONCEPTOS Y PARAMETROS'!$C$18*AN81</f>
        <v>0</v>
      </c>
      <c r="AP81" s="1028">
        <v>0</v>
      </c>
      <c r="AQ81" s="1193">
        <f>'CONCEPTOS Y PARAMETROS'!$C$21*AP81</f>
        <v>0</v>
      </c>
      <c r="AR81" s="1394">
        <v>0</v>
      </c>
      <c r="AS81" s="1394">
        <v>0</v>
      </c>
      <c r="AT81" s="1394">
        <f t="shared" si="197"/>
        <v>0</v>
      </c>
      <c r="AU81" s="1151">
        <f t="shared" si="112"/>
        <v>476.02</v>
      </c>
      <c r="AV81" s="1178">
        <v>0</v>
      </c>
      <c r="AW81" s="1151">
        <f t="shared" si="198"/>
        <v>0</v>
      </c>
      <c r="AX81" s="1150">
        <f>IF(T81&lt;&gt;"0",(ROUND(IF(A81="EMPLEADO",eval_formula('CONCEPTOS Y PARAMETROS'!$C$8,NOMINA!V81,NOMINA!$AU81,NOMINA!I81+NOMINA!J81),eval_formula('CONCEPTOS Y PARAMETROS'!$D$8,NOMINA!V81,NOMINA!$AU81,NOMINA!I81+NOMINA!J81)),2))*IF(H81&lt;&gt;"",IF(MONTH(H81)=$BR$8,IF(YEAR(H81)&lt;$BT$7,1,0),0)))</f>
        <v>0</v>
      </c>
      <c r="AY81" s="1151">
        <v>180</v>
      </c>
      <c r="AZ81" s="1150">
        <f>IFERROR(VLOOKUP(AY81,'CONCEPTOS Y PARAMETROS'!Y:Z,2,0),0)</f>
        <v>150</v>
      </c>
      <c r="BA81" s="1150">
        <f t="shared" si="114"/>
        <v>3570.15</v>
      </c>
      <c r="BB81" s="1150">
        <f t="shared" si="145"/>
        <v>0</v>
      </c>
      <c r="BC81" s="1028">
        <v>0</v>
      </c>
      <c r="BD81" s="1150" t="str">
        <f t="shared" si="115"/>
        <v>0</v>
      </c>
      <c r="BE81" s="1028">
        <v>0</v>
      </c>
      <c r="BF81" s="1150">
        <f t="shared" si="196"/>
        <v>0</v>
      </c>
      <c r="BG81" s="1151">
        <v>300</v>
      </c>
      <c r="BH81" s="1151">
        <f t="shared" si="117"/>
        <v>0</v>
      </c>
      <c r="BI81" s="1180">
        <v>0</v>
      </c>
      <c r="BJ81" s="1180">
        <f t="shared" si="118"/>
        <v>0</v>
      </c>
      <c r="BK81" s="1151">
        <v>0</v>
      </c>
      <c r="BL81" s="1150">
        <f t="shared" si="170"/>
        <v>17.579999999999998</v>
      </c>
      <c r="BM81" s="1150">
        <f t="shared" si="171"/>
        <v>2.2000000000000002</v>
      </c>
      <c r="BN81" s="1150">
        <f t="shared" si="119"/>
        <v>4.76</v>
      </c>
      <c r="BO81" s="1150">
        <v>0</v>
      </c>
      <c r="BP81" s="1150">
        <v>0</v>
      </c>
      <c r="BQ81" s="1396">
        <f t="shared" si="120"/>
        <v>24.54</v>
      </c>
      <c r="BR81" s="1150">
        <f t="shared" si="172"/>
        <v>39.549999999999997</v>
      </c>
      <c r="BS81" s="1150">
        <f t="shared" si="173"/>
        <v>8.7899999999999991</v>
      </c>
      <c r="BT81" s="1150">
        <f t="shared" si="121"/>
        <v>9.52</v>
      </c>
      <c r="BU81" s="1150">
        <v>0</v>
      </c>
      <c r="BV81" s="1151">
        <f t="shared" si="122"/>
        <v>57.86</v>
      </c>
      <c r="BW81" s="1155">
        <f t="shared" si="123"/>
        <v>82.4</v>
      </c>
      <c r="BX81" s="1155">
        <f t="shared" si="194"/>
        <v>892.54</v>
      </c>
      <c r="BY81" s="1151">
        <v>0</v>
      </c>
      <c r="BZ81" s="1151">
        <f t="shared" si="125"/>
        <v>892.54</v>
      </c>
      <c r="CA81" s="1397">
        <f>'CONCEPTOS Y PARAMETROS'!$A$102</f>
        <v>2120</v>
      </c>
      <c r="CB81" s="1155">
        <f t="shared" si="126"/>
        <v>213.47</v>
      </c>
      <c r="CC81" s="1156">
        <f t="shared" si="127"/>
        <v>538.01</v>
      </c>
      <c r="CD81" s="514"/>
      <c r="CE81" s="514"/>
      <c r="CF81" s="520"/>
      <c r="CG81" s="497">
        <f t="shared" si="128"/>
        <v>213.47</v>
      </c>
      <c r="CH81" s="1711">
        <f t="shared" si="129"/>
        <v>300</v>
      </c>
      <c r="CI81" s="497">
        <f t="shared" si="130"/>
        <v>538.01</v>
      </c>
      <c r="CJ81" s="497">
        <f t="shared" si="131"/>
        <v>538.01</v>
      </c>
      <c r="CK81" s="497">
        <f t="shared" si="132"/>
        <v>0</v>
      </c>
      <c r="CL81" s="497">
        <f t="shared" si="133"/>
        <v>0</v>
      </c>
      <c r="CM81" s="497">
        <f t="shared" si="134"/>
        <v>0</v>
      </c>
      <c r="CN81" s="498">
        <f t="shared" si="135"/>
        <v>0</v>
      </c>
      <c r="CO81" s="499">
        <v>0</v>
      </c>
      <c r="CP81" s="498">
        <f t="shared" si="136"/>
        <v>0</v>
      </c>
      <c r="CQ81" s="500">
        <f t="shared" si="137"/>
        <v>0</v>
      </c>
      <c r="CR81" s="498">
        <f t="shared" si="138"/>
        <v>0</v>
      </c>
      <c r="CS81" s="498">
        <f t="shared" si="139"/>
        <v>0</v>
      </c>
      <c r="CT81" s="498">
        <f t="shared" si="140"/>
        <v>82.4</v>
      </c>
      <c r="CU81" s="498">
        <f t="shared" si="141"/>
        <v>2120</v>
      </c>
      <c r="CV81" s="1554"/>
      <c r="CW81" s="1195" t="s">
        <v>7091</v>
      </c>
      <c r="CX81" s="1195" t="s">
        <v>6961</v>
      </c>
      <c r="CY81" s="472"/>
      <c r="CZ81" s="514" t="s">
        <v>6236</v>
      </c>
      <c r="DA81" s="1199" t="s">
        <v>6647</v>
      </c>
      <c r="DB81" s="514" t="s">
        <v>6238</v>
      </c>
      <c r="DC81" s="514" t="s">
        <v>6388</v>
      </c>
      <c r="DD81" s="472"/>
      <c r="DE81" s="472"/>
      <c r="DF81" s="472"/>
      <c r="DG81" s="472"/>
      <c r="DH81" s="472"/>
      <c r="DJ81" s="473" t="str">
        <f>VLOOKUP(X81,Hoja1!$A$4:$B$10,2,0)</f>
        <v>TÉCNICO SUPERIOR UNIVERSITARIO</v>
      </c>
      <c r="DK81" s="473" t="str">
        <f>VLOOKUP(S81,Hoja1!$D$4:$F$77,3,0)</f>
        <v>TII - VI</v>
      </c>
      <c r="DL81" s="1216" t="str">
        <f t="shared" si="142"/>
        <v>0</v>
      </c>
      <c r="DM81" s="1741" t="str">
        <f t="shared" si="143"/>
        <v>F</v>
      </c>
      <c r="DN81" s="1741"/>
    </row>
    <row r="82" spans="1:118" s="930" customFormat="1" ht="21.95" customHeight="1">
      <c r="A82" s="929" t="s">
        <v>2846</v>
      </c>
      <c r="B82" s="1404">
        <f t="shared" ca="1" si="144"/>
        <v>40</v>
      </c>
      <c r="C82" s="1405">
        <v>10404528</v>
      </c>
      <c r="D82" s="1406" t="s">
        <v>4669</v>
      </c>
      <c r="E82" s="1407" t="s">
        <v>4622</v>
      </c>
      <c r="F82" s="1408">
        <v>25332</v>
      </c>
      <c r="G82" s="1407" t="s">
        <v>4621</v>
      </c>
      <c r="H82" s="1408">
        <v>37622</v>
      </c>
      <c r="I82" s="1409">
        <f t="shared" si="98"/>
        <v>22</v>
      </c>
      <c r="J82" s="1410">
        <v>0</v>
      </c>
      <c r="K82" s="1409">
        <f t="shared" si="99"/>
        <v>22</v>
      </c>
      <c r="L82" s="1411" t="s">
        <v>5533</v>
      </c>
      <c r="M82" s="1410"/>
      <c r="N82" s="1410"/>
      <c r="O82" s="1412" t="s">
        <v>5241</v>
      </c>
      <c r="P82" s="1410" t="s">
        <v>5190</v>
      </c>
      <c r="Q82" s="1413" t="str">
        <f>IFERROR(VLOOKUP(O82,CARGOS!A:E,2,0),"")</f>
        <v>12124</v>
      </c>
      <c r="R82" s="1412" t="s">
        <v>5241</v>
      </c>
      <c r="S82" s="1414" t="s">
        <v>5471</v>
      </c>
      <c r="T82" s="1415">
        <v>0</v>
      </c>
      <c r="U82" s="1382">
        <v>0</v>
      </c>
      <c r="V82" s="1415">
        <f t="shared" ref="V82:V83" si="199">T82-U82</f>
        <v>0</v>
      </c>
      <c r="W82" s="1382">
        <f t="shared" ref="W82:W83" si="200">ROUND(V82/2,2)</f>
        <v>0</v>
      </c>
      <c r="X82" s="1407" t="s">
        <v>2885</v>
      </c>
      <c r="Y82" s="1407"/>
      <c r="Z82" s="1407">
        <v>0</v>
      </c>
      <c r="AA82" s="1415">
        <f>ROUND(IF(H82&lt;&gt;"",VLOOKUP(SUM(I82+J82),'CONCEPTOS Y PARAMETROS'!F:G,2,0)*V82,0),2)</f>
        <v>0</v>
      </c>
      <c r="AB82" s="1415">
        <v>0</v>
      </c>
      <c r="AC82" s="1415">
        <v>0</v>
      </c>
      <c r="AD82" s="1415">
        <f>IFERROR(ROUND(VLOOKUP($X82,'CONCEPTOS Y PARAMETROS'!H:I,2,0)*($V82+AA82+AB82+AC82),2),0)</f>
        <v>0</v>
      </c>
      <c r="AE82" s="1415">
        <f t="shared" ref="AE82:AE83" si="201">SUM(AA82:AD82)</f>
        <v>0</v>
      </c>
      <c r="AF82" s="1415">
        <f t="shared" ref="AF82:AF83" si="202">ROUND(AA82/2,2)</f>
        <v>0</v>
      </c>
      <c r="AG82" s="1415">
        <f t="shared" ref="AG82:AG83" si="203">ROUND(AA82-AF82,2)</f>
        <v>0</v>
      </c>
      <c r="AH82" s="1415">
        <f t="shared" ref="AH82:AH83" si="204">ROUND(AB82/2,2)</f>
        <v>0</v>
      </c>
      <c r="AI82" s="1415">
        <f t="shared" ref="AI82:AI83" si="205">ROUND(AB82-AH82,2)</f>
        <v>0</v>
      </c>
      <c r="AJ82" s="1415">
        <f t="shared" ref="AJ82:AJ83" si="206">ROUND(AD82/2,2)</f>
        <v>0</v>
      </c>
      <c r="AK82" s="1415">
        <f t="shared" ref="AK82:AK83" si="207">ROUND(AD82-AJ82,2)</f>
        <v>0</v>
      </c>
      <c r="AL82" s="1382">
        <f t="shared" ref="AL82:AL83" si="208">ROUND(AF82+AH82+AJ82+AC82,2)</f>
        <v>0</v>
      </c>
      <c r="AM82" s="1382">
        <f t="shared" ref="AM82:AM83" si="209">ROUND(AG82+AI82+AK82,2)</f>
        <v>0</v>
      </c>
      <c r="AN82" s="1416">
        <v>0</v>
      </c>
      <c r="AO82" s="1417">
        <v>0</v>
      </c>
      <c r="AP82" s="1416">
        <v>0</v>
      </c>
      <c r="AQ82" s="1417">
        <f>'CONCEPTOS Y PARAMETROS'!$C$21*AP82</f>
        <v>0</v>
      </c>
      <c r="AR82" s="1418">
        <v>0</v>
      </c>
      <c r="AS82" s="1418">
        <v>0</v>
      </c>
      <c r="AT82" s="1418">
        <f t="shared" ref="AT82:AT83" si="210">+AO82+AQ82+AR82+AS82</f>
        <v>0</v>
      </c>
      <c r="AU82" s="1382">
        <f t="shared" ref="AU82" si="211">V82+AE82+AW82</f>
        <v>0</v>
      </c>
      <c r="AV82" s="1419">
        <v>0</v>
      </c>
      <c r="AW82" s="1382">
        <f>ROUND(IF(O82="VIGILANTE",(V82+AE82)*30%,0),2)</f>
        <v>0</v>
      </c>
      <c r="AX82" s="1415">
        <f>IF(T82&lt;&gt;"0",(ROUND(IF(A82="EMPLEADO",eval_formula('CONCEPTOS Y PARAMETROS'!$C$8,NOMINA!V82,NOMINA!$AU82,NOMINA!I82+NOMINA!J82),eval_formula('CONCEPTOS Y PARAMETROS'!$D$8,NOMINA!V82,NOMINA!$AU82,NOMINA!I82+NOMINA!J82)),2))*IF(H82&lt;&gt;"",IF(MONTH(H82)=$BR$8,IF(YEAR(H82)&lt;$BT$7,1,0),0)))</f>
        <v>0</v>
      </c>
      <c r="AY82" s="1382">
        <v>180</v>
      </c>
      <c r="AZ82" s="1415">
        <f>IFERROR(VLOOKUP(AY82,'CONCEPTOS Y PARAMETROS'!Y:Z,2,0),0)</f>
        <v>150</v>
      </c>
      <c r="BA82" s="1415">
        <f t="shared" ref="BA82:BA83" si="212">ROUND((((AU82))/30*AY82/12+(AU82))/30*AZ82,2)</f>
        <v>0</v>
      </c>
      <c r="BB82" s="1415">
        <f t="shared" si="145"/>
        <v>0</v>
      </c>
      <c r="BC82" s="1416">
        <v>0</v>
      </c>
      <c r="BD82" s="1415" t="str">
        <f t="shared" ref="BD82:BD83" si="213">IF(BC82&gt;0,((((((V82+AA82+AB82+AC82+AD82)/30)/8)*50%)+((((V82+AA82+AB82+AC82+AD82)/30)/8)))*30%+(((((V82+AA82+AB82+AC82+AD82)/30)/8)*50%)+((((V82+AA82+AB82+AC82+AD82)/30)/8))))*BC82,"0")</f>
        <v>0</v>
      </c>
      <c r="BE82" s="1416">
        <v>0</v>
      </c>
      <c r="BF82" s="1415">
        <f>ROUND(IF(BE82&gt;0,(((V82+AA82+AB82+AC82+AD82)/30)*50%+((V82+AA82+AB82+AC82+AD82)/30))*BE82,"0"),2)</f>
        <v>0</v>
      </c>
      <c r="BG82" s="1382">
        <v>0</v>
      </c>
      <c r="BH82" s="1382">
        <f t="shared" si="117"/>
        <v>0</v>
      </c>
      <c r="BI82" s="1382">
        <v>0</v>
      </c>
      <c r="BJ82" s="1382">
        <f t="shared" si="118"/>
        <v>0</v>
      </c>
      <c r="BK82" s="1382">
        <v>0</v>
      </c>
      <c r="BL82" s="1415">
        <f t="shared" si="170"/>
        <v>0</v>
      </c>
      <c r="BM82" s="1415">
        <f t="shared" si="171"/>
        <v>0</v>
      </c>
      <c r="BN82" s="1415">
        <f t="shared" si="119"/>
        <v>0</v>
      </c>
      <c r="BO82" s="1415">
        <v>0</v>
      </c>
      <c r="BP82" s="1415">
        <v>0</v>
      </c>
      <c r="BQ82" s="1420">
        <f t="shared" ref="BQ82:BQ83" si="214">ROUND(SUM(BL82:BP82),2)</f>
        <v>0</v>
      </c>
      <c r="BR82" s="1415">
        <f t="shared" si="172"/>
        <v>0</v>
      </c>
      <c r="BS82" s="1415">
        <f t="shared" si="173"/>
        <v>0</v>
      </c>
      <c r="BT82" s="1415">
        <f t="shared" si="121"/>
        <v>0</v>
      </c>
      <c r="BU82" s="1415">
        <v>0</v>
      </c>
      <c r="BV82" s="1382">
        <f t="shared" ref="BV82:BV83" si="215">ROUND(SUM(BR82:BT82),2)</f>
        <v>0</v>
      </c>
      <c r="BW82" s="1379">
        <f t="shared" ref="BW82:BW83" si="216">BQ82+BV82</f>
        <v>0</v>
      </c>
      <c r="BX82" s="1379">
        <f t="shared" si="194"/>
        <v>0</v>
      </c>
      <c r="BY82" s="1382">
        <v>0</v>
      </c>
      <c r="BZ82" s="1382">
        <f t="shared" si="125"/>
        <v>0</v>
      </c>
      <c r="CA82" s="1421">
        <v>0</v>
      </c>
      <c r="CB82" s="1379">
        <f t="shared" si="126"/>
        <v>0</v>
      </c>
      <c r="CC82" s="1422">
        <f t="shared" si="127"/>
        <v>0</v>
      </c>
      <c r="CD82" s="514"/>
      <c r="CE82" s="514"/>
      <c r="CG82" s="931">
        <f t="shared" si="128"/>
        <v>0</v>
      </c>
      <c r="CH82" s="1714">
        <f t="shared" si="129"/>
        <v>0</v>
      </c>
      <c r="CI82" s="931">
        <f t="shared" si="130"/>
        <v>0</v>
      </c>
      <c r="CJ82" s="931">
        <f t="shared" si="131"/>
        <v>0</v>
      </c>
      <c r="CK82" s="931">
        <f t="shared" si="132"/>
        <v>0</v>
      </c>
      <c r="CL82" s="931">
        <f t="shared" si="133"/>
        <v>0</v>
      </c>
      <c r="CM82" s="931">
        <f t="shared" si="134"/>
        <v>0</v>
      </c>
      <c r="CN82" s="932">
        <f t="shared" si="135"/>
        <v>0</v>
      </c>
      <c r="CO82" s="933">
        <v>0</v>
      </c>
      <c r="CP82" s="932">
        <f t="shared" si="136"/>
        <v>0</v>
      </c>
      <c r="CQ82" s="934">
        <f t="shared" si="137"/>
        <v>0</v>
      </c>
      <c r="CR82" s="932">
        <f t="shared" si="138"/>
        <v>0</v>
      </c>
      <c r="CS82" s="932">
        <f t="shared" si="139"/>
        <v>0</v>
      </c>
      <c r="CT82" s="932">
        <f t="shared" si="140"/>
        <v>0</v>
      </c>
      <c r="CU82" s="932">
        <f t="shared" si="141"/>
        <v>0</v>
      </c>
      <c r="CV82" s="1557"/>
      <c r="CW82" s="1406" t="s">
        <v>6931</v>
      </c>
      <c r="CX82" s="1406" t="s">
        <v>6996</v>
      </c>
      <c r="CY82" s="935"/>
      <c r="CZ82" s="1199"/>
      <c r="DA82" s="478"/>
      <c r="DB82" s="478"/>
      <c r="DC82" s="478"/>
      <c r="DD82" s="472"/>
      <c r="DE82" s="935"/>
      <c r="DF82" s="935"/>
      <c r="DG82" s="935"/>
      <c r="DH82" s="935"/>
      <c r="DJ82" s="930" t="str">
        <f>VLOOKUP(X82,Hoja1!$A$4:$B$10,2,0)</f>
        <v>PROFESIONAL</v>
      </c>
      <c r="DK82" s="930" t="str">
        <f>VLOOKUP(S82,Hoja1!$D$4:$F$77,3,0)</f>
        <v>PII - VII</v>
      </c>
      <c r="DL82" s="1217" t="str">
        <f t="shared" si="142"/>
        <v>0</v>
      </c>
      <c r="DM82" s="1745" t="str">
        <f t="shared" si="143"/>
        <v>M</v>
      </c>
      <c r="DN82" s="1745"/>
    </row>
    <row r="83" spans="1:118" s="478" customFormat="1" ht="21.95" customHeight="1">
      <c r="A83" s="510" t="s">
        <v>2846</v>
      </c>
      <c r="B83" s="1390">
        <f t="shared" ca="1" si="144"/>
        <v>41</v>
      </c>
      <c r="C83" s="1194">
        <v>10906110</v>
      </c>
      <c r="D83" s="1195" t="s">
        <v>5989</v>
      </c>
      <c r="E83" s="1180" t="s">
        <v>4622</v>
      </c>
      <c r="F83" s="1196">
        <v>26079</v>
      </c>
      <c r="G83" s="1180" t="s">
        <v>4620</v>
      </c>
      <c r="H83" s="1196">
        <v>45292</v>
      </c>
      <c r="I83" s="1185">
        <f t="shared" si="98"/>
        <v>1</v>
      </c>
      <c r="J83" s="1177">
        <v>0</v>
      </c>
      <c r="K83" s="1185">
        <f t="shared" si="99"/>
        <v>1</v>
      </c>
      <c r="L83" s="1191" t="s">
        <v>5542</v>
      </c>
      <c r="M83" s="1177"/>
      <c r="N83" s="1177"/>
      <c r="O83" s="1040" t="s">
        <v>5222</v>
      </c>
      <c r="P83" s="1197" t="s">
        <v>5990</v>
      </c>
      <c r="Q83" s="1391" t="str">
        <f>IFERROR(VLOOKUP(O83,CARGOS!A:E,2,0),"")</f>
        <v>79511</v>
      </c>
      <c r="R83" s="1403" t="s">
        <v>5222</v>
      </c>
      <c r="S83" s="1192" t="s">
        <v>5483</v>
      </c>
      <c r="T83" s="1150">
        <f>IFERROR(VLOOKUP(S83,'TAB EMP'!A:B,2,0),0)</f>
        <v>130</v>
      </c>
      <c r="U83" s="1151">
        <v>0</v>
      </c>
      <c r="V83" s="1150">
        <f t="shared" si="199"/>
        <v>130</v>
      </c>
      <c r="W83" s="1151">
        <f t="shared" si="200"/>
        <v>65</v>
      </c>
      <c r="X83" s="1180" t="s">
        <v>2884</v>
      </c>
      <c r="Y83" s="1180"/>
      <c r="Z83" s="1180">
        <v>0</v>
      </c>
      <c r="AA83" s="1150">
        <f>ROUND(IF(H83&lt;&gt;"",VLOOKUP(SUM(I83+J83),'CONCEPTOS Y PARAMETROS'!F:G,2,0)*V83,0),2)</f>
        <v>1.3</v>
      </c>
      <c r="AB83" s="1150">
        <f>IF(S83&lt;&gt;"",IF(M83="",'CONCEPTOS Y PARAMETROS'!$C$4,0),0)</f>
        <v>130</v>
      </c>
      <c r="AC83" s="1150">
        <f>IF(S83&lt;&gt;"",IF(M83="",'CONCEPTOS Y PARAMETROS'!$C$7*Z83,0),0)</f>
        <v>0</v>
      </c>
      <c r="AD83" s="1150">
        <f>IFERROR(ROUND(VLOOKUP($X83,'CONCEPTOS Y PARAMETROS'!H:I,2,0)*($V83+AA83+AB83+AC83),2),0)</f>
        <v>0</v>
      </c>
      <c r="AE83" s="1150">
        <f t="shared" si="201"/>
        <v>131.30000000000001</v>
      </c>
      <c r="AF83" s="1150">
        <f t="shared" si="202"/>
        <v>0.65</v>
      </c>
      <c r="AG83" s="1150">
        <f t="shared" si="203"/>
        <v>0.65</v>
      </c>
      <c r="AH83" s="1150">
        <f t="shared" si="204"/>
        <v>65</v>
      </c>
      <c r="AI83" s="1150">
        <f t="shared" si="205"/>
        <v>65</v>
      </c>
      <c r="AJ83" s="1150">
        <f t="shared" si="206"/>
        <v>0</v>
      </c>
      <c r="AK83" s="1150">
        <f t="shared" si="207"/>
        <v>0</v>
      </c>
      <c r="AL83" s="1151">
        <f t="shared" si="208"/>
        <v>65.650000000000006</v>
      </c>
      <c r="AM83" s="1151">
        <f t="shared" si="209"/>
        <v>65.650000000000006</v>
      </c>
      <c r="AN83" s="1028">
        <v>0</v>
      </c>
      <c r="AO83" s="1193">
        <f>'CONCEPTOS Y PARAMETROS'!$C$18*AN83</f>
        <v>0</v>
      </c>
      <c r="AP83" s="1028">
        <v>0</v>
      </c>
      <c r="AQ83" s="1193">
        <f>'CONCEPTOS Y PARAMETROS'!$C$21*AP83</f>
        <v>0</v>
      </c>
      <c r="AR83" s="1394">
        <v>0</v>
      </c>
      <c r="AS83" s="1394">
        <v>0</v>
      </c>
      <c r="AT83" s="1394">
        <f t="shared" si="210"/>
        <v>0</v>
      </c>
      <c r="AU83" s="1151">
        <f>V83+AE83+AW83</f>
        <v>339.69</v>
      </c>
      <c r="AV83" s="1178" t="s">
        <v>5080</v>
      </c>
      <c r="AW83" s="1151">
        <f t="shared" ref="AW83" si="217">ROUND(IF(AV83="NOCTURN",(V83+AE83)*30%,0),2)</f>
        <v>78.39</v>
      </c>
      <c r="AX83" s="1150">
        <f>IF(T83&lt;&gt;"0",(ROUND(IF(A83="EMPLEADO",eval_formula('CONCEPTOS Y PARAMETROS'!$C$8,NOMINA!V83,NOMINA!$AU83,NOMINA!I83+NOMINA!J83),eval_formula('CONCEPTOS Y PARAMETROS'!$D$8,NOMINA!V83,NOMINA!$AU83,NOMINA!I83+NOMINA!J83)),2))*IF(H83&lt;&gt;"",IF(MONTH(H83)=$BR$8,IF(YEAR(H83)&lt;$BT$7,1,0),0)))</f>
        <v>2717.52</v>
      </c>
      <c r="AY83" s="1151">
        <v>180</v>
      </c>
      <c r="AZ83" s="1150">
        <f>IFERROR(VLOOKUP(AY83,'CONCEPTOS Y PARAMETROS'!Y:Z,2,0),0)</f>
        <v>150</v>
      </c>
      <c r="BA83" s="1150">
        <f t="shared" si="212"/>
        <v>2547.6799999999998</v>
      </c>
      <c r="BB83" s="1150">
        <f t="shared" si="145"/>
        <v>0</v>
      </c>
      <c r="BC83" s="1028">
        <v>0</v>
      </c>
      <c r="BD83" s="1150" t="str">
        <f t="shared" si="213"/>
        <v>0</v>
      </c>
      <c r="BE83" s="1028">
        <v>5</v>
      </c>
      <c r="BF83" s="1150">
        <f>ROUND(IF(BE83&gt;0,(((V83+AA83+AB83+AC83+AD83+AW83)/30)*50%+((V83+AA83+AB83+AC83+AD83+AW83)/30))*BE83,"0"),2)</f>
        <v>84.92</v>
      </c>
      <c r="BG83" s="1151">
        <v>300</v>
      </c>
      <c r="BH83" s="1151">
        <f t="shared" si="117"/>
        <v>0</v>
      </c>
      <c r="BI83" s="1180">
        <v>0</v>
      </c>
      <c r="BJ83" s="1180">
        <f t="shared" si="118"/>
        <v>0</v>
      </c>
      <c r="BK83" s="1151">
        <v>0</v>
      </c>
      <c r="BL83" s="1150">
        <f t="shared" si="170"/>
        <v>12.54</v>
      </c>
      <c r="BM83" s="1150">
        <f t="shared" si="171"/>
        <v>1.57</v>
      </c>
      <c r="BN83" s="1150">
        <f t="shared" si="119"/>
        <v>3.4</v>
      </c>
      <c r="BO83" s="1150">
        <v>0</v>
      </c>
      <c r="BP83" s="1150">
        <v>0</v>
      </c>
      <c r="BQ83" s="1396">
        <f t="shared" si="214"/>
        <v>17.510000000000002</v>
      </c>
      <c r="BR83" s="1150">
        <f t="shared" si="172"/>
        <v>28.22</v>
      </c>
      <c r="BS83" s="1150">
        <f t="shared" si="173"/>
        <v>6.27</v>
      </c>
      <c r="BT83" s="1150">
        <f t="shared" si="121"/>
        <v>6.8</v>
      </c>
      <c r="BU83" s="1150">
        <v>0</v>
      </c>
      <c r="BV83" s="1151">
        <f t="shared" si="215"/>
        <v>41.29</v>
      </c>
      <c r="BW83" s="1155">
        <f t="shared" si="216"/>
        <v>58.8</v>
      </c>
      <c r="BX83" s="1155">
        <f t="shared" si="194"/>
        <v>636.91999999999996</v>
      </c>
      <c r="BY83" s="1151">
        <v>0</v>
      </c>
      <c r="BZ83" s="1151">
        <f t="shared" si="125"/>
        <v>636.91999999999996</v>
      </c>
      <c r="CA83" s="1397">
        <f>'CONCEPTOS Y PARAMETROS'!$A$102</f>
        <v>2120</v>
      </c>
      <c r="CB83" s="1155">
        <f t="shared" si="126"/>
        <v>113.14</v>
      </c>
      <c r="CC83" s="1156">
        <f t="shared" si="127"/>
        <v>3311.48</v>
      </c>
      <c r="CD83" s="514"/>
      <c r="CE83" s="514"/>
      <c r="CF83" s="521"/>
      <c r="CG83" s="511">
        <f t="shared" si="128"/>
        <v>113.14</v>
      </c>
      <c r="CH83" s="1712">
        <f t="shared" si="129"/>
        <v>300</v>
      </c>
      <c r="CI83" s="511">
        <f t="shared" si="130"/>
        <v>430.65</v>
      </c>
      <c r="CJ83" s="511">
        <f t="shared" si="131"/>
        <v>430.65</v>
      </c>
      <c r="CK83" s="511">
        <f t="shared" si="132"/>
        <v>0</v>
      </c>
      <c r="CL83" s="511">
        <f t="shared" si="133"/>
        <v>0</v>
      </c>
      <c r="CM83" s="511">
        <f t="shared" si="134"/>
        <v>0</v>
      </c>
      <c r="CN83" s="512">
        <f t="shared" si="135"/>
        <v>84.92</v>
      </c>
      <c r="CO83" s="513">
        <v>0</v>
      </c>
      <c r="CP83" s="512">
        <f t="shared" si="136"/>
        <v>78.39</v>
      </c>
      <c r="CQ83" s="500">
        <f t="shared" si="137"/>
        <v>0</v>
      </c>
      <c r="CR83" s="512">
        <f t="shared" si="138"/>
        <v>2717.52</v>
      </c>
      <c r="CS83" s="512">
        <f t="shared" si="139"/>
        <v>2880.83</v>
      </c>
      <c r="CT83" s="512">
        <f t="shared" si="140"/>
        <v>58.8</v>
      </c>
      <c r="CU83" s="512">
        <f t="shared" si="141"/>
        <v>2120</v>
      </c>
      <c r="CV83" s="1556"/>
      <c r="CW83" s="1195" t="s">
        <v>6971</v>
      </c>
      <c r="CX83" s="1195" t="s">
        <v>6962</v>
      </c>
      <c r="CY83" s="514"/>
      <c r="CZ83" s="1199" t="s">
        <v>6663</v>
      </c>
      <c r="DA83" s="1188" t="s">
        <v>6188</v>
      </c>
      <c r="DB83" s="1188" t="s">
        <v>6401</v>
      </c>
      <c r="DC83" s="514" t="s">
        <v>6572</v>
      </c>
      <c r="DD83" s="472"/>
      <c r="DE83" s="514"/>
      <c r="DF83" s="514"/>
      <c r="DG83" s="514"/>
      <c r="DH83" s="514"/>
      <c r="DJ83" s="478" t="str">
        <f>VLOOKUP(X83,Hoja1!$A$4:$B$10,2,0)</f>
        <v>BACHILLER</v>
      </c>
      <c r="DK83" s="478" t="str">
        <f>VLOOKUP(S83,Hoja1!$D$4:$F$77,3,0)</f>
        <v>BI</v>
      </c>
      <c r="DL83" s="1218" t="str">
        <f t="shared" si="142"/>
        <v>SI</v>
      </c>
      <c r="DM83" s="1743" t="str">
        <f t="shared" si="143"/>
        <v>F</v>
      </c>
      <c r="DN83" s="1743"/>
    </row>
    <row r="84" spans="1:118" s="473" customFormat="1" ht="21.95" customHeight="1">
      <c r="A84" s="510" t="s">
        <v>2846</v>
      </c>
      <c r="B84" s="1390">
        <f t="shared" ca="1" si="144"/>
        <v>42</v>
      </c>
      <c r="C84" s="1194">
        <v>10906923</v>
      </c>
      <c r="D84" s="1195" t="s">
        <v>4727</v>
      </c>
      <c r="E84" s="1180" t="s">
        <v>4622</v>
      </c>
      <c r="F84" s="1196">
        <v>26149</v>
      </c>
      <c r="G84" s="1180" t="s">
        <v>4620</v>
      </c>
      <c r="H84" s="1196">
        <v>44636</v>
      </c>
      <c r="I84" s="1185">
        <f t="shared" si="98"/>
        <v>2</v>
      </c>
      <c r="J84" s="1177">
        <v>0</v>
      </c>
      <c r="K84" s="1185">
        <f t="shared" si="99"/>
        <v>2</v>
      </c>
      <c r="L84" s="1191" t="s">
        <v>5544</v>
      </c>
      <c r="M84" s="1177"/>
      <c r="N84" s="1177"/>
      <c r="O84" s="1040" t="s">
        <v>5222</v>
      </c>
      <c r="P84" s="1177" t="s">
        <v>5308</v>
      </c>
      <c r="Q84" s="1391" t="str">
        <f>IFERROR(VLOOKUP(O84,CARGOS!A:E,2,0),"")</f>
        <v>79511</v>
      </c>
      <c r="R84" s="1403" t="s">
        <v>5222</v>
      </c>
      <c r="S84" s="1192" t="s">
        <v>5475</v>
      </c>
      <c r="T84" s="1150">
        <f>IFERROR(VLOOKUP(S84,'TAB EMP'!A:B,2,0),0)</f>
        <v>192</v>
      </c>
      <c r="U84" s="1151">
        <v>0</v>
      </c>
      <c r="V84" s="1150">
        <f t="shared" si="100"/>
        <v>192</v>
      </c>
      <c r="W84" s="1151">
        <f t="shared" si="101"/>
        <v>96</v>
      </c>
      <c r="X84" s="1180" t="s">
        <v>2844</v>
      </c>
      <c r="Y84" s="1180"/>
      <c r="Z84" s="1180">
        <v>1</v>
      </c>
      <c r="AA84" s="1150">
        <f>ROUND(IF(H84&lt;&gt;"",VLOOKUP(SUM(I84+J84),'CONCEPTOS Y PARAMETROS'!F:G,2,0)*V84,0),2)</f>
        <v>3.84</v>
      </c>
      <c r="AB84" s="1150">
        <f>IF(S84&lt;&gt;"",IF(M84="",'CONCEPTOS Y PARAMETROS'!$C$4,0),0)</f>
        <v>130</v>
      </c>
      <c r="AC84" s="1150">
        <f>IF(S84&lt;&gt;"",IF(M84="",'CONCEPTOS Y PARAMETROS'!$C$7*Z84,0),0)</f>
        <v>12.5</v>
      </c>
      <c r="AD84" s="1150">
        <f>IFERROR(ROUND(VLOOKUP($X84,'CONCEPTOS Y PARAMETROS'!H:I,2,0)*($V84+AA84+AB84+AC84),2),0)</f>
        <v>67.67</v>
      </c>
      <c r="AE84" s="1150">
        <f t="shared" si="102"/>
        <v>214.01</v>
      </c>
      <c r="AF84" s="1150">
        <f t="shared" si="103"/>
        <v>1.92</v>
      </c>
      <c r="AG84" s="1150">
        <f t="shared" si="104"/>
        <v>1.92</v>
      </c>
      <c r="AH84" s="1150">
        <f t="shared" si="105"/>
        <v>65</v>
      </c>
      <c r="AI84" s="1150">
        <f t="shared" si="106"/>
        <v>65</v>
      </c>
      <c r="AJ84" s="1150">
        <f t="shared" si="107"/>
        <v>33.840000000000003</v>
      </c>
      <c r="AK84" s="1150">
        <f t="shared" si="108"/>
        <v>33.83</v>
      </c>
      <c r="AL84" s="1151">
        <f t="shared" si="109"/>
        <v>113.26</v>
      </c>
      <c r="AM84" s="1151">
        <f t="shared" si="110"/>
        <v>100.75</v>
      </c>
      <c r="AN84" s="1583">
        <v>1</v>
      </c>
      <c r="AO84" s="1193">
        <f>'CONCEPTOS Y PARAMETROS'!$C$18*AN84</f>
        <v>12.5</v>
      </c>
      <c r="AP84" s="1028">
        <v>0</v>
      </c>
      <c r="AQ84" s="1193">
        <f>'CONCEPTOS Y PARAMETROS'!$C$21*AP84</f>
        <v>0</v>
      </c>
      <c r="AR84" s="1394">
        <v>0</v>
      </c>
      <c r="AS84" s="1394">
        <v>0</v>
      </c>
      <c r="AT84" s="1394">
        <f t="shared" si="197"/>
        <v>12.5</v>
      </c>
      <c r="AU84" s="1151">
        <f t="shared" si="112"/>
        <v>406.01</v>
      </c>
      <c r="AV84" s="1178">
        <v>0</v>
      </c>
      <c r="AW84" s="1151">
        <f t="shared" si="198"/>
        <v>0</v>
      </c>
      <c r="AX84" s="1150">
        <f>IF(T84&lt;&gt;"0",(ROUND(IF(A84="EMPLEADO",eval_formula('CONCEPTOS Y PARAMETROS'!$C$8,NOMINA!V84,NOMINA!$AU84,NOMINA!I84+NOMINA!J84),eval_formula('CONCEPTOS Y PARAMETROS'!$D$8,NOMINA!V84,NOMINA!$AU84,NOMINA!I84+NOMINA!J84)),2))*IF(H84&lt;&gt;"",IF(MONTH(H84)=$BR$8,IF(YEAR(H84)&lt;$BT$7,1,0),0)))</f>
        <v>0</v>
      </c>
      <c r="AY84" s="1151">
        <v>180</v>
      </c>
      <c r="AZ84" s="1150">
        <f>IFERROR(VLOOKUP(AY84,'CONCEPTOS Y PARAMETROS'!Y:Z,2,0),0)</f>
        <v>150</v>
      </c>
      <c r="BA84" s="1150">
        <f t="shared" si="114"/>
        <v>3045.08</v>
      </c>
      <c r="BB84" s="1150">
        <f t="shared" si="145"/>
        <v>0</v>
      </c>
      <c r="BC84" s="1028">
        <v>0</v>
      </c>
      <c r="BD84" s="1150" t="str">
        <f t="shared" si="115"/>
        <v>0</v>
      </c>
      <c r="BE84" s="1028">
        <v>0</v>
      </c>
      <c r="BF84" s="1150">
        <f>ROUND(IF(BE84&gt;0,(((V84+AA84+AB84+AC84+AD84+AW84)/30)*50%+((V84+AA84+AB84+AC84+AD84+AW84)/30))*BE84,"0"),2)</f>
        <v>0</v>
      </c>
      <c r="BG84" s="1151">
        <v>300</v>
      </c>
      <c r="BH84" s="1151">
        <f t="shared" si="117"/>
        <v>0</v>
      </c>
      <c r="BI84" s="1180">
        <v>0</v>
      </c>
      <c r="BJ84" s="1180">
        <f t="shared" si="118"/>
        <v>0</v>
      </c>
      <c r="BK84" s="1151">
        <v>0</v>
      </c>
      <c r="BL84" s="1150">
        <f t="shared" si="170"/>
        <v>14.99</v>
      </c>
      <c r="BM84" s="1150">
        <f t="shared" si="171"/>
        <v>1.87</v>
      </c>
      <c r="BN84" s="1150">
        <f t="shared" si="119"/>
        <v>4.0599999999999996</v>
      </c>
      <c r="BO84" s="1150">
        <v>0</v>
      </c>
      <c r="BP84" s="1150">
        <v>0</v>
      </c>
      <c r="BQ84" s="1396">
        <f t="shared" si="120"/>
        <v>20.92</v>
      </c>
      <c r="BR84" s="1150">
        <f t="shared" si="172"/>
        <v>33.729999999999997</v>
      </c>
      <c r="BS84" s="1150">
        <f t="shared" si="173"/>
        <v>7.5</v>
      </c>
      <c r="BT84" s="1150">
        <f t="shared" si="121"/>
        <v>8.1199999999999992</v>
      </c>
      <c r="BU84" s="1150">
        <v>0</v>
      </c>
      <c r="BV84" s="1151">
        <f t="shared" si="122"/>
        <v>49.35</v>
      </c>
      <c r="BW84" s="1155">
        <f t="shared" si="123"/>
        <v>70.27000000000001</v>
      </c>
      <c r="BX84" s="1155">
        <f t="shared" si="194"/>
        <v>761.27</v>
      </c>
      <c r="BY84" s="1151">
        <v>0</v>
      </c>
      <c r="BZ84" s="1151">
        <f t="shared" si="125"/>
        <v>761.27</v>
      </c>
      <c r="CA84" s="1397">
        <f>'CONCEPTOS Y PARAMETROS'!$A$102</f>
        <v>2120</v>
      </c>
      <c r="CB84" s="1155">
        <f t="shared" si="126"/>
        <v>188.33999999999997</v>
      </c>
      <c r="CC84" s="1156">
        <f t="shared" si="127"/>
        <v>509.25</v>
      </c>
      <c r="CD84" s="514"/>
      <c r="CE84" s="514"/>
      <c r="CF84" s="520"/>
      <c r="CG84" s="497">
        <f t="shared" si="128"/>
        <v>188.33999999999997</v>
      </c>
      <c r="CH84" s="1711">
        <f t="shared" si="129"/>
        <v>300</v>
      </c>
      <c r="CI84" s="497">
        <f t="shared" si="130"/>
        <v>496.75</v>
      </c>
      <c r="CJ84" s="497">
        <f t="shared" si="131"/>
        <v>496.75</v>
      </c>
      <c r="CK84" s="497">
        <f t="shared" si="132"/>
        <v>0</v>
      </c>
      <c r="CL84" s="497">
        <f t="shared" si="133"/>
        <v>0</v>
      </c>
      <c r="CM84" s="497">
        <f t="shared" si="134"/>
        <v>0</v>
      </c>
      <c r="CN84" s="498">
        <f t="shared" si="135"/>
        <v>0</v>
      </c>
      <c r="CO84" s="499">
        <v>0</v>
      </c>
      <c r="CP84" s="498">
        <f t="shared" si="136"/>
        <v>0</v>
      </c>
      <c r="CQ84" s="500">
        <f t="shared" si="137"/>
        <v>12.5</v>
      </c>
      <c r="CR84" s="498">
        <f t="shared" si="138"/>
        <v>0</v>
      </c>
      <c r="CS84" s="498">
        <f t="shared" si="139"/>
        <v>12.5</v>
      </c>
      <c r="CT84" s="498">
        <f t="shared" si="140"/>
        <v>70.27000000000001</v>
      </c>
      <c r="CU84" s="498">
        <f t="shared" si="141"/>
        <v>2120</v>
      </c>
      <c r="CV84" s="1554"/>
      <c r="CW84" s="1195" t="s">
        <v>6963</v>
      </c>
      <c r="CX84" s="1195" t="s">
        <v>7243</v>
      </c>
      <c r="CY84" s="472"/>
      <c r="CZ84" s="1199" t="s">
        <v>6630</v>
      </c>
      <c r="DA84" s="514" t="s">
        <v>6173</v>
      </c>
      <c r="DB84" s="514" t="s">
        <v>6219</v>
      </c>
      <c r="DC84" s="514" t="s">
        <v>6443</v>
      </c>
      <c r="DD84" s="472"/>
      <c r="DE84" s="472"/>
      <c r="DF84" s="472"/>
      <c r="DG84" s="472"/>
      <c r="DH84" s="472"/>
      <c r="DJ84" s="473" t="str">
        <f>VLOOKUP(X84,Hoja1!$A$4:$B$10,2,0)</f>
        <v>TÉCNICO SUPERIOR UNIVERSITARIO</v>
      </c>
      <c r="DK84" s="473" t="str">
        <f>VLOOKUP(S84,Hoja1!$D$4:$F$77,3,0)</f>
        <v>TI</v>
      </c>
      <c r="DL84" s="1216" t="str">
        <f t="shared" si="142"/>
        <v>0</v>
      </c>
      <c r="DM84" s="1741" t="str">
        <f t="shared" si="143"/>
        <v>F</v>
      </c>
      <c r="DN84" s="1741"/>
    </row>
    <row r="85" spans="1:118" s="473" customFormat="1" ht="21.95" customHeight="1">
      <c r="A85" s="510" t="s">
        <v>2846</v>
      </c>
      <c r="B85" s="1390">
        <f t="shared" ca="1" si="144"/>
        <v>43</v>
      </c>
      <c r="C85" s="1194">
        <v>10908510</v>
      </c>
      <c r="D85" s="1195" t="s">
        <v>4728</v>
      </c>
      <c r="E85" s="1180" t="s">
        <v>4622</v>
      </c>
      <c r="F85" s="1196">
        <v>25808</v>
      </c>
      <c r="G85" s="1180" t="s">
        <v>4620</v>
      </c>
      <c r="H85" s="1196">
        <v>39874</v>
      </c>
      <c r="I85" s="1185">
        <f t="shared" si="98"/>
        <v>15</v>
      </c>
      <c r="J85" s="1177">
        <v>6</v>
      </c>
      <c r="K85" s="1185">
        <f t="shared" si="99"/>
        <v>21</v>
      </c>
      <c r="L85" s="1191" t="s">
        <v>5554</v>
      </c>
      <c r="M85" s="1177"/>
      <c r="N85" s="1177"/>
      <c r="O85" s="1040" t="s">
        <v>5218</v>
      </c>
      <c r="P85" s="1177" t="s">
        <v>5309</v>
      </c>
      <c r="Q85" s="1391" t="str">
        <f>IFERROR(VLOOKUP(O85,CARGOS!A:E,2,0),"")</f>
        <v/>
      </c>
      <c r="R85" s="1403" t="s">
        <v>5218</v>
      </c>
      <c r="S85" s="1192" t="s">
        <v>5471</v>
      </c>
      <c r="T85" s="1150">
        <f>IFERROR(VLOOKUP(S85,'TAB EMP'!A:B,2,0),0)</f>
        <v>287</v>
      </c>
      <c r="U85" s="1151">
        <v>0</v>
      </c>
      <c r="V85" s="1150">
        <f t="shared" si="100"/>
        <v>287</v>
      </c>
      <c r="W85" s="1151">
        <f t="shared" si="101"/>
        <v>143.5</v>
      </c>
      <c r="X85" s="1180" t="s">
        <v>2885</v>
      </c>
      <c r="Y85" s="1180"/>
      <c r="Z85" s="1180">
        <v>0</v>
      </c>
      <c r="AA85" s="1150">
        <f>ROUND(IF(H85&lt;&gt;"",VLOOKUP(SUM(I85+J85),'CONCEPTOS Y PARAMETROS'!F:G,2,0)*V85,0),2)</f>
        <v>79.790000000000006</v>
      </c>
      <c r="AB85" s="1150">
        <f>IF(S85&lt;&gt;"",IF(M85="",'CONCEPTOS Y PARAMETROS'!$C$4,0),0)</f>
        <v>130</v>
      </c>
      <c r="AC85" s="1150">
        <f>IF(S85&lt;&gt;"",IF(M85="",'CONCEPTOS Y PARAMETROS'!$C$7*Z85,0),0)</f>
        <v>0</v>
      </c>
      <c r="AD85" s="1150">
        <f>IFERROR(ROUND(VLOOKUP($X85,'CONCEPTOS Y PARAMETROS'!H:I,2,0)*($V85+AA85+AB85+AC85),2),0)</f>
        <v>124.2</v>
      </c>
      <c r="AE85" s="1150">
        <f t="shared" si="102"/>
        <v>333.99</v>
      </c>
      <c r="AF85" s="1150">
        <f t="shared" si="103"/>
        <v>39.9</v>
      </c>
      <c r="AG85" s="1150">
        <f t="shared" si="104"/>
        <v>39.89</v>
      </c>
      <c r="AH85" s="1150">
        <f t="shared" si="105"/>
        <v>65</v>
      </c>
      <c r="AI85" s="1150">
        <f t="shared" si="106"/>
        <v>65</v>
      </c>
      <c r="AJ85" s="1150">
        <f t="shared" si="107"/>
        <v>62.1</v>
      </c>
      <c r="AK85" s="1150">
        <f t="shared" si="108"/>
        <v>62.1</v>
      </c>
      <c r="AL85" s="1151">
        <f t="shared" si="109"/>
        <v>167</v>
      </c>
      <c r="AM85" s="1151">
        <f t="shared" si="110"/>
        <v>166.99</v>
      </c>
      <c r="AN85" s="1028">
        <v>0</v>
      </c>
      <c r="AO85" s="1193">
        <f>'CONCEPTOS Y PARAMETROS'!$C$18*AN85</f>
        <v>0</v>
      </c>
      <c r="AP85" s="1028">
        <v>0</v>
      </c>
      <c r="AQ85" s="1193">
        <f>'CONCEPTOS Y PARAMETROS'!$C$21*AP85</f>
        <v>0</v>
      </c>
      <c r="AR85" s="1394">
        <v>0</v>
      </c>
      <c r="AS85" s="1394">
        <v>0</v>
      </c>
      <c r="AT85" s="1394">
        <f t="shared" si="197"/>
        <v>0</v>
      </c>
      <c r="AU85" s="1151">
        <f t="shared" si="112"/>
        <v>620.99</v>
      </c>
      <c r="AV85" s="1178">
        <v>0</v>
      </c>
      <c r="AW85" s="1151">
        <f t="shared" si="198"/>
        <v>0</v>
      </c>
      <c r="AX85" s="1150">
        <f>IF(T85&lt;&gt;"0",(ROUND(IF(A85="EMPLEADO",eval_formula('CONCEPTOS Y PARAMETROS'!$C$8,NOMINA!V85,NOMINA!$AU85,NOMINA!I85+NOMINA!J85),eval_formula('CONCEPTOS Y PARAMETROS'!$D$8,NOMINA!V85,NOMINA!$AU85,NOMINA!I85+NOMINA!J85)),2))*IF(H85&lt;&gt;"",IF(MONTH(H85)=$BR$8,IF(YEAR(H85)&lt;$BT$7,1,0),0)))</f>
        <v>0</v>
      </c>
      <c r="AY85" s="1151">
        <v>180</v>
      </c>
      <c r="AZ85" s="1150">
        <f>IFERROR(VLOOKUP(AY85,'CONCEPTOS Y PARAMETROS'!Y:Z,2,0),0)</f>
        <v>150</v>
      </c>
      <c r="BA85" s="1150">
        <f t="shared" si="114"/>
        <v>4657.43</v>
      </c>
      <c r="BB85" s="1150">
        <f t="shared" si="145"/>
        <v>0</v>
      </c>
      <c r="BC85" s="1028">
        <v>0</v>
      </c>
      <c r="BD85" s="1150" t="str">
        <f t="shared" si="115"/>
        <v>0</v>
      </c>
      <c r="BE85" s="1028">
        <v>0</v>
      </c>
      <c r="BF85" s="1150">
        <f>ROUND(IF(BE85&gt;0,(((V85+AA85+AB85+AC85+AD85+AW85)/30)*50%+((V85+AA85+AB85+AC85+AD85+AW85)/30))*BE85,"0"),2)</f>
        <v>0</v>
      </c>
      <c r="BG85" s="1151">
        <v>300</v>
      </c>
      <c r="BH85" s="1151">
        <f t="shared" si="117"/>
        <v>0</v>
      </c>
      <c r="BI85" s="1180">
        <v>0</v>
      </c>
      <c r="BJ85" s="1180">
        <f t="shared" si="118"/>
        <v>0</v>
      </c>
      <c r="BK85" s="1151">
        <v>0</v>
      </c>
      <c r="BL85" s="1150">
        <f t="shared" si="170"/>
        <v>22.93</v>
      </c>
      <c r="BM85" s="1150">
        <f t="shared" si="171"/>
        <v>2.87</v>
      </c>
      <c r="BN85" s="1150">
        <f t="shared" si="119"/>
        <v>6.21</v>
      </c>
      <c r="BO85" s="1150">
        <v>0</v>
      </c>
      <c r="BP85" s="1150">
        <v>0</v>
      </c>
      <c r="BQ85" s="1396">
        <f t="shared" si="120"/>
        <v>32.01</v>
      </c>
      <c r="BR85" s="1150">
        <f t="shared" si="172"/>
        <v>51.59</v>
      </c>
      <c r="BS85" s="1150">
        <f t="shared" si="173"/>
        <v>11.46</v>
      </c>
      <c r="BT85" s="1150">
        <f t="shared" si="121"/>
        <v>12.42</v>
      </c>
      <c r="BU85" s="1150">
        <v>0</v>
      </c>
      <c r="BV85" s="1151">
        <f t="shared" si="122"/>
        <v>75.47</v>
      </c>
      <c r="BW85" s="1155">
        <f t="shared" si="123"/>
        <v>107.47999999999999</v>
      </c>
      <c r="BX85" s="1155">
        <f t="shared" si="194"/>
        <v>1164.3599999999999</v>
      </c>
      <c r="BY85" s="1151">
        <v>0</v>
      </c>
      <c r="BZ85" s="1151">
        <f t="shared" si="125"/>
        <v>1164.3599999999999</v>
      </c>
      <c r="CA85" s="1397">
        <f>'CONCEPTOS Y PARAMETROS'!$A$102</f>
        <v>2120</v>
      </c>
      <c r="CB85" s="1155">
        <f t="shared" si="126"/>
        <v>278.49</v>
      </c>
      <c r="CC85" s="1156">
        <f t="shared" si="127"/>
        <v>610.49</v>
      </c>
      <c r="CD85" s="514"/>
      <c r="CE85" s="514"/>
      <c r="CF85" s="520"/>
      <c r="CG85" s="497">
        <f t="shared" si="128"/>
        <v>278.49</v>
      </c>
      <c r="CH85" s="1711">
        <f t="shared" si="129"/>
        <v>300</v>
      </c>
      <c r="CI85" s="497">
        <f t="shared" si="130"/>
        <v>610.49</v>
      </c>
      <c r="CJ85" s="497">
        <f t="shared" si="131"/>
        <v>293.04000000000002</v>
      </c>
      <c r="CK85" s="497">
        <f t="shared" si="132"/>
        <v>317.45</v>
      </c>
      <c r="CL85" s="497">
        <f t="shared" si="133"/>
        <v>0</v>
      </c>
      <c r="CM85" s="497">
        <f t="shared" si="134"/>
        <v>0</v>
      </c>
      <c r="CN85" s="498">
        <f t="shared" si="135"/>
        <v>0</v>
      </c>
      <c r="CO85" s="499">
        <v>0</v>
      </c>
      <c r="CP85" s="498">
        <f t="shared" si="136"/>
        <v>0</v>
      </c>
      <c r="CQ85" s="500">
        <f t="shared" si="137"/>
        <v>0</v>
      </c>
      <c r="CR85" s="498">
        <f t="shared" si="138"/>
        <v>0</v>
      </c>
      <c r="CS85" s="498">
        <f t="shared" si="139"/>
        <v>0</v>
      </c>
      <c r="CT85" s="498">
        <f t="shared" si="140"/>
        <v>107.47999999999999</v>
      </c>
      <c r="CU85" s="498">
        <f t="shared" si="141"/>
        <v>2120</v>
      </c>
      <c r="CV85" s="1554"/>
      <c r="CW85" s="1195" t="s">
        <v>7197</v>
      </c>
      <c r="CX85" s="1195" t="s">
        <v>7244</v>
      </c>
      <c r="CY85" s="472"/>
      <c r="CZ85" s="514" t="s">
        <v>6406</v>
      </c>
      <c r="DA85" s="514" t="s">
        <v>6196</v>
      </c>
      <c r="DB85" s="514" t="s">
        <v>6407</v>
      </c>
      <c r="DC85" s="514" t="s">
        <v>6648</v>
      </c>
      <c r="DD85" s="472"/>
      <c r="DE85" s="472"/>
      <c r="DF85" s="472"/>
      <c r="DG85" s="472"/>
      <c r="DH85" s="472"/>
      <c r="DJ85" s="473" t="str">
        <f>VLOOKUP(X85,Hoja1!$A$4:$B$10,2,0)</f>
        <v>PROFESIONAL</v>
      </c>
      <c r="DK85" s="473" t="str">
        <f>VLOOKUP(S85,Hoja1!$D$4:$F$77,3,0)</f>
        <v>PII - VII</v>
      </c>
      <c r="DL85" s="1216" t="str">
        <f t="shared" si="142"/>
        <v>0</v>
      </c>
      <c r="DM85" s="1741" t="str">
        <f t="shared" si="143"/>
        <v>F</v>
      </c>
      <c r="DN85" s="1741"/>
    </row>
    <row r="86" spans="1:118" s="473" customFormat="1" ht="21.95" customHeight="1">
      <c r="A86" s="510" t="s">
        <v>2846</v>
      </c>
      <c r="B86" s="1390">
        <f t="shared" ca="1" si="144"/>
        <v>44</v>
      </c>
      <c r="C86" s="1194">
        <v>10909245</v>
      </c>
      <c r="D86" s="1195" t="s">
        <v>4729</v>
      </c>
      <c r="E86" s="1180" t="s">
        <v>4622</v>
      </c>
      <c r="F86" s="1196">
        <v>25503</v>
      </c>
      <c r="G86" s="1180" t="s">
        <v>4620</v>
      </c>
      <c r="H86" s="1196">
        <v>36054</v>
      </c>
      <c r="I86" s="1185">
        <f t="shared" si="98"/>
        <v>26</v>
      </c>
      <c r="J86" s="1177">
        <v>0</v>
      </c>
      <c r="K86" s="1185">
        <f t="shared" si="99"/>
        <v>26</v>
      </c>
      <c r="L86" s="1191" t="s">
        <v>5551</v>
      </c>
      <c r="M86" s="1177"/>
      <c r="N86" s="1177"/>
      <c r="O86" s="1040" t="s">
        <v>5221</v>
      </c>
      <c r="P86" s="1177" t="s">
        <v>5310</v>
      </c>
      <c r="Q86" s="1391" t="str">
        <f>IFERROR(VLOOKUP(O86,CARGOS!A:E,2,0),"")</f>
        <v>79512</v>
      </c>
      <c r="R86" s="1403" t="s">
        <v>5221</v>
      </c>
      <c r="S86" s="1192" t="s">
        <v>5484</v>
      </c>
      <c r="T86" s="1150">
        <f>IFERROR(VLOOKUP(S86,'TAB EMP'!A:B,2,0),0)</f>
        <v>228</v>
      </c>
      <c r="U86" s="1151">
        <v>0</v>
      </c>
      <c r="V86" s="1150">
        <f t="shared" si="100"/>
        <v>228</v>
      </c>
      <c r="W86" s="1151">
        <f t="shared" si="101"/>
        <v>114</v>
      </c>
      <c r="X86" s="1180" t="s">
        <v>2844</v>
      </c>
      <c r="Y86" s="1180"/>
      <c r="Z86" s="1180">
        <v>0</v>
      </c>
      <c r="AA86" s="1150">
        <f>ROUND(IF(H86&lt;&gt;"",VLOOKUP(SUM(I86+J86),'CONCEPTOS Y PARAMETROS'!F:G,2,0)*V86,0),2)</f>
        <v>68.400000000000006</v>
      </c>
      <c r="AB86" s="1150">
        <f>IF(S86&lt;&gt;"",IF(M86="",'CONCEPTOS Y PARAMETROS'!$C$4,0),0)</f>
        <v>130</v>
      </c>
      <c r="AC86" s="1150">
        <f>IF(S86&lt;&gt;"",IF(M86="",'CONCEPTOS Y PARAMETROS'!$C$7*Z86,0),0)</f>
        <v>0</v>
      </c>
      <c r="AD86" s="1150">
        <f>IFERROR(ROUND(VLOOKUP($X86,'CONCEPTOS Y PARAMETROS'!H:I,2,0)*($V86+AA86+AB86+AC86),2),0)</f>
        <v>85.28</v>
      </c>
      <c r="AE86" s="1150">
        <f t="shared" si="102"/>
        <v>283.68</v>
      </c>
      <c r="AF86" s="1150">
        <f t="shared" si="103"/>
        <v>34.200000000000003</v>
      </c>
      <c r="AG86" s="1150">
        <f t="shared" si="104"/>
        <v>34.200000000000003</v>
      </c>
      <c r="AH86" s="1150">
        <f t="shared" si="105"/>
        <v>65</v>
      </c>
      <c r="AI86" s="1150">
        <f t="shared" si="106"/>
        <v>65</v>
      </c>
      <c r="AJ86" s="1150">
        <f t="shared" si="107"/>
        <v>42.64</v>
      </c>
      <c r="AK86" s="1150">
        <f t="shared" si="108"/>
        <v>42.64</v>
      </c>
      <c r="AL86" s="1151">
        <f t="shared" si="109"/>
        <v>141.84</v>
      </c>
      <c r="AM86" s="1151">
        <f t="shared" si="110"/>
        <v>141.84</v>
      </c>
      <c r="AN86" s="1028">
        <v>0</v>
      </c>
      <c r="AO86" s="1193">
        <f>'CONCEPTOS Y PARAMETROS'!$C$18*AN86</f>
        <v>0</v>
      </c>
      <c r="AP86" s="1028">
        <v>0</v>
      </c>
      <c r="AQ86" s="1193">
        <f>'CONCEPTOS Y PARAMETROS'!$C$21*AP86</f>
        <v>0</v>
      </c>
      <c r="AR86" s="1394">
        <v>0</v>
      </c>
      <c r="AS86" s="1394">
        <v>0</v>
      </c>
      <c r="AT86" s="1394">
        <f t="shared" si="197"/>
        <v>0</v>
      </c>
      <c r="AU86" s="1151">
        <f t="shared" si="112"/>
        <v>665.18000000000006</v>
      </c>
      <c r="AV86" s="1178" t="s">
        <v>5080</v>
      </c>
      <c r="AW86" s="1151">
        <f t="shared" si="198"/>
        <v>153.5</v>
      </c>
      <c r="AX86" s="1150">
        <f>IF(T86&lt;&gt;"0",(ROUND(IF(A86="EMPLEADO",eval_formula('CONCEPTOS Y PARAMETROS'!$C$8,NOMINA!V86,NOMINA!$AU86,NOMINA!I86+NOMINA!J86),eval_formula('CONCEPTOS Y PARAMETROS'!$D$8,NOMINA!V86,NOMINA!$AU86,NOMINA!I86+NOMINA!J86)),2))*IF(H86&lt;&gt;"",IF(MONTH(H86)=$BR$8,IF(YEAR(H86)&lt;$BT$7,1,0),0)))</f>
        <v>0</v>
      </c>
      <c r="AY86" s="1151">
        <v>180</v>
      </c>
      <c r="AZ86" s="1150">
        <f>IFERROR(VLOOKUP(AY86,'CONCEPTOS Y PARAMETROS'!Y:Z,2,0),0)</f>
        <v>150</v>
      </c>
      <c r="BA86" s="1150">
        <f t="shared" si="114"/>
        <v>4988.8500000000004</v>
      </c>
      <c r="BB86" s="1150">
        <f t="shared" si="145"/>
        <v>0</v>
      </c>
      <c r="BC86" s="1028">
        <v>0</v>
      </c>
      <c r="BD86" s="1150" t="str">
        <f t="shared" si="115"/>
        <v>0</v>
      </c>
      <c r="BE86" s="1028">
        <v>0</v>
      </c>
      <c r="BF86" s="1150">
        <f>ROUND(IF(BE86&gt;0,(((V86+AA86+AB86+AC86+AD86+AW86)/30)*50%+((V86+AA86+AB86+AC86+AD86+AW86)/30))*BE86,"0"),2)</f>
        <v>0</v>
      </c>
      <c r="BG86" s="1151">
        <v>300</v>
      </c>
      <c r="BH86" s="1151">
        <f t="shared" si="117"/>
        <v>0</v>
      </c>
      <c r="BI86" s="1180">
        <v>0</v>
      </c>
      <c r="BJ86" s="1180">
        <f t="shared" si="118"/>
        <v>0</v>
      </c>
      <c r="BK86" s="1151">
        <v>0</v>
      </c>
      <c r="BL86" s="1150">
        <f t="shared" si="170"/>
        <v>24.56</v>
      </c>
      <c r="BM86" s="1150">
        <f t="shared" si="171"/>
        <v>3.07</v>
      </c>
      <c r="BN86" s="1150">
        <f t="shared" si="119"/>
        <v>6.65</v>
      </c>
      <c r="BO86" s="1150">
        <v>0</v>
      </c>
      <c r="BP86" s="1150">
        <v>0</v>
      </c>
      <c r="BQ86" s="1396">
        <f t="shared" si="120"/>
        <v>34.28</v>
      </c>
      <c r="BR86" s="1150">
        <f t="shared" si="172"/>
        <v>55.26</v>
      </c>
      <c r="BS86" s="1150">
        <f t="shared" si="173"/>
        <v>12.28</v>
      </c>
      <c r="BT86" s="1150">
        <f t="shared" si="121"/>
        <v>13.3</v>
      </c>
      <c r="BU86" s="1150">
        <v>0</v>
      </c>
      <c r="BV86" s="1151">
        <f t="shared" si="122"/>
        <v>80.84</v>
      </c>
      <c r="BW86" s="1155">
        <f t="shared" si="123"/>
        <v>115.12</v>
      </c>
      <c r="BX86" s="1155">
        <f t="shared" si="194"/>
        <v>1247.21</v>
      </c>
      <c r="BY86" s="1151">
        <v>0</v>
      </c>
      <c r="BZ86" s="1151">
        <f t="shared" si="125"/>
        <v>1247.21</v>
      </c>
      <c r="CA86" s="1397">
        <f>'CONCEPTOS Y PARAMETROS'!$A$102</f>
        <v>2120</v>
      </c>
      <c r="CB86" s="1155">
        <f t="shared" si="126"/>
        <v>221.56</v>
      </c>
      <c r="CC86" s="1156">
        <f t="shared" si="127"/>
        <v>709.34</v>
      </c>
      <c r="CD86" s="514"/>
      <c r="CE86" s="514"/>
      <c r="CF86" s="520"/>
      <c r="CG86" s="497">
        <f t="shared" si="128"/>
        <v>221.56</v>
      </c>
      <c r="CH86" s="1711">
        <f t="shared" si="129"/>
        <v>300</v>
      </c>
      <c r="CI86" s="497">
        <f t="shared" si="130"/>
        <v>555.84</v>
      </c>
      <c r="CJ86" s="497">
        <f t="shared" si="131"/>
        <v>555.84</v>
      </c>
      <c r="CK86" s="497">
        <f t="shared" si="132"/>
        <v>0</v>
      </c>
      <c r="CL86" s="497">
        <f t="shared" si="133"/>
        <v>0</v>
      </c>
      <c r="CM86" s="497">
        <f t="shared" si="134"/>
        <v>0</v>
      </c>
      <c r="CN86" s="498">
        <f t="shared" si="135"/>
        <v>0</v>
      </c>
      <c r="CO86" s="499">
        <v>0</v>
      </c>
      <c r="CP86" s="498">
        <f t="shared" si="136"/>
        <v>153.5</v>
      </c>
      <c r="CQ86" s="500">
        <f t="shared" si="137"/>
        <v>0</v>
      </c>
      <c r="CR86" s="498">
        <f t="shared" si="138"/>
        <v>0</v>
      </c>
      <c r="CS86" s="498">
        <f t="shared" si="139"/>
        <v>153.5</v>
      </c>
      <c r="CT86" s="498">
        <f t="shared" si="140"/>
        <v>115.12</v>
      </c>
      <c r="CU86" s="498">
        <f t="shared" si="141"/>
        <v>2120</v>
      </c>
      <c r="CV86" s="1554"/>
      <c r="CW86" s="1195" t="s">
        <v>6997</v>
      </c>
      <c r="CX86" s="1195" t="s">
        <v>6964</v>
      </c>
      <c r="CY86" s="472"/>
      <c r="CZ86" s="514" t="s">
        <v>6364</v>
      </c>
      <c r="DA86" s="514" t="s">
        <v>6173</v>
      </c>
      <c r="DB86" s="514" t="s">
        <v>6213</v>
      </c>
      <c r="DC86" s="514" t="s">
        <v>6358</v>
      </c>
      <c r="DD86" s="514"/>
      <c r="DE86" s="472"/>
      <c r="DF86" s="472"/>
      <c r="DG86" s="472"/>
      <c r="DH86" s="472"/>
      <c r="DJ86" s="473" t="str">
        <f>VLOOKUP(X86,Hoja1!$A$4:$B$10,2,0)</f>
        <v>TÉCNICO SUPERIOR UNIVERSITARIO</v>
      </c>
      <c r="DK86" s="473" t="str">
        <f>VLOOKUP(S86,Hoja1!$D$4:$F$77,3,0)</f>
        <v>TII - VII</v>
      </c>
      <c r="DL86" s="1216" t="str">
        <f t="shared" si="142"/>
        <v>SI</v>
      </c>
      <c r="DM86" s="1741" t="str">
        <f t="shared" si="143"/>
        <v>F</v>
      </c>
      <c r="DN86" s="1741"/>
    </row>
    <row r="87" spans="1:118" s="1654" customFormat="1" ht="21.95" customHeight="1">
      <c r="A87" s="1624" t="s">
        <v>2846</v>
      </c>
      <c r="B87" s="1625">
        <f t="shared" ca="1" si="144"/>
        <v>45</v>
      </c>
      <c r="C87" s="1626">
        <v>10910698</v>
      </c>
      <c r="D87" s="1627" t="s">
        <v>4730</v>
      </c>
      <c r="E87" s="1628" t="s">
        <v>4622</v>
      </c>
      <c r="F87" s="1629">
        <v>26146</v>
      </c>
      <c r="G87" s="1628" t="s">
        <v>4621</v>
      </c>
      <c r="H87" s="1629">
        <v>43891</v>
      </c>
      <c r="I87" s="1630">
        <f t="shared" si="98"/>
        <v>4</v>
      </c>
      <c r="J87" s="1631">
        <v>0</v>
      </c>
      <c r="K87" s="1630">
        <f t="shared" si="99"/>
        <v>4</v>
      </c>
      <c r="L87" s="1632" t="s">
        <v>5549</v>
      </c>
      <c r="M87" s="1631"/>
      <c r="N87" s="1631"/>
      <c r="O87" s="1633" t="s">
        <v>7422</v>
      </c>
      <c r="P87" s="1631" t="s">
        <v>5311</v>
      </c>
      <c r="Q87" s="1634" t="str">
        <f>IFERROR(VLOOKUP(O87,CARGOS!A:E,2,0),"")</f>
        <v>12112</v>
      </c>
      <c r="R87" s="1635" t="s">
        <v>5219</v>
      </c>
      <c r="S87" s="1636" t="s">
        <v>5490</v>
      </c>
      <c r="T87" s="1637">
        <f>IFERROR(VLOOKUP(S87,'TAB EMP'!A:B,2,0),0)</f>
        <v>150</v>
      </c>
      <c r="U87" s="1638">
        <v>0</v>
      </c>
      <c r="V87" s="1637">
        <f t="shared" si="100"/>
        <v>150</v>
      </c>
      <c r="W87" s="1638">
        <f t="shared" si="101"/>
        <v>75</v>
      </c>
      <c r="X87" s="1628" t="s">
        <v>2884</v>
      </c>
      <c r="Y87" s="1628"/>
      <c r="Z87" s="1628">
        <v>0</v>
      </c>
      <c r="AA87" s="1637">
        <f>ROUND(IF(H87&lt;&gt;"",VLOOKUP(SUM(I87+J87),'CONCEPTOS Y PARAMETROS'!F:G,2,0)*V87,0),2)</f>
        <v>6</v>
      </c>
      <c r="AB87" s="1637">
        <f>IF(S87&lt;&gt;"",IF(M87="",'CONCEPTOS Y PARAMETROS'!$C$4,0),0)</f>
        <v>130</v>
      </c>
      <c r="AC87" s="1637">
        <f>IF(S87&lt;&gt;"",IF(M87="",'CONCEPTOS Y PARAMETROS'!$C$7*Z87,0),0)</f>
        <v>0</v>
      </c>
      <c r="AD87" s="1637">
        <f>IFERROR(ROUND(VLOOKUP($X87,'CONCEPTOS Y PARAMETROS'!H:I,2,0)*($V87+AA87+AB87+AC87),2),0)</f>
        <v>0</v>
      </c>
      <c r="AE87" s="1637">
        <f t="shared" si="102"/>
        <v>136</v>
      </c>
      <c r="AF87" s="1637">
        <f t="shared" si="103"/>
        <v>3</v>
      </c>
      <c r="AG87" s="1637">
        <f t="shared" si="104"/>
        <v>3</v>
      </c>
      <c r="AH87" s="1637">
        <f t="shared" si="105"/>
        <v>65</v>
      </c>
      <c r="AI87" s="1637">
        <f t="shared" si="106"/>
        <v>65</v>
      </c>
      <c r="AJ87" s="1637">
        <f t="shared" si="107"/>
        <v>0</v>
      </c>
      <c r="AK87" s="1637">
        <f t="shared" si="108"/>
        <v>0</v>
      </c>
      <c r="AL87" s="1638">
        <f t="shared" si="109"/>
        <v>68</v>
      </c>
      <c r="AM87" s="1638">
        <f t="shared" si="110"/>
        <v>68</v>
      </c>
      <c r="AN87" s="1639">
        <v>0</v>
      </c>
      <c r="AO87" s="1640">
        <f>'CONCEPTOS Y PARAMETROS'!$C$18*AN87</f>
        <v>0</v>
      </c>
      <c r="AP87" s="1639">
        <v>0</v>
      </c>
      <c r="AQ87" s="1640">
        <f>'CONCEPTOS Y PARAMETROS'!$C$21*AP87</f>
        <v>0</v>
      </c>
      <c r="AR87" s="1641">
        <v>0</v>
      </c>
      <c r="AS87" s="1641">
        <v>0</v>
      </c>
      <c r="AT87" s="1641">
        <f t="shared" si="197"/>
        <v>0</v>
      </c>
      <c r="AU87" s="1638">
        <f t="shared" si="112"/>
        <v>286</v>
      </c>
      <c r="AV87" s="1642">
        <v>0</v>
      </c>
      <c r="AW87" s="1638">
        <f t="shared" si="198"/>
        <v>0</v>
      </c>
      <c r="AX87" s="1637">
        <f>IF(T87&lt;&gt;"0",(ROUND(IF(A87="EMPLEADO",eval_formula('CONCEPTOS Y PARAMETROS'!$C$8,NOMINA!V87,NOMINA!$AU87,NOMINA!I87+NOMINA!J87),eval_formula('CONCEPTOS Y PARAMETROS'!$D$8,NOMINA!V87,NOMINA!$AU87,NOMINA!I87+NOMINA!J87)),2))*IF(H87&lt;&gt;"",IF(MONTH(H87)=$BR$8,IF(YEAR(H87)&lt;$BT$7,1,0),0)))</f>
        <v>0</v>
      </c>
      <c r="AY87" s="1638">
        <v>180</v>
      </c>
      <c r="AZ87" s="1637">
        <f>IFERROR(VLOOKUP(AY87,'CONCEPTOS Y PARAMETROS'!Y:Z,2,0),0)</f>
        <v>150</v>
      </c>
      <c r="BA87" s="1637">
        <f t="shared" si="114"/>
        <v>2145</v>
      </c>
      <c r="BB87" s="1637">
        <f t="shared" si="145"/>
        <v>0</v>
      </c>
      <c r="BC87" s="1639">
        <v>0</v>
      </c>
      <c r="BD87" s="1637" t="str">
        <f t="shared" si="115"/>
        <v>0</v>
      </c>
      <c r="BE87" s="1639">
        <v>0</v>
      </c>
      <c r="BF87" s="1637">
        <f>ROUND(IF(BE87&gt;0,(((V87+AA87+AB87+AC87+AD87+AW87)/30)*50%+((V87+AA87+AB87+AC87+AD87+AW87)/30))*BE87,"0"),2)</f>
        <v>0</v>
      </c>
      <c r="BG87" s="1638">
        <v>300</v>
      </c>
      <c r="BH87" s="1638">
        <f t="shared" si="117"/>
        <v>0</v>
      </c>
      <c r="BI87" s="1628">
        <v>0</v>
      </c>
      <c r="BJ87" s="1628">
        <f t="shared" si="118"/>
        <v>0</v>
      </c>
      <c r="BK87" s="1638">
        <v>0</v>
      </c>
      <c r="BL87" s="1637">
        <f t="shared" si="170"/>
        <v>10.56</v>
      </c>
      <c r="BM87" s="1637">
        <f t="shared" si="171"/>
        <v>1.32</v>
      </c>
      <c r="BN87" s="1637">
        <f t="shared" si="119"/>
        <v>2.86</v>
      </c>
      <c r="BO87" s="1637">
        <v>0</v>
      </c>
      <c r="BP87" s="1637">
        <v>0</v>
      </c>
      <c r="BQ87" s="1643">
        <f t="shared" si="120"/>
        <v>14.74</v>
      </c>
      <c r="BR87" s="1637">
        <f t="shared" si="172"/>
        <v>23.76</v>
      </c>
      <c r="BS87" s="1637">
        <f t="shared" si="173"/>
        <v>5.28</v>
      </c>
      <c r="BT87" s="1637">
        <f t="shared" si="121"/>
        <v>5.72</v>
      </c>
      <c r="BU87" s="1637">
        <v>0</v>
      </c>
      <c r="BV87" s="1638">
        <f t="shared" si="122"/>
        <v>34.76</v>
      </c>
      <c r="BW87" s="1644">
        <f t="shared" si="123"/>
        <v>49.5</v>
      </c>
      <c r="BX87" s="1644">
        <f t="shared" si="194"/>
        <v>536.25</v>
      </c>
      <c r="BY87" s="1638">
        <v>0</v>
      </c>
      <c r="BZ87" s="1638">
        <f t="shared" si="125"/>
        <v>536.25</v>
      </c>
      <c r="CA87" s="1645">
        <f>'CONCEPTOS Y PARAMETROS'!$A$102</f>
        <v>2120</v>
      </c>
      <c r="CB87" s="1644">
        <f t="shared" si="126"/>
        <v>128.26</v>
      </c>
      <c r="CC87" s="1646">
        <f t="shared" si="127"/>
        <v>443</v>
      </c>
      <c r="CD87" s="1647"/>
      <c r="CE87" s="1647"/>
      <c r="CF87" s="1648"/>
      <c r="CG87" s="1649">
        <f t="shared" si="128"/>
        <v>128.26</v>
      </c>
      <c r="CH87" s="1713">
        <f t="shared" si="129"/>
        <v>300</v>
      </c>
      <c r="CI87" s="1649">
        <f t="shared" si="130"/>
        <v>443</v>
      </c>
      <c r="CJ87" s="1649">
        <f t="shared" si="131"/>
        <v>443</v>
      </c>
      <c r="CK87" s="1649">
        <f t="shared" si="132"/>
        <v>0</v>
      </c>
      <c r="CL87" s="1649">
        <f t="shared" si="133"/>
        <v>0</v>
      </c>
      <c r="CM87" s="1649">
        <f t="shared" si="134"/>
        <v>0</v>
      </c>
      <c r="CN87" s="1650">
        <f t="shared" si="135"/>
        <v>0</v>
      </c>
      <c r="CO87" s="1651">
        <v>0</v>
      </c>
      <c r="CP87" s="1650">
        <f t="shared" si="136"/>
        <v>0</v>
      </c>
      <c r="CQ87" s="1652">
        <f t="shared" si="137"/>
        <v>0</v>
      </c>
      <c r="CR87" s="1650">
        <f t="shared" si="138"/>
        <v>0</v>
      </c>
      <c r="CS87" s="1650">
        <f t="shared" si="139"/>
        <v>0</v>
      </c>
      <c r="CT87" s="1650">
        <f t="shared" si="140"/>
        <v>49.5</v>
      </c>
      <c r="CU87" s="1650">
        <f t="shared" si="141"/>
        <v>2120</v>
      </c>
      <c r="CV87" s="1653"/>
      <c r="CW87" s="1627" t="s">
        <v>6938</v>
      </c>
      <c r="CX87" s="1627" t="s">
        <v>7245</v>
      </c>
      <c r="CY87" s="1647"/>
      <c r="CZ87" s="1647" t="s">
        <v>6459</v>
      </c>
      <c r="DA87" s="1647" t="s">
        <v>6169</v>
      </c>
      <c r="DB87" s="1647" t="s">
        <v>6170</v>
      </c>
      <c r="DC87" s="1647" t="s">
        <v>6625</v>
      </c>
      <c r="DD87" s="1647"/>
      <c r="DE87" s="1647"/>
      <c r="DF87" s="1647"/>
      <c r="DG87" s="1647"/>
      <c r="DH87" s="1647"/>
      <c r="DJ87" s="1654" t="str">
        <f>VLOOKUP(X87,Hoja1!$A$4:$B$10,2,0)</f>
        <v>BACHILLER</v>
      </c>
      <c r="DK87" s="1654" t="str">
        <f>VLOOKUP(S87,Hoja1!$D$4:$F$77,3,0)</f>
        <v>BII - II</v>
      </c>
      <c r="DL87" s="1655" t="str">
        <f t="shared" si="142"/>
        <v>0</v>
      </c>
      <c r="DM87" s="1742" t="str">
        <f t="shared" si="143"/>
        <v>M</v>
      </c>
      <c r="DN87" s="1742"/>
    </row>
    <row r="88" spans="1:118" s="930" customFormat="1" ht="21.95" customHeight="1">
      <c r="A88" s="929" t="s">
        <v>2846</v>
      </c>
      <c r="B88" s="1404">
        <f ca="1">OFFSET(B88,-1,0)+1</f>
        <v>46</v>
      </c>
      <c r="C88" s="1405">
        <v>10912595</v>
      </c>
      <c r="D88" s="1406" t="s">
        <v>4681</v>
      </c>
      <c r="E88" s="1407" t="s">
        <v>4622</v>
      </c>
      <c r="F88" s="1408">
        <v>25224</v>
      </c>
      <c r="G88" s="1407" t="s">
        <v>4621</v>
      </c>
      <c r="H88" s="1408">
        <v>36039</v>
      </c>
      <c r="I88" s="1409">
        <f t="shared" si="98"/>
        <v>26</v>
      </c>
      <c r="J88" s="1410">
        <v>0</v>
      </c>
      <c r="K88" s="1409">
        <f t="shared" si="99"/>
        <v>26</v>
      </c>
      <c r="L88" s="1411" t="s">
        <v>5541</v>
      </c>
      <c r="M88" s="1410"/>
      <c r="N88" s="1410"/>
      <c r="O88" s="1412" t="s">
        <v>5221</v>
      </c>
      <c r="P88" s="1410" t="s">
        <v>5204</v>
      </c>
      <c r="Q88" s="1413" t="str">
        <f>IFERROR(VLOOKUP(O88,CARGOS!A:E,2,0),"")</f>
        <v>79512</v>
      </c>
      <c r="R88" s="1412" t="s">
        <v>5221</v>
      </c>
      <c r="S88" s="1414" t="s">
        <v>5476</v>
      </c>
      <c r="T88" s="1415">
        <v>0</v>
      </c>
      <c r="U88" s="1382">
        <v>0</v>
      </c>
      <c r="V88" s="1415">
        <f>T88-U88</f>
        <v>0</v>
      </c>
      <c r="W88" s="1382">
        <f>ROUND(V88/2,2)</f>
        <v>0</v>
      </c>
      <c r="X88" s="1407" t="s">
        <v>2884</v>
      </c>
      <c r="Y88" s="1407"/>
      <c r="Z88" s="1407">
        <v>0</v>
      </c>
      <c r="AA88" s="1415">
        <f>ROUND(IF(H88&lt;&gt;"",VLOOKUP(SUM(I88+J88),'CONCEPTOS Y PARAMETROS'!F:G,2,0)*V88,0),2)</f>
        <v>0</v>
      </c>
      <c r="AB88" s="1415">
        <v>0</v>
      </c>
      <c r="AC88" s="1415">
        <v>0</v>
      </c>
      <c r="AD88" s="1415">
        <f>IFERROR(ROUND(VLOOKUP($X88,'CONCEPTOS Y PARAMETROS'!H:I,2,0)*($V88+AA88+AB88+AC88),2),0)</f>
        <v>0</v>
      </c>
      <c r="AE88" s="1415">
        <f>SUM(AA88:AD88)</f>
        <v>0</v>
      </c>
      <c r="AF88" s="1415">
        <f>ROUND(AA88/2,2)</f>
        <v>0</v>
      </c>
      <c r="AG88" s="1415">
        <f>ROUND(AA88-AF88,2)</f>
        <v>0</v>
      </c>
      <c r="AH88" s="1415">
        <f>ROUND(AB88/2,2)</f>
        <v>0</v>
      </c>
      <c r="AI88" s="1415">
        <f>ROUND(AB88-AH88,2)</f>
        <v>0</v>
      </c>
      <c r="AJ88" s="1415">
        <f>ROUND(AD88/2,2)</f>
        <v>0</v>
      </c>
      <c r="AK88" s="1415">
        <f>ROUND(AD88-AJ88,2)</f>
        <v>0</v>
      </c>
      <c r="AL88" s="1382">
        <f>ROUND(AF88+AH88+AJ88+AC88,2)</f>
        <v>0</v>
      </c>
      <c r="AM88" s="1382">
        <f>ROUND(AG88+AI88+AK88,2)</f>
        <v>0</v>
      </c>
      <c r="AN88" s="1416">
        <v>0</v>
      </c>
      <c r="AO88" s="1417">
        <v>0</v>
      </c>
      <c r="AP88" s="1416">
        <v>0</v>
      </c>
      <c r="AQ88" s="1417">
        <f>'CONCEPTOS Y PARAMETROS'!$C$21*AP88</f>
        <v>0</v>
      </c>
      <c r="AR88" s="1418">
        <v>0</v>
      </c>
      <c r="AS88" s="1418">
        <v>0</v>
      </c>
      <c r="AT88" s="1418">
        <f>+AO88+AQ88+AR88+AS88</f>
        <v>0</v>
      </c>
      <c r="AU88" s="1382">
        <f>V88+AE88+AW88</f>
        <v>0</v>
      </c>
      <c r="AV88" s="1419">
        <v>0</v>
      </c>
      <c r="AW88" s="1382">
        <f>ROUND(IF(O88="VIGILANTE",(V88+AE88)*30%,0),2)</f>
        <v>0</v>
      </c>
      <c r="AX88" s="1415">
        <f>IF(T88&lt;&gt;"0",(ROUND(IF(A88="EMPLEADO",eval_formula('CONCEPTOS Y PARAMETROS'!$C$8,NOMINA!V88,NOMINA!$AU88,NOMINA!I88+NOMINA!J88),eval_formula('CONCEPTOS Y PARAMETROS'!$D$8,NOMINA!V88,NOMINA!$AU88,NOMINA!I88+NOMINA!J88)),2))*IF(H88&lt;&gt;"",IF(MONTH(H88)=$BR$8,IF(YEAR(H88)&lt;$BT$7,1,0),0)))</f>
        <v>0</v>
      </c>
      <c r="AY88" s="1382">
        <v>180</v>
      </c>
      <c r="AZ88" s="1415">
        <f>IFERROR(VLOOKUP(AY88,'CONCEPTOS Y PARAMETROS'!Y:Z,2,0),0)</f>
        <v>150</v>
      </c>
      <c r="BA88" s="1415">
        <f>ROUND((((AU88))/30*AY88/12+(AU88))/30*AZ88,2)</f>
        <v>0</v>
      </c>
      <c r="BB88" s="1415">
        <f t="shared" si="145"/>
        <v>0</v>
      </c>
      <c r="BC88" s="1416">
        <v>0</v>
      </c>
      <c r="BD88" s="1415" t="str">
        <f>IF(BC88&gt;0,((((((V88+AA88+AB88+AC88+AD88)/30)/8)*50%)+((((V88+AA88+AB88+AC88+AD88)/30)/8)))*30%+(((((V88+AA88+AB88+AC88+AD88)/30)/8)*50%)+((((V88+AA88+AB88+AC88+AD88)/30)/8))))*BC88,"0")</f>
        <v>0</v>
      </c>
      <c r="BE88" s="1416">
        <v>0</v>
      </c>
      <c r="BF88" s="1415">
        <f>ROUND(IF(BE88&gt;0,(((V88+AA88+AB88+AC88+AD88)/30)*50%+((V88+AA88+AB88+AC88+AD88)/30))*BE88,"0"),2)</f>
        <v>0</v>
      </c>
      <c r="BG88" s="1382">
        <v>0</v>
      </c>
      <c r="BH88" s="1382">
        <f t="shared" si="117"/>
        <v>0</v>
      </c>
      <c r="BI88" s="1382">
        <v>0</v>
      </c>
      <c r="BJ88" s="1382">
        <f t="shared" si="118"/>
        <v>0</v>
      </c>
      <c r="BK88" s="1382">
        <v>0</v>
      </c>
      <c r="BL88" s="1415">
        <f t="shared" si="170"/>
        <v>0</v>
      </c>
      <c r="BM88" s="1415">
        <f t="shared" si="171"/>
        <v>0</v>
      </c>
      <c r="BN88" s="1415">
        <f t="shared" si="119"/>
        <v>0</v>
      </c>
      <c r="BO88" s="1415">
        <v>0</v>
      </c>
      <c r="BP88" s="1415">
        <v>0</v>
      </c>
      <c r="BQ88" s="1420">
        <f>ROUND(SUM(BL88:BP88),2)</f>
        <v>0</v>
      </c>
      <c r="BR88" s="1415">
        <f t="shared" si="172"/>
        <v>0</v>
      </c>
      <c r="BS88" s="1415">
        <f t="shared" si="173"/>
        <v>0</v>
      </c>
      <c r="BT88" s="1415">
        <f t="shared" si="121"/>
        <v>0</v>
      </c>
      <c r="BU88" s="1415">
        <v>0</v>
      </c>
      <c r="BV88" s="1382">
        <f>ROUND(SUM(BR88:BT88),2)</f>
        <v>0</v>
      </c>
      <c r="BW88" s="1379">
        <f>BQ88+BV88</f>
        <v>0</v>
      </c>
      <c r="BX88" s="1379">
        <f t="shared" si="194"/>
        <v>0</v>
      </c>
      <c r="BY88" s="1382">
        <v>0</v>
      </c>
      <c r="BZ88" s="1382">
        <f t="shared" si="125"/>
        <v>0</v>
      </c>
      <c r="CA88" s="1421">
        <v>0</v>
      </c>
      <c r="CB88" s="1379">
        <f t="shared" si="126"/>
        <v>0</v>
      </c>
      <c r="CC88" s="1422">
        <f t="shared" si="127"/>
        <v>0</v>
      </c>
      <c r="CD88" s="514"/>
      <c r="CE88" s="514"/>
      <c r="CG88" s="931">
        <f t="shared" si="128"/>
        <v>0</v>
      </c>
      <c r="CH88" s="1714">
        <f t="shared" si="129"/>
        <v>0</v>
      </c>
      <c r="CI88" s="931">
        <f t="shared" si="130"/>
        <v>0</v>
      </c>
      <c r="CJ88" s="931">
        <f t="shared" si="131"/>
        <v>0</v>
      </c>
      <c r="CK88" s="931">
        <f t="shared" si="132"/>
        <v>0</v>
      </c>
      <c r="CL88" s="931">
        <f t="shared" si="133"/>
        <v>0</v>
      </c>
      <c r="CM88" s="931">
        <f t="shared" si="134"/>
        <v>0</v>
      </c>
      <c r="CN88" s="932">
        <f t="shared" si="135"/>
        <v>0</v>
      </c>
      <c r="CO88" s="933">
        <v>0</v>
      </c>
      <c r="CP88" s="932">
        <f t="shared" si="136"/>
        <v>0</v>
      </c>
      <c r="CQ88" s="934">
        <f t="shared" si="137"/>
        <v>0</v>
      </c>
      <c r="CR88" s="932">
        <f t="shared" si="138"/>
        <v>0</v>
      </c>
      <c r="CS88" s="932">
        <f t="shared" si="139"/>
        <v>0</v>
      </c>
      <c r="CT88" s="932">
        <f t="shared" si="140"/>
        <v>0</v>
      </c>
      <c r="CU88" s="932">
        <f t="shared" si="141"/>
        <v>0</v>
      </c>
      <c r="CV88" s="1557"/>
      <c r="CW88" s="1406" t="s">
        <v>6943</v>
      </c>
      <c r="CX88" s="1406" t="s">
        <v>6944</v>
      </c>
      <c r="CY88" s="935"/>
      <c r="CZ88" s="514"/>
      <c r="DA88" s="478"/>
      <c r="DB88" s="514"/>
      <c r="DC88" s="514"/>
      <c r="DD88" s="935"/>
      <c r="DE88" s="935"/>
      <c r="DF88" s="935"/>
      <c r="DG88" s="935"/>
      <c r="DH88" s="935"/>
      <c r="DJ88" s="930" t="str">
        <f>VLOOKUP(X88,Hoja1!$A$4:$B$10,2,0)</f>
        <v>BACHILLER</v>
      </c>
      <c r="DK88" s="930" t="str">
        <f>VLOOKUP(S88,Hoja1!$D$4:$F$77,3,0)</f>
        <v>BIII - VII</v>
      </c>
      <c r="DL88" s="1217" t="str">
        <f t="shared" si="142"/>
        <v>0</v>
      </c>
      <c r="DM88" s="1745" t="str">
        <f t="shared" si="143"/>
        <v>M</v>
      </c>
      <c r="DN88" s="1745"/>
    </row>
    <row r="89" spans="1:118" s="473" customFormat="1" ht="21.95" customHeight="1">
      <c r="A89" s="510" t="s">
        <v>2846</v>
      </c>
      <c r="B89" s="1390">
        <f t="shared" ca="1" si="144"/>
        <v>47</v>
      </c>
      <c r="C89" s="1194">
        <v>10913178</v>
      </c>
      <c r="D89" s="1195" t="s">
        <v>4733</v>
      </c>
      <c r="E89" s="1180" t="s">
        <v>4622</v>
      </c>
      <c r="F89" s="1196">
        <v>25604</v>
      </c>
      <c r="G89" s="1180" t="s">
        <v>4620</v>
      </c>
      <c r="H89" s="1196">
        <v>44805</v>
      </c>
      <c r="I89" s="1185">
        <f t="shared" si="98"/>
        <v>2</v>
      </c>
      <c r="J89" s="1177">
        <v>9</v>
      </c>
      <c r="K89" s="1185">
        <f t="shared" si="99"/>
        <v>11</v>
      </c>
      <c r="L89" s="1191" t="s">
        <v>5554</v>
      </c>
      <c r="M89" s="1177"/>
      <c r="N89" s="1177"/>
      <c r="O89" s="1040" t="s">
        <v>5236</v>
      </c>
      <c r="P89" s="1177" t="s">
        <v>5313</v>
      </c>
      <c r="Q89" s="1391" t="str">
        <f>IFERROR(VLOOKUP(O89,CARGOS!A:E,2,0),"")</f>
        <v>79330</v>
      </c>
      <c r="R89" s="1403" t="s">
        <v>5236</v>
      </c>
      <c r="S89" s="1192" t="s">
        <v>5478</v>
      </c>
      <c r="T89" s="1150">
        <f>IFERROR(VLOOKUP(S89,'TAB EMP'!A:B,2,0),0)</f>
        <v>172</v>
      </c>
      <c r="U89" s="1151">
        <v>0</v>
      </c>
      <c r="V89" s="1150">
        <f t="shared" si="100"/>
        <v>172</v>
      </c>
      <c r="W89" s="1151">
        <f t="shared" si="101"/>
        <v>86</v>
      </c>
      <c r="X89" s="1180" t="s">
        <v>2884</v>
      </c>
      <c r="Y89" s="1180"/>
      <c r="Z89" s="1180">
        <v>0</v>
      </c>
      <c r="AA89" s="1150">
        <f>ROUND(IF(H89&lt;&gt;"",VLOOKUP(SUM(I89+J89),'CONCEPTOS Y PARAMETROS'!F:G,2,0)*V89,0),2)</f>
        <v>21.33</v>
      </c>
      <c r="AB89" s="1150">
        <f>IF(S89&lt;&gt;"",IF(M89="",'CONCEPTOS Y PARAMETROS'!$C$4,0),0)</f>
        <v>130</v>
      </c>
      <c r="AC89" s="1150">
        <f>IF(S89&lt;&gt;"",IF(M89="",'CONCEPTOS Y PARAMETROS'!$C$7*Z89,0),0)</f>
        <v>0</v>
      </c>
      <c r="AD89" s="1150">
        <f>IFERROR(ROUND(VLOOKUP($X89,'CONCEPTOS Y PARAMETROS'!H:I,2,0)*($V89+AA89+AB89+AC89),2),0)</f>
        <v>0</v>
      </c>
      <c r="AE89" s="1150">
        <f t="shared" si="102"/>
        <v>151.32999999999998</v>
      </c>
      <c r="AF89" s="1150">
        <f t="shared" si="103"/>
        <v>10.67</v>
      </c>
      <c r="AG89" s="1150">
        <f t="shared" si="104"/>
        <v>10.66</v>
      </c>
      <c r="AH89" s="1150">
        <f t="shared" si="105"/>
        <v>65</v>
      </c>
      <c r="AI89" s="1150">
        <f t="shared" si="106"/>
        <v>65</v>
      </c>
      <c r="AJ89" s="1150">
        <f t="shared" si="107"/>
        <v>0</v>
      </c>
      <c r="AK89" s="1150">
        <f t="shared" si="108"/>
        <v>0</v>
      </c>
      <c r="AL89" s="1151">
        <f t="shared" si="109"/>
        <v>75.67</v>
      </c>
      <c r="AM89" s="1151">
        <f t="shared" si="110"/>
        <v>75.66</v>
      </c>
      <c r="AN89" s="1028">
        <v>0</v>
      </c>
      <c r="AO89" s="1193">
        <f>'CONCEPTOS Y PARAMETROS'!$C$18*AN89</f>
        <v>0</v>
      </c>
      <c r="AP89" s="1028">
        <v>0</v>
      </c>
      <c r="AQ89" s="1193">
        <f>'CONCEPTOS Y PARAMETROS'!$C$21*AP89</f>
        <v>0</v>
      </c>
      <c r="AR89" s="1394">
        <v>0</v>
      </c>
      <c r="AS89" s="1394">
        <v>0</v>
      </c>
      <c r="AT89" s="1394">
        <f t="shared" si="197"/>
        <v>0</v>
      </c>
      <c r="AU89" s="1151">
        <f t="shared" si="112"/>
        <v>323.33</v>
      </c>
      <c r="AV89" s="1178">
        <v>0</v>
      </c>
      <c r="AW89" s="1151">
        <f t="shared" si="198"/>
        <v>0</v>
      </c>
      <c r="AX89" s="1150">
        <f>IF(T89&lt;&gt;"0",(ROUND(IF(A89="EMPLEADO",eval_formula('CONCEPTOS Y PARAMETROS'!$C$8,NOMINA!V89,NOMINA!$AU89,NOMINA!I89+NOMINA!J89),eval_formula('CONCEPTOS Y PARAMETROS'!$D$8,NOMINA!V89,NOMINA!$AU89,NOMINA!I89+NOMINA!J89)),2))*IF(H89&lt;&gt;"",IF(MONTH(H89)=$BR$8,IF(YEAR(H89)&lt;$BT$7,1,0),0)))</f>
        <v>0</v>
      </c>
      <c r="AY89" s="1151">
        <v>180</v>
      </c>
      <c r="AZ89" s="1150">
        <f>IFERROR(VLOOKUP(AY89,'CONCEPTOS Y PARAMETROS'!Y:Z,2,0),0)</f>
        <v>150</v>
      </c>
      <c r="BA89" s="1150">
        <f t="shared" si="114"/>
        <v>2424.98</v>
      </c>
      <c r="BB89" s="1150">
        <f t="shared" si="145"/>
        <v>0</v>
      </c>
      <c r="BC89" s="1028">
        <v>0</v>
      </c>
      <c r="BD89" s="1150" t="str">
        <f t="shared" si="115"/>
        <v>0</v>
      </c>
      <c r="BE89" s="1028">
        <v>0</v>
      </c>
      <c r="BF89" s="1150">
        <f t="shared" ref="BF89:BF101" si="218">ROUND(IF(BE89&gt;0,(((V89+AA89+AB89+AC89+AD89+AW89)/30)*50%+((V89+AA89+AB89+AC89+AD89+AW89)/30))*BE89,"0"),2)</f>
        <v>0</v>
      </c>
      <c r="BG89" s="1151">
        <v>300</v>
      </c>
      <c r="BH89" s="1151">
        <f t="shared" si="117"/>
        <v>0</v>
      </c>
      <c r="BI89" s="1180">
        <v>0</v>
      </c>
      <c r="BJ89" s="1180">
        <f t="shared" si="118"/>
        <v>0</v>
      </c>
      <c r="BK89" s="1151">
        <v>0</v>
      </c>
      <c r="BL89" s="1150">
        <f t="shared" si="170"/>
        <v>11.94</v>
      </c>
      <c r="BM89" s="1150">
        <f t="shared" si="171"/>
        <v>1.49</v>
      </c>
      <c r="BN89" s="1150">
        <f t="shared" si="119"/>
        <v>3.23</v>
      </c>
      <c r="BO89" s="1150">
        <v>0</v>
      </c>
      <c r="BP89" s="1150">
        <v>0</v>
      </c>
      <c r="BQ89" s="1396">
        <f t="shared" si="120"/>
        <v>16.66</v>
      </c>
      <c r="BR89" s="1150">
        <f t="shared" si="172"/>
        <v>26.86</v>
      </c>
      <c r="BS89" s="1150">
        <f t="shared" si="173"/>
        <v>5.97</v>
      </c>
      <c r="BT89" s="1150">
        <f t="shared" si="121"/>
        <v>6.46</v>
      </c>
      <c r="BU89" s="1150">
        <v>0</v>
      </c>
      <c r="BV89" s="1151">
        <f t="shared" si="122"/>
        <v>39.29</v>
      </c>
      <c r="BW89" s="1155">
        <f t="shared" si="123"/>
        <v>55.95</v>
      </c>
      <c r="BX89" s="1155">
        <f t="shared" si="194"/>
        <v>606.25</v>
      </c>
      <c r="BY89" s="1151">
        <v>0</v>
      </c>
      <c r="BZ89" s="1151">
        <f t="shared" si="125"/>
        <v>606.25</v>
      </c>
      <c r="CA89" s="1397">
        <f>'CONCEPTOS Y PARAMETROS'!$A$102</f>
        <v>2120</v>
      </c>
      <c r="CB89" s="1155">
        <f t="shared" si="126"/>
        <v>145.01000000000002</v>
      </c>
      <c r="CC89" s="1156">
        <f t="shared" si="127"/>
        <v>461.66</v>
      </c>
      <c r="CD89" s="514"/>
      <c r="CE89" s="514"/>
      <c r="CF89" s="520"/>
      <c r="CG89" s="497">
        <f t="shared" si="128"/>
        <v>145.01000000000002</v>
      </c>
      <c r="CH89" s="1711">
        <f t="shared" si="129"/>
        <v>300</v>
      </c>
      <c r="CI89" s="497">
        <f t="shared" si="130"/>
        <v>461.65999999999997</v>
      </c>
      <c r="CJ89" s="497">
        <f t="shared" si="131"/>
        <v>461.66</v>
      </c>
      <c r="CK89" s="497">
        <f t="shared" si="132"/>
        <v>0</v>
      </c>
      <c r="CL89" s="497">
        <f t="shared" si="133"/>
        <v>0</v>
      </c>
      <c r="CM89" s="497">
        <f t="shared" si="134"/>
        <v>0</v>
      </c>
      <c r="CN89" s="498">
        <f t="shared" si="135"/>
        <v>0</v>
      </c>
      <c r="CO89" s="499">
        <v>0</v>
      </c>
      <c r="CP89" s="498">
        <f t="shared" si="136"/>
        <v>0</v>
      </c>
      <c r="CQ89" s="500">
        <f t="shared" si="137"/>
        <v>0</v>
      </c>
      <c r="CR89" s="498">
        <f t="shared" si="138"/>
        <v>0</v>
      </c>
      <c r="CS89" s="498">
        <f t="shared" si="139"/>
        <v>0</v>
      </c>
      <c r="CT89" s="498">
        <f t="shared" si="140"/>
        <v>55.95</v>
      </c>
      <c r="CU89" s="498">
        <f t="shared" si="141"/>
        <v>2120</v>
      </c>
      <c r="CV89" s="1554"/>
      <c r="CW89" s="1195" t="s">
        <v>7193</v>
      </c>
      <c r="CX89" s="1195" t="s">
        <v>7246</v>
      </c>
      <c r="CY89" s="472"/>
      <c r="CZ89" s="1199" t="s">
        <v>6668</v>
      </c>
      <c r="DA89" s="1199" t="s">
        <v>6175</v>
      </c>
      <c r="DB89" s="514" t="s">
        <v>6260</v>
      </c>
      <c r="DC89" s="514" t="s">
        <v>6408</v>
      </c>
      <c r="DD89" s="472"/>
      <c r="DE89" s="472"/>
      <c r="DF89" s="472"/>
      <c r="DG89" s="472"/>
      <c r="DH89" s="472"/>
      <c r="DJ89" s="473" t="str">
        <f>VLOOKUP(X89,Hoja1!$A$4:$B$10,2,0)</f>
        <v>BACHILLER</v>
      </c>
      <c r="DK89" s="473" t="str">
        <f>VLOOKUP(S89,Hoja1!$D$4:$F$77,3,0)</f>
        <v>BIII - IV</v>
      </c>
      <c r="DL89" s="1216" t="str">
        <f t="shared" si="142"/>
        <v>0</v>
      </c>
      <c r="DM89" s="1741" t="str">
        <f t="shared" si="143"/>
        <v>F</v>
      </c>
      <c r="DN89" s="1741"/>
    </row>
    <row r="90" spans="1:118" s="473" customFormat="1" ht="21.95" customHeight="1">
      <c r="A90" s="510" t="s">
        <v>2846</v>
      </c>
      <c r="B90" s="1390">
        <f t="shared" ca="1" si="144"/>
        <v>48</v>
      </c>
      <c r="C90" s="1194">
        <v>10913637</v>
      </c>
      <c r="D90" s="1195" t="s">
        <v>4732</v>
      </c>
      <c r="E90" s="1180" t="s">
        <v>4622</v>
      </c>
      <c r="F90" s="1196">
        <v>26095</v>
      </c>
      <c r="G90" s="1180" t="s">
        <v>4620</v>
      </c>
      <c r="H90" s="1196">
        <v>40664</v>
      </c>
      <c r="I90" s="1185">
        <f t="shared" si="98"/>
        <v>13</v>
      </c>
      <c r="J90" s="1177">
        <v>0</v>
      </c>
      <c r="K90" s="1185">
        <f t="shared" si="99"/>
        <v>13</v>
      </c>
      <c r="L90" s="1191" t="s">
        <v>5542</v>
      </c>
      <c r="M90" s="1177"/>
      <c r="N90" s="1177"/>
      <c r="O90" s="1040" t="s">
        <v>5221</v>
      </c>
      <c r="P90" s="1177" t="s">
        <v>5312</v>
      </c>
      <c r="Q90" s="1391" t="str">
        <f>IFERROR(VLOOKUP(O90,CARGOS!A:E,2,0),"")</f>
        <v>79512</v>
      </c>
      <c r="R90" s="1403" t="s">
        <v>5221</v>
      </c>
      <c r="S90" s="1192" t="s">
        <v>5479</v>
      </c>
      <c r="T90" s="1150">
        <f>IFERROR(VLOOKUP(S90,'TAB EMP'!A:B,2,0),0)</f>
        <v>283</v>
      </c>
      <c r="U90" s="1151">
        <v>0</v>
      </c>
      <c r="V90" s="1150">
        <f t="shared" ref="V90" si="219">T90-U90</f>
        <v>283</v>
      </c>
      <c r="W90" s="1151">
        <f t="shared" ref="W90" si="220">ROUND(V90/2,2)</f>
        <v>141.5</v>
      </c>
      <c r="X90" s="1180" t="s">
        <v>2885</v>
      </c>
      <c r="Y90" s="1180"/>
      <c r="Z90" s="1180">
        <v>0</v>
      </c>
      <c r="AA90" s="1150">
        <f>ROUND(IF(H90&lt;&gt;"",VLOOKUP(SUM(I90+J90),'CONCEPTOS Y PARAMETROS'!F:G,2,0)*V90,0),2)</f>
        <v>43.02</v>
      </c>
      <c r="AB90" s="1150">
        <f>IF(S90&lt;&gt;"",IF(M90="",'CONCEPTOS Y PARAMETROS'!$C$4,0),0)</f>
        <v>130</v>
      </c>
      <c r="AC90" s="1150">
        <f>IF(S90&lt;&gt;"",IF(M90="",'CONCEPTOS Y PARAMETROS'!$C$7*Z90,0),0)</f>
        <v>0</v>
      </c>
      <c r="AD90" s="1150">
        <f>IFERROR(ROUND(VLOOKUP($X90,'CONCEPTOS Y PARAMETROS'!H:I,2,0)*($V90+AA90+AB90+AC90),2),0)</f>
        <v>114.01</v>
      </c>
      <c r="AE90" s="1150">
        <f t="shared" ref="AE90" si="221">SUM(AA90:AD90)</f>
        <v>287.03000000000003</v>
      </c>
      <c r="AF90" s="1150">
        <f t="shared" ref="AF90" si="222">ROUND(AA90/2,2)</f>
        <v>21.51</v>
      </c>
      <c r="AG90" s="1150">
        <f t="shared" ref="AG90" si="223">ROUND(AA90-AF90,2)</f>
        <v>21.51</v>
      </c>
      <c r="AH90" s="1150">
        <f t="shared" ref="AH90" si="224">ROUND(AB90/2,2)</f>
        <v>65</v>
      </c>
      <c r="AI90" s="1150">
        <f t="shared" ref="AI90" si="225">ROUND(AB90-AH90,2)</f>
        <v>65</v>
      </c>
      <c r="AJ90" s="1150">
        <f t="shared" ref="AJ90" si="226">ROUND(AD90/2,2)</f>
        <v>57.01</v>
      </c>
      <c r="AK90" s="1150">
        <f t="shared" ref="AK90" si="227">ROUND(AD90-AJ90,2)</f>
        <v>57</v>
      </c>
      <c r="AL90" s="1151">
        <f t="shared" ref="AL90" si="228">ROUND(AF90+AH90+AJ90+AC90,2)</f>
        <v>143.52000000000001</v>
      </c>
      <c r="AM90" s="1151">
        <f t="shared" ref="AM90" si="229">ROUND(AG90+AI90+AK90,2)</f>
        <v>143.51</v>
      </c>
      <c r="AN90" s="1028">
        <v>0</v>
      </c>
      <c r="AO90" s="1193">
        <f>'CONCEPTOS Y PARAMETROS'!$C$18*AN90</f>
        <v>0</v>
      </c>
      <c r="AP90" s="1028">
        <v>0</v>
      </c>
      <c r="AQ90" s="1193">
        <f>'CONCEPTOS Y PARAMETROS'!$C$21*AP90</f>
        <v>0</v>
      </c>
      <c r="AR90" s="1394">
        <v>0</v>
      </c>
      <c r="AS90" s="1394">
        <v>0</v>
      </c>
      <c r="AT90" s="1394">
        <f t="shared" ref="AT90" si="230">+AO90+AQ90+AR90+AS90</f>
        <v>0</v>
      </c>
      <c r="AU90" s="1151">
        <f t="shared" ref="AU90" si="231">V90+AE90+AW90</f>
        <v>741.04</v>
      </c>
      <c r="AV90" s="1178" t="s">
        <v>5080</v>
      </c>
      <c r="AW90" s="1151">
        <f t="shared" ref="AW90" si="232">ROUND(IF(AV90="NOCTURN",(V90+AE90)*30%,0),2)</f>
        <v>171.01</v>
      </c>
      <c r="AX90" s="1150">
        <f>IF(T90&lt;&gt;"0",(ROUND(IF(A90="EMPLEADO",eval_formula('CONCEPTOS Y PARAMETROS'!$C$8,NOMINA!V90,NOMINA!$AU90,NOMINA!I90+NOMINA!J90),eval_formula('CONCEPTOS Y PARAMETROS'!$D$8,NOMINA!V90,NOMINA!$AU90,NOMINA!I90+NOMINA!J90)),2))*IF(H90&lt;&gt;"",IF(MONTH(H90)=$BR$8,IF(YEAR(H90)&lt;$BT$7,1,0),0)))</f>
        <v>0</v>
      </c>
      <c r="AY90" s="1151">
        <v>180</v>
      </c>
      <c r="AZ90" s="1150">
        <f>IFERROR(VLOOKUP(AY90,'CONCEPTOS Y PARAMETROS'!Y:Z,2,0),0)</f>
        <v>150</v>
      </c>
      <c r="BA90" s="1150">
        <f t="shared" ref="BA90" si="233">ROUND((((AU90))/30*AY90/12+(AU90))/30*AZ90,2)</f>
        <v>5557.8</v>
      </c>
      <c r="BB90" s="1150">
        <f t="shared" ref="BB90" si="234">ROUND(AU90/30*$BB$10,2)</f>
        <v>0</v>
      </c>
      <c r="BC90" s="1028">
        <v>0</v>
      </c>
      <c r="BD90" s="1150" t="str">
        <f t="shared" ref="BD90" si="235">IF(BC90&gt;0,((((((V90+AA90+AB90+AC90+AD90)/30)/8)*50%)+((((V90+AA90+AB90+AC90+AD90)/30)/8)))*30%+(((((V90+AA90+AB90+AC90+AD90)/30)/8)*50%)+((((V90+AA90+AB90+AC90+AD90)/30)/8))))*BC90,"0")</f>
        <v>0</v>
      </c>
      <c r="BE90" s="1028">
        <v>5</v>
      </c>
      <c r="BF90" s="1150">
        <f t="shared" si="218"/>
        <v>185.26</v>
      </c>
      <c r="BG90" s="1151">
        <v>300</v>
      </c>
      <c r="BH90" s="1151">
        <f t="shared" si="117"/>
        <v>0</v>
      </c>
      <c r="BI90" s="1180">
        <v>0</v>
      </c>
      <c r="BJ90" s="1180">
        <f t="shared" si="118"/>
        <v>0</v>
      </c>
      <c r="BK90" s="1151">
        <v>0</v>
      </c>
      <c r="BL90" s="1150">
        <f t="shared" si="170"/>
        <v>27.36</v>
      </c>
      <c r="BM90" s="1150">
        <f t="shared" si="171"/>
        <v>3.42</v>
      </c>
      <c r="BN90" s="1150">
        <f t="shared" si="119"/>
        <v>7.41</v>
      </c>
      <c r="BO90" s="1150">
        <v>0</v>
      </c>
      <c r="BP90" s="1150">
        <v>0</v>
      </c>
      <c r="BQ90" s="1396">
        <f t="shared" ref="BQ90" si="236">ROUND(SUM(BL90:BP90),2)</f>
        <v>38.19</v>
      </c>
      <c r="BR90" s="1150">
        <f t="shared" si="172"/>
        <v>61.56</v>
      </c>
      <c r="BS90" s="1150">
        <f t="shared" si="173"/>
        <v>13.68</v>
      </c>
      <c r="BT90" s="1150">
        <f t="shared" si="121"/>
        <v>14.82</v>
      </c>
      <c r="BU90" s="1150">
        <v>0</v>
      </c>
      <c r="BV90" s="1151">
        <f t="shared" ref="BV90" si="237">ROUND(SUM(BR90:BT90),2)</f>
        <v>90.06</v>
      </c>
      <c r="BW90" s="1155">
        <f t="shared" ref="BW90" si="238">BQ90+BV90</f>
        <v>128.25</v>
      </c>
      <c r="BX90" s="1155">
        <f t="shared" ref="BX90:BX118" si="239">ROUND(BA90/4,2)</f>
        <v>1389.45</v>
      </c>
      <c r="BY90" s="1151">
        <v>0</v>
      </c>
      <c r="BZ90" s="1151">
        <f t="shared" si="125"/>
        <v>1389.45</v>
      </c>
      <c r="CA90" s="1397">
        <f>'CONCEPTOS Y PARAMETROS'!$A$102</f>
        <v>2120</v>
      </c>
      <c r="CB90" s="1155">
        <f t="shared" si="126"/>
        <v>246.82999999999998</v>
      </c>
      <c r="CC90" s="1156">
        <f t="shared" si="127"/>
        <v>941.28</v>
      </c>
      <c r="CD90" s="514"/>
      <c r="CE90" s="514"/>
      <c r="CF90" s="520"/>
      <c r="CG90" s="497">
        <f t="shared" si="128"/>
        <v>246.82999999999998</v>
      </c>
      <c r="CH90" s="1711">
        <f t="shared" si="129"/>
        <v>300</v>
      </c>
      <c r="CI90" s="497">
        <f t="shared" si="130"/>
        <v>585.01</v>
      </c>
      <c r="CJ90" s="497">
        <f t="shared" si="131"/>
        <v>280.8</v>
      </c>
      <c r="CK90" s="497">
        <f t="shared" si="132"/>
        <v>304.20999999999998</v>
      </c>
      <c r="CL90" s="497">
        <f t="shared" si="133"/>
        <v>0</v>
      </c>
      <c r="CM90" s="497">
        <f t="shared" si="134"/>
        <v>0</v>
      </c>
      <c r="CN90" s="498">
        <f t="shared" si="135"/>
        <v>185.26</v>
      </c>
      <c r="CO90" s="499">
        <v>0</v>
      </c>
      <c r="CP90" s="498">
        <f t="shared" si="136"/>
        <v>171.01</v>
      </c>
      <c r="CQ90" s="500">
        <f t="shared" si="137"/>
        <v>0</v>
      </c>
      <c r="CR90" s="498">
        <f t="shared" si="138"/>
        <v>0</v>
      </c>
      <c r="CS90" s="498">
        <f t="shared" si="139"/>
        <v>356.27</v>
      </c>
      <c r="CT90" s="498">
        <f t="shared" si="140"/>
        <v>128.25</v>
      </c>
      <c r="CU90" s="498">
        <f t="shared" si="141"/>
        <v>2120</v>
      </c>
      <c r="CV90" s="1554"/>
      <c r="CW90" s="1195" t="s">
        <v>7198</v>
      </c>
      <c r="CX90" s="1195" t="s">
        <v>6990</v>
      </c>
      <c r="CY90" s="472"/>
      <c r="CZ90" s="514" t="s">
        <v>6308</v>
      </c>
      <c r="DA90" s="514" t="s">
        <v>6198</v>
      </c>
      <c r="DB90" s="1199" t="s">
        <v>6650</v>
      </c>
      <c r="DC90" s="514" t="s">
        <v>6649</v>
      </c>
      <c r="DE90" s="472"/>
      <c r="DF90" s="472"/>
      <c r="DG90" s="472"/>
      <c r="DH90" s="472"/>
      <c r="DJ90" s="473" t="str">
        <f>VLOOKUP(X90,Hoja1!$A$4:$B$10,2,0)</f>
        <v>PROFESIONAL</v>
      </c>
      <c r="DK90" s="473" t="str">
        <f>VLOOKUP(S90,Hoja1!$D$4:$F$77,3,0)</f>
        <v>PII - V</v>
      </c>
      <c r="DL90" s="1385" t="str">
        <f t="shared" si="142"/>
        <v>SI</v>
      </c>
      <c r="DM90" s="1741" t="str">
        <f t="shared" si="143"/>
        <v>F</v>
      </c>
      <c r="DN90" s="1741"/>
    </row>
    <row r="91" spans="1:118" s="473" customFormat="1" ht="21.95" customHeight="1">
      <c r="A91" s="510" t="s">
        <v>2846</v>
      </c>
      <c r="B91" s="1390">
        <f t="shared" ca="1" si="144"/>
        <v>49</v>
      </c>
      <c r="C91" s="1194">
        <v>10915223</v>
      </c>
      <c r="D91" s="1195" t="s">
        <v>4734</v>
      </c>
      <c r="E91" s="1180" t="s">
        <v>4622</v>
      </c>
      <c r="F91" s="1196">
        <v>26144</v>
      </c>
      <c r="G91" s="1180" t="s">
        <v>4621</v>
      </c>
      <c r="H91" s="1196">
        <v>35339</v>
      </c>
      <c r="I91" s="1185">
        <f t="shared" si="98"/>
        <v>28</v>
      </c>
      <c r="J91" s="1177">
        <v>0</v>
      </c>
      <c r="K91" s="1185">
        <f t="shared" si="99"/>
        <v>28</v>
      </c>
      <c r="L91" s="1191" t="s">
        <v>5544</v>
      </c>
      <c r="M91" s="1177"/>
      <c r="N91" s="1177"/>
      <c r="O91" s="1040" t="s">
        <v>5237</v>
      </c>
      <c r="P91" s="1177" t="s">
        <v>5314</v>
      </c>
      <c r="Q91" s="1391" t="str">
        <f>IFERROR(VLOOKUP(O91,CARGOS!A:E,2,0),"")</f>
        <v>79523</v>
      </c>
      <c r="R91" s="1403" t="s">
        <v>5237</v>
      </c>
      <c r="S91" s="1192" t="s">
        <v>5487</v>
      </c>
      <c r="T91" s="1150">
        <f>IFERROR(VLOOKUP(S91,'TAB EMP'!A:B,2,0),0)</f>
        <v>316</v>
      </c>
      <c r="U91" s="1151">
        <v>0</v>
      </c>
      <c r="V91" s="1150">
        <f t="shared" si="100"/>
        <v>316</v>
      </c>
      <c r="W91" s="1151">
        <f t="shared" si="101"/>
        <v>158</v>
      </c>
      <c r="X91" s="1180" t="s">
        <v>2887</v>
      </c>
      <c r="Y91" s="1180"/>
      <c r="Z91" s="1180">
        <v>0</v>
      </c>
      <c r="AA91" s="1150">
        <f>ROUND(IF(H91&lt;&gt;"",VLOOKUP(SUM(I91+J91),'CONCEPTOS Y PARAMETROS'!F:G,2,0)*V91,0),2)</f>
        <v>94.8</v>
      </c>
      <c r="AB91" s="1150">
        <f>IF(S91&lt;&gt;"",IF(M91="",'CONCEPTOS Y PARAMETROS'!$C$4,0),0)</f>
        <v>130</v>
      </c>
      <c r="AC91" s="1150">
        <f>IF(S91&lt;&gt;"",IF(M91="",'CONCEPTOS Y PARAMETROS'!$C$7*Z91,0),0)</f>
        <v>0</v>
      </c>
      <c r="AD91" s="1150">
        <f>IFERROR(ROUND(VLOOKUP($X91,'CONCEPTOS Y PARAMETROS'!H:I,2,0)*($V91+AA91+AB91+AC91),2),0)</f>
        <v>189.28</v>
      </c>
      <c r="AE91" s="1150">
        <f t="shared" si="102"/>
        <v>414.08000000000004</v>
      </c>
      <c r="AF91" s="1150">
        <f t="shared" si="103"/>
        <v>47.4</v>
      </c>
      <c r="AG91" s="1150">
        <f t="shared" si="104"/>
        <v>47.4</v>
      </c>
      <c r="AH91" s="1150">
        <f t="shared" si="105"/>
        <v>65</v>
      </c>
      <c r="AI91" s="1150">
        <f t="shared" si="106"/>
        <v>65</v>
      </c>
      <c r="AJ91" s="1150">
        <f t="shared" si="107"/>
        <v>94.64</v>
      </c>
      <c r="AK91" s="1150">
        <f t="shared" si="108"/>
        <v>94.64</v>
      </c>
      <c r="AL91" s="1151">
        <f t="shared" si="109"/>
        <v>207.04</v>
      </c>
      <c r="AM91" s="1151">
        <f t="shared" si="110"/>
        <v>207.04</v>
      </c>
      <c r="AN91" s="1028">
        <v>0</v>
      </c>
      <c r="AO91" s="1193">
        <f>'CONCEPTOS Y PARAMETROS'!$C$18*AN91</f>
        <v>0</v>
      </c>
      <c r="AP91" s="1028">
        <v>0</v>
      </c>
      <c r="AQ91" s="1193">
        <f>'CONCEPTOS Y PARAMETROS'!$C$21*AP91</f>
        <v>0</v>
      </c>
      <c r="AR91" s="1394">
        <v>0</v>
      </c>
      <c r="AS91" s="1394">
        <v>0</v>
      </c>
      <c r="AT91" s="1394">
        <f t="shared" si="197"/>
        <v>0</v>
      </c>
      <c r="AU91" s="1151">
        <f t="shared" si="112"/>
        <v>730.08</v>
      </c>
      <c r="AV91" s="1178">
        <v>0</v>
      </c>
      <c r="AW91" s="1151">
        <f t="shared" si="198"/>
        <v>0</v>
      </c>
      <c r="AX91" s="1150">
        <f>IF(T91&lt;&gt;"0",(ROUND(IF(A91="EMPLEADO",eval_formula('CONCEPTOS Y PARAMETROS'!$C$8,NOMINA!V91,NOMINA!$AU91,NOMINA!I91+NOMINA!J91),eval_formula('CONCEPTOS Y PARAMETROS'!$D$8,NOMINA!V91,NOMINA!$AU91,NOMINA!I91+NOMINA!J91)),2))*IF(H91&lt;&gt;"",IF(MONTH(H91)=$BR$8,IF(YEAR(H91)&lt;$BT$7,1,0),0)))</f>
        <v>0</v>
      </c>
      <c r="AY91" s="1151">
        <v>180</v>
      </c>
      <c r="AZ91" s="1150">
        <f>IFERROR(VLOOKUP(AY91,'CONCEPTOS Y PARAMETROS'!Y:Z,2,0),0)</f>
        <v>150</v>
      </c>
      <c r="BA91" s="1150">
        <f t="shared" si="114"/>
        <v>5475.6</v>
      </c>
      <c r="BB91" s="1150">
        <f t="shared" si="145"/>
        <v>0</v>
      </c>
      <c r="BC91" s="1028">
        <v>0</v>
      </c>
      <c r="BD91" s="1150" t="str">
        <f t="shared" si="115"/>
        <v>0</v>
      </c>
      <c r="BE91" s="1028">
        <v>0</v>
      </c>
      <c r="BF91" s="1150">
        <f t="shared" si="218"/>
        <v>0</v>
      </c>
      <c r="BG91" s="1151">
        <v>300</v>
      </c>
      <c r="BH91" s="1151">
        <f t="shared" si="117"/>
        <v>0</v>
      </c>
      <c r="BI91" s="1180">
        <v>0</v>
      </c>
      <c r="BJ91" s="1180">
        <f t="shared" si="118"/>
        <v>0</v>
      </c>
      <c r="BK91" s="1151">
        <v>0</v>
      </c>
      <c r="BL91" s="1150">
        <f t="shared" si="170"/>
        <v>26.96</v>
      </c>
      <c r="BM91" s="1150">
        <f t="shared" si="171"/>
        <v>3.37</v>
      </c>
      <c r="BN91" s="1150">
        <f t="shared" si="119"/>
        <v>7.3</v>
      </c>
      <c r="BO91" s="1150">
        <v>0</v>
      </c>
      <c r="BP91" s="1150">
        <v>0</v>
      </c>
      <c r="BQ91" s="1396">
        <f t="shared" si="120"/>
        <v>37.630000000000003</v>
      </c>
      <c r="BR91" s="1150">
        <f t="shared" si="172"/>
        <v>60.65</v>
      </c>
      <c r="BS91" s="1150">
        <f t="shared" si="173"/>
        <v>13.48</v>
      </c>
      <c r="BT91" s="1150">
        <f t="shared" si="121"/>
        <v>14.6</v>
      </c>
      <c r="BU91" s="1150">
        <v>0</v>
      </c>
      <c r="BV91" s="1151">
        <f t="shared" si="122"/>
        <v>88.73</v>
      </c>
      <c r="BW91" s="1155">
        <f t="shared" si="123"/>
        <v>126.36000000000001</v>
      </c>
      <c r="BX91" s="1155">
        <f t="shared" si="239"/>
        <v>1368.9</v>
      </c>
      <c r="BY91" s="1151">
        <v>0</v>
      </c>
      <c r="BZ91" s="1151">
        <f t="shared" si="125"/>
        <v>1368.9</v>
      </c>
      <c r="CA91" s="1397">
        <f>'CONCEPTOS Y PARAMETROS'!$A$102</f>
        <v>2120</v>
      </c>
      <c r="CB91" s="1155">
        <f t="shared" si="126"/>
        <v>327.40999999999997</v>
      </c>
      <c r="CC91" s="1156">
        <f t="shared" si="127"/>
        <v>665.04</v>
      </c>
      <c r="CD91" s="514"/>
      <c r="CE91" s="514"/>
      <c r="CF91" s="520"/>
      <c r="CG91" s="497">
        <f t="shared" si="128"/>
        <v>327.40999999999997</v>
      </c>
      <c r="CH91" s="1711">
        <f t="shared" si="129"/>
        <v>300</v>
      </c>
      <c r="CI91" s="497">
        <f t="shared" si="130"/>
        <v>665.04</v>
      </c>
      <c r="CJ91" s="497">
        <f t="shared" si="131"/>
        <v>319.22000000000003</v>
      </c>
      <c r="CK91" s="497">
        <f t="shared" si="132"/>
        <v>345.81999999999994</v>
      </c>
      <c r="CL91" s="497">
        <f t="shared" si="133"/>
        <v>0</v>
      </c>
      <c r="CM91" s="497">
        <f t="shared" si="134"/>
        <v>0</v>
      </c>
      <c r="CN91" s="498">
        <f t="shared" si="135"/>
        <v>0</v>
      </c>
      <c r="CO91" s="499">
        <v>0</v>
      </c>
      <c r="CP91" s="498">
        <f t="shared" si="136"/>
        <v>0</v>
      </c>
      <c r="CQ91" s="500">
        <f t="shared" si="137"/>
        <v>0</v>
      </c>
      <c r="CR91" s="498">
        <f t="shared" si="138"/>
        <v>0</v>
      </c>
      <c r="CS91" s="498">
        <f t="shared" si="139"/>
        <v>0</v>
      </c>
      <c r="CT91" s="498">
        <f t="shared" si="140"/>
        <v>126.36000000000001</v>
      </c>
      <c r="CU91" s="498">
        <f t="shared" si="141"/>
        <v>2120</v>
      </c>
      <c r="CV91" s="1554"/>
      <c r="CW91" s="1195" t="s">
        <v>6965</v>
      </c>
      <c r="CX91" s="1195" t="s">
        <v>6941</v>
      </c>
      <c r="CY91" s="472"/>
      <c r="CZ91" s="514" t="s">
        <v>6436</v>
      </c>
      <c r="DA91" s="1199" t="s">
        <v>6241</v>
      </c>
      <c r="DB91" s="514" t="s">
        <v>6238</v>
      </c>
      <c r="DC91" s="514" t="s">
        <v>6388</v>
      </c>
      <c r="DD91" s="935"/>
      <c r="DE91" s="472"/>
      <c r="DF91" s="472"/>
      <c r="DG91" s="472"/>
      <c r="DH91" s="472"/>
      <c r="DJ91" s="473" t="str">
        <f>VLOOKUP(X91,Hoja1!$A$4:$B$10,2,0)</f>
        <v>MAGISTER</v>
      </c>
      <c r="DK91" s="473" t="str">
        <f>VLOOKUP(S91,Hoja1!$D$4:$F$77,3,0)</f>
        <v>PIII - VII</v>
      </c>
      <c r="DL91" s="1216" t="str">
        <f t="shared" si="142"/>
        <v>0</v>
      </c>
      <c r="DM91" s="1741" t="str">
        <f t="shared" si="143"/>
        <v>M</v>
      </c>
      <c r="DN91" s="1741"/>
    </row>
    <row r="92" spans="1:118" s="473" customFormat="1" ht="21.95" customHeight="1">
      <c r="A92" s="510" t="s">
        <v>2846</v>
      </c>
      <c r="B92" s="1390">
        <f t="shared" ca="1" si="144"/>
        <v>50</v>
      </c>
      <c r="C92" s="1194">
        <v>10915384</v>
      </c>
      <c r="D92" s="1195" t="s">
        <v>4735</v>
      </c>
      <c r="E92" s="1180" t="s">
        <v>4622</v>
      </c>
      <c r="F92" s="1196">
        <v>26338</v>
      </c>
      <c r="G92" s="1180" t="s">
        <v>4620</v>
      </c>
      <c r="H92" s="1196">
        <v>43147</v>
      </c>
      <c r="I92" s="1185">
        <f t="shared" si="98"/>
        <v>6</v>
      </c>
      <c r="J92" s="1177">
        <v>0</v>
      </c>
      <c r="K92" s="1185">
        <f t="shared" si="99"/>
        <v>6</v>
      </c>
      <c r="L92" s="1191" t="s">
        <v>5542</v>
      </c>
      <c r="M92" s="1177"/>
      <c r="N92" s="1177"/>
      <c r="O92" s="1040" t="s">
        <v>5221</v>
      </c>
      <c r="P92" s="1177" t="s">
        <v>5315</v>
      </c>
      <c r="Q92" s="1391" t="str">
        <f>IFERROR(VLOOKUP(O92,CARGOS!A:E,2,0),"")</f>
        <v>79512</v>
      </c>
      <c r="R92" s="1403" t="s">
        <v>5221</v>
      </c>
      <c r="S92" s="1192" t="s">
        <v>5491</v>
      </c>
      <c r="T92" s="1150">
        <f>IFERROR(VLOOKUP(S92,'TAB EMP'!A:B,2,0),0)</f>
        <v>221</v>
      </c>
      <c r="U92" s="1151">
        <v>0</v>
      </c>
      <c r="V92" s="1150">
        <f t="shared" si="100"/>
        <v>221</v>
      </c>
      <c r="W92" s="1151">
        <f t="shared" si="101"/>
        <v>110.5</v>
      </c>
      <c r="X92" s="1180" t="s">
        <v>2844</v>
      </c>
      <c r="Y92" s="1180"/>
      <c r="Z92" s="1180">
        <v>0</v>
      </c>
      <c r="AA92" s="1150">
        <f>ROUND(IF(H92&lt;&gt;"",VLOOKUP(SUM(I92+J92),'CONCEPTOS Y PARAMETROS'!F:G,2,0)*V92,0),2)</f>
        <v>13.7</v>
      </c>
      <c r="AB92" s="1150">
        <f>IF(S92&lt;&gt;"",IF(M92="",'CONCEPTOS Y PARAMETROS'!$C$4,0),0)</f>
        <v>130</v>
      </c>
      <c r="AC92" s="1150">
        <f>IF(S92&lt;&gt;"",IF(M92="",'CONCEPTOS Y PARAMETROS'!$C$7*Z92,0),0)</f>
        <v>0</v>
      </c>
      <c r="AD92" s="1150">
        <f>IFERROR(ROUND(VLOOKUP($X92,'CONCEPTOS Y PARAMETROS'!H:I,2,0)*($V92+AA92+AB92+AC92),2),0)</f>
        <v>72.94</v>
      </c>
      <c r="AE92" s="1150">
        <f t="shared" si="102"/>
        <v>216.64</v>
      </c>
      <c r="AF92" s="1150">
        <f t="shared" si="103"/>
        <v>6.85</v>
      </c>
      <c r="AG92" s="1150">
        <f t="shared" si="104"/>
        <v>6.85</v>
      </c>
      <c r="AH92" s="1150">
        <f t="shared" si="105"/>
        <v>65</v>
      </c>
      <c r="AI92" s="1150">
        <f t="shared" si="106"/>
        <v>65</v>
      </c>
      <c r="AJ92" s="1150">
        <f t="shared" si="107"/>
        <v>36.47</v>
      </c>
      <c r="AK92" s="1150">
        <f t="shared" si="108"/>
        <v>36.47</v>
      </c>
      <c r="AL92" s="1151">
        <f t="shared" si="109"/>
        <v>108.32</v>
      </c>
      <c r="AM92" s="1151">
        <f t="shared" si="110"/>
        <v>108.32</v>
      </c>
      <c r="AN92" s="1028">
        <v>0</v>
      </c>
      <c r="AO92" s="1193">
        <f>'CONCEPTOS Y PARAMETROS'!$C$18*AN92</f>
        <v>0</v>
      </c>
      <c r="AP92" s="1028">
        <v>0</v>
      </c>
      <c r="AQ92" s="1193">
        <f>'CONCEPTOS Y PARAMETROS'!$C$21*AP92</f>
        <v>0</v>
      </c>
      <c r="AR92" s="1394">
        <v>0</v>
      </c>
      <c r="AS92" s="1394">
        <v>0</v>
      </c>
      <c r="AT92" s="1394">
        <f t="shared" si="197"/>
        <v>0</v>
      </c>
      <c r="AU92" s="1151">
        <f t="shared" si="112"/>
        <v>568.92999999999995</v>
      </c>
      <c r="AV92" s="1178" t="s">
        <v>5080</v>
      </c>
      <c r="AW92" s="1151">
        <f t="shared" si="198"/>
        <v>131.29</v>
      </c>
      <c r="AX92" s="1150">
        <f>IF(T92&lt;&gt;"0",(ROUND(IF(A92="EMPLEADO",eval_formula('CONCEPTOS Y PARAMETROS'!$C$8,NOMINA!V92,NOMINA!$AU92,NOMINA!I92+NOMINA!J92),eval_formula('CONCEPTOS Y PARAMETROS'!$D$8,NOMINA!V92,NOMINA!$AU92,NOMINA!I92+NOMINA!J92)),2))*IF(H92&lt;&gt;"",IF(MONTH(H92)=$BR$8,IF(YEAR(H92)&lt;$BT$7,1,0),0)))</f>
        <v>0</v>
      </c>
      <c r="AY92" s="1151">
        <v>180</v>
      </c>
      <c r="AZ92" s="1150">
        <f>IFERROR(VLOOKUP(AY92,'CONCEPTOS Y PARAMETROS'!Y:Z,2,0),0)</f>
        <v>150</v>
      </c>
      <c r="BA92" s="1150">
        <f t="shared" si="114"/>
        <v>4266.9799999999996</v>
      </c>
      <c r="BB92" s="1150">
        <f t="shared" si="145"/>
        <v>0</v>
      </c>
      <c r="BC92" s="1028">
        <v>0</v>
      </c>
      <c r="BD92" s="1150" t="str">
        <f t="shared" si="115"/>
        <v>0</v>
      </c>
      <c r="BE92" s="1028">
        <v>3</v>
      </c>
      <c r="BF92" s="1150">
        <f t="shared" si="218"/>
        <v>85.34</v>
      </c>
      <c r="BG92" s="1151">
        <v>300</v>
      </c>
      <c r="BH92" s="1151">
        <f t="shared" si="117"/>
        <v>0</v>
      </c>
      <c r="BI92" s="1180">
        <v>0</v>
      </c>
      <c r="BJ92" s="1180">
        <f t="shared" si="118"/>
        <v>0</v>
      </c>
      <c r="BK92" s="1151">
        <v>0</v>
      </c>
      <c r="BL92" s="1150">
        <f t="shared" si="170"/>
        <v>21.01</v>
      </c>
      <c r="BM92" s="1150">
        <f t="shared" si="171"/>
        <v>2.63</v>
      </c>
      <c r="BN92" s="1150">
        <f t="shared" si="119"/>
        <v>5.69</v>
      </c>
      <c r="BO92" s="1150">
        <v>0</v>
      </c>
      <c r="BP92" s="1150">
        <v>0</v>
      </c>
      <c r="BQ92" s="1396">
        <f t="shared" si="120"/>
        <v>29.33</v>
      </c>
      <c r="BR92" s="1150">
        <f t="shared" si="172"/>
        <v>47.26</v>
      </c>
      <c r="BS92" s="1150">
        <f t="shared" si="173"/>
        <v>10.5</v>
      </c>
      <c r="BT92" s="1150">
        <f t="shared" si="121"/>
        <v>11.38</v>
      </c>
      <c r="BU92" s="1150">
        <v>0</v>
      </c>
      <c r="BV92" s="1151">
        <f t="shared" si="122"/>
        <v>69.14</v>
      </c>
      <c r="BW92" s="1155">
        <f t="shared" si="123"/>
        <v>98.47</v>
      </c>
      <c r="BX92" s="1155">
        <f t="shared" si="239"/>
        <v>1066.75</v>
      </c>
      <c r="BY92" s="1151">
        <v>0</v>
      </c>
      <c r="BZ92" s="1151">
        <f t="shared" si="125"/>
        <v>1066.75</v>
      </c>
      <c r="CA92" s="1397">
        <f>'CONCEPTOS Y PARAMETROS'!$A$102</f>
        <v>2120</v>
      </c>
      <c r="CB92" s="1155">
        <f t="shared" si="126"/>
        <v>189.49</v>
      </c>
      <c r="CC92" s="1156">
        <f t="shared" si="127"/>
        <v>735.45</v>
      </c>
      <c r="CD92" s="514"/>
      <c r="CE92" s="514"/>
      <c r="CF92" s="520"/>
      <c r="CG92" s="497">
        <f t="shared" si="128"/>
        <v>189.49</v>
      </c>
      <c r="CH92" s="1711">
        <f t="shared" si="129"/>
        <v>300</v>
      </c>
      <c r="CI92" s="497">
        <f t="shared" si="130"/>
        <v>518.81999999999994</v>
      </c>
      <c r="CJ92" s="497">
        <f t="shared" si="131"/>
        <v>518.82000000000005</v>
      </c>
      <c r="CK92" s="497">
        <f t="shared" si="132"/>
        <v>0</v>
      </c>
      <c r="CL92" s="497">
        <f t="shared" si="133"/>
        <v>0</v>
      </c>
      <c r="CM92" s="497">
        <f t="shared" si="134"/>
        <v>0</v>
      </c>
      <c r="CN92" s="498">
        <f t="shared" si="135"/>
        <v>85.34</v>
      </c>
      <c r="CO92" s="499">
        <v>0</v>
      </c>
      <c r="CP92" s="498">
        <f t="shared" si="136"/>
        <v>131.29</v>
      </c>
      <c r="CQ92" s="500">
        <f t="shared" si="137"/>
        <v>0</v>
      </c>
      <c r="CR92" s="498">
        <f t="shared" si="138"/>
        <v>0</v>
      </c>
      <c r="CS92" s="498">
        <f t="shared" si="139"/>
        <v>216.63</v>
      </c>
      <c r="CT92" s="498">
        <f t="shared" si="140"/>
        <v>98.47</v>
      </c>
      <c r="CU92" s="498">
        <f t="shared" si="141"/>
        <v>2120</v>
      </c>
      <c r="CV92" s="1554"/>
      <c r="CW92" s="1195" t="s">
        <v>6974</v>
      </c>
      <c r="CX92" s="1195" t="s">
        <v>7247</v>
      </c>
      <c r="CY92" s="472"/>
      <c r="CZ92" s="514" t="s">
        <v>6309</v>
      </c>
      <c r="DA92" s="514" t="s">
        <v>6198</v>
      </c>
      <c r="DB92" s="514" t="s">
        <v>6265</v>
      </c>
      <c r="DC92" s="514" t="s">
        <v>6310</v>
      </c>
      <c r="DD92" s="472"/>
      <c r="DE92" s="472"/>
      <c r="DF92" s="472"/>
      <c r="DG92" s="472"/>
      <c r="DH92" s="472"/>
      <c r="DJ92" s="473" t="str">
        <f>VLOOKUP(X92,Hoja1!$A$4:$B$10,2,0)</f>
        <v>TÉCNICO SUPERIOR UNIVERSITARIO</v>
      </c>
      <c r="DK92" s="473" t="str">
        <f>VLOOKUP(S92,Hoja1!$D$4:$F$77,3,0)</f>
        <v>TII - III</v>
      </c>
      <c r="DL92" s="1216" t="str">
        <f t="shared" si="142"/>
        <v>SI</v>
      </c>
      <c r="DM92" s="1741" t="str">
        <f t="shared" si="143"/>
        <v>F</v>
      </c>
      <c r="DN92" s="1741"/>
    </row>
    <row r="93" spans="1:118" s="473" customFormat="1" ht="21.95" customHeight="1">
      <c r="A93" s="510" t="s">
        <v>2846</v>
      </c>
      <c r="B93" s="1390">
        <f t="shared" ca="1" si="144"/>
        <v>51</v>
      </c>
      <c r="C93" s="1194">
        <v>10915597</v>
      </c>
      <c r="D93" s="1195" t="s">
        <v>4736</v>
      </c>
      <c r="E93" s="1180" t="s">
        <v>4622</v>
      </c>
      <c r="F93" s="1196">
        <v>24847</v>
      </c>
      <c r="G93" s="1180" t="s">
        <v>4620</v>
      </c>
      <c r="H93" s="1196">
        <v>44501</v>
      </c>
      <c r="I93" s="1185">
        <f t="shared" si="98"/>
        <v>3</v>
      </c>
      <c r="J93" s="1177">
        <v>0</v>
      </c>
      <c r="K93" s="1185">
        <f t="shared" si="99"/>
        <v>3</v>
      </c>
      <c r="L93" s="1191" t="s">
        <v>5542</v>
      </c>
      <c r="M93" s="1177"/>
      <c r="N93" s="1177"/>
      <c r="O93" s="1040" t="s">
        <v>5222</v>
      </c>
      <c r="P93" s="1177" t="s">
        <v>5316</v>
      </c>
      <c r="Q93" s="1391" t="str">
        <f>IFERROR(VLOOKUP(O93,CARGOS!A:E,2,0),"")</f>
        <v>79511</v>
      </c>
      <c r="R93" s="1403" t="s">
        <v>5222</v>
      </c>
      <c r="S93" s="1192" t="s">
        <v>5481</v>
      </c>
      <c r="T93" s="1150">
        <f>IFERROR(VLOOKUP(S93,'TAB EMP'!A:B,2,0),0)</f>
        <v>219</v>
      </c>
      <c r="U93" s="1151">
        <v>0</v>
      </c>
      <c r="V93" s="1150">
        <f t="shared" si="100"/>
        <v>219</v>
      </c>
      <c r="W93" s="1151">
        <f t="shared" si="101"/>
        <v>109.5</v>
      </c>
      <c r="X93" s="1180" t="s">
        <v>2888</v>
      </c>
      <c r="Y93" s="1180"/>
      <c r="Z93" s="1180">
        <v>0</v>
      </c>
      <c r="AA93" s="1150">
        <f>ROUND(IF(H93&lt;&gt;"",VLOOKUP(SUM(I93+J93),'CONCEPTOS Y PARAMETROS'!F:G,2,0)*V93,0),2)</f>
        <v>6.57</v>
      </c>
      <c r="AB93" s="1150">
        <f>IF(S93&lt;&gt;"",IF(M93="",'CONCEPTOS Y PARAMETROS'!$C$4,0),0)</f>
        <v>130</v>
      </c>
      <c r="AC93" s="1150">
        <f>IF(S93&lt;&gt;"",IF(M93="",'CONCEPTOS Y PARAMETROS'!$C$7*Z93,0),0)</f>
        <v>0</v>
      </c>
      <c r="AD93" s="1150">
        <f>IFERROR(ROUND(VLOOKUP($X93,'CONCEPTOS Y PARAMETROS'!H:I,2,0)*($V93+AA93+AB93+AC93),2),0)</f>
        <v>142.22999999999999</v>
      </c>
      <c r="AE93" s="1150">
        <f t="shared" si="102"/>
        <v>278.79999999999995</v>
      </c>
      <c r="AF93" s="1150">
        <f t="shared" si="103"/>
        <v>3.29</v>
      </c>
      <c r="AG93" s="1150">
        <f t="shared" si="104"/>
        <v>3.28</v>
      </c>
      <c r="AH93" s="1150">
        <f t="shared" si="105"/>
        <v>65</v>
      </c>
      <c r="AI93" s="1150">
        <f t="shared" si="106"/>
        <v>65</v>
      </c>
      <c r="AJ93" s="1150">
        <f t="shared" si="107"/>
        <v>71.12</v>
      </c>
      <c r="AK93" s="1150">
        <f t="shared" si="108"/>
        <v>71.11</v>
      </c>
      <c r="AL93" s="1151">
        <f t="shared" si="109"/>
        <v>139.41</v>
      </c>
      <c r="AM93" s="1151">
        <f t="shared" si="110"/>
        <v>139.38999999999999</v>
      </c>
      <c r="AN93" s="1028">
        <v>0</v>
      </c>
      <c r="AO93" s="1193">
        <f>'CONCEPTOS Y PARAMETROS'!$C$18*AN93</f>
        <v>0</v>
      </c>
      <c r="AP93" s="1028">
        <v>0</v>
      </c>
      <c r="AQ93" s="1193">
        <f>'CONCEPTOS Y PARAMETROS'!$C$21*AP93</f>
        <v>0</v>
      </c>
      <c r="AR93" s="1394">
        <v>0</v>
      </c>
      <c r="AS93" s="1394">
        <v>0</v>
      </c>
      <c r="AT93" s="1394">
        <f t="shared" si="197"/>
        <v>0</v>
      </c>
      <c r="AU93" s="1151">
        <f t="shared" si="112"/>
        <v>647.14</v>
      </c>
      <c r="AV93" s="1178" t="s">
        <v>5080</v>
      </c>
      <c r="AW93" s="1151">
        <f t="shared" si="198"/>
        <v>149.34</v>
      </c>
      <c r="AX93" s="1150">
        <f>IF(T93&lt;&gt;"0",(ROUND(IF(A93="EMPLEADO",eval_formula('CONCEPTOS Y PARAMETROS'!$C$8,NOMINA!V93,NOMINA!$AU93,NOMINA!I93+NOMINA!J93),eval_formula('CONCEPTOS Y PARAMETROS'!$D$8,NOMINA!V93,NOMINA!$AU93,NOMINA!I93+NOMINA!J93)),2))*IF(H93&lt;&gt;"",IF(MONTH(H93)=$BR$8,IF(YEAR(H93)&lt;$BT$7,1,0),0)))</f>
        <v>0</v>
      </c>
      <c r="AY93" s="1151">
        <v>180</v>
      </c>
      <c r="AZ93" s="1150">
        <f>IFERROR(VLOOKUP(AY93,'CONCEPTOS Y PARAMETROS'!Y:Z,2,0),0)</f>
        <v>150</v>
      </c>
      <c r="BA93" s="1150">
        <f t="shared" si="114"/>
        <v>4853.55</v>
      </c>
      <c r="BB93" s="1150">
        <f t="shared" si="145"/>
        <v>0</v>
      </c>
      <c r="BC93" s="1028">
        <v>0</v>
      </c>
      <c r="BD93" s="1150" t="str">
        <f t="shared" si="115"/>
        <v>0</v>
      </c>
      <c r="BE93" s="1028">
        <v>5</v>
      </c>
      <c r="BF93" s="1150">
        <f t="shared" si="218"/>
        <v>161.79</v>
      </c>
      <c r="BG93" s="1151">
        <v>300</v>
      </c>
      <c r="BH93" s="1151">
        <f t="shared" si="117"/>
        <v>0</v>
      </c>
      <c r="BI93" s="1180">
        <v>0</v>
      </c>
      <c r="BJ93" s="1180">
        <f t="shared" si="118"/>
        <v>0</v>
      </c>
      <c r="BK93" s="1151">
        <v>0</v>
      </c>
      <c r="BL93" s="1150">
        <f t="shared" si="170"/>
        <v>23.89</v>
      </c>
      <c r="BM93" s="1150">
        <f t="shared" si="171"/>
        <v>2.99</v>
      </c>
      <c r="BN93" s="1150">
        <f t="shared" si="119"/>
        <v>6.47</v>
      </c>
      <c r="BO93" s="1150">
        <v>0</v>
      </c>
      <c r="BP93" s="1150">
        <v>0</v>
      </c>
      <c r="BQ93" s="1396">
        <f t="shared" si="120"/>
        <v>33.35</v>
      </c>
      <c r="BR93" s="1150">
        <f t="shared" si="172"/>
        <v>53.76</v>
      </c>
      <c r="BS93" s="1150">
        <f t="shared" si="173"/>
        <v>11.95</v>
      </c>
      <c r="BT93" s="1150">
        <f t="shared" si="121"/>
        <v>12.94</v>
      </c>
      <c r="BU93" s="1150">
        <v>0</v>
      </c>
      <c r="BV93" s="1151">
        <f t="shared" si="122"/>
        <v>78.650000000000006</v>
      </c>
      <c r="BW93" s="1155">
        <f t="shared" si="123"/>
        <v>112</v>
      </c>
      <c r="BX93" s="1155">
        <f t="shared" si="239"/>
        <v>1213.3900000000001</v>
      </c>
      <c r="BY93" s="1151">
        <v>0</v>
      </c>
      <c r="BZ93" s="1151">
        <f t="shared" si="125"/>
        <v>1213.3900000000001</v>
      </c>
      <c r="CA93" s="1397">
        <f>'CONCEPTOS Y PARAMETROS'!$A$102</f>
        <v>2120</v>
      </c>
      <c r="CB93" s="1155">
        <f t="shared" si="126"/>
        <v>215.56</v>
      </c>
      <c r="CC93" s="1156">
        <f t="shared" si="127"/>
        <v>860.02</v>
      </c>
      <c r="CD93" s="514"/>
      <c r="CE93" s="514"/>
      <c r="CF93" s="520"/>
      <c r="CG93" s="497">
        <f t="shared" si="128"/>
        <v>215.56</v>
      </c>
      <c r="CH93" s="1711">
        <f t="shared" si="129"/>
        <v>300</v>
      </c>
      <c r="CI93" s="497">
        <f t="shared" si="130"/>
        <v>548.89</v>
      </c>
      <c r="CJ93" s="497">
        <f t="shared" si="131"/>
        <v>548.89</v>
      </c>
      <c r="CK93" s="497">
        <f t="shared" si="132"/>
        <v>0</v>
      </c>
      <c r="CL93" s="497">
        <f t="shared" si="133"/>
        <v>0</v>
      </c>
      <c r="CM93" s="497">
        <f t="shared" si="134"/>
        <v>0</v>
      </c>
      <c r="CN93" s="498">
        <f t="shared" si="135"/>
        <v>161.79</v>
      </c>
      <c r="CO93" s="499">
        <v>0</v>
      </c>
      <c r="CP93" s="498">
        <f t="shared" si="136"/>
        <v>149.34</v>
      </c>
      <c r="CQ93" s="500">
        <f t="shared" si="137"/>
        <v>0</v>
      </c>
      <c r="CR93" s="498">
        <f t="shared" si="138"/>
        <v>0</v>
      </c>
      <c r="CS93" s="498">
        <f t="shared" si="139"/>
        <v>311.13</v>
      </c>
      <c r="CT93" s="498">
        <f t="shared" si="140"/>
        <v>112</v>
      </c>
      <c r="CU93" s="498">
        <f t="shared" si="141"/>
        <v>2120</v>
      </c>
      <c r="CV93" s="1554"/>
      <c r="CW93" s="1195" t="s">
        <v>7006</v>
      </c>
      <c r="CX93" s="1195" t="s">
        <v>6935</v>
      </c>
      <c r="CY93" s="472"/>
      <c r="CZ93" s="514" t="s">
        <v>6311</v>
      </c>
      <c r="DA93" s="514" t="s">
        <v>6198</v>
      </c>
      <c r="DB93" s="514" t="s">
        <v>6265</v>
      </c>
      <c r="DC93" s="514" t="s">
        <v>6312</v>
      </c>
      <c r="DD93" s="514"/>
      <c r="DE93" s="472"/>
      <c r="DF93" s="472"/>
      <c r="DG93" s="472"/>
      <c r="DH93" s="472"/>
      <c r="DJ93" s="473" t="str">
        <f>VLOOKUP(X93,Hoja1!$A$4:$B$10,2,0)</f>
        <v>DOCTORADO</v>
      </c>
      <c r="DK93" s="473" t="str">
        <f>VLOOKUP(S93,Hoja1!$D$4:$F$77,3,0)</f>
        <v>TII - II</v>
      </c>
      <c r="DL93" s="1216" t="str">
        <f t="shared" si="142"/>
        <v>SI</v>
      </c>
      <c r="DM93" s="1741" t="str">
        <f t="shared" si="143"/>
        <v>F</v>
      </c>
      <c r="DN93" s="1741"/>
    </row>
    <row r="94" spans="1:118" s="478" customFormat="1" ht="21.95" customHeight="1">
      <c r="A94" s="510" t="s">
        <v>2846</v>
      </c>
      <c r="B94" s="1390">
        <f t="shared" ca="1" si="144"/>
        <v>52</v>
      </c>
      <c r="C94" s="1194">
        <v>11128954</v>
      </c>
      <c r="D94" s="1195" t="s">
        <v>5792</v>
      </c>
      <c r="E94" s="1180" t="s">
        <v>4622</v>
      </c>
      <c r="F94" s="1161">
        <v>25211</v>
      </c>
      <c r="G94" s="1180" t="s">
        <v>4621</v>
      </c>
      <c r="H94" s="1161">
        <v>45170</v>
      </c>
      <c r="I94" s="1185">
        <f t="shared" si="98"/>
        <v>1</v>
      </c>
      <c r="J94" s="1177">
        <f>14+9</f>
        <v>23</v>
      </c>
      <c r="K94" s="1185">
        <f t="shared" si="99"/>
        <v>24</v>
      </c>
      <c r="L94" s="1191" t="s">
        <v>5561</v>
      </c>
      <c r="M94" s="1177"/>
      <c r="N94" s="1177"/>
      <c r="O94" s="1040" t="s">
        <v>5222</v>
      </c>
      <c r="P94" s="1197" t="s">
        <v>5798</v>
      </c>
      <c r="Q94" s="1391" t="str">
        <f>IFERROR(VLOOKUP(O94,CARGOS!A:E,2,0),"")</f>
        <v>79511</v>
      </c>
      <c r="R94" s="1403" t="s">
        <v>5222</v>
      </c>
      <c r="S94" s="1192" t="s">
        <v>5484</v>
      </c>
      <c r="T94" s="1150">
        <f>IFERROR(VLOOKUP(S94,'TAB EMP'!A:B,2,0),0)</f>
        <v>228</v>
      </c>
      <c r="U94" s="1151">
        <v>0</v>
      </c>
      <c r="V94" s="1150">
        <f t="shared" si="100"/>
        <v>228</v>
      </c>
      <c r="W94" s="1151">
        <f t="shared" si="101"/>
        <v>114</v>
      </c>
      <c r="X94" s="1180" t="s">
        <v>2844</v>
      </c>
      <c r="Y94" s="1180"/>
      <c r="Z94" s="1180">
        <v>1</v>
      </c>
      <c r="AA94" s="1150">
        <f>ROUND(IF(H94&lt;&gt;"",VLOOKUP(SUM(I94+J94),'CONCEPTOS Y PARAMETROS'!F:G,2,0)*V94,0),2)</f>
        <v>68.400000000000006</v>
      </c>
      <c r="AB94" s="1150">
        <f>IF(S94&lt;&gt;"",IF(M94="",'CONCEPTOS Y PARAMETROS'!$C$4,0),0)</f>
        <v>130</v>
      </c>
      <c r="AC94" s="1150">
        <f>IF(S94&lt;&gt;"",IF(M94="",'CONCEPTOS Y PARAMETROS'!$C$7*Z94,0),0)</f>
        <v>12.5</v>
      </c>
      <c r="AD94" s="1150">
        <f>IFERROR(ROUND(VLOOKUP($X94,'CONCEPTOS Y PARAMETROS'!H:I,2,0)*($V94+AA94+AB94+AC94),2),0)</f>
        <v>87.78</v>
      </c>
      <c r="AE94" s="1150">
        <f t="shared" si="102"/>
        <v>298.68</v>
      </c>
      <c r="AF94" s="1150">
        <f t="shared" si="103"/>
        <v>34.200000000000003</v>
      </c>
      <c r="AG94" s="1150">
        <f t="shared" si="104"/>
        <v>34.200000000000003</v>
      </c>
      <c r="AH94" s="1150">
        <f t="shared" si="105"/>
        <v>65</v>
      </c>
      <c r="AI94" s="1150">
        <f t="shared" si="106"/>
        <v>65</v>
      </c>
      <c r="AJ94" s="1150">
        <f t="shared" si="107"/>
        <v>43.89</v>
      </c>
      <c r="AK94" s="1150">
        <f t="shared" si="108"/>
        <v>43.89</v>
      </c>
      <c r="AL94" s="1151">
        <f t="shared" si="109"/>
        <v>155.59</v>
      </c>
      <c r="AM94" s="1151">
        <f t="shared" si="110"/>
        <v>143.09</v>
      </c>
      <c r="AN94" s="1028">
        <v>0</v>
      </c>
      <c r="AO94" s="1193">
        <f>'CONCEPTOS Y PARAMETROS'!$C$18*AN94</f>
        <v>0</v>
      </c>
      <c r="AP94" s="1028">
        <v>0</v>
      </c>
      <c r="AQ94" s="1193">
        <f>'CONCEPTOS Y PARAMETROS'!$C$21*AP94</f>
        <v>0</v>
      </c>
      <c r="AR94" s="1394">
        <v>0</v>
      </c>
      <c r="AS94" s="1394">
        <v>0</v>
      </c>
      <c r="AT94" s="1394">
        <f t="shared" si="197"/>
        <v>0</v>
      </c>
      <c r="AU94" s="1151">
        <f t="shared" si="112"/>
        <v>684.68000000000006</v>
      </c>
      <c r="AV94" s="1178" t="s">
        <v>5080</v>
      </c>
      <c r="AW94" s="1151">
        <f t="shared" si="198"/>
        <v>158</v>
      </c>
      <c r="AX94" s="1150">
        <f>IF(T94&lt;&gt;"0",(ROUND(IF(A94="EMPLEADO",eval_formula('CONCEPTOS Y PARAMETROS'!$C$8,NOMINA!V94,NOMINA!$AU94,NOMINA!I94+NOMINA!J94),eval_formula('CONCEPTOS Y PARAMETROS'!$D$8,NOMINA!V94,NOMINA!$AU94,NOMINA!I94+NOMINA!J94)),2))*IF(H94&lt;&gt;"",IF(MONTH(H94)=$BR$8,IF(YEAR(H94)&lt;$BT$7,1,0),0)))</f>
        <v>0</v>
      </c>
      <c r="AY94" s="1151">
        <v>180</v>
      </c>
      <c r="AZ94" s="1150">
        <f>IFERROR(VLOOKUP(AY94,'CONCEPTOS Y PARAMETROS'!Y:Z,2,0),0)</f>
        <v>150</v>
      </c>
      <c r="BA94" s="1150">
        <f t="shared" si="114"/>
        <v>5135.1000000000004</v>
      </c>
      <c r="BB94" s="1150">
        <f t="shared" si="145"/>
        <v>0</v>
      </c>
      <c r="BC94" s="1028">
        <v>0</v>
      </c>
      <c r="BD94" s="1150" t="str">
        <f t="shared" si="115"/>
        <v>0</v>
      </c>
      <c r="BE94" s="1028">
        <v>3</v>
      </c>
      <c r="BF94" s="1150">
        <f t="shared" si="218"/>
        <v>102.7</v>
      </c>
      <c r="BG94" s="1151">
        <v>300</v>
      </c>
      <c r="BH94" s="1151">
        <f t="shared" si="117"/>
        <v>0</v>
      </c>
      <c r="BI94" s="1180">
        <v>0</v>
      </c>
      <c r="BJ94" s="1180">
        <f t="shared" si="118"/>
        <v>0</v>
      </c>
      <c r="BK94" s="1151">
        <v>0</v>
      </c>
      <c r="BL94" s="1150">
        <f t="shared" si="170"/>
        <v>25.28</v>
      </c>
      <c r="BM94" s="1150">
        <f t="shared" si="171"/>
        <v>3.16</v>
      </c>
      <c r="BN94" s="1150">
        <f t="shared" si="119"/>
        <v>6.85</v>
      </c>
      <c r="BO94" s="1150">
        <v>0</v>
      </c>
      <c r="BP94" s="1150">
        <v>0</v>
      </c>
      <c r="BQ94" s="1396">
        <f t="shared" si="120"/>
        <v>35.29</v>
      </c>
      <c r="BR94" s="1150">
        <f t="shared" si="172"/>
        <v>56.88</v>
      </c>
      <c r="BS94" s="1150">
        <f t="shared" si="173"/>
        <v>12.64</v>
      </c>
      <c r="BT94" s="1150">
        <f t="shared" si="121"/>
        <v>13.7</v>
      </c>
      <c r="BU94" s="1150">
        <v>0</v>
      </c>
      <c r="BV94" s="1151">
        <f t="shared" si="122"/>
        <v>83.22</v>
      </c>
      <c r="BW94" s="1155">
        <f t="shared" si="123"/>
        <v>118.50999999999999</v>
      </c>
      <c r="BX94" s="1155">
        <f t="shared" si="239"/>
        <v>1283.78</v>
      </c>
      <c r="BY94" s="1151">
        <v>0</v>
      </c>
      <c r="BZ94" s="1151">
        <f t="shared" si="125"/>
        <v>1283.78</v>
      </c>
      <c r="CA94" s="1397">
        <f>'CONCEPTOS Y PARAMETROS'!$A$102</f>
        <v>2120</v>
      </c>
      <c r="CB94" s="1155">
        <f t="shared" si="126"/>
        <v>234.30000000000004</v>
      </c>
      <c r="CC94" s="1156">
        <f t="shared" si="127"/>
        <v>817.79</v>
      </c>
      <c r="CD94" s="514"/>
      <c r="CE94" s="514"/>
      <c r="CG94" s="511">
        <f t="shared" si="128"/>
        <v>234.30000000000004</v>
      </c>
      <c r="CH94" s="1712">
        <f t="shared" si="129"/>
        <v>300</v>
      </c>
      <c r="CI94" s="511">
        <f t="shared" si="130"/>
        <v>557.09</v>
      </c>
      <c r="CJ94" s="511">
        <f t="shared" si="131"/>
        <v>557.09</v>
      </c>
      <c r="CK94" s="511">
        <f t="shared" si="132"/>
        <v>0</v>
      </c>
      <c r="CL94" s="511">
        <f t="shared" si="133"/>
        <v>0</v>
      </c>
      <c r="CM94" s="511">
        <f t="shared" si="134"/>
        <v>0</v>
      </c>
      <c r="CN94" s="512">
        <f t="shared" si="135"/>
        <v>102.7</v>
      </c>
      <c r="CO94" s="513">
        <v>0</v>
      </c>
      <c r="CP94" s="512">
        <f t="shared" si="136"/>
        <v>158</v>
      </c>
      <c r="CQ94" s="500">
        <f t="shared" si="137"/>
        <v>0</v>
      </c>
      <c r="CR94" s="512">
        <f t="shared" si="138"/>
        <v>0</v>
      </c>
      <c r="CS94" s="512">
        <f t="shared" si="139"/>
        <v>260.7</v>
      </c>
      <c r="CT94" s="512">
        <f t="shared" si="140"/>
        <v>118.50999999999999</v>
      </c>
      <c r="CU94" s="512">
        <f t="shared" si="141"/>
        <v>2120</v>
      </c>
      <c r="CV94" s="1556"/>
      <c r="CW94" s="1195" t="s">
        <v>7199</v>
      </c>
      <c r="CX94" s="1195" t="s">
        <v>7145</v>
      </c>
      <c r="CY94" s="514"/>
      <c r="CZ94" s="1199" t="s">
        <v>6669</v>
      </c>
      <c r="DA94" s="514" t="s">
        <v>6208</v>
      </c>
      <c r="DB94" s="1188" t="s">
        <v>6461</v>
      </c>
      <c r="DC94" s="514" t="s">
        <v>6573</v>
      </c>
      <c r="DD94" s="472"/>
      <c r="DE94" s="472"/>
      <c r="DF94" s="514"/>
      <c r="DG94" s="514"/>
      <c r="DH94" s="514"/>
      <c r="DJ94" s="478" t="str">
        <f>VLOOKUP(X94,Hoja1!$A$4:$B$10,2,0)</f>
        <v>TÉCNICO SUPERIOR UNIVERSITARIO</v>
      </c>
      <c r="DK94" s="478" t="str">
        <f>VLOOKUP(S94,Hoja1!$D$4:$F$77,3,0)</f>
        <v>TII - VII</v>
      </c>
      <c r="DL94" s="1218" t="str">
        <f t="shared" si="142"/>
        <v>SI</v>
      </c>
      <c r="DM94" s="1743" t="str">
        <f t="shared" si="143"/>
        <v>M</v>
      </c>
      <c r="DN94" s="1743"/>
    </row>
    <row r="95" spans="1:118" s="473" customFormat="1" ht="21.95" customHeight="1">
      <c r="A95" s="510" t="s">
        <v>2846</v>
      </c>
      <c r="B95" s="1390">
        <f t="shared" ca="1" si="144"/>
        <v>53</v>
      </c>
      <c r="C95" s="1194">
        <v>11132900</v>
      </c>
      <c r="D95" s="1195" t="s">
        <v>5238</v>
      </c>
      <c r="E95" s="1180" t="s">
        <v>4622</v>
      </c>
      <c r="F95" s="1196">
        <v>26864</v>
      </c>
      <c r="G95" s="1180" t="s">
        <v>4621</v>
      </c>
      <c r="H95" s="1196">
        <v>44866</v>
      </c>
      <c r="I95" s="1185">
        <f t="shared" si="98"/>
        <v>2</v>
      </c>
      <c r="J95" s="1177">
        <v>0</v>
      </c>
      <c r="K95" s="1185">
        <f t="shared" si="99"/>
        <v>2</v>
      </c>
      <c r="L95" s="1191" t="s">
        <v>5551</v>
      </c>
      <c r="M95" s="1177"/>
      <c r="N95" s="1177"/>
      <c r="O95" s="1040" t="s">
        <v>5222</v>
      </c>
      <c r="P95" s="1177" t="s">
        <v>5317</v>
      </c>
      <c r="Q95" s="1391" t="str">
        <f>IFERROR(VLOOKUP(O95,CARGOS!A:E,2,0),"")</f>
        <v>79511</v>
      </c>
      <c r="R95" s="1403" t="s">
        <v>5222</v>
      </c>
      <c r="S95" s="1192" t="s">
        <v>5475</v>
      </c>
      <c r="T95" s="1150">
        <f>IFERROR(VLOOKUP(S95,'TAB EMP'!A:B,2,0),0)</f>
        <v>192</v>
      </c>
      <c r="U95" s="1151">
        <v>0</v>
      </c>
      <c r="V95" s="1150">
        <f t="shared" si="100"/>
        <v>192</v>
      </c>
      <c r="W95" s="1151">
        <f t="shared" si="101"/>
        <v>96</v>
      </c>
      <c r="X95" s="1180" t="s">
        <v>2844</v>
      </c>
      <c r="Y95" s="1180"/>
      <c r="Z95" s="1180">
        <v>0</v>
      </c>
      <c r="AA95" s="1150">
        <f>ROUND(IF(H95&lt;&gt;"",VLOOKUP(SUM(I95+J95),'CONCEPTOS Y PARAMETROS'!F:G,2,0)*V95,0),2)</f>
        <v>3.84</v>
      </c>
      <c r="AB95" s="1150">
        <f>IF(S95&lt;&gt;"",IF(M95="",'CONCEPTOS Y PARAMETROS'!$C$4,0),0)</f>
        <v>130</v>
      </c>
      <c r="AC95" s="1150">
        <f>IF(S95&lt;&gt;"",IF(M95="",'CONCEPTOS Y PARAMETROS'!$C$7*Z95,0),0)</f>
        <v>0</v>
      </c>
      <c r="AD95" s="1150">
        <f>IFERROR(ROUND(VLOOKUP($X95,'CONCEPTOS Y PARAMETROS'!H:I,2,0)*($V95+AA95+AB95+AC95),2),0)</f>
        <v>65.17</v>
      </c>
      <c r="AE95" s="1150">
        <f t="shared" si="102"/>
        <v>199.01</v>
      </c>
      <c r="AF95" s="1150">
        <f t="shared" si="103"/>
        <v>1.92</v>
      </c>
      <c r="AG95" s="1150">
        <f t="shared" si="104"/>
        <v>1.92</v>
      </c>
      <c r="AH95" s="1150">
        <f t="shared" si="105"/>
        <v>65</v>
      </c>
      <c r="AI95" s="1150">
        <f t="shared" si="106"/>
        <v>65</v>
      </c>
      <c r="AJ95" s="1150">
        <f t="shared" si="107"/>
        <v>32.590000000000003</v>
      </c>
      <c r="AK95" s="1150">
        <f t="shared" si="108"/>
        <v>32.58</v>
      </c>
      <c r="AL95" s="1151">
        <f t="shared" si="109"/>
        <v>99.51</v>
      </c>
      <c r="AM95" s="1151">
        <f t="shared" si="110"/>
        <v>99.5</v>
      </c>
      <c r="AN95" s="1028">
        <v>0</v>
      </c>
      <c r="AO95" s="1193">
        <f>'CONCEPTOS Y PARAMETROS'!$C$18*AN95</f>
        <v>0</v>
      </c>
      <c r="AP95" s="1028">
        <v>0</v>
      </c>
      <c r="AQ95" s="1193">
        <f>'CONCEPTOS Y PARAMETROS'!$C$21*AP95</f>
        <v>0</v>
      </c>
      <c r="AR95" s="1394">
        <v>0</v>
      </c>
      <c r="AS95" s="1394">
        <v>0</v>
      </c>
      <c r="AT95" s="1394">
        <f t="shared" si="197"/>
        <v>0</v>
      </c>
      <c r="AU95" s="1151">
        <f t="shared" si="112"/>
        <v>508.31</v>
      </c>
      <c r="AV95" s="1178" t="s">
        <v>5080</v>
      </c>
      <c r="AW95" s="1151">
        <f t="shared" si="198"/>
        <v>117.3</v>
      </c>
      <c r="AX95" s="1150">
        <f>IF(T95&lt;&gt;"0",(ROUND(IF(A95="EMPLEADO",eval_formula('CONCEPTOS Y PARAMETROS'!$C$8,NOMINA!V95,NOMINA!$AU95,NOMINA!I95+NOMINA!J95),eval_formula('CONCEPTOS Y PARAMETROS'!$D$8,NOMINA!V95,NOMINA!$AU95,NOMINA!I95+NOMINA!J95)),2))*IF(H95&lt;&gt;"",IF(MONTH(H95)=$BR$8,IF(YEAR(H95)&lt;$BT$7,1,0),0)))</f>
        <v>0</v>
      </c>
      <c r="AY95" s="1151">
        <v>180</v>
      </c>
      <c r="AZ95" s="1150">
        <f>IFERROR(VLOOKUP(AY95,'CONCEPTOS Y PARAMETROS'!Y:Z,2,0),0)</f>
        <v>150</v>
      </c>
      <c r="BA95" s="1150">
        <f t="shared" si="114"/>
        <v>3812.33</v>
      </c>
      <c r="BB95" s="1150">
        <f t="shared" si="145"/>
        <v>0</v>
      </c>
      <c r="BC95" s="1028">
        <v>0</v>
      </c>
      <c r="BD95" s="1150" t="str">
        <f t="shared" si="115"/>
        <v>0</v>
      </c>
      <c r="BE95" s="1028">
        <v>4</v>
      </c>
      <c r="BF95" s="1150">
        <f t="shared" si="218"/>
        <v>101.66</v>
      </c>
      <c r="BG95" s="1151">
        <v>300</v>
      </c>
      <c r="BH95" s="1151">
        <f t="shared" si="117"/>
        <v>0</v>
      </c>
      <c r="BI95" s="1180">
        <v>0</v>
      </c>
      <c r="BJ95" s="1180">
        <f t="shared" si="118"/>
        <v>0</v>
      </c>
      <c r="BK95" s="1151">
        <v>0</v>
      </c>
      <c r="BL95" s="1150">
        <f t="shared" si="170"/>
        <v>18.77</v>
      </c>
      <c r="BM95" s="1150">
        <f t="shared" si="171"/>
        <v>2.35</v>
      </c>
      <c r="BN95" s="1150">
        <f t="shared" si="119"/>
        <v>5.08</v>
      </c>
      <c r="BO95" s="1150">
        <v>0</v>
      </c>
      <c r="BP95" s="1150">
        <v>0</v>
      </c>
      <c r="BQ95" s="1396">
        <f t="shared" si="120"/>
        <v>26.2</v>
      </c>
      <c r="BR95" s="1150">
        <f t="shared" si="172"/>
        <v>42.23</v>
      </c>
      <c r="BS95" s="1150">
        <f t="shared" si="173"/>
        <v>9.3800000000000008</v>
      </c>
      <c r="BT95" s="1150">
        <f t="shared" si="121"/>
        <v>10.16</v>
      </c>
      <c r="BU95" s="1150">
        <v>0</v>
      </c>
      <c r="BV95" s="1151">
        <f t="shared" si="122"/>
        <v>61.77</v>
      </c>
      <c r="BW95" s="1155">
        <f t="shared" si="123"/>
        <v>87.97</v>
      </c>
      <c r="BX95" s="1155">
        <f t="shared" si="239"/>
        <v>953.08</v>
      </c>
      <c r="BY95" s="1151">
        <v>0</v>
      </c>
      <c r="BZ95" s="1151">
        <f t="shared" si="125"/>
        <v>953.08</v>
      </c>
      <c r="CA95" s="1397">
        <f>'CONCEPTOS Y PARAMETROS'!$A$102</f>
        <v>2120</v>
      </c>
      <c r="CB95" s="1155">
        <f t="shared" si="126"/>
        <v>169.31</v>
      </c>
      <c r="CC95" s="1156">
        <f t="shared" si="127"/>
        <v>714.46</v>
      </c>
      <c r="CD95" s="514"/>
      <c r="CE95" s="514"/>
      <c r="CF95" s="520"/>
      <c r="CG95" s="497">
        <f t="shared" si="128"/>
        <v>169.31</v>
      </c>
      <c r="CH95" s="1711">
        <f t="shared" si="129"/>
        <v>300</v>
      </c>
      <c r="CI95" s="497">
        <f t="shared" si="130"/>
        <v>495.5</v>
      </c>
      <c r="CJ95" s="497">
        <f t="shared" si="131"/>
        <v>495.5</v>
      </c>
      <c r="CK95" s="497">
        <f t="shared" si="132"/>
        <v>0</v>
      </c>
      <c r="CL95" s="497">
        <f t="shared" si="133"/>
        <v>0</v>
      </c>
      <c r="CM95" s="497">
        <f t="shared" si="134"/>
        <v>0</v>
      </c>
      <c r="CN95" s="498">
        <f t="shared" si="135"/>
        <v>101.66</v>
      </c>
      <c r="CO95" s="499">
        <v>0</v>
      </c>
      <c r="CP95" s="498">
        <f t="shared" si="136"/>
        <v>117.3</v>
      </c>
      <c r="CQ95" s="500">
        <f t="shared" si="137"/>
        <v>0</v>
      </c>
      <c r="CR95" s="498">
        <f t="shared" si="138"/>
        <v>0</v>
      </c>
      <c r="CS95" s="498">
        <f t="shared" si="139"/>
        <v>218.95999999999998</v>
      </c>
      <c r="CT95" s="498">
        <f t="shared" si="140"/>
        <v>87.97</v>
      </c>
      <c r="CU95" s="498">
        <f t="shared" si="141"/>
        <v>2120</v>
      </c>
      <c r="CV95" s="1554"/>
      <c r="CW95" s="1195" t="s">
        <v>7097</v>
      </c>
      <c r="CX95" s="1195" t="s">
        <v>7248</v>
      </c>
      <c r="CY95" s="472"/>
      <c r="CZ95" s="514" t="s">
        <v>6343</v>
      </c>
      <c r="DA95" s="514" t="s">
        <v>6188</v>
      </c>
      <c r="DB95" s="514" t="s">
        <v>6344</v>
      </c>
      <c r="DC95" s="514" t="s">
        <v>6358</v>
      </c>
      <c r="DD95" s="472"/>
      <c r="DE95" s="472"/>
      <c r="DF95" s="472"/>
      <c r="DG95" s="472"/>
      <c r="DH95" s="472"/>
      <c r="DJ95" s="473" t="str">
        <f>VLOOKUP(X95,Hoja1!$A$4:$B$10,2,0)</f>
        <v>TÉCNICO SUPERIOR UNIVERSITARIO</v>
      </c>
      <c r="DK95" s="473" t="str">
        <f>VLOOKUP(S95,Hoja1!$D$4:$F$77,3,0)</f>
        <v>TI</v>
      </c>
      <c r="DL95" s="1216" t="str">
        <f t="shared" si="142"/>
        <v>SI</v>
      </c>
      <c r="DM95" s="1741" t="str">
        <f t="shared" si="143"/>
        <v>M</v>
      </c>
      <c r="DN95" s="1741"/>
    </row>
    <row r="96" spans="1:118" s="473" customFormat="1" ht="21.95" customHeight="1">
      <c r="A96" s="510" t="s">
        <v>2846</v>
      </c>
      <c r="B96" s="1390">
        <f t="shared" ca="1" si="144"/>
        <v>54</v>
      </c>
      <c r="C96" s="1194">
        <v>11132943</v>
      </c>
      <c r="D96" s="1195" t="s">
        <v>4738</v>
      </c>
      <c r="E96" s="1180" t="s">
        <v>4622</v>
      </c>
      <c r="F96" s="1196">
        <v>25289</v>
      </c>
      <c r="G96" s="1180" t="s">
        <v>4620</v>
      </c>
      <c r="H96" s="1196">
        <v>39738</v>
      </c>
      <c r="I96" s="1185">
        <f t="shared" si="98"/>
        <v>16</v>
      </c>
      <c r="J96" s="1177">
        <v>0</v>
      </c>
      <c r="K96" s="1185">
        <f t="shared" si="99"/>
        <v>16</v>
      </c>
      <c r="L96" s="1191" t="s">
        <v>5550</v>
      </c>
      <c r="M96" s="1177"/>
      <c r="N96" s="1177"/>
      <c r="O96" s="1040" t="s">
        <v>5221</v>
      </c>
      <c r="P96" s="1177" t="s">
        <v>5318</v>
      </c>
      <c r="Q96" s="1391" t="str">
        <f>IFERROR(VLOOKUP(O96,CARGOS!A:E,2,0),"")</f>
        <v>79512</v>
      </c>
      <c r="R96" s="1403" t="s">
        <v>5221</v>
      </c>
      <c r="S96" s="1192" t="s">
        <v>5470</v>
      </c>
      <c r="T96" s="1150">
        <f>IFERROR(VLOOKUP(S96,'TAB EMP'!A:B,2,0),0)</f>
        <v>176</v>
      </c>
      <c r="U96" s="1151">
        <v>0</v>
      </c>
      <c r="V96" s="1150">
        <f t="shared" si="100"/>
        <v>176</v>
      </c>
      <c r="W96" s="1151">
        <f t="shared" si="101"/>
        <v>88</v>
      </c>
      <c r="X96" s="1180" t="s">
        <v>2884</v>
      </c>
      <c r="Y96" s="1180"/>
      <c r="Z96" s="1180">
        <v>0</v>
      </c>
      <c r="AA96" s="1150">
        <f>ROUND(IF(H96&lt;&gt;"",VLOOKUP(SUM(I96+J96),'CONCEPTOS Y PARAMETROS'!F:G,2,0)*V96,0),2)</f>
        <v>34.5</v>
      </c>
      <c r="AB96" s="1150">
        <f>IF(S96&lt;&gt;"",IF(M96="",'CONCEPTOS Y PARAMETROS'!$C$4,0),0)</f>
        <v>130</v>
      </c>
      <c r="AC96" s="1150">
        <f>IF(S96&lt;&gt;"",IF(M96="",'CONCEPTOS Y PARAMETROS'!$C$7*Z96,0),0)</f>
        <v>0</v>
      </c>
      <c r="AD96" s="1150">
        <f>IFERROR(ROUND(VLOOKUP($X96,'CONCEPTOS Y PARAMETROS'!H:I,2,0)*($V96+AA96+AB96+AC96),2),0)</f>
        <v>0</v>
      </c>
      <c r="AE96" s="1150">
        <f t="shared" si="102"/>
        <v>164.5</v>
      </c>
      <c r="AF96" s="1150">
        <f t="shared" si="103"/>
        <v>17.25</v>
      </c>
      <c r="AG96" s="1150">
        <f t="shared" si="104"/>
        <v>17.25</v>
      </c>
      <c r="AH96" s="1150">
        <f t="shared" si="105"/>
        <v>65</v>
      </c>
      <c r="AI96" s="1150">
        <f t="shared" si="106"/>
        <v>65</v>
      </c>
      <c r="AJ96" s="1150">
        <f t="shared" si="107"/>
        <v>0</v>
      </c>
      <c r="AK96" s="1150">
        <f t="shared" si="108"/>
        <v>0</v>
      </c>
      <c r="AL96" s="1151">
        <f t="shared" si="109"/>
        <v>82.25</v>
      </c>
      <c r="AM96" s="1151">
        <f t="shared" si="110"/>
        <v>82.25</v>
      </c>
      <c r="AN96" s="1028">
        <v>0</v>
      </c>
      <c r="AO96" s="1193">
        <f>'CONCEPTOS Y PARAMETROS'!$C$18*AN96</f>
        <v>0</v>
      </c>
      <c r="AP96" s="1028">
        <v>0</v>
      </c>
      <c r="AQ96" s="1193">
        <f>'CONCEPTOS Y PARAMETROS'!$C$21*AP96</f>
        <v>0</v>
      </c>
      <c r="AR96" s="1394">
        <v>0</v>
      </c>
      <c r="AS96" s="1394">
        <v>0</v>
      </c>
      <c r="AT96" s="1394">
        <f t="shared" si="197"/>
        <v>0</v>
      </c>
      <c r="AU96" s="1151">
        <f t="shared" si="112"/>
        <v>340.5</v>
      </c>
      <c r="AV96" s="1178">
        <v>0</v>
      </c>
      <c r="AW96" s="1151">
        <f t="shared" si="198"/>
        <v>0</v>
      </c>
      <c r="AX96" s="1150">
        <f>IF(T96&lt;&gt;"0",(ROUND(IF(A96="EMPLEADO",eval_formula('CONCEPTOS Y PARAMETROS'!$C$8,NOMINA!V96,NOMINA!$AU96,NOMINA!I96+NOMINA!J96),eval_formula('CONCEPTOS Y PARAMETROS'!$D$8,NOMINA!V96,NOMINA!$AU96,NOMINA!I96+NOMINA!J96)),2))*IF(H96&lt;&gt;"",IF(MONTH(H96)=$BR$8,IF(YEAR(H96)&lt;$BT$7,1,0),0)))</f>
        <v>0</v>
      </c>
      <c r="AY96" s="1151">
        <v>180</v>
      </c>
      <c r="AZ96" s="1150">
        <f>IFERROR(VLOOKUP(AY96,'CONCEPTOS Y PARAMETROS'!Y:Z,2,0),0)</f>
        <v>150</v>
      </c>
      <c r="BA96" s="1150">
        <f t="shared" si="114"/>
        <v>2553.75</v>
      </c>
      <c r="BB96" s="1150">
        <f t="shared" si="145"/>
        <v>0</v>
      </c>
      <c r="BC96" s="1028">
        <v>0</v>
      </c>
      <c r="BD96" s="1150" t="str">
        <f t="shared" si="115"/>
        <v>0</v>
      </c>
      <c r="BE96" s="1028">
        <v>0</v>
      </c>
      <c r="BF96" s="1150">
        <f t="shared" si="218"/>
        <v>0</v>
      </c>
      <c r="BG96" s="1151">
        <v>300</v>
      </c>
      <c r="BH96" s="1151">
        <f t="shared" si="117"/>
        <v>0</v>
      </c>
      <c r="BI96" s="1180">
        <v>0</v>
      </c>
      <c r="BJ96" s="1180">
        <f t="shared" si="118"/>
        <v>0</v>
      </c>
      <c r="BK96" s="1151">
        <v>0</v>
      </c>
      <c r="BL96" s="1150">
        <f t="shared" si="170"/>
        <v>12.57</v>
      </c>
      <c r="BM96" s="1150">
        <f t="shared" si="171"/>
        <v>1.57</v>
      </c>
      <c r="BN96" s="1150">
        <f t="shared" si="119"/>
        <v>3.41</v>
      </c>
      <c r="BO96" s="1150">
        <v>0</v>
      </c>
      <c r="BP96" s="1150">
        <v>0</v>
      </c>
      <c r="BQ96" s="1396">
        <f t="shared" si="120"/>
        <v>17.55</v>
      </c>
      <c r="BR96" s="1150">
        <f t="shared" si="172"/>
        <v>28.29</v>
      </c>
      <c r="BS96" s="1150">
        <f t="shared" si="173"/>
        <v>6.29</v>
      </c>
      <c r="BT96" s="1150">
        <f t="shared" si="121"/>
        <v>6.82</v>
      </c>
      <c r="BU96" s="1150">
        <v>0</v>
      </c>
      <c r="BV96" s="1151">
        <f t="shared" si="122"/>
        <v>41.4</v>
      </c>
      <c r="BW96" s="1155">
        <f t="shared" si="123"/>
        <v>58.95</v>
      </c>
      <c r="BX96" s="1155">
        <f t="shared" si="239"/>
        <v>638.44000000000005</v>
      </c>
      <c r="BY96" s="1151">
        <v>0</v>
      </c>
      <c r="BZ96" s="1151">
        <f t="shared" si="125"/>
        <v>638.44000000000005</v>
      </c>
      <c r="CA96" s="1397">
        <f>'CONCEPTOS Y PARAMETROS'!$A$102</f>
        <v>2120</v>
      </c>
      <c r="CB96" s="1155">
        <f t="shared" si="126"/>
        <v>152.69999999999999</v>
      </c>
      <c r="CC96" s="1156">
        <f t="shared" si="127"/>
        <v>470.25</v>
      </c>
      <c r="CD96" s="514"/>
      <c r="CE96" s="514"/>
      <c r="CF96" s="520"/>
      <c r="CG96" s="497">
        <f t="shared" si="128"/>
        <v>152.69999999999999</v>
      </c>
      <c r="CH96" s="1711">
        <f t="shared" si="129"/>
        <v>300</v>
      </c>
      <c r="CI96" s="497">
        <f t="shared" si="130"/>
        <v>470.25</v>
      </c>
      <c r="CJ96" s="497">
        <f t="shared" si="131"/>
        <v>470.25</v>
      </c>
      <c r="CK96" s="497">
        <f t="shared" si="132"/>
        <v>0</v>
      </c>
      <c r="CL96" s="497">
        <f t="shared" si="133"/>
        <v>0</v>
      </c>
      <c r="CM96" s="497">
        <f t="shared" si="134"/>
        <v>0</v>
      </c>
      <c r="CN96" s="498">
        <f t="shared" si="135"/>
        <v>0</v>
      </c>
      <c r="CO96" s="499">
        <v>0</v>
      </c>
      <c r="CP96" s="498">
        <f t="shared" si="136"/>
        <v>0</v>
      </c>
      <c r="CQ96" s="500">
        <f t="shared" si="137"/>
        <v>0</v>
      </c>
      <c r="CR96" s="498">
        <f t="shared" si="138"/>
        <v>0</v>
      </c>
      <c r="CS96" s="498">
        <f t="shared" si="139"/>
        <v>0</v>
      </c>
      <c r="CT96" s="498">
        <f t="shared" si="140"/>
        <v>58.95</v>
      </c>
      <c r="CU96" s="498">
        <f t="shared" si="141"/>
        <v>2120</v>
      </c>
      <c r="CV96" s="1554"/>
      <c r="CW96" s="1195" t="s">
        <v>7200</v>
      </c>
      <c r="CX96" s="1195" t="s">
        <v>6966</v>
      </c>
      <c r="CY96" s="472"/>
      <c r="CZ96" s="514" t="s">
        <v>6254</v>
      </c>
      <c r="DA96" s="514" t="s">
        <v>6241</v>
      </c>
      <c r="DB96" s="514" t="s">
        <v>6238</v>
      </c>
      <c r="DC96" s="514" t="s">
        <v>6255</v>
      </c>
      <c r="DD96" s="472"/>
      <c r="DE96" s="472"/>
      <c r="DF96" s="472"/>
      <c r="DG96" s="472"/>
      <c r="DH96" s="472"/>
      <c r="DJ96" s="473" t="str">
        <f>VLOOKUP(X96,Hoja1!$A$4:$B$10,2,0)</f>
        <v>BACHILLER</v>
      </c>
      <c r="DK96" s="473" t="str">
        <f>VLOOKUP(S96,Hoja1!$D$4:$F$77,3,0)</f>
        <v>BIII - VI</v>
      </c>
      <c r="DL96" s="1216" t="str">
        <f t="shared" si="142"/>
        <v>0</v>
      </c>
      <c r="DM96" s="1741" t="str">
        <f t="shared" si="143"/>
        <v>F</v>
      </c>
      <c r="DN96" s="1741"/>
    </row>
    <row r="97" spans="1:118" s="473" customFormat="1" ht="21.95" customHeight="1">
      <c r="A97" s="510" t="s">
        <v>2846</v>
      </c>
      <c r="B97" s="1390">
        <f t="shared" ca="1" si="144"/>
        <v>55</v>
      </c>
      <c r="C97" s="1194">
        <v>11132979</v>
      </c>
      <c r="D97" s="1195" t="s">
        <v>4739</v>
      </c>
      <c r="E97" s="1180" t="s">
        <v>4622</v>
      </c>
      <c r="F97" s="1196">
        <v>27236</v>
      </c>
      <c r="G97" s="1180" t="s">
        <v>4620</v>
      </c>
      <c r="H97" s="1196">
        <v>44348</v>
      </c>
      <c r="I97" s="1185">
        <f t="shared" si="98"/>
        <v>3</v>
      </c>
      <c r="J97" s="1177">
        <v>12</v>
      </c>
      <c r="K97" s="1185">
        <f t="shared" si="99"/>
        <v>15</v>
      </c>
      <c r="L97" s="1191" t="s">
        <v>7377</v>
      </c>
      <c r="M97" s="1177"/>
      <c r="N97" s="1177"/>
      <c r="O97" s="1040" t="s">
        <v>5221</v>
      </c>
      <c r="P97" s="1177" t="s">
        <v>5319</v>
      </c>
      <c r="Q97" s="1391" t="str">
        <f>IFERROR(VLOOKUP(O97,CARGOS!A:E,2,0),"")</f>
        <v>79512</v>
      </c>
      <c r="R97" s="1403" t="s">
        <v>5221</v>
      </c>
      <c r="S97" s="1192" t="s">
        <v>5473</v>
      </c>
      <c r="T97" s="1150">
        <f>IFERROR(VLOOKUP(S97,'TAB EMP'!A:B,2,0),0)</f>
        <v>285</v>
      </c>
      <c r="U97" s="1151">
        <v>0</v>
      </c>
      <c r="V97" s="1150">
        <f t="shared" si="100"/>
        <v>285</v>
      </c>
      <c r="W97" s="1151">
        <f t="shared" si="101"/>
        <v>142.5</v>
      </c>
      <c r="X97" s="1180" t="s">
        <v>2885</v>
      </c>
      <c r="Y97" s="1180"/>
      <c r="Z97" s="1180">
        <v>1</v>
      </c>
      <c r="AA97" s="1150">
        <f>ROUND(IF(H97&lt;&gt;"",VLOOKUP(SUM(I97+J97),'CONCEPTOS Y PARAMETROS'!F:G,2,0)*V97,0),2)</f>
        <v>51.3</v>
      </c>
      <c r="AB97" s="1150">
        <f>IF(S97&lt;&gt;"",IF(M97="",'CONCEPTOS Y PARAMETROS'!$C$4,0),0)</f>
        <v>130</v>
      </c>
      <c r="AC97" s="1150">
        <f>IF(S97&lt;&gt;"",IF(M97="",'CONCEPTOS Y PARAMETROS'!$C$7*Z97,0),0)</f>
        <v>12.5</v>
      </c>
      <c r="AD97" s="1150">
        <f>IFERROR(ROUND(VLOOKUP($X97,'CONCEPTOS Y PARAMETROS'!H:I,2,0)*($V97+AA97+AB97+AC97),2),0)</f>
        <v>119.7</v>
      </c>
      <c r="AE97" s="1150">
        <f t="shared" si="102"/>
        <v>313.5</v>
      </c>
      <c r="AF97" s="1150">
        <f t="shared" si="103"/>
        <v>25.65</v>
      </c>
      <c r="AG97" s="1150">
        <f t="shared" si="104"/>
        <v>25.65</v>
      </c>
      <c r="AH97" s="1150">
        <f t="shared" si="105"/>
        <v>65</v>
      </c>
      <c r="AI97" s="1150">
        <f t="shared" si="106"/>
        <v>65</v>
      </c>
      <c r="AJ97" s="1150">
        <f t="shared" si="107"/>
        <v>59.85</v>
      </c>
      <c r="AK97" s="1150">
        <f t="shared" si="108"/>
        <v>59.85</v>
      </c>
      <c r="AL97" s="1151">
        <f t="shared" si="109"/>
        <v>163</v>
      </c>
      <c r="AM97" s="1151">
        <f t="shared" si="110"/>
        <v>150.5</v>
      </c>
      <c r="AN97" s="1583">
        <v>1</v>
      </c>
      <c r="AO97" s="1193">
        <f>'CONCEPTOS Y PARAMETROS'!$C$18*AN97</f>
        <v>12.5</v>
      </c>
      <c r="AP97" s="1028">
        <v>0</v>
      </c>
      <c r="AQ97" s="1193">
        <f>'CONCEPTOS Y PARAMETROS'!$C$21*AP97</f>
        <v>0</v>
      </c>
      <c r="AR97" s="1394">
        <v>0</v>
      </c>
      <c r="AS97" s="1394">
        <v>0</v>
      </c>
      <c r="AT97" s="1394">
        <f t="shared" si="197"/>
        <v>12.5</v>
      </c>
      <c r="AU97" s="1151">
        <f t="shared" si="112"/>
        <v>778.05</v>
      </c>
      <c r="AV97" s="1178" t="s">
        <v>5080</v>
      </c>
      <c r="AW97" s="1151">
        <f t="shared" si="198"/>
        <v>179.55</v>
      </c>
      <c r="AX97" s="1150">
        <f>IF(T97&lt;&gt;"0",(ROUND(IF(A97="EMPLEADO",eval_formula('CONCEPTOS Y PARAMETROS'!$C$8,NOMINA!V97,NOMINA!$AU97,NOMINA!I97+NOMINA!J97),eval_formula('CONCEPTOS Y PARAMETROS'!$D$8,NOMINA!V97,NOMINA!$AU97,NOMINA!I97+NOMINA!J97)),2))*IF(H97&lt;&gt;"",IF(MONTH(H97)=$BR$8,IF(YEAR(H97)&lt;$BT$7,1,0),0)))</f>
        <v>0</v>
      </c>
      <c r="AY97" s="1151">
        <v>180</v>
      </c>
      <c r="AZ97" s="1150">
        <f>IFERROR(VLOOKUP(AY97,'CONCEPTOS Y PARAMETROS'!Y:Z,2,0),0)</f>
        <v>150</v>
      </c>
      <c r="BA97" s="1150">
        <f t="shared" si="114"/>
        <v>5835.38</v>
      </c>
      <c r="BB97" s="1150">
        <f t="shared" si="145"/>
        <v>0</v>
      </c>
      <c r="BC97" s="1028">
        <v>0</v>
      </c>
      <c r="BD97" s="1150" t="str">
        <f t="shared" si="115"/>
        <v>0</v>
      </c>
      <c r="BE97" s="1028">
        <v>3</v>
      </c>
      <c r="BF97" s="1150">
        <f t="shared" si="218"/>
        <v>116.71</v>
      </c>
      <c r="BG97" s="1151">
        <v>300</v>
      </c>
      <c r="BH97" s="1151">
        <f t="shared" si="117"/>
        <v>0</v>
      </c>
      <c r="BI97" s="1180">
        <v>0</v>
      </c>
      <c r="BJ97" s="1180">
        <f t="shared" si="118"/>
        <v>0</v>
      </c>
      <c r="BK97" s="1151">
        <v>0</v>
      </c>
      <c r="BL97" s="1150">
        <f t="shared" si="170"/>
        <v>28.73</v>
      </c>
      <c r="BM97" s="1150">
        <f t="shared" si="171"/>
        <v>3.59</v>
      </c>
      <c r="BN97" s="1150">
        <f t="shared" si="119"/>
        <v>7.78</v>
      </c>
      <c r="BO97" s="1150">
        <v>0</v>
      </c>
      <c r="BP97" s="1150">
        <v>0</v>
      </c>
      <c r="BQ97" s="1396">
        <f t="shared" si="120"/>
        <v>40.1</v>
      </c>
      <c r="BR97" s="1150">
        <f t="shared" si="172"/>
        <v>64.64</v>
      </c>
      <c r="BS97" s="1150">
        <f t="shared" si="173"/>
        <v>14.36</v>
      </c>
      <c r="BT97" s="1150">
        <f t="shared" si="121"/>
        <v>15.56</v>
      </c>
      <c r="BU97" s="1150">
        <v>0</v>
      </c>
      <c r="BV97" s="1151">
        <f t="shared" si="122"/>
        <v>94.56</v>
      </c>
      <c r="BW97" s="1155">
        <f t="shared" si="123"/>
        <v>134.66</v>
      </c>
      <c r="BX97" s="1155">
        <f t="shared" si="239"/>
        <v>1458.85</v>
      </c>
      <c r="BY97" s="1151">
        <v>0</v>
      </c>
      <c r="BZ97" s="1151">
        <f t="shared" si="125"/>
        <v>1458.85</v>
      </c>
      <c r="CA97" s="1397">
        <f>'CONCEPTOS Y PARAMETROS'!$A$102</f>
        <v>2120</v>
      </c>
      <c r="CB97" s="1155">
        <f t="shared" si="126"/>
        <v>265.39999999999998</v>
      </c>
      <c r="CC97" s="1156">
        <f t="shared" si="127"/>
        <v>901.76</v>
      </c>
      <c r="CD97" s="514"/>
      <c r="CE97" s="514"/>
      <c r="CF97" s="520"/>
      <c r="CG97" s="497">
        <f t="shared" si="128"/>
        <v>265.39999999999998</v>
      </c>
      <c r="CH97" s="1711">
        <f t="shared" si="129"/>
        <v>300</v>
      </c>
      <c r="CI97" s="497">
        <f t="shared" si="130"/>
        <v>593</v>
      </c>
      <c r="CJ97" s="497">
        <f t="shared" si="131"/>
        <v>284.64</v>
      </c>
      <c r="CK97" s="497">
        <f t="shared" si="132"/>
        <v>308.36</v>
      </c>
      <c r="CL97" s="497">
        <f t="shared" si="133"/>
        <v>0</v>
      </c>
      <c r="CM97" s="497">
        <f t="shared" si="134"/>
        <v>0</v>
      </c>
      <c r="CN97" s="498">
        <f t="shared" si="135"/>
        <v>116.71</v>
      </c>
      <c r="CO97" s="499">
        <v>0</v>
      </c>
      <c r="CP97" s="498">
        <f t="shared" si="136"/>
        <v>179.55</v>
      </c>
      <c r="CQ97" s="500">
        <f t="shared" si="137"/>
        <v>12.5</v>
      </c>
      <c r="CR97" s="498">
        <f t="shared" si="138"/>
        <v>0</v>
      </c>
      <c r="CS97" s="498">
        <f t="shared" si="139"/>
        <v>308.76</v>
      </c>
      <c r="CT97" s="498">
        <f t="shared" si="140"/>
        <v>134.66</v>
      </c>
      <c r="CU97" s="498">
        <f t="shared" si="141"/>
        <v>2120</v>
      </c>
      <c r="CV97" s="1554"/>
      <c r="CW97" s="1195" t="s">
        <v>7126</v>
      </c>
      <c r="CX97" s="1195" t="s">
        <v>6935</v>
      </c>
      <c r="CY97" s="472"/>
      <c r="CZ97" s="514" t="s">
        <v>6286</v>
      </c>
      <c r="DA97" s="514" t="s">
        <v>6173</v>
      </c>
      <c r="DB97" s="514" t="s">
        <v>6202</v>
      </c>
      <c r="DC97" s="514" t="s">
        <v>6622</v>
      </c>
      <c r="DD97" s="472"/>
      <c r="DE97" s="472"/>
      <c r="DF97" s="472"/>
      <c r="DG97" s="472"/>
      <c r="DH97" s="472"/>
      <c r="DJ97" s="473" t="str">
        <f>VLOOKUP(X97,Hoja1!$A$4:$B$10,2,0)</f>
        <v>PROFESIONAL</v>
      </c>
      <c r="DK97" s="473" t="str">
        <f>VLOOKUP(S97,Hoja1!$D$4:$F$77,3,0)</f>
        <v>PII - VI</v>
      </c>
      <c r="DL97" s="1216" t="str">
        <f t="shared" si="142"/>
        <v>SI</v>
      </c>
      <c r="DM97" s="1741" t="str">
        <f t="shared" si="143"/>
        <v>F</v>
      </c>
      <c r="DN97" s="1741"/>
    </row>
    <row r="98" spans="1:118" s="1654" customFormat="1" ht="21.95" customHeight="1">
      <c r="A98" s="1624" t="s">
        <v>2846</v>
      </c>
      <c r="B98" s="1625">
        <f t="shared" ca="1" si="144"/>
        <v>56</v>
      </c>
      <c r="C98" s="1626">
        <v>11257247</v>
      </c>
      <c r="D98" s="1627" t="s">
        <v>4740</v>
      </c>
      <c r="E98" s="1628" t="s">
        <v>4622</v>
      </c>
      <c r="F98" s="1629">
        <v>26868</v>
      </c>
      <c r="G98" s="1628" t="s">
        <v>4621</v>
      </c>
      <c r="H98" s="1629">
        <v>42492</v>
      </c>
      <c r="I98" s="1630">
        <f t="shared" si="98"/>
        <v>8</v>
      </c>
      <c r="J98" s="1631">
        <v>0</v>
      </c>
      <c r="K98" s="1630">
        <f t="shared" si="99"/>
        <v>8</v>
      </c>
      <c r="L98" s="1632" t="s">
        <v>5549</v>
      </c>
      <c r="M98" s="1631"/>
      <c r="N98" s="1631"/>
      <c r="O98" s="1633" t="s">
        <v>839</v>
      </c>
      <c r="P98" s="1631" t="s">
        <v>5320</v>
      </c>
      <c r="Q98" s="1634" t="str">
        <f>IFERROR(VLOOKUP(O98,CARGOS!A:E,2,0),"")</f>
        <v>82113</v>
      </c>
      <c r="R98" s="1635" t="s">
        <v>7423</v>
      </c>
      <c r="S98" s="1636" t="s">
        <v>5488</v>
      </c>
      <c r="T98" s="1637">
        <f>IFERROR(VLOOKUP(S98,'TAB EMP'!A:B,2,0),0)</f>
        <v>279</v>
      </c>
      <c r="U98" s="1638">
        <v>0</v>
      </c>
      <c r="V98" s="1637">
        <f t="shared" si="100"/>
        <v>279</v>
      </c>
      <c r="W98" s="1638">
        <f t="shared" si="101"/>
        <v>139.5</v>
      </c>
      <c r="X98" s="1628" t="s">
        <v>2885</v>
      </c>
      <c r="Y98" s="1628"/>
      <c r="Z98" s="1628">
        <v>1</v>
      </c>
      <c r="AA98" s="1637">
        <f>ROUND(IF(H98&lt;&gt;"",VLOOKUP(SUM(I98+J98),'CONCEPTOS Y PARAMETROS'!F:G,2,0)*V98,0),2)</f>
        <v>23.99</v>
      </c>
      <c r="AB98" s="1637">
        <f>IF(S98&lt;&gt;"",IF(M98="",'CONCEPTOS Y PARAMETROS'!$C$4,0),0)</f>
        <v>130</v>
      </c>
      <c r="AC98" s="1637">
        <f>IF(S98&lt;&gt;"",IF(M98="",'CONCEPTOS Y PARAMETROS'!$C$7*Z98,0),0)</f>
        <v>12.5</v>
      </c>
      <c r="AD98" s="1637">
        <f>IFERROR(ROUND(VLOOKUP($X98,'CONCEPTOS Y PARAMETROS'!H:I,2,0)*($V98+AA98+AB98+AC98),2),0)</f>
        <v>111.37</v>
      </c>
      <c r="AE98" s="1637">
        <f t="shared" si="102"/>
        <v>277.86</v>
      </c>
      <c r="AF98" s="1637">
        <f t="shared" si="103"/>
        <v>12</v>
      </c>
      <c r="AG98" s="1637">
        <f t="shared" si="104"/>
        <v>11.99</v>
      </c>
      <c r="AH98" s="1637">
        <f t="shared" si="105"/>
        <v>65</v>
      </c>
      <c r="AI98" s="1637">
        <f t="shared" si="106"/>
        <v>65</v>
      </c>
      <c r="AJ98" s="1637">
        <f t="shared" si="107"/>
        <v>55.69</v>
      </c>
      <c r="AK98" s="1637">
        <f t="shared" si="108"/>
        <v>55.68</v>
      </c>
      <c r="AL98" s="1638">
        <f t="shared" si="109"/>
        <v>145.19</v>
      </c>
      <c r="AM98" s="1638">
        <f t="shared" si="110"/>
        <v>132.66999999999999</v>
      </c>
      <c r="AN98" s="1639">
        <v>0</v>
      </c>
      <c r="AO98" s="1640">
        <f>'CONCEPTOS Y PARAMETROS'!$C$18*AN98</f>
        <v>0</v>
      </c>
      <c r="AP98" s="1639">
        <v>0</v>
      </c>
      <c r="AQ98" s="1640">
        <f>'CONCEPTOS Y PARAMETROS'!$C$21*AP98</f>
        <v>0</v>
      </c>
      <c r="AR98" s="1641">
        <v>0</v>
      </c>
      <c r="AS98" s="1641">
        <v>0</v>
      </c>
      <c r="AT98" s="1641">
        <f t="shared" si="197"/>
        <v>0</v>
      </c>
      <c r="AU98" s="1638">
        <f t="shared" si="112"/>
        <v>556.86</v>
      </c>
      <c r="AV98" s="1642">
        <v>0</v>
      </c>
      <c r="AW98" s="1638">
        <f t="shared" si="198"/>
        <v>0</v>
      </c>
      <c r="AX98" s="1637">
        <f>IF(T98&lt;&gt;"0",(ROUND(IF(A98="EMPLEADO",eval_formula('CONCEPTOS Y PARAMETROS'!$C$8,NOMINA!V98,NOMINA!$AU98,NOMINA!I98+NOMINA!J98),eval_formula('CONCEPTOS Y PARAMETROS'!$D$8,NOMINA!V98,NOMINA!$AU98,NOMINA!I98+NOMINA!J98)),2))*IF(H98&lt;&gt;"",IF(MONTH(H98)=$BR$8,IF(YEAR(H98)&lt;$BT$7,1,0),0)))</f>
        <v>0</v>
      </c>
      <c r="AY98" s="1638">
        <v>180</v>
      </c>
      <c r="AZ98" s="1637">
        <f>IFERROR(VLOOKUP(AY98,'CONCEPTOS Y PARAMETROS'!Y:Z,2,0),0)</f>
        <v>150</v>
      </c>
      <c r="BA98" s="1637">
        <f t="shared" si="114"/>
        <v>4176.45</v>
      </c>
      <c r="BB98" s="1637">
        <f t="shared" si="145"/>
        <v>0</v>
      </c>
      <c r="BC98" s="1639">
        <v>0</v>
      </c>
      <c r="BD98" s="1637" t="str">
        <f t="shared" si="115"/>
        <v>0</v>
      </c>
      <c r="BE98" s="1639">
        <v>0</v>
      </c>
      <c r="BF98" s="1637">
        <f t="shared" si="218"/>
        <v>0</v>
      </c>
      <c r="BG98" s="1638">
        <v>300</v>
      </c>
      <c r="BH98" s="1638">
        <f t="shared" si="117"/>
        <v>0</v>
      </c>
      <c r="BI98" s="1628">
        <v>0</v>
      </c>
      <c r="BJ98" s="1628">
        <f t="shared" si="118"/>
        <v>0</v>
      </c>
      <c r="BK98" s="1638">
        <v>0</v>
      </c>
      <c r="BL98" s="1637">
        <f t="shared" si="170"/>
        <v>20.56</v>
      </c>
      <c r="BM98" s="1637">
        <f t="shared" si="171"/>
        <v>2.57</v>
      </c>
      <c r="BN98" s="1637">
        <f t="shared" si="119"/>
        <v>5.57</v>
      </c>
      <c r="BO98" s="1637">
        <v>0</v>
      </c>
      <c r="BP98" s="1637">
        <v>0</v>
      </c>
      <c r="BQ98" s="1643">
        <f t="shared" si="120"/>
        <v>28.7</v>
      </c>
      <c r="BR98" s="1637">
        <f t="shared" si="172"/>
        <v>46.26</v>
      </c>
      <c r="BS98" s="1637">
        <f t="shared" si="173"/>
        <v>10.28</v>
      </c>
      <c r="BT98" s="1637">
        <f t="shared" si="121"/>
        <v>11.14</v>
      </c>
      <c r="BU98" s="1637">
        <v>0</v>
      </c>
      <c r="BV98" s="1638">
        <f t="shared" si="122"/>
        <v>67.680000000000007</v>
      </c>
      <c r="BW98" s="1644">
        <f t="shared" si="123"/>
        <v>96.38000000000001</v>
      </c>
      <c r="BX98" s="1644">
        <f t="shared" si="239"/>
        <v>1044.1099999999999</v>
      </c>
      <c r="BY98" s="1638">
        <v>0</v>
      </c>
      <c r="BZ98" s="1638">
        <f t="shared" si="125"/>
        <v>1044.1099999999999</v>
      </c>
      <c r="CA98" s="1645">
        <f>'CONCEPTOS Y PARAMETROS'!$A$102</f>
        <v>2120</v>
      </c>
      <c r="CB98" s="1644">
        <f t="shared" si="126"/>
        <v>255.99</v>
      </c>
      <c r="CC98" s="1646">
        <f t="shared" si="127"/>
        <v>572.16999999999996</v>
      </c>
      <c r="CD98" s="1647"/>
      <c r="CE98" s="1647"/>
      <c r="CF98" s="1648"/>
      <c r="CG98" s="1649">
        <f t="shared" si="128"/>
        <v>255.99</v>
      </c>
      <c r="CH98" s="1713">
        <f t="shared" si="129"/>
        <v>300</v>
      </c>
      <c r="CI98" s="1649">
        <f t="shared" si="130"/>
        <v>572.16999999999996</v>
      </c>
      <c r="CJ98" s="1649">
        <f t="shared" si="131"/>
        <v>274.64</v>
      </c>
      <c r="CK98" s="1649">
        <f t="shared" si="132"/>
        <v>297.52999999999997</v>
      </c>
      <c r="CL98" s="1649">
        <f t="shared" si="133"/>
        <v>0</v>
      </c>
      <c r="CM98" s="1649">
        <f t="shared" si="134"/>
        <v>0</v>
      </c>
      <c r="CN98" s="1650">
        <f t="shared" si="135"/>
        <v>0</v>
      </c>
      <c r="CO98" s="1651">
        <v>0</v>
      </c>
      <c r="CP98" s="1650">
        <f t="shared" si="136"/>
        <v>0</v>
      </c>
      <c r="CQ98" s="1652">
        <f t="shared" si="137"/>
        <v>0</v>
      </c>
      <c r="CR98" s="1650">
        <f t="shared" si="138"/>
        <v>0</v>
      </c>
      <c r="CS98" s="1650">
        <f t="shared" si="139"/>
        <v>0</v>
      </c>
      <c r="CT98" s="1650">
        <f t="shared" si="140"/>
        <v>96.38000000000001</v>
      </c>
      <c r="CU98" s="1650">
        <f t="shared" si="141"/>
        <v>2120</v>
      </c>
      <c r="CV98" s="1653"/>
      <c r="CW98" s="1627" t="s">
        <v>7201</v>
      </c>
      <c r="CX98" s="1627" t="s">
        <v>7249</v>
      </c>
      <c r="CY98" s="1647"/>
      <c r="CZ98" s="1647" t="s">
        <v>6460</v>
      </c>
      <c r="DA98" s="1647" t="s">
        <v>6180</v>
      </c>
      <c r="DB98" s="1647" t="s">
        <v>6461</v>
      </c>
      <c r="DC98" s="1647" t="s">
        <v>6462</v>
      </c>
      <c r="DD98" s="1647"/>
      <c r="DE98" s="1647"/>
      <c r="DF98" s="1647"/>
      <c r="DG98" s="1647"/>
      <c r="DH98" s="1647"/>
      <c r="DJ98" s="1654" t="str">
        <f>VLOOKUP(X98,Hoja1!$A$4:$B$10,2,0)</f>
        <v>PROFESIONAL</v>
      </c>
      <c r="DK98" s="1654" t="str">
        <f>VLOOKUP(S98,Hoja1!$D$4:$F$77,3,0)</f>
        <v>PII - III</v>
      </c>
      <c r="DL98" s="1655" t="str">
        <f t="shared" si="142"/>
        <v>0</v>
      </c>
      <c r="DM98" s="1742" t="str">
        <f t="shared" si="143"/>
        <v>M</v>
      </c>
      <c r="DN98" s="1742"/>
    </row>
    <row r="99" spans="1:118" s="1654" customFormat="1" ht="21.95" customHeight="1">
      <c r="A99" s="1624" t="s">
        <v>2846</v>
      </c>
      <c r="B99" s="1625">
        <f t="shared" ca="1" si="144"/>
        <v>57</v>
      </c>
      <c r="C99" s="1626">
        <v>11318142</v>
      </c>
      <c r="D99" s="1627" t="s">
        <v>4741</v>
      </c>
      <c r="E99" s="1628" t="s">
        <v>4622</v>
      </c>
      <c r="F99" s="1629">
        <v>26352</v>
      </c>
      <c r="G99" s="1628" t="s">
        <v>4621</v>
      </c>
      <c r="H99" s="1629">
        <v>43983</v>
      </c>
      <c r="I99" s="1630">
        <f t="shared" si="98"/>
        <v>4</v>
      </c>
      <c r="J99" s="1631">
        <v>0</v>
      </c>
      <c r="K99" s="1630">
        <f t="shared" si="99"/>
        <v>4</v>
      </c>
      <c r="L99" s="1632" t="s">
        <v>5558</v>
      </c>
      <c r="M99" s="1631"/>
      <c r="N99" s="1631"/>
      <c r="O99" s="1633" t="s">
        <v>7424</v>
      </c>
      <c r="P99" s="1631" t="s">
        <v>5321</v>
      </c>
      <c r="Q99" s="1634" t="str">
        <f>IFERROR(VLOOKUP(O99,CARGOS!A:E,2,0),"")</f>
        <v>25212</v>
      </c>
      <c r="R99" s="1635" t="s">
        <v>7424</v>
      </c>
      <c r="S99" s="1636" t="s">
        <v>5490</v>
      </c>
      <c r="T99" s="1637">
        <f>IFERROR(VLOOKUP(S99,'TAB EMP'!A:B,2,0),0)</f>
        <v>150</v>
      </c>
      <c r="U99" s="1638">
        <v>0</v>
      </c>
      <c r="V99" s="1637">
        <f t="shared" si="100"/>
        <v>150</v>
      </c>
      <c r="W99" s="1638">
        <f t="shared" si="101"/>
        <v>75</v>
      </c>
      <c r="X99" s="1628" t="s">
        <v>2884</v>
      </c>
      <c r="Y99" s="1628"/>
      <c r="Z99" s="1628">
        <v>0</v>
      </c>
      <c r="AA99" s="1637">
        <f>ROUND(IF(H99&lt;&gt;"",VLOOKUP(SUM(I99+J99),'CONCEPTOS Y PARAMETROS'!F:G,2,0)*V99,0),2)</f>
        <v>6</v>
      </c>
      <c r="AB99" s="1637">
        <f>IF(S99&lt;&gt;"",IF(M99="",'CONCEPTOS Y PARAMETROS'!$C$4,0),0)</f>
        <v>130</v>
      </c>
      <c r="AC99" s="1637">
        <f>IF(S99&lt;&gt;"",IF(M99="",'CONCEPTOS Y PARAMETROS'!$C$7*Z99,0),0)</f>
        <v>0</v>
      </c>
      <c r="AD99" s="1637">
        <f>IFERROR(ROUND(VLOOKUP($X99,'CONCEPTOS Y PARAMETROS'!H:I,2,0)*($V99+AA99+AB99+AC99),2),0)</f>
        <v>0</v>
      </c>
      <c r="AE99" s="1637">
        <f t="shared" si="102"/>
        <v>136</v>
      </c>
      <c r="AF99" s="1637">
        <f t="shared" si="103"/>
        <v>3</v>
      </c>
      <c r="AG99" s="1637">
        <f t="shared" si="104"/>
        <v>3</v>
      </c>
      <c r="AH99" s="1637">
        <f t="shared" si="105"/>
        <v>65</v>
      </c>
      <c r="AI99" s="1637">
        <f t="shared" si="106"/>
        <v>65</v>
      </c>
      <c r="AJ99" s="1637">
        <f t="shared" si="107"/>
        <v>0</v>
      </c>
      <c r="AK99" s="1637">
        <f t="shared" si="108"/>
        <v>0</v>
      </c>
      <c r="AL99" s="1638">
        <f t="shared" si="109"/>
        <v>68</v>
      </c>
      <c r="AM99" s="1638">
        <f t="shared" si="110"/>
        <v>68</v>
      </c>
      <c r="AN99" s="1639">
        <v>0</v>
      </c>
      <c r="AO99" s="1640">
        <f>'CONCEPTOS Y PARAMETROS'!$C$18*AN99</f>
        <v>0</v>
      </c>
      <c r="AP99" s="1639">
        <v>0</v>
      </c>
      <c r="AQ99" s="1640">
        <f>'CONCEPTOS Y PARAMETROS'!$C$21*AP99</f>
        <v>0</v>
      </c>
      <c r="AR99" s="1641">
        <v>0</v>
      </c>
      <c r="AS99" s="1641">
        <v>0</v>
      </c>
      <c r="AT99" s="1641">
        <f t="shared" si="197"/>
        <v>0</v>
      </c>
      <c r="AU99" s="1638">
        <f t="shared" si="112"/>
        <v>286</v>
      </c>
      <c r="AV99" s="1642">
        <v>0</v>
      </c>
      <c r="AW99" s="1638">
        <f t="shared" si="198"/>
        <v>0</v>
      </c>
      <c r="AX99" s="1637">
        <f>IF(T99&lt;&gt;"0",(ROUND(IF(A99="EMPLEADO",eval_formula('CONCEPTOS Y PARAMETROS'!$C$8,NOMINA!V99,NOMINA!$AU99,NOMINA!I99+NOMINA!J99),eval_formula('CONCEPTOS Y PARAMETROS'!$D$8,NOMINA!V99,NOMINA!$AU99,NOMINA!I99+NOMINA!J99)),2))*IF(H99&lt;&gt;"",IF(MONTH(H99)=$BR$8,IF(YEAR(H99)&lt;$BT$7,1,0),0)))</f>
        <v>0</v>
      </c>
      <c r="AY99" s="1638">
        <v>180</v>
      </c>
      <c r="AZ99" s="1637">
        <f>IFERROR(VLOOKUP(AY99,'CONCEPTOS Y PARAMETROS'!Y:Z,2,0),0)</f>
        <v>150</v>
      </c>
      <c r="BA99" s="1637">
        <f t="shared" si="114"/>
        <v>2145</v>
      </c>
      <c r="BB99" s="1637">
        <f t="shared" si="145"/>
        <v>0</v>
      </c>
      <c r="BC99" s="1639">
        <v>0</v>
      </c>
      <c r="BD99" s="1637" t="str">
        <f t="shared" si="115"/>
        <v>0</v>
      </c>
      <c r="BE99" s="1639">
        <v>2</v>
      </c>
      <c r="BF99" s="1637">
        <f t="shared" si="218"/>
        <v>28.6</v>
      </c>
      <c r="BG99" s="1638">
        <v>300</v>
      </c>
      <c r="BH99" s="1638">
        <f t="shared" si="117"/>
        <v>0</v>
      </c>
      <c r="BI99" s="1628">
        <v>0</v>
      </c>
      <c r="BJ99" s="1628">
        <f t="shared" si="118"/>
        <v>0</v>
      </c>
      <c r="BK99" s="1638">
        <v>0</v>
      </c>
      <c r="BL99" s="1637">
        <f t="shared" si="170"/>
        <v>10.56</v>
      </c>
      <c r="BM99" s="1637">
        <f t="shared" si="171"/>
        <v>1.32</v>
      </c>
      <c r="BN99" s="1637">
        <f t="shared" si="119"/>
        <v>2.86</v>
      </c>
      <c r="BO99" s="1637">
        <v>0</v>
      </c>
      <c r="BP99" s="1637">
        <v>0</v>
      </c>
      <c r="BQ99" s="1643">
        <f t="shared" si="120"/>
        <v>14.74</v>
      </c>
      <c r="BR99" s="1637">
        <f t="shared" si="172"/>
        <v>23.76</v>
      </c>
      <c r="BS99" s="1637">
        <f t="shared" si="173"/>
        <v>5.28</v>
      </c>
      <c r="BT99" s="1637">
        <f t="shared" si="121"/>
        <v>5.72</v>
      </c>
      <c r="BU99" s="1637">
        <v>0</v>
      </c>
      <c r="BV99" s="1638">
        <f t="shared" si="122"/>
        <v>34.76</v>
      </c>
      <c r="BW99" s="1644">
        <f t="shared" si="123"/>
        <v>49.5</v>
      </c>
      <c r="BX99" s="1644">
        <f t="shared" si="239"/>
        <v>536.25</v>
      </c>
      <c r="BY99" s="1638">
        <v>0</v>
      </c>
      <c r="BZ99" s="1638">
        <f t="shared" si="125"/>
        <v>536.25</v>
      </c>
      <c r="CA99" s="1645">
        <f>'CONCEPTOS Y PARAMETROS'!$A$102</f>
        <v>2120</v>
      </c>
      <c r="CB99" s="1644">
        <f t="shared" si="126"/>
        <v>128.26</v>
      </c>
      <c r="CC99" s="1646">
        <f t="shared" si="127"/>
        <v>471.6</v>
      </c>
      <c r="CD99" s="1647"/>
      <c r="CE99" s="1647"/>
      <c r="CF99" s="1648"/>
      <c r="CG99" s="1649">
        <f t="shared" si="128"/>
        <v>128.26</v>
      </c>
      <c r="CH99" s="1713">
        <f t="shared" si="129"/>
        <v>300</v>
      </c>
      <c r="CI99" s="1649">
        <f t="shared" si="130"/>
        <v>443</v>
      </c>
      <c r="CJ99" s="1649">
        <f t="shared" si="131"/>
        <v>443</v>
      </c>
      <c r="CK99" s="1649">
        <f t="shared" si="132"/>
        <v>0</v>
      </c>
      <c r="CL99" s="1649">
        <f t="shared" si="133"/>
        <v>0</v>
      </c>
      <c r="CM99" s="1649">
        <f t="shared" si="134"/>
        <v>0</v>
      </c>
      <c r="CN99" s="1650">
        <f t="shared" si="135"/>
        <v>28.6</v>
      </c>
      <c r="CO99" s="1651">
        <v>0</v>
      </c>
      <c r="CP99" s="1650">
        <f t="shared" si="136"/>
        <v>0</v>
      </c>
      <c r="CQ99" s="1652">
        <f t="shared" si="137"/>
        <v>0</v>
      </c>
      <c r="CR99" s="1650">
        <f t="shared" si="138"/>
        <v>0</v>
      </c>
      <c r="CS99" s="1650">
        <f t="shared" si="139"/>
        <v>28.6</v>
      </c>
      <c r="CT99" s="1650">
        <f t="shared" si="140"/>
        <v>49.5</v>
      </c>
      <c r="CU99" s="1650">
        <f t="shared" si="141"/>
        <v>2120</v>
      </c>
      <c r="CV99" s="1653"/>
      <c r="CW99" s="1627" t="s">
        <v>7007</v>
      </c>
      <c r="CX99" s="1627" t="s">
        <v>7250</v>
      </c>
      <c r="CY99" s="1647"/>
      <c r="CZ99" s="1647" t="s">
        <v>6395</v>
      </c>
      <c r="DA99" s="1647" t="s">
        <v>6180</v>
      </c>
      <c r="DB99" s="1657" t="s">
        <v>6651</v>
      </c>
      <c r="DC99" s="1647" t="s">
        <v>6652</v>
      </c>
      <c r="DD99" s="1647"/>
      <c r="DE99" s="1647"/>
      <c r="DF99" s="1647"/>
      <c r="DG99" s="1647"/>
      <c r="DH99" s="1647"/>
      <c r="DJ99" s="1654" t="str">
        <f>VLOOKUP(X99,Hoja1!$A$4:$B$10,2,0)</f>
        <v>BACHILLER</v>
      </c>
      <c r="DK99" s="1654" t="str">
        <f>VLOOKUP(S99,Hoja1!$D$4:$F$77,3,0)</f>
        <v>BII - II</v>
      </c>
      <c r="DL99" s="1655" t="str">
        <f t="shared" si="142"/>
        <v>0</v>
      </c>
      <c r="DM99" s="1742" t="str">
        <f t="shared" si="143"/>
        <v>M</v>
      </c>
      <c r="DN99" s="1742"/>
    </row>
    <row r="100" spans="1:118" s="478" customFormat="1" ht="21.95" customHeight="1">
      <c r="A100" s="510" t="s">
        <v>2846</v>
      </c>
      <c r="B100" s="1390">
        <f t="shared" ca="1" si="144"/>
        <v>58</v>
      </c>
      <c r="C100" s="1194">
        <v>11318697</v>
      </c>
      <c r="D100" s="1195" t="s">
        <v>7397</v>
      </c>
      <c r="E100" s="1180" t="s">
        <v>4622</v>
      </c>
      <c r="F100" s="1196">
        <v>25092</v>
      </c>
      <c r="G100" s="1180" t="s">
        <v>4620</v>
      </c>
      <c r="H100" s="1196">
        <v>39539</v>
      </c>
      <c r="I100" s="1185">
        <f t="shared" si="98"/>
        <v>16</v>
      </c>
      <c r="J100" s="1177">
        <v>0</v>
      </c>
      <c r="K100" s="1185">
        <f t="shared" si="99"/>
        <v>16</v>
      </c>
      <c r="L100" s="1191" t="s">
        <v>5538</v>
      </c>
      <c r="M100" s="1177"/>
      <c r="N100" s="1177"/>
      <c r="O100" s="1040" t="s">
        <v>5219</v>
      </c>
      <c r="P100" s="1197" t="s">
        <v>6788</v>
      </c>
      <c r="Q100" s="1391" t="str">
        <f>IFERROR(VLOOKUP(O100,CARGOS!A:E,2,0),"")</f>
        <v>12113</v>
      </c>
      <c r="R100" s="1403" t="s">
        <v>5219</v>
      </c>
      <c r="S100" s="1192" t="s">
        <v>5470</v>
      </c>
      <c r="T100" s="1150">
        <f>IFERROR(VLOOKUP(S100,'TAB EMP'!A:B,2,0),0)</f>
        <v>176</v>
      </c>
      <c r="U100" s="1151">
        <v>0</v>
      </c>
      <c r="V100" s="1150">
        <f t="shared" ref="V100" si="240">T100-U100</f>
        <v>176</v>
      </c>
      <c r="W100" s="1151">
        <f t="shared" ref="W100" si="241">ROUND(V100/2,2)</f>
        <v>88</v>
      </c>
      <c r="X100" s="1180" t="s">
        <v>2884</v>
      </c>
      <c r="Y100" s="1180"/>
      <c r="Z100" s="1180">
        <v>0</v>
      </c>
      <c r="AA100" s="1150">
        <f>ROUND(IF(H100&lt;&gt;"",VLOOKUP(SUM(I100+J100),'CONCEPTOS Y PARAMETROS'!F:G,2,0)*V100,0),2)</f>
        <v>34.5</v>
      </c>
      <c r="AB100" s="1150">
        <f>IF(S100&lt;&gt;"",IF(M100="",'CONCEPTOS Y PARAMETROS'!$C$4,0),0)</f>
        <v>130</v>
      </c>
      <c r="AC100" s="1150">
        <f>IF(S100&lt;&gt;"",IF(M100="",'CONCEPTOS Y PARAMETROS'!$C$7*Z100,0),0)</f>
        <v>0</v>
      </c>
      <c r="AD100" s="1150">
        <f>IFERROR(ROUND(VLOOKUP($X100,'CONCEPTOS Y PARAMETROS'!H:I,2,0)*($V100+AA100+AB100+AC100),2),0)</f>
        <v>0</v>
      </c>
      <c r="AE100" s="1150">
        <f t="shared" ref="AE100" si="242">SUM(AA100:AD100)</f>
        <v>164.5</v>
      </c>
      <c r="AF100" s="1150">
        <f t="shared" ref="AF100" si="243">ROUND(AA100/2,2)</f>
        <v>17.25</v>
      </c>
      <c r="AG100" s="1150">
        <f t="shared" ref="AG100" si="244">ROUND(AA100-AF100,2)</f>
        <v>17.25</v>
      </c>
      <c r="AH100" s="1150">
        <f t="shared" ref="AH100" si="245">ROUND(AB100/2,2)</f>
        <v>65</v>
      </c>
      <c r="AI100" s="1150">
        <f t="shared" ref="AI100" si="246">ROUND(AB100-AH100,2)</f>
        <v>65</v>
      </c>
      <c r="AJ100" s="1150">
        <f t="shared" ref="AJ100" si="247">ROUND(AD100/2,2)</f>
        <v>0</v>
      </c>
      <c r="AK100" s="1150">
        <f t="shared" ref="AK100" si="248">ROUND(AD100-AJ100,2)</f>
        <v>0</v>
      </c>
      <c r="AL100" s="1151">
        <f t="shared" ref="AL100" si="249">ROUND(AF100+AH100+AJ100+AC100,2)</f>
        <v>82.25</v>
      </c>
      <c r="AM100" s="1151">
        <f t="shared" ref="AM100" si="250">ROUND(AG100+AI100+AK100,2)</f>
        <v>82.25</v>
      </c>
      <c r="AN100" s="1028">
        <v>0</v>
      </c>
      <c r="AO100" s="1193">
        <f>'CONCEPTOS Y PARAMETROS'!$C$18*AN100</f>
        <v>0</v>
      </c>
      <c r="AP100" s="1028">
        <v>0</v>
      </c>
      <c r="AQ100" s="1193">
        <f>'CONCEPTOS Y PARAMETROS'!$C$21*AP100</f>
        <v>0</v>
      </c>
      <c r="AR100" s="1394">
        <v>0</v>
      </c>
      <c r="AS100" s="1394">
        <v>0</v>
      </c>
      <c r="AT100" s="1394">
        <f t="shared" ref="AT100" si="251">+AO100+AQ100+AR100+AS100</f>
        <v>0</v>
      </c>
      <c r="AU100" s="1151">
        <f t="shared" ref="AU100" si="252">V100+AE100+AW100</f>
        <v>340.5</v>
      </c>
      <c r="AV100" s="1178">
        <v>0</v>
      </c>
      <c r="AW100" s="1151">
        <f t="shared" ref="AW100" si="253">ROUND(IF(AV100="NOCTURN",(V100+AE100)*30%,0),2)</f>
        <v>0</v>
      </c>
      <c r="AX100" s="1150">
        <f>IF(T100&lt;&gt;"0",(ROUND(IF(A100="EMPLEADO",eval_formula('CONCEPTOS Y PARAMETROS'!$C$8,NOMINA!V100,NOMINA!$AU100,NOMINA!I100+NOMINA!J100),eval_formula('CONCEPTOS Y PARAMETROS'!$D$8,NOMINA!V100,NOMINA!$AU100,NOMINA!I100+NOMINA!J100)),2))*IF(H100&lt;&gt;"",IF(MONTH(H100)=$BR$8,IF(YEAR(H100)&lt;$BT$7,1,0),0)))</f>
        <v>0</v>
      </c>
      <c r="AY100" s="1151">
        <v>180</v>
      </c>
      <c r="AZ100" s="1150">
        <f>IFERROR(VLOOKUP(AY100,'CONCEPTOS Y PARAMETROS'!Y:Z,2,0),0)</f>
        <v>150</v>
      </c>
      <c r="BA100" s="1150">
        <f t="shared" ref="BA100" si="254">ROUND((((AU100))/30*AY100/12+(AU100))/30*AZ100,2)</f>
        <v>2553.75</v>
      </c>
      <c r="BB100" s="1150">
        <f t="shared" si="145"/>
        <v>0</v>
      </c>
      <c r="BC100" s="1028">
        <v>0</v>
      </c>
      <c r="BD100" s="1150" t="str">
        <f t="shared" ref="BD100" si="255">IF(BC100&gt;0,((((((V100+AA100+AB100+AC100+AD100)/30)/8)*50%)+((((V100+AA100+AB100+AC100+AD100)/30)/8)))*30%+(((((V100+AA100+AB100+AC100+AD100)/30)/8)*50%)+((((V100+AA100+AB100+AC100+AD100)/30)/8))))*BC100,"0")</f>
        <v>0</v>
      </c>
      <c r="BE100" s="1028">
        <v>0</v>
      </c>
      <c r="BF100" s="1150">
        <f t="shared" si="218"/>
        <v>0</v>
      </c>
      <c r="BG100" s="1151">
        <v>300</v>
      </c>
      <c r="BH100" s="1151">
        <f t="shared" si="117"/>
        <v>0</v>
      </c>
      <c r="BI100" s="1180">
        <v>0</v>
      </c>
      <c r="BJ100" s="1180">
        <f t="shared" si="118"/>
        <v>0</v>
      </c>
      <c r="BK100" s="1151">
        <v>0</v>
      </c>
      <c r="BL100" s="1150">
        <f t="shared" si="170"/>
        <v>12.57</v>
      </c>
      <c r="BM100" s="1150">
        <f t="shared" si="171"/>
        <v>1.57</v>
      </c>
      <c r="BN100" s="1150">
        <f t="shared" si="119"/>
        <v>3.41</v>
      </c>
      <c r="BO100" s="1150">
        <v>0</v>
      </c>
      <c r="BP100" s="1150">
        <v>0</v>
      </c>
      <c r="BQ100" s="1396">
        <f t="shared" ref="BQ100" si="256">ROUND(SUM(BL100:BP100),2)</f>
        <v>17.55</v>
      </c>
      <c r="BR100" s="1150">
        <f t="shared" si="172"/>
        <v>28.29</v>
      </c>
      <c r="BS100" s="1150">
        <f t="shared" si="173"/>
        <v>6.29</v>
      </c>
      <c r="BT100" s="1150">
        <f t="shared" si="121"/>
        <v>6.82</v>
      </c>
      <c r="BU100" s="1150">
        <v>0</v>
      </c>
      <c r="BV100" s="1151">
        <f t="shared" ref="BV100" si="257">ROUND(SUM(BR100:BT100),2)</f>
        <v>41.4</v>
      </c>
      <c r="BW100" s="1155">
        <f t="shared" ref="BW100" si="258">BQ100+BV100</f>
        <v>58.95</v>
      </c>
      <c r="BX100" s="1155">
        <f t="shared" si="239"/>
        <v>638.44000000000005</v>
      </c>
      <c r="BY100" s="1151">
        <v>0</v>
      </c>
      <c r="BZ100" s="1151">
        <f t="shared" si="125"/>
        <v>638.44000000000005</v>
      </c>
      <c r="CA100" s="1397">
        <v>0</v>
      </c>
      <c r="CB100" s="1155">
        <f t="shared" si="126"/>
        <v>152.69999999999999</v>
      </c>
      <c r="CC100" s="1156">
        <f t="shared" si="127"/>
        <v>470.25</v>
      </c>
      <c r="CD100" s="514"/>
      <c r="CE100" s="514"/>
      <c r="CF100" s="521"/>
      <c r="CG100" s="511">
        <f t="shared" si="128"/>
        <v>152.69999999999999</v>
      </c>
      <c r="CH100" s="1712">
        <f t="shared" si="129"/>
        <v>300</v>
      </c>
      <c r="CI100" s="511">
        <f t="shared" si="130"/>
        <v>470.25</v>
      </c>
      <c r="CJ100" s="511">
        <f t="shared" si="131"/>
        <v>470.25</v>
      </c>
      <c r="CK100" s="511">
        <f t="shared" si="132"/>
        <v>0</v>
      </c>
      <c r="CL100" s="511">
        <f t="shared" si="133"/>
        <v>0</v>
      </c>
      <c r="CM100" s="511">
        <f t="shared" si="134"/>
        <v>0</v>
      </c>
      <c r="CN100" s="512">
        <f t="shared" si="135"/>
        <v>0</v>
      </c>
      <c r="CO100" s="513">
        <v>0</v>
      </c>
      <c r="CP100" s="512">
        <f t="shared" si="136"/>
        <v>0</v>
      </c>
      <c r="CQ100" s="500">
        <f t="shared" si="137"/>
        <v>0</v>
      </c>
      <c r="CR100" s="512">
        <f t="shared" si="138"/>
        <v>0</v>
      </c>
      <c r="CS100" s="512">
        <f t="shared" si="139"/>
        <v>0</v>
      </c>
      <c r="CT100" s="512">
        <f t="shared" si="140"/>
        <v>58.95</v>
      </c>
      <c r="CU100" s="512">
        <f t="shared" si="141"/>
        <v>0</v>
      </c>
      <c r="CV100" s="1556"/>
      <c r="CW100" s="1195" t="s">
        <v>7202</v>
      </c>
      <c r="CX100" s="1195" t="s">
        <v>7251</v>
      </c>
      <c r="CY100" s="514"/>
      <c r="CZ100" s="1199" t="s">
        <v>6789</v>
      </c>
      <c r="DA100" s="1199" t="s">
        <v>6173</v>
      </c>
      <c r="DB100" s="1199" t="s">
        <v>6202</v>
      </c>
      <c r="DC100" s="1199" t="s">
        <v>6443</v>
      </c>
      <c r="DD100" s="514"/>
      <c r="DE100" s="514"/>
      <c r="DF100" s="514"/>
      <c r="DG100" s="514"/>
      <c r="DH100" s="514"/>
      <c r="DJ100" s="478" t="str">
        <f>VLOOKUP(X100,Hoja1!$A$4:$B$10,2,0)</f>
        <v>BACHILLER</v>
      </c>
      <c r="DK100" s="478" t="str">
        <f>VLOOKUP(S100,Hoja1!$D$4:$F$77,3,0)</f>
        <v>BIII - VI</v>
      </c>
      <c r="DL100" s="1218" t="str">
        <f t="shared" si="142"/>
        <v>0</v>
      </c>
      <c r="DM100" s="1743" t="str">
        <f t="shared" si="143"/>
        <v>F</v>
      </c>
      <c r="DN100" s="1743"/>
    </row>
    <row r="101" spans="1:118" s="473" customFormat="1" ht="21.95" customHeight="1">
      <c r="A101" s="510" t="s">
        <v>2846</v>
      </c>
      <c r="B101" s="1390">
        <f t="shared" ca="1" si="144"/>
        <v>59</v>
      </c>
      <c r="C101" s="1194">
        <v>11319154</v>
      </c>
      <c r="D101" s="1195" t="s">
        <v>4743</v>
      </c>
      <c r="E101" s="1180" t="s">
        <v>4622</v>
      </c>
      <c r="F101" s="1196">
        <v>26378</v>
      </c>
      <c r="G101" s="1180" t="s">
        <v>4620</v>
      </c>
      <c r="H101" s="1196">
        <v>34428</v>
      </c>
      <c r="I101" s="1185">
        <f t="shared" si="98"/>
        <v>30</v>
      </c>
      <c r="J101" s="1177">
        <v>0</v>
      </c>
      <c r="K101" s="1185">
        <f t="shared" si="99"/>
        <v>30</v>
      </c>
      <c r="L101" s="1191" t="s">
        <v>5541</v>
      </c>
      <c r="M101" s="1177"/>
      <c r="N101" s="1177"/>
      <c r="O101" s="1040" t="s">
        <v>5221</v>
      </c>
      <c r="P101" s="1177" t="s">
        <v>5322</v>
      </c>
      <c r="Q101" s="1391" t="str">
        <f>IFERROR(VLOOKUP(O101,CARGOS!A:E,2,0),"")</f>
        <v>79512</v>
      </c>
      <c r="R101" s="1403" t="s">
        <v>5221</v>
      </c>
      <c r="S101" s="1192" t="s">
        <v>5487</v>
      </c>
      <c r="T101" s="1150">
        <f>IFERROR(VLOOKUP(S101,'TAB EMP'!A:B,2,0),0)</f>
        <v>316</v>
      </c>
      <c r="U101" s="1151">
        <v>0</v>
      </c>
      <c r="V101" s="1150">
        <f t="shared" si="100"/>
        <v>316</v>
      </c>
      <c r="W101" s="1151">
        <f t="shared" si="101"/>
        <v>158</v>
      </c>
      <c r="X101" s="1180" t="s">
        <v>2887</v>
      </c>
      <c r="Y101" s="1180"/>
      <c r="Z101" s="1180">
        <v>0</v>
      </c>
      <c r="AA101" s="1150">
        <f>ROUND(IF(H101&lt;&gt;"",VLOOKUP(SUM(I101+J101),'CONCEPTOS Y PARAMETROS'!F:G,2,0)*V101,0),2)</f>
        <v>94.8</v>
      </c>
      <c r="AB101" s="1150">
        <f>IF(S101&lt;&gt;"",IF(M101="",'CONCEPTOS Y PARAMETROS'!$C$4,0),0)</f>
        <v>130</v>
      </c>
      <c r="AC101" s="1150">
        <f>IF(S101&lt;&gt;"",IF(M101="",'CONCEPTOS Y PARAMETROS'!$C$7*Z101,0),0)</f>
        <v>0</v>
      </c>
      <c r="AD101" s="1150">
        <f>IFERROR(ROUND(VLOOKUP($X101,'CONCEPTOS Y PARAMETROS'!H:I,2,0)*($V101+AA101+AB101+AC101),2),0)</f>
        <v>189.28</v>
      </c>
      <c r="AE101" s="1150">
        <f t="shared" si="102"/>
        <v>414.08000000000004</v>
      </c>
      <c r="AF101" s="1150">
        <f t="shared" si="103"/>
        <v>47.4</v>
      </c>
      <c r="AG101" s="1150">
        <f t="shared" si="104"/>
        <v>47.4</v>
      </c>
      <c r="AH101" s="1150">
        <f t="shared" si="105"/>
        <v>65</v>
      </c>
      <c r="AI101" s="1150">
        <f t="shared" si="106"/>
        <v>65</v>
      </c>
      <c r="AJ101" s="1150">
        <f t="shared" si="107"/>
        <v>94.64</v>
      </c>
      <c r="AK101" s="1150">
        <f t="shared" si="108"/>
        <v>94.64</v>
      </c>
      <c r="AL101" s="1151">
        <f t="shared" si="109"/>
        <v>207.04</v>
      </c>
      <c r="AM101" s="1151">
        <f t="shared" si="110"/>
        <v>207.04</v>
      </c>
      <c r="AN101" s="1028">
        <v>0</v>
      </c>
      <c r="AO101" s="1193">
        <f>'CONCEPTOS Y PARAMETROS'!$C$18*AN101</f>
        <v>0</v>
      </c>
      <c r="AP101" s="1028">
        <v>0</v>
      </c>
      <c r="AQ101" s="1193">
        <f>'CONCEPTOS Y PARAMETROS'!$C$21*AP101</f>
        <v>0</v>
      </c>
      <c r="AR101" s="1394">
        <v>0</v>
      </c>
      <c r="AS101" s="1394">
        <v>0</v>
      </c>
      <c r="AT101" s="1394">
        <f t="shared" si="197"/>
        <v>0</v>
      </c>
      <c r="AU101" s="1151">
        <f t="shared" si="112"/>
        <v>730.08</v>
      </c>
      <c r="AV101" s="1178">
        <v>0</v>
      </c>
      <c r="AW101" s="1151">
        <f t="shared" si="198"/>
        <v>0</v>
      </c>
      <c r="AX101" s="1150">
        <f>IF(T101&lt;&gt;"0",(ROUND(IF(A101="EMPLEADO",eval_formula('CONCEPTOS Y PARAMETROS'!$C$8,NOMINA!V101,NOMINA!$AU101,NOMINA!I101+NOMINA!J101),eval_formula('CONCEPTOS Y PARAMETROS'!$D$8,NOMINA!V101,NOMINA!$AU101,NOMINA!I101+NOMINA!J101)),2))*IF(H101&lt;&gt;"",IF(MONTH(H101)=$BR$8,IF(YEAR(H101)&lt;$BT$7,1,0),0)))</f>
        <v>0</v>
      </c>
      <c r="AY101" s="1151">
        <v>180</v>
      </c>
      <c r="AZ101" s="1150">
        <f>IFERROR(VLOOKUP(AY101,'CONCEPTOS Y PARAMETROS'!Y:Z,2,0),0)</f>
        <v>150</v>
      </c>
      <c r="BA101" s="1150">
        <f t="shared" si="114"/>
        <v>5475.6</v>
      </c>
      <c r="BB101" s="1150">
        <f t="shared" si="145"/>
        <v>0</v>
      </c>
      <c r="BC101" s="1028">
        <v>0</v>
      </c>
      <c r="BD101" s="1150" t="str">
        <f t="shared" si="115"/>
        <v>0</v>
      </c>
      <c r="BE101" s="1028">
        <v>0</v>
      </c>
      <c r="BF101" s="1150">
        <f t="shared" si="218"/>
        <v>0</v>
      </c>
      <c r="BG101" s="1151">
        <v>300</v>
      </c>
      <c r="BH101" s="1151">
        <f t="shared" si="117"/>
        <v>0</v>
      </c>
      <c r="BI101" s="1180">
        <v>0</v>
      </c>
      <c r="BJ101" s="1180">
        <f t="shared" si="118"/>
        <v>0</v>
      </c>
      <c r="BK101" s="1151">
        <v>0</v>
      </c>
      <c r="BL101" s="1150">
        <f t="shared" si="170"/>
        <v>26.96</v>
      </c>
      <c r="BM101" s="1150">
        <f t="shared" si="171"/>
        <v>3.37</v>
      </c>
      <c r="BN101" s="1150">
        <f t="shared" si="119"/>
        <v>7.3</v>
      </c>
      <c r="BO101" s="1150">
        <v>0</v>
      </c>
      <c r="BP101" s="1150">
        <v>0</v>
      </c>
      <c r="BQ101" s="1396">
        <f t="shared" si="120"/>
        <v>37.630000000000003</v>
      </c>
      <c r="BR101" s="1150">
        <f t="shared" si="172"/>
        <v>60.65</v>
      </c>
      <c r="BS101" s="1150">
        <f t="shared" si="173"/>
        <v>13.48</v>
      </c>
      <c r="BT101" s="1150">
        <f t="shared" si="121"/>
        <v>14.6</v>
      </c>
      <c r="BU101" s="1150">
        <v>0</v>
      </c>
      <c r="BV101" s="1151">
        <f t="shared" si="122"/>
        <v>88.73</v>
      </c>
      <c r="BW101" s="1155">
        <f t="shared" si="123"/>
        <v>126.36000000000001</v>
      </c>
      <c r="BX101" s="1155">
        <f t="shared" si="239"/>
        <v>1368.9</v>
      </c>
      <c r="BY101" s="1151">
        <v>0</v>
      </c>
      <c r="BZ101" s="1151">
        <f t="shared" si="125"/>
        <v>1368.9</v>
      </c>
      <c r="CA101" s="1397">
        <f>'CONCEPTOS Y PARAMETROS'!$A$102</f>
        <v>2120</v>
      </c>
      <c r="CB101" s="1155">
        <f t="shared" si="126"/>
        <v>327.40999999999997</v>
      </c>
      <c r="CC101" s="1156">
        <f t="shared" si="127"/>
        <v>665.04</v>
      </c>
      <c r="CD101" s="514"/>
      <c r="CE101" s="514"/>
      <c r="CF101" s="520"/>
      <c r="CG101" s="497">
        <f t="shared" si="128"/>
        <v>327.40999999999997</v>
      </c>
      <c r="CH101" s="1711">
        <f t="shared" si="129"/>
        <v>300</v>
      </c>
      <c r="CI101" s="497">
        <f t="shared" si="130"/>
        <v>665.04</v>
      </c>
      <c r="CJ101" s="497">
        <f t="shared" si="131"/>
        <v>319.22000000000003</v>
      </c>
      <c r="CK101" s="497">
        <f t="shared" si="132"/>
        <v>345.81999999999994</v>
      </c>
      <c r="CL101" s="497">
        <f t="shared" si="133"/>
        <v>0</v>
      </c>
      <c r="CM101" s="497">
        <f t="shared" si="134"/>
        <v>0</v>
      </c>
      <c r="CN101" s="498">
        <f t="shared" si="135"/>
        <v>0</v>
      </c>
      <c r="CO101" s="499">
        <v>0</v>
      </c>
      <c r="CP101" s="498">
        <f t="shared" si="136"/>
        <v>0</v>
      </c>
      <c r="CQ101" s="500">
        <f t="shared" si="137"/>
        <v>0</v>
      </c>
      <c r="CR101" s="498">
        <f t="shared" si="138"/>
        <v>0</v>
      </c>
      <c r="CS101" s="498">
        <f t="shared" si="139"/>
        <v>0</v>
      </c>
      <c r="CT101" s="498">
        <f t="shared" si="140"/>
        <v>126.36000000000001</v>
      </c>
      <c r="CU101" s="498">
        <f t="shared" si="141"/>
        <v>2120</v>
      </c>
      <c r="CV101" s="1554"/>
      <c r="CW101" s="1195" t="s">
        <v>7019</v>
      </c>
      <c r="CX101" s="1195" t="s">
        <v>6967</v>
      </c>
      <c r="CY101" s="472"/>
      <c r="CZ101" s="514" t="s">
        <v>6239</v>
      </c>
      <c r="DA101" s="514" t="s">
        <v>6653</v>
      </c>
      <c r="DB101" s="514" t="s">
        <v>6242</v>
      </c>
      <c r="DC101" s="514" t="s">
        <v>6585</v>
      </c>
      <c r="DD101" s="472"/>
      <c r="DE101" s="935"/>
      <c r="DF101" s="472"/>
      <c r="DG101" s="472"/>
      <c r="DH101" s="472"/>
      <c r="DJ101" s="473" t="str">
        <f>VLOOKUP(X101,Hoja1!$A$4:$B$10,2,0)</f>
        <v>MAGISTER</v>
      </c>
      <c r="DK101" s="473" t="str">
        <f>VLOOKUP(S101,Hoja1!$D$4:$F$77,3,0)</f>
        <v>PIII - VII</v>
      </c>
      <c r="DL101" s="1216" t="str">
        <f t="shared" si="142"/>
        <v>0</v>
      </c>
      <c r="DM101" s="1741" t="str">
        <f t="shared" si="143"/>
        <v>F</v>
      </c>
      <c r="DN101" s="1741"/>
    </row>
    <row r="102" spans="1:118" s="930" customFormat="1" ht="21.95" customHeight="1">
      <c r="A102" s="929" t="s">
        <v>2846</v>
      </c>
      <c r="B102" s="1404">
        <f ca="1">OFFSET(B102,-1,0)+1</f>
        <v>60</v>
      </c>
      <c r="C102" s="1405">
        <v>11320533</v>
      </c>
      <c r="D102" s="1406" t="s">
        <v>4744</v>
      </c>
      <c r="E102" s="1407" t="s">
        <v>4622</v>
      </c>
      <c r="F102" s="1423">
        <v>26799</v>
      </c>
      <c r="G102" s="1407" t="s">
        <v>4620</v>
      </c>
      <c r="H102" s="1423">
        <v>37629</v>
      </c>
      <c r="I102" s="1409">
        <f t="shared" si="98"/>
        <v>22</v>
      </c>
      <c r="J102" s="1410">
        <v>0</v>
      </c>
      <c r="K102" s="1409">
        <f t="shared" si="99"/>
        <v>22</v>
      </c>
      <c r="L102" s="1411" t="s">
        <v>5540</v>
      </c>
      <c r="M102" s="1410"/>
      <c r="N102" s="1410"/>
      <c r="O102" s="1412" t="s">
        <v>5241</v>
      </c>
      <c r="P102" s="1410" t="s">
        <v>5323</v>
      </c>
      <c r="Q102" s="1413" t="str">
        <f>IFERROR(VLOOKUP(O102,CARGOS!A:E,2,0),"")</f>
        <v>12124</v>
      </c>
      <c r="R102" s="1412" t="s">
        <v>5241</v>
      </c>
      <c r="S102" s="1414" t="s">
        <v>5471</v>
      </c>
      <c r="T102" s="1415">
        <v>0</v>
      </c>
      <c r="U102" s="1382">
        <v>0</v>
      </c>
      <c r="V102" s="1415">
        <f>T102-U102</f>
        <v>0</v>
      </c>
      <c r="W102" s="1382">
        <f>ROUND(V102/2,2)</f>
        <v>0</v>
      </c>
      <c r="X102" s="1407" t="s">
        <v>2885</v>
      </c>
      <c r="Y102" s="1407"/>
      <c r="Z102" s="1407">
        <v>0</v>
      </c>
      <c r="AA102" s="1415">
        <f>ROUND(IF(H102&lt;&gt;"",VLOOKUP(SUM(I102+J102),'CONCEPTOS Y PARAMETROS'!F:G,2,0)*V102,0),2)</f>
        <v>0</v>
      </c>
      <c r="AB102" s="1415">
        <v>0</v>
      </c>
      <c r="AC102" s="1415">
        <v>0</v>
      </c>
      <c r="AD102" s="1415">
        <f>IFERROR(ROUND(VLOOKUP($X102,'CONCEPTOS Y PARAMETROS'!H:I,2,0)*($V102+AA102+AB102+AC102),2),0)</f>
        <v>0</v>
      </c>
      <c r="AE102" s="1415">
        <f>SUM(AA102:AD102)</f>
        <v>0</v>
      </c>
      <c r="AF102" s="1415">
        <f>ROUND(AA102/2,2)</f>
        <v>0</v>
      </c>
      <c r="AG102" s="1415">
        <f>ROUND(AA102-AF102,2)</f>
        <v>0</v>
      </c>
      <c r="AH102" s="1415">
        <f>ROUND(AB102/2,2)</f>
        <v>0</v>
      </c>
      <c r="AI102" s="1415">
        <f>ROUND(AB102-AH102,2)</f>
        <v>0</v>
      </c>
      <c r="AJ102" s="1415">
        <f>ROUND(AD102/2,2)</f>
        <v>0</v>
      </c>
      <c r="AK102" s="1415">
        <f>ROUND(AD102-AJ102,2)</f>
        <v>0</v>
      </c>
      <c r="AL102" s="1382">
        <f>ROUND(AF102+AH102+AJ102+AC102,2)</f>
        <v>0</v>
      </c>
      <c r="AM102" s="1382">
        <f>ROUND(AG102+AI102+AK102,2)</f>
        <v>0</v>
      </c>
      <c r="AN102" s="1416">
        <v>0</v>
      </c>
      <c r="AO102" s="1417">
        <v>0</v>
      </c>
      <c r="AP102" s="1416">
        <v>0</v>
      </c>
      <c r="AQ102" s="1417">
        <f>'CONCEPTOS Y PARAMETROS'!$C$21*AP102</f>
        <v>0</v>
      </c>
      <c r="AR102" s="1418">
        <v>0</v>
      </c>
      <c r="AS102" s="1418">
        <v>0</v>
      </c>
      <c r="AT102" s="1418">
        <f>+AO102+AQ102+AR102+AS102</f>
        <v>0</v>
      </c>
      <c r="AU102" s="1382">
        <f>V102+AE102+AW102</f>
        <v>0</v>
      </c>
      <c r="AV102" s="1419">
        <v>0</v>
      </c>
      <c r="AW102" s="1382">
        <f>ROUND(IF(AV102="NOCTURN",(V102+AE102)*30%,0),2)</f>
        <v>0</v>
      </c>
      <c r="AX102" s="1415">
        <f>IF(T102&lt;&gt;"0",(ROUND(IF(A102="EMPLEADO",eval_formula('CONCEPTOS Y PARAMETROS'!$C$8,NOMINA!V102,NOMINA!$AU102,NOMINA!I102+NOMINA!J102),eval_formula('CONCEPTOS Y PARAMETROS'!$D$8,NOMINA!V102,NOMINA!$AU102,NOMINA!I102+NOMINA!J102)),2))*IF(H102&lt;&gt;"",IF(MONTH(H102)=$BR$8,IF(YEAR(H102)&lt;$BT$7,1,0),0)))</f>
        <v>0</v>
      </c>
      <c r="AY102" s="1382">
        <v>180</v>
      </c>
      <c r="AZ102" s="1415">
        <f>IFERROR(VLOOKUP(AY102,'CONCEPTOS Y PARAMETROS'!Y:Z,2,0),0)</f>
        <v>150</v>
      </c>
      <c r="BA102" s="1415">
        <f>ROUND((((AU102))/30*AY102/12+(AU102))/30*AZ102,2)</f>
        <v>0</v>
      </c>
      <c r="BB102" s="1415">
        <f t="shared" si="145"/>
        <v>0</v>
      </c>
      <c r="BC102" s="1416">
        <v>0</v>
      </c>
      <c r="BD102" s="1415" t="str">
        <f>IF(BC102&gt;0,((((((V102+AA102+AB102+AC102+AD102)/30)/8)*50%)+((((V102+AA102+AB102+AC102+AD102)/30)/8)))*30%+(((((V102+AA102+AB102+AC102+AD102)/30)/8)*50%)+((((V102+AA102+AB102+AC102+AD102)/30)/8))))*BC102,"0")</f>
        <v>0</v>
      </c>
      <c r="BE102" s="1416">
        <v>0</v>
      </c>
      <c r="BF102" s="1415">
        <f>ROUND(IF(BE102&gt;0,(((V102+AA102+AB102+AC102+AD102)/30)*50%+((V102+AA102+AB102+AC102+AD102)/30))*BE102,"0"),2)</f>
        <v>0</v>
      </c>
      <c r="BG102" s="1382">
        <v>0</v>
      </c>
      <c r="BH102" s="1382">
        <f t="shared" si="117"/>
        <v>0</v>
      </c>
      <c r="BI102" s="1382">
        <v>0</v>
      </c>
      <c r="BJ102" s="1382">
        <f t="shared" si="118"/>
        <v>0</v>
      </c>
      <c r="BK102" s="1382">
        <v>0</v>
      </c>
      <c r="BL102" s="1415">
        <f t="shared" si="170"/>
        <v>0</v>
      </c>
      <c r="BM102" s="1415">
        <f t="shared" si="171"/>
        <v>0</v>
      </c>
      <c r="BN102" s="1415">
        <f t="shared" si="119"/>
        <v>0</v>
      </c>
      <c r="BO102" s="1415">
        <v>0</v>
      </c>
      <c r="BP102" s="1415">
        <v>0</v>
      </c>
      <c r="BQ102" s="1420">
        <f>ROUND(SUM(BL102:BP102),2)</f>
        <v>0</v>
      </c>
      <c r="BR102" s="1415">
        <f t="shared" si="172"/>
        <v>0</v>
      </c>
      <c r="BS102" s="1415">
        <f t="shared" si="173"/>
        <v>0</v>
      </c>
      <c r="BT102" s="1415">
        <f t="shared" si="121"/>
        <v>0</v>
      </c>
      <c r="BU102" s="1415">
        <v>0</v>
      </c>
      <c r="BV102" s="1382">
        <f>ROUND(SUM(BR102:BT102),2)</f>
        <v>0</v>
      </c>
      <c r="BW102" s="1379">
        <f>BQ102+BV102</f>
        <v>0</v>
      </c>
      <c r="BX102" s="1379">
        <f t="shared" si="239"/>
        <v>0</v>
      </c>
      <c r="BY102" s="1382">
        <v>0</v>
      </c>
      <c r="BZ102" s="1382">
        <f t="shared" si="125"/>
        <v>0</v>
      </c>
      <c r="CA102" s="1421">
        <v>0</v>
      </c>
      <c r="CB102" s="1379">
        <f t="shared" si="126"/>
        <v>0</v>
      </c>
      <c r="CC102" s="1422">
        <f t="shared" si="127"/>
        <v>0</v>
      </c>
      <c r="CD102" s="514"/>
      <c r="CE102" s="514"/>
      <c r="CF102" s="938"/>
      <c r="CG102" s="931">
        <f t="shared" si="128"/>
        <v>0</v>
      </c>
      <c r="CH102" s="1714">
        <f t="shared" si="129"/>
        <v>0</v>
      </c>
      <c r="CI102" s="931">
        <f t="shared" si="130"/>
        <v>0</v>
      </c>
      <c r="CJ102" s="931">
        <f t="shared" si="131"/>
        <v>0</v>
      </c>
      <c r="CK102" s="931">
        <f t="shared" si="132"/>
        <v>0</v>
      </c>
      <c r="CL102" s="931">
        <f t="shared" si="133"/>
        <v>0</v>
      </c>
      <c r="CM102" s="931">
        <f t="shared" si="134"/>
        <v>0</v>
      </c>
      <c r="CN102" s="932">
        <f t="shared" si="135"/>
        <v>0</v>
      </c>
      <c r="CO102" s="933">
        <v>0</v>
      </c>
      <c r="CP102" s="932">
        <f t="shared" si="136"/>
        <v>0</v>
      </c>
      <c r="CQ102" s="934">
        <f t="shared" si="137"/>
        <v>0</v>
      </c>
      <c r="CR102" s="932">
        <f t="shared" si="138"/>
        <v>0</v>
      </c>
      <c r="CS102" s="932">
        <f t="shared" si="139"/>
        <v>0</v>
      </c>
      <c r="CT102" s="932">
        <f t="shared" si="140"/>
        <v>0</v>
      </c>
      <c r="CU102" s="932">
        <f t="shared" si="141"/>
        <v>0</v>
      </c>
      <c r="CV102" s="1557"/>
      <c r="CW102" s="1406" t="s">
        <v>7113</v>
      </c>
      <c r="CX102" s="1406" t="s">
        <v>6942</v>
      </c>
      <c r="CY102" s="935"/>
      <c r="CZ102" s="514" t="s">
        <v>6225</v>
      </c>
      <c r="DA102" s="478"/>
      <c r="DB102" s="478"/>
      <c r="DC102" s="478"/>
      <c r="DD102" s="472"/>
      <c r="DE102" s="472"/>
      <c r="DF102" s="935"/>
      <c r="DG102" s="935"/>
      <c r="DH102" s="935"/>
      <c r="DJ102" s="930" t="str">
        <f>VLOOKUP(X102,Hoja1!$A$4:$B$10,2,0)</f>
        <v>PROFESIONAL</v>
      </c>
      <c r="DK102" s="930" t="str">
        <f>VLOOKUP(S102,Hoja1!$D$4:$F$77,3,0)</f>
        <v>PII - VII</v>
      </c>
      <c r="DL102" s="1217" t="str">
        <f t="shared" si="142"/>
        <v>0</v>
      </c>
      <c r="DM102" s="1745" t="str">
        <f t="shared" si="143"/>
        <v>F</v>
      </c>
      <c r="DN102" s="1745"/>
    </row>
    <row r="103" spans="1:118" s="473" customFormat="1" ht="21.95" customHeight="1">
      <c r="A103" s="510" t="s">
        <v>2846</v>
      </c>
      <c r="B103" s="1390">
        <f t="shared" ca="1" si="144"/>
        <v>61</v>
      </c>
      <c r="C103" s="1194">
        <v>11322871</v>
      </c>
      <c r="D103" s="1195" t="s">
        <v>4745</v>
      </c>
      <c r="E103" s="1180" t="s">
        <v>4622</v>
      </c>
      <c r="F103" s="1196">
        <v>26249</v>
      </c>
      <c r="G103" s="1180" t="s">
        <v>4621</v>
      </c>
      <c r="H103" s="1196">
        <v>38718</v>
      </c>
      <c r="I103" s="1185">
        <f t="shared" si="98"/>
        <v>19</v>
      </c>
      <c r="J103" s="1177">
        <v>0</v>
      </c>
      <c r="K103" s="1185">
        <f t="shared" si="99"/>
        <v>19</v>
      </c>
      <c r="L103" s="1191" t="s">
        <v>5540</v>
      </c>
      <c r="M103" s="1177"/>
      <c r="N103" s="1177"/>
      <c r="O103" s="1040" t="s">
        <v>5237</v>
      </c>
      <c r="P103" s="1177" t="s">
        <v>5324</v>
      </c>
      <c r="Q103" s="1391" t="str">
        <f>IFERROR(VLOOKUP(O103,CARGOS!A:E,2,0),"")</f>
        <v>79523</v>
      </c>
      <c r="R103" s="1403" t="s">
        <v>5237</v>
      </c>
      <c r="S103" s="1192" t="s">
        <v>5471</v>
      </c>
      <c r="T103" s="1150">
        <f>IFERROR(VLOOKUP(S103,'TAB EMP'!A:B,2,0),0)</f>
        <v>287</v>
      </c>
      <c r="U103" s="1151">
        <v>0</v>
      </c>
      <c r="V103" s="1150">
        <f t="shared" si="100"/>
        <v>287</v>
      </c>
      <c r="W103" s="1151">
        <f t="shared" si="101"/>
        <v>143.5</v>
      </c>
      <c r="X103" s="1180" t="s">
        <v>2885</v>
      </c>
      <c r="Y103" s="1180"/>
      <c r="Z103" s="1180">
        <v>0</v>
      </c>
      <c r="AA103" s="1150">
        <f>ROUND(IF(H103&lt;&gt;"",VLOOKUP(SUM(I103+J103),'CONCEPTOS Y PARAMETROS'!F:G,2,0)*V103,0),2)</f>
        <v>70.03</v>
      </c>
      <c r="AB103" s="1150">
        <f>IF(S103&lt;&gt;"",IF(M103="",'CONCEPTOS Y PARAMETROS'!$C$4,0),0)</f>
        <v>130</v>
      </c>
      <c r="AC103" s="1150">
        <f>IF(S103&lt;&gt;"",IF(M103="",'CONCEPTOS Y PARAMETROS'!$C$7*Z103,0),0)</f>
        <v>0</v>
      </c>
      <c r="AD103" s="1150">
        <f>IFERROR(ROUND(VLOOKUP($X103,'CONCEPTOS Y PARAMETROS'!H:I,2,0)*($V103+AA103+AB103+AC103),2),0)</f>
        <v>121.76</v>
      </c>
      <c r="AE103" s="1150">
        <f t="shared" si="102"/>
        <v>321.79000000000002</v>
      </c>
      <c r="AF103" s="1150">
        <f t="shared" si="103"/>
        <v>35.020000000000003</v>
      </c>
      <c r="AG103" s="1150">
        <f t="shared" si="104"/>
        <v>35.01</v>
      </c>
      <c r="AH103" s="1150">
        <f t="shared" si="105"/>
        <v>65</v>
      </c>
      <c r="AI103" s="1150">
        <f t="shared" si="106"/>
        <v>65</v>
      </c>
      <c r="AJ103" s="1150">
        <f t="shared" si="107"/>
        <v>60.88</v>
      </c>
      <c r="AK103" s="1150">
        <f t="shared" si="108"/>
        <v>60.88</v>
      </c>
      <c r="AL103" s="1151">
        <f t="shared" si="109"/>
        <v>160.9</v>
      </c>
      <c r="AM103" s="1151">
        <f t="shared" si="110"/>
        <v>160.88999999999999</v>
      </c>
      <c r="AN103" s="1028">
        <v>0</v>
      </c>
      <c r="AO103" s="1193">
        <f>'CONCEPTOS Y PARAMETROS'!$C$18*AN103</f>
        <v>0</v>
      </c>
      <c r="AP103" s="1028">
        <v>0</v>
      </c>
      <c r="AQ103" s="1193">
        <f>'CONCEPTOS Y PARAMETROS'!$C$21*AP103</f>
        <v>0</v>
      </c>
      <c r="AR103" s="1394">
        <v>0</v>
      </c>
      <c r="AS103" s="1394">
        <v>0</v>
      </c>
      <c r="AT103" s="1394">
        <f t="shared" si="197"/>
        <v>0</v>
      </c>
      <c r="AU103" s="1151">
        <f t="shared" si="112"/>
        <v>608.79</v>
      </c>
      <c r="AV103" s="1178">
        <v>0</v>
      </c>
      <c r="AW103" s="1151">
        <f t="shared" si="198"/>
        <v>0</v>
      </c>
      <c r="AX103" s="1150">
        <f>IF(T103&lt;&gt;"0",(ROUND(IF(A103="EMPLEADO",eval_formula('CONCEPTOS Y PARAMETROS'!$C$8,NOMINA!V103,NOMINA!$AU103,NOMINA!I103+NOMINA!J103),eval_formula('CONCEPTOS Y PARAMETROS'!$D$8,NOMINA!V103,NOMINA!$AU103,NOMINA!I103+NOMINA!J103)),2))*IF(H103&lt;&gt;"",IF(MONTH(H103)=$BR$8,IF(YEAR(H103)&lt;$BT$7,1,0),0)))</f>
        <v>4870.32</v>
      </c>
      <c r="AY103" s="1151">
        <v>180</v>
      </c>
      <c r="AZ103" s="1150">
        <f>IFERROR(VLOOKUP(AY103,'CONCEPTOS Y PARAMETROS'!Y:Z,2,0),0)</f>
        <v>150</v>
      </c>
      <c r="BA103" s="1150">
        <f t="shared" si="114"/>
        <v>4565.93</v>
      </c>
      <c r="BB103" s="1150">
        <f t="shared" si="145"/>
        <v>0</v>
      </c>
      <c r="BC103" s="1028">
        <v>0</v>
      </c>
      <c r="BD103" s="1150" t="str">
        <f t="shared" si="115"/>
        <v>0</v>
      </c>
      <c r="BE103" s="1028">
        <v>0</v>
      </c>
      <c r="BF103" s="1150">
        <f>ROUND(IF(BE103&gt;0,(((V103+AA103+AB103+AC103+AD103+AW103)/30)*50%+((V103+AA103+AB103+AC103+AD103+AW103)/30))*BE103,"0"),2)</f>
        <v>0</v>
      </c>
      <c r="BG103" s="1151">
        <v>300</v>
      </c>
      <c r="BH103" s="1151">
        <f t="shared" si="117"/>
        <v>0</v>
      </c>
      <c r="BI103" s="1180">
        <v>0</v>
      </c>
      <c r="BJ103" s="1180">
        <f t="shared" si="118"/>
        <v>0</v>
      </c>
      <c r="BK103" s="1151">
        <v>0</v>
      </c>
      <c r="BL103" s="1150">
        <f t="shared" si="170"/>
        <v>22.48</v>
      </c>
      <c r="BM103" s="1150">
        <f t="shared" si="171"/>
        <v>2.81</v>
      </c>
      <c r="BN103" s="1150">
        <f t="shared" si="119"/>
        <v>6.09</v>
      </c>
      <c r="BO103" s="1150">
        <v>0</v>
      </c>
      <c r="BP103" s="1150">
        <v>0</v>
      </c>
      <c r="BQ103" s="1396">
        <f t="shared" si="120"/>
        <v>31.38</v>
      </c>
      <c r="BR103" s="1150">
        <f t="shared" si="172"/>
        <v>50.58</v>
      </c>
      <c r="BS103" s="1150">
        <f t="shared" si="173"/>
        <v>11.24</v>
      </c>
      <c r="BT103" s="1150">
        <f t="shared" si="121"/>
        <v>12.18</v>
      </c>
      <c r="BU103" s="1150">
        <v>0</v>
      </c>
      <c r="BV103" s="1151">
        <f t="shared" si="122"/>
        <v>74</v>
      </c>
      <c r="BW103" s="1155">
        <f t="shared" si="123"/>
        <v>105.38</v>
      </c>
      <c r="BX103" s="1155">
        <f t="shared" si="239"/>
        <v>1141.48</v>
      </c>
      <c r="BY103" s="1151">
        <v>0</v>
      </c>
      <c r="BZ103" s="1151">
        <f t="shared" si="125"/>
        <v>1141.48</v>
      </c>
      <c r="CA103" s="1397">
        <f>'CONCEPTOS Y PARAMETROS'!$A$102</f>
        <v>2120</v>
      </c>
      <c r="CB103" s="1155">
        <f t="shared" si="126"/>
        <v>273.02</v>
      </c>
      <c r="CC103" s="1156">
        <f t="shared" si="127"/>
        <v>5474.71</v>
      </c>
      <c r="CD103" s="514"/>
      <c r="CE103" s="514"/>
      <c r="CF103" s="520"/>
      <c r="CG103" s="497">
        <f t="shared" si="128"/>
        <v>273.02</v>
      </c>
      <c r="CH103" s="1711">
        <f t="shared" si="129"/>
        <v>300</v>
      </c>
      <c r="CI103" s="497">
        <f t="shared" si="130"/>
        <v>604.39</v>
      </c>
      <c r="CJ103" s="497">
        <f t="shared" si="131"/>
        <v>290.11</v>
      </c>
      <c r="CK103" s="497">
        <f t="shared" si="132"/>
        <v>314.27999999999997</v>
      </c>
      <c r="CL103" s="497">
        <f t="shared" si="133"/>
        <v>0</v>
      </c>
      <c r="CM103" s="497">
        <f t="shared" si="134"/>
        <v>0</v>
      </c>
      <c r="CN103" s="498">
        <f t="shared" si="135"/>
        <v>0</v>
      </c>
      <c r="CO103" s="499">
        <v>0</v>
      </c>
      <c r="CP103" s="498">
        <f t="shared" si="136"/>
        <v>0</v>
      </c>
      <c r="CQ103" s="500">
        <f t="shared" si="137"/>
        <v>0</v>
      </c>
      <c r="CR103" s="498">
        <f t="shared" si="138"/>
        <v>4870.32</v>
      </c>
      <c r="CS103" s="498">
        <f t="shared" si="139"/>
        <v>4870.32</v>
      </c>
      <c r="CT103" s="498">
        <f t="shared" si="140"/>
        <v>105.38</v>
      </c>
      <c r="CU103" s="498">
        <f t="shared" si="141"/>
        <v>2120</v>
      </c>
      <c r="CV103" s="1554"/>
      <c r="CW103" s="1195" t="s">
        <v>7014</v>
      </c>
      <c r="CX103" s="1195" t="s">
        <v>7252</v>
      </c>
      <c r="CY103" s="472"/>
      <c r="CZ103" s="514" t="s">
        <v>6383</v>
      </c>
      <c r="DA103" s="514" t="s">
        <v>6188</v>
      </c>
      <c r="DB103" s="514" t="s">
        <v>6302</v>
      </c>
      <c r="DC103" s="514" t="s">
        <v>6495</v>
      </c>
      <c r="DD103" s="472"/>
      <c r="DE103" s="472"/>
      <c r="DF103" s="472"/>
      <c r="DG103" s="472"/>
      <c r="DH103" s="472"/>
      <c r="DJ103" s="473" t="str">
        <f>VLOOKUP(X103,Hoja1!$A$4:$B$10,2,0)</f>
        <v>PROFESIONAL</v>
      </c>
      <c r="DK103" s="473" t="str">
        <f>VLOOKUP(S103,Hoja1!$D$4:$F$77,3,0)</f>
        <v>PII - VII</v>
      </c>
      <c r="DL103" s="1216" t="str">
        <f t="shared" si="142"/>
        <v>0</v>
      </c>
      <c r="DM103" s="1741" t="str">
        <f t="shared" si="143"/>
        <v>M</v>
      </c>
      <c r="DN103" s="1741"/>
    </row>
    <row r="104" spans="1:118" s="473" customFormat="1" ht="21.95" customHeight="1">
      <c r="A104" s="510" t="s">
        <v>2846</v>
      </c>
      <c r="B104" s="1390">
        <f t="shared" ca="1" si="144"/>
        <v>62</v>
      </c>
      <c r="C104" s="1194">
        <v>11616673</v>
      </c>
      <c r="D104" s="1195" t="s">
        <v>4747</v>
      </c>
      <c r="E104" s="1180" t="s">
        <v>4622</v>
      </c>
      <c r="F104" s="1196">
        <v>26663</v>
      </c>
      <c r="G104" s="1180" t="s">
        <v>4621</v>
      </c>
      <c r="H104" s="1196">
        <v>35066</v>
      </c>
      <c r="I104" s="1185">
        <f t="shared" si="98"/>
        <v>29</v>
      </c>
      <c r="J104" s="1177">
        <v>0</v>
      </c>
      <c r="K104" s="1185">
        <f t="shared" si="99"/>
        <v>29</v>
      </c>
      <c r="L104" s="1191" t="s">
        <v>5554</v>
      </c>
      <c r="M104" s="1177"/>
      <c r="N104" s="1177"/>
      <c r="O104" s="1040" t="s">
        <v>5237</v>
      </c>
      <c r="P104" s="1177" t="s">
        <v>5325</v>
      </c>
      <c r="Q104" s="1391" t="str">
        <f>IFERROR(VLOOKUP(O104,CARGOS!A:E,2,0),"")</f>
        <v>79523</v>
      </c>
      <c r="R104" s="1403" t="s">
        <v>5237</v>
      </c>
      <c r="S104" s="1192" t="s">
        <v>5471</v>
      </c>
      <c r="T104" s="1150">
        <f>IFERROR(VLOOKUP(S104,'TAB EMP'!A:B,2,0),0)</f>
        <v>287</v>
      </c>
      <c r="U104" s="1151">
        <v>0</v>
      </c>
      <c r="V104" s="1150">
        <f t="shared" si="100"/>
        <v>287</v>
      </c>
      <c r="W104" s="1151">
        <f t="shared" si="101"/>
        <v>143.5</v>
      </c>
      <c r="X104" s="1180" t="s">
        <v>2885</v>
      </c>
      <c r="Y104" s="1180"/>
      <c r="Z104" s="1180">
        <v>0</v>
      </c>
      <c r="AA104" s="1150">
        <f>ROUND(IF(H104&lt;&gt;"",VLOOKUP(SUM(I104+J104),'CONCEPTOS Y PARAMETROS'!F:G,2,0)*V104,0),2)</f>
        <v>86.1</v>
      </c>
      <c r="AB104" s="1150">
        <f>IF(S104&lt;&gt;"",IF(M104="",'CONCEPTOS Y PARAMETROS'!$C$4,0),0)</f>
        <v>130</v>
      </c>
      <c r="AC104" s="1150">
        <f>IF(S104&lt;&gt;"",IF(M104="",'CONCEPTOS Y PARAMETROS'!$C$7*Z104,0),0)</f>
        <v>0</v>
      </c>
      <c r="AD104" s="1150">
        <f>IFERROR(ROUND(VLOOKUP($X104,'CONCEPTOS Y PARAMETROS'!H:I,2,0)*($V104+AA104+AB104+AC104),2),0)</f>
        <v>125.78</v>
      </c>
      <c r="AE104" s="1150">
        <f t="shared" si="102"/>
        <v>341.88</v>
      </c>
      <c r="AF104" s="1150">
        <f t="shared" si="103"/>
        <v>43.05</v>
      </c>
      <c r="AG104" s="1150">
        <f t="shared" si="104"/>
        <v>43.05</v>
      </c>
      <c r="AH104" s="1150">
        <f t="shared" si="105"/>
        <v>65</v>
      </c>
      <c r="AI104" s="1150">
        <f t="shared" si="106"/>
        <v>65</v>
      </c>
      <c r="AJ104" s="1150">
        <f t="shared" si="107"/>
        <v>62.89</v>
      </c>
      <c r="AK104" s="1150">
        <f t="shared" si="108"/>
        <v>62.89</v>
      </c>
      <c r="AL104" s="1151">
        <f t="shared" si="109"/>
        <v>170.94</v>
      </c>
      <c r="AM104" s="1151">
        <f t="shared" si="110"/>
        <v>170.94</v>
      </c>
      <c r="AN104" s="1028">
        <v>0</v>
      </c>
      <c r="AO104" s="1193">
        <f>'CONCEPTOS Y PARAMETROS'!$C$18*AN104</f>
        <v>0</v>
      </c>
      <c r="AP104" s="1028">
        <v>0</v>
      </c>
      <c r="AQ104" s="1193">
        <f>'CONCEPTOS Y PARAMETROS'!$C$21*AP104</f>
        <v>0</v>
      </c>
      <c r="AR104" s="1394">
        <v>0</v>
      </c>
      <c r="AS104" s="1394">
        <v>0</v>
      </c>
      <c r="AT104" s="1394">
        <f t="shared" si="197"/>
        <v>0</v>
      </c>
      <c r="AU104" s="1151">
        <f t="shared" si="112"/>
        <v>628.88</v>
      </c>
      <c r="AV104" s="1178">
        <v>0</v>
      </c>
      <c r="AW104" s="1151">
        <f t="shared" si="198"/>
        <v>0</v>
      </c>
      <c r="AX104" s="1150">
        <f>IF(T104&lt;&gt;"0",(ROUND(IF(A104="EMPLEADO",eval_formula('CONCEPTOS Y PARAMETROS'!$C$8,NOMINA!V104,NOMINA!$AU104,NOMINA!I104+NOMINA!J104),eval_formula('CONCEPTOS Y PARAMETROS'!$D$8,NOMINA!V104,NOMINA!$AU104,NOMINA!I104+NOMINA!J104)),2))*IF(H104&lt;&gt;"",IF(MONTH(H104)=$BR$8,IF(YEAR(H104)&lt;$BT$7,1,0),0)))</f>
        <v>5031.04</v>
      </c>
      <c r="AY104" s="1151">
        <v>180</v>
      </c>
      <c r="AZ104" s="1150">
        <f>IFERROR(VLOOKUP(AY104,'CONCEPTOS Y PARAMETROS'!Y:Z,2,0),0)</f>
        <v>150</v>
      </c>
      <c r="BA104" s="1150">
        <f t="shared" si="114"/>
        <v>4716.6000000000004</v>
      </c>
      <c r="BB104" s="1150">
        <f t="shared" si="145"/>
        <v>0</v>
      </c>
      <c r="BC104" s="1028">
        <v>0</v>
      </c>
      <c r="BD104" s="1150" t="str">
        <f t="shared" si="115"/>
        <v>0</v>
      </c>
      <c r="BE104" s="1028">
        <v>0</v>
      </c>
      <c r="BF104" s="1150">
        <f>ROUND(IF(BE104&gt;0,(((V104+AA104+AB104+AC104+AD104+AW104)/30)*50%+((V104+AA104+AB104+AC104+AD104+AW104)/30))*BE104,"0"),2)</f>
        <v>0</v>
      </c>
      <c r="BG104" s="1151">
        <v>300</v>
      </c>
      <c r="BH104" s="1151">
        <f t="shared" si="117"/>
        <v>0</v>
      </c>
      <c r="BI104" s="1180">
        <v>0</v>
      </c>
      <c r="BJ104" s="1180">
        <f t="shared" si="118"/>
        <v>0</v>
      </c>
      <c r="BK104" s="1151">
        <v>0</v>
      </c>
      <c r="BL104" s="1150">
        <f t="shared" si="170"/>
        <v>23.22</v>
      </c>
      <c r="BM104" s="1150">
        <f t="shared" si="171"/>
        <v>2.9</v>
      </c>
      <c r="BN104" s="1150">
        <f t="shared" si="119"/>
        <v>6.29</v>
      </c>
      <c r="BO104" s="1150">
        <v>0</v>
      </c>
      <c r="BP104" s="1150">
        <v>0</v>
      </c>
      <c r="BQ104" s="1396">
        <f t="shared" si="120"/>
        <v>32.409999999999997</v>
      </c>
      <c r="BR104" s="1150">
        <f t="shared" si="172"/>
        <v>52.25</v>
      </c>
      <c r="BS104" s="1150">
        <f t="shared" si="173"/>
        <v>11.61</v>
      </c>
      <c r="BT104" s="1150">
        <f t="shared" si="121"/>
        <v>12.58</v>
      </c>
      <c r="BU104" s="1150">
        <v>0</v>
      </c>
      <c r="BV104" s="1151">
        <f t="shared" si="122"/>
        <v>76.44</v>
      </c>
      <c r="BW104" s="1155">
        <f t="shared" si="123"/>
        <v>108.85</v>
      </c>
      <c r="BX104" s="1155">
        <f t="shared" si="239"/>
        <v>1179.1500000000001</v>
      </c>
      <c r="BY104" s="1151">
        <v>0</v>
      </c>
      <c r="BZ104" s="1151">
        <f t="shared" si="125"/>
        <v>1179.1500000000001</v>
      </c>
      <c r="CA104" s="1397">
        <f>'CONCEPTOS Y PARAMETROS'!$A$102</f>
        <v>2120</v>
      </c>
      <c r="CB104" s="1155">
        <f t="shared" si="126"/>
        <v>282.02999999999997</v>
      </c>
      <c r="CC104" s="1156">
        <f t="shared" si="127"/>
        <v>5645.48</v>
      </c>
      <c r="CD104" s="514"/>
      <c r="CE104" s="514"/>
      <c r="CF104" s="520"/>
      <c r="CG104" s="497">
        <f t="shared" si="128"/>
        <v>282.02999999999997</v>
      </c>
      <c r="CH104" s="1711">
        <f t="shared" si="129"/>
        <v>300</v>
      </c>
      <c r="CI104" s="497">
        <f t="shared" si="130"/>
        <v>614.44000000000005</v>
      </c>
      <c r="CJ104" s="497">
        <f t="shared" si="131"/>
        <v>294.93</v>
      </c>
      <c r="CK104" s="497">
        <f t="shared" si="132"/>
        <v>319.51000000000005</v>
      </c>
      <c r="CL104" s="497">
        <f t="shared" si="133"/>
        <v>0</v>
      </c>
      <c r="CM104" s="497">
        <f t="shared" si="134"/>
        <v>0</v>
      </c>
      <c r="CN104" s="498">
        <f t="shared" si="135"/>
        <v>0</v>
      </c>
      <c r="CO104" s="499">
        <v>0</v>
      </c>
      <c r="CP104" s="498">
        <f t="shared" si="136"/>
        <v>0</v>
      </c>
      <c r="CQ104" s="500">
        <f t="shared" si="137"/>
        <v>0</v>
      </c>
      <c r="CR104" s="498">
        <f t="shared" si="138"/>
        <v>5031.04</v>
      </c>
      <c r="CS104" s="498">
        <f t="shared" si="139"/>
        <v>5031.04</v>
      </c>
      <c r="CT104" s="498">
        <f t="shared" si="140"/>
        <v>108.85</v>
      </c>
      <c r="CU104" s="498">
        <f t="shared" si="141"/>
        <v>2120</v>
      </c>
      <c r="CV104" s="1554"/>
      <c r="CW104" s="1195" t="s">
        <v>7007</v>
      </c>
      <c r="CX104" s="1195" t="s">
        <v>6968</v>
      </c>
      <c r="CY104" s="472"/>
      <c r="CZ104" s="514" t="s">
        <v>6409</v>
      </c>
      <c r="DA104" s="514" t="s">
        <v>6196</v>
      </c>
      <c r="DB104" s="514" t="s">
        <v>6655</v>
      </c>
      <c r="DC104" s="514" t="s">
        <v>6656</v>
      </c>
      <c r="DD104" s="472"/>
      <c r="DE104" s="472"/>
      <c r="DF104" s="472"/>
      <c r="DG104" s="472"/>
      <c r="DH104" s="472"/>
      <c r="DJ104" s="473" t="str">
        <f>VLOOKUP(X104,Hoja1!$A$4:$B$10,2,0)</f>
        <v>PROFESIONAL</v>
      </c>
      <c r="DK104" s="473" t="str">
        <f>VLOOKUP(S104,Hoja1!$D$4:$F$77,3,0)</f>
        <v>PII - VII</v>
      </c>
      <c r="DL104" s="1216" t="str">
        <f t="shared" si="142"/>
        <v>0</v>
      </c>
      <c r="DM104" s="1741" t="str">
        <f t="shared" si="143"/>
        <v>M</v>
      </c>
      <c r="DN104" s="1741"/>
    </row>
    <row r="105" spans="1:118" s="1654" customFormat="1" ht="21.95" customHeight="1">
      <c r="A105" s="1624" t="s">
        <v>2846</v>
      </c>
      <c r="B105" s="1625">
        <f t="shared" ca="1" si="144"/>
        <v>63</v>
      </c>
      <c r="C105" s="1626">
        <v>11734553</v>
      </c>
      <c r="D105" s="1627" t="s">
        <v>7425</v>
      </c>
      <c r="E105" s="1628" t="s">
        <v>4622</v>
      </c>
      <c r="F105" s="1629">
        <v>27677</v>
      </c>
      <c r="G105" s="1628" t="s">
        <v>4620</v>
      </c>
      <c r="H105" s="1629">
        <v>43206</v>
      </c>
      <c r="I105" s="1630">
        <f t="shared" si="98"/>
        <v>6</v>
      </c>
      <c r="J105" s="1631">
        <v>0</v>
      </c>
      <c r="K105" s="1630">
        <f t="shared" si="99"/>
        <v>6</v>
      </c>
      <c r="L105" s="1632" t="s">
        <v>5540</v>
      </c>
      <c r="M105" s="1631"/>
      <c r="N105" s="1631"/>
      <c r="O105" s="1633" t="s">
        <v>5237</v>
      </c>
      <c r="P105" s="1631" t="s">
        <v>5326</v>
      </c>
      <c r="Q105" s="1634" t="str">
        <f>IFERROR(VLOOKUP(O105,CARGOS!A:E,2,0),"")</f>
        <v>79523</v>
      </c>
      <c r="R105" s="1635" t="s">
        <v>5237</v>
      </c>
      <c r="S105" s="1636" t="s">
        <v>5494</v>
      </c>
      <c r="T105" s="1637">
        <f>IFERROR(VLOOKUP(S105,'TAB EMP'!A:B,2,0),0)</f>
        <v>308</v>
      </c>
      <c r="U105" s="1638">
        <v>0</v>
      </c>
      <c r="V105" s="1637">
        <f t="shared" si="100"/>
        <v>308</v>
      </c>
      <c r="W105" s="1638">
        <f t="shared" si="101"/>
        <v>154</v>
      </c>
      <c r="X105" s="1628" t="s">
        <v>2887</v>
      </c>
      <c r="Y105" s="1628"/>
      <c r="Z105" s="1628">
        <v>0</v>
      </c>
      <c r="AA105" s="1637">
        <f>ROUND(IF(H105&lt;&gt;"",VLOOKUP(SUM(I105+J105),'CONCEPTOS Y PARAMETROS'!F:G,2,0)*V105,0),2)</f>
        <v>19.100000000000001</v>
      </c>
      <c r="AB105" s="1637">
        <f>IF(S105&lt;&gt;"",IF(M105="",'CONCEPTOS Y PARAMETROS'!$C$4,0),0)</f>
        <v>130</v>
      </c>
      <c r="AC105" s="1637">
        <f>IF(S105&lt;&gt;"",IF(M105="",'CONCEPTOS Y PARAMETROS'!$C$7*Z105,0),0)</f>
        <v>0</v>
      </c>
      <c r="AD105" s="1637">
        <f>IFERROR(ROUND(VLOOKUP($X105,'CONCEPTOS Y PARAMETROS'!H:I,2,0)*($V105+AA105+AB105+AC105),2),0)</f>
        <v>159.99</v>
      </c>
      <c r="AE105" s="1637">
        <f t="shared" si="102"/>
        <v>309.09000000000003</v>
      </c>
      <c r="AF105" s="1637">
        <f t="shared" si="103"/>
        <v>9.5500000000000007</v>
      </c>
      <c r="AG105" s="1637">
        <f t="shared" si="104"/>
        <v>9.5500000000000007</v>
      </c>
      <c r="AH105" s="1637">
        <f t="shared" si="105"/>
        <v>65</v>
      </c>
      <c r="AI105" s="1637">
        <f t="shared" si="106"/>
        <v>65</v>
      </c>
      <c r="AJ105" s="1637">
        <f t="shared" si="107"/>
        <v>80</v>
      </c>
      <c r="AK105" s="1637">
        <f t="shared" si="108"/>
        <v>79.989999999999995</v>
      </c>
      <c r="AL105" s="1638">
        <f t="shared" si="109"/>
        <v>154.55000000000001</v>
      </c>
      <c r="AM105" s="1638">
        <f t="shared" si="110"/>
        <v>154.54</v>
      </c>
      <c r="AN105" s="1639">
        <v>0</v>
      </c>
      <c r="AO105" s="1640">
        <f>'CONCEPTOS Y PARAMETROS'!$C$18*AN105</f>
        <v>0</v>
      </c>
      <c r="AP105" s="1639">
        <v>0</v>
      </c>
      <c r="AQ105" s="1640">
        <f>'CONCEPTOS Y PARAMETROS'!$C$21*AP105</f>
        <v>0</v>
      </c>
      <c r="AR105" s="1641">
        <v>0</v>
      </c>
      <c r="AS105" s="1641">
        <v>0</v>
      </c>
      <c r="AT105" s="1641">
        <f t="shared" si="197"/>
        <v>0</v>
      </c>
      <c r="AU105" s="1638">
        <f t="shared" si="112"/>
        <v>617.09</v>
      </c>
      <c r="AV105" s="1642">
        <v>0</v>
      </c>
      <c r="AW105" s="1638">
        <f t="shared" si="198"/>
        <v>0</v>
      </c>
      <c r="AX105" s="1637">
        <f>IF(T105&lt;&gt;"0",(ROUND(IF(A105="EMPLEADO",eval_formula('CONCEPTOS Y PARAMETROS'!$C$8,NOMINA!V105,NOMINA!$AU105,NOMINA!I105+NOMINA!J105),eval_formula('CONCEPTOS Y PARAMETROS'!$D$8,NOMINA!V105,NOMINA!$AU105,NOMINA!I105+NOMINA!J105)),2))*IF(H105&lt;&gt;"",IF(MONTH(H105)=$BR$8,IF(YEAR(H105)&lt;$BT$7,1,0),0)))</f>
        <v>0</v>
      </c>
      <c r="AY105" s="1638">
        <v>180</v>
      </c>
      <c r="AZ105" s="1637">
        <f>IFERROR(VLOOKUP(AY105,'CONCEPTOS Y PARAMETROS'!Y:Z,2,0),0)</f>
        <v>150</v>
      </c>
      <c r="BA105" s="1637">
        <f t="shared" si="114"/>
        <v>4628.18</v>
      </c>
      <c r="BB105" s="1637">
        <f t="shared" si="145"/>
        <v>0</v>
      </c>
      <c r="BC105" s="1639">
        <v>0</v>
      </c>
      <c r="BD105" s="1637" t="str">
        <f t="shared" si="115"/>
        <v>0</v>
      </c>
      <c r="BE105" s="1639">
        <v>0</v>
      </c>
      <c r="BF105" s="1637">
        <f>ROUND(IF(BE105&gt;0,(((V105+AA105+AB105+AC105+AD105+AW105)/30)*50%+((V105+AA105+AB105+AC105+AD105+AW105)/30))*BE105,"0"),2)</f>
        <v>0</v>
      </c>
      <c r="BG105" s="1638">
        <v>300</v>
      </c>
      <c r="BH105" s="1638">
        <f t="shared" si="117"/>
        <v>0</v>
      </c>
      <c r="BI105" s="1628">
        <v>0</v>
      </c>
      <c r="BJ105" s="1628">
        <f t="shared" si="118"/>
        <v>0</v>
      </c>
      <c r="BK105" s="1638">
        <v>0</v>
      </c>
      <c r="BL105" s="1637">
        <f t="shared" si="170"/>
        <v>22.78</v>
      </c>
      <c r="BM105" s="1637">
        <f t="shared" si="171"/>
        <v>2.85</v>
      </c>
      <c r="BN105" s="1637">
        <f t="shared" si="119"/>
        <v>6.17</v>
      </c>
      <c r="BO105" s="1637">
        <v>0</v>
      </c>
      <c r="BP105" s="1637">
        <v>0</v>
      </c>
      <c r="BQ105" s="1643">
        <f t="shared" si="120"/>
        <v>31.8</v>
      </c>
      <c r="BR105" s="1637">
        <f t="shared" si="172"/>
        <v>51.27</v>
      </c>
      <c r="BS105" s="1637">
        <f t="shared" si="173"/>
        <v>11.39</v>
      </c>
      <c r="BT105" s="1637">
        <f t="shared" si="121"/>
        <v>12.34</v>
      </c>
      <c r="BU105" s="1637">
        <v>0</v>
      </c>
      <c r="BV105" s="1638">
        <f t="shared" si="122"/>
        <v>75</v>
      </c>
      <c r="BW105" s="1644">
        <f t="shared" si="123"/>
        <v>106.8</v>
      </c>
      <c r="BX105" s="1644">
        <f t="shared" si="239"/>
        <v>1157.05</v>
      </c>
      <c r="BY105" s="1638">
        <v>0</v>
      </c>
      <c r="BZ105" s="1638">
        <f t="shared" si="125"/>
        <v>1157.05</v>
      </c>
      <c r="CA105" s="1645">
        <f>'CONCEPTOS Y PARAMETROS'!$A$102</f>
        <v>2120</v>
      </c>
      <c r="CB105" s="1644">
        <f t="shared" si="126"/>
        <v>276.75</v>
      </c>
      <c r="CC105" s="1646">
        <f t="shared" si="127"/>
        <v>608.54</v>
      </c>
      <c r="CD105" s="1647"/>
      <c r="CE105" s="1647"/>
      <c r="CF105" s="1648"/>
      <c r="CG105" s="1649">
        <f t="shared" si="128"/>
        <v>276.75</v>
      </c>
      <c r="CH105" s="1713">
        <f t="shared" si="129"/>
        <v>300</v>
      </c>
      <c r="CI105" s="1649">
        <f t="shared" si="130"/>
        <v>608.54</v>
      </c>
      <c r="CJ105" s="1649">
        <f t="shared" si="131"/>
        <v>292.10000000000002</v>
      </c>
      <c r="CK105" s="1649">
        <f t="shared" si="132"/>
        <v>316.43999999999994</v>
      </c>
      <c r="CL105" s="1649">
        <f t="shared" si="133"/>
        <v>0</v>
      </c>
      <c r="CM105" s="1649">
        <f t="shared" si="134"/>
        <v>0</v>
      </c>
      <c r="CN105" s="1650">
        <f t="shared" si="135"/>
        <v>0</v>
      </c>
      <c r="CO105" s="1651">
        <v>0</v>
      </c>
      <c r="CP105" s="1650">
        <f t="shared" si="136"/>
        <v>0</v>
      </c>
      <c r="CQ105" s="1652">
        <f t="shared" si="137"/>
        <v>0</v>
      </c>
      <c r="CR105" s="1650">
        <f t="shared" si="138"/>
        <v>0</v>
      </c>
      <c r="CS105" s="1650">
        <f t="shared" si="139"/>
        <v>0</v>
      </c>
      <c r="CT105" s="1650">
        <f t="shared" si="140"/>
        <v>106.8</v>
      </c>
      <c r="CU105" s="1650">
        <f t="shared" si="141"/>
        <v>2120</v>
      </c>
      <c r="CV105" s="1653"/>
      <c r="CW105" s="1627" t="s">
        <v>7203</v>
      </c>
      <c r="CX105" s="1627" t="s">
        <v>7232</v>
      </c>
      <c r="CY105" s="1647"/>
      <c r="CZ105" s="1647" t="s">
        <v>6384</v>
      </c>
      <c r="DA105" s="1647" t="s">
        <v>6188</v>
      </c>
      <c r="DB105" s="1647" t="s">
        <v>6302</v>
      </c>
      <c r="DC105" s="1647" t="s">
        <v>6271</v>
      </c>
      <c r="DD105" s="1647"/>
      <c r="DE105" s="1647"/>
      <c r="DF105" s="1647"/>
      <c r="DG105" s="1647"/>
      <c r="DH105" s="1647"/>
      <c r="DJ105" s="1654" t="str">
        <f>VLOOKUP(X105,Hoja1!$A$4:$B$10,2,0)</f>
        <v>MAGISTER</v>
      </c>
      <c r="DK105" s="1654" t="str">
        <f>VLOOKUP(S105,Hoja1!$D$4:$F$77,3,0)</f>
        <v>PIII - III</v>
      </c>
      <c r="DL105" s="1655" t="str">
        <f t="shared" si="142"/>
        <v>0</v>
      </c>
      <c r="DM105" s="1742" t="str">
        <f t="shared" si="143"/>
        <v>F</v>
      </c>
      <c r="DN105" s="1742"/>
    </row>
    <row r="106" spans="1:118" s="930" customFormat="1" ht="21.95" customHeight="1">
      <c r="A106" s="929" t="s">
        <v>2846</v>
      </c>
      <c r="B106" s="1404">
        <f ca="1">OFFSET(B106,-1,0)+1</f>
        <v>64</v>
      </c>
      <c r="C106" s="1405">
        <v>11894534</v>
      </c>
      <c r="D106" s="1406" t="s">
        <v>7410</v>
      </c>
      <c r="E106" s="1407" t="s">
        <v>4622</v>
      </c>
      <c r="F106" s="1408">
        <v>26652</v>
      </c>
      <c r="G106" s="1407" t="s">
        <v>4621</v>
      </c>
      <c r="H106" s="1408">
        <v>40909</v>
      </c>
      <c r="I106" s="1409">
        <f t="shared" si="98"/>
        <v>13</v>
      </c>
      <c r="J106" s="1410">
        <v>13</v>
      </c>
      <c r="K106" s="1409">
        <f t="shared" si="99"/>
        <v>26</v>
      </c>
      <c r="L106" s="1411" t="s">
        <v>5549</v>
      </c>
      <c r="M106" s="1410"/>
      <c r="N106" s="1410"/>
      <c r="O106" s="1412" t="s">
        <v>5495</v>
      </c>
      <c r="P106" s="1410" t="s">
        <v>5188</v>
      </c>
      <c r="Q106" s="1413" t="str">
        <f>IFERROR(VLOOKUP(O106,CARGOS!A:E,2,0),"")</f>
        <v>12130</v>
      </c>
      <c r="R106" s="1412" t="s">
        <v>5495</v>
      </c>
      <c r="S106" s="1414" t="s">
        <v>5471</v>
      </c>
      <c r="T106" s="1415">
        <v>0</v>
      </c>
      <c r="U106" s="1382">
        <v>0</v>
      </c>
      <c r="V106" s="1415">
        <f>T106-U106</f>
        <v>0</v>
      </c>
      <c r="W106" s="1382">
        <f>ROUND(V106/2,2)</f>
        <v>0</v>
      </c>
      <c r="X106" s="1407" t="s">
        <v>2885</v>
      </c>
      <c r="Y106" s="1407"/>
      <c r="Z106" s="1407">
        <v>0</v>
      </c>
      <c r="AA106" s="1415">
        <f>ROUND(IF(H106&lt;&gt;"",VLOOKUP(SUM(I106+J106),'CONCEPTOS Y PARAMETROS'!F:G,2,0)*V106,0),2)</f>
        <v>0</v>
      </c>
      <c r="AB106" s="1415">
        <v>0</v>
      </c>
      <c r="AC106" s="1415">
        <v>0</v>
      </c>
      <c r="AD106" s="1415">
        <f>IFERROR(ROUND(VLOOKUP($X106,'CONCEPTOS Y PARAMETROS'!H:I,2,0)*($V106+AA106+AB106+AC106),2),0)</f>
        <v>0</v>
      </c>
      <c r="AE106" s="1415">
        <f>SUM(AA106:AD106)</f>
        <v>0</v>
      </c>
      <c r="AF106" s="1415">
        <f>ROUND(AA106/2,2)</f>
        <v>0</v>
      </c>
      <c r="AG106" s="1415">
        <f>ROUND(AA106-AF106,2)</f>
        <v>0</v>
      </c>
      <c r="AH106" s="1415">
        <f>ROUND(AB106/2,2)</f>
        <v>0</v>
      </c>
      <c r="AI106" s="1415">
        <f>ROUND(AB106-AH106,2)</f>
        <v>0</v>
      </c>
      <c r="AJ106" s="1415">
        <f>ROUND(AD106/2,2)</f>
        <v>0</v>
      </c>
      <c r="AK106" s="1415">
        <f>ROUND(AD106-AJ106,2)</f>
        <v>0</v>
      </c>
      <c r="AL106" s="1382">
        <f>ROUND(AF106+AH106+AJ106+AC106,2)</f>
        <v>0</v>
      </c>
      <c r="AM106" s="1382">
        <f>ROUND(AG106+AI106+AK106,2)</f>
        <v>0</v>
      </c>
      <c r="AN106" s="1416">
        <v>0</v>
      </c>
      <c r="AO106" s="1417">
        <v>0</v>
      </c>
      <c r="AP106" s="1416">
        <v>0</v>
      </c>
      <c r="AQ106" s="1417">
        <f>'CONCEPTOS Y PARAMETROS'!$C$21*AP106</f>
        <v>0</v>
      </c>
      <c r="AR106" s="1418">
        <v>0</v>
      </c>
      <c r="AS106" s="1418">
        <v>0</v>
      </c>
      <c r="AT106" s="1418">
        <f>+AO106+AQ106+AR106+AS106</f>
        <v>0</v>
      </c>
      <c r="AU106" s="1382">
        <f>V106+AE106+AW106</f>
        <v>0</v>
      </c>
      <c r="AV106" s="1419">
        <v>0</v>
      </c>
      <c r="AW106" s="1382">
        <f>ROUND(IF(O106="VIGILANTE",(V106+AE106)*30%,0),2)</f>
        <v>0</v>
      </c>
      <c r="AX106" s="1415">
        <f>IF(T106&lt;&gt;"0",(ROUND(IF(A106="EMPLEADO",eval_formula('CONCEPTOS Y PARAMETROS'!$C$8,NOMINA!V106,NOMINA!$AU106,NOMINA!I106+NOMINA!J106),eval_formula('CONCEPTOS Y PARAMETROS'!$D$8,NOMINA!V106,NOMINA!$AU106,NOMINA!I106+NOMINA!J106)),2))*IF(H106&lt;&gt;"",IF(MONTH(H106)=$BR$8,IF(YEAR(H106)&lt;$BT$7,1,0),0)))</f>
        <v>0</v>
      </c>
      <c r="AY106" s="1382">
        <v>180</v>
      </c>
      <c r="AZ106" s="1415">
        <f>IFERROR(VLOOKUP(AY106,'CONCEPTOS Y PARAMETROS'!Y:Z,2,0),0)</f>
        <v>150</v>
      </c>
      <c r="BA106" s="1415">
        <f>ROUND((((AU106))/30*AY106/12+(AU106))/30*AZ106,2)</f>
        <v>0</v>
      </c>
      <c r="BB106" s="1415">
        <f t="shared" si="145"/>
        <v>0</v>
      </c>
      <c r="BC106" s="1416">
        <v>0</v>
      </c>
      <c r="BD106" s="1415" t="str">
        <f>IF(BC106&gt;0,((((((V106+AA106+AB106+AC106+AD106)/30)/8)*50%)+((((V106+AA106+AB106+AC106+AD106)/30)/8)))*30%+(((((V106+AA106+AB106+AC106+AD106)/30)/8)*50%)+((((V106+AA106+AB106+AC106+AD106)/30)/8))))*BC106,"0")</f>
        <v>0</v>
      </c>
      <c r="BE106" s="1416">
        <v>0</v>
      </c>
      <c r="BF106" s="1415">
        <f>ROUND(IF(BE106&gt;0,(((V106+AA106+AB106+AC106+AD106)/30)*50%+((V106+AA106+AB106+AC106+AD106)/30))*BE106,"0"),2)</f>
        <v>0</v>
      </c>
      <c r="BG106" s="1382">
        <v>0</v>
      </c>
      <c r="BH106" s="1382">
        <f t="shared" si="117"/>
        <v>0</v>
      </c>
      <c r="BI106" s="1382">
        <v>0</v>
      </c>
      <c r="BJ106" s="1382">
        <f t="shared" si="118"/>
        <v>0</v>
      </c>
      <c r="BK106" s="1382">
        <v>0</v>
      </c>
      <c r="BL106" s="1415">
        <f t="shared" si="170"/>
        <v>0</v>
      </c>
      <c r="BM106" s="1415">
        <f t="shared" si="171"/>
        <v>0</v>
      </c>
      <c r="BN106" s="1415">
        <f t="shared" si="119"/>
        <v>0</v>
      </c>
      <c r="BO106" s="1415">
        <v>0</v>
      </c>
      <c r="BP106" s="1415">
        <v>0</v>
      </c>
      <c r="BQ106" s="1420">
        <f>ROUND(SUM(BL106:BP106),2)</f>
        <v>0</v>
      </c>
      <c r="BR106" s="1415">
        <f t="shared" si="172"/>
        <v>0</v>
      </c>
      <c r="BS106" s="1415">
        <f t="shared" si="173"/>
        <v>0</v>
      </c>
      <c r="BT106" s="1415">
        <f t="shared" si="121"/>
        <v>0</v>
      </c>
      <c r="BU106" s="1415">
        <v>0</v>
      </c>
      <c r="BV106" s="1382">
        <f>ROUND(SUM(BR106:BT106),2)</f>
        <v>0</v>
      </c>
      <c r="BW106" s="1379">
        <f>BQ106+BV106</f>
        <v>0</v>
      </c>
      <c r="BX106" s="1379">
        <f t="shared" si="239"/>
        <v>0</v>
      </c>
      <c r="BY106" s="1382">
        <v>0</v>
      </c>
      <c r="BZ106" s="1382">
        <f t="shared" si="125"/>
        <v>0</v>
      </c>
      <c r="CA106" s="1421">
        <v>0</v>
      </c>
      <c r="CB106" s="1379">
        <f t="shared" si="126"/>
        <v>0</v>
      </c>
      <c r="CC106" s="1422">
        <f t="shared" si="127"/>
        <v>0</v>
      </c>
      <c r="CD106" s="514"/>
      <c r="CE106" s="514"/>
      <c r="CF106" s="935"/>
      <c r="CG106" s="931">
        <f t="shared" si="128"/>
        <v>0</v>
      </c>
      <c r="CH106" s="1714">
        <f t="shared" si="129"/>
        <v>0</v>
      </c>
      <c r="CI106" s="931">
        <f t="shared" si="130"/>
        <v>0</v>
      </c>
      <c r="CJ106" s="931">
        <f t="shared" si="131"/>
        <v>0</v>
      </c>
      <c r="CK106" s="931">
        <f t="shared" si="132"/>
        <v>0</v>
      </c>
      <c r="CL106" s="931">
        <f t="shared" si="133"/>
        <v>0</v>
      </c>
      <c r="CM106" s="931">
        <f t="shared" si="134"/>
        <v>0</v>
      </c>
      <c r="CN106" s="932">
        <f t="shared" si="135"/>
        <v>0</v>
      </c>
      <c r="CO106" s="933">
        <v>0</v>
      </c>
      <c r="CP106" s="932">
        <f t="shared" si="136"/>
        <v>0</v>
      </c>
      <c r="CQ106" s="934">
        <f t="shared" si="137"/>
        <v>0</v>
      </c>
      <c r="CR106" s="932">
        <f t="shared" si="138"/>
        <v>0</v>
      </c>
      <c r="CS106" s="932">
        <f t="shared" si="139"/>
        <v>0</v>
      </c>
      <c r="CT106" s="932">
        <f t="shared" si="140"/>
        <v>0</v>
      </c>
      <c r="CU106" s="932">
        <f t="shared" si="141"/>
        <v>0</v>
      </c>
      <c r="CV106" s="1557"/>
      <c r="CW106" s="1406" t="s">
        <v>6929</v>
      </c>
      <c r="CX106" s="1406" t="s">
        <v>6930</v>
      </c>
      <c r="CY106" s="935"/>
      <c r="CZ106" s="514" t="s">
        <v>6168</v>
      </c>
      <c r="DA106" s="478"/>
      <c r="DB106" s="478"/>
      <c r="DC106" s="478"/>
      <c r="DE106" s="935"/>
      <c r="DF106" s="935"/>
      <c r="DG106" s="935"/>
      <c r="DH106" s="935"/>
      <c r="DJ106" s="930" t="str">
        <f>VLOOKUP(X106,Hoja1!$A$4:$B$10,2,0)</f>
        <v>PROFESIONAL</v>
      </c>
      <c r="DK106" s="930" t="str">
        <f>VLOOKUP(S106,Hoja1!$D$4:$F$77,3,0)</f>
        <v>PII - VII</v>
      </c>
      <c r="DL106" s="1217" t="str">
        <f t="shared" si="142"/>
        <v>0</v>
      </c>
      <c r="DM106" s="1745" t="str">
        <f t="shared" si="143"/>
        <v>M</v>
      </c>
      <c r="DN106" s="1745"/>
    </row>
    <row r="107" spans="1:118" s="930" customFormat="1" ht="21.95" customHeight="1">
      <c r="A107" s="929" t="s">
        <v>2846</v>
      </c>
      <c r="B107" s="1404">
        <f ca="1">OFFSET(B107,-1,0)+1</f>
        <v>65</v>
      </c>
      <c r="C107" s="1405">
        <v>11895772</v>
      </c>
      <c r="D107" s="1627" t="s">
        <v>4677</v>
      </c>
      <c r="E107" s="1407" t="s">
        <v>4622</v>
      </c>
      <c r="F107" s="1408">
        <v>26733</v>
      </c>
      <c r="G107" s="1407" t="s">
        <v>4621</v>
      </c>
      <c r="H107" s="1408">
        <v>44743</v>
      </c>
      <c r="I107" s="1409">
        <f t="shared" ref="I107:I170" si="259">IF(AND(YEAR(H107)&lt;YEAR($H$10),MONTH(H107)&gt;$BR$8),YEAR($H$10)-YEAR(H107)-1,IF(OR(H107="",YEAR(H107)&gt;YEAR($H$10)),0,YEAR($H$10)-YEAR(H107)))</f>
        <v>2</v>
      </c>
      <c r="J107" s="1410">
        <v>0</v>
      </c>
      <c r="K107" s="1409">
        <f t="shared" ref="K107:K170" si="260">I107+J107</f>
        <v>2</v>
      </c>
      <c r="L107" s="1411" t="s">
        <v>5547</v>
      </c>
      <c r="M107" s="1410"/>
      <c r="N107" s="1410"/>
      <c r="O107" s="1424" t="s">
        <v>5270</v>
      </c>
      <c r="P107" s="1410" t="s">
        <v>5198</v>
      </c>
      <c r="Q107" s="1413" t="str">
        <f>IFERROR(VLOOKUP(O107,CARGOS!A:E,2,0),"")</f>
        <v>34232</v>
      </c>
      <c r="R107" s="1424" t="s">
        <v>5270</v>
      </c>
      <c r="S107" s="1414" t="s">
        <v>5475</v>
      </c>
      <c r="T107" s="1399">
        <v>0</v>
      </c>
      <c r="U107" s="1382">
        <v>0</v>
      </c>
      <c r="V107" s="1415">
        <f>T107-U107</f>
        <v>0</v>
      </c>
      <c r="W107" s="1382">
        <f>ROUND(V107/2,2)</f>
        <v>0</v>
      </c>
      <c r="X107" s="1407" t="s">
        <v>2844</v>
      </c>
      <c r="Y107" s="1407"/>
      <c r="Z107" s="1407">
        <v>0</v>
      </c>
      <c r="AA107" s="1415">
        <f>ROUND(IF(H107&lt;&gt;"",VLOOKUP(SUM(I107+J107),'CONCEPTOS Y PARAMETROS'!F:G,2,0)*V107,0),2)</f>
        <v>0</v>
      </c>
      <c r="AB107" s="1415">
        <v>0</v>
      </c>
      <c r="AC107" s="1415">
        <f>IF(S107&lt;&gt;"",IF(M107="",'CONCEPTOS Y PARAMETROS'!$C$7*Z107,0),0)</f>
        <v>0</v>
      </c>
      <c r="AD107" s="1415">
        <f>IFERROR(ROUND(VLOOKUP($X107,'CONCEPTOS Y PARAMETROS'!H:I,2,0)*($V107+AA107+AB107+AC107),2),0)</f>
        <v>0</v>
      </c>
      <c r="AE107" s="1415">
        <f>SUM(AA107:AD107)</f>
        <v>0</v>
      </c>
      <c r="AF107" s="1415">
        <f>ROUND(AA107/2,2)</f>
        <v>0</v>
      </c>
      <c r="AG107" s="1415">
        <f>ROUND(AA107-AF107,2)</f>
        <v>0</v>
      </c>
      <c r="AH107" s="1415">
        <f>ROUND(AB107/2,2)</f>
        <v>0</v>
      </c>
      <c r="AI107" s="1415">
        <f>ROUND(AB107-AH107,2)</f>
        <v>0</v>
      </c>
      <c r="AJ107" s="1415">
        <f>ROUND(AD107/2,2)</f>
        <v>0</v>
      </c>
      <c r="AK107" s="1415">
        <f>ROUND(AD107-AJ107,2)</f>
        <v>0</v>
      </c>
      <c r="AL107" s="1382">
        <f>ROUND(AF107+AH107+AJ107+AC107,2)</f>
        <v>0</v>
      </c>
      <c r="AM107" s="1382">
        <f>ROUND(AG107+AI107+AK107,2)</f>
        <v>0</v>
      </c>
      <c r="AN107" s="1416">
        <v>0</v>
      </c>
      <c r="AO107" s="1417">
        <f>'CONCEPTOS Y PARAMETROS'!$C$18*AN107</f>
        <v>0</v>
      </c>
      <c r="AP107" s="1416">
        <v>0</v>
      </c>
      <c r="AQ107" s="1417">
        <f>'CONCEPTOS Y PARAMETROS'!$C$21*AP107</f>
        <v>0</v>
      </c>
      <c r="AR107" s="1418">
        <v>0</v>
      </c>
      <c r="AS107" s="1418">
        <v>0</v>
      </c>
      <c r="AT107" s="1418">
        <f>+AO107+AQ107+AR107+AS107</f>
        <v>0</v>
      </c>
      <c r="AU107" s="1382">
        <f>V107+AE107+AW107</f>
        <v>0</v>
      </c>
      <c r="AV107" s="1419">
        <v>0</v>
      </c>
      <c r="AW107" s="1382">
        <f>ROUND(IF(O107="VIGILANTE",(V107+AE107)*30%,0),2)</f>
        <v>0</v>
      </c>
      <c r="AX107" s="1415">
        <f>IF(T107&lt;&gt;"0",(ROUND(IF(A107="EMPLEADO",eval_formula('CONCEPTOS Y PARAMETROS'!$C$8,NOMINA!V107,NOMINA!$AU107,NOMINA!I107+NOMINA!J107),eval_formula('CONCEPTOS Y PARAMETROS'!$D$8,NOMINA!V107,NOMINA!$AU107,NOMINA!I107+NOMINA!J107)),2))*IF(H107&lt;&gt;"",IF(MONTH(H107)=$BR$8,IF(YEAR(H107)&lt;$BT$7,1,0),0)))</f>
        <v>0</v>
      </c>
      <c r="AY107" s="1382">
        <v>180</v>
      </c>
      <c r="AZ107" s="1415">
        <f>IFERROR(VLOOKUP(AY107,'CONCEPTOS Y PARAMETROS'!Y:Z,2,0),0)</f>
        <v>150</v>
      </c>
      <c r="BA107" s="1415">
        <f>ROUND((((AU107))/30*AY107/12+(AU107))/30*AZ107,2)</f>
        <v>0</v>
      </c>
      <c r="BB107" s="1415">
        <f t="shared" si="145"/>
        <v>0</v>
      </c>
      <c r="BC107" s="1416">
        <v>0</v>
      </c>
      <c r="BD107" s="1415" t="str">
        <f>IF(BC107&gt;0,((((((V107+AA107+AB107+AC107+AD107)/30)/8)*50%)+((((V107+AA107+AB107+AC107+AD107)/30)/8)))*30%+(((((V107+AA107+AB107+AC107+AD107)/30)/8)*50%)+((((V107+AA107+AB107+AC107+AD107)/30)/8))))*BC107,"0")</f>
        <v>0</v>
      </c>
      <c r="BE107" s="1416">
        <v>0</v>
      </c>
      <c r="BF107" s="1415">
        <f>ROUND(IF(BE107&gt;0,(((V107+AA107+AB107+AC107+AD107)/30)*50%+((V107+AA107+AB107+AC107+AD107)/30))*BE107,"0"),2)</f>
        <v>0</v>
      </c>
      <c r="BG107" s="1382">
        <v>0</v>
      </c>
      <c r="BH107" s="1382">
        <f t="shared" ref="BH107:BH170" si="261">+IF(AND(Z107&gt;0,G107="M"),12.5,0)*0</f>
        <v>0</v>
      </c>
      <c r="BI107" s="1382">
        <v>0</v>
      </c>
      <c r="BJ107" s="1382">
        <f t="shared" ref="BJ107:BJ167" si="262">+IF(BI107&lt;&gt;0,(BI107*12.5),0)</f>
        <v>0</v>
      </c>
      <c r="BK107" s="1382">
        <v>0</v>
      </c>
      <c r="BL107" s="1415">
        <f t="shared" si="170"/>
        <v>0</v>
      </c>
      <c r="BM107" s="1415">
        <f t="shared" si="171"/>
        <v>0</v>
      </c>
      <c r="BN107" s="1415">
        <f t="shared" ref="BN107:BN169" si="263">ROUND(IF(M107="",(AU107*1%),0),2)</f>
        <v>0</v>
      </c>
      <c r="BO107" s="1415">
        <v>0</v>
      </c>
      <c r="BP107" s="1415">
        <v>0</v>
      </c>
      <c r="BQ107" s="1420">
        <f>ROUND(SUM(BL107:BP107),2)</f>
        <v>0</v>
      </c>
      <c r="BR107" s="1415">
        <f t="shared" si="172"/>
        <v>0</v>
      </c>
      <c r="BS107" s="1415">
        <f t="shared" si="173"/>
        <v>0</v>
      </c>
      <c r="BT107" s="1415">
        <f t="shared" ref="BT107:BT170" si="264">ROUND(IF(M107="",(BN107*2),0),2)</f>
        <v>0</v>
      </c>
      <c r="BU107" s="1415">
        <v>0</v>
      </c>
      <c r="BV107" s="1382">
        <f>ROUND(SUM(BR107:BT107),2)</f>
        <v>0</v>
      </c>
      <c r="BW107" s="1379">
        <f>BQ107+BV107</f>
        <v>0</v>
      </c>
      <c r="BX107" s="1379">
        <f t="shared" si="239"/>
        <v>0</v>
      </c>
      <c r="BY107" s="1382">
        <v>0</v>
      </c>
      <c r="BZ107" s="1382">
        <f t="shared" ref="BZ107:BZ166" si="265">+BX107+BY107</f>
        <v>0</v>
      </c>
      <c r="CA107" s="1421">
        <v>0</v>
      </c>
      <c r="CB107" s="1379">
        <f t="shared" ref="CB107:CB170" si="266">W107+AL107-BQ107</f>
        <v>0</v>
      </c>
      <c r="CC107" s="1422">
        <f t="shared" ref="CC107:CC170" si="267">ROUND((W107+AM107+AT107+AW107+AX107+BB107+BD107+BF107+BJ107+BK107+BG107),2)</f>
        <v>0</v>
      </c>
      <c r="CD107" s="514"/>
      <c r="CE107" s="514"/>
      <c r="CG107" s="931">
        <f t="shared" ref="CG107:CG170" si="268">W107+AL107-BQ107</f>
        <v>0</v>
      </c>
      <c r="CH107" s="1714">
        <f t="shared" ref="CH107:CH170" si="269">BG107</f>
        <v>0</v>
      </c>
      <c r="CI107" s="931">
        <f t="shared" ref="CI107:CI170" si="270">W107+AM107+BG107</f>
        <v>0</v>
      </c>
      <c r="CJ107" s="931">
        <f t="shared" ref="CJ107:CJ170" si="271">ROUND(IF(CI107&gt;560,CI107*48%,CI107),2)</f>
        <v>0</v>
      </c>
      <c r="CK107" s="931">
        <f t="shared" ref="CK107:CK170" si="272">+CI107-CJ107</f>
        <v>0</v>
      </c>
      <c r="CL107" s="931">
        <f t="shared" ref="CL107:CL170" si="273">+BJ107</f>
        <v>0</v>
      </c>
      <c r="CM107" s="931">
        <f t="shared" ref="CM107:CM170" si="274">+BK107</f>
        <v>0</v>
      </c>
      <c r="CN107" s="932">
        <f t="shared" ref="CN107:CN170" si="275">BF107+BB107</f>
        <v>0</v>
      </c>
      <c r="CO107" s="933">
        <v>0</v>
      </c>
      <c r="CP107" s="932">
        <f t="shared" ref="CP107:CP170" si="276">AW107</f>
        <v>0</v>
      </c>
      <c r="CQ107" s="934">
        <f t="shared" ref="CQ107:CQ170" si="277">AT107+CL107+CM107</f>
        <v>0</v>
      </c>
      <c r="CR107" s="932">
        <f t="shared" ref="CR107:CR170" si="278">AX107</f>
        <v>0</v>
      </c>
      <c r="CS107" s="932">
        <f t="shared" ref="CS107:CS170" si="279">SUM(CL107:CR107)</f>
        <v>0</v>
      </c>
      <c r="CT107" s="932">
        <f t="shared" ref="CT107:CT170" si="280">BQ107+BV107</f>
        <v>0</v>
      </c>
      <c r="CU107" s="932">
        <f t="shared" ref="CU107:CU170" si="281">CA107</f>
        <v>0</v>
      </c>
      <c r="CV107" s="1557"/>
      <c r="CW107" s="1406" t="s">
        <v>6938</v>
      </c>
      <c r="CX107" s="1406" t="s">
        <v>6939</v>
      </c>
      <c r="CY107" s="935"/>
      <c r="CZ107" s="514" t="s">
        <v>6187</v>
      </c>
      <c r="DA107" s="478"/>
      <c r="DB107" s="478"/>
      <c r="DC107" s="478"/>
      <c r="DE107" s="472"/>
      <c r="DF107" s="935"/>
      <c r="DG107" s="935"/>
      <c r="DH107" s="935"/>
      <c r="DJ107" s="930" t="str">
        <f>VLOOKUP(X107,Hoja1!$A$4:$B$10,2,0)</f>
        <v>TÉCNICO SUPERIOR UNIVERSITARIO</v>
      </c>
      <c r="DK107" s="930" t="str">
        <f>VLOOKUP(S107,Hoja1!$D$4:$F$77,3,0)</f>
        <v>TI</v>
      </c>
      <c r="DL107" s="1217" t="str">
        <f t="shared" ref="DL107:DL170" si="282">IF(AV107="NOCTURN","SI","0")</f>
        <v>0</v>
      </c>
      <c r="DM107" s="1745" t="str">
        <f t="shared" ref="DM107:DM170" si="283">+G107</f>
        <v>M</v>
      </c>
      <c r="DN107" s="1745"/>
    </row>
    <row r="108" spans="1:118" s="1215" customFormat="1" ht="21.95" customHeight="1">
      <c r="A108" s="1207" t="s">
        <v>2846</v>
      </c>
      <c r="B108" s="1425">
        <f ca="1">OFFSET(B108,-1,0)+1</f>
        <v>66</v>
      </c>
      <c r="C108" s="1426">
        <v>11896941</v>
      </c>
      <c r="D108" s="1427" t="s">
        <v>4749</v>
      </c>
      <c r="E108" s="1428" t="s">
        <v>4622</v>
      </c>
      <c r="F108" s="1429">
        <v>27190</v>
      </c>
      <c r="G108" s="1428" t="s">
        <v>4620</v>
      </c>
      <c r="H108" s="1429">
        <v>38698</v>
      </c>
      <c r="I108" s="1430">
        <f t="shared" si="259"/>
        <v>19</v>
      </c>
      <c r="J108" s="1431">
        <v>0</v>
      </c>
      <c r="K108" s="1430">
        <f t="shared" si="260"/>
        <v>19</v>
      </c>
      <c r="L108" s="1432" t="s">
        <v>5541</v>
      </c>
      <c r="M108" s="1431"/>
      <c r="N108" s="1431"/>
      <c r="O108" s="1433" t="s">
        <v>5225</v>
      </c>
      <c r="P108" s="1431" t="s">
        <v>5327</v>
      </c>
      <c r="Q108" s="1434" t="str">
        <f>IFERROR(VLOOKUP(O108,CARGOS!A:E,2,0),"")</f>
        <v>13413</v>
      </c>
      <c r="R108" s="1435" t="s">
        <v>5225</v>
      </c>
      <c r="S108" s="1436" t="s">
        <v>5471</v>
      </c>
      <c r="T108" s="1437">
        <f>IFERROR(VLOOKUP(S108,'TAB EMP'!A:B,2,0),0)*0</f>
        <v>0</v>
      </c>
      <c r="U108" s="1383">
        <v>0</v>
      </c>
      <c r="V108" s="1437">
        <f t="shared" si="100"/>
        <v>0</v>
      </c>
      <c r="W108" s="1383">
        <f t="shared" si="101"/>
        <v>0</v>
      </c>
      <c r="X108" s="1428" t="s">
        <v>2885</v>
      </c>
      <c r="Y108" s="1428"/>
      <c r="Z108" s="1428">
        <v>0</v>
      </c>
      <c r="AA108" s="1437">
        <f>ROUND(IF(H108&lt;&gt;"",VLOOKUP(SUM(I108+J108),'CONCEPTOS Y PARAMETROS'!F:G,2,0)*V108,0),2)</f>
        <v>0</v>
      </c>
      <c r="AB108" s="1437">
        <f>IF(S108&lt;&gt;"",IF(M108="",'CONCEPTOS Y PARAMETROS'!$C$4,0),0)*0</f>
        <v>0</v>
      </c>
      <c r="AC108" s="1437">
        <f>IF(S108&lt;&gt;"",IF(M108="",'CONCEPTOS Y PARAMETROS'!$C$7*Z108,0),0)</f>
        <v>0</v>
      </c>
      <c r="AD108" s="1437">
        <f>IFERROR(ROUND(VLOOKUP($X108,'CONCEPTOS Y PARAMETROS'!H:I,2,0)*($V108+AA108+AB108+AC108),2),0)</f>
        <v>0</v>
      </c>
      <c r="AE108" s="1437">
        <f t="shared" si="102"/>
        <v>0</v>
      </c>
      <c r="AF108" s="1437">
        <f t="shared" si="103"/>
        <v>0</v>
      </c>
      <c r="AG108" s="1437">
        <f t="shared" si="104"/>
        <v>0</v>
      </c>
      <c r="AH108" s="1437">
        <f t="shared" si="105"/>
        <v>0</v>
      </c>
      <c r="AI108" s="1437">
        <f t="shared" si="106"/>
        <v>0</v>
      </c>
      <c r="AJ108" s="1437">
        <f t="shared" si="107"/>
        <v>0</v>
      </c>
      <c r="AK108" s="1437">
        <f t="shared" si="108"/>
        <v>0</v>
      </c>
      <c r="AL108" s="1383">
        <f t="shared" si="109"/>
        <v>0</v>
      </c>
      <c r="AM108" s="1383">
        <f t="shared" si="110"/>
        <v>0</v>
      </c>
      <c r="AN108" s="1438">
        <v>0</v>
      </c>
      <c r="AO108" s="1439">
        <f>'CONCEPTOS Y PARAMETROS'!$C$18*AN108</f>
        <v>0</v>
      </c>
      <c r="AP108" s="1438">
        <v>0</v>
      </c>
      <c r="AQ108" s="1439">
        <f>'CONCEPTOS Y PARAMETROS'!$C$21*AP108</f>
        <v>0</v>
      </c>
      <c r="AR108" s="1440">
        <v>0</v>
      </c>
      <c r="AS108" s="1440">
        <v>0</v>
      </c>
      <c r="AT108" s="1440">
        <f t="shared" si="197"/>
        <v>0</v>
      </c>
      <c r="AU108" s="1383">
        <f t="shared" si="112"/>
        <v>0</v>
      </c>
      <c r="AV108" s="1441">
        <v>0</v>
      </c>
      <c r="AW108" s="1383">
        <f t="shared" si="198"/>
        <v>0</v>
      </c>
      <c r="AX108" s="1437">
        <f>IF(T108&lt;&gt;"0",(ROUND(IF(A108="EMPLEADO",eval_formula('CONCEPTOS Y PARAMETROS'!$C$8,NOMINA!V108,NOMINA!$AU108,NOMINA!I108+NOMINA!J108),eval_formula('CONCEPTOS Y PARAMETROS'!$D$8,NOMINA!V108,NOMINA!$AU108,NOMINA!I108+NOMINA!J108)),2))*IF(H108&lt;&gt;"",IF(MONTH(H108)=$BR$8,IF(YEAR(H108)&lt;$BT$7,1,0),0)))</f>
        <v>0</v>
      </c>
      <c r="AY108" s="1383">
        <v>180</v>
      </c>
      <c r="AZ108" s="1437">
        <f>IFERROR(VLOOKUP(AY108,'CONCEPTOS Y PARAMETROS'!Y:Z,2,0),0)</f>
        <v>150</v>
      </c>
      <c r="BA108" s="1437">
        <f t="shared" si="114"/>
        <v>0</v>
      </c>
      <c r="BB108" s="1437">
        <f t="shared" si="145"/>
        <v>0</v>
      </c>
      <c r="BC108" s="1438">
        <v>0</v>
      </c>
      <c r="BD108" s="1437" t="str">
        <f t="shared" si="115"/>
        <v>0</v>
      </c>
      <c r="BE108" s="1438">
        <v>0</v>
      </c>
      <c r="BF108" s="1437">
        <f t="shared" ref="BF108:BF117" si="284">ROUND(IF(BE108&gt;0,(((V108+AA108+AB108+AC108+AD108+AW108)/30)*50%+((V108+AA108+AB108+AC108+AD108+AW108)/30))*BE108,"0"),2)</f>
        <v>0</v>
      </c>
      <c r="BG108" s="1383">
        <v>0</v>
      </c>
      <c r="BH108" s="1383">
        <f t="shared" si="261"/>
        <v>0</v>
      </c>
      <c r="BI108" s="1428">
        <v>0</v>
      </c>
      <c r="BJ108" s="1428">
        <f t="shared" si="262"/>
        <v>0</v>
      </c>
      <c r="BK108" s="1383">
        <v>0</v>
      </c>
      <c r="BL108" s="1437">
        <f t="shared" si="170"/>
        <v>0</v>
      </c>
      <c r="BM108" s="1437">
        <f t="shared" si="171"/>
        <v>0</v>
      </c>
      <c r="BN108" s="1437">
        <f t="shared" si="263"/>
        <v>0</v>
      </c>
      <c r="BO108" s="1437">
        <v>0</v>
      </c>
      <c r="BP108" s="1437">
        <v>0</v>
      </c>
      <c r="BQ108" s="1442">
        <f t="shared" si="120"/>
        <v>0</v>
      </c>
      <c r="BR108" s="1437">
        <f t="shared" si="172"/>
        <v>0</v>
      </c>
      <c r="BS108" s="1437">
        <f t="shared" si="173"/>
        <v>0</v>
      </c>
      <c r="BT108" s="1437">
        <f t="shared" si="264"/>
        <v>0</v>
      </c>
      <c r="BU108" s="1437">
        <v>0</v>
      </c>
      <c r="BV108" s="1383">
        <f t="shared" si="122"/>
        <v>0</v>
      </c>
      <c r="BW108" s="1380">
        <f t="shared" si="123"/>
        <v>0</v>
      </c>
      <c r="BX108" s="1380">
        <f t="shared" si="239"/>
        <v>0</v>
      </c>
      <c r="BY108" s="1383">
        <v>0</v>
      </c>
      <c r="BZ108" s="1383">
        <f t="shared" si="265"/>
        <v>0</v>
      </c>
      <c r="CA108" s="1443">
        <f>'CONCEPTOS Y PARAMETROS'!$A$102*0</f>
        <v>0</v>
      </c>
      <c r="CB108" s="1380">
        <f t="shared" si="266"/>
        <v>0</v>
      </c>
      <c r="CC108" s="1444">
        <f t="shared" si="267"/>
        <v>0</v>
      </c>
      <c r="CD108" s="1208"/>
      <c r="CE108" s="1208"/>
      <c r="CF108" s="1209"/>
      <c r="CG108" s="1210">
        <f t="shared" si="268"/>
        <v>0</v>
      </c>
      <c r="CH108" s="1715">
        <f t="shared" si="269"/>
        <v>0</v>
      </c>
      <c r="CI108" s="1210">
        <f t="shared" si="270"/>
        <v>0</v>
      </c>
      <c r="CJ108" s="1210">
        <f t="shared" si="271"/>
        <v>0</v>
      </c>
      <c r="CK108" s="1210">
        <f t="shared" si="272"/>
        <v>0</v>
      </c>
      <c r="CL108" s="1210">
        <f t="shared" si="273"/>
        <v>0</v>
      </c>
      <c r="CM108" s="1210">
        <f t="shared" si="274"/>
        <v>0</v>
      </c>
      <c r="CN108" s="1211">
        <f t="shared" si="275"/>
        <v>0</v>
      </c>
      <c r="CO108" s="1212">
        <v>0</v>
      </c>
      <c r="CP108" s="1211">
        <f t="shared" si="276"/>
        <v>0</v>
      </c>
      <c r="CQ108" s="1611">
        <f t="shared" si="277"/>
        <v>0</v>
      </c>
      <c r="CR108" s="1211">
        <f t="shared" si="278"/>
        <v>0</v>
      </c>
      <c r="CS108" s="1211">
        <f t="shared" si="279"/>
        <v>0</v>
      </c>
      <c r="CT108" s="1211">
        <f t="shared" si="280"/>
        <v>0</v>
      </c>
      <c r="CU108" s="1211">
        <f t="shared" si="281"/>
        <v>0</v>
      </c>
      <c r="CV108" s="1558"/>
      <c r="CW108" s="1427" t="s">
        <v>7204</v>
      </c>
      <c r="CX108" s="1427" t="s">
        <v>6969</v>
      </c>
      <c r="CY108" s="1208"/>
      <c r="CZ108" s="1208" t="s">
        <v>6477</v>
      </c>
      <c r="DA108" s="1208" t="s">
        <v>6173</v>
      </c>
      <c r="DB108" s="1208" t="s">
        <v>6202</v>
      </c>
      <c r="DC108" s="1208" t="s">
        <v>6495</v>
      </c>
      <c r="DD108" s="1208"/>
      <c r="DE108" s="1208"/>
      <c r="DF108" s="1208"/>
      <c r="DG108" s="1208"/>
      <c r="DH108" s="1208"/>
      <c r="DJ108" s="1215" t="str">
        <f>VLOOKUP(X108,Hoja1!$A$4:$B$10,2,0)</f>
        <v>PROFESIONAL</v>
      </c>
      <c r="DK108" s="1215" t="str">
        <f>VLOOKUP(S108,Hoja1!$D$4:$F$77,3,0)</f>
        <v>PII - VII</v>
      </c>
      <c r="DL108" s="1219" t="str">
        <f t="shared" si="282"/>
        <v>0</v>
      </c>
      <c r="DM108" s="1744" t="str">
        <f t="shared" si="283"/>
        <v>F</v>
      </c>
      <c r="DN108" s="1744"/>
    </row>
    <row r="109" spans="1:118" s="473" customFormat="1" ht="21.95" customHeight="1">
      <c r="A109" s="510" t="s">
        <v>2846</v>
      </c>
      <c r="B109" s="1390">
        <f t="shared" ca="1" si="144"/>
        <v>67</v>
      </c>
      <c r="C109" s="1194">
        <v>11898486</v>
      </c>
      <c r="D109" s="1195" t="s">
        <v>4750</v>
      </c>
      <c r="E109" s="1180" t="s">
        <v>4622</v>
      </c>
      <c r="F109" s="1196">
        <v>27145</v>
      </c>
      <c r="G109" s="1180" t="s">
        <v>4620</v>
      </c>
      <c r="H109" s="1196">
        <v>40065</v>
      </c>
      <c r="I109" s="1185">
        <f t="shared" si="259"/>
        <v>15</v>
      </c>
      <c r="J109" s="1177">
        <v>0</v>
      </c>
      <c r="K109" s="1185">
        <f t="shared" si="260"/>
        <v>15</v>
      </c>
      <c r="L109" s="1191" t="s">
        <v>5556</v>
      </c>
      <c r="M109" s="1177"/>
      <c r="N109" s="1177"/>
      <c r="O109" s="1040" t="s">
        <v>5219</v>
      </c>
      <c r="P109" s="1177" t="s">
        <v>5328</v>
      </c>
      <c r="Q109" s="1391" t="str">
        <f>IFERROR(VLOOKUP(O109,CARGOS!A:E,2,0),"")</f>
        <v>12113</v>
      </c>
      <c r="R109" s="1403" t="s">
        <v>5219</v>
      </c>
      <c r="S109" s="1192" t="s">
        <v>5474</v>
      </c>
      <c r="T109" s="1150">
        <f>IFERROR(VLOOKUP(S109,'TAB EMP'!A:B,2,0),0)</f>
        <v>226</v>
      </c>
      <c r="U109" s="1151">
        <v>0</v>
      </c>
      <c r="V109" s="1150">
        <f t="shared" si="100"/>
        <v>226</v>
      </c>
      <c r="W109" s="1151">
        <f t="shared" si="101"/>
        <v>113</v>
      </c>
      <c r="X109" s="1180" t="s">
        <v>2844</v>
      </c>
      <c r="Y109" s="1180"/>
      <c r="Z109" s="1180">
        <v>0</v>
      </c>
      <c r="AA109" s="1150">
        <f>ROUND(IF(H109&lt;&gt;"",VLOOKUP(SUM(I109+J109),'CONCEPTOS Y PARAMETROS'!F:G,2,0)*V109,0),2)</f>
        <v>40.68</v>
      </c>
      <c r="AB109" s="1150">
        <f>IF(S109&lt;&gt;"",IF(M109="",'CONCEPTOS Y PARAMETROS'!$C$4,0),0)</f>
        <v>130</v>
      </c>
      <c r="AC109" s="1150">
        <f>IF(S109&lt;&gt;"",IF(M109="",'CONCEPTOS Y PARAMETROS'!$C$7*Z109,0),0)</f>
        <v>0</v>
      </c>
      <c r="AD109" s="1150">
        <f>IFERROR(ROUND(VLOOKUP($X109,'CONCEPTOS Y PARAMETROS'!H:I,2,0)*($V109+AA109+AB109+AC109),2),0)</f>
        <v>79.34</v>
      </c>
      <c r="AE109" s="1150">
        <f t="shared" si="102"/>
        <v>250.02</v>
      </c>
      <c r="AF109" s="1150">
        <f t="shared" si="103"/>
        <v>20.34</v>
      </c>
      <c r="AG109" s="1150">
        <f t="shared" si="104"/>
        <v>20.34</v>
      </c>
      <c r="AH109" s="1150">
        <f t="shared" si="105"/>
        <v>65</v>
      </c>
      <c r="AI109" s="1150">
        <f t="shared" si="106"/>
        <v>65</v>
      </c>
      <c r="AJ109" s="1150">
        <f t="shared" si="107"/>
        <v>39.67</v>
      </c>
      <c r="AK109" s="1150">
        <f t="shared" si="108"/>
        <v>39.67</v>
      </c>
      <c r="AL109" s="1151">
        <f t="shared" si="109"/>
        <v>125.01</v>
      </c>
      <c r="AM109" s="1151">
        <f t="shared" si="110"/>
        <v>125.01</v>
      </c>
      <c r="AN109" s="1028">
        <v>0</v>
      </c>
      <c r="AO109" s="1193">
        <f>'CONCEPTOS Y PARAMETROS'!$C$18*AN109</f>
        <v>0</v>
      </c>
      <c r="AP109" s="1028">
        <v>0</v>
      </c>
      <c r="AQ109" s="1193">
        <f>'CONCEPTOS Y PARAMETROS'!$C$21*AP109</f>
        <v>0</v>
      </c>
      <c r="AR109" s="1394">
        <v>0</v>
      </c>
      <c r="AS109" s="1394">
        <v>0</v>
      </c>
      <c r="AT109" s="1394">
        <f t="shared" si="197"/>
        <v>0</v>
      </c>
      <c r="AU109" s="1151">
        <f t="shared" si="112"/>
        <v>476.02</v>
      </c>
      <c r="AV109" s="1178">
        <v>0</v>
      </c>
      <c r="AW109" s="1151">
        <f t="shared" si="198"/>
        <v>0</v>
      </c>
      <c r="AX109" s="1150">
        <f>IF(T109&lt;&gt;"0",(ROUND(IF(A109="EMPLEADO",eval_formula('CONCEPTOS Y PARAMETROS'!$C$8,NOMINA!V109,NOMINA!$AU109,NOMINA!I109+NOMINA!J109),eval_formula('CONCEPTOS Y PARAMETROS'!$D$8,NOMINA!V109,NOMINA!$AU109,NOMINA!I109+NOMINA!J109)),2))*IF(H109&lt;&gt;"",IF(MONTH(H109)=$BR$8,IF(YEAR(H109)&lt;$BT$7,1,0),0)))</f>
        <v>0</v>
      </c>
      <c r="AY109" s="1151">
        <v>180</v>
      </c>
      <c r="AZ109" s="1150">
        <f>IFERROR(VLOOKUP(AY109,'CONCEPTOS Y PARAMETROS'!Y:Z,2,0),0)</f>
        <v>150</v>
      </c>
      <c r="BA109" s="1150">
        <f t="shared" si="114"/>
        <v>3570.15</v>
      </c>
      <c r="BB109" s="1150">
        <f t="shared" si="145"/>
        <v>0</v>
      </c>
      <c r="BC109" s="1028">
        <v>0</v>
      </c>
      <c r="BD109" s="1150" t="str">
        <f t="shared" si="115"/>
        <v>0</v>
      </c>
      <c r="BE109" s="1028">
        <v>0</v>
      </c>
      <c r="BF109" s="1150">
        <f t="shared" si="284"/>
        <v>0</v>
      </c>
      <c r="BG109" s="1151">
        <v>300</v>
      </c>
      <c r="BH109" s="1151">
        <f t="shared" si="261"/>
        <v>0</v>
      </c>
      <c r="BI109" s="1180">
        <v>0</v>
      </c>
      <c r="BJ109" s="1180">
        <f t="shared" si="262"/>
        <v>0</v>
      </c>
      <c r="BK109" s="1151">
        <v>0</v>
      </c>
      <c r="BL109" s="1150">
        <f t="shared" si="170"/>
        <v>17.579999999999998</v>
      </c>
      <c r="BM109" s="1150">
        <f t="shared" si="171"/>
        <v>2.2000000000000002</v>
      </c>
      <c r="BN109" s="1150">
        <f t="shared" si="263"/>
        <v>4.76</v>
      </c>
      <c r="BO109" s="1150">
        <v>0</v>
      </c>
      <c r="BP109" s="1150">
        <v>0</v>
      </c>
      <c r="BQ109" s="1396">
        <f t="shared" si="120"/>
        <v>24.54</v>
      </c>
      <c r="BR109" s="1150">
        <f t="shared" si="172"/>
        <v>39.549999999999997</v>
      </c>
      <c r="BS109" s="1150">
        <f t="shared" si="173"/>
        <v>8.7899999999999991</v>
      </c>
      <c r="BT109" s="1150">
        <f t="shared" si="264"/>
        <v>9.52</v>
      </c>
      <c r="BU109" s="1150">
        <v>0</v>
      </c>
      <c r="BV109" s="1151">
        <f t="shared" si="122"/>
        <v>57.86</v>
      </c>
      <c r="BW109" s="1155">
        <f t="shared" si="123"/>
        <v>82.4</v>
      </c>
      <c r="BX109" s="1155">
        <f t="shared" si="239"/>
        <v>892.54</v>
      </c>
      <c r="BY109" s="1151">
        <v>0</v>
      </c>
      <c r="BZ109" s="1151">
        <f t="shared" si="265"/>
        <v>892.54</v>
      </c>
      <c r="CA109" s="1397">
        <f>'CONCEPTOS Y PARAMETROS'!$A$102</f>
        <v>2120</v>
      </c>
      <c r="CB109" s="1155">
        <f t="shared" si="266"/>
        <v>213.47</v>
      </c>
      <c r="CC109" s="1156">
        <f t="shared" si="267"/>
        <v>538.01</v>
      </c>
      <c r="CD109" s="514"/>
      <c r="CE109" s="514"/>
      <c r="CF109" s="520"/>
      <c r="CG109" s="497">
        <f t="shared" si="268"/>
        <v>213.47</v>
      </c>
      <c r="CH109" s="1711">
        <f t="shared" si="269"/>
        <v>300</v>
      </c>
      <c r="CI109" s="497">
        <f t="shared" si="270"/>
        <v>538.01</v>
      </c>
      <c r="CJ109" s="497">
        <f t="shared" si="271"/>
        <v>538.01</v>
      </c>
      <c r="CK109" s="497">
        <f t="shared" si="272"/>
        <v>0</v>
      </c>
      <c r="CL109" s="497">
        <f t="shared" si="273"/>
        <v>0</v>
      </c>
      <c r="CM109" s="497">
        <f t="shared" si="274"/>
        <v>0</v>
      </c>
      <c r="CN109" s="498">
        <f t="shared" si="275"/>
        <v>0</v>
      </c>
      <c r="CO109" s="499">
        <v>0</v>
      </c>
      <c r="CP109" s="498">
        <f t="shared" si="276"/>
        <v>0</v>
      </c>
      <c r="CQ109" s="500">
        <f t="shared" si="277"/>
        <v>0</v>
      </c>
      <c r="CR109" s="498">
        <f t="shared" si="278"/>
        <v>0</v>
      </c>
      <c r="CS109" s="498">
        <f t="shared" si="279"/>
        <v>0</v>
      </c>
      <c r="CT109" s="498">
        <f t="shared" si="280"/>
        <v>82.4</v>
      </c>
      <c r="CU109" s="498">
        <f t="shared" si="281"/>
        <v>2120</v>
      </c>
      <c r="CV109" s="1554"/>
      <c r="CW109" s="1195" t="s">
        <v>6971</v>
      </c>
      <c r="CX109" s="1195" t="s">
        <v>7253</v>
      </c>
      <c r="CY109" s="472"/>
      <c r="CZ109" s="514" t="s">
        <v>6365</v>
      </c>
      <c r="DA109" s="1199" t="s">
        <v>6241</v>
      </c>
      <c r="DB109" s="1199" t="s">
        <v>6238</v>
      </c>
      <c r="DC109" s="514" t="s">
        <v>6616</v>
      </c>
      <c r="DD109" s="472"/>
      <c r="DE109" s="472"/>
      <c r="DF109" s="472"/>
      <c r="DG109" s="472"/>
      <c r="DH109" s="472"/>
      <c r="DJ109" s="473" t="str">
        <f>VLOOKUP(X109,Hoja1!$A$4:$B$10,2,0)</f>
        <v>TÉCNICO SUPERIOR UNIVERSITARIO</v>
      </c>
      <c r="DK109" s="473" t="str">
        <f>VLOOKUP(S109,Hoja1!$D$4:$F$77,3,0)</f>
        <v>TII - VI</v>
      </c>
      <c r="DL109" s="1216" t="str">
        <f t="shared" si="282"/>
        <v>0</v>
      </c>
      <c r="DM109" s="1741" t="str">
        <f t="shared" si="283"/>
        <v>F</v>
      </c>
      <c r="DN109" s="1741"/>
    </row>
    <row r="110" spans="1:118" s="473" customFormat="1" ht="21.95" customHeight="1">
      <c r="A110" s="510" t="s">
        <v>2846</v>
      </c>
      <c r="B110" s="1390">
        <f t="shared" ca="1" si="144"/>
        <v>68</v>
      </c>
      <c r="C110" s="1194">
        <v>12040792</v>
      </c>
      <c r="D110" s="1195" t="s">
        <v>4751</v>
      </c>
      <c r="E110" s="1180" t="s">
        <v>4622</v>
      </c>
      <c r="F110" s="1196">
        <v>26987</v>
      </c>
      <c r="G110" s="1180" t="s">
        <v>4621</v>
      </c>
      <c r="H110" s="1196">
        <v>43236</v>
      </c>
      <c r="I110" s="1185">
        <f t="shared" si="259"/>
        <v>6</v>
      </c>
      <c r="J110" s="1177">
        <v>0</v>
      </c>
      <c r="K110" s="1185">
        <f t="shared" si="260"/>
        <v>6</v>
      </c>
      <c r="L110" s="1191" t="s">
        <v>5559</v>
      </c>
      <c r="M110" s="1177"/>
      <c r="N110" s="1177"/>
      <c r="O110" s="1040" t="s">
        <v>5242</v>
      </c>
      <c r="P110" s="1177" t="s">
        <v>5329</v>
      </c>
      <c r="Q110" s="1391" t="str">
        <f>IFERROR(VLOOKUP(O110,CARGOS!A:E,2,0),"")</f>
        <v>22413</v>
      </c>
      <c r="R110" s="1403" t="s">
        <v>5242</v>
      </c>
      <c r="S110" s="1192" t="s">
        <v>5491</v>
      </c>
      <c r="T110" s="1150">
        <f>IFERROR(VLOOKUP(S110,'TAB EMP'!A:B,2,0),0)</f>
        <v>221</v>
      </c>
      <c r="U110" s="1151">
        <v>0</v>
      </c>
      <c r="V110" s="1150">
        <f t="shared" si="100"/>
        <v>221</v>
      </c>
      <c r="W110" s="1151">
        <f t="shared" si="101"/>
        <v>110.5</v>
      </c>
      <c r="X110" s="1180" t="s">
        <v>2884</v>
      </c>
      <c r="Y110" s="1180"/>
      <c r="Z110" s="1180">
        <v>1</v>
      </c>
      <c r="AA110" s="1150">
        <f>ROUND(IF(H110&lt;&gt;"",VLOOKUP(SUM(I110+J110),'CONCEPTOS Y PARAMETROS'!F:G,2,0)*V110,0),2)</f>
        <v>13.7</v>
      </c>
      <c r="AB110" s="1150">
        <f>IF(S110&lt;&gt;"",IF(M110="",'CONCEPTOS Y PARAMETROS'!$C$4,0),0)</f>
        <v>130</v>
      </c>
      <c r="AC110" s="1150">
        <f>IF(S110&lt;&gt;"",IF(M110="",'CONCEPTOS Y PARAMETROS'!$C$7*Z110,0),0)</f>
        <v>12.5</v>
      </c>
      <c r="AD110" s="1150">
        <f>IFERROR(ROUND(VLOOKUP($X110,'CONCEPTOS Y PARAMETROS'!H:I,2,0)*($V110+AA110+AB110+AC110),2),0)</f>
        <v>0</v>
      </c>
      <c r="AE110" s="1150">
        <f t="shared" ref="AE110:AE169" si="285">SUM(AA110:AD110)</f>
        <v>156.19999999999999</v>
      </c>
      <c r="AF110" s="1150">
        <f t="shared" si="103"/>
        <v>6.85</v>
      </c>
      <c r="AG110" s="1150">
        <f t="shared" si="104"/>
        <v>6.85</v>
      </c>
      <c r="AH110" s="1150">
        <f t="shared" si="105"/>
        <v>65</v>
      </c>
      <c r="AI110" s="1150">
        <f t="shared" si="106"/>
        <v>65</v>
      </c>
      <c r="AJ110" s="1150">
        <f t="shared" si="107"/>
        <v>0</v>
      </c>
      <c r="AK110" s="1150">
        <f t="shared" si="108"/>
        <v>0</v>
      </c>
      <c r="AL110" s="1151">
        <f t="shared" si="109"/>
        <v>84.35</v>
      </c>
      <c r="AM110" s="1151">
        <f t="shared" si="110"/>
        <v>71.849999999999994</v>
      </c>
      <c r="AN110" s="1028">
        <v>0</v>
      </c>
      <c r="AO110" s="1193">
        <f>'CONCEPTOS Y PARAMETROS'!$C$18*AN110</f>
        <v>0</v>
      </c>
      <c r="AP110" s="1028">
        <v>0</v>
      </c>
      <c r="AQ110" s="1193">
        <f>'CONCEPTOS Y PARAMETROS'!$C$21*AP110</f>
        <v>0</v>
      </c>
      <c r="AR110" s="1394">
        <v>0</v>
      </c>
      <c r="AS110" s="1394">
        <v>0</v>
      </c>
      <c r="AT110" s="1394">
        <f t="shared" ref="AT110:AT146" si="286">+AO110+AQ110+AR110+AS110</f>
        <v>0</v>
      </c>
      <c r="AU110" s="1151">
        <f t="shared" si="112"/>
        <v>377.2</v>
      </c>
      <c r="AV110" s="1178">
        <v>0</v>
      </c>
      <c r="AW110" s="1151">
        <f t="shared" si="198"/>
        <v>0</v>
      </c>
      <c r="AX110" s="1150">
        <f>IF(T110&lt;&gt;"0",(ROUND(IF(A110="EMPLEADO",eval_formula('CONCEPTOS Y PARAMETROS'!$C$8,NOMINA!V110,NOMINA!$AU110,NOMINA!I110+NOMINA!J110),eval_formula('CONCEPTOS Y PARAMETROS'!$D$8,NOMINA!V110,NOMINA!$AU110,NOMINA!I110+NOMINA!J110)),2))*IF(H110&lt;&gt;"",IF(MONTH(H110)=$BR$8,IF(YEAR(H110)&lt;$BT$7,1,0),0)))</f>
        <v>0</v>
      </c>
      <c r="AY110" s="1151">
        <v>180</v>
      </c>
      <c r="AZ110" s="1150">
        <f>IFERROR(VLOOKUP(AY110,'CONCEPTOS Y PARAMETROS'!Y:Z,2,0),0)</f>
        <v>150</v>
      </c>
      <c r="BA110" s="1150">
        <f t="shared" si="114"/>
        <v>2829</v>
      </c>
      <c r="BB110" s="1150">
        <f t="shared" ref="BB110:BB170" si="287">ROUND(AU110/30*$BB$10,2)</f>
        <v>0</v>
      </c>
      <c r="BC110" s="1028">
        <v>0</v>
      </c>
      <c r="BD110" s="1150" t="str">
        <f t="shared" si="115"/>
        <v>0</v>
      </c>
      <c r="BE110" s="1028">
        <v>0</v>
      </c>
      <c r="BF110" s="1150">
        <f t="shared" si="284"/>
        <v>0</v>
      </c>
      <c r="BG110" s="1151">
        <v>300</v>
      </c>
      <c r="BH110" s="1151">
        <f t="shared" si="261"/>
        <v>0</v>
      </c>
      <c r="BI110" s="1180">
        <v>0</v>
      </c>
      <c r="BJ110" s="1180">
        <f t="shared" si="262"/>
        <v>0</v>
      </c>
      <c r="BK110" s="1151">
        <v>0</v>
      </c>
      <c r="BL110" s="1150">
        <f t="shared" si="170"/>
        <v>13.93</v>
      </c>
      <c r="BM110" s="1150">
        <f t="shared" si="171"/>
        <v>1.74</v>
      </c>
      <c r="BN110" s="1150">
        <f t="shared" si="263"/>
        <v>3.77</v>
      </c>
      <c r="BO110" s="1150">
        <v>0</v>
      </c>
      <c r="BP110" s="1150">
        <v>0</v>
      </c>
      <c r="BQ110" s="1396">
        <f t="shared" si="120"/>
        <v>19.440000000000001</v>
      </c>
      <c r="BR110" s="1150">
        <f t="shared" si="172"/>
        <v>31.34</v>
      </c>
      <c r="BS110" s="1150">
        <f t="shared" si="173"/>
        <v>6.96</v>
      </c>
      <c r="BT110" s="1150">
        <f t="shared" si="264"/>
        <v>7.54</v>
      </c>
      <c r="BU110" s="1150">
        <v>0</v>
      </c>
      <c r="BV110" s="1151">
        <f t="shared" si="122"/>
        <v>45.84</v>
      </c>
      <c r="BW110" s="1155">
        <f t="shared" si="123"/>
        <v>65.28</v>
      </c>
      <c r="BX110" s="1155">
        <f t="shared" si="239"/>
        <v>707.25</v>
      </c>
      <c r="BY110" s="1151">
        <v>0</v>
      </c>
      <c r="BZ110" s="1151">
        <f t="shared" si="265"/>
        <v>707.25</v>
      </c>
      <c r="CA110" s="1397">
        <f>'CONCEPTOS Y PARAMETROS'!$A$102</f>
        <v>2120</v>
      </c>
      <c r="CB110" s="1155">
        <f t="shared" si="266"/>
        <v>175.41</v>
      </c>
      <c r="CC110" s="1156">
        <f t="shared" si="267"/>
        <v>482.35</v>
      </c>
      <c r="CD110" s="514"/>
      <c r="CE110" s="514"/>
      <c r="CF110" s="520"/>
      <c r="CG110" s="497">
        <f t="shared" si="268"/>
        <v>175.41</v>
      </c>
      <c r="CH110" s="1711">
        <f t="shared" si="269"/>
        <v>300</v>
      </c>
      <c r="CI110" s="497">
        <f t="shared" si="270"/>
        <v>482.35</v>
      </c>
      <c r="CJ110" s="497">
        <f t="shared" si="271"/>
        <v>482.35</v>
      </c>
      <c r="CK110" s="497">
        <f t="shared" si="272"/>
        <v>0</v>
      </c>
      <c r="CL110" s="497">
        <f t="shared" si="273"/>
        <v>0</v>
      </c>
      <c r="CM110" s="497">
        <f t="shared" si="274"/>
        <v>0</v>
      </c>
      <c r="CN110" s="498">
        <f t="shared" si="275"/>
        <v>0</v>
      </c>
      <c r="CO110" s="499">
        <v>0</v>
      </c>
      <c r="CP110" s="498">
        <f t="shared" si="276"/>
        <v>0</v>
      </c>
      <c r="CQ110" s="500">
        <f t="shared" si="277"/>
        <v>0</v>
      </c>
      <c r="CR110" s="498">
        <f t="shared" si="278"/>
        <v>0</v>
      </c>
      <c r="CS110" s="498">
        <f t="shared" si="279"/>
        <v>0</v>
      </c>
      <c r="CT110" s="498">
        <f t="shared" si="280"/>
        <v>65.28</v>
      </c>
      <c r="CU110" s="498">
        <f t="shared" si="281"/>
        <v>2120</v>
      </c>
      <c r="CV110" s="1554"/>
      <c r="CW110" s="1195" t="s">
        <v>7186</v>
      </c>
      <c r="CX110" s="1195" t="s">
        <v>7055</v>
      </c>
      <c r="CY110" s="472"/>
      <c r="CZ110" s="514" t="s">
        <v>6479</v>
      </c>
      <c r="DA110" s="514" t="s">
        <v>6173</v>
      </c>
      <c r="DB110" s="1199" t="s">
        <v>6185</v>
      </c>
      <c r="DC110" s="514" t="s">
        <v>6638</v>
      </c>
      <c r="DD110" s="514"/>
      <c r="DE110" s="472"/>
      <c r="DF110" s="472"/>
      <c r="DG110" s="472"/>
      <c r="DH110" s="472"/>
      <c r="DJ110" s="473" t="str">
        <f>VLOOKUP(X110,Hoja1!$A$4:$B$10,2,0)</f>
        <v>BACHILLER</v>
      </c>
      <c r="DK110" s="473" t="str">
        <f>VLOOKUP(S110,Hoja1!$D$4:$F$77,3,0)</f>
        <v>TII - III</v>
      </c>
      <c r="DL110" s="1216" t="str">
        <f t="shared" si="282"/>
        <v>0</v>
      </c>
      <c r="DM110" s="1741" t="str">
        <f t="shared" si="283"/>
        <v>M</v>
      </c>
      <c r="DN110" s="1741"/>
    </row>
    <row r="111" spans="1:118" s="473" customFormat="1" ht="21.95" customHeight="1">
      <c r="A111" s="510" t="s">
        <v>2846</v>
      </c>
      <c r="B111" s="1390">
        <f t="shared" ca="1" si="144"/>
        <v>69</v>
      </c>
      <c r="C111" s="1194">
        <v>12042855</v>
      </c>
      <c r="D111" s="1195" t="s">
        <v>4753</v>
      </c>
      <c r="E111" s="1180" t="s">
        <v>4622</v>
      </c>
      <c r="F111" s="1196">
        <v>26713</v>
      </c>
      <c r="G111" s="1180" t="s">
        <v>4620</v>
      </c>
      <c r="H111" s="1196">
        <v>44028</v>
      </c>
      <c r="I111" s="1185">
        <f t="shared" si="259"/>
        <v>4</v>
      </c>
      <c r="J111" s="1177">
        <v>0</v>
      </c>
      <c r="K111" s="1185">
        <f t="shared" si="260"/>
        <v>4</v>
      </c>
      <c r="L111" s="1191" t="s">
        <v>5560</v>
      </c>
      <c r="M111" s="1177"/>
      <c r="N111" s="1177"/>
      <c r="O111" s="1040" t="s">
        <v>5243</v>
      </c>
      <c r="P111" s="1177" t="s">
        <v>5330</v>
      </c>
      <c r="Q111" s="1391" t="str">
        <f>IFERROR(VLOOKUP(O111,CARGOS!A:E,2,0),"")</f>
        <v>71341</v>
      </c>
      <c r="R111" s="1403" t="s">
        <v>5243</v>
      </c>
      <c r="S111" s="1192" t="s">
        <v>5481</v>
      </c>
      <c r="T111" s="1150">
        <f>IFERROR(VLOOKUP(S111,'TAB EMP'!A:B,2,0),0)</f>
        <v>219</v>
      </c>
      <c r="U111" s="1151">
        <v>0</v>
      </c>
      <c r="V111" s="1150">
        <f t="shared" ref="V111:V173" si="288">T111-U111</f>
        <v>219</v>
      </c>
      <c r="W111" s="1151">
        <f t="shared" ref="W111:W173" si="289">ROUND(V111/2,2)</f>
        <v>109.5</v>
      </c>
      <c r="X111" s="1180" t="s">
        <v>2885</v>
      </c>
      <c r="Y111" s="1180"/>
      <c r="Z111" s="1180">
        <v>0</v>
      </c>
      <c r="AA111" s="1150">
        <f>ROUND(IF(H111&lt;&gt;"",VLOOKUP(SUM(I111+J111),'CONCEPTOS Y PARAMETROS'!F:G,2,0)*V111,0),2)</f>
        <v>8.76</v>
      </c>
      <c r="AB111" s="1150">
        <f>IF(S111&lt;&gt;"",IF(M111="",'CONCEPTOS Y PARAMETROS'!$C$4,0),0)</f>
        <v>130</v>
      </c>
      <c r="AC111" s="1150">
        <f>IF(S111&lt;&gt;"",IF(M111="",'CONCEPTOS Y PARAMETROS'!$C$7*Z111,0),0)</f>
        <v>0</v>
      </c>
      <c r="AD111" s="1150">
        <f>IFERROR(ROUND(VLOOKUP($X111,'CONCEPTOS Y PARAMETROS'!H:I,2,0)*($V111+AA111+AB111+AC111),2),0)</f>
        <v>89.44</v>
      </c>
      <c r="AE111" s="1150">
        <f t="shared" si="285"/>
        <v>228.2</v>
      </c>
      <c r="AF111" s="1150">
        <f t="shared" ref="AF111:AF173" si="290">ROUND(AA111/2,2)</f>
        <v>4.38</v>
      </c>
      <c r="AG111" s="1150">
        <f t="shared" ref="AG111:AG173" si="291">ROUND(AA111-AF111,2)</f>
        <v>4.38</v>
      </c>
      <c r="AH111" s="1150">
        <f t="shared" ref="AH111:AH173" si="292">ROUND(AB111/2,2)</f>
        <v>65</v>
      </c>
      <c r="AI111" s="1150">
        <f t="shared" ref="AI111:AI173" si="293">ROUND(AB111-AH111,2)</f>
        <v>65</v>
      </c>
      <c r="AJ111" s="1150">
        <f t="shared" ref="AJ111:AJ173" si="294">ROUND(AD111/2,2)</f>
        <v>44.72</v>
      </c>
      <c r="AK111" s="1150">
        <f t="shared" ref="AK111:AK173" si="295">ROUND(AD111-AJ111,2)</f>
        <v>44.72</v>
      </c>
      <c r="AL111" s="1151">
        <f t="shared" ref="AL111:AL173" si="296">ROUND(AF111+AH111+AJ111+AC111,2)</f>
        <v>114.1</v>
      </c>
      <c r="AM111" s="1151">
        <f t="shared" ref="AM111:AM173" si="297">ROUND(AG111+AI111+AK111,2)</f>
        <v>114.1</v>
      </c>
      <c r="AN111" s="1028">
        <v>0</v>
      </c>
      <c r="AO111" s="1193">
        <f>'CONCEPTOS Y PARAMETROS'!$C$18*AN111</f>
        <v>0</v>
      </c>
      <c r="AP111" s="1028">
        <v>0</v>
      </c>
      <c r="AQ111" s="1193">
        <f>'CONCEPTOS Y PARAMETROS'!$C$21*AP111</f>
        <v>0</v>
      </c>
      <c r="AR111" s="1394">
        <v>0</v>
      </c>
      <c r="AS111" s="1394">
        <v>0</v>
      </c>
      <c r="AT111" s="1394">
        <f t="shared" si="286"/>
        <v>0</v>
      </c>
      <c r="AU111" s="1151">
        <f t="shared" ref="AU111:AU173" si="298">V111+AE111+AW111</f>
        <v>447.2</v>
      </c>
      <c r="AV111" s="1178">
        <v>0</v>
      </c>
      <c r="AW111" s="1151">
        <f t="shared" ref="AW111:AW147" si="299">ROUND(IF(AV111="NOCTURN",(V111+AE111)*30%,0),2)</f>
        <v>0</v>
      </c>
      <c r="AX111" s="1150">
        <f>IF(T111&lt;&gt;"0",(ROUND(IF(A111="EMPLEADO",eval_formula('CONCEPTOS Y PARAMETROS'!$C$8,NOMINA!V111,NOMINA!$AU111,NOMINA!I111+NOMINA!J111),eval_formula('CONCEPTOS Y PARAMETROS'!$D$8,NOMINA!V111,NOMINA!$AU111,NOMINA!I111+NOMINA!J111)),2))*IF(H111&lt;&gt;"",IF(MONTH(H111)=$BR$8,IF(YEAR(H111)&lt;$BT$7,1,0),0)))</f>
        <v>0</v>
      </c>
      <c r="AY111" s="1151">
        <v>180</v>
      </c>
      <c r="AZ111" s="1150">
        <f>IFERROR(VLOOKUP(AY111,'CONCEPTOS Y PARAMETROS'!Y:Z,2,0),0)</f>
        <v>150</v>
      </c>
      <c r="BA111" s="1150">
        <f t="shared" ref="BA111:BA173" si="300">ROUND((((AU111))/30*AY111/12+(AU111))/30*AZ111,2)</f>
        <v>3354</v>
      </c>
      <c r="BB111" s="1150">
        <f t="shared" si="287"/>
        <v>0</v>
      </c>
      <c r="BC111" s="1028">
        <v>0</v>
      </c>
      <c r="BD111" s="1150" t="str">
        <f t="shared" ref="BD111:BD173" si="301">IF(BC111&gt;0,((((((V111+AA111+AB111+AC111+AD111)/30)/8)*50%)+((((V111+AA111+AB111+AC111+AD111)/30)/8)))*30%+(((((V111+AA111+AB111+AC111+AD111)/30)/8)*50%)+((((V111+AA111+AB111+AC111+AD111)/30)/8))))*BC111,"0")</f>
        <v>0</v>
      </c>
      <c r="BE111" s="1028">
        <v>0</v>
      </c>
      <c r="BF111" s="1150">
        <f t="shared" si="284"/>
        <v>0</v>
      </c>
      <c r="BG111" s="1151">
        <v>300</v>
      </c>
      <c r="BH111" s="1151">
        <f t="shared" si="261"/>
        <v>0</v>
      </c>
      <c r="BI111" s="1180">
        <v>0</v>
      </c>
      <c r="BJ111" s="1180">
        <f t="shared" si="262"/>
        <v>0</v>
      </c>
      <c r="BK111" s="1151">
        <v>0</v>
      </c>
      <c r="BL111" s="1150">
        <f t="shared" si="170"/>
        <v>16.510000000000002</v>
      </c>
      <c r="BM111" s="1150">
        <f t="shared" si="171"/>
        <v>2.06</v>
      </c>
      <c r="BN111" s="1150">
        <f t="shared" si="263"/>
        <v>4.47</v>
      </c>
      <c r="BO111" s="1150">
        <v>0</v>
      </c>
      <c r="BP111" s="1150">
        <v>0</v>
      </c>
      <c r="BQ111" s="1396">
        <f t="shared" ref="BQ111:BQ168" si="302">ROUND(SUM(BL111:BP111),2)</f>
        <v>23.04</v>
      </c>
      <c r="BR111" s="1150">
        <f t="shared" si="172"/>
        <v>37.15</v>
      </c>
      <c r="BS111" s="1150">
        <f t="shared" si="173"/>
        <v>8.26</v>
      </c>
      <c r="BT111" s="1150">
        <f t="shared" si="264"/>
        <v>8.94</v>
      </c>
      <c r="BU111" s="1150">
        <v>0</v>
      </c>
      <c r="BV111" s="1151">
        <f t="shared" ref="BV111:BV168" si="303">ROUND(SUM(BR111:BT111),2)</f>
        <v>54.35</v>
      </c>
      <c r="BW111" s="1155">
        <f t="shared" ref="BW111:BW168" si="304">BQ111+BV111</f>
        <v>77.39</v>
      </c>
      <c r="BX111" s="1155">
        <f t="shared" si="239"/>
        <v>838.5</v>
      </c>
      <c r="BY111" s="1151">
        <v>0</v>
      </c>
      <c r="BZ111" s="1151">
        <f t="shared" si="265"/>
        <v>838.5</v>
      </c>
      <c r="CA111" s="1397">
        <f>'CONCEPTOS Y PARAMETROS'!$A$102</f>
        <v>2120</v>
      </c>
      <c r="CB111" s="1155">
        <f t="shared" si="266"/>
        <v>200.56</v>
      </c>
      <c r="CC111" s="1156">
        <f t="shared" si="267"/>
        <v>523.6</v>
      </c>
      <c r="CD111" s="514"/>
      <c r="CE111" s="514"/>
      <c r="CF111" s="520"/>
      <c r="CG111" s="497">
        <f t="shared" si="268"/>
        <v>200.56</v>
      </c>
      <c r="CH111" s="1711">
        <f t="shared" si="269"/>
        <v>300</v>
      </c>
      <c r="CI111" s="497">
        <f t="shared" si="270"/>
        <v>523.6</v>
      </c>
      <c r="CJ111" s="497">
        <f t="shared" si="271"/>
        <v>523.6</v>
      </c>
      <c r="CK111" s="497">
        <f t="shared" si="272"/>
        <v>0</v>
      </c>
      <c r="CL111" s="497">
        <f t="shared" si="273"/>
        <v>0</v>
      </c>
      <c r="CM111" s="497">
        <f t="shared" si="274"/>
        <v>0</v>
      </c>
      <c r="CN111" s="498">
        <f t="shared" si="275"/>
        <v>0</v>
      </c>
      <c r="CO111" s="499">
        <v>0</v>
      </c>
      <c r="CP111" s="498">
        <f t="shared" si="276"/>
        <v>0</v>
      </c>
      <c r="CQ111" s="500">
        <f t="shared" si="277"/>
        <v>0</v>
      </c>
      <c r="CR111" s="498">
        <f t="shared" si="278"/>
        <v>0</v>
      </c>
      <c r="CS111" s="498">
        <f t="shared" si="279"/>
        <v>0</v>
      </c>
      <c r="CT111" s="498">
        <f t="shared" si="280"/>
        <v>77.39</v>
      </c>
      <c r="CU111" s="498">
        <f t="shared" si="281"/>
        <v>2120</v>
      </c>
      <c r="CV111" s="1554"/>
      <c r="CW111" s="1195" t="s">
        <v>7205</v>
      </c>
      <c r="CX111" s="1195" t="s">
        <v>7254</v>
      </c>
      <c r="CY111" s="472"/>
      <c r="CZ111" s="514" t="s">
        <v>6465</v>
      </c>
      <c r="DA111" s="514" t="s">
        <v>6188</v>
      </c>
      <c r="DB111" s="514" t="s">
        <v>6302</v>
      </c>
      <c r="DC111" s="514" t="s">
        <v>6271</v>
      </c>
      <c r="DD111" s="472"/>
      <c r="DE111" s="472"/>
      <c r="DF111" s="472"/>
      <c r="DG111" s="472"/>
      <c r="DH111" s="472"/>
      <c r="DJ111" s="473" t="str">
        <f>VLOOKUP(X111,Hoja1!$A$4:$B$10,2,0)</f>
        <v>PROFESIONAL</v>
      </c>
      <c r="DK111" s="473" t="str">
        <f>VLOOKUP(S111,Hoja1!$D$4:$F$77,3,0)</f>
        <v>TII - II</v>
      </c>
      <c r="DL111" s="1216" t="str">
        <f t="shared" si="282"/>
        <v>0</v>
      </c>
      <c r="DM111" s="1741" t="str">
        <f t="shared" si="283"/>
        <v>F</v>
      </c>
      <c r="DN111" s="1741"/>
    </row>
    <row r="112" spans="1:118" s="478" customFormat="1" ht="21.95" customHeight="1">
      <c r="A112" s="510" t="s">
        <v>2846</v>
      </c>
      <c r="B112" s="1390">
        <f t="shared" ca="1" si="144"/>
        <v>70</v>
      </c>
      <c r="C112" s="1194">
        <v>12045335</v>
      </c>
      <c r="D112" s="1195" t="s">
        <v>6798</v>
      </c>
      <c r="E112" s="1180" t="s">
        <v>4622</v>
      </c>
      <c r="F112" s="1196">
        <v>26899</v>
      </c>
      <c r="G112" s="1180" t="s">
        <v>4620</v>
      </c>
      <c r="H112" s="1196">
        <v>45505</v>
      </c>
      <c r="I112" s="1185">
        <f t="shared" si="259"/>
        <v>0</v>
      </c>
      <c r="J112" s="1177">
        <v>0</v>
      </c>
      <c r="K112" s="1185">
        <f t="shared" si="260"/>
        <v>0</v>
      </c>
      <c r="L112" s="1191" t="s">
        <v>5551</v>
      </c>
      <c r="M112" s="1177"/>
      <c r="N112" s="1177"/>
      <c r="O112" s="1040" t="s">
        <v>5222</v>
      </c>
      <c r="P112" s="1197" t="s">
        <v>6799</v>
      </c>
      <c r="Q112" s="1391" t="str">
        <f>IFERROR(VLOOKUP(O112,CARGOS!A:E,2,0),"")</f>
        <v>79511</v>
      </c>
      <c r="R112" s="1403" t="s">
        <v>5222</v>
      </c>
      <c r="S112" s="1192" t="s">
        <v>5469</v>
      </c>
      <c r="T112" s="1150">
        <f>IFERROR(VLOOKUP(S112,'TAB EMP'!A:B,2,0),0)</f>
        <v>246</v>
      </c>
      <c r="U112" s="1151">
        <v>0</v>
      </c>
      <c r="V112" s="1150">
        <f t="shared" ref="V112" si="305">T112-U112</f>
        <v>246</v>
      </c>
      <c r="W112" s="1151">
        <f t="shared" ref="W112" si="306">ROUND(V112/2,2)</f>
        <v>123</v>
      </c>
      <c r="X112" s="1180" t="s">
        <v>2885</v>
      </c>
      <c r="Y112" s="1180"/>
      <c r="Z112" s="1180">
        <v>0</v>
      </c>
      <c r="AA112" s="1150">
        <f>ROUND(IF(H112&lt;&gt;"",VLOOKUP(SUM(I112+J112),'CONCEPTOS Y PARAMETROS'!F:G,2,0)*V112,0),2)</f>
        <v>0</v>
      </c>
      <c r="AB112" s="1150">
        <f>IF(S112&lt;&gt;"",IF(M112="",'CONCEPTOS Y PARAMETROS'!$C$4,0),0)</f>
        <v>130</v>
      </c>
      <c r="AC112" s="1150">
        <f>IF(S112&lt;&gt;"",IF(M112="",'CONCEPTOS Y PARAMETROS'!$C$7*Z112,0),0)</f>
        <v>0</v>
      </c>
      <c r="AD112" s="1150">
        <f>IFERROR(ROUND(VLOOKUP($X112,'CONCEPTOS Y PARAMETROS'!H:I,2,0)*($V112+AA112+AB112+AC112),2),0)</f>
        <v>94</v>
      </c>
      <c r="AE112" s="1150">
        <f t="shared" ref="AE112" si="307">SUM(AA112:AD112)</f>
        <v>224</v>
      </c>
      <c r="AF112" s="1150">
        <f t="shared" ref="AF112" si="308">ROUND(AA112/2,2)</f>
        <v>0</v>
      </c>
      <c r="AG112" s="1150">
        <f t="shared" ref="AG112" si="309">ROUND(AA112-AF112,2)</f>
        <v>0</v>
      </c>
      <c r="AH112" s="1150">
        <f t="shared" ref="AH112" si="310">ROUND(AB112/2,2)</f>
        <v>65</v>
      </c>
      <c r="AI112" s="1150">
        <f t="shared" ref="AI112" si="311">ROUND(AB112-AH112,2)</f>
        <v>65</v>
      </c>
      <c r="AJ112" s="1150">
        <f t="shared" ref="AJ112" si="312">ROUND(AD112/2,2)</f>
        <v>47</v>
      </c>
      <c r="AK112" s="1150">
        <f t="shared" ref="AK112" si="313">ROUND(AD112-AJ112,2)</f>
        <v>47</v>
      </c>
      <c r="AL112" s="1151">
        <f t="shared" ref="AL112" si="314">ROUND(AF112+AH112+AJ112+AC112,2)</f>
        <v>112</v>
      </c>
      <c r="AM112" s="1151">
        <f t="shared" ref="AM112" si="315">ROUND(AG112+AI112+AK112,2)</f>
        <v>112</v>
      </c>
      <c r="AN112" s="1028">
        <v>0</v>
      </c>
      <c r="AO112" s="1193">
        <f>'CONCEPTOS Y PARAMETROS'!$C$18*AN112</f>
        <v>0</v>
      </c>
      <c r="AP112" s="1028">
        <v>0</v>
      </c>
      <c r="AQ112" s="1193">
        <f>'CONCEPTOS Y PARAMETROS'!$C$21*AP112</f>
        <v>0</v>
      </c>
      <c r="AR112" s="1394">
        <v>0</v>
      </c>
      <c r="AS112" s="1394">
        <v>0</v>
      </c>
      <c r="AT112" s="1394">
        <f t="shared" ref="AT112" si="316">+AO112+AQ112+AR112+AS112</f>
        <v>0</v>
      </c>
      <c r="AU112" s="1151">
        <f t="shared" ref="AU112" si="317">V112+AE112+AW112</f>
        <v>611</v>
      </c>
      <c r="AV112" s="1178" t="s">
        <v>5080</v>
      </c>
      <c r="AW112" s="1151">
        <f t="shared" ref="AW112" si="318">ROUND(IF(AV112="NOCTURN",(V112+AE112)*30%,0),2)</f>
        <v>141</v>
      </c>
      <c r="AX112" s="1150">
        <f>IF(T112&lt;&gt;"0",(ROUND(IF(A112="EMPLEADO",eval_formula('CONCEPTOS Y PARAMETROS'!$C$8,NOMINA!V112,NOMINA!$AU112,NOMINA!I112+NOMINA!J112),eval_formula('CONCEPTOS Y PARAMETROS'!$D$8,NOMINA!V112,NOMINA!$AU112,NOMINA!I112+NOMINA!J112)),2))*IF(H112&lt;&gt;"",IF(MONTH(H112)=$BR$8,IF(YEAR(H112)&lt;$BT$7,1,0),0)))</f>
        <v>0</v>
      </c>
      <c r="AY112" s="1151">
        <v>75</v>
      </c>
      <c r="AZ112" s="1150">
        <f>IFERROR(VLOOKUP(AY112,'CONCEPTOS Y PARAMETROS'!Y:Z,2,0),0)</f>
        <v>62.5</v>
      </c>
      <c r="BA112" s="1150">
        <f t="shared" ref="BA112" si="319">ROUND((((AU112))/30*AY112/12+(AU112))/30*AZ112,2)</f>
        <v>1538.11</v>
      </c>
      <c r="BB112" s="1150">
        <f t="shared" si="287"/>
        <v>0</v>
      </c>
      <c r="BC112" s="1028">
        <v>0</v>
      </c>
      <c r="BD112" s="1150" t="str">
        <f t="shared" ref="BD112" si="320">IF(BC112&gt;0,((((((V112+AA112+AB112+AC112+AD112)/30)/8)*50%)+((((V112+AA112+AB112+AC112+AD112)/30)/8)))*30%+(((((V112+AA112+AB112+AC112+AD112)/30)/8)*50%)+((((V112+AA112+AB112+AC112+AD112)/30)/8))))*BC112,"0")</f>
        <v>0</v>
      </c>
      <c r="BE112" s="1028">
        <v>3</v>
      </c>
      <c r="BF112" s="1150">
        <f t="shared" si="284"/>
        <v>91.65</v>
      </c>
      <c r="BG112" s="1151">
        <v>300</v>
      </c>
      <c r="BH112" s="1151">
        <f t="shared" si="261"/>
        <v>0</v>
      </c>
      <c r="BI112" s="1180">
        <v>0</v>
      </c>
      <c r="BJ112" s="1180">
        <f t="shared" si="262"/>
        <v>0</v>
      </c>
      <c r="BK112" s="1151">
        <v>0</v>
      </c>
      <c r="BL112" s="1150">
        <f t="shared" si="170"/>
        <v>22.56</v>
      </c>
      <c r="BM112" s="1150">
        <f t="shared" si="171"/>
        <v>2.82</v>
      </c>
      <c r="BN112" s="1150">
        <f t="shared" si="263"/>
        <v>6.11</v>
      </c>
      <c r="BO112" s="1150">
        <v>0</v>
      </c>
      <c r="BP112" s="1150">
        <v>0</v>
      </c>
      <c r="BQ112" s="1396">
        <f t="shared" ref="BQ112" si="321">ROUND(SUM(BL112:BP112),2)</f>
        <v>31.49</v>
      </c>
      <c r="BR112" s="1150">
        <f t="shared" si="172"/>
        <v>50.76</v>
      </c>
      <c r="BS112" s="1150">
        <f t="shared" si="173"/>
        <v>11.28</v>
      </c>
      <c r="BT112" s="1150">
        <f t="shared" si="264"/>
        <v>12.22</v>
      </c>
      <c r="BU112" s="1150">
        <v>0</v>
      </c>
      <c r="BV112" s="1151">
        <f t="shared" ref="BV112" si="322">ROUND(SUM(BR112:BT112),2)</f>
        <v>74.260000000000005</v>
      </c>
      <c r="BW112" s="1155">
        <f t="shared" ref="BW112" si="323">BQ112+BV112</f>
        <v>105.75</v>
      </c>
      <c r="BX112" s="1155">
        <f t="shared" si="239"/>
        <v>384.53</v>
      </c>
      <c r="BY112" s="1151">
        <v>0</v>
      </c>
      <c r="BZ112" s="1151">
        <f t="shared" si="265"/>
        <v>384.53</v>
      </c>
      <c r="CA112" s="1397">
        <f>'CONCEPTOS Y PARAMETROS'!$A$102</f>
        <v>2120</v>
      </c>
      <c r="CB112" s="1155">
        <f t="shared" si="266"/>
        <v>203.51</v>
      </c>
      <c r="CC112" s="1156">
        <f t="shared" si="267"/>
        <v>767.65</v>
      </c>
      <c r="CD112" s="514"/>
      <c r="CE112" s="514"/>
      <c r="CF112" s="521"/>
      <c r="CG112" s="511">
        <f t="shared" si="268"/>
        <v>203.51</v>
      </c>
      <c r="CH112" s="1712">
        <f t="shared" si="269"/>
        <v>300</v>
      </c>
      <c r="CI112" s="511">
        <f t="shared" si="270"/>
        <v>535</v>
      </c>
      <c r="CJ112" s="511">
        <f t="shared" si="271"/>
        <v>535</v>
      </c>
      <c r="CK112" s="511">
        <f t="shared" si="272"/>
        <v>0</v>
      </c>
      <c r="CL112" s="511">
        <f t="shared" si="273"/>
        <v>0</v>
      </c>
      <c r="CM112" s="511">
        <f t="shared" si="274"/>
        <v>0</v>
      </c>
      <c r="CN112" s="512">
        <f t="shared" si="275"/>
        <v>91.65</v>
      </c>
      <c r="CO112" s="513">
        <v>0</v>
      </c>
      <c r="CP112" s="512">
        <f t="shared" si="276"/>
        <v>141</v>
      </c>
      <c r="CQ112" s="500">
        <f t="shared" si="277"/>
        <v>0</v>
      </c>
      <c r="CR112" s="512">
        <f t="shared" si="278"/>
        <v>0</v>
      </c>
      <c r="CS112" s="512">
        <f t="shared" si="279"/>
        <v>232.65</v>
      </c>
      <c r="CT112" s="512">
        <f t="shared" si="280"/>
        <v>105.75</v>
      </c>
      <c r="CU112" s="512">
        <f t="shared" si="281"/>
        <v>2120</v>
      </c>
      <c r="CV112" s="1556"/>
      <c r="CW112" s="1195" t="s">
        <v>6998</v>
      </c>
      <c r="CX112" s="1195" t="s">
        <v>7255</v>
      </c>
      <c r="CY112" s="514"/>
      <c r="CZ112" s="1199" t="s">
        <v>6804</v>
      </c>
      <c r="DA112" s="1199" t="s">
        <v>6173</v>
      </c>
      <c r="DB112" s="1199" t="s">
        <v>6291</v>
      </c>
      <c r="DC112" s="514" t="s">
        <v>6572</v>
      </c>
      <c r="DD112" s="514"/>
      <c r="DE112" s="514"/>
      <c r="DF112" s="514"/>
      <c r="DG112" s="514"/>
      <c r="DH112" s="514"/>
      <c r="DJ112" s="478" t="str">
        <f>VLOOKUP(X112,Hoja1!$A$4:$B$10,2,0)</f>
        <v>PROFESIONAL</v>
      </c>
      <c r="DK112" s="478" t="str">
        <f>VLOOKUP(S112,Hoja1!$D$4:$F$77,3,0)</f>
        <v>PI</v>
      </c>
      <c r="DL112" s="1225" t="str">
        <f t="shared" si="282"/>
        <v>SI</v>
      </c>
      <c r="DM112" s="1743" t="str">
        <f t="shared" si="283"/>
        <v>F</v>
      </c>
      <c r="DN112" s="1743"/>
    </row>
    <row r="113" spans="1:118" s="473" customFormat="1" ht="21.95" customHeight="1">
      <c r="A113" s="510" t="s">
        <v>2846</v>
      </c>
      <c r="B113" s="1390">
        <f t="shared" ca="1" si="144"/>
        <v>71</v>
      </c>
      <c r="C113" s="1194">
        <v>12045360</v>
      </c>
      <c r="D113" s="1195" t="s">
        <v>4754</v>
      </c>
      <c r="E113" s="1180" t="s">
        <v>4622</v>
      </c>
      <c r="F113" s="1196">
        <v>26792</v>
      </c>
      <c r="G113" s="1180" t="s">
        <v>4620</v>
      </c>
      <c r="H113" s="1196">
        <v>39238</v>
      </c>
      <c r="I113" s="1185">
        <f t="shared" si="259"/>
        <v>17</v>
      </c>
      <c r="J113" s="1177">
        <v>0</v>
      </c>
      <c r="K113" s="1185">
        <f t="shared" si="260"/>
        <v>17</v>
      </c>
      <c r="L113" s="1191" t="s">
        <v>5554</v>
      </c>
      <c r="M113" s="1177"/>
      <c r="N113" s="1177"/>
      <c r="O113" s="1040" t="s">
        <v>5222</v>
      </c>
      <c r="P113" s="1177" t="s">
        <v>5331</v>
      </c>
      <c r="Q113" s="1391" t="str">
        <f>IFERROR(VLOOKUP(O113,CARGOS!A:E,2,0),"")</f>
        <v>79511</v>
      </c>
      <c r="R113" s="1403" t="s">
        <v>5222</v>
      </c>
      <c r="S113" s="1192" t="s">
        <v>5470</v>
      </c>
      <c r="T113" s="1150">
        <f>IFERROR(VLOOKUP(S113,'TAB EMP'!A:B,2,0),0)</f>
        <v>176</v>
      </c>
      <c r="U113" s="1151">
        <v>0</v>
      </c>
      <c r="V113" s="1150">
        <f t="shared" si="288"/>
        <v>176</v>
      </c>
      <c r="W113" s="1151">
        <f t="shared" si="289"/>
        <v>88</v>
      </c>
      <c r="X113" s="1180" t="s">
        <v>2884</v>
      </c>
      <c r="Y113" s="1180"/>
      <c r="Z113" s="1180">
        <v>1</v>
      </c>
      <c r="AA113" s="1150">
        <f>ROUND(IF(H113&lt;&gt;"",VLOOKUP(SUM(I113+J113),'CONCEPTOS Y PARAMETROS'!F:G,2,0)*V113,0),2)</f>
        <v>37.31</v>
      </c>
      <c r="AB113" s="1150">
        <f>IF(S113&lt;&gt;"",IF(M113="",'CONCEPTOS Y PARAMETROS'!$C$4,0),0)</f>
        <v>130</v>
      </c>
      <c r="AC113" s="1150">
        <f>IF(S113&lt;&gt;"",IF(M113="",'CONCEPTOS Y PARAMETROS'!$C$7*Z113,0),0)</f>
        <v>12.5</v>
      </c>
      <c r="AD113" s="1150">
        <f>IFERROR(ROUND(VLOOKUP($X113,'CONCEPTOS Y PARAMETROS'!H:I,2,0)*($V113+AA113+AB113+AC113),2),0)</f>
        <v>0</v>
      </c>
      <c r="AE113" s="1150">
        <f t="shared" si="285"/>
        <v>179.81</v>
      </c>
      <c r="AF113" s="1150">
        <f t="shared" si="290"/>
        <v>18.66</v>
      </c>
      <c r="AG113" s="1150">
        <f t="shared" si="291"/>
        <v>18.649999999999999</v>
      </c>
      <c r="AH113" s="1150">
        <f t="shared" si="292"/>
        <v>65</v>
      </c>
      <c r="AI113" s="1150">
        <f t="shared" si="293"/>
        <v>65</v>
      </c>
      <c r="AJ113" s="1150">
        <f t="shared" si="294"/>
        <v>0</v>
      </c>
      <c r="AK113" s="1150">
        <f t="shared" si="295"/>
        <v>0</v>
      </c>
      <c r="AL113" s="1151">
        <f t="shared" si="296"/>
        <v>96.16</v>
      </c>
      <c r="AM113" s="1151">
        <f t="shared" si="297"/>
        <v>83.65</v>
      </c>
      <c r="AN113" s="1028">
        <v>0</v>
      </c>
      <c r="AO113" s="1193">
        <f>'CONCEPTOS Y PARAMETROS'!$C$18*AN113</f>
        <v>0</v>
      </c>
      <c r="AP113" s="1028">
        <v>0</v>
      </c>
      <c r="AQ113" s="1193">
        <f>'CONCEPTOS Y PARAMETROS'!$C$21*AP113</f>
        <v>0</v>
      </c>
      <c r="AR113" s="1394">
        <v>0</v>
      </c>
      <c r="AS113" s="1394">
        <v>0</v>
      </c>
      <c r="AT113" s="1394">
        <f t="shared" si="286"/>
        <v>0</v>
      </c>
      <c r="AU113" s="1151">
        <f t="shared" si="298"/>
        <v>355.81</v>
      </c>
      <c r="AV113" s="1178">
        <v>0</v>
      </c>
      <c r="AW113" s="1151">
        <f t="shared" si="299"/>
        <v>0</v>
      </c>
      <c r="AX113" s="1150">
        <f>IF(T113&lt;&gt;"0",(ROUND(IF(A113="EMPLEADO",eval_formula('CONCEPTOS Y PARAMETROS'!$C$8,NOMINA!V113,NOMINA!$AU113,NOMINA!I113+NOMINA!J113),eval_formula('CONCEPTOS Y PARAMETROS'!$D$8,NOMINA!V113,NOMINA!$AU113,NOMINA!I113+NOMINA!J113)),2))*IF(H113&lt;&gt;"",IF(MONTH(H113)=$BR$8,IF(YEAR(H113)&lt;$BT$7,1,0),0)))</f>
        <v>0</v>
      </c>
      <c r="AY113" s="1151">
        <v>180</v>
      </c>
      <c r="AZ113" s="1150">
        <f>IFERROR(VLOOKUP(AY113,'CONCEPTOS Y PARAMETROS'!Y:Z,2,0),0)</f>
        <v>150</v>
      </c>
      <c r="BA113" s="1150">
        <f t="shared" si="300"/>
        <v>2668.58</v>
      </c>
      <c r="BB113" s="1150">
        <f t="shared" si="287"/>
        <v>0</v>
      </c>
      <c r="BC113" s="1028">
        <v>0</v>
      </c>
      <c r="BD113" s="1150" t="str">
        <f t="shared" si="301"/>
        <v>0</v>
      </c>
      <c r="BE113" s="1028">
        <v>0</v>
      </c>
      <c r="BF113" s="1150">
        <f t="shared" si="284"/>
        <v>0</v>
      </c>
      <c r="BG113" s="1151">
        <v>300</v>
      </c>
      <c r="BH113" s="1151">
        <f t="shared" si="261"/>
        <v>0</v>
      </c>
      <c r="BI113" s="1180">
        <v>0</v>
      </c>
      <c r="BJ113" s="1180">
        <f t="shared" si="262"/>
        <v>0</v>
      </c>
      <c r="BK113" s="1151">
        <v>0</v>
      </c>
      <c r="BL113" s="1150">
        <f t="shared" si="170"/>
        <v>13.14</v>
      </c>
      <c r="BM113" s="1150">
        <f t="shared" si="171"/>
        <v>1.64</v>
      </c>
      <c r="BN113" s="1150">
        <f t="shared" si="263"/>
        <v>3.56</v>
      </c>
      <c r="BO113" s="1150">
        <v>0</v>
      </c>
      <c r="BP113" s="1150">
        <v>0</v>
      </c>
      <c r="BQ113" s="1396">
        <f t="shared" si="302"/>
        <v>18.34</v>
      </c>
      <c r="BR113" s="1150">
        <f t="shared" si="172"/>
        <v>29.56</v>
      </c>
      <c r="BS113" s="1150">
        <f t="shared" si="173"/>
        <v>6.57</v>
      </c>
      <c r="BT113" s="1150">
        <f t="shared" si="264"/>
        <v>7.12</v>
      </c>
      <c r="BU113" s="1150">
        <v>0</v>
      </c>
      <c r="BV113" s="1151">
        <f t="shared" si="303"/>
        <v>43.25</v>
      </c>
      <c r="BW113" s="1155">
        <f t="shared" si="304"/>
        <v>61.59</v>
      </c>
      <c r="BX113" s="1155">
        <f t="shared" si="239"/>
        <v>667.15</v>
      </c>
      <c r="BY113" s="1151">
        <v>0</v>
      </c>
      <c r="BZ113" s="1151">
        <f t="shared" si="265"/>
        <v>667.15</v>
      </c>
      <c r="CA113" s="1397">
        <f>'CONCEPTOS Y PARAMETROS'!$A$102</f>
        <v>2120</v>
      </c>
      <c r="CB113" s="1155">
        <f t="shared" si="266"/>
        <v>165.82</v>
      </c>
      <c r="CC113" s="1156">
        <f t="shared" si="267"/>
        <v>471.65</v>
      </c>
      <c r="CD113" s="514"/>
      <c r="CE113" s="514"/>
      <c r="CF113" s="520"/>
      <c r="CG113" s="497">
        <f t="shared" si="268"/>
        <v>165.82</v>
      </c>
      <c r="CH113" s="1711">
        <f t="shared" si="269"/>
        <v>300</v>
      </c>
      <c r="CI113" s="497">
        <f t="shared" si="270"/>
        <v>471.65</v>
      </c>
      <c r="CJ113" s="497">
        <f t="shared" si="271"/>
        <v>471.65</v>
      </c>
      <c r="CK113" s="497">
        <f t="shared" si="272"/>
        <v>0</v>
      </c>
      <c r="CL113" s="497">
        <f t="shared" si="273"/>
        <v>0</v>
      </c>
      <c r="CM113" s="497">
        <f t="shared" si="274"/>
        <v>0</v>
      </c>
      <c r="CN113" s="498">
        <f t="shared" si="275"/>
        <v>0</v>
      </c>
      <c r="CO113" s="499">
        <v>0</v>
      </c>
      <c r="CP113" s="498">
        <f t="shared" si="276"/>
        <v>0</v>
      </c>
      <c r="CQ113" s="500">
        <f t="shared" si="277"/>
        <v>0</v>
      </c>
      <c r="CR113" s="498">
        <f t="shared" si="278"/>
        <v>0</v>
      </c>
      <c r="CS113" s="498">
        <f t="shared" si="279"/>
        <v>0</v>
      </c>
      <c r="CT113" s="498">
        <f t="shared" si="280"/>
        <v>61.59</v>
      </c>
      <c r="CU113" s="498">
        <f t="shared" si="281"/>
        <v>2120</v>
      </c>
      <c r="CV113" s="1554"/>
      <c r="CW113" s="1195" t="s">
        <v>6972</v>
      </c>
      <c r="CX113" s="1195" t="s">
        <v>6990</v>
      </c>
      <c r="CY113" s="472"/>
      <c r="CZ113" s="514" t="s">
        <v>6410</v>
      </c>
      <c r="DA113" s="514" t="s">
        <v>6196</v>
      </c>
      <c r="DB113" s="514" t="s">
        <v>6260</v>
      </c>
      <c r="DC113" s="514" t="s">
        <v>6411</v>
      </c>
      <c r="DD113" s="472"/>
      <c r="DE113" s="472"/>
      <c r="DF113" s="472"/>
      <c r="DG113" s="472"/>
      <c r="DH113" s="472"/>
      <c r="DJ113" s="473" t="str">
        <f>VLOOKUP(X113,Hoja1!$A$4:$B$10,2,0)</f>
        <v>BACHILLER</v>
      </c>
      <c r="DK113" s="473" t="str">
        <f>VLOOKUP(S113,Hoja1!$D$4:$F$77,3,0)</f>
        <v>BIII - VI</v>
      </c>
      <c r="DL113" s="1216" t="str">
        <f t="shared" si="282"/>
        <v>0</v>
      </c>
      <c r="DM113" s="1741" t="str">
        <f t="shared" si="283"/>
        <v>F</v>
      </c>
      <c r="DN113" s="1741"/>
    </row>
    <row r="114" spans="1:118" s="1654" customFormat="1" ht="21.95" customHeight="1">
      <c r="A114" s="1624" t="s">
        <v>2846</v>
      </c>
      <c r="B114" s="1625">
        <f t="shared" ca="1" si="144"/>
        <v>72</v>
      </c>
      <c r="C114" s="1626">
        <v>12045504</v>
      </c>
      <c r="D114" s="1627" t="s">
        <v>4755</v>
      </c>
      <c r="E114" s="1628" t="s">
        <v>4622</v>
      </c>
      <c r="F114" s="1629">
        <v>26827</v>
      </c>
      <c r="G114" s="1628" t="s">
        <v>4620</v>
      </c>
      <c r="H114" s="1629">
        <v>43862</v>
      </c>
      <c r="I114" s="1630">
        <f t="shared" si="259"/>
        <v>4</v>
      </c>
      <c r="J114" s="1631">
        <v>0</v>
      </c>
      <c r="K114" s="1630">
        <f t="shared" si="260"/>
        <v>4</v>
      </c>
      <c r="L114" s="1632" t="s">
        <v>5558</v>
      </c>
      <c r="M114" s="1631"/>
      <c r="N114" s="1631"/>
      <c r="O114" s="1633" t="s">
        <v>7422</v>
      </c>
      <c r="P114" s="1631" t="s">
        <v>5332</v>
      </c>
      <c r="Q114" s="1634" t="str">
        <f>IFERROR(VLOOKUP(O114,CARGOS!A:E,2,0),"")</f>
        <v>12112</v>
      </c>
      <c r="R114" s="1635" t="s">
        <v>7422</v>
      </c>
      <c r="S114" s="1636" t="s">
        <v>5490</v>
      </c>
      <c r="T114" s="1637">
        <f>IFERROR(VLOOKUP(S114,'TAB EMP'!A:B,2,0),0)</f>
        <v>150</v>
      </c>
      <c r="U114" s="1638">
        <v>0</v>
      </c>
      <c r="V114" s="1637">
        <f t="shared" si="288"/>
        <v>150</v>
      </c>
      <c r="W114" s="1638">
        <f t="shared" si="289"/>
        <v>75</v>
      </c>
      <c r="X114" s="1628" t="s">
        <v>2884</v>
      </c>
      <c r="Y114" s="1628"/>
      <c r="Z114" s="1628">
        <v>2</v>
      </c>
      <c r="AA114" s="1637">
        <f>ROUND(IF(H114&lt;&gt;"",VLOOKUP(SUM(I114+J114),'CONCEPTOS Y PARAMETROS'!F:G,2,0)*V114,0),2)</f>
        <v>6</v>
      </c>
      <c r="AB114" s="1637">
        <f>IF(S114&lt;&gt;"",IF(M114="",'CONCEPTOS Y PARAMETROS'!$C$4,0),0)</f>
        <v>130</v>
      </c>
      <c r="AC114" s="1637">
        <f>IF(S114&lt;&gt;"",IF(M114="",'CONCEPTOS Y PARAMETROS'!$C$7*Z114,0),0)</f>
        <v>25</v>
      </c>
      <c r="AD114" s="1637">
        <f>IFERROR(ROUND(VLOOKUP($X114,'CONCEPTOS Y PARAMETROS'!H:I,2,0)*($V114+AA114+AB114+AC114),2),0)</f>
        <v>0</v>
      </c>
      <c r="AE114" s="1637">
        <f t="shared" si="285"/>
        <v>161</v>
      </c>
      <c r="AF114" s="1637">
        <f t="shared" si="290"/>
        <v>3</v>
      </c>
      <c r="AG114" s="1637">
        <f t="shared" si="291"/>
        <v>3</v>
      </c>
      <c r="AH114" s="1637">
        <f t="shared" si="292"/>
        <v>65</v>
      </c>
      <c r="AI114" s="1637">
        <f t="shared" si="293"/>
        <v>65</v>
      </c>
      <c r="AJ114" s="1637">
        <f t="shared" si="294"/>
        <v>0</v>
      </c>
      <c r="AK114" s="1637">
        <f t="shared" si="295"/>
        <v>0</v>
      </c>
      <c r="AL114" s="1638">
        <f t="shared" si="296"/>
        <v>93</v>
      </c>
      <c r="AM114" s="1638">
        <f t="shared" si="297"/>
        <v>68</v>
      </c>
      <c r="AN114" s="1583">
        <v>2</v>
      </c>
      <c r="AO114" s="1640">
        <f>'CONCEPTOS Y PARAMETROS'!$C$18*AN114</f>
        <v>25</v>
      </c>
      <c r="AP114" s="1639">
        <v>0</v>
      </c>
      <c r="AQ114" s="1640">
        <f>'CONCEPTOS Y PARAMETROS'!$C$21*AP114</f>
        <v>0</v>
      </c>
      <c r="AR114" s="1641">
        <v>0</v>
      </c>
      <c r="AS114" s="1641">
        <v>0</v>
      </c>
      <c r="AT114" s="1641">
        <f t="shared" si="286"/>
        <v>25</v>
      </c>
      <c r="AU114" s="1638">
        <f t="shared" si="298"/>
        <v>311</v>
      </c>
      <c r="AV114" s="1642">
        <v>0</v>
      </c>
      <c r="AW114" s="1638">
        <f t="shared" si="299"/>
        <v>0</v>
      </c>
      <c r="AX114" s="1637">
        <f>IF(T114&lt;&gt;"0",(ROUND(IF(A114="EMPLEADO",eval_formula('CONCEPTOS Y PARAMETROS'!$C$8,NOMINA!V114,NOMINA!$AU114,NOMINA!I114+NOMINA!J114),eval_formula('CONCEPTOS Y PARAMETROS'!$D$8,NOMINA!V114,NOMINA!$AU114,NOMINA!I114+NOMINA!J114)),2))*IF(H114&lt;&gt;"",IF(MONTH(H114)=$BR$8,IF(YEAR(H114)&lt;$BT$7,1,0),0)))</f>
        <v>0</v>
      </c>
      <c r="AY114" s="1638">
        <v>180</v>
      </c>
      <c r="AZ114" s="1637">
        <f>IFERROR(VLOOKUP(AY114,'CONCEPTOS Y PARAMETROS'!Y:Z,2,0),0)</f>
        <v>150</v>
      </c>
      <c r="BA114" s="1637">
        <f t="shared" si="300"/>
        <v>2332.5</v>
      </c>
      <c r="BB114" s="1637">
        <f t="shared" si="287"/>
        <v>0</v>
      </c>
      <c r="BC114" s="1639">
        <v>0</v>
      </c>
      <c r="BD114" s="1637" t="str">
        <f t="shared" si="301"/>
        <v>0</v>
      </c>
      <c r="BE114" s="1639">
        <v>0</v>
      </c>
      <c r="BF114" s="1637">
        <f t="shared" si="284"/>
        <v>0</v>
      </c>
      <c r="BG114" s="1638">
        <v>300</v>
      </c>
      <c r="BH114" s="1638">
        <f t="shared" si="261"/>
        <v>0</v>
      </c>
      <c r="BI114" s="1628">
        <v>0</v>
      </c>
      <c r="BJ114" s="1628">
        <f t="shared" si="262"/>
        <v>0</v>
      </c>
      <c r="BK114" s="1638">
        <v>0</v>
      </c>
      <c r="BL114" s="1637">
        <f t="shared" si="170"/>
        <v>11.48</v>
      </c>
      <c r="BM114" s="1637">
        <f t="shared" si="171"/>
        <v>1.44</v>
      </c>
      <c r="BN114" s="1637">
        <f t="shared" si="263"/>
        <v>3.11</v>
      </c>
      <c r="BO114" s="1637">
        <v>0</v>
      </c>
      <c r="BP114" s="1637">
        <v>0</v>
      </c>
      <c r="BQ114" s="1643">
        <f t="shared" si="302"/>
        <v>16.03</v>
      </c>
      <c r="BR114" s="1637">
        <f t="shared" si="172"/>
        <v>25.84</v>
      </c>
      <c r="BS114" s="1637">
        <f t="shared" si="173"/>
        <v>5.74</v>
      </c>
      <c r="BT114" s="1637">
        <f t="shared" si="264"/>
        <v>6.22</v>
      </c>
      <c r="BU114" s="1637">
        <v>0</v>
      </c>
      <c r="BV114" s="1638">
        <f t="shared" si="303"/>
        <v>37.799999999999997</v>
      </c>
      <c r="BW114" s="1644">
        <f t="shared" si="304"/>
        <v>53.83</v>
      </c>
      <c r="BX114" s="1644">
        <f t="shared" si="239"/>
        <v>583.13</v>
      </c>
      <c r="BY114" s="1638">
        <v>0</v>
      </c>
      <c r="BZ114" s="1638">
        <f t="shared" si="265"/>
        <v>583.13</v>
      </c>
      <c r="CA114" s="1645">
        <f>'CONCEPTOS Y PARAMETROS'!$A$102</f>
        <v>2120</v>
      </c>
      <c r="CB114" s="1644">
        <f t="shared" si="266"/>
        <v>151.97</v>
      </c>
      <c r="CC114" s="1646">
        <f t="shared" si="267"/>
        <v>468</v>
      </c>
      <c r="CD114" s="1647"/>
      <c r="CE114" s="1647"/>
      <c r="CF114" s="1648"/>
      <c r="CG114" s="1649">
        <f t="shared" si="268"/>
        <v>151.97</v>
      </c>
      <c r="CH114" s="1713">
        <f t="shared" si="269"/>
        <v>300</v>
      </c>
      <c r="CI114" s="1649">
        <f t="shared" si="270"/>
        <v>443</v>
      </c>
      <c r="CJ114" s="1649">
        <f t="shared" si="271"/>
        <v>443</v>
      </c>
      <c r="CK114" s="1649">
        <f t="shared" si="272"/>
        <v>0</v>
      </c>
      <c r="CL114" s="1649">
        <f t="shared" si="273"/>
        <v>0</v>
      </c>
      <c r="CM114" s="1649">
        <f t="shared" si="274"/>
        <v>0</v>
      </c>
      <c r="CN114" s="1650">
        <f t="shared" si="275"/>
        <v>0</v>
      </c>
      <c r="CO114" s="1651">
        <v>0</v>
      </c>
      <c r="CP114" s="1650">
        <f t="shared" si="276"/>
        <v>0</v>
      </c>
      <c r="CQ114" s="1652">
        <f t="shared" si="277"/>
        <v>25</v>
      </c>
      <c r="CR114" s="1650">
        <f t="shared" si="278"/>
        <v>0</v>
      </c>
      <c r="CS114" s="1650">
        <f t="shared" si="279"/>
        <v>25</v>
      </c>
      <c r="CT114" s="1650">
        <f t="shared" si="280"/>
        <v>53.83</v>
      </c>
      <c r="CU114" s="1650">
        <f t="shared" si="281"/>
        <v>2120</v>
      </c>
      <c r="CV114" s="1653"/>
      <c r="CW114" s="1627" t="s">
        <v>7191</v>
      </c>
      <c r="CX114" s="1627" t="s">
        <v>6973</v>
      </c>
      <c r="CY114" s="1647"/>
      <c r="CZ114" s="1647" t="s">
        <v>6396</v>
      </c>
      <c r="DA114" s="1657" t="s">
        <v>6173</v>
      </c>
      <c r="DB114" s="1647" t="s">
        <v>6234</v>
      </c>
      <c r="DC114" s="1647" t="s">
        <v>6569</v>
      </c>
      <c r="DD114" s="1647"/>
      <c r="DE114" s="1647"/>
      <c r="DF114" s="1647"/>
      <c r="DG114" s="1647"/>
      <c r="DH114" s="1647"/>
      <c r="DJ114" s="1654" t="str">
        <f>VLOOKUP(X114,Hoja1!$A$4:$B$10,2,0)</f>
        <v>BACHILLER</v>
      </c>
      <c r="DK114" s="1654" t="str">
        <f>VLOOKUP(S114,Hoja1!$D$4:$F$77,3,0)</f>
        <v>BII - II</v>
      </c>
      <c r="DL114" s="1655" t="str">
        <f t="shared" si="282"/>
        <v>0</v>
      </c>
      <c r="DM114" s="1742" t="str">
        <f t="shared" si="283"/>
        <v>F</v>
      </c>
      <c r="DN114" s="1742"/>
    </row>
    <row r="115" spans="1:118" s="473" customFormat="1" ht="21.95" customHeight="1">
      <c r="A115" s="510" t="s">
        <v>2846</v>
      </c>
      <c r="B115" s="1390">
        <f t="shared" ca="1" si="144"/>
        <v>73</v>
      </c>
      <c r="C115" s="1194">
        <v>12045934</v>
      </c>
      <c r="D115" s="1195" t="s">
        <v>4756</v>
      </c>
      <c r="E115" s="1180" t="s">
        <v>4622</v>
      </c>
      <c r="F115" s="1196">
        <v>27474</v>
      </c>
      <c r="G115" s="1180" t="s">
        <v>4621</v>
      </c>
      <c r="H115" s="1196">
        <v>36342</v>
      </c>
      <c r="I115" s="1185">
        <f t="shared" si="259"/>
        <v>25</v>
      </c>
      <c r="J115" s="1177">
        <v>1</v>
      </c>
      <c r="K115" s="1185">
        <f t="shared" si="260"/>
        <v>26</v>
      </c>
      <c r="L115" s="1191" t="s">
        <v>5552</v>
      </c>
      <c r="M115" s="1177"/>
      <c r="N115" s="1177"/>
      <c r="O115" s="1040" t="s">
        <v>5244</v>
      </c>
      <c r="P115" s="1177" t="s">
        <v>5333</v>
      </c>
      <c r="Q115" s="1391" t="str">
        <f>IFERROR(VLOOKUP(O115,CARGOS!A:E,2,0),"")</f>
        <v>23471</v>
      </c>
      <c r="R115" s="1403" t="s">
        <v>5244</v>
      </c>
      <c r="S115" s="1192" t="s">
        <v>5471</v>
      </c>
      <c r="T115" s="1150">
        <f>IFERROR(VLOOKUP(S115,'TAB EMP'!A:B,2,0),0)</f>
        <v>287</v>
      </c>
      <c r="U115" s="1151">
        <v>0</v>
      </c>
      <c r="V115" s="1150">
        <f t="shared" si="288"/>
        <v>287</v>
      </c>
      <c r="W115" s="1151">
        <f t="shared" si="289"/>
        <v>143.5</v>
      </c>
      <c r="X115" s="1180" t="s">
        <v>2885</v>
      </c>
      <c r="Y115" s="1180"/>
      <c r="Z115" s="1180">
        <v>0</v>
      </c>
      <c r="AA115" s="1150">
        <f>ROUND(IF(H115&lt;&gt;"",VLOOKUP(SUM(I115+J115),'CONCEPTOS Y PARAMETROS'!F:G,2,0)*V115,0),2)</f>
        <v>86.1</v>
      </c>
      <c r="AB115" s="1150">
        <f>IF(S115&lt;&gt;"",IF(M115="",'CONCEPTOS Y PARAMETROS'!$C$4,0),0)</f>
        <v>130</v>
      </c>
      <c r="AC115" s="1150">
        <f>IF(S115&lt;&gt;"",IF(M115="",'CONCEPTOS Y PARAMETROS'!$C$7*Z115,0),0)</f>
        <v>0</v>
      </c>
      <c r="AD115" s="1150">
        <f>IFERROR(ROUND(VLOOKUP($X115,'CONCEPTOS Y PARAMETROS'!H:I,2,0)*($V115+AA115+AB115+AC115),2),0)</f>
        <v>125.78</v>
      </c>
      <c r="AE115" s="1150">
        <f t="shared" si="285"/>
        <v>341.88</v>
      </c>
      <c r="AF115" s="1150">
        <f t="shared" si="290"/>
        <v>43.05</v>
      </c>
      <c r="AG115" s="1150">
        <f t="shared" si="291"/>
        <v>43.05</v>
      </c>
      <c r="AH115" s="1150">
        <f t="shared" si="292"/>
        <v>65</v>
      </c>
      <c r="AI115" s="1150">
        <f t="shared" si="293"/>
        <v>65</v>
      </c>
      <c r="AJ115" s="1150">
        <f t="shared" si="294"/>
        <v>62.89</v>
      </c>
      <c r="AK115" s="1150">
        <f t="shared" si="295"/>
        <v>62.89</v>
      </c>
      <c r="AL115" s="1151">
        <f t="shared" si="296"/>
        <v>170.94</v>
      </c>
      <c r="AM115" s="1151">
        <f t="shared" si="297"/>
        <v>170.94</v>
      </c>
      <c r="AN115" s="1028">
        <v>0</v>
      </c>
      <c r="AO115" s="1193">
        <f>'CONCEPTOS Y PARAMETROS'!$C$18*AN115</f>
        <v>0</v>
      </c>
      <c r="AP115" s="1028">
        <v>0</v>
      </c>
      <c r="AQ115" s="1193">
        <f>'CONCEPTOS Y PARAMETROS'!$C$21*AP115</f>
        <v>0</v>
      </c>
      <c r="AR115" s="1394">
        <v>0</v>
      </c>
      <c r="AS115" s="1394">
        <v>0</v>
      </c>
      <c r="AT115" s="1394">
        <f t="shared" si="286"/>
        <v>0</v>
      </c>
      <c r="AU115" s="1151">
        <f t="shared" si="298"/>
        <v>628.88</v>
      </c>
      <c r="AV115" s="1178">
        <v>0</v>
      </c>
      <c r="AW115" s="1151">
        <f t="shared" si="299"/>
        <v>0</v>
      </c>
      <c r="AX115" s="1150">
        <f>IF(T115&lt;&gt;"0",(ROUND(IF(A115="EMPLEADO",eval_formula('CONCEPTOS Y PARAMETROS'!$C$8,NOMINA!V115,NOMINA!$AU115,NOMINA!I115+NOMINA!J115),eval_formula('CONCEPTOS Y PARAMETROS'!$D$8,NOMINA!V115,NOMINA!$AU115,NOMINA!I115+NOMINA!J115)),2))*IF(H115&lt;&gt;"",IF(MONTH(H115)=$BR$8,IF(YEAR(H115)&lt;$BT$7,1,0),0)))</f>
        <v>0</v>
      </c>
      <c r="AY115" s="1151">
        <v>180</v>
      </c>
      <c r="AZ115" s="1150">
        <f>IFERROR(VLOOKUP(AY115,'CONCEPTOS Y PARAMETROS'!Y:Z,2,0),0)</f>
        <v>150</v>
      </c>
      <c r="BA115" s="1150">
        <f t="shared" si="300"/>
        <v>4716.6000000000004</v>
      </c>
      <c r="BB115" s="1150">
        <f t="shared" si="287"/>
        <v>0</v>
      </c>
      <c r="BC115" s="1028">
        <v>0</v>
      </c>
      <c r="BD115" s="1150" t="str">
        <f t="shared" si="301"/>
        <v>0</v>
      </c>
      <c r="BE115" s="1028">
        <v>0</v>
      </c>
      <c r="BF115" s="1150">
        <f t="shared" si="284"/>
        <v>0</v>
      </c>
      <c r="BG115" s="1151">
        <v>300</v>
      </c>
      <c r="BH115" s="1151">
        <f t="shared" si="261"/>
        <v>0</v>
      </c>
      <c r="BI115" s="1180">
        <v>0</v>
      </c>
      <c r="BJ115" s="1180">
        <f t="shared" si="262"/>
        <v>0</v>
      </c>
      <c r="BK115" s="1151">
        <v>0</v>
      </c>
      <c r="BL115" s="1150">
        <f t="shared" si="170"/>
        <v>23.22</v>
      </c>
      <c r="BM115" s="1150">
        <f t="shared" si="171"/>
        <v>2.9</v>
      </c>
      <c r="BN115" s="1150">
        <f t="shared" si="263"/>
        <v>6.29</v>
      </c>
      <c r="BO115" s="1150">
        <v>0</v>
      </c>
      <c r="BP115" s="1150">
        <v>0</v>
      </c>
      <c r="BQ115" s="1396">
        <f t="shared" si="302"/>
        <v>32.409999999999997</v>
      </c>
      <c r="BR115" s="1150">
        <f t="shared" si="172"/>
        <v>52.25</v>
      </c>
      <c r="BS115" s="1150">
        <f t="shared" si="173"/>
        <v>11.61</v>
      </c>
      <c r="BT115" s="1150">
        <f t="shared" si="264"/>
        <v>12.58</v>
      </c>
      <c r="BU115" s="1150">
        <v>0</v>
      </c>
      <c r="BV115" s="1151">
        <f t="shared" si="303"/>
        <v>76.44</v>
      </c>
      <c r="BW115" s="1155">
        <f t="shared" si="304"/>
        <v>108.85</v>
      </c>
      <c r="BX115" s="1155">
        <f t="shared" si="239"/>
        <v>1179.1500000000001</v>
      </c>
      <c r="BY115" s="1151">
        <v>0</v>
      </c>
      <c r="BZ115" s="1151">
        <f t="shared" si="265"/>
        <v>1179.1500000000001</v>
      </c>
      <c r="CA115" s="1397">
        <f>'CONCEPTOS Y PARAMETROS'!$A$102</f>
        <v>2120</v>
      </c>
      <c r="CB115" s="1155">
        <f t="shared" si="266"/>
        <v>282.02999999999997</v>
      </c>
      <c r="CC115" s="1156">
        <f t="shared" si="267"/>
        <v>614.44000000000005</v>
      </c>
      <c r="CD115" s="514"/>
      <c r="CE115" s="514"/>
      <c r="CF115" s="520"/>
      <c r="CG115" s="497">
        <f t="shared" si="268"/>
        <v>282.02999999999997</v>
      </c>
      <c r="CH115" s="1711">
        <f t="shared" si="269"/>
        <v>300</v>
      </c>
      <c r="CI115" s="497">
        <f t="shared" si="270"/>
        <v>614.44000000000005</v>
      </c>
      <c r="CJ115" s="497">
        <f t="shared" si="271"/>
        <v>294.93</v>
      </c>
      <c r="CK115" s="497">
        <f t="shared" si="272"/>
        <v>319.51000000000005</v>
      </c>
      <c r="CL115" s="497">
        <f t="shared" si="273"/>
        <v>0</v>
      </c>
      <c r="CM115" s="497">
        <f t="shared" si="274"/>
        <v>0</v>
      </c>
      <c r="CN115" s="498">
        <f t="shared" si="275"/>
        <v>0</v>
      </c>
      <c r="CO115" s="499">
        <v>0</v>
      </c>
      <c r="CP115" s="498">
        <f t="shared" si="276"/>
        <v>0</v>
      </c>
      <c r="CQ115" s="500">
        <f t="shared" si="277"/>
        <v>0</v>
      </c>
      <c r="CR115" s="498">
        <f t="shared" si="278"/>
        <v>0</v>
      </c>
      <c r="CS115" s="498">
        <f t="shared" si="279"/>
        <v>0</v>
      </c>
      <c r="CT115" s="498">
        <f t="shared" si="280"/>
        <v>108.85</v>
      </c>
      <c r="CU115" s="498">
        <f t="shared" si="281"/>
        <v>2120</v>
      </c>
      <c r="CV115" s="1554"/>
      <c r="CW115" s="1195" t="s">
        <v>7117</v>
      </c>
      <c r="CX115" s="1195" t="s">
        <v>7256</v>
      </c>
      <c r="CY115" s="472"/>
      <c r="CZ115" s="514" t="s">
        <v>6471</v>
      </c>
      <c r="DA115" s="514" t="s">
        <v>6173</v>
      </c>
      <c r="DB115" s="514" t="s">
        <v>6202</v>
      </c>
      <c r="DC115" s="514" t="s">
        <v>6571</v>
      </c>
      <c r="DD115" s="472"/>
      <c r="DE115" s="472"/>
      <c r="DF115" s="472"/>
      <c r="DG115" s="472"/>
      <c r="DH115" s="472"/>
      <c r="DJ115" s="473" t="str">
        <f>VLOOKUP(X115,Hoja1!$A$4:$B$10,2,0)</f>
        <v>PROFESIONAL</v>
      </c>
      <c r="DK115" s="473" t="str">
        <f>VLOOKUP(S115,Hoja1!$D$4:$F$77,3,0)</f>
        <v>PII - VII</v>
      </c>
      <c r="DL115" s="1216" t="str">
        <f t="shared" si="282"/>
        <v>0</v>
      </c>
      <c r="DM115" s="1741" t="str">
        <f t="shared" si="283"/>
        <v>M</v>
      </c>
      <c r="DN115" s="1741"/>
    </row>
    <row r="116" spans="1:118" s="1654" customFormat="1" ht="21.95" customHeight="1">
      <c r="A116" s="1624" t="s">
        <v>2846</v>
      </c>
      <c r="B116" s="1625">
        <f t="shared" ca="1" si="144"/>
        <v>74</v>
      </c>
      <c r="C116" s="1626">
        <v>12457981</v>
      </c>
      <c r="D116" s="1627" t="s">
        <v>4757</v>
      </c>
      <c r="E116" s="1628" t="s">
        <v>4622</v>
      </c>
      <c r="F116" s="1629">
        <v>27026</v>
      </c>
      <c r="G116" s="1628" t="s">
        <v>4621</v>
      </c>
      <c r="H116" s="1629">
        <v>44348</v>
      </c>
      <c r="I116" s="1630">
        <f t="shared" si="259"/>
        <v>3</v>
      </c>
      <c r="J116" s="1631">
        <v>4</v>
      </c>
      <c r="K116" s="1630">
        <f t="shared" si="260"/>
        <v>7</v>
      </c>
      <c r="L116" s="1632" t="s">
        <v>5551</v>
      </c>
      <c r="M116" s="1631"/>
      <c r="N116" s="1631"/>
      <c r="O116" s="1633" t="s">
        <v>7426</v>
      </c>
      <c r="P116" s="1631" t="s">
        <v>5334</v>
      </c>
      <c r="Q116" s="1634" t="str">
        <f>IFERROR(VLOOKUP(O116,CARGOS!A:E,2,0),"")</f>
        <v>75312</v>
      </c>
      <c r="R116" s="1635" t="s">
        <v>7426</v>
      </c>
      <c r="S116" s="1636" t="s">
        <v>5488</v>
      </c>
      <c r="T116" s="1637">
        <f>IFERROR(VLOOKUP(S116,'TAB EMP'!A:B,2,0),0)</f>
        <v>279</v>
      </c>
      <c r="U116" s="1638">
        <v>0</v>
      </c>
      <c r="V116" s="1637">
        <f t="shared" si="288"/>
        <v>279</v>
      </c>
      <c r="W116" s="1638">
        <f t="shared" si="289"/>
        <v>139.5</v>
      </c>
      <c r="X116" s="1628" t="s">
        <v>2884</v>
      </c>
      <c r="Y116" s="1628"/>
      <c r="Z116" s="1628">
        <v>1</v>
      </c>
      <c r="AA116" s="1637">
        <f>ROUND(IF(H116&lt;&gt;"",VLOOKUP(SUM(I116+J116),'CONCEPTOS Y PARAMETROS'!F:G,2,0)*V116,0),2)</f>
        <v>20.65</v>
      </c>
      <c r="AB116" s="1637">
        <f>IF(S116&lt;&gt;"",IF(M116="",'CONCEPTOS Y PARAMETROS'!$C$4,0),0)</f>
        <v>130</v>
      </c>
      <c r="AC116" s="1637">
        <f>IF(S116&lt;&gt;"",IF(M116="",'CONCEPTOS Y PARAMETROS'!$C$7*Z116,0),0)</f>
        <v>12.5</v>
      </c>
      <c r="AD116" s="1637">
        <f>IFERROR(ROUND(VLOOKUP($X116,'CONCEPTOS Y PARAMETROS'!H:I,2,0)*($V116+AA116+AB116+AC116),2),0)</f>
        <v>0</v>
      </c>
      <c r="AE116" s="1637">
        <f t="shared" si="285"/>
        <v>163.15</v>
      </c>
      <c r="AF116" s="1637">
        <f t="shared" si="290"/>
        <v>10.33</v>
      </c>
      <c r="AG116" s="1637">
        <f t="shared" si="291"/>
        <v>10.32</v>
      </c>
      <c r="AH116" s="1637">
        <f t="shared" si="292"/>
        <v>65</v>
      </c>
      <c r="AI116" s="1637">
        <f t="shared" si="293"/>
        <v>65</v>
      </c>
      <c r="AJ116" s="1637">
        <f t="shared" si="294"/>
        <v>0</v>
      </c>
      <c r="AK116" s="1637">
        <f t="shared" si="295"/>
        <v>0</v>
      </c>
      <c r="AL116" s="1638">
        <f t="shared" si="296"/>
        <v>87.83</v>
      </c>
      <c r="AM116" s="1638">
        <f t="shared" si="297"/>
        <v>75.319999999999993</v>
      </c>
      <c r="AN116" s="1639">
        <v>0</v>
      </c>
      <c r="AO116" s="1640">
        <f>'CONCEPTOS Y PARAMETROS'!$C$18*AN116</f>
        <v>0</v>
      </c>
      <c r="AP116" s="1639">
        <v>0</v>
      </c>
      <c r="AQ116" s="1640">
        <f>'CONCEPTOS Y PARAMETROS'!$C$21*AP116</f>
        <v>0</v>
      </c>
      <c r="AR116" s="1641">
        <v>0</v>
      </c>
      <c r="AS116" s="1641">
        <v>0</v>
      </c>
      <c r="AT116" s="1641">
        <f t="shared" si="286"/>
        <v>0</v>
      </c>
      <c r="AU116" s="1638">
        <f t="shared" si="298"/>
        <v>442.15</v>
      </c>
      <c r="AV116" s="1642">
        <v>0</v>
      </c>
      <c r="AW116" s="1638">
        <f t="shared" si="299"/>
        <v>0</v>
      </c>
      <c r="AX116" s="1637">
        <f>IF(T116&lt;&gt;"0",(ROUND(IF(A116="EMPLEADO",eval_formula('CONCEPTOS Y PARAMETROS'!$C$8,NOMINA!V116,NOMINA!$AU116,NOMINA!I116+NOMINA!J116),eval_formula('CONCEPTOS Y PARAMETROS'!$D$8,NOMINA!V116,NOMINA!$AU116,NOMINA!I116+NOMINA!J116)),2))*IF(H116&lt;&gt;"",IF(MONTH(H116)=$BR$8,IF(YEAR(H116)&lt;$BT$7,1,0),0)))</f>
        <v>0</v>
      </c>
      <c r="AY116" s="1638">
        <v>180</v>
      </c>
      <c r="AZ116" s="1637">
        <f>IFERROR(VLOOKUP(AY116,'CONCEPTOS Y PARAMETROS'!Y:Z,2,0),0)</f>
        <v>150</v>
      </c>
      <c r="BA116" s="1637">
        <f t="shared" si="300"/>
        <v>3316.13</v>
      </c>
      <c r="BB116" s="1637">
        <f t="shared" si="287"/>
        <v>0</v>
      </c>
      <c r="BC116" s="1639">
        <v>0</v>
      </c>
      <c r="BD116" s="1637" t="str">
        <f t="shared" si="301"/>
        <v>0</v>
      </c>
      <c r="BE116" s="1639">
        <v>0</v>
      </c>
      <c r="BF116" s="1637">
        <f t="shared" si="284"/>
        <v>0</v>
      </c>
      <c r="BG116" s="1638">
        <v>300</v>
      </c>
      <c r="BH116" s="1638">
        <f t="shared" si="261"/>
        <v>0</v>
      </c>
      <c r="BI116" s="1628">
        <v>0</v>
      </c>
      <c r="BJ116" s="1628">
        <f t="shared" si="262"/>
        <v>0</v>
      </c>
      <c r="BK116" s="1638">
        <v>0</v>
      </c>
      <c r="BL116" s="1637">
        <f t="shared" si="170"/>
        <v>16.329999999999998</v>
      </c>
      <c r="BM116" s="1637">
        <f t="shared" si="171"/>
        <v>2.04</v>
      </c>
      <c r="BN116" s="1637">
        <f t="shared" si="263"/>
        <v>4.42</v>
      </c>
      <c r="BO116" s="1637">
        <v>0</v>
      </c>
      <c r="BP116" s="1637">
        <v>0</v>
      </c>
      <c r="BQ116" s="1643">
        <f t="shared" si="302"/>
        <v>22.79</v>
      </c>
      <c r="BR116" s="1637">
        <f t="shared" si="172"/>
        <v>36.729999999999997</v>
      </c>
      <c r="BS116" s="1637">
        <f t="shared" si="173"/>
        <v>8.16</v>
      </c>
      <c r="BT116" s="1637">
        <f t="shared" si="264"/>
        <v>8.84</v>
      </c>
      <c r="BU116" s="1637">
        <v>0</v>
      </c>
      <c r="BV116" s="1638">
        <f t="shared" si="303"/>
        <v>53.73</v>
      </c>
      <c r="BW116" s="1644">
        <f t="shared" si="304"/>
        <v>76.52</v>
      </c>
      <c r="BX116" s="1644">
        <f t="shared" si="239"/>
        <v>829.03</v>
      </c>
      <c r="BY116" s="1638">
        <v>0</v>
      </c>
      <c r="BZ116" s="1638">
        <f t="shared" si="265"/>
        <v>829.03</v>
      </c>
      <c r="CA116" s="1645">
        <f>'CONCEPTOS Y PARAMETROS'!$A$102</f>
        <v>2120</v>
      </c>
      <c r="CB116" s="1644">
        <f t="shared" si="266"/>
        <v>204.54</v>
      </c>
      <c r="CC116" s="1646">
        <f t="shared" si="267"/>
        <v>514.82000000000005</v>
      </c>
      <c r="CD116" s="1647"/>
      <c r="CE116" s="1647"/>
      <c r="CF116" s="1648"/>
      <c r="CG116" s="1649">
        <f t="shared" si="268"/>
        <v>204.54</v>
      </c>
      <c r="CH116" s="1713">
        <f t="shared" si="269"/>
        <v>300</v>
      </c>
      <c r="CI116" s="1649">
        <f t="shared" si="270"/>
        <v>514.81999999999994</v>
      </c>
      <c r="CJ116" s="1649">
        <f t="shared" si="271"/>
        <v>514.82000000000005</v>
      </c>
      <c r="CK116" s="1649">
        <f t="shared" si="272"/>
        <v>0</v>
      </c>
      <c r="CL116" s="1649">
        <f t="shared" si="273"/>
        <v>0</v>
      </c>
      <c r="CM116" s="1649">
        <f t="shared" si="274"/>
        <v>0</v>
      </c>
      <c r="CN116" s="1650">
        <f t="shared" si="275"/>
        <v>0</v>
      </c>
      <c r="CO116" s="1651">
        <v>0</v>
      </c>
      <c r="CP116" s="1650">
        <f t="shared" si="276"/>
        <v>0</v>
      </c>
      <c r="CQ116" s="1652">
        <f t="shared" si="277"/>
        <v>0</v>
      </c>
      <c r="CR116" s="1650">
        <f t="shared" si="278"/>
        <v>0</v>
      </c>
      <c r="CS116" s="1650">
        <f t="shared" si="279"/>
        <v>0</v>
      </c>
      <c r="CT116" s="1650">
        <f t="shared" si="280"/>
        <v>76.52</v>
      </c>
      <c r="CU116" s="1650">
        <f t="shared" si="281"/>
        <v>2120</v>
      </c>
      <c r="CV116" s="1653"/>
      <c r="CW116" s="1627" t="s">
        <v>7206</v>
      </c>
      <c r="CX116" s="1627" t="s">
        <v>7139</v>
      </c>
      <c r="CY116" s="1647"/>
      <c r="CZ116" s="1657" t="s">
        <v>6670</v>
      </c>
      <c r="DA116" s="1647" t="s">
        <v>6188</v>
      </c>
      <c r="DB116" s="1647" t="s">
        <v>6287</v>
      </c>
      <c r="DC116" s="1647" t="s">
        <v>6626</v>
      </c>
      <c r="DD116" s="1647"/>
      <c r="DE116" s="1647"/>
      <c r="DF116" s="1647"/>
      <c r="DG116" s="1647"/>
      <c r="DH116" s="1647"/>
      <c r="DJ116" s="1654" t="str">
        <f>VLOOKUP(X116,Hoja1!$A$4:$B$10,2,0)</f>
        <v>BACHILLER</v>
      </c>
      <c r="DK116" s="1654" t="str">
        <f>VLOOKUP(S116,Hoja1!$D$4:$F$77,3,0)</f>
        <v>PII - III</v>
      </c>
      <c r="DL116" s="1655" t="str">
        <f t="shared" si="282"/>
        <v>0</v>
      </c>
      <c r="DM116" s="1742" t="str">
        <f t="shared" si="283"/>
        <v>M</v>
      </c>
      <c r="DN116" s="1742"/>
    </row>
    <row r="117" spans="1:118" s="473" customFormat="1" ht="21.95" customHeight="1">
      <c r="A117" s="510" t="s">
        <v>2846</v>
      </c>
      <c r="B117" s="1390">
        <f t="shared" ca="1" si="144"/>
        <v>75</v>
      </c>
      <c r="C117" s="1194">
        <v>12458811</v>
      </c>
      <c r="D117" s="1195" t="s">
        <v>4758</v>
      </c>
      <c r="E117" s="1180" t="s">
        <v>4622</v>
      </c>
      <c r="F117" s="1196">
        <v>27502</v>
      </c>
      <c r="G117" s="1180" t="s">
        <v>4620</v>
      </c>
      <c r="H117" s="1196">
        <v>39514</v>
      </c>
      <c r="I117" s="1185">
        <f t="shared" si="259"/>
        <v>16</v>
      </c>
      <c r="J117" s="1177">
        <v>7</v>
      </c>
      <c r="K117" s="1185">
        <f t="shared" si="260"/>
        <v>23</v>
      </c>
      <c r="L117" s="1191" t="s">
        <v>5538</v>
      </c>
      <c r="M117" s="1177"/>
      <c r="N117" s="1177"/>
      <c r="O117" s="1040" t="s">
        <v>5246</v>
      </c>
      <c r="P117" s="1177" t="s">
        <v>5335</v>
      </c>
      <c r="Q117" s="1391" t="str">
        <f>IFERROR(VLOOKUP(O117,CARGOS!A:E,2,0),"")</f>
        <v>13420</v>
      </c>
      <c r="R117" s="1403" t="s">
        <v>5246</v>
      </c>
      <c r="S117" s="1192" t="s">
        <v>5487</v>
      </c>
      <c r="T117" s="1150">
        <f>IFERROR(VLOOKUP(S117,'TAB EMP'!A:B,2,0),0)</f>
        <v>316</v>
      </c>
      <c r="U117" s="1151">
        <v>0</v>
      </c>
      <c r="V117" s="1150">
        <f t="shared" si="288"/>
        <v>316</v>
      </c>
      <c r="W117" s="1151">
        <f t="shared" si="289"/>
        <v>158</v>
      </c>
      <c r="X117" s="1180" t="s">
        <v>2886</v>
      </c>
      <c r="Y117" s="1180"/>
      <c r="Z117" s="1180">
        <v>1</v>
      </c>
      <c r="AA117" s="1150">
        <f>ROUND(IF(H117&lt;&gt;"",VLOOKUP(SUM(I117+J117),'CONCEPTOS Y PARAMETROS'!F:G,2,0)*V117,0),2)</f>
        <v>94.8</v>
      </c>
      <c r="AB117" s="1150">
        <f>IF(S117&lt;&gt;"",IF(M117="",'CONCEPTOS Y PARAMETROS'!$C$4,0),0)</f>
        <v>130</v>
      </c>
      <c r="AC117" s="1150">
        <f>IF(S117&lt;&gt;"",IF(M117="",'CONCEPTOS Y PARAMETROS'!$C$7*Z117,0),0)</f>
        <v>12.5</v>
      </c>
      <c r="AD117" s="1150">
        <f>IFERROR(ROUND(VLOOKUP($X117,'CONCEPTOS Y PARAMETROS'!H:I,2,0)*($V117+AA117+AB117+AC117),2),0)</f>
        <v>165.99</v>
      </c>
      <c r="AE117" s="1150">
        <f t="shared" si="285"/>
        <v>403.29</v>
      </c>
      <c r="AF117" s="1150">
        <f t="shared" si="290"/>
        <v>47.4</v>
      </c>
      <c r="AG117" s="1150">
        <f t="shared" si="291"/>
        <v>47.4</v>
      </c>
      <c r="AH117" s="1150">
        <f t="shared" si="292"/>
        <v>65</v>
      </c>
      <c r="AI117" s="1150">
        <f t="shared" si="293"/>
        <v>65</v>
      </c>
      <c r="AJ117" s="1150">
        <f t="shared" si="294"/>
        <v>83</v>
      </c>
      <c r="AK117" s="1150">
        <f t="shared" si="295"/>
        <v>82.99</v>
      </c>
      <c r="AL117" s="1151">
        <f t="shared" si="296"/>
        <v>207.9</v>
      </c>
      <c r="AM117" s="1151">
        <f t="shared" si="297"/>
        <v>195.39</v>
      </c>
      <c r="AN117" s="1583">
        <v>1</v>
      </c>
      <c r="AO117" s="1193">
        <f>'CONCEPTOS Y PARAMETROS'!$C$18*AN117</f>
        <v>12.5</v>
      </c>
      <c r="AP117" s="1028">
        <v>0</v>
      </c>
      <c r="AQ117" s="1193">
        <f>'CONCEPTOS Y PARAMETROS'!$C$21*AP117</f>
        <v>0</v>
      </c>
      <c r="AR117" s="1394">
        <v>0</v>
      </c>
      <c r="AS117" s="1394">
        <v>0</v>
      </c>
      <c r="AT117" s="1394">
        <f t="shared" si="286"/>
        <v>12.5</v>
      </c>
      <c r="AU117" s="1151">
        <f t="shared" si="298"/>
        <v>719.29</v>
      </c>
      <c r="AV117" s="1178">
        <v>0</v>
      </c>
      <c r="AW117" s="1151">
        <f t="shared" si="299"/>
        <v>0</v>
      </c>
      <c r="AX117" s="1150">
        <f>IF(T117&lt;&gt;"0",(ROUND(IF(A117="EMPLEADO",eval_formula('CONCEPTOS Y PARAMETROS'!$C$8,NOMINA!V117,NOMINA!$AU117,NOMINA!I117+NOMINA!J117),eval_formula('CONCEPTOS Y PARAMETROS'!$D$8,NOMINA!V117,NOMINA!$AU117,NOMINA!I117+NOMINA!J117)),2))*IF(H117&lt;&gt;"",IF(MONTH(H117)=$BR$8,IF(YEAR(H117)&lt;$BT$7,1,0),0)))</f>
        <v>0</v>
      </c>
      <c r="AY117" s="1151">
        <v>180</v>
      </c>
      <c r="AZ117" s="1150">
        <f>IFERROR(VLOOKUP(AY117,'CONCEPTOS Y PARAMETROS'!Y:Z,2,0),0)</f>
        <v>150</v>
      </c>
      <c r="BA117" s="1150">
        <f t="shared" si="300"/>
        <v>5394.68</v>
      </c>
      <c r="BB117" s="1150">
        <f t="shared" si="287"/>
        <v>0</v>
      </c>
      <c r="BC117" s="1028">
        <v>0</v>
      </c>
      <c r="BD117" s="1150" t="str">
        <f t="shared" si="301"/>
        <v>0</v>
      </c>
      <c r="BE117" s="1028">
        <v>0</v>
      </c>
      <c r="BF117" s="1150">
        <f t="shared" si="284"/>
        <v>0</v>
      </c>
      <c r="BG117" s="1151">
        <v>300</v>
      </c>
      <c r="BH117" s="1151">
        <f t="shared" si="261"/>
        <v>0</v>
      </c>
      <c r="BI117" s="1180">
        <v>0</v>
      </c>
      <c r="BJ117" s="1180">
        <f t="shared" si="262"/>
        <v>0</v>
      </c>
      <c r="BK117" s="1151">
        <v>0</v>
      </c>
      <c r="BL117" s="1150">
        <f t="shared" si="170"/>
        <v>26.56</v>
      </c>
      <c r="BM117" s="1150">
        <f t="shared" si="171"/>
        <v>3.32</v>
      </c>
      <c r="BN117" s="1150">
        <f t="shared" si="263"/>
        <v>7.19</v>
      </c>
      <c r="BO117" s="1150">
        <v>0</v>
      </c>
      <c r="BP117" s="1150">
        <v>0</v>
      </c>
      <c r="BQ117" s="1396">
        <f t="shared" si="302"/>
        <v>37.07</v>
      </c>
      <c r="BR117" s="1150">
        <f t="shared" si="172"/>
        <v>59.76</v>
      </c>
      <c r="BS117" s="1150">
        <f t="shared" si="173"/>
        <v>13.28</v>
      </c>
      <c r="BT117" s="1150">
        <f t="shared" si="264"/>
        <v>14.38</v>
      </c>
      <c r="BU117" s="1150">
        <v>0</v>
      </c>
      <c r="BV117" s="1151">
        <f t="shared" si="303"/>
        <v>87.42</v>
      </c>
      <c r="BW117" s="1155">
        <f t="shared" si="304"/>
        <v>124.49000000000001</v>
      </c>
      <c r="BX117" s="1155">
        <f t="shared" si="239"/>
        <v>1348.67</v>
      </c>
      <c r="BY117" s="1151">
        <v>0</v>
      </c>
      <c r="BZ117" s="1151">
        <f t="shared" si="265"/>
        <v>1348.67</v>
      </c>
      <c r="CA117" s="1397">
        <f>'CONCEPTOS Y PARAMETROS'!$A$102</f>
        <v>2120</v>
      </c>
      <c r="CB117" s="1155">
        <f t="shared" si="266"/>
        <v>328.83</v>
      </c>
      <c r="CC117" s="1156">
        <f t="shared" si="267"/>
        <v>665.89</v>
      </c>
      <c r="CD117" s="514"/>
      <c r="CE117" s="514"/>
      <c r="CF117" s="520"/>
      <c r="CG117" s="497">
        <f t="shared" si="268"/>
        <v>328.83</v>
      </c>
      <c r="CH117" s="1711">
        <f t="shared" si="269"/>
        <v>300</v>
      </c>
      <c r="CI117" s="497">
        <f t="shared" si="270"/>
        <v>653.39</v>
      </c>
      <c r="CJ117" s="497">
        <f t="shared" si="271"/>
        <v>313.63</v>
      </c>
      <c r="CK117" s="497">
        <f t="shared" si="272"/>
        <v>339.76</v>
      </c>
      <c r="CL117" s="497">
        <f t="shared" si="273"/>
        <v>0</v>
      </c>
      <c r="CM117" s="497">
        <f t="shared" si="274"/>
        <v>0</v>
      </c>
      <c r="CN117" s="498">
        <f t="shared" si="275"/>
        <v>0</v>
      </c>
      <c r="CO117" s="499">
        <v>0</v>
      </c>
      <c r="CP117" s="498">
        <f t="shared" si="276"/>
        <v>0</v>
      </c>
      <c r="CQ117" s="500">
        <f t="shared" si="277"/>
        <v>12.5</v>
      </c>
      <c r="CR117" s="498">
        <f t="shared" si="278"/>
        <v>0</v>
      </c>
      <c r="CS117" s="498">
        <f t="shared" si="279"/>
        <v>12.5</v>
      </c>
      <c r="CT117" s="498">
        <f t="shared" si="280"/>
        <v>124.49000000000001</v>
      </c>
      <c r="CU117" s="498">
        <f t="shared" si="281"/>
        <v>2120</v>
      </c>
      <c r="CV117" s="1554"/>
      <c r="CW117" s="1195" t="s">
        <v>7161</v>
      </c>
      <c r="CX117" s="1195" t="s">
        <v>7257</v>
      </c>
      <c r="CY117" s="472"/>
      <c r="CZ117" s="514" t="s">
        <v>6444</v>
      </c>
      <c r="DA117" s="514" t="s">
        <v>6173</v>
      </c>
      <c r="DB117" s="514" t="s">
        <v>6234</v>
      </c>
      <c r="DC117" s="514" t="s">
        <v>6569</v>
      </c>
      <c r="DD117" s="472"/>
      <c r="DE117" s="935"/>
      <c r="DF117" s="472"/>
      <c r="DG117" s="472"/>
      <c r="DH117" s="472"/>
      <c r="DJ117" s="473" t="str">
        <f>VLOOKUP(X117,Hoja1!$A$4:$B$10,2,0)</f>
        <v>ESPECIALISTA</v>
      </c>
      <c r="DK117" s="473" t="str">
        <f>VLOOKUP(S117,Hoja1!$D$4:$F$77,3,0)</f>
        <v>PIII - VII</v>
      </c>
      <c r="DL117" s="1216" t="str">
        <f t="shared" si="282"/>
        <v>0</v>
      </c>
      <c r="DM117" s="1741" t="str">
        <f t="shared" si="283"/>
        <v>F</v>
      </c>
      <c r="DN117" s="1741"/>
    </row>
    <row r="118" spans="1:118" s="930" customFormat="1" ht="21.95" customHeight="1">
      <c r="A118" s="929" t="s">
        <v>2846</v>
      </c>
      <c r="B118" s="1404">
        <f t="shared" ca="1" si="144"/>
        <v>76</v>
      </c>
      <c r="C118" s="1405">
        <v>12458942</v>
      </c>
      <c r="D118" s="1406" t="s">
        <v>5211</v>
      </c>
      <c r="E118" s="1407" t="s">
        <v>4622</v>
      </c>
      <c r="F118" s="1408">
        <v>27853</v>
      </c>
      <c r="G118" s="1407" t="s">
        <v>4620</v>
      </c>
      <c r="H118" s="1408">
        <v>44424</v>
      </c>
      <c r="I118" s="1409">
        <f t="shared" si="259"/>
        <v>3</v>
      </c>
      <c r="J118" s="1410">
        <v>19</v>
      </c>
      <c r="K118" s="1409">
        <f t="shared" si="260"/>
        <v>22</v>
      </c>
      <c r="L118" s="1411" t="s">
        <v>5530</v>
      </c>
      <c r="M118" s="1410"/>
      <c r="N118" s="1410"/>
      <c r="O118" s="1424" t="s">
        <v>5495</v>
      </c>
      <c r="P118" s="1410" t="s">
        <v>5214</v>
      </c>
      <c r="Q118" s="1413" t="str">
        <f>IFERROR(VLOOKUP(O118,CARGOS!A:E,2,0),"")</f>
        <v>12130</v>
      </c>
      <c r="R118" s="1412" t="s">
        <v>5495</v>
      </c>
      <c r="S118" s="1414" t="s">
        <v>5487</v>
      </c>
      <c r="T118" s="1415">
        <v>0</v>
      </c>
      <c r="U118" s="1382">
        <v>0</v>
      </c>
      <c r="V118" s="1415">
        <f t="shared" si="288"/>
        <v>0</v>
      </c>
      <c r="W118" s="1382">
        <f t="shared" si="289"/>
        <v>0</v>
      </c>
      <c r="X118" s="1407" t="s">
        <v>2886</v>
      </c>
      <c r="Y118" s="1407"/>
      <c r="Z118" s="1407">
        <v>0</v>
      </c>
      <c r="AA118" s="1415">
        <f>ROUND(IF(H118&lt;&gt;"",VLOOKUP(SUM(I118+J118),'CONCEPTOS Y PARAMETROS'!F:G,2,0)*V118,0),2)</f>
        <v>0</v>
      </c>
      <c r="AB118" s="1445">
        <v>0</v>
      </c>
      <c r="AC118" s="1445">
        <v>0</v>
      </c>
      <c r="AD118" s="1415">
        <f>IFERROR(ROUND(VLOOKUP($X118,'CONCEPTOS Y PARAMETROS'!H:I,2,0)*($V118+AA118+AB118+AC118),2),0)</f>
        <v>0</v>
      </c>
      <c r="AE118" s="1415">
        <f>SUM(AA118:AD118)</f>
        <v>0</v>
      </c>
      <c r="AF118" s="1415">
        <f t="shared" si="290"/>
        <v>0</v>
      </c>
      <c r="AG118" s="1415">
        <f t="shared" si="291"/>
        <v>0</v>
      </c>
      <c r="AH118" s="1415">
        <f t="shared" si="292"/>
        <v>0</v>
      </c>
      <c r="AI118" s="1415">
        <f t="shared" si="293"/>
        <v>0</v>
      </c>
      <c r="AJ118" s="1415">
        <f t="shared" si="294"/>
        <v>0</v>
      </c>
      <c r="AK118" s="1415">
        <f t="shared" si="295"/>
        <v>0</v>
      </c>
      <c r="AL118" s="1382">
        <f t="shared" si="296"/>
        <v>0</v>
      </c>
      <c r="AM118" s="1382">
        <f t="shared" si="297"/>
        <v>0</v>
      </c>
      <c r="AN118" s="1416">
        <v>0</v>
      </c>
      <c r="AO118" s="1417">
        <v>0</v>
      </c>
      <c r="AP118" s="1416">
        <v>0</v>
      </c>
      <c r="AQ118" s="1417">
        <f>'CONCEPTOS Y PARAMETROS'!$C$21*AP118</f>
        <v>0</v>
      </c>
      <c r="AR118" s="1418">
        <v>0</v>
      </c>
      <c r="AS118" s="1418">
        <v>0</v>
      </c>
      <c r="AT118" s="1418">
        <f>+AO118+AQ118+AR118+AS118</f>
        <v>0</v>
      </c>
      <c r="AU118" s="1382">
        <f t="shared" si="298"/>
        <v>0</v>
      </c>
      <c r="AV118" s="1419">
        <v>0</v>
      </c>
      <c r="AW118" s="1382">
        <f>ROUND(IF(O118="VIGILANTE",(V118+AE118)*30%,0),2)</f>
        <v>0</v>
      </c>
      <c r="AX118" s="1415">
        <f>IF(T118&lt;&gt;"0",(ROUND(IF(A118="EMPLEADO",eval_formula('CONCEPTOS Y PARAMETROS'!$C$8,NOMINA!V118,NOMINA!$AU118,NOMINA!I118+NOMINA!J118),eval_formula('CONCEPTOS Y PARAMETROS'!$D$8,NOMINA!V118,NOMINA!$AU118,NOMINA!I118+NOMINA!J118)),2))*IF(H118&lt;&gt;"",IF(MONTH(H118)=$BR$8,IF(YEAR(H118)&lt;$BT$7,1,0),0)))</f>
        <v>0</v>
      </c>
      <c r="AY118" s="1382">
        <v>180</v>
      </c>
      <c r="AZ118" s="1415">
        <f>IFERROR(VLOOKUP(AY118,'CONCEPTOS Y PARAMETROS'!Y:Z,2,0),0)</f>
        <v>150</v>
      </c>
      <c r="BA118" s="1415">
        <f t="shared" si="300"/>
        <v>0</v>
      </c>
      <c r="BB118" s="1415">
        <f t="shared" si="287"/>
        <v>0</v>
      </c>
      <c r="BC118" s="1416">
        <v>0</v>
      </c>
      <c r="BD118" s="1415" t="str">
        <f t="shared" si="301"/>
        <v>0</v>
      </c>
      <c r="BE118" s="1416">
        <v>0</v>
      </c>
      <c r="BF118" s="1415">
        <f>ROUND(IF(BE118&gt;0,(((V118+AA118+AB118+AC118+AD118)/30)*50%+((V118+AA118+AB118+AC118+AD118)/30))*BE118,"0"),2)</f>
        <v>0</v>
      </c>
      <c r="BG118" s="1382">
        <v>0</v>
      </c>
      <c r="BH118" s="1382">
        <f t="shared" si="261"/>
        <v>0</v>
      </c>
      <c r="BI118" s="1382">
        <v>0</v>
      </c>
      <c r="BJ118" s="1382">
        <f t="shared" si="262"/>
        <v>0</v>
      </c>
      <c r="BK118" s="1382">
        <v>0</v>
      </c>
      <c r="BL118" s="1445">
        <f t="shared" si="170"/>
        <v>0</v>
      </c>
      <c r="BM118" s="1445">
        <f t="shared" si="171"/>
        <v>0</v>
      </c>
      <c r="BN118" s="1445">
        <f t="shared" si="263"/>
        <v>0</v>
      </c>
      <c r="BO118" s="1445">
        <v>0</v>
      </c>
      <c r="BP118" s="1445">
        <v>0</v>
      </c>
      <c r="BQ118" s="1420">
        <f t="shared" ref="BQ118" si="324">ROUND(SUM(BL118:BP118),2)</f>
        <v>0</v>
      </c>
      <c r="BR118" s="1445">
        <f t="shared" si="172"/>
        <v>0</v>
      </c>
      <c r="BS118" s="1445">
        <f t="shared" si="173"/>
        <v>0</v>
      </c>
      <c r="BT118" s="1445">
        <f t="shared" si="264"/>
        <v>0</v>
      </c>
      <c r="BU118" s="1415">
        <v>0</v>
      </c>
      <c r="BV118" s="1382">
        <f t="shared" si="303"/>
        <v>0</v>
      </c>
      <c r="BW118" s="1379">
        <f t="shared" si="304"/>
        <v>0</v>
      </c>
      <c r="BX118" s="1379">
        <f t="shared" si="239"/>
        <v>0</v>
      </c>
      <c r="BY118" s="1382">
        <v>0</v>
      </c>
      <c r="BZ118" s="1382">
        <f t="shared" si="265"/>
        <v>0</v>
      </c>
      <c r="CA118" s="1421">
        <v>0</v>
      </c>
      <c r="CB118" s="1379">
        <f t="shared" si="266"/>
        <v>0</v>
      </c>
      <c r="CC118" s="1422">
        <f t="shared" si="267"/>
        <v>0</v>
      </c>
      <c r="CD118" s="514"/>
      <c r="CE118" s="514"/>
      <c r="CF118" s="935"/>
      <c r="CG118" s="931">
        <f t="shared" si="268"/>
        <v>0</v>
      </c>
      <c r="CH118" s="1714">
        <f t="shared" si="269"/>
        <v>0</v>
      </c>
      <c r="CI118" s="931">
        <f t="shared" si="270"/>
        <v>0</v>
      </c>
      <c r="CJ118" s="931">
        <f t="shared" si="271"/>
        <v>0</v>
      </c>
      <c r="CK118" s="931">
        <f t="shared" si="272"/>
        <v>0</v>
      </c>
      <c r="CL118" s="931">
        <f t="shared" si="273"/>
        <v>0</v>
      </c>
      <c r="CM118" s="931">
        <f t="shared" si="274"/>
        <v>0</v>
      </c>
      <c r="CN118" s="932">
        <f t="shared" si="275"/>
        <v>0</v>
      </c>
      <c r="CO118" s="933">
        <v>0</v>
      </c>
      <c r="CP118" s="932">
        <f t="shared" si="276"/>
        <v>0</v>
      </c>
      <c r="CQ118" s="934">
        <f t="shared" si="277"/>
        <v>0</v>
      </c>
      <c r="CR118" s="932">
        <f t="shared" si="278"/>
        <v>0</v>
      </c>
      <c r="CS118" s="932">
        <f t="shared" si="279"/>
        <v>0</v>
      </c>
      <c r="CT118" s="932">
        <f t="shared" si="280"/>
        <v>0</v>
      </c>
      <c r="CU118" s="932">
        <f t="shared" si="281"/>
        <v>0</v>
      </c>
      <c r="CV118" s="1557"/>
      <c r="CW118" s="1406" t="s">
        <v>6401</v>
      </c>
      <c r="CX118" s="1406" t="s">
        <v>7179</v>
      </c>
      <c r="CY118" s="935"/>
      <c r="CZ118" s="1199" t="s">
        <v>6671</v>
      </c>
      <c r="DA118" s="478"/>
      <c r="DB118" s="478"/>
      <c r="DC118" s="478"/>
      <c r="DD118" s="514"/>
      <c r="DE118" s="935"/>
      <c r="DF118" s="935"/>
      <c r="DG118" s="935"/>
      <c r="DH118" s="935"/>
      <c r="DJ118" s="930" t="str">
        <f>VLOOKUP(X118,Hoja1!$A$4:$B$10,2,0)</f>
        <v>ESPECIALISTA</v>
      </c>
      <c r="DK118" s="930" t="str">
        <f>VLOOKUP(S118,Hoja1!$D$4:$F$77,3,0)</f>
        <v>PIII - VII</v>
      </c>
      <c r="DL118" s="1217" t="str">
        <f t="shared" si="282"/>
        <v>0</v>
      </c>
      <c r="DM118" s="1745" t="str">
        <f t="shared" si="283"/>
        <v>F</v>
      </c>
      <c r="DN118" s="1745"/>
    </row>
    <row r="119" spans="1:118" s="478" customFormat="1" ht="21.95" customHeight="1">
      <c r="A119" s="510" t="s">
        <v>2846</v>
      </c>
      <c r="B119" s="1390">
        <f t="shared" ca="1" si="144"/>
        <v>77</v>
      </c>
      <c r="C119" s="1194">
        <v>12541044</v>
      </c>
      <c r="D119" s="1195" t="s">
        <v>6918</v>
      </c>
      <c r="E119" s="1180" t="s">
        <v>4622</v>
      </c>
      <c r="F119" s="1196">
        <v>27482</v>
      </c>
      <c r="G119" s="1180" t="s">
        <v>4620</v>
      </c>
      <c r="H119" s="1196">
        <v>45597</v>
      </c>
      <c r="I119" s="1185">
        <f t="shared" si="259"/>
        <v>0</v>
      </c>
      <c r="J119" s="1177">
        <v>0</v>
      </c>
      <c r="K119" s="1185">
        <f t="shared" si="260"/>
        <v>0</v>
      </c>
      <c r="L119" s="1191" t="s">
        <v>5540</v>
      </c>
      <c r="M119" s="1177"/>
      <c r="N119" s="1177"/>
      <c r="O119" s="1040" t="s">
        <v>5228</v>
      </c>
      <c r="P119" s="1197" t="s">
        <v>6919</v>
      </c>
      <c r="Q119" s="1391" t="str">
        <f>IFERROR(VLOOKUP(O119,CARGOS!A:E,2,0),"")</f>
        <v>79521</v>
      </c>
      <c r="R119" s="1403" t="s">
        <v>5228</v>
      </c>
      <c r="S119" s="1192" t="s">
        <v>5469</v>
      </c>
      <c r="T119" s="1150">
        <f>IFERROR(VLOOKUP(S119,'TAB EMP'!A:B,2,0),0)</f>
        <v>246</v>
      </c>
      <c r="U119" s="1151">
        <v>0</v>
      </c>
      <c r="V119" s="1150">
        <f t="shared" si="288"/>
        <v>246</v>
      </c>
      <c r="W119" s="1151">
        <f t="shared" si="289"/>
        <v>123</v>
      </c>
      <c r="X119" s="1180" t="s">
        <v>2885</v>
      </c>
      <c r="Y119" s="1180"/>
      <c r="Z119" s="1180">
        <v>1</v>
      </c>
      <c r="AA119" s="1150">
        <f>ROUND(IF(H119&lt;&gt;"",VLOOKUP(SUM(I119+J119),'CONCEPTOS Y PARAMETROS'!F:G,2,0)*V119,0),2)</f>
        <v>0</v>
      </c>
      <c r="AB119" s="1150">
        <f>IF(S119&lt;&gt;"",IF(M119="",'CONCEPTOS Y PARAMETROS'!$C$4,0),0)</f>
        <v>130</v>
      </c>
      <c r="AC119" s="1150">
        <f>IF(S119&lt;&gt;"",IF(M119="",'CONCEPTOS Y PARAMETROS'!$C$7*Z119,0),0)</f>
        <v>12.5</v>
      </c>
      <c r="AD119" s="1150">
        <f>IFERROR(ROUND(VLOOKUP($X119,'CONCEPTOS Y PARAMETROS'!H:I,2,0)*($V119+AA119+AB119+AC119),2),0)</f>
        <v>97.13</v>
      </c>
      <c r="AE119" s="1150">
        <f t="shared" ref="AE119" si="325">SUM(AA119:AD119)</f>
        <v>239.63</v>
      </c>
      <c r="AF119" s="1150">
        <f t="shared" si="290"/>
        <v>0</v>
      </c>
      <c r="AG119" s="1150">
        <f t="shared" si="291"/>
        <v>0</v>
      </c>
      <c r="AH119" s="1150">
        <f t="shared" si="292"/>
        <v>65</v>
      </c>
      <c r="AI119" s="1150">
        <f t="shared" si="293"/>
        <v>65</v>
      </c>
      <c r="AJ119" s="1150">
        <f t="shared" si="294"/>
        <v>48.57</v>
      </c>
      <c r="AK119" s="1150">
        <f t="shared" si="295"/>
        <v>48.56</v>
      </c>
      <c r="AL119" s="1151">
        <f t="shared" si="296"/>
        <v>126.07</v>
      </c>
      <c r="AM119" s="1151">
        <f t="shared" si="297"/>
        <v>113.56</v>
      </c>
      <c r="AN119" s="1583">
        <v>1</v>
      </c>
      <c r="AO119" s="1193">
        <f>'CONCEPTOS Y PARAMETROS'!$C$18*AN119</f>
        <v>12.5</v>
      </c>
      <c r="AP119" s="1028">
        <v>0</v>
      </c>
      <c r="AQ119" s="1193">
        <f>'CONCEPTOS Y PARAMETROS'!$C$21*AP119</f>
        <v>0</v>
      </c>
      <c r="AR119" s="1394">
        <v>0</v>
      </c>
      <c r="AS119" s="1394">
        <v>0</v>
      </c>
      <c r="AT119" s="1394">
        <f t="shared" ref="AT119" si="326">+AO119+AQ119+AR119+AS119</f>
        <v>12.5</v>
      </c>
      <c r="AU119" s="1151">
        <f t="shared" si="298"/>
        <v>485.63</v>
      </c>
      <c r="AV119" s="1178">
        <v>0</v>
      </c>
      <c r="AW119" s="1151">
        <f t="shared" ref="AW119" si="327">ROUND(IF(AV119="NOCTURN",(V119+AE119)*30%,0),2)</f>
        <v>0</v>
      </c>
      <c r="AX119" s="1150">
        <f>IF(T119&lt;&gt;"0",(ROUND(IF(A119="EMPLEADO",eval_formula('CONCEPTOS Y PARAMETROS'!$C$8,NOMINA!V119,NOMINA!$AU119,NOMINA!I119+NOMINA!J119),eval_formula('CONCEPTOS Y PARAMETROS'!$D$8,NOMINA!V119,NOMINA!$AU119,NOMINA!I119+NOMINA!J119)),2))*IF(H119&lt;&gt;"",IF(MONTH(H119)=$BR$8,IF(YEAR(H119)&lt;$BT$7,1,0),0)))</f>
        <v>0</v>
      </c>
      <c r="AY119" s="1151">
        <v>30</v>
      </c>
      <c r="AZ119" s="1150">
        <f>IFERROR(VLOOKUP(AY119,'CONCEPTOS Y PARAMETROS'!Y:Z,2,0),0)</f>
        <v>25</v>
      </c>
      <c r="BA119" s="1150">
        <f t="shared" si="300"/>
        <v>438.42</v>
      </c>
      <c r="BB119" s="1150">
        <f t="shared" si="287"/>
        <v>0</v>
      </c>
      <c r="BC119" s="1028">
        <v>0</v>
      </c>
      <c r="BD119" s="1150" t="str">
        <f t="shared" si="301"/>
        <v>0</v>
      </c>
      <c r="BE119" s="1028">
        <v>0</v>
      </c>
      <c r="BF119" s="1150">
        <f>ROUND(IF(BE119&gt;0,(((V119+AA119+AB119+AC119+AD119+AW119)/30)*50%+((V119+AA119+AB119+AC119+AD119+AW119)/30))*BE119,"0"),2)</f>
        <v>0</v>
      </c>
      <c r="BG119" s="1151">
        <v>300</v>
      </c>
      <c r="BH119" s="1151">
        <f t="shared" si="261"/>
        <v>0</v>
      </c>
      <c r="BI119" s="1180">
        <v>0</v>
      </c>
      <c r="BJ119" s="1180">
        <f t="shared" si="262"/>
        <v>0</v>
      </c>
      <c r="BK119" s="1151">
        <v>0</v>
      </c>
      <c r="BL119" s="1150">
        <f t="shared" si="170"/>
        <v>17.93</v>
      </c>
      <c r="BM119" s="1150">
        <f t="shared" si="171"/>
        <v>2.2400000000000002</v>
      </c>
      <c r="BN119" s="1150">
        <f t="shared" si="263"/>
        <v>4.8600000000000003</v>
      </c>
      <c r="BO119" s="1150">
        <v>0</v>
      </c>
      <c r="BP119" s="1150">
        <v>0</v>
      </c>
      <c r="BQ119" s="1396">
        <f t="shared" ref="BQ119" si="328">ROUND(SUM(BL119:BP119),2)</f>
        <v>25.03</v>
      </c>
      <c r="BR119" s="1150">
        <f t="shared" si="172"/>
        <v>40.340000000000003</v>
      </c>
      <c r="BS119" s="1150">
        <f t="shared" si="173"/>
        <v>8.9700000000000006</v>
      </c>
      <c r="BT119" s="1150">
        <f t="shared" si="264"/>
        <v>9.7200000000000006</v>
      </c>
      <c r="BU119" s="1150">
        <v>0</v>
      </c>
      <c r="BV119" s="1151">
        <f t="shared" si="303"/>
        <v>59.03</v>
      </c>
      <c r="BW119" s="1155">
        <f t="shared" si="304"/>
        <v>84.06</v>
      </c>
      <c r="BX119" s="1155">
        <f>ROUND(BA119/3,2)</f>
        <v>146.13999999999999</v>
      </c>
      <c r="BY119" s="1151">
        <v>0</v>
      </c>
      <c r="BZ119" s="1151">
        <f t="shared" si="265"/>
        <v>146.13999999999999</v>
      </c>
      <c r="CA119" s="1397">
        <f>'CONCEPTOS Y PARAMETROS'!$A$102</f>
        <v>2120</v>
      </c>
      <c r="CB119" s="1155">
        <f t="shared" si="266"/>
        <v>224.04</v>
      </c>
      <c r="CC119" s="1156">
        <f t="shared" si="267"/>
        <v>549.05999999999995</v>
      </c>
      <c r="CD119" s="1582"/>
      <c r="CE119" s="514"/>
      <c r="CF119" s="521"/>
      <c r="CG119" s="511">
        <f t="shared" si="268"/>
        <v>224.04</v>
      </c>
      <c r="CH119" s="1712">
        <f t="shared" si="269"/>
        <v>300</v>
      </c>
      <c r="CI119" s="511">
        <f t="shared" si="270"/>
        <v>536.55999999999995</v>
      </c>
      <c r="CJ119" s="511">
        <f t="shared" si="271"/>
        <v>536.55999999999995</v>
      </c>
      <c r="CK119" s="511">
        <f t="shared" si="272"/>
        <v>0</v>
      </c>
      <c r="CL119" s="511">
        <f t="shared" si="273"/>
        <v>0</v>
      </c>
      <c r="CM119" s="511">
        <f t="shared" si="274"/>
        <v>0</v>
      </c>
      <c r="CN119" s="512">
        <f t="shared" si="275"/>
        <v>0</v>
      </c>
      <c r="CO119" s="513">
        <v>0</v>
      </c>
      <c r="CP119" s="512">
        <f t="shared" si="276"/>
        <v>0</v>
      </c>
      <c r="CQ119" s="500">
        <f t="shared" si="277"/>
        <v>12.5</v>
      </c>
      <c r="CR119" s="512">
        <f t="shared" si="278"/>
        <v>0</v>
      </c>
      <c r="CS119" s="512">
        <f t="shared" si="279"/>
        <v>12.5</v>
      </c>
      <c r="CT119" s="512">
        <f t="shared" si="280"/>
        <v>84.06</v>
      </c>
      <c r="CU119" s="512">
        <f t="shared" si="281"/>
        <v>2120</v>
      </c>
      <c r="CV119" s="1556"/>
      <c r="CW119" s="1195" t="s">
        <v>6974</v>
      </c>
      <c r="CX119" s="1195" t="s">
        <v>7258</v>
      </c>
      <c r="CY119" s="514"/>
      <c r="CZ119" s="1199" t="s">
        <v>6921</v>
      </c>
      <c r="DA119" s="1199" t="s">
        <v>6922</v>
      </c>
      <c r="DB119" s="514"/>
      <c r="DC119" s="514"/>
      <c r="DD119" s="514"/>
      <c r="DE119" s="514"/>
      <c r="DF119" s="514"/>
      <c r="DG119" s="514"/>
      <c r="DH119" s="514"/>
      <c r="DJ119" s="478" t="str">
        <f>VLOOKUP(X119,Hoja1!$A$4:$B$10,2,0)</f>
        <v>PROFESIONAL</v>
      </c>
      <c r="DK119" s="478" t="str">
        <f>VLOOKUP(S119,Hoja1!$D$4:$F$77,3,0)</f>
        <v>PI</v>
      </c>
      <c r="DL119" s="1581" t="str">
        <f t="shared" si="282"/>
        <v>0</v>
      </c>
      <c r="DM119" s="1743" t="str">
        <f t="shared" si="283"/>
        <v>F</v>
      </c>
      <c r="DN119" s="1743"/>
    </row>
    <row r="120" spans="1:118" s="930" customFormat="1" ht="21.95" customHeight="1">
      <c r="A120" s="929" t="s">
        <v>2846</v>
      </c>
      <c r="B120" s="1404">
        <f ca="1">OFFSET(B120,-1,0)+1</f>
        <v>78</v>
      </c>
      <c r="C120" s="1405">
        <v>12542413</v>
      </c>
      <c r="D120" s="1406" t="s">
        <v>7398</v>
      </c>
      <c r="E120" s="1407" t="s">
        <v>4622</v>
      </c>
      <c r="F120" s="1408">
        <v>27582</v>
      </c>
      <c r="G120" s="1407" t="s">
        <v>4621</v>
      </c>
      <c r="H120" s="1408">
        <v>36434</v>
      </c>
      <c r="I120" s="1409">
        <f t="shared" si="259"/>
        <v>25</v>
      </c>
      <c r="J120" s="1410">
        <v>0</v>
      </c>
      <c r="K120" s="1409">
        <f t="shared" si="260"/>
        <v>25</v>
      </c>
      <c r="L120" s="1411" t="s">
        <v>5537</v>
      </c>
      <c r="M120" s="1410"/>
      <c r="N120" s="1410"/>
      <c r="O120" s="1424" t="s">
        <v>5221</v>
      </c>
      <c r="P120" s="1410" t="s">
        <v>5195</v>
      </c>
      <c r="Q120" s="1413" t="str">
        <f>IFERROR(VLOOKUP(O120,CARGOS!A:E,2,0),"")</f>
        <v>79512</v>
      </c>
      <c r="R120" s="1412" t="s">
        <v>5221</v>
      </c>
      <c r="S120" s="1414" t="s">
        <v>5476</v>
      </c>
      <c r="T120" s="1415">
        <v>0</v>
      </c>
      <c r="U120" s="1382">
        <v>0</v>
      </c>
      <c r="V120" s="1415">
        <f>T120-U120</f>
        <v>0</v>
      </c>
      <c r="W120" s="1382">
        <f>ROUND(V120/2,2)</f>
        <v>0</v>
      </c>
      <c r="X120" s="1407" t="s">
        <v>2884</v>
      </c>
      <c r="Y120" s="1407"/>
      <c r="Z120" s="1407">
        <v>0</v>
      </c>
      <c r="AA120" s="1415">
        <f>ROUND(IF(H120&lt;&gt;"",VLOOKUP(SUM(I120+J120),'CONCEPTOS Y PARAMETROS'!F:G,2,0)*V120,0),2)</f>
        <v>0</v>
      </c>
      <c r="AB120" s="1415">
        <v>0</v>
      </c>
      <c r="AC120" s="1415">
        <v>0</v>
      </c>
      <c r="AD120" s="1415">
        <f>IFERROR(ROUND(VLOOKUP($X120,'CONCEPTOS Y PARAMETROS'!H:I,2,0)*($V120+AA120+AB120+AC120),2),0)</f>
        <v>0</v>
      </c>
      <c r="AE120" s="1415">
        <f>SUM(AA120:AD120)</f>
        <v>0</v>
      </c>
      <c r="AF120" s="1415">
        <f>ROUND(AA120/2,2)</f>
        <v>0</v>
      </c>
      <c r="AG120" s="1415">
        <f>ROUND(AA120-AF120,2)</f>
        <v>0</v>
      </c>
      <c r="AH120" s="1415">
        <f>ROUND(AB120/2,2)</f>
        <v>0</v>
      </c>
      <c r="AI120" s="1415">
        <f>ROUND(AB120-AH120,2)</f>
        <v>0</v>
      </c>
      <c r="AJ120" s="1415">
        <f>ROUND(AD120/2,2)</f>
        <v>0</v>
      </c>
      <c r="AK120" s="1415">
        <f>ROUND(AD120-AJ120,2)</f>
        <v>0</v>
      </c>
      <c r="AL120" s="1382">
        <f>ROUND(AF120+AH120+AJ120+AC120,2)</f>
        <v>0</v>
      </c>
      <c r="AM120" s="1382">
        <f>ROUND(AG120+AI120+AK120,2)</f>
        <v>0</v>
      </c>
      <c r="AN120" s="1416">
        <v>0</v>
      </c>
      <c r="AO120" s="1417">
        <v>0</v>
      </c>
      <c r="AP120" s="1416">
        <v>0</v>
      </c>
      <c r="AQ120" s="1417">
        <f>'CONCEPTOS Y PARAMETROS'!$C$21*AP120</f>
        <v>0</v>
      </c>
      <c r="AR120" s="1418">
        <v>0</v>
      </c>
      <c r="AS120" s="1418">
        <v>0</v>
      </c>
      <c r="AT120" s="1418">
        <f>+AO120+AQ120+AR120+AS120</f>
        <v>0</v>
      </c>
      <c r="AU120" s="1382">
        <f>V120+AE120+AW120</f>
        <v>0</v>
      </c>
      <c r="AV120" s="1419">
        <v>0</v>
      </c>
      <c r="AW120" s="1382">
        <f>ROUND(IF(O120="VIGILANTE",(V120+AE120)*30%,0),2)</f>
        <v>0</v>
      </c>
      <c r="AX120" s="1415">
        <f>IF(T120&lt;&gt;"0",(ROUND(IF(A120="EMPLEADO",eval_formula('CONCEPTOS Y PARAMETROS'!$C$8,NOMINA!V120,NOMINA!$AU120,NOMINA!I120+NOMINA!J120),eval_formula('CONCEPTOS Y PARAMETROS'!$D$8,NOMINA!V120,NOMINA!$AU120,NOMINA!I120+NOMINA!J120)),2))*IF(H120&lt;&gt;"",IF(MONTH(H120)=$BR$8,IF(YEAR(H120)&lt;$BT$7,1,0),0)))</f>
        <v>0</v>
      </c>
      <c r="AY120" s="1382">
        <v>180</v>
      </c>
      <c r="AZ120" s="1415">
        <f>IFERROR(VLOOKUP(AY120,'CONCEPTOS Y PARAMETROS'!Y:Z,2,0),0)</f>
        <v>150</v>
      </c>
      <c r="BA120" s="1415">
        <f>ROUND((((AU120))/30*AY120/12+(AU120))/30*AZ120,2)</f>
        <v>0</v>
      </c>
      <c r="BB120" s="1415">
        <f t="shared" si="287"/>
        <v>0</v>
      </c>
      <c r="BC120" s="1416">
        <v>0</v>
      </c>
      <c r="BD120" s="1415" t="str">
        <f>IF(BC120&gt;0,((((((V120+AA120+AB120+AC120+AD120)/30)/8)*50%)+((((V120+AA120+AB120+AC120+AD120)/30)/8)))*30%+(((((V120+AA120+AB120+AC120+AD120)/30)/8)*50%)+((((V120+AA120+AB120+AC120+AD120)/30)/8))))*BC120,"0")</f>
        <v>0</v>
      </c>
      <c r="BE120" s="1416">
        <v>0</v>
      </c>
      <c r="BF120" s="1415">
        <f>ROUND(IF(BE120&gt;0,(((V120+AA120+AB120+AC120+AD120)/30)*50%+((V120+AA120+AB120+AC120+AD120)/30))*BE120,"0"),2)</f>
        <v>0</v>
      </c>
      <c r="BG120" s="1382">
        <v>0</v>
      </c>
      <c r="BH120" s="1382">
        <f t="shared" si="261"/>
        <v>0</v>
      </c>
      <c r="BI120" s="1382">
        <v>0</v>
      </c>
      <c r="BJ120" s="1382">
        <f t="shared" si="262"/>
        <v>0</v>
      </c>
      <c r="BK120" s="1382">
        <v>0</v>
      </c>
      <c r="BL120" s="1415">
        <f t="shared" ref="BL120:BL182" si="329">ROUND(IF(M120="", (((AU120*12)/52)*4%)*$BS$8,0),2)</f>
        <v>0</v>
      </c>
      <c r="BM120" s="1415">
        <f t="shared" ref="BM120:BM182" si="330">ROUND(IF(M120="",(((AU120*12)/52)*0.5%)*$BS$8,0),2)</f>
        <v>0</v>
      </c>
      <c r="BN120" s="1415">
        <f t="shared" si="263"/>
        <v>0</v>
      </c>
      <c r="BO120" s="1415">
        <v>0</v>
      </c>
      <c r="BP120" s="1415">
        <v>0</v>
      </c>
      <c r="BQ120" s="1420">
        <f>ROUND(SUM(BL120:BP120),2)</f>
        <v>0</v>
      </c>
      <c r="BR120" s="1415">
        <f t="shared" ref="BR120:BR182" si="331">ROUND(IF(M120="", (((AU120*12)/52)*9%)*$BS$8,0),2)</f>
        <v>0</v>
      </c>
      <c r="BS120" s="1415">
        <f t="shared" ref="BS120:BS182" si="332">ROUND(IF(M120="",(((AU120*12)/52)*2%)*$BS$8,0),2)</f>
        <v>0</v>
      </c>
      <c r="BT120" s="1415">
        <f t="shared" si="264"/>
        <v>0</v>
      </c>
      <c r="BU120" s="1415">
        <v>0</v>
      </c>
      <c r="BV120" s="1382">
        <f>ROUND(SUM(BR120:BT120),2)</f>
        <v>0</v>
      </c>
      <c r="BW120" s="1379">
        <f>BQ120+BV120</f>
        <v>0</v>
      </c>
      <c r="BX120" s="1379">
        <f t="shared" ref="BX120:BX150" si="333">ROUND(BA120/4,2)</f>
        <v>0</v>
      </c>
      <c r="BY120" s="1382">
        <v>0</v>
      </c>
      <c r="BZ120" s="1382">
        <f t="shared" si="265"/>
        <v>0</v>
      </c>
      <c r="CA120" s="1421">
        <v>0</v>
      </c>
      <c r="CB120" s="1379">
        <f t="shared" si="266"/>
        <v>0</v>
      </c>
      <c r="CC120" s="1422">
        <f t="shared" si="267"/>
        <v>0</v>
      </c>
      <c r="CD120" s="514"/>
      <c r="CE120" s="514"/>
      <c r="CG120" s="931">
        <f t="shared" si="268"/>
        <v>0</v>
      </c>
      <c r="CH120" s="1714">
        <f t="shared" si="269"/>
        <v>0</v>
      </c>
      <c r="CI120" s="931">
        <f t="shared" si="270"/>
        <v>0</v>
      </c>
      <c r="CJ120" s="931">
        <f t="shared" si="271"/>
        <v>0</v>
      </c>
      <c r="CK120" s="931">
        <f t="shared" si="272"/>
        <v>0</v>
      </c>
      <c r="CL120" s="931">
        <f t="shared" si="273"/>
        <v>0</v>
      </c>
      <c r="CM120" s="931">
        <f t="shared" si="274"/>
        <v>0</v>
      </c>
      <c r="CN120" s="932">
        <f t="shared" si="275"/>
        <v>0</v>
      </c>
      <c r="CO120" s="933">
        <v>0</v>
      </c>
      <c r="CP120" s="932">
        <f t="shared" si="276"/>
        <v>0</v>
      </c>
      <c r="CQ120" s="934">
        <f t="shared" si="277"/>
        <v>0</v>
      </c>
      <c r="CR120" s="932">
        <f t="shared" si="278"/>
        <v>0</v>
      </c>
      <c r="CS120" s="932">
        <f t="shared" si="279"/>
        <v>0</v>
      </c>
      <c r="CT120" s="932">
        <f t="shared" si="280"/>
        <v>0</v>
      </c>
      <c r="CU120" s="932">
        <f t="shared" si="281"/>
        <v>0</v>
      </c>
      <c r="CV120" s="1557"/>
      <c r="CW120" s="1406" t="s">
        <v>6975</v>
      </c>
      <c r="CX120" s="1406" t="s">
        <v>7032</v>
      </c>
      <c r="CY120" s="935"/>
      <c r="CZ120" s="514" t="s">
        <v>6184</v>
      </c>
      <c r="DA120" s="478"/>
      <c r="DB120" s="478"/>
      <c r="DC120" s="478"/>
      <c r="DD120" s="935"/>
      <c r="DE120" s="1179"/>
      <c r="DF120" s="935"/>
      <c r="DG120" s="935"/>
      <c r="DH120" s="935"/>
      <c r="DJ120" s="930" t="str">
        <f>VLOOKUP(X120,Hoja1!$A$4:$B$10,2,0)</f>
        <v>BACHILLER</v>
      </c>
      <c r="DK120" s="930" t="str">
        <f>VLOOKUP(S120,Hoja1!$D$4:$F$77,3,0)</f>
        <v>BIII - VII</v>
      </c>
      <c r="DL120" s="1217" t="str">
        <f t="shared" si="282"/>
        <v>0</v>
      </c>
      <c r="DM120" s="1745" t="str">
        <f t="shared" si="283"/>
        <v>M</v>
      </c>
      <c r="DN120" s="1745"/>
    </row>
    <row r="121" spans="1:118" s="473" customFormat="1" ht="21.95" customHeight="1">
      <c r="A121" s="510" t="s">
        <v>2846</v>
      </c>
      <c r="B121" s="1390">
        <f t="shared" ca="1" si="144"/>
        <v>79</v>
      </c>
      <c r="C121" s="1194">
        <v>12798604</v>
      </c>
      <c r="D121" s="1195" t="s">
        <v>4761</v>
      </c>
      <c r="E121" s="1180" t="s">
        <v>4622</v>
      </c>
      <c r="F121" s="1196">
        <v>27830</v>
      </c>
      <c r="G121" s="1180" t="s">
        <v>4620</v>
      </c>
      <c r="H121" s="1196">
        <v>35384</v>
      </c>
      <c r="I121" s="1185">
        <f t="shared" si="259"/>
        <v>28</v>
      </c>
      <c r="J121" s="1177">
        <v>0</v>
      </c>
      <c r="K121" s="1185">
        <f t="shared" si="260"/>
        <v>28</v>
      </c>
      <c r="L121" s="1191" t="s">
        <v>6146</v>
      </c>
      <c r="M121" s="1177"/>
      <c r="N121" s="1177"/>
      <c r="O121" s="1040" t="s">
        <v>5221</v>
      </c>
      <c r="P121" s="1177" t="s">
        <v>5336</v>
      </c>
      <c r="Q121" s="1391" t="str">
        <f>IFERROR(VLOOKUP(O121,CARGOS!A:E,2,0),"")</f>
        <v>79512</v>
      </c>
      <c r="R121" s="1403" t="s">
        <v>5221</v>
      </c>
      <c r="S121" s="1192" t="s">
        <v>5476</v>
      </c>
      <c r="T121" s="1150">
        <f>IFERROR(VLOOKUP(S121,'TAB EMP'!A:B,2,0),0)</f>
        <v>177</v>
      </c>
      <c r="U121" s="1151">
        <v>0</v>
      </c>
      <c r="V121" s="1150">
        <f t="shared" si="288"/>
        <v>177</v>
      </c>
      <c r="W121" s="1151">
        <f t="shared" si="289"/>
        <v>88.5</v>
      </c>
      <c r="X121" s="1180" t="s">
        <v>2884</v>
      </c>
      <c r="Y121" s="1180"/>
      <c r="Z121" s="1180">
        <v>1</v>
      </c>
      <c r="AA121" s="1150">
        <f>ROUND(IF(H121&lt;&gt;"",VLOOKUP(SUM(I121+J121),'CONCEPTOS Y PARAMETROS'!F:G,2,0)*V121,0),2)</f>
        <v>53.1</v>
      </c>
      <c r="AB121" s="1150">
        <f>IF(S121&lt;&gt;"",IF(M121="",'CONCEPTOS Y PARAMETROS'!$C$4,0),0)</f>
        <v>130</v>
      </c>
      <c r="AC121" s="1150">
        <f>IF(S121&lt;&gt;"",IF(M121="",'CONCEPTOS Y PARAMETROS'!$C$7*Z121,0),0)</f>
        <v>12.5</v>
      </c>
      <c r="AD121" s="1150">
        <f>IFERROR(ROUND(VLOOKUP($X121,'CONCEPTOS Y PARAMETROS'!H:I,2,0)*($V121+AA121+AB121+AC121),2),0)</f>
        <v>0</v>
      </c>
      <c r="AE121" s="1150">
        <f t="shared" si="285"/>
        <v>195.6</v>
      </c>
      <c r="AF121" s="1150">
        <f t="shared" si="290"/>
        <v>26.55</v>
      </c>
      <c r="AG121" s="1150">
        <f t="shared" si="291"/>
        <v>26.55</v>
      </c>
      <c r="AH121" s="1150">
        <f t="shared" si="292"/>
        <v>65</v>
      </c>
      <c r="AI121" s="1150">
        <f t="shared" si="293"/>
        <v>65</v>
      </c>
      <c r="AJ121" s="1150">
        <f t="shared" si="294"/>
        <v>0</v>
      </c>
      <c r="AK121" s="1150">
        <f t="shared" si="295"/>
        <v>0</v>
      </c>
      <c r="AL121" s="1151">
        <f t="shared" si="296"/>
        <v>104.05</v>
      </c>
      <c r="AM121" s="1151">
        <f t="shared" si="297"/>
        <v>91.55</v>
      </c>
      <c r="AN121" s="1583">
        <v>1</v>
      </c>
      <c r="AO121" s="1193">
        <f>'CONCEPTOS Y PARAMETROS'!$C$18*AN121</f>
        <v>12.5</v>
      </c>
      <c r="AP121" s="1028">
        <v>0</v>
      </c>
      <c r="AQ121" s="1193">
        <f>'CONCEPTOS Y PARAMETROS'!$C$21*AP121</f>
        <v>0</v>
      </c>
      <c r="AR121" s="1394">
        <v>0</v>
      </c>
      <c r="AS121" s="1394">
        <v>0</v>
      </c>
      <c r="AT121" s="1394">
        <f t="shared" si="286"/>
        <v>12.5</v>
      </c>
      <c r="AU121" s="1151">
        <f t="shared" si="298"/>
        <v>372.6</v>
      </c>
      <c r="AV121" s="1178">
        <v>0</v>
      </c>
      <c r="AW121" s="1151">
        <f t="shared" si="299"/>
        <v>0</v>
      </c>
      <c r="AX121" s="1150">
        <f>IF(T121&lt;&gt;"0",(ROUND(IF(A121="EMPLEADO",eval_formula('CONCEPTOS Y PARAMETROS'!$C$8,NOMINA!V121,NOMINA!$AU121,NOMINA!I121+NOMINA!J121),eval_formula('CONCEPTOS Y PARAMETROS'!$D$8,NOMINA!V121,NOMINA!$AU121,NOMINA!I121+NOMINA!J121)),2))*IF(H121&lt;&gt;"",IF(MONTH(H121)=$BR$8,IF(YEAR(H121)&lt;$BT$7,1,0),0)))</f>
        <v>0</v>
      </c>
      <c r="AY121" s="1151">
        <v>180</v>
      </c>
      <c r="AZ121" s="1150">
        <f>IFERROR(VLOOKUP(AY121,'CONCEPTOS Y PARAMETROS'!Y:Z,2,0),0)</f>
        <v>150</v>
      </c>
      <c r="BA121" s="1150">
        <f t="shared" si="300"/>
        <v>2794.5</v>
      </c>
      <c r="BB121" s="1150">
        <f t="shared" si="287"/>
        <v>0</v>
      </c>
      <c r="BC121" s="1028">
        <v>0</v>
      </c>
      <c r="BD121" s="1150" t="str">
        <f t="shared" si="301"/>
        <v>0</v>
      </c>
      <c r="BE121" s="1028">
        <v>0</v>
      </c>
      <c r="BF121" s="1150">
        <f t="shared" ref="BF121:BF151" si="334">ROUND(IF(BE121&gt;0,(((V121+AA121+AB121+AC121+AD121+AW121)/30)*50%+((V121+AA121+AB121+AC121+AD121+AW121)/30))*BE121,"0"),2)</f>
        <v>0</v>
      </c>
      <c r="BG121" s="1151">
        <v>300</v>
      </c>
      <c r="BH121" s="1151">
        <f t="shared" si="261"/>
        <v>0</v>
      </c>
      <c r="BI121" s="1180">
        <v>0</v>
      </c>
      <c r="BJ121" s="1180">
        <f t="shared" si="262"/>
        <v>0</v>
      </c>
      <c r="BK121" s="1151">
        <v>0</v>
      </c>
      <c r="BL121" s="1150">
        <f t="shared" si="329"/>
        <v>13.76</v>
      </c>
      <c r="BM121" s="1150">
        <f t="shared" si="330"/>
        <v>1.72</v>
      </c>
      <c r="BN121" s="1150">
        <f t="shared" si="263"/>
        <v>3.73</v>
      </c>
      <c r="BO121" s="1150">
        <v>0</v>
      </c>
      <c r="BP121" s="1150">
        <v>0</v>
      </c>
      <c r="BQ121" s="1396">
        <f t="shared" si="302"/>
        <v>19.21</v>
      </c>
      <c r="BR121" s="1150">
        <f t="shared" si="331"/>
        <v>30.95</v>
      </c>
      <c r="BS121" s="1150">
        <f t="shared" si="332"/>
        <v>6.88</v>
      </c>
      <c r="BT121" s="1150">
        <f t="shared" si="264"/>
        <v>7.46</v>
      </c>
      <c r="BU121" s="1150">
        <v>0</v>
      </c>
      <c r="BV121" s="1151">
        <f t="shared" si="303"/>
        <v>45.29</v>
      </c>
      <c r="BW121" s="1155">
        <f t="shared" si="304"/>
        <v>64.5</v>
      </c>
      <c r="BX121" s="1155">
        <f t="shared" si="333"/>
        <v>698.63</v>
      </c>
      <c r="BY121" s="1151">
        <v>0</v>
      </c>
      <c r="BZ121" s="1151">
        <f t="shared" si="265"/>
        <v>698.63</v>
      </c>
      <c r="CA121" s="1397">
        <f>'CONCEPTOS Y PARAMETROS'!$A$102</f>
        <v>2120</v>
      </c>
      <c r="CB121" s="1155">
        <f t="shared" si="266"/>
        <v>173.34</v>
      </c>
      <c r="CC121" s="1156">
        <f t="shared" si="267"/>
        <v>492.55</v>
      </c>
      <c r="CD121" s="514"/>
      <c r="CE121" s="514"/>
      <c r="CF121" s="520"/>
      <c r="CG121" s="497">
        <f t="shared" si="268"/>
        <v>173.34</v>
      </c>
      <c r="CH121" s="1711">
        <f t="shared" si="269"/>
        <v>300</v>
      </c>
      <c r="CI121" s="497">
        <f t="shared" si="270"/>
        <v>480.05</v>
      </c>
      <c r="CJ121" s="497">
        <f t="shared" si="271"/>
        <v>480.05</v>
      </c>
      <c r="CK121" s="497">
        <f t="shared" si="272"/>
        <v>0</v>
      </c>
      <c r="CL121" s="497">
        <f t="shared" si="273"/>
        <v>0</v>
      </c>
      <c r="CM121" s="497">
        <f t="shared" si="274"/>
        <v>0</v>
      </c>
      <c r="CN121" s="498">
        <f t="shared" si="275"/>
        <v>0</v>
      </c>
      <c r="CO121" s="499">
        <v>0</v>
      </c>
      <c r="CP121" s="498">
        <f t="shared" si="276"/>
        <v>0</v>
      </c>
      <c r="CQ121" s="500">
        <f t="shared" si="277"/>
        <v>12.5</v>
      </c>
      <c r="CR121" s="498">
        <f t="shared" si="278"/>
        <v>0</v>
      </c>
      <c r="CS121" s="498">
        <f t="shared" si="279"/>
        <v>12.5</v>
      </c>
      <c r="CT121" s="498">
        <f t="shared" si="280"/>
        <v>64.5</v>
      </c>
      <c r="CU121" s="498">
        <f t="shared" si="281"/>
        <v>2120</v>
      </c>
      <c r="CV121" s="1554"/>
      <c r="CW121" s="1195" t="s">
        <v>7207</v>
      </c>
      <c r="CX121" s="1195" t="s">
        <v>7259</v>
      </c>
      <c r="CY121" s="472"/>
      <c r="CZ121" s="514" t="s">
        <v>6256</v>
      </c>
      <c r="DA121" s="1199" t="s">
        <v>6657</v>
      </c>
      <c r="DB121" s="514" t="s">
        <v>6258</v>
      </c>
      <c r="DC121" s="514" t="s">
        <v>6243</v>
      </c>
      <c r="DD121" s="472"/>
      <c r="DE121" s="472"/>
      <c r="DF121" s="472"/>
      <c r="DG121" s="472"/>
      <c r="DH121" s="472"/>
      <c r="DJ121" s="473" t="str">
        <f>VLOOKUP(X121,Hoja1!$A$4:$B$10,2,0)</f>
        <v>BACHILLER</v>
      </c>
      <c r="DK121" s="473" t="str">
        <f>VLOOKUP(S121,Hoja1!$D$4:$F$77,3,0)</f>
        <v>BIII - VII</v>
      </c>
      <c r="DL121" s="1216" t="str">
        <f t="shared" si="282"/>
        <v>0</v>
      </c>
      <c r="DM121" s="1741" t="str">
        <f t="shared" si="283"/>
        <v>F</v>
      </c>
      <c r="DN121" s="1741"/>
    </row>
    <row r="122" spans="1:118" s="473" customFormat="1" ht="21.95" customHeight="1">
      <c r="A122" s="510" t="s">
        <v>2846</v>
      </c>
      <c r="B122" s="1390">
        <f t="shared" ca="1" si="144"/>
        <v>80</v>
      </c>
      <c r="C122" s="1194">
        <v>12798736</v>
      </c>
      <c r="D122" s="1195" t="s">
        <v>4762</v>
      </c>
      <c r="E122" s="1180" t="s">
        <v>4622</v>
      </c>
      <c r="F122" s="1196">
        <v>27802</v>
      </c>
      <c r="G122" s="1180" t="s">
        <v>4620</v>
      </c>
      <c r="H122" s="1196">
        <v>39479</v>
      </c>
      <c r="I122" s="1185">
        <f t="shared" si="259"/>
        <v>16</v>
      </c>
      <c r="J122" s="1177">
        <v>7</v>
      </c>
      <c r="K122" s="1185">
        <f t="shared" si="260"/>
        <v>23</v>
      </c>
      <c r="L122" s="1191" t="s">
        <v>5552</v>
      </c>
      <c r="M122" s="1177"/>
      <c r="N122" s="1177"/>
      <c r="O122" s="1040" t="s">
        <v>5248</v>
      </c>
      <c r="P122" s="1177" t="s">
        <v>5337</v>
      </c>
      <c r="Q122" s="1391" t="str">
        <f>IFERROR(VLOOKUP(O122,CARGOS!A:E,2,0),"")</f>
        <v>15126</v>
      </c>
      <c r="R122" s="1403" t="s">
        <v>5248</v>
      </c>
      <c r="S122" s="1192" t="s">
        <v>5487</v>
      </c>
      <c r="T122" s="1150">
        <f>IFERROR(VLOOKUP(S122,'TAB EMP'!A:B,2,0),0)</f>
        <v>316</v>
      </c>
      <c r="U122" s="1151">
        <v>0</v>
      </c>
      <c r="V122" s="1150">
        <f t="shared" si="288"/>
        <v>316</v>
      </c>
      <c r="W122" s="1151">
        <f t="shared" si="289"/>
        <v>158</v>
      </c>
      <c r="X122" s="1180" t="s">
        <v>2885</v>
      </c>
      <c r="Y122" s="1180"/>
      <c r="Z122" s="1180">
        <v>1</v>
      </c>
      <c r="AA122" s="1150">
        <f>ROUND(IF(H122&lt;&gt;"",VLOOKUP(SUM(I122+J122),'CONCEPTOS Y PARAMETROS'!F:G,2,0)*V122,0),2)</f>
        <v>94.8</v>
      </c>
      <c r="AB122" s="1150">
        <f>IF(S122&lt;&gt;"",IF(M122="",'CONCEPTOS Y PARAMETROS'!$C$4,0),0)</f>
        <v>130</v>
      </c>
      <c r="AC122" s="1150">
        <f>IF(S122&lt;&gt;"",IF(M122="",'CONCEPTOS Y PARAMETROS'!$C$7*Z122,0),0)</f>
        <v>12.5</v>
      </c>
      <c r="AD122" s="1150">
        <f>IFERROR(ROUND(VLOOKUP($X122,'CONCEPTOS Y PARAMETROS'!H:I,2,0)*($V122+AA122+AB122+AC122),2),0)</f>
        <v>138.33000000000001</v>
      </c>
      <c r="AE122" s="1150">
        <f t="shared" si="285"/>
        <v>375.63</v>
      </c>
      <c r="AF122" s="1150">
        <f t="shared" si="290"/>
        <v>47.4</v>
      </c>
      <c r="AG122" s="1150">
        <f t="shared" si="291"/>
        <v>47.4</v>
      </c>
      <c r="AH122" s="1150">
        <f t="shared" si="292"/>
        <v>65</v>
      </c>
      <c r="AI122" s="1150">
        <f t="shared" si="293"/>
        <v>65</v>
      </c>
      <c r="AJ122" s="1150">
        <f t="shared" si="294"/>
        <v>69.17</v>
      </c>
      <c r="AK122" s="1150">
        <f t="shared" si="295"/>
        <v>69.16</v>
      </c>
      <c r="AL122" s="1151">
        <f t="shared" si="296"/>
        <v>194.07</v>
      </c>
      <c r="AM122" s="1151">
        <f t="shared" si="297"/>
        <v>181.56</v>
      </c>
      <c r="AN122" s="1028">
        <v>0</v>
      </c>
      <c r="AO122" s="1193">
        <f>'CONCEPTOS Y PARAMETROS'!$C$18*AN122</f>
        <v>0</v>
      </c>
      <c r="AP122" s="1028">
        <v>0</v>
      </c>
      <c r="AQ122" s="1193">
        <f>'CONCEPTOS Y PARAMETROS'!$C$21*AP122</f>
        <v>0</v>
      </c>
      <c r="AR122" s="1394">
        <v>0</v>
      </c>
      <c r="AS122" s="1394">
        <v>0</v>
      </c>
      <c r="AT122" s="1394">
        <f t="shared" si="286"/>
        <v>0</v>
      </c>
      <c r="AU122" s="1151">
        <f t="shared" si="298"/>
        <v>691.63</v>
      </c>
      <c r="AV122" s="1178">
        <v>0</v>
      </c>
      <c r="AW122" s="1151">
        <f t="shared" si="299"/>
        <v>0</v>
      </c>
      <c r="AX122" s="1150">
        <f>IF(T122&lt;&gt;"0",(ROUND(IF(A122="EMPLEADO",eval_formula('CONCEPTOS Y PARAMETROS'!$C$8,NOMINA!V122,NOMINA!$AU122,NOMINA!I122+NOMINA!J122),eval_formula('CONCEPTOS Y PARAMETROS'!$D$8,NOMINA!V122,NOMINA!$AU122,NOMINA!I122+NOMINA!J122)),2))*IF(H122&lt;&gt;"",IF(MONTH(H122)=$BR$8,IF(YEAR(H122)&lt;$BT$7,1,0),0)))</f>
        <v>0</v>
      </c>
      <c r="AY122" s="1151">
        <v>180</v>
      </c>
      <c r="AZ122" s="1150">
        <f>IFERROR(VLOOKUP(AY122,'CONCEPTOS Y PARAMETROS'!Y:Z,2,0),0)</f>
        <v>150</v>
      </c>
      <c r="BA122" s="1150">
        <f t="shared" si="300"/>
        <v>5187.2299999999996</v>
      </c>
      <c r="BB122" s="1150">
        <f t="shared" si="287"/>
        <v>0</v>
      </c>
      <c r="BC122" s="1028">
        <v>0</v>
      </c>
      <c r="BD122" s="1150" t="str">
        <f t="shared" si="301"/>
        <v>0</v>
      </c>
      <c r="BE122" s="1028">
        <v>0</v>
      </c>
      <c r="BF122" s="1150">
        <f t="shared" si="334"/>
        <v>0</v>
      </c>
      <c r="BG122" s="1151">
        <v>300</v>
      </c>
      <c r="BH122" s="1151">
        <f t="shared" si="261"/>
        <v>0</v>
      </c>
      <c r="BI122" s="1180">
        <v>0</v>
      </c>
      <c r="BJ122" s="1180">
        <f t="shared" si="262"/>
        <v>0</v>
      </c>
      <c r="BK122" s="1151">
        <v>0</v>
      </c>
      <c r="BL122" s="1150">
        <f t="shared" si="329"/>
        <v>25.54</v>
      </c>
      <c r="BM122" s="1150">
        <f t="shared" si="330"/>
        <v>3.19</v>
      </c>
      <c r="BN122" s="1150">
        <f t="shared" si="263"/>
        <v>6.92</v>
      </c>
      <c r="BO122" s="1150">
        <v>0</v>
      </c>
      <c r="BP122" s="1150">
        <v>0</v>
      </c>
      <c r="BQ122" s="1396">
        <f t="shared" si="302"/>
        <v>35.65</v>
      </c>
      <c r="BR122" s="1150">
        <f t="shared" si="331"/>
        <v>57.46</v>
      </c>
      <c r="BS122" s="1150">
        <f t="shared" si="332"/>
        <v>12.77</v>
      </c>
      <c r="BT122" s="1150">
        <f t="shared" si="264"/>
        <v>13.84</v>
      </c>
      <c r="BU122" s="1150">
        <v>0</v>
      </c>
      <c r="BV122" s="1151">
        <f t="shared" si="303"/>
        <v>84.07</v>
      </c>
      <c r="BW122" s="1155">
        <f t="shared" si="304"/>
        <v>119.72</v>
      </c>
      <c r="BX122" s="1155">
        <f t="shared" si="333"/>
        <v>1296.81</v>
      </c>
      <c r="BY122" s="1151">
        <v>0</v>
      </c>
      <c r="BZ122" s="1151">
        <f t="shared" si="265"/>
        <v>1296.81</v>
      </c>
      <c r="CA122" s="1397">
        <f>'CONCEPTOS Y PARAMETROS'!$A$102</f>
        <v>2120</v>
      </c>
      <c r="CB122" s="1155">
        <f t="shared" si="266"/>
        <v>316.42</v>
      </c>
      <c r="CC122" s="1156">
        <f t="shared" si="267"/>
        <v>639.55999999999995</v>
      </c>
      <c r="CD122" s="514"/>
      <c r="CE122" s="514"/>
      <c r="CF122" s="520"/>
      <c r="CG122" s="497">
        <f t="shared" si="268"/>
        <v>316.42</v>
      </c>
      <c r="CH122" s="1711">
        <f t="shared" si="269"/>
        <v>300</v>
      </c>
      <c r="CI122" s="497">
        <f t="shared" si="270"/>
        <v>639.55999999999995</v>
      </c>
      <c r="CJ122" s="497">
        <f t="shared" si="271"/>
        <v>306.99</v>
      </c>
      <c r="CK122" s="497">
        <f t="shared" si="272"/>
        <v>332.56999999999994</v>
      </c>
      <c r="CL122" s="497">
        <f t="shared" si="273"/>
        <v>0</v>
      </c>
      <c r="CM122" s="497">
        <f t="shared" si="274"/>
        <v>0</v>
      </c>
      <c r="CN122" s="498">
        <f t="shared" si="275"/>
        <v>0</v>
      </c>
      <c r="CO122" s="499">
        <v>0</v>
      </c>
      <c r="CP122" s="498">
        <f t="shared" si="276"/>
        <v>0</v>
      </c>
      <c r="CQ122" s="500">
        <f t="shared" si="277"/>
        <v>0</v>
      </c>
      <c r="CR122" s="498">
        <f t="shared" si="278"/>
        <v>0</v>
      </c>
      <c r="CS122" s="498">
        <f t="shared" si="279"/>
        <v>0</v>
      </c>
      <c r="CT122" s="498">
        <f t="shared" si="280"/>
        <v>119.72</v>
      </c>
      <c r="CU122" s="498">
        <f t="shared" si="281"/>
        <v>2120</v>
      </c>
      <c r="CV122" s="1554"/>
      <c r="CW122" s="1195" t="s">
        <v>6998</v>
      </c>
      <c r="CX122" s="1195" t="s">
        <v>6957</v>
      </c>
      <c r="CY122" s="472"/>
      <c r="CZ122" s="514" t="s">
        <v>6472</v>
      </c>
      <c r="DA122" s="514" t="s">
        <v>6173</v>
      </c>
      <c r="DB122" s="514" t="s">
        <v>6202</v>
      </c>
      <c r="DC122" s="514" t="s">
        <v>6571</v>
      </c>
      <c r="DD122" s="472"/>
      <c r="DE122" s="472"/>
      <c r="DF122" s="472"/>
      <c r="DG122" s="472"/>
      <c r="DH122" s="472"/>
      <c r="DJ122" s="473" t="str">
        <f>VLOOKUP(X122,Hoja1!$A$4:$B$10,2,0)</f>
        <v>PROFESIONAL</v>
      </c>
      <c r="DK122" s="473" t="str">
        <f>VLOOKUP(S122,Hoja1!$D$4:$F$77,3,0)</f>
        <v>PIII - VII</v>
      </c>
      <c r="DL122" s="1216" t="str">
        <f t="shared" si="282"/>
        <v>0</v>
      </c>
      <c r="DM122" s="1741" t="str">
        <f t="shared" si="283"/>
        <v>F</v>
      </c>
      <c r="DN122" s="1741"/>
    </row>
    <row r="123" spans="1:118" s="473" customFormat="1" ht="21.95" customHeight="1">
      <c r="A123" s="510" t="s">
        <v>2846</v>
      </c>
      <c r="B123" s="1390">
        <f t="shared" ca="1" si="144"/>
        <v>81</v>
      </c>
      <c r="C123" s="1194">
        <v>12939010</v>
      </c>
      <c r="D123" s="1195" t="s">
        <v>4764</v>
      </c>
      <c r="E123" s="1180" t="s">
        <v>4622</v>
      </c>
      <c r="F123" s="1196">
        <v>28229</v>
      </c>
      <c r="G123" s="1180" t="s">
        <v>4620</v>
      </c>
      <c r="H123" s="1196">
        <v>42948</v>
      </c>
      <c r="I123" s="1185">
        <f t="shared" si="259"/>
        <v>7</v>
      </c>
      <c r="J123" s="1177">
        <v>0</v>
      </c>
      <c r="K123" s="1185">
        <f t="shared" si="260"/>
        <v>7</v>
      </c>
      <c r="L123" s="1191" t="s">
        <v>5560</v>
      </c>
      <c r="M123" s="1177"/>
      <c r="N123" s="1177"/>
      <c r="O123" s="1040" t="s">
        <v>5219</v>
      </c>
      <c r="P123" s="1177" t="s">
        <v>5338</v>
      </c>
      <c r="Q123" s="1391" t="str">
        <f>IFERROR(VLOOKUP(O123,CARGOS!A:E,2,0),"")</f>
        <v>12113</v>
      </c>
      <c r="R123" s="1403" t="s">
        <v>5219</v>
      </c>
      <c r="S123" s="1192" t="s">
        <v>5491</v>
      </c>
      <c r="T123" s="1150">
        <f>IFERROR(VLOOKUP(S123,'TAB EMP'!A:B,2,0),0)</f>
        <v>221</v>
      </c>
      <c r="U123" s="1151">
        <v>0</v>
      </c>
      <c r="V123" s="1150">
        <f t="shared" si="288"/>
        <v>221</v>
      </c>
      <c r="W123" s="1151">
        <f t="shared" si="289"/>
        <v>110.5</v>
      </c>
      <c r="X123" s="1180" t="s">
        <v>2885</v>
      </c>
      <c r="Y123" s="1180"/>
      <c r="Z123" s="1180">
        <v>0</v>
      </c>
      <c r="AA123" s="1150">
        <f>ROUND(IF(H123&lt;&gt;"",VLOOKUP(SUM(I123+J123),'CONCEPTOS Y PARAMETROS'!F:G,2,0)*V123,0),2)</f>
        <v>16.350000000000001</v>
      </c>
      <c r="AB123" s="1150">
        <f>IF(S123&lt;&gt;"",IF(M123="",'CONCEPTOS Y PARAMETROS'!$C$4,0),0)</f>
        <v>130</v>
      </c>
      <c r="AC123" s="1150">
        <f>IF(S123&lt;&gt;"",IF(M123="",'CONCEPTOS Y PARAMETROS'!$C$7*Z123,0),0)</f>
        <v>0</v>
      </c>
      <c r="AD123" s="1150">
        <f>IFERROR(ROUND(VLOOKUP($X123,'CONCEPTOS Y PARAMETROS'!H:I,2,0)*($V123+AA123+AB123+AC123),2),0)</f>
        <v>91.84</v>
      </c>
      <c r="AE123" s="1150">
        <f t="shared" si="285"/>
        <v>238.19</v>
      </c>
      <c r="AF123" s="1150">
        <f t="shared" si="290"/>
        <v>8.18</v>
      </c>
      <c r="AG123" s="1150">
        <f t="shared" si="291"/>
        <v>8.17</v>
      </c>
      <c r="AH123" s="1150">
        <f t="shared" si="292"/>
        <v>65</v>
      </c>
      <c r="AI123" s="1150">
        <f t="shared" si="293"/>
        <v>65</v>
      </c>
      <c r="AJ123" s="1150">
        <f t="shared" si="294"/>
        <v>45.92</v>
      </c>
      <c r="AK123" s="1150">
        <f t="shared" si="295"/>
        <v>45.92</v>
      </c>
      <c r="AL123" s="1151">
        <f t="shared" si="296"/>
        <v>119.1</v>
      </c>
      <c r="AM123" s="1151">
        <f t="shared" si="297"/>
        <v>119.09</v>
      </c>
      <c r="AN123" s="1028">
        <v>0</v>
      </c>
      <c r="AO123" s="1193">
        <f>'CONCEPTOS Y PARAMETROS'!$C$18*AN123</f>
        <v>0</v>
      </c>
      <c r="AP123" s="1028">
        <v>0</v>
      </c>
      <c r="AQ123" s="1193">
        <f>'CONCEPTOS Y PARAMETROS'!$C$21*AP123</f>
        <v>0</v>
      </c>
      <c r="AR123" s="1394">
        <v>0</v>
      </c>
      <c r="AS123" s="1394">
        <v>0</v>
      </c>
      <c r="AT123" s="1394">
        <f t="shared" si="286"/>
        <v>0</v>
      </c>
      <c r="AU123" s="1151">
        <f t="shared" si="298"/>
        <v>459.19</v>
      </c>
      <c r="AV123" s="1178">
        <v>0</v>
      </c>
      <c r="AW123" s="1151">
        <f t="shared" si="299"/>
        <v>0</v>
      </c>
      <c r="AX123" s="1150">
        <f>IF(T123&lt;&gt;"0",(ROUND(IF(A123="EMPLEADO",eval_formula('CONCEPTOS Y PARAMETROS'!$C$8,NOMINA!V123,NOMINA!$AU123,NOMINA!I123+NOMINA!J123),eval_formula('CONCEPTOS Y PARAMETROS'!$D$8,NOMINA!V123,NOMINA!$AU123,NOMINA!I123+NOMINA!J123)),2))*IF(H123&lt;&gt;"",IF(MONTH(H123)=$BR$8,IF(YEAR(H123)&lt;$BT$7,1,0),0)))</f>
        <v>0</v>
      </c>
      <c r="AY123" s="1151">
        <v>180</v>
      </c>
      <c r="AZ123" s="1150">
        <f>IFERROR(VLOOKUP(AY123,'CONCEPTOS Y PARAMETROS'!Y:Z,2,0),0)</f>
        <v>150</v>
      </c>
      <c r="BA123" s="1150">
        <f t="shared" si="300"/>
        <v>3443.93</v>
      </c>
      <c r="BB123" s="1150">
        <f t="shared" si="287"/>
        <v>0</v>
      </c>
      <c r="BC123" s="1028">
        <v>0</v>
      </c>
      <c r="BD123" s="1150" t="str">
        <f t="shared" si="301"/>
        <v>0</v>
      </c>
      <c r="BE123" s="1028">
        <v>0</v>
      </c>
      <c r="BF123" s="1150">
        <f t="shared" si="334"/>
        <v>0</v>
      </c>
      <c r="BG123" s="1151">
        <v>300</v>
      </c>
      <c r="BH123" s="1151">
        <f t="shared" si="261"/>
        <v>0</v>
      </c>
      <c r="BI123" s="1180">
        <v>0</v>
      </c>
      <c r="BJ123" s="1180">
        <f t="shared" si="262"/>
        <v>0</v>
      </c>
      <c r="BK123" s="1151">
        <v>0</v>
      </c>
      <c r="BL123" s="1150">
        <f t="shared" si="329"/>
        <v>16.95</v>
      </c>
      <c r="BM123" s="1150">
        <f t="shared" si="330"/>
        <v>2.12</v>
      </c>
      <c r="BN123" s="1150">
        <f t="shared" si="263"/>
        <v>4.59</v>
      </c>
      <c r="BO123" s="1150">
        <v>0</v>
      </c>
      <c r="BP123" s="1150">
        <v>0</v>
      </c>
      <c r="BQ123" s="1396">
        <f t="shared" si="302"/>
        <v>23.66</v>
      </c>
      <c r="BR123" s="1150">
        <f t="shared" si="331"/>
        <v>38.15</v>
      </c>
      <c r="BS123" s="1150">
        <f t="shared" si="332"/>
        <v>8.48</v>
      </c>
      <c r="BT123" s="1150">
        <f t="shared" si="264"/>
        <v>9.18</v>
      </c>
      <c r="BU123" s="1150">
        <v>0</v>
      </c>
      <c r="BV123" s="1151">
        <f t="shared" si="303"/>
        <v>55.81</v>
      </c>
      <c r="BW123" s="1155">
        <f t="shared" si="304"/>
        <v>79.47</v>
      </c>
      <c r="BX123" s="1155">
        <f t="shared" si="333"/>
        <v>860.98</v>
      </c>
      <c r="BY123" s="1151">
        <v>0</v>
      </c>
      <c r="BZ123" s="1151">
        <f t="shared" si="265"/>
        <v>860.98</v>
      </c>
      <c r="CA123" s="1397">
        <f>'CONCEPTOS Y PARAMETROS'!$A$102</f>
        <v>2120</v>
      </c>
      <c r="CB123" s="1155">
        <f t="shared" si="266"/>
        <v>205.94</v>
      </c>
      <c r="CC123" s="1156">
        <f t="shared" si="267"/>
        <v>529.59</v>
      </c>
      <c r="CD123" s="514"/>
      <c r="CE123" s="514"/>
      <c r="CF123" s="520"/>
      <c r="CG123" s="497">
        <f t="shared" si="268"/>
        <v>205.94</v>
      </c>
      <c r="CH123" s="1711">
        <f t="shared" si="269"/>
        <v>300</v>
      </c>
      <c r="CI123" s="497">
        <f t="shared" si="270"/>
        <v>529.59</v>
      </c>
      <c r="CJ123" s="497">
        <f t="shared" si="271"/>
        <v>529.59</v>
      </c>
      <c r="CK123" s="497">
        <f t="shared" si="272"/>
        <v>0</v>
      </c>
      <c r="CL123" s="497">
        <f t="shared" si="273"/>
        <v>0</v>
      </c>
      <c r="CM123" s="497">
        <f t="shared" si="274"/>
        <v>0</v>
      </c>
      <c r="CN123" s="498">
        <f t="shared" si="275"/>
        <v>0</v>
      </c>
      <c r="CO123" s="499">
        <v>0</v>
      </c>
      <c r="CP123" s="498">
        <f t="shared" si="276"/>
        <v>0</v>
      </c>
      <c r="CQ123" s="500">
        <f t="shared" si="277"/>
        <v>0</v>
      </c>
      <c r="CR123" s="498">
        <f t="shared" si="278"/>
        <v>0</v>
      </c>
      <c r="CS123" s="498">
        <f t="shared" si="279"/>
        <v>0</v>
      </c>
      <c r="CT123" s="498">
        <f t="shared" si="280"/>
        <v>79.47</v>
      </c>
      <c r="CU123" s="498">
        <f t="shared" si="281"/>
        <v>2120</v>
      </c>
      <c r="CV123" s="1554"/>
      <c r="CW123" s="1195" t="s">
        <v>7117</v>
      </c>
      <c r="CX123" s="1195" t="s">
        <v>7013</v>
      </c>
      <c r="CY123" s="472"/>
      <c r="CZ123" s="514" t="s">
        <v>6466</v>
      </c>
      <c r="DA123" s="514" t="s">
        <v>6161</v>
      </c>
      <c r="DB123" s="514" t="s">
        <v>6467</v>
      </c>
      <c r="DC123" s="514" t="s">
        <v>6468</v>
      </c>
      <c r="DD123" s="472"/>
      <c r="DE123" s="472"/>
      <c r="DF123" s="472"/>
      <c r="DG123" s="472"/>
      <c r="DH123" s="472"/>
      <c r="DJ123" s="473" t="str">
        <f>VLOOKUP(X123,Hoja1!$A$4:$B$10,2,0)</f>
        <v>PROFESIONAL</v>
      </c>
      <c r="DK123" s="473" t="str">
        <f>VLOOKUP(S123,Hoja1!$D$4:$F$77,3,0)</f>
        <v>TII - III</v>
      </c>
      <c r="DL123" s="1216" t="str">
        <f t="shared" si="282"/>
        <v>0</v>
      </c>
      <c r="DM123" s="1741" t="str">
        <f t="shared" si="283"/>
        <v>F</v>
      </c>
      <c r="DN123" s="1741"/>
    </row>
    <row r="124" spans="1:118" s="1654" customFormat="1" ht="21.95" customHeight="1">
      <c r="A124" s="1624" t="s">
        <v>2846</v>
      </c>
      <c r="B124" s="1625">
        <f t="shared" ca="1" si="144"/>
        <v>82</v>
      </c>
      <c r="C124" s="1626">
        <v>12941385</v>
      </c>
      <c r="D124" s="1627" t="s">
        <v>4765</v>
      </c>
      <c r="E124" s="1628" t="s">
        <v>4622</v>
      </c>
      <c r="F124" s="1629">
        <v>28105</v>
      </c>
      <c r="G124" s="1628" t="s">
        <v>4620</v>
      </c>
      <c r="H124" s="1629">
        <v>42948</v>
      </c>
      <c r="I124" s="1630">
        <f t="shared" si="259"/>
        <v>7</v>
      </c>
      <c r="J124" s="1631">
        <v>0</v>
      </c>
      <c r="K124" s="1630">
        <f t="shared" si="260"/>
        <v>7</v>
      </c>
      <c r="L124" s="1632" t="s">
        <v>5543</v>
      </c>
      <c r="M124" s="1631"/>
      <c r="N124" s="1631"/>
      <c r="O124" s="1633" t="s">
        <v>5237</v>
      </c>
      <c r="P124" s="1631" t="s">
        <v>5339</v>
      </c>
      <c r="Q124" s="1634" t="str">
        <f>IFERROR(VLOOKUP(O124,CARGOS!A:E,2,0),"")</f>
        <v>79523</v>
      </c>
      <c r="R124" s="1635" t="s">
        <v>5237</v>
      </c>
      <c r="S124" s="1636" t="s">
        <v>5488</v>
      </c>
      <c r="T124" s="1637">
        <f>IFERROR(VLOOKUP(S124,'TAB EMP'!A:B,2,0),0)</f>
        <v>279</v>
      </c>
      <c r="U124" s="1638">
        <v>0</v>
      </c>
      <c r="V124" s="1637">
        <f t="shared" si="288"/>
        <v>279</v>
      </c>
      <c r="W124" s="1638">
        <f t="shared" si="289"/>
        <v>139.5</v>
      </c>
      <c r="X124" s="1628" t="s">
        <v>2885</v>
      </c>
      <c r="Y124" s="1628"/>
      <c r="Z124" s="1628">
        <v>0</v>
      </c>
      <c r="AA124" s="1637">
        <f>ROUND(IF(H124&lt;&gt;"",VLOOKUP(SUM(I124+J124),'CONCEPTOS Y PARAMETROS'!F:G,2,0)*V124,0),2)</f>
        <v>20.65</v>
      </c>
      <c r="AB124" s="1637">
        <f>IF(S124&lt;&gt;"",IF(M124="",'CONCEPTOS Y PARAMETROS'!$C$4,0),0)</f>
        <v>130</v>
      </c>
      <c r="AC124" s="1637">
        <f>IF(S124&lt;&gt;"",IF(M124="",'CONCEPTOS Y PARAMETROS'!$C$7*Z124,0),0)</f>
        <v>0</v>
      </c>
      <c r="AD124" s="1637">
        <f>IFERROR(ROUND(VLOOKUP($X124,'CONCEPTOS Y PARAMETROS'!H:I,2,0)*($V124+AA124+AB124+AC124),2),0)</f>
        <v>107.41</v>
      </c>
      <c r="AE124" s="1637">
        <f t="shared" si="285"/>
        <v>258.06</v>
      </c>
      <c r="AF124" s="1637">
        <f t="shared" si="290"/>
        <v>10.33</v>
      </c>
      <c r="AG124" s="1637">
        <f t="shared" si="291"/>
        <v>10.32</v>
      </c>
      <c r="AH124" s="1637">
        <f t="shared" si="292"/>
        <v>65</v>
      </c>
      <c r="AI124" s="1637">
        <f t="shared" si="293"/>
        <v>65</v>
      </c>
      <c r="AJ124" s="1637">
        <f t="shared" si="294"/>
        <v>53.71</v>
      </c>
      <c r="AK124" s="1637">
        <f t="shared" si="295"/>
        <v>53.7</v>
      </c>
      <c r="AL124" s="1638">
        <f t="shared" si="296"/>
        <v>129.04</v>
      </c>
      <c r="AM124" s="1638">
        <f t="shared" si="297"/>
        <v>129.02000000000001</v>
      </c>
      <c r="AN124" s="1639">
        <v>0</v>
      </c>
      <c r="AO124" s="1640">
        <f>'CONCEPTOS Y PARAMETROS'!$C$18*AN124</f>
        <v>0</v>
      </c>
      <c r="AP124" s="1639">
        <v>0</v>
      </c>
      <c r="AQ124" s="1640">
        <f>'CONCEPTOS Y PARAMETROS'!$C$21*AP124</f>
        <v>0</v>
      </c>
      <c r="AR124" s="1641">
        <v>0</v>
      </c>
      <c r="AS124" s="1641">
        <v>0</v>
      </c>
      <c r="AT124" s="1641">
        <f t="shared" si="286"/>
        <v>0</v>
      </c>
      <c r="AU124" s="1638">
        <f t="shared" si="298"/>
        <v>537.05999999999995</v>
      </c>
      <c r="AV124" s="1642">
        <v>0</v>
      </c>
      <c r="AW124" s="1638">
        <f t="shared" si="299"/>
        <v>0</v>
      </c>
      <c r="AX124" s="1637">
        <f>IF(T124&lt;&gt;"0",(ROUND(IF(A124="EMPLEADO",eval_formula('CONCEPTOS Y PARAMETROS'!$C$8,NOMINA!V124,NOMINA!$AU124,NOMINA!I124+NOMINA!J124),eval_formula('CONCEPTOS Y PARAMETROS'!$D$8,NOMINA!V124,NOMINA!$AU124,NOMINA!I124+NOMINA!J124)),2))*IF(H124&lt;&gt;"",IF(MONTH(H124)=$BR$8,IF(YEAR(H124)&lt;$BT$7,1,0),0)))</f>
        <v>0</v>
      </c>
      <c r="AY124" s="1638">
        <v>180</v>
      </c>
      <c r="AZ124" s="1637">
        <f>IFERROR(VLOOKUP(AY124,'CONCEPTOS Y PARAMETROS'!Y:Z,2,0),0)</f>
        <v>150</v>
      </c>
      <c r="BA124" s="1637">
        <f t="shared" si="300"/>
        <v>4027.95</v>
      </c>
      <c r="BB124" s="1637">
        <f t="shared" si="287"/>
        <v>0</v>
      </c>
      <c r="BC124" s="1639">
        <v>0</v>
      </c>
      <c r="BD124" s="1637" t="str">
        <f t="shared" si="301"/>
        <v>0</v>
      </c>
      <c r="BE124" s="1639">
        <v>0</v>
      </c>
      <c r="BF124" s="1637">
        <f t="shared" si="334"/>
        <v>0</v>
      </c>
      <c r="BG124" s="1638">
        <v>300</v>
      </c>
      <c r="BH124" s="1638">
        <f t="shared" si="261"/>
        <v>0</v>
      </c>
      <c r="BI124" s="1628">
        <v>0</v>
      </c>
      <c r="BJ124" s="1628">
        <f t="shared" si="262"/>
        <v>0</v>
      </c>
      <c r="BK124" s="1638">
        <v>0</v>
      </c>
      <c r="BL124" s="1637">
        <f t="shared" si="329"/>
        <v>19.829999999999998</v>
      </c>
      <c r="BM124" s="1637">
        <f t="shared" si="330"/>
        <v>2.48</v>
      </c>
      <c r="BN124" s="1637">
        <f t="shared" si="263"/>
        <v>5.37</v>
      </c>
      <c r="BO124" s="1637">
        <v>0</v>
      </c>
      <c r="BP124" s="1637">
        <v>0</v>
      </c>
      <c r="BQ124" s="1643">
        <f t="shared" si="302"/>
        <v>27.68</v>
      </c>
      <c r="BR124" s="1637">
        <f t="shared" si="331"/>
        <v>44.62</v>
      </c>
      <c r="BS124" s="1637">
        <f t="shared" si="332"/>
        <v>9.91</v>
      </c>
      <c r="BT124" s="1637">
        <f t="shared" si="264"/>
        <v>10.74</v>
      </c>
      <c r="BU124" s="1637">
        <v>0</v>
      </c>
      <c r="BV124" s="1638">
        <f t="shared" si="303"/>
        <v>65.27</v>
      </c>
      <c r="BW124" s="1644">
        <f t="shared" si="304"/>
        <v>92.949999999999989</v>
      </c>
      <c r="BX124" s="1644">
        <f t="shared" si="333"/>
        <v>1006.99</v>
      </c>
      <c r="BY124" s="1638">
        <v>0</v>
      </c>
      <c r="BZ124" s="1638">
        <f t="shared" si="265"/>
        <v>1006.99</v>
      </c>
      <c r="CA124" s="1645">
        <f>'CONCEPTOS Y PARAMETROS'!$A$102</f>
        <v>2120</v>
      </c>
      <c r="CB124" s="1644">
        <f t="shared" si="266"/>
        <v>240.85999999999996</v>
      </c>
      <c r="CC124" s="1646">
        <f t="shared" si="267"/>
        <v>568.52</v>
      </c>
      <c r="CD124" s="1647"/>
      <c r="CE124" s="1647"/>
      <c r="CF124" s="1648"/>
      <c r="CG124" s="1649">
        <f t="shared" si="268"/>
        <v>240.85999999999996</v>
      </c>
      <c r="CH124" s="1713">
        <f t="shared" si="269"/>
        <v>300</v>
      </c>
      <c r="CI124" s="1649">
        <f t="shared" si="270"/>
        <v>568.52</v>
      </c>
      <c r="CJ124" s="1649">
        <f t="shared" si="271"/>
        <v>272.89</v>
      </c>
      <c r="CK124" s="1649">
        <f t="shared" si="272"/>
        <v>295.63</v>
      </c>
      <c r="CL124" s="1649">
        <f t="shared" si="273"/>
        <v>0</v>
      </c>
      <c r="CM124" s="1649">
        <f t="shared" si="274"/>
        <v>0</v>
      </c>
      <c r="CN124" s="1650">
        <f t="shared" si="275"/>
        <v>0</v>
      </c>
      <c r="CO124" s="1651">
        <v>0</v>
      </c>
      <c r="CP124" s="1650">
        <f t="shared" si="276"/>
        <v>0</v>
      </c>
      <c r="CQ124" s="1652">
        <f t="shared" si="277"/>
        <v>0</v>
      </c>
      <c r="CR124" s="1650">
        <f t="shared" si="278"/>
        <v>0</v>
      </c>
      <c r="CS124" s="1650">
        <f t="shared" si="279"/>
        <v>0</v>
      </c>
      <c r="CT124" s="1650">
        <f t="shared" si="280"/>
        <v>92.949999999999989</v>
      </c>
      <c r="CU124" s="1650">
        <f t="shared" si="281"/>
        <v>2120</v>
      </c>
      <c r="CV124" s="1653"/>
      <c r="CW124" s="1627" t="s">
        <v>6958</v>
      </c>
      <c r="CX124" s="1627" t="s">
        <v>7260</v>
      </c>
      <c r="CY124" s="1647"/>
      <c r="CZ124" s="1647" t="s">
        <v>6426</v>
      </c>
      <c r="DA124" s="1657" t="s">
        <v>6216</v>
      </c>
      <c r="DB124" s="1657" t="s">
        <v>6289</v>
      </c>
      <c r="DC124" s="1647" t="s">
        <v>6430</v>
      </c>
      <c r="DD124" s="1647"/>
      <c r="DE124" s="1647"/>
      <c r="DF124" s="1647"/>
      <c r="DG124" s="1647"/>
      <c r="DH124" s="1647"/>
      <c r="DJ124" s="1654" t="str">
        <f>VLOOKUP(X124,Hoja1!$A$4:$B$10,2,0)</f>
        <v>PROFESIONAL</v>
      </c>
      <c r="DK124" s="1654" t="str">
        <f>VLOOKUP(S124,Hoja1!$D$4:$F$77,3,0)</f>
        <v>PII - III</v>
      </c>
      <c r="DL124" s="1655" t="str">
        <f t="shared" si="282"/>
        <v>0</v>
      </c>
      <c r="DM124" s="1742" t="str">
        <f t="shared" si="283"/>
        <v>F</v>
      </c>
      <c r="DN124" s="1742"/>
    </row>
    <row r="125" spans="1:118" s="525" customFormat="1" ht="21.95" customHeight="1">
      <c r="A125" s="510" t="s">
        <v>2846</v>
      </c>
      <c r="B125" s="1390">
        <f t="shared" ca="1" si="144"/>
        <v>83</v>
      </c>
      <c r="C125" s="1194">
        <v>13117904</v>
      </c>
      <c r="D125" s="1195" t="s">
        <v>4766</v>
      </c>
      <c r="E125" s="1180" t="s">
        <v>4622</v>
      </c>
      <c r="F125" s="1196">
        <v>28096</v>
      </c>
      <c r="G125" s="1180" t="s">
        <v>4621</v>
      </c>
      <c r="H125" s="1196">
        <v>43693</v>
      </c>
      <c r="I125" s="1185">
        <f t="shared" si="259"/>
        <v>5</v>
      </c>
      <c r="J125" s="1177">
        <v>0</v>
      </c>
      <c r="K125" s="1185">
        <f t="shared" si="260"/>
        <v>5</v>
      </c>
      <c r="L125" s="1191" t="s">
        <v>5551</v>
      </c>
      <c r="M125" s="1177"/>
      <c r="N125" s="1177"/>
      <c r="O125" s="1040" t="s">
        <v>5222</v>
      </c>
      <c r="P125" s="1177" t="s">
        <v>5340</v>
      </c>
      <c r="Q125" s="1391" t="str">
        <f>IFERROR(VLOOKUP(O125,CARGOS!A:E,2,0),"")</f>
        <v>79511</v>
      </c>
      <c r="R125" s="1403" t="s">
        <v>5222</v>
      </c>
      <c r="S125" s="1192" t="s">
        <v>5490</v>
      </c>
      <c r="T125" s="1150">
        <f>IFERROR(VLOOKUP(S125,'TAB EMP'!A:B,2,0),0)</f>
        <v>150</v>
      </c>
      <c r="U125" s="1151">
        <v>0</v>
      </c>
      <c r="V125" s="1150">
        <f t="shared" si="288"/>
        <v>150</v>
      </c>
      <c r="W125" s="1151">
        <f t="shared" si="289"/>
        <v>75</v>
      </c>
      <c r="X125" s="1180" t="s">
        <v>2884</v>
      </c>
      <c r="Y125" s="1180"/>
      <c r="Z125" s="1180">
        <v>1</v>
      </c>
      <c r="AA125" s="1150">
        <f>ROUND(IF(H125&lt;&gt;"",VLOOKUP(SUM(I125+J125),'CONCEPTOS Y PARAMETROS'!F:G,2,0)*V125,0),2)</f>
        <v>7.5</v>
      </c>
      <c r="AB125" s="1150">
        <f>IF(S125&lt;&gt;"",IF(M125="",'CONCEPTOS Y PARAMETROS'!$C$4,0),0)</f>
        <v>130</v>
      </c>
      <c r="AC125" s="1150">
        <f>IF(S125&lt;&gt;"",IF(M125="",'CONCEPTOS Y PARAMETROS'!$C$7*Z125,0),0)</f>
        <v>12.5</v>
      </c>
      <c r="AD125" s="1150">
        <f>IFERROR(ROUND(VLOOKUP($X125,'CONCEPTOS Y PARAMETROS'!H:I,2,0)*($V125+AA125+AB125+AC125),2),0)</f>
        <v>0</v>
      </c>
      <c r="AE125" s="1150">
        <f t="shared" si="285"/>
        <v>150</v>
      </c>
      <c r="AF125" s="1150">
        <f t="shared" si="290"/>
        <v>3.75</v>
      </c>
      <c r="AG125" s="1150">
        <f t="shared" si="291"/>
        <v>3.75</v>
      </c>
      <c r="AH125" s="1150">
        <f t="shared" si="292"/>
        <v>65</v>
      </c>
      <c r="AI125" s="1150">
        <f t="shared" si="293"/>
        <v>65</v>
      </c>
      <c r="AJ125" s="1150">
        <f t="shared" si="294"/>
        <v>0</v>
      </c>
      <c r="AK125" s="1150">
        <f t="shared" si="295"/>
        <v>0</v>
      </c>
      <c r="AL125" s="1151">
        <f t="shared" si="296"/>
        <v>81.25</v>
      </c>
      <c r="AM125" s="1151">
        <f t="shared" si="297"/>
        <v>68.75</v>
      </c>
      <c r="AN125" s="1583">
        <v>1</v>
      </c>
      <c r="AO125" s="1193">
        <f>'CONCEPTOS Y PARAMETROS'!$C$18*AN125</f>
        <v>12.5</v>
      </c>
      <c r="AP125" s="1028">
        <v>0</v>
      </c>
      <c r="AQ125" s="1193">
        <f>'CONCEPTOS Y PARAMETROS'!$C$21*AP125</f>
        <v>0</v>
      </c>
      <c r="AR125" s="1394">
        <v>0</v>
      </c>
      <c r="AS125" s="1394">
        <v>0</v>
      </c>
      <c r="AT125" s="1394">
        <f t="shared" si="286"/>
        <v>12.5</v>
      </c>
      <c r="AU125" s="1151">
        <f t="shared" si="298"/>
        <v>390</v>
      </c>
      <c r="AV125" s="1178" t="s">
        <v>5080</v>
      </c>
      <c r="AW125" s="1151">
        <f t="shared" si="299"/>
        <v>90</v>
      </c>
      <c r="AX125" s="1150">
        <f>IF(T125&lt;&gt;"0",(ROUND(IF(A125="EMPLEADO",eval_formula('CONCEPTOS Y PARAMETROS'!$C$8,NOMINA!V125,NOMINA!$AU125,NOMINA!I125+NOMINA!J125),eval_formula('CONCEPTOS Y PARAMETROS'!$D$8,NOMINA!V125,NOMINA!$AU125,NOMINA!I125+NOMINA!J125)),2))*IF(H125&lt;&gt;"",IF(MONTH(H125)=$BR$8,IF(YEAR(H125)&lt;$BT$7,1,0),0)))</f>
        <v>0</v>
      </c>
      <c r="AY125" s="1151">
        <v>180</v>
      </c>
      <c r="AZ125" s="1150">
        <f>IFERROR(VLOOKUP(AY125,'CONCEPTOS Y PARAMETROS'!Y:Z,2,0),0)</f>
        <v>150</v>
      </c>
      <c r="BA125" s="1150">
        <f t="shared" si="300"/>
        <v>2925</v>
      </c>
      <c r="BB125" s="1150">
        <f t="shared" si="287"/>
        <v>0</v>
      </c>
      <c r="BC125" s="1028">
        <v>0</v>
      </c>
      <c r="BD125" s="1150" t="str">
        <f t="shared" si="301"/>
        <v>0</v>
      </c>
      <c r="BE125" s="1028">
        <v>0</v>
      </c>
      <c r="BF125" s="1150">
        <f t="shared" si="334"/>
        <v>0</v>
      </c>
      <c r="BG125" s="1151">
        <v>300</v>
      </c>
      <c r="BH125" s="1151">
        <f t="shared" si="261"/>
        <v>0</v>
      </c>
      <c r="BI125" s="1180">
        <v>0</v>
      </c>
      <c r="BJ125" s="1180">
        <f t="shared" si="262"/>
        <v>0</v>
      </c>
      <c r="BK125" s="1151">
        <v>0</v>
      </c>
      <c r="BL125" s="1150">
        <f t="shared" si="329"/>
        <v>14.4</v>
      </c>
      <c r="BM125" s="1150">
        <f t="shared" si="330"/>
        <v>1.8</v>
      </c>
      <c r="BN125" s="1150">
        <f t="shared" si="263"/>
        <v>3.9</v>
      </c>
      <c r="BO125" s="1150">
        <v>0</v>
      </c>
      <c r="BP125" s="1150">
        <v>0</v>
      </c>
      <c r="BQ125" s="1396">
        <f t="shared" si="302"/>
        <v>20.100000000000001</v>
      </c>
      <c r="BR125" s="1150">
        <f t="shared" si="331"/>
        <v>32.4</v>
      </c>
      <c r="BS125" s="1150">
        <f t="shared" si="332"/>
        <v>7.2</v>
      </c>
      <c r="BT125" s="1150">
        <f t="shared" si="264"/>
        <v>7.8</v>
      </c>
      <c r="BU125" s="1150">
        <v>0</v>
      </c>
      <c r="BV125" s="1151">
        <f t="shared" si="303"/>
        <v>47.4</v>
      </c>
      <c r="BW125" s="1155">
        <f t="shared" si="304"/>
        <v>67.5</v>
      </c>
      <c r="BX125" s="1155">
        <f t="shared" si="333"/>
        <v>731.25</v>
      </c>
      <c r="BY125" s="1151">
        <v>0</v>
      </c>
      <c r="BZ125" s="1151">
        <f t="shared" si="265"/>
        <v>731.25</v>
      </c>
      <c r="CA125" s="1397">
        <f>'CONCEPTOS Y PARAMETROS'!$A$102</f>
        <v>2120</v>
      </c>
      <c r="CB125" s="1155">
        <f t="shared" si="266"/>
        <v>136.15</v>
      </c>
      <c r="CC125" s="1156">
        <f t="shared" si="267"/>
        <v>546.25</v>
      </c>
      <c r="CD125" s="514"/>
      <c r="CE125" s="514"/>
      <c r="CF125" s="520"/>
      <c r="CG125" s="497">
        <f t="shared" si="268"/>
        <v>136.15</v>
      </c>
      <c r="CH125" s="1711">
        <f t="shared" si="269"/>
        <v>300</v>
      </c>
      <c r="CI125" s="497">
        <f t="shared" si="270"/>
        <v>443.75</v>
      </c>
      <c r="CJ125" s="497">
        <f t="shared" si="271"/>
        <v>443.75</v>
      </c>
      <c r="CK125" s="497">
        <f t="shared" si="272"/>
        <v>0</v>
      </c>
      <c r="CL125" s="497">
        <f t="shared" si="273"/>
        <v>0</v>
      </c>
      <c r="CM125" s="497">
        <f t="shared" si="274"/>
        <v>0</v>
      </c>
      <c r="CN125" s="498">
        <f t="shared" si="275"/>
        <v>0</v>
      </c>
      <c r="CO125" s="499">
        <v>0</v>
      </c>
      <c r="CP125" s="498">
        <f t="shared" si="276"/>
        <v>90</v>
      </c>
      <c r="CQ125" s="500">
        <f t="shared" si="277"/>
        <v>12.5</v>
      </c>
      <c r="CR125" s="498">
        <f t="shared" si="278"/>
        <v>0</v>
      </c>
      <c r="CS125" s="498">
        <f t="shared" si="279"/>
        <v>102.5</v>
      </c>
      <c r="CT125" s="498">
        <f t="shared" si="280"/>
        <v>67.5</v>
      </c>
      <c r="CU125" s="498">
        <f t="shared" si="281"/>
        <v>2120</v>
      </c>
      <c r="CV125" s="1554"/>
      <c r="CW125" s="1195" t="s">
        <v>6976</v>
      </c>
      <c r="CX125" s="1195" t="s">
        <v>7261</v>
      </c>
      <c r="CY125" s="472"/>
      <c r="CZ125" s="514" t="s">
        <v>6360</v>
      </c>
      <c r="DA125" s="514" t="s">
        <v>6216</v>
      </c>
      <c r="DB125" s="514" t="s">
        <v>6289</v>
      </c>
      <c r="DC125" s="514" t="s">
        <v>6644</v>
      </c>
      <c r="DD125" s="472"/>
      <c r="DE125" s="935"/>
      <c r="DF125" s="472"/>
      <c r="DG125" s="472"/>
      <c r="DH125" s="472"/>
      <c r="DI125" s="473"/>
      <c r="DJ125" s="473" t="str">
        <f>VLOOKUP(X125,Hoja1!$A$4:$B$10,2,0)</f>
        <v>BACHILLER</v>
      </c>
      <c r="DK125" s="473" t="str">
        <f>VLOOKUP(S125,Hoja1!$D$4:$F$77,3,0)</f>
        <v>BII - II</v>
      </c>
      <c r="DL125" s="1216" t="str">
        <f t="shared" si="282"/>
        <v>SI</v>
      </c>
      <c r="DM125" s="1741" t="str">
        <f t="shared" si="283"/>
        <v>M</v>
      </c>
      <c r="DN125" s="1741"/>
    </row>
    <row r="126" spans="1:118" s="930" customFormat="1" ht="21.95" customHeight="1">
      <c r="A126" s="929" t="s">
        <v>2846</v>
      </c>
      <c r="B126" s="1404">
        <f ca="1">OFFSET(B126,-1,0)+1</f>
        <v>84</v>
      </c>
      <c r="C126" s="1405">
        <v>13206767</v>
      </c>
      <c r="D126" s="1658" t="s">
        <v>4767</v>
      </c>
      <c r="E126" s="1407" t="s">
        <v>4622</v>
      </c>
      <c r="F126" s="1408">
        <v>27843</v>
      </c>
      <c r="G126" s="1407" t="s">
        <v>4620</v>
      </c>
      <c r="H126" s="1408">
        <v>44713</v>
      </c>
      <c r="I126" s="1409">
        <f t="shared" si="259"/>
        <v>2</v>
      </c>
      <c r="J126" s="1410">
        <v>0</v>
      </c>
      <c r="K126" s="1409">
        <f t="shared" si="260"/>
        <v>2</v>
      </c>
      <c r="L126" s="1411" t="s">
        <v>5535</v>
      </c>
      <c r="M126" s="1410"/>
      <c r="N126" s="1410"/>
      <c r="O126" s="1412" t="s">
        <v>5216</v>
      </c>
      <c r="P126" s="1410" t="s">
        <v>5192</v>
      </c>
      <c r="Q126" s="1413" t="str">
        <f>IFERROR(VLOOKUP(O126,CARGOS!A:E,2,0),"")</f>
        <v>35121</v>
      </c>
      <c r="R126" s="1412" t="s">
        <v>5216</v>
      </c>
      <c r="S126" s="1414" t="s">
        <v>5469</v>
      </c>
      <c r="T126" s="1415">
        <v>0</v>
      </c>
      <c r="U126" s="1382">
        <v>0</v>
      </c>
      <c r="V126" s="1415">
        <f>T126-U126</f>
        <v>0</v>
      </c>
      <c r="W126" s="1382">
        <f>ROUND(V126/2,2)</f>
        <v>0</v>
      </c>
      <c r="X126" s="1407" t="s">
        <v>2885</v>
      </c>
      <c r="Y126" s="1407"/>
      <c r="Z126" s="1407">
        <v>0</v>
      </c>
      <c r="AA126" s="1415">
        <f>ROUND(IF(H126&lt;&gt;"",VLOOKUP(SUM(I126+J126),'CONCEPTOS Y PARAMETROS'!F:G,2,0)*V126,0),2)</f>
        <v>0</v>
      </c>
      <c r="AB126" s="1415">
        <v>0</v>
      </c>
      <c r="AC126" s="1415">
        <v>0</v>
      </c>
      <c r="AD126" s="1415">
        <f>IFERROR(ROUND(VLOOKUP($X126,'CONCEPTOS Y PARAMETROS'!H:I,2,0)*($V126+AA126+AB126+AC126),2),0)</f>
        <v>0</v>
      </c>
      <c r="AE126" s="1415">
        <f>SUM(AA126:AD126)</f>
        <v>0</v>
      </c>
      <c r="AF126" s="1415">
        <f>ROUND(AA126/2,2)</f>
        <v>0</v>
      </c>
      <c r="AG126" s="1415">
        <f>ROUND(AA126-AF126,2)</f>
        <v>0</v>
      </c>
      <c r="AH126" s="1415">
        <f>ROUND(AB126/2,2)</f>
        <v>0</v>
      </c>
      <c r="AI126" s="1415">
        <f>ROUND(AB126-AH126,2)</f>
        <v>0</v>
      </c>
      <c r="AJ126" s="1415">
        <f>ROUND(AD126/2,2)</f>
        <v>0</v>
      </c>
      <c r="AK126" s="1415">
        <f>ROUND(AD126-AJ126,2)</f>
        <v>0</v>
      </c>
      <c r="AL126" s="1382">
        <f>ROUND(AF126+AH126+AJ126+AC126,2)</f>
        <v>0</v>
      </c>
      <c r="AM126" s="1382">
        <f>ROUND(AG126+AI126+AK126,2)</f>
        <v>0</v>
      </c>
      <c r="AN126" s="1416">
        <v>0</v>
      </c>
      <c r="AO126" s="1417">
        <v>0</v>
      </c>
      <c r="AP126" s="1416">
        <v>0</v>
      </c>
      <c r="AQ126" s="1417">
        <f>'CONCEPTOS Y PARAMETROS'!$C$21*AP126</f>
        <v>0</v>
      </c>
      <c r="AR126" s="1418">
        <v>0</v>
      </c>
      <c r="AS126" s="1418">
        <v>0</v>
      </c>
      <c r="AT126" s="1418">
        <f>+AO126+AQ126+AR126+AS126</f>
        <v>0</v>
      </c>
      <c r="AU126" s="1382">
        <f>V126+AE126+AW126</f>
        <v>0</v>
      </c>
      <c r="AV126" s="1419">
        <v>0</v>
      </c>
      <c r="AW126" s="1382">
        <f>ROUND(IF(O126="VIGILANTE",(V126+AE126)*30%,0),2)</f>
        <v>0</v>
      </c>
      <c r="AX126" s="1415">
        <f>IF(T126&lt;&gt;"0",(ROUND(IF(A126="EMPLEADO",eval_formula('CONCEPTOS Y PARAMETROS'!$C$8,NOMINA!V126,NOMINA!$AU126,NOMINA!I126+NOMINA!J126),eval_formula('CONCEPTOS Y PARAMETROS'!$D$8,NOMINA!V126,NOMINA!$AU126,NOMINA!I126+NOMINA!J126)),2))*IF(H126&lt;&gt;"",IF(MONTH(H126)=$BR$8,IF(YEAR(H126)&lt;$BT$7,1,0),0)))</f>
        <v>0</v>
      </c>
      <c r="AY126" s="1382">
        <v>180</v>
      </c>
      <c r="AZ126" s="1415">
        <f>IFERROR(VLOOKUP(AY126,'CONCEPTOS Y PARAMETROS'!Y:Z,2,0),0)</f>
        <v>150</v>
      </c>
      <c r="BA126" s="1415">
        <f>ROUND((((AU126))/30*AY126/12+(AU126))/30*AZ126,2)</f>
        <v>0</v>
      </c>
      <c r="BB126" s="1415">
        <f t="shared" si="287"/>
        <v>0</v>
      </c>
      <c r="BC126" s="1416">
        <v>0</v>
      </c>
      <c r="BD126" s="1415" t="str">
        <f>IF(BC126&gt;0,((((((V126+AA126+AB126+AC126+AD126)/30)/8)*50%)+((((V126+AA126+AB126+AC126+AD126)/30)/8)))*30%+(((((V126+AA126+AB126+AC126+AD126)/30)/8)*50%)+((((V126+AA126+AB126+AC126+AD126)/30)/8))))*BC126,"0")</f>
        <v>0</v>
      </c>
      <c r="BE126" s="1416">
        <v>0</v>
      </c>
      <c r="BF126" s="1415">
        <f t="shared" si="334"/>
        <v>0</v>
      </c>
      <c r="BG126" s="1382">
        <v>0</v>
      </c>
      <c r="BH126" s="1382">
        <f t="shared" si="261"/>
        <v>0</v>
      </c>
      <c r="BI126" s="1382">
        <v>0</v>
      </c>
      <c r="BJ126" s="1382">
        <f t="shared" si="262"/>
        <v>0</v>
      </c>
      <c r="BK126" s="1382">
        <v>0</v>
      </c>
      <c r="BL126" s="1415">
        <f t="shared" si="329"/>
        <v>0</v>
      </c>
      <c r="BM126" s="1415">
        <f t="shared" si="330"/>
        <v>0</v>
      </c>
      <c r="BN126" s="1415">
        <f t="shared" si="263"/>
        <v>0</v>
      </c>
      <c r="BO126" s="1415">
        <v>0</v>
      </c>
      <c r="BP126" s="1415">
        <v>0</v>
      </c>
      <c r="BQ126" s="1420">
        <f>ROUND(SUM(BL126:BP126),2)</f>
        <v>0</v>
      </c>
      <c r="BR126" s="1415">
        <f t="shared" si="331"/>
        <v>0</v>
      </c>
      <c r="BS126" s="1415">
        <f t="shared" si="332"/>
        <v>0</v>
      </c>
      <c r="BT126" s="1415">
        <f t="shared" si="264"/>
        <v>0</v>
      </c>
      <c r="BU126" s="1415">
        <v>0</v>
      </c>
      <c r="BV126" s="1382">
        <f>ROUND(SUM(BR126:BT126),2)</f>
        <v>0</v>
      </c>
      <c r="BW126" s="1379">
        <f>BQ126+BV126</f>
        <v>0</v>
      </c>
      <c r="BX126" s="1379">
        <f t="shared" si="333"/>
        <v>0</v>
      </c>
      <c r="BY126" s="1382">
        <v>0</v>
      </c>
      <c r="BZ126" s="1382">
        <f t="shared" si="265"/>
        <v>0</v>
      </c>
      <c r="CA126" s="1421">
        <v>0</v>
      </c>
      <c r="CB126" s="1379">
        <f t="shared" si="266"/>
        <v>0</v>
      </c>
      <c r="CC126" s="1422">
        <f t="shared" si="267"/>
        <v>0</v>
      </c>
      <c r="CD126" s="514"/>
      <c r="CE126" s="514"/>
      <c r="CG126" s="931">
        <f t="shared" si="268"/>
        <v>0</v>
      </c>
      <c r="CH126" s="1714">
        <f t="shared" si="269"/>
        <v>0</v>
      </c>
      <c r="CI126" s="931">
        <f t="shared" si="270"/>
        <v>0</v>
      </c>
      <c r="CJ126" s="931">
        <f t="shared" si="271"/>
        <v>0</v>
      </c>
      <c r="CK126" s="931">
        <f t="shared" si="272"/>
        <v>0</v>
      </c>
      <c r="CL126" s="931">
        <f t="shared" si="273"/>
        <v>0</v>
      </c>
      <c r="CM126" s="931">
        <f t="shared" si="274"/>
        <v>0</v>
      </c>
      <c r="CN126" s="932">
        <f t="shared" si="275"/>
        <v>0</v>
      </c>
      <c r="CO126" s="933">
        <v>0</v>
      </c>
      <c r="CP126" s="932">
        <f t="shared" si="276"/>
        <v>0</v>
      </c>
      <c r="CQ126" s="934">
        <f t="shared" si="277"/>
        <v>0</v>
      </c>
      <c r="CR126" s="932">
        <f t="shared" si="278"/>
        <v>0</v>
      </c>
      <c r="CS126" s="932">
        <f t="shared" si="279"/>
        <v>0</v>
      </c>
      <c r="CT126" s="932">
        <f t="shared" si="280"/>
        <v>0</v>
      </c>
      <c r="CU126" s="932">
        <f t="shared" si="281"/>
        <v>0</v>
      </c>
      <c r="CV126" s="1557"/>
      <c r="CW126" s="1446" t="s">
        <v>6947</v>
      </c>
      <c r="CX126" s="1446" t="s">
        <v>6933</v>
      </c>
      <c r="CY126" s="935"/>
      <c r="CZ126" s="514" t="s">
        <v>6207</v>
      </c>
      <c r="DA126" s="478"/>
      <c r="DB126" s="478"/>
      <c r="DC126" s="478"/>
      <c r="DD126" s="514"/>
      <c r="DE126" s="514"/>
      <c r="DF126" s="935"/>
      <c r="DG126" s="935"/>
      <c r="DH126" s="935"/>
      <c r="DJ126" s="930" t="str">
        <f>VLOOKUP(X126,Hoja1!$A$4:$B$10,2,0)</f>
        <v>PROFESIONAL</v>
      </c>
      <c r="DK126" s="930" t="str">
        <f>VLOOKUP(S126,Hoja1!$D$4:$F$77,3,0)</f>
        <v>PI</v>
      </c>
      <c r="DL126" s="1217" t="str">
        <f t="shared" si="282"/>
        <v>0</v>
      </c>
      <c r="DM126" s="1745" t="str">
        <f t="shared" si="283"/>
        <v>F</v>
      </c>
      <c r="DN126" s="1745"/>
    </row>
    <row r="127" spans="1:118" s="473" customFormat="1" ht="21.95" customHeight="1">
      <c r="A127" s="510" t="s">
        <v>2846</v>
      </c>
      <c r="B127" s="1390">
        <f t="shared" ca="1" si="144"/>
        <v>85</v>
      </c>
      <c r="C127" s="1194">
        <v>13207692</v>
      </c>
      <c r="D127" s="1195" t="s">
        <v>4768</v>
      </c>
      <c r="E127" s="1180" t="s">
        <v>4622</v>
      </c>
      <c r="F127" s="1196">
        <v>28766</v>
      </c>
      <c r="G127" s="1180" t="s">
        <v>4620</v>
      </c>
      <c r="H127" s="1196">
        <v>38504</v>
      </c>
      <c r="I127" s="1185">
        <f t="shared" si="259"/>
        <v>19</v>
      </c>
      <c r="J127" s="1177">
        <v>0</v>
      </c>
      <c r="K127" s="1185">
        <f t="shared" si="260"/>
        <v>19</v>
      </c>
      <c r="L127" s="1191" t="s">
        <v>5553</v>
      </c>
      <c r="M127" s="1177"/>
      <c r="N127" s="1177"/>
      <c r="O127" s="1040" t="s">
        <v>5249</v>
      </c>
      <c r="P127" s="1177" t="s">
        <v>5341</v>
      </c>
      <c r="Q127" s="1391" t="str">
        <f>IFERROR(VLOOKUP(O127,CARGOS!A:E,2,0),"")</f>
        <v>12123</v>
      </c>
      <c r="R127" s="1403" t="s">
        <v>5249</v>
      </c>
      <c r="S127" s="1192" t="s">
        <v>5471</v>
      </c>
      <c r="T127" s="1150">
        <f>IFERROR(VLOOKUP(S127,'TAB EMP'!A:B,2,0),0)</f>
        <v>287</v>
      </c>
      <c r="U127" s="1151">
        <v>0</v>
      </c>
      <c r="V127" s="1150">
        <f t="shared" si="288"/>
        <v>287</v>
      </c>
      <c r="W127" s="1151">
        <f t="shared" si="289"/>
        <v>143.5</v>
      </c>
      <c r="X127" s="1180" t="s">
        <v>2885</v>
      </c>
      <c r="Y127" s="1180"/>
      <c r="Z127" s="1180">
        <v>2</v>
      </c>
      <c r="AA127" s="1150">
        <f>ROUND(IF(H127&lt;&gt;"",VLOOKUP(SUM(I127+J127),'CONCEPTOS Y PARAMETROS'!F:G,2,0)*V127,0),2)</f>
        <v>70.03</v>
      </c>
      <c r="AB127" s="1150">
        <f>IF(S127&lt;&gt;"",IF(M127="",'CONCEPTOS Y PARAMETROS'!$C$4,0),0)</f>
        <v>130</v>
      </c>
      <c r="AC127" s="1150">
        <f>IF(S127&lt;&gt;"",IF(M127="",'CONCEPTOS Y PARAMETROS'!$C$7*Z127,0),0)</f>
        <v>25</v>
      </c>
      <c r="AD127" s="1150">
        <f>IFERROR(ROUND(VLOOKUP($X127,'CONCEPTOS Y PARAMETROS'!H:I,2,0)*($V127+AA127+AB127+AC127),2),0)</f>
        <v>128.01</v>
      </c>
      <c r="AE127" s="1150">
        <f t="shared" si="285"/>
        <v>353.03999999999996</v>
      </c>
      <c r="AF127" s="1150">
        <f t="shared" si="290"/>
        <v>35.020000000000003</v>
      </c>
      <c r="AG127" s="1150">
        <f t="shared" si="291"/>
        <v>35.01</v>
      </c>
      <c r="AH127" s="1150">
        <f t="shared" si="292"/>
        <v>65</v>
      </c>
      <c r="AI127" s="1150">
        <f t="shared" si="293"/>
        <v>65</v>
      </c>
      <c r="AJ127" s="1150">
        <f t="shared" si="294"/>
        <v>64.010000000000005</v>
      </c>
      <c r="AK127" s="1150">
        <f t="shared" si="295"/>
        <v>64</v>
      </c>
      <c r="AL127" s="1151">
        <f t="shared" si="296"/>
        <v>189.03</v>
      </c>
      <c r="AM127" s="1151">
        <f t="shared" si="297"/>
        <v>164.01</v>
      </c>
      <c r="AN127" s="1583">
        <v>2</v>
      </c>
      <c r="AO127" s="1193">
        <f>'CONCEPTOS Y PARAMETROS'!$C$18*AN127</f>
        <v>25</v>
      </c>
      <c r="AP127" s="1028">
        <v>0</v>
      </c>
      <c r="AQ127" s="1193">
        <f>'CONCEPTOS Y PARAMETROS'!$C$21*AP127</f>
        <v>0</v>
      </c>
      <c r="AR127" s="1394">
        <v>0</v>
      </c>
      <c r="AS127" s="1394">
        <v>0</v>
      </c>
      <c r="AT127" s="1394">
        <f t="shared" si="286"/>
        <v>25</v>
      </c>
      <c r="AU127" s="1151">
        <f t="shared" si="298"/>
        <v>640.04</v>
      </c>
      <c r="AV127" s="1178">
        <v>0</v>
      </c>
      <c r="AW127" s="1151">
        <f t="shared" si="299"/>
        <v>0</v>
      </c>
      <c r="AX127" s="1150">
        <f>IF(T127&lt;&gt;"0",(ROUND(IF(A127="EMPLEADO",eval_formula('CONCEPTOS Y PARAMETROS'!$C$8,NOMINA!V127,NOMINA!$AU127,NOMINA!I127+NOMINA!J127),eval_formula('CONCEPTOS Y PARAMETROS'!$D$8,NOMINA!V127,NOMINA!$AU127,NOMINA!I127+NOMINA!J127)),2))*IF(H127&lt;&gt;"",IF(MONTH(H127)=$BR$8,IF(YEAR(H127)&lt;$BT$7,1,0),0)))</f>
        <v>0</v>
      </c>
      <c r="AY127" s="1151">
        <v>180</v>
      </c>
      <c r="AZ127" s="1150">
        <f>IFERROR(VLOOKUP(AY127,'CONCEPTOS Y PARAMETROS'!Y:Z,2,0),0)</f>
        <v>150</v>
      </c>
      <c r="BA127" s="1150">
        <f t="shared" si="300"/>
        <v>4800.3</v>
      </c>
      <c r="BB127" s="1150">
        <f t="shared" si="287"/>
        <v>0</v>
      </c>
      <c r="BC127" s="1028">
        <v>0</v>
      </c>
      <c r="BD127" s="1150" t="str">
        <f t="shared" si="301"/>
        <v>0</v>
      </c>
      <c r="BE127" s="1028">
        <v>0</v>
      </c>
      <c r="BF127" s="1150">
        <f t="shared" si="334"/>
        <v>0</v>
      </c>
      <c r="BG127" s="1151">
        <v>300</v>
      </c>
      <c r="BH127" s="1151">
        <f t="shared" si="261"/>
        <v>0</v>
      </c>
      <c r="BI127" s="1180">
        <v>0</v>
      </c>
      <c r="BJ127" s="1180">
        <f t="shared" si="262"/>
        <v>0</v>
      </c>
      <c r="BK127" s="1151">
        <v>0</v>
      </c>
      <c r="BL127" s="1150">
        <f t="shared" si="329"/>
        <v>23.63</v>
      </c>
      <c r="BM127" s="1150">
        <f t="shared" si="330"/>
        <v>2.95</v>
      </c>
      <c r="BN127" s="1150">
        <f t="shared" si="263"/>
        <v>6.4</v>
      </c>
      <c r="BO127" s="1150">
        <v>0</v>
      </c>
      <c r="BP127" s="1150">
        <v>0</v>
      </c>
      <c r="BQ127" s="1396">
        <f t="shared" si="302"/>
        <v>32.979999999999997</v>
      </c>
      <c r="BR127" s="1150">
        <f t="shared" si="331"/>
        <v>53.17</v>
      </c>
      <c r="BS127" s="1150">
        <f t="shared" si="332"/>
        <v>11.82</v>
      </c>
      <c r="BT127" s="1150">
        <f t="shared" si="264"/>
        <v>12.8</v>
      </c>
      <c r="BU127" s="1150">
        <v>0</v>
      </c>
      <c r="BV127" s="1151">
        <f t="shared" si="303"/>
        <v>77.790000000000006</v>
      </c>
      <c r="BW127" s="1155">
        <f t="shared" si="304"/>
        <v>110.77000000000001</v>
      </c>
      <c r="BX127" s="1155">
        <f t="shared" si="333"/>
        <v>1200.08</v>
      </c>
      <c r="BY127" s="1151">
        <v>0</v>
      </c>
      <c r="BZ127" s="1151">
        <f t="shared" si="265"/>
        <v>1200.08</v>
      </c>
      <c r="CA127" s="1397">
        <f>'CONCEPTOS Y PARAMETROS'!$A$102</f>
        <v>2120</v>
      </c>
      <c r="CB127" s="1155">
        <f t="shared" si="266"/>
        <v>299.54999999999995</v>
      </c>
      <c r="CC127" s="1156">
        <f t="shared" si="267"/>
        <v>632.51</v>
      </c>
      <c r="CD127" s="514"/>
      <c r="CE127" s="514"/>
      <c r="CF127" s="520"/>
      <c r="CG127" s="497">
        <f t="shared" si="268"/>
        <v>299.54999999999995</v>
      </c>
      <c r="CH127" s="1711">
        <f t="shared" si="269"/>
        <v>300</v>
      </c>
      <c r="CI127" s="497">
        <f t="shared" si="270"/>
        <v>607.51</v>
      </c>
      <c r="CJ127" s="497">
        <f t="shared" si="271"/>
        <v>291.60000000000002</v>
      </c>
      <c r="CK127" s="497">
        <f t="shared" si="272"/>
        <v>315.90999999999997</v>
      </c>
      <c r="CL127" s="497">
        <f t="shared" si="273"/>
        <v>0</v>
      </c>
      <c r="CM127" s="497">
        <f t="shared" si="274"/>
        <v>0</v>
      </c>
      <c r="CN127" s="498">
        <f t="shared" si="275"/>
        <v>0</v>
      </c>
      <c r="CO127" s="499">
        <v>0</v>
      </c>
      <c r="CP127" s="498">
        <f t="shared" si="276"/>
        <v>0</v>
      </c>
      <c r="CQ127" s="500">
        <f t="shared" si="277"/>
        <v>25</v>
      </c>
      <c r="CR127" s="498">
        <f t="shared" si="278"/>
        <v>0</v>
      </c>
      <c r="CS127" s="498">
        <f t="shared" si="279"/>
        <v>25</v>
      </c>
      <c r="CT127" s="498">
        <f t="shared" si="280"/>
        <v>110.77000000000001</v>
      </c>
      <c r="CU127" s="498">
        <f t="shared" si="281"/>
        <v>2120</v>
      </c>
      <c r="CV127" s="1554"/>
      <c r="CW127" s="1195" t="s">
        <v>7208</v>
      </c>
      <c r="CX127" s="1195" t="s">
        <v>7027</v>
      </c>
      <c r="CY127" s="472"/>
      <c r="CZ127" s="514" t="s">
        <v>6445</v>
      </c>
      <c r="DA127" s="514" t="s">
        <v>6161</v>
      </c>
      <c r="DB127" s="514" t="s">
        <v>6439</v>
      </c>
      <c r="DC127" s="514" t="s">
        <v>6446</v>
      </c>
      <c r="DD127" s="514"/>
      <c r="DE127" s="514"/>
      <c r="DF127" s="472"/>
      <c r="DG127" s="472"/>
      <c r="DH127" s="472"/>
      <c r="DJ127" s="473" t="str">
        <f>VLOOKUP(X127,Hoja1!$A$4:$B$10,2,0)</f>
        <v>PROFESIONAL</v>
      </c>
      <c r="DK127" s="473" t="str">
        <f>VLOOKUP(S127,Hoja1!$D$4:$F$77,3,0)</f>
        <v>PII - VII</v>
      </c>
      <c r="DL127" s="1216" t="str">
        <f t="shared" si="282"/>
        <v>0</v>
      </c>
      <c r="DM127" s="1741" t="str">
        <f t="shared" si="283"/>
        <v>F</v>
      </c>
      <c r="DN127" s="1741"/>
    </row>
    <row r="128" spans="1:118" s="1654" customFormat="1" ht="21.95" customHeight="1">
      <c r="A128" s="1624" t="s">
        <v>2846</v>
      </c>
      <c r="B128" s="1625">
        <f t="shared" ca="1" si="144"/>
        <v>86</v>
      </c>
      <c r="C128" s="1626">
        <v>13260050</v>
      </c>
      <c r="D128" s="1627" t="s">
        <v>6566</v>
      </c>
      <c r="E128" s="1628" t="s">
        <v>4622</v>
      </c>
      <c r="F128" s="1629">
        <v>28247</v>
      </c>
      <c r="G128" s="1628" t="s">
        <v>4620</v>
      </c>
      <c r="H128" s="1629">
        <v>45444</v>
      </c>
      <c r="I128" s="1630">
        <f t="shared" si="259"/>
        <v>0</v>
      </c>
      <c r="J128" s="1631">
        <v>12</v>
      </c>
      <c r="K128" s="1630">
        <f t="shared" si="260"/>
        <v>12</v>
      </c>
      <c r="L128" s="1632" t="s">
        <v>5560</v>
      </c>
      <c r="M128" s="1631"/>
      <c r="N128" s="1631"/>
      <c r="O128" s="1633" t="s">
        <v>77</v>
      </c>
      <c r="P128" s="1659" t="s">
        <v>6704</v>
      </c>
      <c r="Q128" s="1634" t="str">
        <f>IFERROR(VLOOKUP(O128,CARGOS!A:E,2,0),"")</f>
        <v>12123</v>
      </c>
      <c r="R128" s="1635" t="s">
        <v>5249</v>
      </c>
      <c r="S128" s="1636" t="s">
        <v>5479</v>
      </c>
      <c r="T128" s="1637">
        <f>IFERROR(VLOOKUP(S128,'TAB EMP'!A:B,2,0),0)</f>
        <v>283</v>
      </c>
      <c r="U128" s="1638">
        <v>0</v>
      </c>
      <c r="V128" s="1637">
        <f t="shared" ref="V128:V129" si="335">T128-U128</f>
        <v>283</v>
      </c>
      <c r="W128" s="1638">
        <f t="shared" ref="W128:W129" si="336">ROUND(V128/2,2)</f>
        <v>141.5</v>
      </c>
      <c r="X128" s="1628" t="s">
        <v>2885</v>
      </c>
      <c r="Y128" s="1628"/>
      <c r="Z128" s="1628">
        <v>0</v>
      </c>
      <c r="AA128" s="1637">
        <f>ROUND(IF(H128&lt;&gt;"",VLOOKUP(SUM(I128+J128),'CONCEPTOS Y PARAMETROS'!F:G,2,0)*V128,0),2)</f>
        <v>39.049999999999997</v>
      </c>
      <c r="AB128" s="1637">
        <f>IF(S128&lt;&gt;"",IF(M128="",'CONCEPTOS Y PARAMETROS'!$C$4,0),0)</f>
        <v>130</v>
      </c>
      <c r="AC128" s="1637">
        <f>IF(S128&lt;&gt;"",IF(M128="",'CONCEPTOS Y PARAMETROS'!$C$7*Z128,0),0)</f>
        <v>0</v>
      </c>
      <c r="AD128" s="1637">
        <f>IFERROR(ROUND(VLOOKUP($X128,'CONCEPTOS Y PARAMETROS'!H:I,2,0)*($V128+AA128+AB128+AC128),2),0)</f>
        <v>113.01</v>
      </c>
      <c r="AE128" s="1637">
        <f t="shared" ref="AE128:AE129" si="337">SUM(AA128:AD128)</f>
        <v>282.06</v>
      </c>
      <c r="AF128" s="1637">
        <f t="shared" ref="AF128:AF129" si="338">ROUND(AA128/2,2)</f>
        <v>19.53</v>
      </c>
      <c r="AG128" s="1637">
        <f t="shared" ref="AG128:AG129" si="339">ROUND(AA128-AF128,2)</f>
        <v>19.52</v>
      </c>
      <c r="AH128" s="1637">
        <f t="shared" ref="AH128:AH129" si="340">ROUND(AB128/2,2)</f>
        <v>65</v>
      </c>
      <c r="AI128" s="1637">
        <f t="shared" ref="AI128:AI129" si="341">ROUND(AB128-AH128,2)</f>
        <v>65</v>
      </c>
      <c r="AJ128" s="1637">
        <f t="shared" ref="AJ128:AJ129" si="342">ROUND(AD128/2,2)</f>
        <v>56.51</v>
      </c>
      <c r="AK128" s="1637">
        <f t="shared" ref="AK128:AK129" si="343">ROUND(AD128-AJ128,2)</f>
        <v>56.5</v>
      </c>
      <c r="AL128" s="1638">
        <f t="shared" ref="AL128:AL129" si="344">ROUND(AF128+AH128+AJ128+AC128,2)</f>
        <v>141.04</v>
      </c>
      <c r="AM128" s="1638">
        <f t="shared" ref="AM128:AM129" si="345">ROUND(AG128+AI128+AK128,2)</f>
        <v>141.02000000000001</v>
      </c>
      <c r="AN128" s="1639">
        <v>0</v>
      </c>
      <c r="AO128" s="1640">
        <f>'CONCEPTOS Y PARAMETROS'!$C$18*AN128</f>
        <v>0</v>
      </c>
      <c r="AP128" s="1639">
        <v>0</v>
      </c>
      <c r="AQ128" s="1640">
        <f>'CONCEPTOS Y PARAMETROS'!$C$21*AP128</f>
        <v>0</v>
      </c>
      <c r="AR128" s="1641">
        <v>0</v>
      </c>
      <c r="AS128" s="1641">
        <v>0</v>
      </c>
      <c r="AT128" s="1641">
        <f t="shared" ref="AT128:AT129" si="346">+AO128+AQ128+AR128+AS128</f>
        <v>0</v>
      </c>
      <c r="AU128" s="1638">
        <f t="shared" ref="AU128:AU129" si="347">V128+AE128+AW128</f>
        <v>565.05999999999995</v>
      </c>
      <c r="AV128" s="1642">
        <v>0</v>
      </c>
      <c r="AW128" s="1638">
        <f t="shared" ref="AW128:AW129" si="348">ROUND(IF(AV128="NOCTURN",(V128+AE128)*30%,0),2)</f>
        <v>0</v>
      </c>
      <c r="AX128" s="1637">
        <f>IF(T128&lt;&gt;"0",(ROUND(IF(A128="EMPLEADO",eval_formula('CONCEPTOS Y PARAMETROS'!$C$8,NOMINA!V128,NOMINA!$AU128,NOMINA!I128+NOMINA!J128),eval_formula('CONCEPTOS Y PARAMETROS'!$D$8,NOMINA!V128,NOMINA!$AU128,NOMINA!I128+NOMINA!J128)),2))*IF(H128&lt;&gt;"",IF(MONTH(H128)=$BR$8,IF(YEAR(H128)&lt;$BT$7,1,0),0)))</f>
        <v>0</v>
      </c>
      <c r="AY128" s="1638">
        <v>105</v>
      </c>
      <c r="AZ128" s="1637">
        <f>IFERROR(VLOOKUP(AY128,'CONCEPTOS Y PARAMETROS'!Y:Z,2,0),0)</f>
        <v>87.5</v>
      </c>
      <c r="BA128" s="1637">
        <f t="shared" ref="BA128:BA129" si="349">ROUND((((AU128))/30*AY128/12+(AU128))/30*AZ128,2)</f>
        <v>2128.79</v>
      </c>
      <c r="BB128" s="1637">
        <f t="shared" si="287"/>
        <v>0</v>
      </c>
      <c r="BC128" s="1639">
        <v>0</v>
      </c>
      <c r="BD128" s="1637" t="str">
        <f t="shared" ref="BD128:BD129" si="350">IF(BC128&gt;0,((((((V128+AA128+AB128+AC128+AD128)/30)/8)*50%)+((((V128+AA128+AB128+AC128+AD128)/30)/8)))*30%+(((((V128+AA128+AB128+AC128+AD128)/30)/8)*50%)+((((V128+AA128+AB128+AC128+AD128)/30)/8))))*BC128,"0")</f>
        <v>0</v>
      </c>
      <c r="BE128" s="1639">
        <v>0</v>
      </c>
      <c r="BF128" s="1637">
        <f t="shared" si="334"/>
        <v>0</v>
      </c>
      <c r="BG128" s="1638">
        <v>300</v>
      </c>
      <c r="BH128" s="1628">
        <f t="shared" si="261"/>
        <v>0</v>
      </c>
      <c r="BI128" s="1628">
        <v>0</v>
      </c>
      <c r="BJ128" s="1628">
        <f t="shared" si="262"/>
        <v>0</v>
      </c>
      <c r="BK128" s="1638">
        <v>0</v>
      </c>
      <c r="BL128" s="1637">
        <f t="shared" si="329"/>
        <v>20.86</v>
      </c>
      <c r="BM128" s="1637">
        <f t="shared" si="330"/>
        <v>2.61</v>
      </c>
      <c r="BN128" s="1637">
        <f t="shared" si="263"/>
        <v>5.65</v>
      </c>
      <c r="BO128" s="1637">
        <v>0</v>
      </c>
      <c r="BP128" s="1637">
        <v>0</v>
      </c>
      <c r="BQ128" s="1643">
        <f t="shared" ref="BQ128:BQ129" si="351">ROUND(SUM(BL128:BP128),2)</f>
        <v>29.12</v>
      </c>
      <c r="BR128" s="1637">
        <f t="shared" si="331"/>
        <v>46.94</v>
      </c>
      <c r="BS128" s="1637">
        <f t="shared" si="332"/>
        <v>10.43</v>
      </c>
      <c r="BT128" s="1637">
        <f t="shared" si="264"/>
        <v>11.3</v>
      </c>
      <c r="BU128" s="1637">
        <v>0</v>
      </c>
      <c r="BV128" s="1638">
        <f t="shared" ref="BV128" si="352">ROUND(SUM(BR128:BT128),2)</f>
        <v>68.67</v>
      </c>
      <c r="BW128" s="1644">
        <f t="shared" ref="BW128:BW129" si="353">BQ128+BV128</f>
        <v>97.79</v>
      </c>
      <c r="BX128" s="1644">
        <f t="shared" si="333"/>
        <v>532.20000000000005</v>
      </c>
      <c r="BY128" s="1638">
        <v>0</v>
      </c>
      <c r="BZ128" s="1638">
        <f t="shared" si="265"/>
        <v>532.20000000000005</v>
      </c>
      <c r="CA128" s="1645">
        <f>'CONCEPTOS Y PARAMETROS'!$A$102</f>
        <v>2120</v>
      </c>
      <c r="CB128" s="1644">
        <f t="shared" si="266"/>
        <v>253.41999999999996</v>
      </c>
      <c r="CC128" s="1646">
        <f t="shared" si="267"/>
        <v>582.52</v>
      </c>
      <c r="CD128" s="1647"/>
      <c r="CE128" s="1647"/>
      <c r="CF128" s="1648"/>
      <c r="CG128" s="1649">
        <f t="shared" si="268"/>
        <v>253.41999999999996</v>
      </c>
      <c r="CH128" s="1713">
        <f t="shared" si="269"/>
        <v>300</v>
      </c>
      <c r="CI128" s="1649">
        <f t="shared" si="270"/>
        <v>582.52</v>
      </c>
      <c r="CJ128" s="1649">
        <f t="shared" si="271"/>
        <v>279.61</v>
      </c>
      <c r="CK128" s="1649">
        <f t="shared" si="272"/>
        <v>302.90999999999997</v>
      </c>
      <c r="CL128" s="1649">
        <f t="shared" si="273"/>
        <v>0</v>
      </c>
      <c r="CM128" s="1649">
        <f t="shared" si="274"/>
        <v>0</v>
      </c>
      <c r="CN128" s="1650">
        <f t="shared" si="275"/>
        <v>0</v>
      </c>
      <c r="CO128" s="1651">
        <v>0</v>
      </c>
      <c r="CP128" s="1650">
        <f t="shared" si="276"/>
        <v>0</v>
      </c>
      <c r="CQ128" s="1652">
        <f t="shared" si="277"/>
        <v>0</v>
      </c>
      <c r="CR128" s="1650">
        <f t="shared" si="278"/>
        <v>0</v>
      </c>
      <c r="CS128" s="1650">
        <f t="shared" si="279"/>
        <v>0</v>
      </c>
      <c r="CT128" s="1650">
        <f t="shared" si="280"/>
        <v>97.79</v>
      </c>
      <c r="CU128" s="1650">
        <f t="shared" si="281"/>
        <v>2120</v>
      </c>
      <c r="CV128" s="1653"/>
      <c r="CW128" s="1627" t="s">
        <v>6401</v>
      </c>
      <c r="CX128" s="1627" t="s">
        <v>6935</v>
      </c>
      <c r="CY128" s="1647"/>
      <c r="CZ128" s="1657" t="s">
        <v>6567</v>
      </c>
      <c r="DA128" s="1657" t="s">
        <v>6367</v>
      </c>
      <c r="DB128" s="1657" t="s">
        <v>6368</v>
      </c>
      <c r="DC128" s="1657" t="s">
        <v>6574</v>
      </c>
      <c r="DD128" s="1647"/>
      <c r="DE128" s="1647"/>
      <c r="DF128" s="1647"/>
      <c r="DG128" s="1647"/>
      <c r="DH128" s="1647"/>
      <c r="DJ128" s="1654" t="str">
        <f>VLOOKUP(X128,Hoja1!$A$4:$B$10,2,0)</f>
        <v>PROFESIONAL</v>
      </c>
      <c r="DK128" s="1654" t="str">
        <f>VLOOKUP(S128,Hoja1!$D$4:$F$77,3,0)</f>
        <v>PII - V</v>
      </c>
      <c r="DL128" s="1655" t="str">
        <f t="shared" si="282"/>
        <v>0</v>
      </c>
      <c r="DM128" s="1742" t="str">
        <f t="shared" si="283"/>
        <v>F</v>
      </c>
      <c r="DN128" s="1742"/>
    </row>
    <row r="129" spans="1:118" s="478" customFormat="1" ht="21.95" customHeight="1">
      <c r="A129" s="510" t="s">
        <v>2846</v>
      </c>
      <c r="B129" s="1390">
        <f t="shared" ca="1" si="144"/>
        <v>87</v>
      </c>
      <c r="C129" s="1194">
        <v>13260933</v>
      </c>
      <c r="D129" s="1195" t="s">
        <v>6767</v>
      </c>
      <c r="E129" s="1180" t="s">
        <v>4622</v>
      </c>
      <c r="F129" s="1161">
        <v>28104</v>
      </c>
      <c r="G129" s="1180" t="s">
        <v>4621</v>
      </c>
      <c r="H129" s="1161">
        <v>45474</v>
      </c>
      <c r="I129" s="1185">
        <f t="shared" si="259"/>
        <v>0</v>
      </c>
      <c r="J129" s="1177">
        <v>0</v>
      </c>
      <c r="K129" s="1185">
        <f t="shared" si="260"/>
        <v>0</v>
      </c>
      <c r="L129" s="1191" t="s">
        <v>5551</v>
      </c>
      <c r="M129" s="1177"/>
      <c r="N129" s="1177"/>
      <c r="O129" s="1040" t="s">
        <v>5222</v>
      </c>
      <c r="P129" s="1197" t="s">
        <v>6768</v>
      </c>
      <c r="Q129" s="1391" t="str">
        <f>IFERROR(VLOOKUP(O129,CARGOS!A:E,2,0),"")</f>
        <v>79511</v>
      </c>
      <c r="R129" s="1403" t="s">
        <v>5222</v>
      </c>
      <c r="S129" s="1192" t="s">
        <v>5483</v>
      </c>
      <c r="T129" s="1150">
        <f>IFERROR(VLOOKUP(S129,'TAB EMP'!A:B,2,0),0)</f>
        <v>130</v>
      </c>
      <c r="U129" s="1151">
        <v>0</v>
      </c>
      <c r="V129" s="1150">
        <f t="shared" si="335"/>
        <v>130</v>
      </c>
      <c r="W129" s="1151">
        <f t="shared" si="336"/>
        <v>65</v>
      </c>
      <c r="X129" s="1180" t="s">
        <v>2884</v>
      </c>
      <c r="Y129" s="1180"/>
      <c r="Z129" s="1180">
        <v>0</v>
      </c>
      <c r="AA129" s="1150">
        <f>ROUND(IF(H129&lt;&gt;"",VLOOKUP(SUM(I129+J129),'CONCEPTOS Y PARAMETROS'!F:G,2,0)*V129,0),2)</f>
        <v>0</v>
      </c>
      <c r="AB129" s="1150">
        <f>IF(S129&lt;&gt;"",IF(M129="",'CONCEPTOS Y PARAMETROS'!$C$4,0),0)</f>
        <v>130</v>
      </c>
      <c r="AC129" s="1150">
        <f>IF(S129&lt;&gt;"",IF(M129="",'CONCEPTOS Y PARAMETROS'!$C$7*Z129,0),0)</f>
        <v>0</v>
      </c>
      <c r="AD129" s="1150">
        <f>IFERROR(ROUND(VLOOKUP($X129,'CONCEPTOS Y PARAMETROS'!H:I,2,0)*($V129+AA129+AB129+AC129),2),0)</f>
        <v>0</v>
      </c>
      <c r="AE129" s="1150">
        <f t="shared" si="337"/>
        <v>130</v>
      </c>
      <c r="AF129" s="1150">
        <f t="shared" si="338"/>
        <v>0</v>
      </c>
      <c r="AG129" s="1150">
        <f t="shared" si="339"/>
        <v>0</v>
      </c>
      <c r="AH129" s="1150">
        <f t="shared" si="340"/>
        <v>65</v>
      </c>
      <c r="AI129" s="1150">
        <f t="shared" si="341"/>
        <v>65</v>
      </c>
      <c r="AJ129" s="1150">
        <f t="shared" si="342"/>
        <v>0</v>
      </c>
      <c r="AK129" s="1150">
        <f t="shared" si="343"/>
        <v>0</v>
      </c>
      <c r="AL129" s="1151">
        <f t="shared" si="344"/>
        <v>65</v>
      </c>
      <c r="AM129" s="1151">
        <f t="shared" si="345"/>
        <v>65</v>
      </c>
      <c r="AN129" s="1028">
        <v>0</v>
      </c>
      <c r="AO129" s="1193">
        <f>'CONCEPTOS Y PARAMETROS'!$C$18*AN129</f>
        <v>0</v>
      </c>
      <c r="AP129" s="1028">
        <v>0</v>
      </c>
      <c r="AQ129" s="1193">
        <f>'CONCEPTOS Y PARAMETROS'!$C$21*AP129</f>
        <v>0</v>
      </c>
      <c r="AR129" s="1394">
        <v>0</v>
      </c>
      <c r="AS129" s="1394">
        <v>0</v>
      </c>
      <c r="AT129" s="1394">
        <f t="shared" si="346"/>
        <v>0</v>
      </c>
      <c r="AU129" s="1151">
        <f t="shared" si="347"/>
        <v>338</v>
      </c>
      <c r="AV129" s="1178" t="s">
        <v>5080</v>
      </c>
      <c r="AW129" s="1151">
        <f t="shared" si="348"/>
        <v>78</v>
      </c>
      <c r="AX129" s="1150">
        <f>IF(T129&lt;&gt;"0",(ROUND(IF(A129="EMPLEADO",eval_formula('CONCEPTOS Y PARAMETROS'!$C$8,NOMINA!V129,NOMINA!$AU129,NOMINA!I129+NOMINA!J129),eval_formula('CONCEPTOS Y PARAMETROS'!$D$8,NOMINA!V129,NOMINA!$AU129,NOMINA!I129+NOMINA!J129)),2))*IF(H129&lt;&gt;"",IF(MONTH(H129)=$BR$8,IF(YEAR(H129)&lt;$BT$7,1,0),0)))</f>
        <v>0</v>
      </c>
      <c r="AY129" s="1151">
        <v>90</v>
      </c>
      <c r="AZ129" s="1150">
        <f>IFERROR(VLOOKUP(AY129,'CONCEPTOS Y PARAMETROS'!Y:Z,2,0),0)</f>
        <v>75</v>
      </c>
      <c r="BA129" s="1150">
        <f t="shared" si="349"/>
        <v>1056.25</v>
      </c>
      <c r="BB129" s="1150">
        <f t="shared" si="287"/>
        <v>0</v>
      </c>
      <c r="BC129" s="1028">
        <v>0</v>
      </c>
      <c r="BD129" s="1150" t="str">
        <f t="shared" si="350"/>
        <v>0</v>
      </c>
      <c r="BE129" s="1028">
        <v>4</v>
      </c>
      <c r="BF129" s="1150">
        <f t="shared" si="334"/>
        <v>67.599999999999994</v>
      </c>
      <c r="BG129" s="1151">
        <v>300</v>
      </c>
      <c r="BH129" s="1151">
        <f t="shared" si="261"/>
        <v>0</v>
      </c>
      <c r="BI129" s="1180">
        <v>0</v>
      </c>
      <c r="BJ129" s="1180">
        <f t="shared" si="262"/>
        <v>0</v>
      </c>
      <c r="BK129" s="1151">
        <v>0</v>
      </c>
      <c r="BL129" s="1150">
        <f t="shared" si="329"/>
        <v>12.48</v>
      </c>
      <c r="BM129" s="1150">
        <f t="shared" si="330"/>
        <v>1.56</v>
      </c>
      <c r="BN129" s="1150">
        <f t="shared" si="263"/>
        <v>3.38</v>
      </c>
      <c r="BO129" s="1150">
        <v>0</v>
      </c>
      <c r="BP129" s="1150">
        <v>0</v>
      </c>
      <c r="BQ129" s="1396">
        <f t="shared" si="351"/>
        <v>17.420000000000002</v>
      </c>
      <c r="BR129" s="1150">
        <f t="shared" si="331"/>
        <v>28.08</v>
      </c>
      <c r="BS129" s="1150">
        <f t="shared" si="332"/>
        <v>6.24</v>
      </c>
      <c r="BT129" s="1150">
        <f t="shared" si="264"/>
        <v>6.76</v>
      </c>
      <c r="BU129" s="1150">
        <v>0</v>
      </c>
      <c r="BV129" s="1151">
        <f t="shared" ref="BV129" si="354">ROUND(SUM(BR129:BT129),2)</f>
        <v>41.08</v>
      </c>
      <c r="BW129" s="1155">
        <f t="shared" si="353"/>
        <v>58.5</v>
      </c>
      <c r="BX129" s="1155">
        <f t="shared" si="333"/>
        <v>264.06</v>
      </c>
      <c r="BY129" s="1151">
        <v>0</v>
      </c>
      <c r="BZ129" s="1151">
        <f t="shared" si="265"/>
        <v>264.06</v>
      </c>
      <c r="CA129" s="1397">
        <f>'CONCEPTOS Y PARAMETROS'!$A$102</f>
        <v>2120</v>
      </c>
      <c r="CB129" s="1155">
        <f t="shared" si="266"/>
        <v>112.58</v>
      </c>
      <c r="CC129" s="1156">
        <f t="shared" si="267"/>
        <v>575.6</v>
      </c>
      <c r="CD129" s="514"/>
      <c r="CE129" s="514"/>
      <c r="CG129" s="511">
        <f t="shared" si="268"/>
        <v>112.58</v>
      </c>
      <c r="CH129" s="1712">
        <f t="shared" si="269"/>
        <v>300</v>
      </c>
      <c r="CI129" s="511">
        <f t="shared" si="270"/>
        <v>430</v>
      </c>
      <c r="CJ129" s="511">
        <f t="shared" si="271"/>
        <v>430</v>
      </c>
      <c r="CK129" s="511">
        <f t="shared" si="272"/>
        <v>0</v>
      </c>
      <c r="CL129" s="511">
        <f t="shared" si="273"/>
        <v>0</v>
      </c>
      <c r="CM129" s="511">
        <f t="shared" si="274"/>
        <v>0</v>
      </c>
      <c r="CN129" s="512">
        <f t="shared" si="275"/>
        <v>67.599999999999994</v>
      </c>
      <c r="CO129" s="513">
        <v>0</v>
      </c>
      <c r="CP129" s="512">
        <f t="shared" si="276"/>
        <v>78</v>
      </c>
      <c r="CQ129" s="500">
        <f t="shared" si="277"/>
        <v>0</v>
      </c>
      <c r="CR129" s="512">
        <f t="shared" si="278"/>
        <v>0</v>
      </c>
      <c r="CS129" s="512">
        <f t="shared" si="279"/>
        <v>145.6</v>
      </c>
      <c r="CT129" s="512">
        <f t="shared" si="280"/>
        <v>58.5</v>
      </c>
      <c r="CU129" s="512">
        <f t="shared" si="281"/>
        <v>2120</v>
      </c>
      <c r="CV129" s="1556"/>
      <c r="CW129" s="1195" t="s">
        <v>6977</v>
      </c>
      <c r="CX129" s="1195" t="s">
        <v>7262</v>
      </c>
      <c r="CY129" s="514"/>
      <c r="CZ129" s="1199" t="s">
        <v>6769</v>
      </c>
      <c r="DA129" s="1199" t="s">
        <v>6657</v>
      </c>
      <c r="DB129" s="514" t="s">
        <v>6258</v>
      </c>
      <c r="DC129" s="1206" t="s">
        <v>6243</v>
      </c>
      <c r="DD129" s="514"/>
      <c r="DE129" s="514"/>
      <c r="DF129" s="514"/>
      <c r="DG129" s="514"/>
      <c r="DH129" s="514"/>
      <c r="DJ129" s="478" t="str">
        <f>VLOOKUP(X129,Hoja1!$A$4:$B$10,2,0)</f>
        <v>BACHILLER</v>
      </c>
      <c r="DK129" s="478" t="str">
        <f>VLOOKUP(S129,Hoja1!$D$4:$F$77,3,0)</f>
        <v>BI</v>
      </c>
      <c r="DL129" s="1218" t="str">
        <f t="shared" si="282"/>
        <v>SI</v>
      </c>
      <c r="DM129" s="1743" t="str">
        <f t="shared" si="283"/>
        <v>M</v>
      </c>
      <c r="DN129" s="1743"/>
    </row>
    <row r="130" spans="1:118" s="473" customFormat="1" ht="21.95" customHeight="1">
      <c r="A130" s="510" t="s">
        <v>2846</v>
      </c>
      <c r="B130" s="1390">
        <f t="shared" ca="1" si="144"/>
        <v>88</v>
      </c>
      <c r="C130" s="1194">
        <v>13261035</v>
      </c>
      <c r="D130" s="1195" t="s">
        <v>4769</v>
      </c>
      <c r="E130" s="1180" t="s">
        <v>4622</v>
      </c>
      <c r="F130" s="1196">
        <v>27619</v>
      </c>
      <c r="G130" s="1180" t="s">
        <v>4620</v>
      </c>
      <c r="H130" s="1196">
        <v>43770</v>
      </c>
      <c r="I130" s="1185">
        <f t="shared" si="259"/>
        <v>5</v>
      </c>
      <c r="J130" s="1177">
        <v>0</v>
      </c>
      <c r="K130" s="1185">
        <f t="shared" si="260"/>
        <v>5</v>
      </c>
      <c r="L130" s="1191" t="s">
        <v>5547</v>
      </c>
      <c r="M130" s="1177"/>
      <c r="N130" s="1177"/>
      <c r="O130" s="1040" t="s">
        <v>5250</v>
      </c>
      <c r="P130" s="1177" t="s">
        <v>5342</v>
      </c>
      <c r="Q130" s="1391" t="str">
        <f>IFERROR(VLOOKUP(O130,CARGOS!A:E,2,0),"")</f>
        <v>34235</v>
      </c>
      <c r="R130" s="1403" t="s">
        <v>5250</v>
      </c>
      <c r="S130" s="1192" t="s">
        <v>5480</v>
      </c>
      <c r="T130" s="1150">
        <f>IFERROR(VLOOKUP(S130,'TAB EMP'!A:B,2,0),0)</f>
        <v>277</v>
      </c>
      <c r="U130" s="1151">
        <v>0</v>
      </c>
      <c r="V130" s="1150">
        <f t="shared" si="288"/>
        <v>277</v>
      </c>
      <c r="W130" s="1151">
        <f t="shared" si="289"/>
        <v>138.5</v>
      </c>
      <c r="X130" s="1180" t="s">
        <v>2885</v>
      </c>
      <c r="Y130" s="1180"/>
      <c r="Z130" s="1180">
        <v>0</v>
      </c>
      <c r="AA130" s="1150">
        <f>ROUND(IF(H130&lt;&gt;"",VLOOKUP(SUM(I130+J130),'CONCEPTOS Y PARAMETROS'!F:G,2,0)*V130,0),2)</f>
        <v>13.85</v>
      </c>
      <c r="AB130" s="1150">
        <f>IF(S130&lt;&gt;"",IF(M130="",'CONCEPTOS Y PARAMETROS'!$C$4,0),0)</f>
        <v>130</v>
      </c>
      <c r="AC130" s="1150">
        <f>IF(S130&lt;&gt;"",IF(M130="",'CONCEPTOS Y PARAMETROS'!$C$7*Z130,0),0)</f>
        <v>0</v>
      </c>
      <c r="AD130" s="1150">
        <f>IFERROR(ROUND(VLOOKUP($X130,'CONCEPTOS Y PARAMETROS'!H:I,2,0)*($V130+AA130+AB130+AC130),2),0)</f>
        <v>105.21</v>
      </c>
      <c r="AE130" s="1150">
        <f t="shared" si="285"/>
        <v>249.06</v>
      </c>
      <c r="AF130" s="1150">
        <f t="shared" si="290"/>
        <v>6.93</v>
      </c>
      <c r="AG130" s="1150">
        <f t="shared" si="291"/>
        <v>6.92</v>
      </c>
      <c r="AH130" s="1150">
        <f t="shared" si="292"/>
        <v>65</v>
      </c>
      <c r="AI130" s="1150">
        <f t="shared" si="293"/>
        <v>65</v>
      </c>
      <c r="AJ130" s="1150">
        <f t="shared" si="294"/>
        <v>52.61</v>
      </c>
      <c r="AK130" s="1150">
        <f t="shared" si="295"/>
        <v>52.6</v>
      </c>
      <c r="AL130" s="1151">
        <f t="shared" si="296"/>
        <v>124.54</v>
      </c>
      <c r="AM130" s="1151">
        <f t="shared" si="297"/>
        <v>124.52</v>
      </c>
      <c r="AN130" s="1028">
        <v>0</v>
      </c>
      <c r="AO130" s="1193">
        <f>'CONCEPTOS Y PARAMETROS'!$C$18*AN130</f>
        <v>0</v>
      </c>
      <c r="AP130" s="1028">
        <v>0</v>
      </c>
      <c r="AQ130" s="1193">
        <f>'CONCEPTOS Y PARAMETROS'!$C$21*AP130</f>
        <v>0</v>
      </c>
      <c r="AR130" s="1394">
        <v>0</v>
      </c>
      <c r="AS130" s="1394">
        <v>0</v>
      </c>
      <c r="AT130" s="1394">
        <f t="shared" si="286"/>
        <v>0</v>
      </c>
      <c r="AU130" s="1151">
        <f t="shared" si="298"/>
        <v>526.05999999999995</v>
      </c>
      <c r="AV130" s="1178">
        <v>0</v>
      </c>
      <c r="AW130" s="1151">
        <f t="shared" si="299"/>
        <v>0</v>
      </c>
      <c r="AX130" s="1150">
        <f>IF(T130&lt;&gt;"0",(ROUND(IF(A130="EMPLEADO",eval_formula('CONCEPTOS Y PARAMETROS'!$C$8,NOMINA!V130,NOMINA!$AU130,NOMINA!I130+NOMINA!J130),eval_formula('CONCEPTOS Y PARAMETROS'!$D$8,NOMINA!V130,NOMINA!$AU130,NOMINA!I130+NOMINA!J130)),2))*IF(H130&lt;&gt;"",IF(MONTH(H130)=$BR$8,IF(YEAR(H130)&lt;$BT$7,1,0),0)))</f>
        <v>0</v>
      </c>
      <c r="AY130" s="1151">
        <v>180</v>
      </c>
      <c r="AZ130" s="1150">
        <f>IFERROR(VLOOKUP(AY130,'CONCEPTOS Y PARAMETROS'!Y:Z,2,0),0)</f>
        <v>150</v>
      </c>
      <c r="BA130" s="1150">
        <f t="shared" si="300"/>
        <v>3945.45</v>
      </c>
      <c r="BB130" s="1150">
        <f t="shared" si="287"/>
        <v>0</v>
      </c>
      <c r="BC130" s="1028">
        <v>0</v>
      </c>
      <c r="BD130" s="1150" t="str">
        <f t="shared" si="301"/>
        <v>0</v>
      </c>
      <c r="BE130" s="1028">
        <v>0</v>
      </c>
      <c r="BF130" s="1150">
        <f t="shared" si="334"/>
        <v>0</v>
      </c>
      <c r="BG130" s="1151">
        <v>300</v>
      </c>
      <c r="BH130" s="1151">
        <f t="shared" si="261"/>
        <v>0</v>
      </c>
      <c r="BI130" s="1180">
        <v>0</v>
      </c>
      <c r="BJ130" s="1180">
        <f t="shared" si="262"/>
        <v>0</v>
      </c>
      <c r="BK130" s="1151">
        <v>0</v>
      </c>
      <c r="BL130" s="1150">
        <f t="shared" si="329"/>
        <v>19.420000000000002</v>
      </c>
      <c r="BM130" s="1150">
        <f t="shared" si="330"/>
        <v>2.4300000000000002</v>
      </c>
      <c r="BN130" s="1150">
        <f t="shared" si="263"/>
        <v>5.26</v>
      </c>
      <c r="BO130" s="1150">
        <v>0</v>
      </c>
      <c r="BP130" s="1150">
        <v>0</v>
      </c>
      <c r="BQ130" s="1396">
        <f t="shared" si="302"/>
        <v>27.11</v>
      </c>
      <c r="BR130" s="1150">
        <f t="shared" si="331"/>
        <v>43.7</v>
      </c>
      <c r="BS130" s="1150">
        <f t="shared" si="332"/>
        <v>9.7100000000000009</v>
      </c>
      <c r="BT130" s="1150">
        <f t="shared" si="264"/>
        <v>10.52</v>
      </c>
      <c r="BU130" s="1150">
        <v>0</v>
      </c>
      <c r="BV130" s="1151">
        <f t="shared" si="303"/>
        <v>63.93</v>
      </c>
      <c r="BW130" s="1155">
        <f t="shared" si="304"/>
        <v>91.039999999999992</v>
      </c>
      <c r="BX130" s="1155">
        <f t="shared" si="333"/>
        <v>986.36</v>
      </c>
      <c r="BY130" s="1151">
        <v>0</v>
      </c>
      <c r="BZ130" s="1151">
        <f t="shared" si="265"/>
        <v>986.36</v>
      </c>
      <c r="CA130" s="1397">
        <f>'CONCEPTOS Y PARAMETROS'!$A$102</f>
        <v>2120</v>
      </c>
      <c r="CB130" s="1155">
        <f t="shared" si="266"/>
        <v>235.93</v>
      </c>
      <c r="CC130" s="1156">
        <f t="shared" si="267"/>
        <v>563.02</v>
      </c>
      <c r="CD130" s="514"/>
      <c r="CE130" s="514"/>
      <c r="CF130" s="520"/>
      <c r="CG130" s="497">
        <f t="shared" si="268"/>
        <v>235.93</v>
      </c>
      <c r="CH130" s="1711">
        <f t="shared" si="269"/>
        <v>300</v>
      </c>
      <c r="CI130" s="497">
        <f t="shared" si="270"/>
        <v>563.02</v>
      </c>
      <c r="CJ130" s="497">
        <f t="shared" si="271"/>
        <v>270.25</v>
      </c>
      <c r="CK130" s="497">
        <f t="shared" si="272"/>
        <v>292.77</v>
      </c>
      <c r="CL130" s="497">
        <f t="shared" si="273"/>
        <v>0</v>
      </c>
      <c r="CM130" s="497">
        <f t="shared" si="274"/>
        <v>0</v>
      </c>
      <c r="CN130" s="498">
        <f t="shared" si="275"/>
        <v>0</v>
      </c>
      <c r="CO130" s="499">
        <v>0</v>
      </c>
      <c r="CP130" s="498">
        <f t="shared" si="276"/>
        <v>0</v>
      </c>
      <c r="CQ130" s="500">
        <f t="shared" si="277"/>
        <v>0</v>
      </c>
      <c r="CR130" s="498">
        <f t="shared" si="278"/>
        <v>0</v>
      </c>
      <c r="CS130" s="498">
        <f t="shared" si="279"/>
        <v>0</v>
      </c>
      <c r="CT130" s="498">
        <f t="shared" si="280"/>
        <v>91.039999999999992</v>
      </c>
      <c r="CU130" s="498">
        <f t="shared" si="281"/>
        <v>2120</v>
      </c>
      <c r="CV130" s="1554"/>
      <c r="CW130" s="1195" t="s">
        <v>7023</v>
      </c>
      <c r="CX130" s="1195" t="s">
        <v>7263</v>
      </c>
      <c r="CY130" s="472"/>
      <c r="CZ130" s="514" t="s">
        <v>6376</v>
      </c>
      <c r="DA130" s="1199" t="s">
        <v>6173</v>
      </c>
      <c r="DB130" s="1199" t="s">
        <v>6202</v>
      </c>
      <c r="DC130" s="514" t="s">
        <v>6632</v>
      </c>
      <c r="DD130" s="514"/>
      <c r="DE130" s="514"/>
      <c r="DF130" s="472"/>
      <c r="DG130" s="472"/>
      <c r="DH130" s="472"/>
      <c r="DJ130" s="473" t="str">
        <f>VLOOKUP(X130,Hoja1!$A$4:$B$10,2,0)</f>
        <v>PROFESIONAL</v>
      </c>
      <c r="DK130" s="473" t="str">
        <f>VLOOKUP(S130,Hoja1!$D$4:$F$77,3,0)</f>
        <v>PII - II</v>
      </c>
      <c r="DL130" s="1216" t="str">
        <f t="shared" si="282"/>
        <v>0</v>
      </c>
      <c r="DM130" s="1741" t="str">
        <f t="shared" si="283"/>
        <v>F</v>
      </c>
      <c r="DN130" s="1741"/>
    </row>
    <row r="131" spans="1:118" s="478" customFormat="1" ht="21.95" customHeight="1">
      <c r="A131" s="510" t="s">
        <v>2846</v>
      </c>
      <c r="B131" s="1390">
        <f t="shared" ca="1" si="144"/>
        <v>89</v>
      </c>
      <c r="C131" s="1194">
        <v>13261229</v>
      </c>
      <c r="D131" s="1195" t="s">
        <v>4770</v>
      </c>
      <c r="E131" s="1180" t="s">
        <v>4622</v>
      </c>
      <c r="F131" s="1196">
        <v>28498</v>
      </c>
      <c r="G131" s="1180" t="s">
        <v>4620</v>
      </c>
      <c r="H131" s="1196">
        <v>42644</v>
      </c>
      <c r="I131" s="1185">
        <f t="shared" si="259"/>
        <v>8</v>
      </c>
      <c r="J131" s="1177">
        <v>0</v>
      </c>
      <c r="K131" s="1185">
        <f t="shared" si="260"/>
        <v>8</v>
      </c>
      <c r="L131" s="1191" t="s">
        <v>5544</v>
      </c>
      <c r="M131" s="1177"/>
      <c r="N131" s="1177"/>
      <c r="O131" s="1040" t="s">
        <v>5219</v>
      </c>
      <c r="P131" s="1177" t="s">
        <v>5343</v>
      </c>
      <c r="Q131" s="1391" t="str">
        <f>IFERROR(VLOOKUP(O131,CARGOS!A:E,2,0),"")</f>
        <v>12113</v>
      </c>
      <c r="R131" s="1403" t="s">
        <v>5219</v>
      </c>
      <c r="S131" s="1192" t="s">
        <v>5491</v>
      </c>
      <c r="T131" s="1150">
        <f>IFERROR(VLOOKUP(S131,'TAB EMP'!A:B,2,0),0)</f>
        <v>221</v>
      </c>
      <c r="U131" s="1151">
        <v>0</v>
      </c>
      <c r="V131" s="1150">
        <f t="shared" si="288"/>
        <v>221</v>
      </c>
      <c r="W131" s="1151">
        <f t="shared" si="289"/>
        <v>110.5</v>
      </c>
      <c r="X131" s="1180" t="s">
        <v>2844</v>
      </c>
      <c r="Y131" s="1180"/>
      <c r="Z131" s="1180">
        <v>1</v>
      </c>
      <c r="AA131" s="1150">
        <f>ROUND(IF(H131&lt;&gt;"",VLOOKUP(SUM(I131+J131),'CONCEPTOS Y PARAMETROS'!F:G,2,0)*V131,0),2)</f>
        <v>19.010000000000002</v>
      </c>
      <c r="AB131" s="1150">
        <f>IF(S131&lt;&gt;"",IF(M131="",'CONCEPTOS Y PARAMETROS'!$C$4,0),0)</f>
        <v>130</v>
      </c>
      <c r="AC131" s="1150">
        <f>IF(S131&lt;&gt;"",IF(M131="",'CONCEPTOS Y PARAMETROS'!$C$7*Z131,0),0)</f>
        <v>12.5</v>
      </c>
      <c r="AD131" s="1150">
        <f>IFERROR(ROUND(VLOOKUP($X131,'CONCEPTOS Y PARAMETROS'!H:I,2,0)*($V131+AA131+AB131+AC131),2),0)</f>
        <v>76.5</v>
      </c>
      <c r="AE131" s="1150">
        <f t="shared" si="285"/>
        <v>238.01</v>
      </c>
      <c r="AF131" s="1150">
        <f t="shared" si="290"/>
        <v>9.51</v>
      </c>
      <c r="AG131" s="1150">
        <f t="shared" si="291"/>
        <v>9.5</v>
      </c>
      <c r="AH131" s="1150">
        <f t="shared" si="292"/>
        <v>65</v>
      </c>
      <c r="AI131" s="1150">
        <f t="shared" si="293"/>
        <v>65</v>
      </c>
      <c r="AJ131" s="1150">
        <f t="shared" si="294"/>
        <v>38.25</v>
      </c>
      <c r="AK131" s="1150">
        <f t="shared" si="295"/>
        <v>38.25</v>
      </c>
      <c r="AL131" s="1151">
        <f t="shared" si="296"/>
        <v>125.26</v>
      </c>
      <c r="AM131" s="1151">
        <f t="shared" si="297"/>
        <v>112.75</v>
      </c>
      <c r="AN131" s="1583">
        <v>1</v>
      </c>
      <c r="AO131" s="1193">
        <f>'CONCEPTOS Y PARAMETROS'!$C$18*AN131</f>
        <v>12.5</v>
      </c>
      <c r="AP131" s="1028">
        <v>0</v>
      </c>
      <c r="AQ131" s="1193">
        <f>'CONCEPTOS Y PARAMETROS'!$C$21*AP131</f>
        <v>0</v>
      </c>
      <c r="AR131" s="1394">
        <v>0</v>
      </c>
      <c r="AS131" s="1394">
        <v>0</v>
      </c>
      <c r="AT131" s="1394">
        <f t="shared" si="286"/>
        <v>12.5</v>
      </c>
      <c r="AU131" s="1151">
        <f t="shared" si="298"/>
        <v>459.01</v>
      </c>
      <c r="AV131" s="1178">
        <v>0</v>
      </c>
      <c r="AW131" s="1151">
        <f t="shared" si="299"/>
        <v>0</v>
      </c>
      <c r="AX131" s="1150">
        <f>IF(T131&lt;&gt;"0",(ROUND(IF(A131="EMPLEADO",eval_formula('CONCEPTOS Y PARAMETROS'!$C$8,NOMINA!V131,NOMINA!$AU131,NOMINA!I131+NOMINA!J131),eval_formula('CONCEPTOS Y PARAMETROS'!$D$8,NOMINA!V131,NOMINA!$AU131,NOMINA!I131+NOMINA!J131)),2))*IF(H131&lt;&gt;"",IF(MONTH(H131)=$BR$8,IF(YEAR(H131)&lt;$BT$7,1,0),0)))</f>
        <v>0</v>
      </c>
      <c r="AY131" s="1151">
        <v>180</v>
      </c>
      <c r="AZ131" s="1150">
        <f>IFERROR(VLOOKUP(AY131,'CONCEPTOS Y PARAMETROS'!Y:Z,2,0),0)</f>
        <v>150</v>
      </c>
      <c r="BA131" s="1150">
        <f t="shared" si="300"/>
        <v>3442.58</v>
      </c>
      <c r="BB131" s="1150">
        <f t="shared" si="287"/>
        <v>0</v>
      </c>
      <c r="BC131" s="1028">
        <v>0</v>
      </c>
      <c r="BD131" s="1150" t="str">
        <f t="shared" si="301"/>
        <v>0</v>
      </c>
      <c r="BE131" s="1028">
        <v>0</v>
      </c>
      <c r="BF131" s="1150">
        <f t="shared" si="334"/>
        <v>0</v>
      </c>
      <c r="BG131" s="1151">
        <v>300</v>
      </c>
      <c r="BH131" s="1151">
        <f t="shared" si="261"/>
        <v>0</v>
      </c>
      <c r="BI131" s="1180">
        <v>0</v>
      </c>
      <c r="BJ131" s="1180">
        <f t="shared" si="262"/>
        <v>0</v>
      </c>
      <c r="BK131" s="1151">
        <v>0</v>
      </c>
      <c r="BL131" s="1150">
        <f t="shared" si="329"/>
        <v>16.95</v>
      </c>
      <c r="BM131" s="1150">
        <f t="shared" si="330"/>
        <v>2.12</v>
      </c>
      <c r="BN131" s="1150">
        <f t="shared" si="263"/>
        <v>4.59</v>
      </c>
      <c r="BO131" s="1150">
        <v>0</v>
      </c>
      <c r="BP131" s="1150">
        <v>0</v>
      </c>
      <c r="BQ131" s="1396">
        <f t="shared" si="302"/>
        <v>23.66</v>
      </c>
      <c r="BR131" s="1150">
        <f t="shared" si="331"/>
        <v>38.130000000000003</v>
      </c>
      <c r="BS131" s="1150">
        <f t="shared" si="332"/>
        <v>8.4700000000000006</v>
      </c>
      <c r="BT131" s="1150">
        <f t="shared" si="264"/>
        <v>9.18</v>
      </c>
      <c r="BU131" s="1150">
        <v>0</v>
      </c>
      <c r="BV131" s="1151">
        <f t="shared" si="303"/>
        <v>55.78</v>
      </c>
      <c r="BW131" s="1155">
        <f t="shared" si="304"/>
        <v>79.44</v>
      </c>
      <c r="BX131" s="1155">
        <f t="shared" si="333"/>
        <v>860.65</v>
      </c>
      <c r="BY131" s="1151">
        <v>0</v>
      </c>
      <c r="BZ131" s="1151">
        <f t="shared" si="265"/>
        <v>860.65</v>
      </c>
      <c r="CA131" s="1397">
        <f>'CONCEPTOS Y PARAMETROS'!$A$102</f>
        <v>2120</v>
      </c>
      <c r="CB131" s="1155">
        <f t="shared" si="266"/>
        <v>212.1</v>
      </c>
      <c r="CC131" s="1156">
        <f t="shared" si="267"/>
        <v>535.75</v>
      </c>
      <c r="CD131" s="514"/>
      <c r="CE131" s="514"/>
      <c r="CF131" s="521"/>
      <c r="CG131" s="511">
        <f t="shared" si="268"/>
        <v>212.1</v>
      </c>
      <c r="CH131" s="1712">
        <f t="shared" si="269"/>
        <v>300</v>
      </c>
      <c r="CI131" s="511">
        <f t="shared" si="270"/>
        <v>523.25</v>
      </c>
      <c r="CJ131" s="511">
        <f t="shared" si="271"/>
        <v>523.25</v>
      </c>
      <c r="CK131" s="511">
        <f t="shared" si="272"/>
        <v>0</v>
      </c>
      <c r="CL131" s="511">
        <f t="shared" si="273"/>
        <v>0</v>
      </c>
      <c r="CM131" s="511">
        <f t="shared" si="274"/>
        <v>0</v>
      </c>
      <c r="CN131" s="512">
        <f t="shared" si="275"/>
        <v>0</v>
      </c>
      <c r="CO131" s="513">
        <v>0</v>
      </c>
      <c r="CP131" s="512">
        <f t="shared" si="276"/>
        <v>0</v>
      </c>
      <c r="CQ131" s="500">
        <f t="shared" si="277"/>
        <v>12.5</v>
      </c>
      <c r="CR131" s="512">
        <f t="shared" si="278"/>
        <v>0</v>
      </c>
      <c r="CS131" s="512">
        <f t="shared" si="279"/>
        <v>12.5</v>
      </c>
      <c r="CT131" s="512">
        <f t="shared" si="280"/>
        <v>79.44</v>
      </c>
      <c r="CU131" s="512">
        <f t="shared" si="281"/>
        <v>2120</v>
      </c>
      <c r="CV131" s="1556"/>
      <c r="CW131" s="1195" t="s">
        <v>7073</v>
      </c>
      <c r="CX131" s="1195" t="s">
        <v>7264</v>
      </c>
      <c r="CY131" s="514"/>
      <c r="CZ131" s="1199" t="s">
        <v>6618</v>
      </c>
      <c r="DA131" s="514" t="s">
        <v>6173</v>
      </c>
      <c r="DB131" s="514" t="s">
        <v>6213</v>
      </c>
      <c r="DC131" s="514" t="s">
        <v>6358</v>
      </c>
      <c r="DD131" s="514"/>
      <c r="DE131" s="514"/>
      <c r="DF131" s="514"/>
      <c r="DG131" s="514"/>
      <c r="DH131" s="514"/>
      <c r="DJ131" s="478" t="str">
        <f>VLOOKUP(X131,Hoja1!$A$4:$B$10,2,0)</f>
        <v>TÉCNICO SUPERIOR UNIVERSITARIO</v>
      </c>
      <c r="DK131" s="478" t="str">
        <f>VLOOKUP(S131,Hoja1!$D$4:$F$77,3,0)</f>
        <v>TII - III</v>
      </c>
      <c r="DL131" s="1218" t="str">
        <f t="shared" si="282"/>
        <v>0</v>
      </c>
      <c r="DM131" s="1743" t="str">
        <f t="shared" si="283"/>
        <v>F</v>
      </c>
      <c r="DN131" s="1743"/>
    </row>
    <row r="132" spans="1:118" s="473" customFormat="1" ht="21.95" customHeight="1">
      <c r="A132" s="510" t="s">
        <v>2846</v>
      </c>
      <c r="B132" s="1390">
        <f t="shared" ca="1" si="144"/>
        <v>90</v>
      </c>
      <c r="C132" s="1194">
        <v>13461747</v>
      </c>
      <c r="D132" s="1195" t="s">
        <v>4771</v>
      </c>
      <c r="E132" s="1180" t="s">
        <v>4622</v>
      </c>
      <c r="F132" s="1196">
        <v>28770</v>
      </c>
      <c r="G132" s="1180" t="s">
        <v>4620</v>
      </c>
      <c r="H132" s="1196">
        <v>44683</v>
      </c>
      <c r="I132" s="1185">
        <f t="shared" si="259"/>
        <v>2</v>
      </c>
      <c r="J132" s="1177">
        <v>2</v>
      </c>
      <c r="K132" s="1185">
        <f t="shared" si="260"/>
        <v>4</v>
      </c>
      <c r="L132" s="1191" t="s">
        <v>5552</v>
      </c>
      <c r="M132" s="1177"/>
      <c r="N132" s="1177"/>
      <c r="O132" s="1040" t="s">
        <v>5219</v>
      </c>
      <c r="P132" s="1177" t="s">
        <v>5344</v>
      </c>
      <c r="Q132" s="1391" t="str">
        <f>IFERROR(VLOOKUP(O132,CARGOS!A:E,2,0),"")</f>
        <v>12113</v>
      </c>
      <c r="R132" s="1403" t="s">
        <v>5219</v>
      </c>
      <c r="S132" s="1192" t="s">
        <v>5481</v>
      </c>
      <c r="T132" s="1150">
        <f>IFERROR(VLOOKUP(S132,'TAB EMP'!A:B,2,0),0)</f>
        <v>219</v>
      </c>
      <c r="U132" s="1151">
        <v>0</v>
      </c>
      <c r="V132" s="1150">
        <f t="shared" si="288"/>
        <v>219</v>
      </c>
      <c r="W132" s="1151">
        <f t="shared" si="289"/>
        <v>109.5</v>
      </c>
      <c r="X132" s="1180" t="s">
        <v>2844</v>
      </c>
      <c r="Y132" s="1180"/>
      <c r="Z132" s="1180">
        <v>0</v>
      </c>
      <c r="AA132" s="1150">
        <f>ROUND(IF(H132&lt;&gt;"",VLOOKUP(SUM(I132+J132),'CONCEPTOS Y PARAMETROS'!F:G,2,0)*V132,0),2)</f>
        <v>8.76</v>
      </c>
      <c r="AB132" s="1150">
        <f>IF(S132&lt;&gt;"",IF(M132="",'CONCEPTOS Y PARAMETROS'!$C$4,0),0)</f>
        <v>130</v>
      </c>
      <c r="AC132" s="1150">
        <f>IF(S132&lt;&gt;"",IF(M132="",'CONCEPTOS Y PARAMETROS'!$C$7*Z132,0),0)</f>
        <v>0</v>
      </c>
      <c r="AD132" s="1150">
        <f>IFERROR(ROUND(VLOOKUP($X132,'CONCEPTOS Y PARAMETROS'!H:I,2,0)*($V132+AA132+AB132+AC132),2),0)</f>
        <v>71.55</v>
      </c>
      <c r="AE132" s="1150">
        <f t="shared" si="285"/>
        <v>210.31</v>
      </c>
      <c r="AF132" s="1150">
        <f t="shared" si="290"/>
        <v>4.38</v>
      </c>
      <c r="AG132" s="1150">
        <f t="shared" si="291"/>
        <v>4.38</v>
      </c>
      <c r="AH132" s="1150">
        <f t="shared" si="292"/>
        <v>65</v>
      </c>
      <c r="AI132" s="1150">
        <f t="shared" si="293"/>
        <v>65</v>
      </c>
      <c r="AJ132" s="1150">
        <f t="shared" si="294"/>
        <v>35.78</v>
      </c>
      <c r="AK132" s="1150">
        <f t="shared" si="295"/>
        <v>35.770000000000003</v>
      </c>
      <c r="AL132" s="1151">
        <f t="shared" si="296"/>
        <v>105.16</v>
      </c>
      <c r="AM132" s="1151">
        <f t="shared" si="297"/>
        <v>105.15</v>
      </c>
      <c r="AN132" s="1028">
        <v>0</v>
      </c>
      <c r="AO132" s="1193">
        <f>'CONCEPTOS Y PARAMETROS'!$C$18*AN132</f>
        <v>0</v>
      </c>
      <c r="AP132" s="1028">
        <v>0</v>
      </c>
      <c r="AQ132" s="1193">
        <f>'CONCEPTOS Y PARAMETROS'!$C$21*AP132</f>
        <v>0</v>
      </c>
      <c r="AR132" s="1394">
        <v>0</v>
      </c>
      <c r="AS132" s="1394">
        <v>0</v>
      </c>
      <c r="AT132" s="1394">
        <f t="shared" si="286"/>
        <v>0</v>
      </c>
      <c r="AU132" s="1151">
        <f t="shared" si="298"/>
        <v>429.31</v>
      </c>
      <c r="AV132" s="1178">
        <v>0</v>
      </c>
      <c r="AW132" s="1151">
        <f t="shared" si="299"/>
        <v>0</v>
      </c>
      <c r="AX132" s="1150">
        <f>IF(T132&lt;&gt;"0",(ROUND(IF(A132="EMPLEADO",eval_formula('CONCEPTOS Y PARAMETROS'!$C$8,NOMINA!V132,NOMINA!$AU132,NOMINA!I132+NOMINA!J132),eval_formula('CONCEPTOS Y PARAMETROS'!$D$8,NOMINA!V132,NOMINA!$AU132,NOMINA!I132+NOMINA!J132)),2))*IF(H132&lt;&gt;"",IF(MONTH(H132)=$BR$8,IF(YEAR(H132)&lt;$BT$7,1,0),0)))</f>
        <v>0</v>
      </c>
      <c r="AY132" s="1151">
        <v>180</v>
      </c>
      <c r="AZ132" s="1150">
        <f>IFERROR(VLOOKUP(AY132,'CONCEPTOS Y PARAMETROS'!Y:Z,2,0),0)</f>
        <v>150</v>
      </c>
      <c r="BA132" s="1150">
        <f t="shared" si="300"/>
        <v>3219.83</v>
      </c>
      <c r="BB132" s="1150">
        <f t="shared" si="287"/>
        <v>0</v>
      </c>
      <c r="BC132" s="1028">
        <v>0</v>
      </c>
      <c r="BD132" s="1150" t="str">
        <f t="shared" si="301"/>
        <v>0</v>
      </c>
      <c r="BE132" s="1028">
        <v>0</v>
      </c>
      <c r="BF132" s="1150">
        <f t="shared" si="334"/>
        <v>0</v>
      </c>
      <c r="BG132" s="1151">
        <v>300</v>
      </c>
      <c r="BH132" s="1151">
        <f t="shared" si="261"/>
        <v>0</v>
      </c>
      <c r="BI132" s="1180">
        <v>0</v>
      </c>
      <c r="BJ132" s="1180">
        <f t="shared" si="262"/>
        <v>0</v>
      </c>
      <c r="BK132" s="1151">
        <v>0</v>
      </c>
      <c r="BL132" s="1150">
        <f t="shared" si="329"/>
        <v>15.85</v>
      </c>
      <c r="BM132" s="1150">
        <f t="shared" si="330"/>
        <v>1.98</v>
      </c>
      <c r="BN132" s="1150">
        <f t="shared" si="263"/>
        <v>4.29</v>
      </c>
      <c r="BO132" s="1150">
        <v>0</v>
      </c>
      <c r="BP132" s="1150">
        <v>0</v>
      </c>
      <c r="BQ132" s="1396">
        <f t="shared" si="302"/>
        <v>22.12</v>
      </c>
      <c r="BR132" s="1150">
        <f t="shared" si="331"/>
        <v>35.67</v>
      </c>
      <c r="BS132" s="1150">
        <f t="shared" si="332"/>
        <v>7.93</v>
      </c>
      <c r="BT132" s="1150">
        <f t="shared" si="264"/>
        <v>8.58</v>
      </c>
      <c r="BU132" s="1150">
        <v>0</v>
      </c>
      <c r="BV132" s="1151">
        <f t="shared" si="303"/>
        <v>52.18</v>
      </c>
      <c r="BW132" s="1155">
        <f t="shared" si="304"/>
        <v>74.3</v>
      </c>
      <c r="BX132" s="1155">
        <f t="shared" si="333"/>
        <v>804.96</v>
      </c>
      <c r="BY132" s="1151">
        <v>0</v>
      </c>
      <c r="BZ132" s="1151">
        <f t="shared" si="265"/>
        <v>804.96</v>
      </c>
      <c r="CA132" s="1397">
        <f>'CONCEPTOS Y PARAMETROS'!$A$102</f>
        <v>2120</v>
      </c>
      <c r="CB132" s="1155">
        <f t="shared" si="266"/>
        <v>192.54</v>
      </c>
      <c r="CC132" s="1156">
        <f t="shared" si="267"/>
        <v>514.65</v>
      </c>
      <c r="CD132" s="514"/>
      <c r="CE132" s="514"/>
      <c r="CF132" s="520"/>
      <c r="CG132" s="497">
        <f t="shared" si="268"/>
        <v>192.54</v>
      </c>
      <c r="CH132" s="1711">
        <f t="shared" si="269"/>
        <v>300</v>
      </c>
      <c r="CI132" s="497">
        <f t="shared" si="270"/>
        <v>514.65</v>
      </c>
      <c r="CJ132" s="497">
        <f t="shared" si="271"/>
        <v>514.65</v>
      </c>
      <c r="CK132" s="497">
        <f t="shared" si="272"/>
        <v>0</v>
      </c>
      <c r="CL132" s="497">
        <f t="shared" si="273"/>
        <v>0</v>
      </c>
      <c r="CM132" s="497">
        <f t="shared" si="274"/>
        <v>0</v>
      </c>
      <c r="CN132" s="498">
        <f t="shared" si="275"/>
        <v>0</v>
      </c>
      <c r="CO132" s="499">
        <v>0</v>
      </c>
      <c r="CP132" s="498">
        <f t="shared" si="276"/>
        <v>0</v>
      </c>
      <c r="CQ132" s="500">
        <f t="shared" si="277"/>
        <v>0</v>
      </c>
      <c r="CR132" s="498">
        <f t="shared" si="278"/>
        <v>0</v>
      </c>
      <c r="CS132" s="498">
        <f t="shared" si="279"/>
        <v>0</v>
      </c>
      <c r="CT132" s="498">
        <f t="shared" si="280"/>
        <v>74.3</v>
      </c>
      <c r="CU132" s="498">
        <f t="shared" si="281"/>
        <v>2120</v>
      </c>
      <c r="CV132" s="1554"/>
      <c r="CW132" s="1195" t="s">
        <v>7106</v>
      </c>
      <c r="CX132" s="1195" t="s">
        <v>7265</v>
      </c>
      <c r="CY132" s="472"/>
      <c r="CZ132" s="514" t="s">
        <v>6473</v>
      </c>
      <c r="DA132" s="514" t="s">
        <v>6173</v>
      </c>
      <c r="DB132" s="514" t="s">
        <v>6185</v>
      </c>
      <c r="DC132" s="514" t="s">
        <v>6474</v>
      </c>
      <c r="DD132" s="514"/>
      <c r="DE132" s="514"/>
      <c r="DF132" s="472"/>
      <c r="DG132" s="472"/>
      <c r="DH132" s="472"/>
      <c r="DJ132" s="473" t="str">
        <f>VLOOKUP(X132,Hoja1!$A$4:$B$10,2,0)</f>
        <v>TÉCNICO SUPERIOR UNIVERSITARIO</v>
      </c>
      <c r="DK132" s="473" t="str">
        <f>VLOOKUP(S132,Hoja1!$D$4:$F$77,3,0)</f>
        <v>TII - II</v>
      </c>
      <c r="DL132" s="1216" t="str">
        <f t="shared" si="282"/>
        <v>0</v>
      </c>
      <c r="DM132" s="1741" t="str">
        <f t="shared" si="283"/>
        <v>F</v>
      </c>
      <c r="DN132" s="1741"/>
    </row>
    <row r="133" spans="1:118" s="473" customFormat="1" ht="21.95" customHeight="1">
      <c r="A133" s="510" t="s">
        <v>2846</v>
      </c>
      <c r="B133" s="1390">
        <f t="shared" ca="1" si="144"/>
        <v>91</v>
      </c>
      <c r="C133" s="1194">
        <v>13461934</v>
      </c>
      <c r="D133" s="1195" t="s">
        <v>4772</v>
      </c>
      <c r="E133" s="1180" t="s">
        <v>4622</v>
      </c>
      <c r="F133" s="1196">
        <v>28668</v>
      </c>
      <c r="G133" s="1180" t="s">
        <v>4620</v>
      </c>
      <c r="H133" s="1196">
        <v>43252</v>
      </c>
      <c r="I133" s="1185">
        <f t="shared" si="259"/>
        <v>6</v>
      </c>
      <c r="J133" s="1177">
        <v>0</v>
      </c>
      <c r="K133" s="1185">
        <f t="shared" si="260"/>
        <v>6</v>
      </c>
      <c r="L133" s="1191" t="s">
        <v>6900</v>
      </c>
      <c r="M133" s="1177"/>
      <c r="N133" s="1177"/>
      <c r="O133" s="1040" t="s">
        <v>5221</v>
      </c>
      <c r="P133" s="1177" t="s">
        <v>5345</v>
      </c>
      <c r="Q133" s="1391" t="str">
        <f>IFERROR(VLOOKUP(O133,CARGOS!A:E,2,0),"")</f>
        <v>79512</v>
      </c>
      <c r="R133" s="1403" t="s">
        <v>5221</v>
      </c>
      <c r="S133" s="1192" t="s">
        <v>5493</v>
      </c>
      <c r="T133" s="1150">
        <f>IFERROR(VLOOKUP(S133,'TAB EMP'!A:B,2,0),0)</f>
        <v>170</v>
      </c>
      <c r="U133" s="1151">
        <v>0</v>
      </c>
      <c r="V133" s="1150">
        <f t="shared" si="288"/>
        <v>170</v>
      </c>
      <c r="W133" s="1151">
        <f t="shared" si="289"/>
        <v>85</v>
      </c>
      <c r="X133" s="1180" t="s">
        <v>2884</v>
      </c>
      <c r="Y133" s="1180"/>
      <c r="Z133" s="1180">
        <v>0</v>
      </c>
      <c r="AA133" s="1150">
        <f>ROUND(IF(H133&lt;&gt;"",VLOOKUP(SUM(I133+J133),'CONCEPTOS Y PARAMETROS'!F:G,2,0)*V133,0),2)</f>
        <v>10.54</v>
      </c>
      <c r="AB133" s="1150">
        <f>IF(S133&lt;&gt;"",IF(M133="",'CONCEPTOS Y PARAMETROS'!$C$4,0),0)</f>
        <v>130</v>
      </c>
      <c r="AC133" s="1150">
        <f>IF(S133&lt;&gt;"",IF(M133="",'CONCEPTOS Y PARAMETROS'!$C$7*Z133,0),0)</f>
        <v>0</v>
      </c>
      <c r="AD133" s="1150">
        <f>IFERROR(ROUND(VLOOKUP($X133,'CONCEPTOS Y PARAMETROS'!H:I,2,0)*($V133+AA133+AB133+AC133),2),0)</f>
        <v>0</v>
      </c>
      <c r="AE133" s="1150">
        <f t="shared" si="285"/>
        <v>140.54</v>
      </c>
      <c r="AF133" s="1150">
        <f t="shared" si="290"/>
        <v>5.27</v>
      </c>
      <c r="AG133" s="1150">
        <f t="shared" si="291"/>
        <v>5.27</v>
      </c>
      <c r="AH133" s="1150">
        <f t="shared" si="292"/>
        <v>65</v>
      </c>
      <c r="AI133" s="1150">
        <f t="shared" si="293"/>
        <v>65</v>
      </c>
      <c r="AJ133" s="1150">
        <f t="shared" si="294"/>
        <v>0</v>
      </c>
      <c r="AK133" s="1150">
        <f t="shared" si="295"/>
        <v>0</v>
      </c>
      <c r="AL133" s="1151">
        <f t="shared" si="296"/>
        <v>70.27</v>
      </c>
      <c r="AM133" s="1151">
        <f t="shared" si="297"/>
        <v>70.27</v>
      </c>
      <c r="AN133" s="1028">
        <v>0</v>
      </c>
      <c r="AO133" s="1193">
        <f>'CONCEPTOS Y PARAMETROS'!$C$18*AN133</f>
        <v>0</v>
      </c>
      <c r="AP133" s="1028">
        <v>0</v>
      </c>
      <c r="AQ133" s="1193">
        <f>'CONCEPTOS Y PARAMETROS'!$C$21*AP133</f>
        <v>0</v>
      </c>
      <c r="AR133" s="1394">
        <v>0</v>
      </c>
      <c r="AS133" s="1394">
        <v>0</v>
      </c>
      <c r="AT133" s="1394">
        <f t="shared" si="286"/>
        <v>0</v>
      </c>
      <c r="AU133" s="1151">
        <f t="shared" si="298"/>
        <v>403.69999999999993</v>
      </c>
      <c r="AV133" s="1178" t="s">
        <v>5080</v>
      </c>
      <c r="AW133" s="1151">
        <f t="shared" si="299"/>
        <v>93.16</v>
      </c>
      <c r="AX133" s="1150">
        <f>IF(T133&lt;&gt;"0",(ROUND(IF(A133="EMPLEADO",eval_formula('CONCEPTOS Y PARAMETROS'!$C$8,NOMINA!V133,NOMINA!$AU133,NOMINA!I133+NOMINA!J133),eval_formula('CONCEPTOS Y PARAMETROS'!$D$8,NOMINA!V133,NOMINA!$AU133,NOMINA!I133+NOMINA!J133)),2))*IF(H133&lt;&gt;"",IF(MONTH(H133)=$BR$8,IF(YEAR(H133)&lt;$BT$7,1,0),0)))</f>
        <v>0</v>
      </c>
      <c r="AY133" s="1151">
        <v>180</v>
      </c>
      <c r="AZ133" s="1150">
        <f>IFERROR(VLOOKUP(AY133,'CONCEPTOS Y PARAMETROS'!Y:Z,2,0),0)</f>
        <v>150</v>
      </c>
      <c r="BA133" s="1150">
        <f t="shared" si="300"/>
        <v>3027.75</v>
      </c>
      <c r="BB133" s="1150">
        <f t="shared" si="287"/>
        <v>0</v>
      </c>
      <c r="BC133" s="1028">
        <v>0</v>
      </c>
      <c r="BD133" s="1150" t="str">
        <f t="shared" si="301"/>
        <v>0</v>
      </c>
      <c r="BE133" s="1028">
        <v>5</v>
      </c>
      <c r="BF133" s="1150">
        <f t="shared" si="334"/>
        <v>100.93</v>
      </c>
      <c r="BG133" s="1151">
        <v>300</v>
      </c>
      <c r="BH133" s="1151">
        <f t="shared" si="261"/>
        <v>0</v>
      </c>
      <c r="BI133" s="1180">
        <v>0</v>
      </c>
      <c r="BJ133" s="1180">
        <f t="shared" si="262"/>
        <v>0</v>
      </c>
      <c r="BK133" s="1151">
        <v>0</v>
      </c>
      <c r="BL133" s="1150">
        <f t="shared" si="329"/>
        <v>14.91</v>
      </c>
      <c r="BM133" s="1150">
        <f t="shared" si="330"/>
        <v>1.86</v>
      </c>
      <c r="BN133" s="1150">
        <f t="shared" si="263"/>
        <v>4.04</v>
      </c>
      <c r="BO133" s="1150">
        <v>0</v>
      </c>
      <c r="BP133" s="1150">
        <v>0</v>
      </c>
      <c r="BQ133" s="1396">
        <f t="shared" si="302"/>
        <v>20.81</v>
      </c>
      <c r="BR133" s="1150">
        <f t="shared" si="331"/>
        <v>33.54</v>
      </c>
      <c r="BS133" s="1150">
        <f t="shared" si="332"/>
        <v>7.45</v>
      </c>
      <c r="BT133" s="1150">
        <f t="shared" si="264"/>
        <v>8.08</v>
      </c>
      <c r="BU133" s="1150">
        <v>0</v>
      </c>
      <c r="BV133" s="1151">
        <f t="shared" si="303"/>
        <v>49.07</v>
      </c>
      <c r="BW133" s="1155">
        <f t="shared" si="304"/>
        <v>69.88</v>
      </c>
      <c r="BX133" s="1155">
        <f t="shared" si="333"/>
        <v>756.94</v>
      </c>
      <c r="BY133" s="1151">
        <v>0</v>
      </c>
      <c r="BZ133" s="1151">
        <f t="shared" si="265"/>
        <v>756.94</v>
      </c>
      <c r="CA133" s="1397">
        <f>'CONCEPTOS Y PARAMETROS'!$A$102</f>
        <v>2120</v>
      </c>
      <c r="CB133" s="1155">
        <f t="shared" si="266"/>
        <v>134.45999999999998</v>
      </c>
      <c r="CC133" s="1156">
        <f t="shared" si="267"/>
        <v>649.36</v>
      </c>
      <c r="CD133" s="514"/>
      <c r="CE133" s="514"/>
      <c r="CF133" s="520"/>
      <c r="CG133" s="497">
        <f t="shared" si="268"/>
        <v>134.45999999999998</v>
      </c>
      <c r="CH133" s="1711">
        <f t="shared" si="269"/>
        <v>300</v>
      </c>
      <c r="CI133" s="497">
        <f t="shared" si="270"/>
        <v>455.27</v>
      </c>
      <c r="CJ133" s="497">
        <f t="shared" si="271"/>
        <v>455.27</v>
      </c>
      <c r="CK133" s="497">
        <f t="shared" si="272"/>
        <v>0</v>
      </c>
      <c r="CL133" s="497">
        <f t="shared" si="273"/>
        <v>0</v>
      </c>
      <c r="CM133" s="497">
        <f t="shared" si="274"/>
        <v>0</v>
      </c>
      <c r="CN133" s="498">
        <f t="shared" si="275"/>
        <v>100.93</v>
      </c>
      <c r="CO133" s="499">
        <v>0</v>
      </c>
      <c r="CP133" s="498">
        <f t="shared" si="276"/>
        <v>93.16</v>
      </c>
      <c r="CQ133" s="500">
        <f t="shared" si="277"/>
        <v>0</v>
      </c>
      <c r="CR133" s="498">
        <f t="shared" si="278"/>
        <v>0</v>
      </c>
      <c r="CS133" s="498">
        <f t="shared" si="279"/>
        <v>194.09</v>
      </c>
      <c r="CT133" s="498">
        <f t="shared" si="280"/>
        <v>69.88</v>
      </c>
      <c r="CU133" s="498">
        <f t="shared" si="281"/>
        <v>2120</v>
      </c>
      <c r="CV133" s="1554"/>
      <c r="CW133" s="1195" t="s">
        <v>7091</v>
      </c>
      <c r="CX133" s="1195" t="s">
        <v>7266</v>
      </c>
      <c r="CY133" s="472"/>
      <c r="CZ133" s="514" t="s">
        <v>6245</v>
      </c>
      <c r="DA133" s="514" t="s">
        <v>6173</v>
      </c>
      <c r="DB133" s="514" t="s">
        <v>6185</v>
      </c>
      <c r="DC133" s="514" t="s">
        <v>6613</v>
      </c>
      <c r="DD133" s="514"/>
      <c r="DE133" s="514"/>
      <c r="DF133" s="472"/>
      <c r="DG133" s="472"/>
      <c r="DH133" s="472"/>
      <c r="DJ133" s="473" t="str">
        <f>VLOOKUP(X133,Hoja1!$A$4:$B$10,2,0)</f>
        <v>BACHILLER</v>
      </c>
      <c r="DK133" s="473" t="str">
        <f>VLOOKUP(S133,Hoja1!$D$4:$F$77,3,0)</f>
        <v>BIII - III</v>
      </c>
      <c r="DL133" s="1216" t="str">
        <f t="shared" si="282"/>
        <v>SI</v>
      </c>
      <c r="DM133" s="1741" t="str">
        <f t="shared" si="283"/>
        <v>F</v>
      </c>
      <c r="DN133" s="1741"/>
    </row>
    <row r="134" spans="1:118" s="930" customFormat="1" ht="21.95" customHeight="1">
      <c r="A134" s="929" t="s">
        <v>2846</v>
      </c>
      <c r="B134" s="1404">
        <f ca="1">OFFSET(B134,-1,0)+1</f>
        <v>92</v>
      </c>
      <c r="C134" s="1405">
        <v>13462933</v>
      </c>
      <c r="D134" s="1406" t="s">
        <v>4672</v>
      </c>
      <c r="E134" s="1407" t="s">
        <v>4622</v>
      </c>
      <c r="F134" s="1408">
        <v>28469</v>
      </c>
      <c r="G134" s="1407" t="s">
        <v>4620</v>
      </c>
      <c r="H134" s="1408">
        <v>39454</v>
      </c>
      <c r="I134" s="1409">
        <f t="shared" si="259"/>
        <v>17</v>
      </c>
      <c r="J134" s="1410">
        <v>6</v>
      </c>
      <c r="K134" s="1409">
        <f t="shared" si="260"/>
        <v>23</v>
      </c>
      <c r="L134" s="1411" t="s">
        <v>5556</v>
      </c>
      <c r="M134" s="1410"/>
      <c r="N134" s="1410"/>
      <c r="O134" s="1412" t="s">
        <v>5495</v>
      </c>
      <c r="P134" s="1410" t="s">
        <v>5193</v>
      </c>
      <c r="Q134" s="1413" t="str">
        <f>IFERROR(VLOOKUP(O134,CARGOS!A:E,2,0),"")</f>
        <v>12130</v>
      </c>
      <c r="R134" s="1412" t="s">
        <v>5495</v>
      </c>
      <c r="S134" s="1414" t="s">
        <v>5484</v>
      </c>
      <c r="T134" s="1415">
        <v>0</v>
      </c>
      <c r="U134" s="1382">
        <v>0</v>
      </c>
      <c r="V134" s="1415">
        <f>T134-U134</f>
        <v>0</v>
      </c>
      <c r="W134" s="1382">
        <f>ROUND(V134/2,2)</f>
        <v>0</v>
      </c>
      <c r="X134" s="1407" t="s">
        <v>2844</v>
      </c>
      <c r="Y134" s="1407"/>
      <c r="Z134" s="1407">
        <v>0</v>
      </c>
      <c r="AA134" s="1415">
        <f>ROUND(IF(H134&lt;&gt;"",VLOOKUP(SUM(I134+J134),'CONCEPTOS Y PARAMETROS'!F:G,2,0)*V134,0),2)</f>
        <v>0</v>
      </c>
      <c r="AB134" s="1415">
        <v>0</v>
      </c>
      <c r="AC134" s="1415">
        <v>0</v>
      </c>
      <c r="AD134" s="1415">
        <f>IFERROR(ROUND(VLOOKUP($X134,'CONCEPTOS Y PARAMETROS'!H:I,2,0)*($V134+AA134+AB134+AC134),2),0)</f>
        <v>0</v>
      </c>
      <c r="AE134" s="1415">
        <f>SUM(AA134:AD134)</f>
        <v>0</v>
      </c>
      <c r="AF134" s="1415">
        <f>ROUND(AA134/2,2)</f>
        <v>0</v>
      </c>
      <c r="AG134" s="1415">
        <f>ROUND(AA134-AF134,2)</f>
        <v>0</v>
      </c>
      <c r="AH134" s="1415">
        <f>ROUND(AB134/2,2)</f>
        <v>0</v>
      </c>
      <c r="AI134" s="1415">
        <f>ROUND(AB134-AH134,2)</f>
        <v>0</v>
      </c>
      <c r="AJ134" s="1415">
        <f>ROUND(AD134/2,2)</f>
        <v>0</v>
      </c>
      <c r="AK134" s="1415">
        <f>ROUND(AD134-AJ134,2)</f>
        <v>0</v>
      </c>
      <c r="AL134" s="1382">
        <f>ROUND(AF134+AH134+AJ134+AC134,2)</f>
        <v>0</v>
      </c>
      <c r="AM134" s="1382">
        <f>ROUND(AG134+AI134+AK134,2)</f>
        <v>0</v>
      </c>
      <c r="AN134" s="1416">
        <v>0</v>
      </c>
      <c r="AO134" s="1417">
        <v>0</v>
      </c>
      <c r="AP134" s="1416">
        <v>0</v>
      </c>
      <c r="AQ134" s="1417">
        <f>'CONCEPTOS Y PARAMETROS'!$C$21*AP134</f>
        <v>0</v>
      </c>
      <c r="AR134" s="1418">
        <v>0</v>
      </c>
      <c r="AS134" s="1418">
        <v>0</v>
      </c>
      <c r="AT134" s="1418">
        <f>+AO134+AQ134+AR134+AS134</f>
        <v>0</v>
      </c>
      <c r="AU134" s="1382">
        <f>V134+AE134+AW134</f>
        <v>0</v>
      </c>
      <c r="AV134" s="1419">
        <v>0</v>
      </c>
      <c r="AW134" s="1382">
        <f>ROUND(IF(O134="VIGILANTE",(V134+AE134)*30%,0),2)</f>
        <v>0</v>
      </c>
      <c r="AX134" s="1415">
        <f>IF(T134&lt;&gt;"0",(ROUND(IF(A134="EMPLEADO",eval_formula('CONCEPTOS Y PARAMETROS'!$C$8,NOMINA!V134,NOMINA!$AU134,NOMINA!I134+NOMINA!J134),eval_formula('CONCEPTOS Y PARAMETROS'!$D$8,NOMINA!V134,NOMINA!$AU134,NOMINA!I134+NOMINA!J134)),2))*IF(H134&lt;&gt;"",IF(MONTH(H134)=$BR$8,IF(YEAR(H134)&lt;$BT$7,1,0),0)))</f>
        <v>0</v>
      </c>
      <c r="AY134" s="1382">
        <v>180</v>
      </c>
      <c r="AZ134" s="1415">
        <f>IFERROR(VLOOKUP(AY134,'CONCEPTOS Y PARAMETROS'!Y:Z,2,0),0)</f>
        <v>150</v>
      </c>
      <c r="BA134" s="1415">
        <f>ROUND((((AU134))/30*AY134/12+(AU134))/30*AZ134,2)</f>
        <v>0</v>
      </c>
      <c r="BB134" s="1415">
        <f t="shared" si="287"/>
        <v>0</v>
      </c>
      <c r="BC134" s="1416">
        <v>0</v>
      </c>
      <c r="BD134" s="1415" t="str">
        <f>IF(BC134&gt;0,((((((V134+AA134+AB134+AC134+AD134)/30)/8)*50%)+((((V134+AA134+AB134+AC134+AD134)/30)/8)))*30%+(((((V134+AA134+AB134+AC134+AD134)/30)/8)*50%)+((((V134+AA134+AB134+AC134+AD134)/30)/8))))*BC134,"0")</f>
        <v>0</v>
      </c>
      <c r="BE134" s="1416">
        <v>0</v>
      </c>
      <c r="BF134" s="1415">
        <f t="shared" si="334"/>
        <v>0</v>
      </c>
      <c r="BG134" s="1382">
        <v>0</v>
      </c>
      <c r="BH134" s="1382">
        <f t="shared" si="261"/>
        <v>0</v>
      </c>
      <c r="BI134" s="1382">
        <v>0</v>
      </c>
      <c r="BJ134" s="1382">
        <f t="shared" si="262"/>
        <v>0</v>
      </c>
      <c r="BK134" s="1382">
        <v>0</v>
      </c>
      <c r="BL134" s="1415">
        <f t="shared" si="329"/>
        <v>0</v>
      </c>
      <c r="BM134" s="1415">
        <f t="shared" si="330"/>
        <v>0</v>
      </c>
      <c r="BN134" s="1415">
        <f t="shared" si="263"/>
        <v>0</v>
      </c>
      <c r="BO134" s="1415">
        <v>0</v>
      </c>
      <c r="BP134" s="1415">
        <v>0</v>
      </c>
      <c r="BQ134" s="1420">
        <f>ROUND(SUM(BL134:BP134),2)</f>
        <v>0</v>
      </c>
      <c r="BR134" s="1415">
        <f t="shared" si="331"/>
        <v>0</v>
      </c>
      <c r="BS134" s="1415">
        <f t="shared" si="332"/>
        <v>0</v>
      </c>
      <c r="BT134" s="1415">
        <f t="shared" si="264"/>
        <v>0</v>
      </c>
      <c r="BU134" s="1415">
        <v>0</v>
      </c>
      <c r="BV134" s="1382">
        <f>ROUND(SUM(BR134:BT134),2)</f>
        <v>0</v>
      </c>
      <c r="BW134" s="1379">
        <f>BQ134+BV134</f>
        <v>0</v>
      </c>
      <c r="BX134" s="1379">
        <f t="shared" si="333"/>
        <v>0</v>
      </c>
      <c r="BY134" s="1382">
        <v>0</v>
      </c>
      <c r="BZ134" s="1382">
        <f t="shared" si="265"/>
        <v>0</v>
      </c>
      <c r="CA134" s="1421">
        <v>0</v>
      </c>
      <c r="CB134" s="1379">
        <f t="shared" si="266"/>
        <v>0</v>
      </c>
      <c r="CC134" s="1422">
        <f t="shared" si="267"/>
        <v>0</v>
      </c>
      <c r="CD134" s="514"/>
      <c r="CE134" s="514"/>
      <c r="CG134" s="931">
        <f t="shared" si="268"/>
        <v>0</v>
      </c>
      <c r="CH134" s="1714">
        <f t="shared" si="269"/>
        <v>0</v>
      </c>
      <c r="CI134" s="931">
        <f t="shared" si="270"/>
        <v>0</v>
      </c>
      <c r="CJ134" s="931">
        <f t="shared" si="271"/>
        <v>0</v>
      </c>
      <c r="CK134" s="931">
        <f t="shared" si="272"/>
        <v>0</v>
      </c>
      <c r="CL134" s="931">
        <f t="shared" si="273"/>
        <v>0</v>
      </c>
      <c r="CM134" s="931">
        <f t="shared" si="274"/>
        <v>0</v>
      </c>
      <c r="CN134" s="932">
        <f t="shared" si="275"/>
        <v>0</v>
      </c>
      <c r="CO134" s="933">
        <v>0</v>
      </c>
      <c r="CP134" s="932">
        <f t="shared" si="276"/>
        <v>0</v>
      </c>
      <c r="CQ134" s="934">
        <f t="shared" si="277"/>
        <v>0</v>
      </c>
      <c r="CR134" s="932">
        <f t="shared" si="278"/>
        <v>0</v>
      </c>
      <c r="CS134" s="932">
        <f t="shared" si="279"/>
        <v>0</v>
      </c>
      <c r="CT134" s="932">
        <f t="shared" si="280"/>
        <v>0</v>
      </c>
      <c r="CU134" s="932">
        <f t="shared" si="281"/>
        <v>0</v>
      </c>
      <c r="CV134" s="1557"/>
      <c r="CW134" s="1406" t="s">
        <v>6934</v>
      </c>
      <c r="CX134" s="1406" t="s">
        <v>6935</v>
      </c>
      <c r="CY134" s="935"/>
      <c r="CZ134" s="514" t="s">
        <v>6179</v>
      </c>
      <c r="DA134" s="478"/>
      <c r="DB134" s="478"/>
      <c r="DC134" s="478"/>
      <c r="DD134" s="514"/>
      <c r="DE134" s="514"/>
      <c r="DF134" s="935"/>
      <c r="DG134" s="935"/>
      <c r="DH134" s="935"/>
      <c r="DJ134" s="930" t="str">
        <f>VLOOKUP(X134,Hoja1!$A$4:$B$10,2,0)</f>
        <v>TÉCNICO SUPERIOR UNIVERSITARIO</v>
      </c>
      <c r="DK134" s="930" t="str">
        <f>VLOOKUP(S134,Hoja1!$D$4:$F$77,3,0)</f>
        <v>TII - VII</v>
      </c>
      <c r="DL134" s="1217" t="str">
        <f t="shared" si="282"/>
        <v>0</v>
      </c>
      <c r="DM134" s="1745" t="str">
        <f t="shared" si="283"/>
        <v>F</v>
      </c>
      <c r="DN134" s="1745"/>
    </row>
    <row r="135" spans="1:118" s="1654" customFormat="1" ht="21.95" customHeight="1">
      <c r="A135" s="1624" t="s">
        <v>2846</v>
      </c>
      <c r="B135" s="1625">
        <f ca="1">OFFSET(B135,-1,0)+1</f>
        <v>93</v>
      </c>
      <c r="C135" s="1626">
        <v>13462511</v>
      </c>
      <c r="D135" s="1627" t="s">
        <v>4673</v>
      </c>
      <c r="E135" s="1628" t="s">
        <v>4622</v>
      </c>
      <c r="F135" s="1660">
        <v>28721</v>
      </c>
      <c r="G135" s="1628" t="s">
        <v>4620</v>
      </c>
      <c r="H135" s="1660">
        <v>43738</v>
      </c>
      <c r="I135" s="1630">
        <f t="shared" si="259"/>
        <v>5</v>
      </c>
      <c r="J135" s="1631">
        <v>8</v>
      </c>
      <c r="K135" s="1630">
        <f t="shared" si="260"/>
        <v>13</v>
      </c>
      <c r="L135" s="1632" t="s">
        <v>5536</v>
      </c>
      <c r="M135" s="1631"/>
      <c r="N135" s="1631"/>
      <c r="O135" s="1633" t="s">
        <v>3628</v>
      </c>
      <c r="P135" s="1631" t="s">
        <v>5194</v>
      </c>
      <c r="Q135" s="1634" t="str">
        <f>IFERROR(VLOOKUP(O135,CARGOS!A:E,2,0),"")</f>
        <v>85321</v>
      </c>
      <c r="R135" s="1661" t="s">
        <v>5216</v>
      </c>
      <c r="S135" s="1636" t="s">
        <v>5884</v>
      </c>
      <c r="T135" s="1637">
        <f>IFERROR(VLOOKUP(S135,'TAB EMP'!A:B,2,0),0)</f>
        <v>312</v>
      </c>
      <c r="U135" s="1638">
        <v>0</v>
      </c>
      <c r="V135" s="1637">
        <f>T135-U135</f>
        <v>312</v>
      </c>
      <c r="W135" s="1638">
        <f>ROUND(V135/2,2)</f>
        <v>156</v>
      </c>
      <c r="X135" s="1628" t="s">
        <v>2887</v>
      </c>
      <c r="Y135" s="1628"/>
      <c r="Z135" s="1628">
        <v>1</v>
      </c>
      <c r="AA135" s="1637">
        <f>ROUND(IF(H135&lt;&gt;"",VLOOKUP(SUM(I135+J135),'CONCEPTOS Y PARAMETROS'!F:G,2,0)*V135,0),2)</f>
        <v>47.42</v>
      </c>
      <c r="AB135" s="1637">
        <f>IF(S135&lt;&gt;"",IF(M135="",'CONCEPTOS Y PARAMETROS'!$C$4,0),0)</f>
        <v>130</v>
      </c>
      <c r="AC135" s="1637">
        <f>IF(S135&lt;&gt;"",IF(M135="",'CONCEPTOS Y PARAMETROS'!$C$7*Z135,0),0)</f>
        <v>12.5</v>
      </c>
      <c r="AD135" s="1637">
        <f>IFERROR(ROUND(VLOOKUP($X135,'CONCEPTOS Y PARAMETROS'!H:I,2,0)*($V135+AA135+AB135+AC135),2),0)</f>
        <v>175.67</v>
      </c>
      <c r="AE135" s="1637">
        <f>SUM(AA135:AD135)</f>
        <v>365.59000000000003</v>
      </c>
      <c r="AF135" s="1637">
        <f>ROUND(AA135/2,2)</f>
        <v>23.71</v>
      </c>
      <c r="AG135" s="1637">
        <f>ROUND(AA135-AF135,2)</f>
        <v>23.71</v>
      </c>
      <c r="AH135" s="1637">
        <f>ROUND(AB135/2,2)</f>
        <v>65</v>
      </c>
      <c r="AI135" s="1637">
        <f>ROUND(AB135-AH135,2)</f>
        <v>65</v>
      </c>
      <c r="AJ135" s="1637">
        <f>ROUND(AD135/2,2)</f>
        <v>87.84</v>
      </c>
      <c r="AK135" s="1637">
        <f>ROUND(AD135-AJ135,2)</f>
        <v>87.83</v>
      </c>
      <c r="AL135" s="1638">
        <f>ROUND(AF135+AH135+AJ135+AC135,2)</f>
        <v>189.05</v>
      </c>
      <c r="AM135" s="1638">
        <f>ROUND(AG135+AI135+AK135,2)</f>
        <v>176.54</v>
      </c>
      <c r="AN135" s="1639">
        <v>0</v>
      </c>
      <c r="AO135" s="1640">
        <f>'CONCEPTOS Y PARAMETROS'!$C$18*AN135</f>
        <v>0</v>
      </c>
      <c r="AP135" s="1639">
        <v>0</v>
      </c>
      <c r="AQ135" s="1640">
        <f>'CONCEPTOS Y PARAMETROS'!$C$21*AP135</f>
        <v>0</v>
      </c>
      <c r="AR135" s="1641">
        <v>0</v>
      </c>
      <c r="AS135" s="1641">
        <v>0</v>
      </c>
      <c r="AT135" s="1641">
        <f>+AO135+AQ135+AR135+AS135</f>
        <v>0</v>
      </c>
      <c r="AU135" s="1638">
        <f>V135+AE135+AW135</f>
        <v>677.59</v>
      </c>
      <c r="AV135" s="1642">
        <v>0</v>
      </c>
      <c r="AW135" s="1638">
        <f>ROUND(IF(O135="VIGILANTE",(V135+AE135)*30%,0),2)</f>
        <v>0</v>
      </c>
      <c r="AX135" s="1637">
        <f>IF(T135&lt;&gt;"0",(ROUND(IF(A135="EMPLEADO",eval_formula('CONCEPTOS Y PARAMETROS'!$C$8,NOMINA!V135,NOMINA!$AU135,NOMINA!I135+NOMINA!J135),eval_formula('CONCEPTOS Y PARAMETROS'!$D$8,NOMINA!V135,NOMINA!$AU135,NOMINA!I135+NOMINA!J135)),2))*IF(H135&lt;&gt;"",IF(MONTH(H135)=$BR$8,IF(YEAR(H135)&lt;$BT$7,1,0),0)))</f>
        <v>0</v>
      </c>
      <c r="AY135" s="1638">
        <v>180</v>
      </c>
      <c r="AZ135" s="1637">
        <f>IFERROR(VLOOKUP(AY135,'CONCEPTOS Y PARAMETROS'!Y:Z,2,0),0)</f>
        <v>150</v>
      </c>
      <c r="BA135" s="1637">
        <f>ROUND((((AU135))/30*AY135/12+(AU135))/30*AZ135,2)</f>
        <v>5081.93</v>
      </c>
      <c r="BB135" s="1637">
        <f t="shared" si="287"/>
        <v>0</v>
      </c>
      <c r="BC135" s="1639">
        <v>0</v>
      </c>
      <c r="BD135" s="1637" t="str">
        <f>IF(BC135&gt;0,((((((V135+AA135+AB135+AC135+AD135)/30)/8)*50%)+((((V135+AA135+AB135+AC135+AD135)/30)/8)))*30%+(((((V135+AA135+AB135+AC135+AD135)/30)/8)*50%)+((((V135+AA135+AB135+AC135+AD135)/30)/8))))*BC135,"0")</f>
        <v>0</v>
      </c>
      <c r="BE135" s="1639">
        <v>0</v>
      </c>
      <c r="BF135" s="1637">
        <f t="shared" si="334"/>
        <v>0</v>
      </c>
      <c r="BG135" s="1638">
        <v>300</v>
      </c>
      <c r="BH135" s="1638">
        <f t="shared" si="261"/>
        <v>0</v>
      </c>
      <c r="BI135" s="1638">
        <v>0</v>
      </c>
      <c r="BJ135" s="1638">
        <f t="shared" si="262"/>
        <v>0</v>
      </c>
      <c r="BK135" s="1638">
        <v>0</v>
      </c>
      <c r="BL135" s="1637">
        <f t="shared" si="329"/>
        <v>25.02</v>
      </c>
      <c r="BM135" s="1637">
        <f t="shared" si="330"/>
        <v>3.13</v>
      </c>
      <c r="BN135" s="1637">
        <f t="shared" si="263"/>
        <v>6.78</v>
      </c>
      <c r="BO135" s="1637">
        <v>0</v>
      </c>
      <c r="BP135" s="1637">
        <v>0</v>
      </c>
      <c r="BQ135" s="1643">
        <f>ROUND(SUM(BL135:BP135),2)</f>
        <v>34.93</v>
      </c>
      <c r="BR135" s="1637">
        <f t="shared" si="331"/>
        <v>56.29</v>
      </c>
      <c r="BS135" s="1637">
        <f t="shared" si="332"/>
        <v>12.51</v>
      </c>
      <c r="BT135" s="1637">
        <f t="shared" si="264"/>
        <v>13.56</v>
      </c>
      <c r="BU135" s="1637">
        <v>0</v>
      </c>
      <c r="BV135" s="1638">
        <f>ROUND(SUM(BR135:BT135),2)</f>
        <v>82.36</v>
      </c>
      <c r="BW135" s="1644">
        <f>BQ135+BV135</f>
        <v>117.28999999999999</v>
      </c>
      <c r="BX135" s="1644">
        <f t="shared" si="333"/>
        <v>1270.48</v>
      </c>
      <c r="BY135" s="1638">
        <v>0</v>
      </c>
      <c r="BZ135" s="1638">
        <f t="shared" si="265"/>
        <v>1270.48</v>
      </c>
      <c r="CA135" s="1645">
        <f>'CONCEPTOS Y PARAMETROS'!$A$102</f>
        <v>2120</v>
      </c>
      <c r="CB135" s="1644">
        <f t="shared" si="266"/>
        <v>310.12</v>
      </c>
      <c r="CC135" s="1646">
        <f t="shared" si="267"/>
        <v>632.54</v>
      </c>
      <c r="CD135" s="1647"/>
      <c r="CE135" s="1647"/>
      <c r="CG135" s="1649">
        <f t="shared" si="268"/>
        <v>310.12</v>
      </c>
      <c r="CH135" s="1713">
        <f t="shared" si="269"/>
        <v>300</v>
      </c>
      <c r="CI135" s="1649">
        <f t="shared" si="270"/>
        <v>632.54</v>
      </c>
      <c r="CJ135" s="1649">
        <f t="shared" si="271"/>
        <v>303.62</v>
      </c>
      <c r="CK135" s="1649">
        <f t="shared" si="272"/>
        <v>328.91999999999996</v>
      </c>
      <c r="CL135" s="1649">
        <f t="shared" si="273"/>
        <v>0</v>
      </c>
      <c r="CM135" s="1649">
        <f t="shared" si="274"/>
        <v>0</v>
      </c>
      <c r="CN135" s="1650">
        <f t="shared" si="275"/>
        <v>0</v>
      </c>
      <c r="CO135" s="1651">
        <v>0</v>
      </c>
      <c r="CP135" s="1650">
        <f t="shared" si="276"/>
        <v>0</v>
      </c>
      <c r="CQ135" s="1652">
        <f t="shared" si="277"/>
        <v>0</v>
      </c>
      <c r="CR135" s="1650">
        <f t="shared" si="278"/>
        <v>0</v>
      </c>
      <c r="CS135" s="1650">
        <f t="shared" si="279"/>
        <v>0</v>
      </c>
      <c r="CT135" s="1650">
        <f t="shared" si="280"/>
        <v>117.28999999999999</v>
      </c>
      <c r="CU135" s="1650">
        <f t="shared" si="281"/>
        <v>2120</v>
      </c>
      <c r="CV135" s="1653"/>
      <c r="CW135" s="1627" t="s">
        <v>7035</v>
      </c>
      <c r="CX135" s="1627" t="s">
        <v>6978</v>
      </c>
      <c r="CY135" s="1647"/>
      <c r="CZ135" s="1647" t="s">
        <v>6183</v>
      </c>
      <c r="DA135" s="1662" t="s">
        <v>6192</v>
      </c>
      <c r="DB135" s="1662" t="s">
        <v>6299</v>
      </c>
      <c r="DC135" s="1662" t="s">
        <v>6634</v>
      </c>
      <c r="DD135" s="1647"/>
      <c r="DE135" s="1647"/>
      <c r="DF135" s="1647"/>
      <c r="DG135" s="1647"/>
      <c r="DH135" s="1647"/>
      <c r="DJ135" s="1654" t="str">
        <f>VLOOKUP(X135,Hoja1!$A$4:$B$10,2,0)</f>
        <v>MAGISTER</v>
      </c>
      <c r="DK135" s="1654" t="str">
        <f>VLOOKUP(S135,Hoja1!$D$4:$F$77,3,0)</f>
        <v>PIII - V</v>
      </c>
      <c r="DL135" s="1655" t="str">
        <f t="shared" si="282"/>
        <v>0</v>
      </c>
      <c r="DM135" s="1742" t="str">
        <f t="shared" si="283"/>
        <v>F</v>
      </c>
      <c r="DN135" s="1742"/>
    </row>
    <row r="136" spans="1:118" s="1654" customFormat="1" ht="21.95" customHeight="1">
      <c r="A136" s="1624" t="s">
        <v>2846</v>
      </c>
      <c r="B136" s="1625">
        <f t="shared" ca="1" si="144"/>
        <v>94</v>
      </c>
      <c r="C136" s="1626">
        <v>13522518</v>
      </c>
      <c r="D136" s="1627" t="s">
        <v>4773</v>
      </c>
      <c r="E136" s="1628" t="s">
        <v>4622</v>
      </c>
      <c r="F136" s="1629">
        <v>25580</v>
      </c>
      <c r="G136" s="1628" t="s">
        <v>4621</v>
      </c>
      <c r="H136" s="1629">
        <v>43739</v>
      </c>
      <c r="I136" s="1630">
        <f t="shared" si="259"/>
        <v>5</v>
      </c>
      <c r="J136" s="1631">
        <v>0</v>
      </c>
      <c r="K136" s="1630">
        <f t="shared" si="260"/>
        <v>5</v>
      </c>
      <c r="L136" s="1632" t="s">
        <v>5558</v>
      </c>
      <c r="M136" s="1631"/>
      <c r="N136" s="1631"/>
      <c r="O136" s="1633" t="s">
        <v>7424</v>
      </c>
      <c r="P136" s="1631" t="s">
        <v>5346</v>
      </c>
      <c r="Q136" s="1634" t="str">
        <f>IFERROR(VLOOKUP(O136,CARGOS!A:E,2,0),"")</f>
        <v>25212</v>
      </c>
      <c r="R136" s="1635" t="s">
        <v>7424</v>
      </c>
      <c r="S136" s="1636" t="s">
        <v>5490</v>
      </c>
      <c r="T136" s="1637">
        <f>IFERROR(VLOOKUP(S136,'TAB EMP'!A:B,2,0),0)</f>
        <v>150</v>
      </c>
      <c r="U136" s="1638">
        <v>0</v>
      </c>
      <c r="V136" s="1637">
        <f t="shared" si="288"/>
        <v>150</v>
      </c>
      <c r="W136" s="1638">
        <f t="shared" si="289"/>
        <v>75</v>
      </c>
      <c r="X136" s="1628" t="s">
        <v>2884</v>
      </c>
      <c r="Y136" s="1628"/>
      <c r="Z136" s="1628">
        <v>1</v>
      </c>
      <c r="AA136" s="1637">
        <f>ROUND(IF(H136&lt;&gt;"",VLOOKUP(SUM(I136+J136),'CONCEPTOS Y PARAMETROS'!F:G,2,0)*V136,0),2)</f>
        <v>7.5</v>
      </c>
      <c r="AB136" s="1637">
        <f>IF(S136&lt;&gt;"",IF(M136="",'CONCEPTOS Y PARAMETROS'!$C$4,0),0)</f>
        <v>130</v>
      </c>
      <c r="AC136" s="1637">
        <f>IF(S136&lt;&gt;"",IF(M136="",'CONCEPTOS Y PARAMETROS'!$C$7*Z136,0),0)</f>
        <v>12.5</v>
      </c>
      <c r="AD136" s="1637">
        <f>IFERROR(ROUND(VLOOKUP($X136,'CONCEPTOS Y PARAMETROS'!H:I,2,0)*($V136+AA136+AB136+AC136),2),0)</f>
        <v>0</v>
      </c>
      <c r="AE136" s="1637">
        <f t="shared" si="285"/>
        <v>150</v>
      </c>
      <c r="AF136" s="1637">
        <f t="shared" si="290"/>
        <v>3.75</v>
      </c>
      <c r="AG136" s="1637">
        <f t="shared" si="291"/>
        <v>3.75</v>
      </c>
      <c r="AH136" s="1637">
        <f t="shared" si="292"/>
        <v>65</v>
      </c>
      <c r="AI136" s="1637">
        <f t="shared" si="293"/>
        <v>65</v>
      </c>
      <c r="AJ136" s="1637">
        <f t="shared" si="294"/>
        <v>0</v>
      </c>
      <c r="AK136" s="1637">
        <f t="shared" si="295"/>
        <v>0</v>
      </c>
      <c r="AL136" s="1638">
        <f t="shared" si="296"/>
        <v>81.25</v>
      </c>
      <c r="AM136" s="1638">
        <f t="shared" si="297"/>
        <v>68.75</v>
      </c>
      <c r="AN136" s="1583">
        <v>1</v>
      </c>
      <c r="AO136" s="1640">
        <f>'CONCEPTOS Y PARAMETROS'!$C$18*AN136</f>
        <v>12.5</v>
      </c>
      <c r="AP136" s="1639">
        <v>0</v>
      </c>
      <c r="AQ136" s="1640">
        <f>'CONCEPTOS Y PARAMETROS'!$C$21*AP136</f>
        <v>0</v>
      </c>
      <c r="AR136" s="1641">
        <v>0</v>
      </c>
      <c r="AS136" s="1641">
        <v>0</v>
      </c>
      <c r="AT136" s="1641">
        <f t="shared" si="286"/>
        <v>12.5</v>
      </c>
      <c r="AU136" s="1638">
        <f t="shared" si="298"/>
        <v>300</v>
      </c>
      <c r="AV136" s="1642">
        <v>0</v>
      </c>
      <c r="AW136" s="1638">
        <f t="shared" si="299"/>
        <v>0</v>
      </c>
      <c r="AX136" s="1637">
        <f>IF(T136&lt;&gt;"0",(ROUND(IF(A136="EMPLEADO",eval_formula('CONCEPTOS Y PARAMETROS'!$C$8,NOMINA!V136,NOMINA!$AU136,NOMINA!I136+NOMINA!J136),eval_formula('CONCEPTOS Y PARAMETROS'!$D$8,NOMINA!V136,NOMINA!$AU136,NOMINA!I136+NOMINA!J136)),2))*IF(H136&lt;&gt;"",IF(MONTH(H136)=$BR$8,IF(YEAR(H136)&lt;$BT$7,1,0),0)))</f>
        <v>0</v>
      </c>
      <c r="AY136" s="1638">
        <v>180</v>
      </c>
      <c r="AZ136" s="1637">
        <f>IFERROR(VLOOKUP(AY136,'CONCEPTOS Y PARAMETROS'!Y:Z,2,0),0)</f>
        <v>150</v>
      </c>
      <c r="BA136" s="1637">
        <f t="shared" si="300"/>
        <v>2250</v>
      </c>
      <c r="BB136" s="1637">
        <f t="shared" si="287"/>
        <v>0</v>
      </c>
      <c r="BC136" s="1639">
        <v>0</v>
      </c>
      <c r="BD136" s="1637" t="str">
        <f t="shared" si="301"/>
        <v>0</v>
      </c>
      <c r="BE136" s="1639">
        <v>2</v>
      </c>
      <c r="BF136" s="1637">
        <f t="shared" si="334"/>
        <v>30</v>
      </c>
      <c r="BG136" s="1638">
        <v>300</v>
      </c>
      <c r="BH136" s="1638">
        <f t="shared" si="261"/>
        <v>0</v>
      </c>
      <c r="BI136" s="1628">
        <v>0</v>
      </c>
      <c r="BJ136" s="1628">
        <f t="shared" si="262"/>
        <v>0</v>
      </c>
      <c r="BK136" s="1638">
        <v>0</v>
      </c>
      <c r="BL136" s="1637">
        <f t="shared" si="329"/>
        <v>11.08</v>
      </c>
      <c r="BM136" s="1637">
        <f t="shared" si="330"/>
        <v>1.38</v>
      </c>
      <c r="BN136" s="1637">
        <f t="shared" si="263"/>
        <v>3</v>
      </c>
      <c r="BO136" s="1637">
        <v>0</v>
      </c>
      <c r="BP136" s="1637">
        <v>0</v>
      </c>
      <c r="BQ136" s="1643">
        <f t="shared" si="302"/>
        <v>15.46</v>
      </c>
      <c r="BR136" s="1637">
        <f t="shared" si="331"/>
        <v>24.92</v>
      </c>
      <c r="BS136" s="1637">
        <f t="shared" si="332"/>
        <v>5.54</v>
      </c>
      <c r="BT136" s="1637">
        <f t="shared" si="264"/>
        <v>6</v>
      </c>
      <c r="BU136" s="1637">
        <v>0</v>
      </c>
      <c r="BV136" s="1638">
        <f t="shared" si="303"/>
        <v>36.46</v>
      </c>
      <c r="BW136" s="1644">
        <f t="shared" si="304"/>
        <v>51.92</v>
      </c>
      <c r="BX136" s="1644">
        <f t="shared" si="333"/>
        <v>562.5</v>
      </c>
      <c r="BY136" s="1638">
        <v>0</v>
      </c>
      <c r="BZ136" s="1638">
        <f t="shared" si="265"/>
        <v>562.5</v>
      </c>
      <c r="CA136" s="1645">
        <f>'CONCEPTOS Y PARAMETROS'!$A$102</f>
        <v>2120</v>
      </c>
      <c r="CB136" s="1644">
        <f t="shared" si="266"/>
        <v>140.79</v>
      </c>
      <c r="CC136" s="1646">
        <f t="shared" si="267"/>
        <v>486.25</v>
      </c>
      <c r="CD136" s="1647"/>
      <c r="CE136" s="1647"/>
      <c r="CF136" s="1648"/>
      <c r="CG136" s="1649">
        <f t="shared" si="268"/>
        <v>140.79</v>
      </c>
      <c r="CH136" s="1713">
        <f t="shared" si="269"/>
        <v>300</v>
      </c>
      <c r="CI136" s="1649">
        <f t="shared" si="270"/>
        <v>443.75</v>
      </c>
      <c r="CJ136" s="1649">
        <f t="shared" si="271"/>
        <v>443.75</v>
      </c>
      <c r="CK136" s="1649">
        <f t="shared" si="272"/>
        <v>0</v>
      </c>
      <c r="CL136" s="1649">
        <f t="shared" si="273"/>
        <v>0</v>
      </c>
      <c r="CM136" s="1649">
        <f t="shared" si="274"/>
        <v>0</v>
      </c>
      <c r="CN136" s="1650">
        <f t="shared" si="275"/>
        <v>30</v>
      </c>
      <c r="CO136" s="1651">
        <v>0</v>
      </c>
      <c r="CP136" s="1650">
        <f t="shared" si="276"/>
        <v>0</v>
      </c>
      <c r="CQ136" s="1652">
        <f t="shared" si="277"/>
        <v>12.5</v>
      </c>
      <c r="CR136" s="1650">
        <f t="shared" si="278"/>
        <v>0</v>
      </c>
      <c r="CS136" s="1650">
        <f t="shared" si="279"/>
        <v>42.5</v>
      </c>
      <c r="CT136" s="1650">
        <f t="shared" si="280"/>
        <v>51.92</v>
      </c>
      <c r="CU136" s="1650">
        <f t="shared" si="281"/>
        <v>2120</v>
      </c>
      <c r="CV136" s="1653"/>
      <c r="CW136" s="1627" t="s">
        <v>7209</v>
      </c>
      <c r="CX136" s="1627" t="s">
        <v>6944</v>
      </c>
      <c r="CY136" s="1647"/>
      <c r="CZ136" s="1647" t="s">
        <v>6397</v>
      </c>
      <c r="DA136" s="1647" t="s">
        <v>6188</v>
      </c>
      <c r="DB136" s="1647" t="s">
        <v>6170</v>
      </c>
      <c r="DC136" s="1647" t="s">
        <v>6358</v>
      </c>
      <c r="DD136" s="1647"/>
      <c r="DE136" s="1647"/>
      <c r="DF136" s="1647"/>
      <c r="DG136" s="1647"/>
      <c r="DH136" s="1647"/>
      <c r="DJ136" s="1654" t="str">
        <f>VLOOKUP(X136,Hoja1!$A$4:$B$10,2,0)</f>
        <v>BACHILLER</v>
      </c>
      <c r="DK136" s="1654" t="str">
        <f>VLOOKUP(S136,Hoja1!$D$4:$F$77,3,0)</f>
        <v>BII - II</v>
      </c>
      <c r="DL136" s="1655" t="str">
        <f t="shared" si="282"/>
        <v>0</v>
      </c>
      <c r="DM136" s="1742" t="str">
        <f t="shared" si="283"/>
        <v>M</v>
      </c>
      <c r="DN136" s="1742"/>
    </row>
    <row r="137" spans="1:118" s="473" customFormat="1" ht="21.95" customHeight="1">
      <c r="A137" s="510" t="s">
        <v>2846</v>
      </c>
      <c r="B137" s="1390">
        <f t="shared" ca="1" si="144"/>
        <v>95</v>
      </c>
      <c r="C137" s="1194">
        <v>13523075</v>
      </c>
      <c r="D137" s="1195" t="s">
        <v>4774</v>
      </c>
      <c r="E137" s="1180" t="s">
        <v>4622</v>
      </c>
      <c r="F137" s="1196">
        <v>28785</v>
      </c>
      <c r="G137" s="1180" t="s">
        <v>4620</v>
      </c>
      <c r="H137" s="1196">
        <v>37718</v>
      </c>
      <c r="I137" s="1185">
        <f t="shared" si="259"/>
        <v>21</v>
      </c>
      <c r="J137" s="1177">
        <v>0</v>
      </c>
      <c r="K137" s="1185">
        <f t="shared" si="260"/>
        <v>21</v>
      </c>
      <c r="L137" s="1191" t="s">
        <v>5544</v>
      </c>
      <c r="M137" s="1177"/>
      <c r="N137" s="1177"/>
      <c r="O137" s="1040" t="s">
        <v>5252</v>
      </c>
      <c r="P137" s="1177" t="s">
        <v>5347</v>
      </c>
      <c r="Q137" s="1391" t="str">
        <f>IFERROR(VLOOKUP(O137,CARGOS!A:E,2,0),"")</f>
        <v>13365</v>
      </c>
      <c r="R137" s="1403" t="s">
        <v>5252</v>
      </c>
      <c r="S137" s="1192" t="s">
        <v>5484</v>
      </c>
      <c r="T137" s="1150">
        <f>IFERROR(VLOOKUP(S137,'TAB EMP'!A:B,2,0),0)</f>
        <v>228</v>
      </c>
      <c r="U137" s="1151">
        <v>0</v>
      </c>
      <c r="V137" s="1150">
        <f t="shared" si="288"/>
        <v>228</v>
      </c>
      <c r="W137" s="1151">
        <f t="shared" si="289"/>
        <v>114</v>
      </c>
      <c r="X137" s="1180" t="s">
        <v>2844</v>
      </c>
      <c r="Y137" s="1180"/>
      <c r="Z137" s="1180">
        <v>2</v>
      </c>
      <c r="AA137" s="1150">
        <f>ROUND(IF(H137&lt;&gt;"",VLOOKUP(SUM(I137+J137),'CONCEPTOS Y PARAMETROS'!F:G,2,0)*V137,0),2)</f>
        <v>63.38</v>
      </c>
      <c r="AB137" s="1150">
        <f>IF(S137&lt;&gt;"",IF(M137="",'CONCEPTOS Y PARAMETROS'!$C$4,0),0)</f>
        <v>130</v>
      </c>
      <c r="AC137" s="1150">
        <f>IF(S137&lt;&gt;"",IF(M137="",'CONCEPTOS Y PARAMETROS'!$C$7*Z137,0),0)</f>
        <v>25</v>
      </c>
      <c r="AD137" s="1150">
        <f>IFERROR(ROUND(VLOOKUP($X137,'CONCEPTOS Y PARAMETROS'!H:I,2,0)*($V137+AA137+AB137+AC137),2),0)</f>
        <v>89.28</v>
      </c>
      <c r="AE137" s="1150">
        <f t="shared" si="285"/>
        <v>307.65999999999997</v>
      </c>
      <c r="AF137" s="1150">
        <f t="shared" si="290"/>
        <v>31.69</v>
      </c>
      <c r="AG137" s="1150">
        <f t="shared" si="291"/>
        <v>31.69</v>
      </c>
      <c r="AH137" s="1150">
        <f t="shared" si="292"/>
        <v>65</v>
      </c>
      <c r="AI137" s="1150">
        <f t="shared" si="293"/>
        <v>65</v>
      </c>
      <c r="AJ137" s="1150">
        <f t="shared" si="294"/>
        <v>44.64</v>
      </c>
      <c r="AK137" s="1150">
        <f t="shared" si="295"/>
        <v>44.64</v>
      </c>
      <c r="AL137" s="1151">
        <f t="shared" si="296"/>
        <v>166.33</v>
      </c>
      <c r="AM137" s="1151">
        <f t="shared" si="297"/>
        <v>141.33000000000001</v>
      </c>
      <c r="AN137" s="1583">
        <v>2</v>
      </c>
      <c r="AO137" s="1193">
        <f>'CONCEPTOS Y PARAMETROS'!$C$18*AN137</f>
        <v>25</v>
      </c>
      <c r="AP137" s="1028">
        <v>0</v>
      </c>
      <c r="AQ137" s="1193">
        <f>'CONCEPTOS Y PARAMETROS'!$C$21*AP137</f>
        <v>0</v>
      </c>
      <c r="AR137" s="1394">
        <v>0</v>
      </c>
      <c r="AS137" s="1394">
        <v>0</v>
      </c>
      <c r="AT137" s="1394">
        <f t="shared" si="286"/>
        <v>25</v>
      </c>
      <c r="AU137" s="1151">
        <f t="shared" si="298"/>
        <v>535.66</v>
      </c>
      <c r="AV137" s="1178">
        <v>0</v>
      </c>
      <c r="AW137" s="1151">
        <f t="shared" si="299"/>
        <v>0</v>
      </c>
      <c r="AX137" s="1150">
        <f>IF(T137&lt;&gt;"0",(ROUND(IF(A137="EMPLEADO",eval_formula('CONCEPTOS Y PARAMETROS'!$C$8,NOMINA!V137,NOMINA!$AU137,NOMINA!I137+NOMINA!J137),eval_formula('CONCEPTOS Y PARAMETROS'!$D$8,NOMINA!V137,NOMINA!$AU137,NOMINA!I137+NOMINA!J137)),2))*IF(H137&lt;&gt;"",IF(MONTH(H137)=$BR$8,IF(YEAR(H137)&lt;$BT$7,1,0),0)))</f>
        <v>0</v>
      </c>
      <c r="AY137" s="1151">
        <v>180</v>
      </c>
      <c r="AZ137" s="1150">
        <f>IFERROR(VLOOKUP(AY137,'CONCEPTOS Y PARAMETROS'!Y:Z,2,0),0)</f>
        <v>150</v>
      </c>
      <c r="BA137" s="1150">
        <f t="shared" si="300"/>
        <v>4017.45</v>
      </c>
      <c r="BB137" s="1150">
        <f t="shared" si="287"/>
        <v>0</v>
      </c>
      <c r="BC137" s="1028">
        <v>0</v>
      </c>
      <c r="BD137" s="1150" t="str">
        <f t="shared" si="301"/>
        <v>0</v>
      </c>
      <c r="BE137" s="1028">
        <v>0</v>
      </c>
      <c r="BF137" s="1150">
        <f t="shared" si="334"/>
        <v>0</v>
      </c>
      <c r="BG137" s="1151">
        <v>300</v>
      </c>
      <c r="BH137" s="1151">
        <f t="shared" si="261"/>
        <v>0</v>
      </c>
      <c r="BI137" s="1180">
        <v>0</v>
      </c>
      <c r="BJ137" s="1180">
        <f t="shared" si="262"/>
        <v>0</v>
      </c>
      <c r="BK137" s="1151">
        <v>0</v>
      </c>
      <c r="BL137" s="1150">
        <f t="shared" si="329"/>
        <v>19.78</v>
      </c>
      <c r="BM137" s="1150">
        <f t="shared" si="330"/>
        <v>2.4700000000000002</v>
      </c>
      <c r="BN137" s="1150">
        <f t="shared" si="263"/>
        <v>5.36</v>
      </c>
      <c r="BO137" s="1150">
        <v>0</v>
      </c>
      <c r="BP137" s="1150">
        <v>0</v>
      </c>
      <c r="BQ137" s="1396">
        <f t="shared" si="302"/>
        <v>27.61</v>
      </c>
      <c r="BR137" s="1150">
        <f t="shared" si="331"/>
        <v>44.5</v>
      </c>
      <c r="BS137" s="1150">
        <f t="shared" si="332"/>
        <v>9.89</v>
      </c>
      <c r="BT137" s="1150">
        <f t="shared" si="264"/>
        <v>10.72</v>
      </c>
      <c r="BU137" s="1150">
        <v>0</v>
      </c>
      <c r="BV137" s="1151">
        <f t="shared" si="303"/>
        <v>65.11</v>
      </c>
      <c r="BW137" s="1155">
        <f t="shared" si="304"/>
        <v>92.72</v>
      </c>
      <c r="BX137" s="1155">
        <f t="shared" si="333"/>
        <v>1004.36</v>
      </c>
      <c r="BY137" s="1151">
        <v>0</v>
      </c>
      <c r="BZ137" s="1151">
        <f t="shared" si="265"/>
        <v>1004.36</v>
      </c>
      <c r="CA137" s="1397">
        <f>'CONCEPTOS Y PARAMETROS'!$A$102</f>
        <v>2120</v>
      </c>
      <c r="CB137" s="1155">
        <f t="shared" si="266"/>
        <v>252.72000000000003</v>
      </c>
      <c r="CC137" s="1156">
        <f t="shared" si="267"/>
        <v>580.33000000000004</v>
      </c>
      <c r="CD137" s="514"/>
      <c r="CE137" s="514"/>
      <c r="CF137" s="520"/>
      <c r="CG137" s="497">
        <f t="shared" si="268"/>
        <v>252.72000000000003</v>
      </c>
      <c r="CH137" s="1711">
        <f t="shared" si="269"/>
        <v>300</v>
      </c>
      <c r="CI137" s="497">
        <f t="shared" si="270"/>
        <v>555.33000000000004</v>
      </c>
      <c r="CJ137" s="497">
        <f t="shared" si="271"/>
        <v>555.33000000000004</v>
      </c>
      <c r="CK137" s="497">
        <f t="shared" si="272"/>
        <v>0</v>
      </c>
      <c r="CL137" s="497">
        <f t="shared" si="273"/>
        <v>0</v>
      </c>
      <c r="CM137" s="497">
        <f t="shared" si="274"/>
        <v>0</v>
      </c>
      <c r="CN137" s="498">
        <f t="shared" si="275"/>
        <v>0</v>
      </c>
      <c r="CO137" s="499">
        <v>0</v>
      </c>
      <c r="CP137" s="498">
        <f t="shared" si="276"/>
        <v>0</v>
      </c>
      <c r="CQ137" s="500">
        <f t="shared" si="277"/>
        <v>25</v>
      </c>
      <c r="CR137" s="498">
        <f t="shared" si="278"/>
        <v>0</v>
      </c>
      <c r="CS137" s="498">
        <f t="shared" si="279"/>
        <v>25</v>
      </c>
      <c r="CT137" s="498">
        <f t="shared" si="280"/>
        <v>92.72</v>
      </c>
      <c r="CU137" s="498">
        <f t="shared" si="281"/>
        <v>2120</v>
      </c>
      <c r="CV137" s="1554"/>
      <c r="CW137" s="1195" t="s">
        <v>7210</v>
      </c>
      <c r="CX137" s="1195" t="s">
        <v>6935</v>
      </c>
      <c r="CY137" s="472"/>
      <c r="CZ137" s="1199" t="s">
        <v>6580</v>
      </c>
      <c r="DA137" s="514" t="s">
        <v>6173</v>
      </c>
      <c r="DB137" s="514" t="s">
        <v>6213</v>
      </c>
      <c r="DC137" s="514" t="s">
        <v>6625</v>
      </c>
      <c r="DD137" s="514"/>
      <c r="DE137" s="514"/>
      <c r="DF137" s="472"/>
      <c r="DG137" s="472"/>
      <c r="DH137" s="472"/>
      <c r="DJ137" s="473" t="str">
        <f>VLOOKUP(X137,Hoja1!$A$4:$B$10,2,0)</f>
        <v>TÉCNICO SUPERIOR UNIVERSITARIO</v>
      </c>
      <c r="DK137" s="473" t="str">
        <f>VLOOKUP(S137,Hoja1!$D$4:$F$77,3,0)</f>
        <v>TII - VII</v>
      </c>
      <c r="DL137" s="1216" t="str">
        <f t="shared" si="282"/>
        <v>0</v>
      </c>
      <c r="DM137" s="1741" t="str">
        <f t="shared" si="283"/>
        <v>F</v>
      </c>
      <c r="DN137" s="1741"/>
    </row>
    <row r="138" spans="1:118" s="1654" customFormat="1" ht="21.95" customHeight="1">
      <c r="A138" s="1624" t="s">
        <v>2846</v>
      </c>
      <c r="B138" s="1625">
        <f t="shared" ref="B138:B195" ca="1" si="355">OFFSET(B138,-1,0)+1</f>
        <v>96</v>
      </c>
      <c r="C138" s="1626">
        <v>13745803</v>
      </c>
      <c r="D138" s="1627" t="s">
        <v>4776</v>
      </c>
      <c r="E138" s="1628" t="s">
        <v>4622</v>
      </c>
      <c r="F138" s="1629">
        <v>28372</v>
      </c>
      <c r="G138" s="1628" t="s">
        <v>4621</v>
      </c>
      <c r="H138" s="1629">
        <v>44774</v>
      </c>
      <c r="I138" s="1630">
        <f t="shared" si="259"/>
        <v>2</v>
      </c>
      <c r="J138" s="1631">
        <f>13+9</f>
        <v>22</v>
      </c>
      <c r="K138" s="1630">
        <f t="shared" si="260"/>
        <v>24</v>
      </c>
      <c r="L138" s="1632" t="s">
        <v>5547</v>
      </c>
      <c r="M138" s="1631"/>
      <c r="N138" s="1631"/>
      <c r="O138" s="1633" t="s">
        <v>5237</v>
      </c>
      <c r="P138" s="1631" t="s">
        <v>5348</v>
      </c>
      <c r="Q138" s="1634" t="str">
        <f>IFERROR(VLOOKUP(O138,CARGOS!A:E,2,0),"")</f>
        <v>79523</v>
      </c>
      <c r="R138" s="1635" t="s">
        <v>5237</v>
      </c>
      <c r="S138" s="1636" t="s">
        <v>5471</v>
      </c>
      <c r="T138" s="1637">
        <f>IFERROR(VLOOKUP(S138,'TAB EMP'!A:B,2,0),0)</f>
        <v>287</v>
      </c>
      <c r="U138" s="1638">
        <v>0</v>
      </c>
      <c r="V138" s="1637">
        <f t="shared" si="288"/>
        <v>287</v>
      </c>
      <c r="W138" s="1638">
        <f t="shared" si="289"/>
        <v>143.5</v>
      </c>
      <c r="X138" s="1628" t="s">
        <v>2885</v>
      </c>
      <c r="Y138" s="1628"/>
      <c r="Z138" s="1628">
        <v>0</v>
      </c>
      <c r="AA138" s="1637">
        <f>ROUND(IF(H138&lt;&gt;"",VLOOKUP(SUM(I138+J138),'CONCEPTOS Y PARAMETROS'!F:G,2,0)*V138,0),2)</f>
        <v>86.1</v>
      </c>
      <c r="AB138" s="1637">
        <f>IF(S138&lt;&gt;"",IF(M138="",'CONCEPTOS Y PARAMETROS'!$C$4,0),0)</f>
        <v>130</v>
      </c>
      <c r="AC138" s="1637">
        <f>IF(S138&lt;&gt;"",IF(M138="",'CONCEPTOS Y PARAMETROS'!$C$7*Z138,0),0)</f>
        <v>0</v>
      </c>
      <c r="AD138" s="1637">
        <f>IFERROR(ROUND(VLOOKUP($X138,'CONCEPTOS Y PARAMETROS'!H:I,2,0)*($V138+AA138+AB138+AC138),2),0)</f>
        <v>125.78</v>
      </c>
      <c r="AE138" s="1637">
        <f t="shared" si="285"/>
        <v>341.88</v>
      </c>
      <c r="AF138" s="1637">
        <f t="shared" si="290"/>
        <v>43.05</v>
      </c>
      <c r="AG138" s="1637">
        <f t="shared" si="291"/>
        <v>43.05</v>
      </c>
      <c r="AH138" s="1637">
        <f t="shared" si="292"/>
        <v>65</v>
      </c>
      <c r="AI138" s="1637">
        <f t="shared" si="293"/>
        <v>65</v>
      </c>
      <c r="AJ138" s="1637">
        <f t="shared" si="294"/>
        <v>62.89</v>
      </c>
      <c r="AK138" s="1637">
        <f t="shared" si="295"/>
        <v>62.89</v>
      </c>
      <c r="AL138" s="1638">
        <f t="shared" si="296"/>
        <v>170.94</v>
      </c>
      <c r="AM138" s="1638">
        <f t="shared" si="297"/>
        <v>170.94</v>
      </c>
      <c r="AN138" s="1639">
        <v>0</v>
      </c>
      <c r="AO138" s="1640">
        <f>'CONCEPTOS Y PARAMETROS'!$C$18*AN138</f>
        <v>0</v>
      </c>
      <c r="AP138" s="1639">
        <v>0</v>
      </c>
      <c r="AQ138" s="1640">
        <f>'CONCEPTOS Y PARAMETROS'!$C$21*AP138</f>
        <v>0</v>
      </c>
      <c r="AR138" s="1641">
        <v>0</v>
      </c>
      <c r="AS138" s="1641">
        <v>0</v>
      </c>
      <c r="AT138" s="1641">
        <f t="shared" si="286"/>
        <v>0</v>
      </c>
      <c r="AU138" s="1638">
        <f t="shared" si="298"/>
        <v>628.88</v>
      </c>
      <c r="AV138" s="1642">
        <v>0</v>
      </c>
      <c r="AW138" s="1638">
        <f t="shared" si="299"/>
        <v>0</v>
      </c>
      <c r="AX138" s="1637">
        <f>IF(T138&lt;&gt;"0",(ROUND(IF(A138="EMPLEADO",eval_formula('CONCEPTOS Y PARAMETROS'!$C$8,NOMINA!V138,NOMINA!$AU138,NOMINA!I138+NOMINA!J138),eval_formula('CONCEPTOS Y PARAMETROS'!$D$8,NOMINA!V138,NOMINA!$AU138,NOMINA!I138+NOMINA!J138)),2))*IF(H138&lt;&gt;"",IF(MONTH(H138)=$BR$8,IF(YEAR(H138)&lt;$BT$7,1,0),0)))</f>
        <v>0</v>
      </c>
      <c r="AY138" s="1638">
        <v>180</v>
      </c>
      <c r="AZ138" s="1637">
        <f>IFERROR(VLOOKUP(AY138,'CONCEPTOS Y PARAMETROS'!Y:Z,2,0),0)</f>
        <v>150</v>
      </c>
      <c r="BA138" s="1637">
        <f t="shared" si="300"/>
        <v>4716.6000000000004</v>
      </c>
      <c r="BB138" s="1637">
        <f t="shared" si="287"/>
        <v>0</v>
      </c>
      <c r="BC138" s="1639">
        <v>0</v>
      </c>
      <c r="BD138" s="1637" t="str">
        <f t="shared" si="301"/>
        <v>0</v>
      </c>
      <c r="BE138" s="1639">
        <v>0</v>
      </c>
      <c r="BF138" s="1637">
        <f t="shared" si="334"/>
        <v>0</v>
      </c>
      <c r="BG138" s="1638">
        <v>300</v>
      </c>
      <c r="BH138" s="1638">
        <f t="shared" si="261"/>
        <v>0</v>
      </c>
      <c r="BI138" s="1628">
        <v>0</v>
      </c>
      <c r="BJ138" s="1628">
        <f t="shared" si="262"/>
        <v>0</v>
      </c>
      <c r="BK138" s="1638">
        <v>0</v>
      </c>
      <c r="BL138" s="1637">
        <f t="shared" si="329"/>
        <v>23.22</v>
      </c>
      <c r="BM138" s="1637">
        <f t="shared" si="330"/>
        <v>2.9</v>
      </c>
      <c r="BN138" s="1637">
        <f t="shared" si="263"/>
        <v>6.29</v>
      </c>
      <c r="BO138" s="1637">
        <v>0</v>
      </c>
      <c r="BP138" s="1637">
        <v>0</v>
      </c>
      <c r="BQ138" s="1643">
        <f t="shared" si="302"/>
        <v>32.409999999999997</v>
      </c>
      <c r="BR138" s="1637">
        <f t="shared" si="331"/>
        <v>52.25</v>
      </c>
      <c r="BS138" s="1637">
        <f t="shared" si="332"/>
        <v>11.61</v>
      </c>
      <c r="BT138" s="1637">
        <f t="shared" si="264"/>
        <v>12.58</v>
      </c>
      <c r="BU138" s="1637">
        <v>0</v>
      </c>
      <c r="BV138" s="1638">
        <f t="shared" si="303"/>
        <v>76.44</v>
      </c>
      <c r="BW138" s="1644">
        <f t="shared" si="304"/>
        <v>108.85</v>
      </c>
      <c r="BX138" s="1644">
        <f t="shared" si="333"/>
        <v>1179.1500000000001</v>
      </c>
      <c r="BY138" s="1638">
        <v>0</v>
      </c>
      <c r="BZ138" s="1638">
        <f t="shared" si="265"/>
        <v>1179.1500000000001</v>
      </c>
      <c r="CA138" s="1645">
        <f>'CONCEPTOS Y PARAMETROS'!$A$102</f>
        <v>2120</v>
      </c>
      <c r="CB138" s="1644">
        <f t="shared" si="266"/>
        <v>282.02999999999997</v>
      </c>
      <c r="CC138" s="1646">
        <f t="shared" si="267"/>
        <v>614.44000000000005</v>
      </c>
      <c r="CD138" s="1647"/>
      <c r="CE138" s="1647"/>
      <c r="CF138" s="1648"/>
      <c r="CG138" s="1649">
        <f t="shared" si="268"/>
        <v>282.02999999999997</v>
      </c>
      <c r="CH138" s="1713">
        <f t="shared" si="269"/>
        <v>300</v>
      </c>
      <c r="CI138" s="1649">
        <f t="shared" si="270"/>
        <v>614.44000000000005</v>
      </c>
      <c r="CJ138" s="1649">
        <f t="shared" si="271"/>
        <v>294.93</v>
      </c>
      <c r="CK138" s="1649">
        <f t="shared" si="272"/>
        <v>319.51000000000005</v>
      </c>
      <c r="CL138" s="1649">
        <f t="shared" si="273"/>
        <v>0</v>
      </c>
      <c r="CM138" s="1649">
        <f t="shared" si="274"/>
        <v>0</v>
      </c>
      <c r="CN138" s="1650">
        <f t="shared" si="275"/>
        <v>0</v>
      </c>
      <c r="CO138" s="1651">
        <v>0</v>
      </c>
      <c r="CP138" s="1650">
        <f t="shared" si="276"/>
        <v>0</v>
      </c>
      <c r="CQ138" s="1652">
        <f t="shared" si="277"/>
        <v>0</v>
      </c>
      <c r="CR138" s="1650">
        <f t="shared" si="278"/>
        <v>0</v>
      </c>
      <c r="CS138" s="1650">
        <f t="shared" si="279"/>
        <v>0</v>
      </c>
      <c r="CT138" s="1650">
        <f t="shared" si="280"/>
        <v>108.85</v>
      </c>
      <c r="CU138" s="1650">
        <f t="shared" si="281"/>
        <v>2120</v>
      </c>
      <c r="CV138" s="1653"/>
      <c r="CW138" s="1627" t="s">
        <v>7018</v>
      </c>
      <c r="CX138" s="1627" t="s">
        <v>7267</v>
      </c>
      <c r="CY138" s="1647"/>
      <c r="CZ138" s="1647" t="s">
        <v>6385</v>
      </c>
      <c r="DA138" s="1657" t="s">
        <v>6526</v>
      </c>
      <c r="DB138" s="1657" t="s">
        <v>6420</v>
      </c>
      <c r="DC138" s="1647" t="s">
        <v>6421</v>
      </c>
      <c r="DD138" s="1647"/>
      <c r="DE138" s="1647"/>
      <c r="DF138" s="1647"/>
      <c r="DG138" s="1647"/>
      <c r="DH138" s="1647"/>
      <c r="DJ138" s="1654" t="str">
        <f>VLOOKUP(X138,Hoja1!$A$4:$B$10,2,0)</f>
        <v>PROFESIONAL</v>
      </c>
      <c r="DK138" s="1654" t="str">
        <f>VLOOKUP(S138,Hoja1!$D$4:$F$77,3,0)</f>
        <v>PII - VII</v>
      </c>
      <c r="DL138" s="1655" t="str">
        <f t="shared" si="282"/>
        <v>0</v>
      </c>
      <c r="DM138" s="1742" t="str">
        <f t="shared" si="283"/>
        <v>M</v>
      </c>
      <c r="DN138" s="1742"/>
    </row>
    <row r="139" spans="1:118" s="478" customFormat="1" ht="21.95" customHeight="1">
      <c r="A139" s="510" t="s">
        <v>2846</v>
      </c>
      <c r="B139" s="1390">
        <f t="shared" ca="1" si="355"/>
        <v>97</v>
      </c>
      <c r="C139" s="1194">
        <v>13765028</v>
      </c>
      <c r="D139" s="1195" t="s">
        <v>4777</v>
      </c>
      <c r="E139" s="1180" t="s">
        <v>4622</v>
      </c>
      <c r="F139" s="1196">
        <v>28172</v>
      </c>
      <c r="G139" s="1180" t="s">
        <v>4620</v>
      </c>
      <c r="H139" s="1196">
        <v>44348</v>
      </c>
      <c r="I139" s="1185">
        <f t="shared" si="259"/>
        <v>3</v>
      </c>
      <c r="J139" s="1177">
        <v>7</v>
      </c>
      <c r="K139" s="1185">
        <f t="shared" si="260"/>
        <v>10</v>
      </c>
      <c r="L139" s="1191" t="s">
        <v>5542</v>
      </c>
      <c r="M139" s="1177"/>
      <c r="N139" s="1177"/>
      <c r="O139" s="1040" t="s">
        <v>5221</v>
      </c>
      <c r="P139" s="1177" t="s">
        <v>5349</v>
      </c>
      <c r="Q139" s="1391" t="str">
        <f>IFERROR(VLOOKUP(O139,CARGOS!A:E,2,0),"")</f>
        <v>79512</v>
      </c>
      <c r="R139" s="1403" t="s">
        <v>5221</v>
      </c>
      <c r="S139" s="1192" t="s">
        <v>5485</v>
      </c>
      <c r="T139" s="1150">
        <f>IFERROR(VLOOKUP(S139,'TAB EMP'!A:B,2,0),0)</f>
        <v>223</v>
      </c>
      <c r="U139" s="1151">
        <v>0</v>
      </c>
      <c r="V139" s="1150">
        <f t="shared" si="288"/>
        <v>223</v>
      </c>
      <c r="W139" s="1151">
        <f t="shared" si="289"/>
        <v>111.5</v>
      </c>
      <c r="X139" s="1180" t="s">
        <v>2844</v>
      </c>
      <c r="Y139" s="1180"/>
      <c r="Z139" s="1180">
        <v>0</v>
      </c>
      <c r="AA139" s="1150">
        <f>ROUND(IF(H139&lt;&gt;"",VLOOKUP(SUM(I139+J139),'CONCEPTOS Y PARAMETROS'!F:G,2,0)*V139,0),2)</f>
        <v>24.53</v>
      </c>
      <c r="AB139" s="1150">
        <f>IF(S139&lt;&gt;"",IF(M139="",'CONCEPTOS Y PARAMETROS'!$C$4,0),0)</f>
        <v>130</v>
      </c>
      <c r="AC139" s="1150">
        <f>IF(S139&lt;&gt;"",IF(M139="",'CONCEPTOS Y PARAMETROS'!$C$7*Z139,0),0)</f>
        <v>0</v>
      </c>
      <c r="AD139" s="1150">
        <f>IFERROR(ROUND(VLOOKUP($X139,'CONCEPTOS Y PARAMETROS'!H:I,2,0)*($V139+AA139+AB139+AC139),2),0)</f>
        <v>75.510000000000005</v>
      </c>
      <c r="AE139" s="1150">
        <f t="shared" si="285"/>
        <v>230.04000000000002</v>
      </c>
      <c r="AF139" s="1150">
        <f t="shared" si="290"/>
        <v>12.27</v>
      </c>
      <c r="AG139" s="1150">
        <f t="shared" si="291"/>
        <v>12.26</v>
      </c>
      <c r="AH139" s="1150">
        <f t="shared" si="292"/>
        <v>65</v>
      </c>
      <c r="AI139" s="1150">
        <f t="shared" si="293"/>
        <v>65</v>
      </c>
      <c r="AJ139" s="1150">
        <f t="shared" si="294"/>
        <v>37.76</v>
      </c>
      <c r="AK139" s="1150">
        <f t="shared" si="295"/>
        <v>37.75</v>
      </c>
      <c r="AL139" s="1151">
        <f t="shared" si="296"/>
        <v>115.03</v>
      </c>
      <c r="AM139" s="1151">
        <f t="shared" si="297"/>
        <v>115.01</v>
      </c>
      <c r="AN139" s="1028">
        <v>0</v>
      </c>
      <c r="AO139" s="1193">
        <f>'CONCEPTOS Y PARAMETROS'!$C$18*AN139</f>
        <v>0</v>
      </c>
      <c r="AP139" s="1028">
        <v>0</v>
      </c>
      <c r="AQ139" s="1193">
        <f>'CONCEPTOS Y PARAMETROS'!$C$21*AP139</f>
        <v>0</v>
      </c>
      <c r="AR139" s="1394">
        <v>0</v>
      </c>
      <c r="AS139" s="1394">
        <v>0</v>
      </c>
      <c r="AT139" s="1394">
        <f t="shared" si="286"/>
        <v>0</v>
      </c>
      <c r="AU139" s="1151">
        <f t="shared" si="298"/>
        <v>588.95000000000005</v>
      </c>
      <c r="AV139" s="1178" t="s">
        <v>5080</v>
      </c>
      <c r="AW139" s="1151">
        <f t="shared" si="299"/>
        <v>135.91</v>
      </c>
      <c r="AX139" s="1150">
        <f>IF(T139&lt;&gt;"0",(ROUND(IF(A139="EMPLEADO",eval_formula('CONCEPTOS Y PARAMETROS'!$C$8,NOMINA!V139,NOMINA!$AU139,NOMINA!I139+NOMINA!J139),eval_formula('CONCEPTOS Y PARAMETROS'!$D$8,NOMINA!V139,NOMINA!$AU139,NOMINA!I139+NOMINA!J139)),2))*IF(H139&lt;&gt;"",IF(MONTH(H139)=$BR$8,IF(YEAR(H139)&lt;$BT$7,1,0),0)))</f>
        <v>0</v>
      </c>
      <c r="AY139" s="1151">
        <v>180</v>
      </c>
      <c r="AZ139" s="1150">
        <f>IFERROR(VLOOKUP(AY139,'CONCEPTOS Y PARAMETROS'!Y:Z,2,0),0)</f>
        <v>150</v>
      </c>
      <c r="BA139" s="1150">
        <f t="shared" si="300"/>
        <v>4417.13</v>
      </c>
      <c r="BB139" s="1150">
        <f t="shared" si="287"/>
        <v>0</v>
      </c>
      <c r="BC139" s="1028">
        <v>0</v>
      </c>
      <c r="BD139" s="1150" t="str">
        <f t="shared" si="301"/>
        <v>0</v>
      </c>
      <c r="BE139" s="1028">
        <v>5</v>
      </c>
      <c r="BF139" s="1150">
        <f t="shared" si="334"/>
        <v>147.24</v>
      </c>
      <c r="BG139" s="1151">
        <v>300</v>
      </c>
      <c r="BH139" s="1151">
        <f t="shared" si="261"/>
        <v>0</v>
      </c>
      <c r="BI139" s="1180">
        <v>0</v>
      </c>
      <c r="BJ139" s="1180">
        <f t="shared" si="262"/>
        <v>0</v>
      </c>
      <c r="BK139" s="1151">
        <v>0</v>
      </c>
      <c r="BL139" s="1150">
        <f t="shared" si="329"/>
        <v>21.75</v>
      </c>
      <c r="BM139" s="1150">
        <f t="shared" si="330"/>
        <v>2.72</v>
      </c>
      <c r="BN139" s="1150">
        <f t="shared" si="263"/>
        <v>5.89</v>
      </c>
      <c r="BO139" s="1150">
        <v>0</v>
      </c>
      <c r="BP139" s="1150">
        <v>0</v>
      </c>
      <c r="BQ139" s="1396">
        <f t="shared" si="302"/>
        <v>30.36</v>
      </c>
      <c r="BR139" s="1150">
        <f t="shared" si="331"/>
        <v>48.93</v>
      </c>
      <c r="BS139" s="1150">
        <f t="shared" si="332"/>
        <v>10.87</v>
      </c>
      <c r="BT139" s="1150">
        <f t="shared" si="264"/>
        <v>11.78</v>
      </c>
      <c r="BU139" s="1150">
        <v>0</v>
      </c>
      <c r="BV139" s="1151">
        <f t="shared" si="303"/>
        <v>71.58</v>
      </c>
      <c r="BW139" s="1155">
        <f t="shared" si="304"/>
        <v>101.94</v>
      </c>
      <c r="BX139" s="1155">
        <f t="shared" si="333"/>
        <v>1104.28</v>
      </c>
      <c r="BY139" s="1151">
        <v>0</v>
      </c>
      <c r="BZ139" s="1151">
        <f t="shared" si="265"/>
        <v>1104.28</v>
      </c>
      <c r="CA139" s="1397">
        <f>'CONCEPTOS Y PARAMETROS'!$A$102</f>
        <v>2120</v>
      </c>
      <c r="CB139" s="1155">
        <f t="shared" si="266"/>
        <v>196.17000000000002</v>
      </c>
      <c r="CC139" s="1156">
        <f t="shared" si="267"/>
        <v>809.66</v>
      </c>
      <c r="CD139" s="514"/>
      <c r="CE139" s="514"/>
      <c r="CF139" s="521"/>
      <c r="CG139" s="511">
        <f t="shared" si="268"/>
        <v>196.17000000000002</v>
      </c>
      <c r="CH139" s="1712">
        <f t="shared" si="269"/>
        <v>300</v>
      </c>
      <c r="CI139" s="511">
        <f t="shared" si="270"/>
        <v>526.51</v>
      </c>
      <c r="CJ139" s="511">
        <f t="shared" si="271"/>
        <v>526.51</v>
      </c>
      <c r="CK139" s="511">
        <f t="shared" si="272"/>
        <v>0</v>
      </c>
      <c r="CL139" s="511">
        <f t="shared" si="273"/>
        <v>0</v>
      </c>
      <c r="CM139" s="511">
        <f t="shared" si="274"/>
        <v>0</v>
      </c>
      <c r="CN139" s="512">
        <f t="shared" si="275"/>
        <v>147.24</v>
      </c>
      <c r="CO139" s="513">
        <v>0</v>
      </c>
      <c r="CP139" s="512">
        <f t="shared" si="276"/>
        <v>135.91</v>
      </c>
      <c r="CQ139" s="500">
        <f t="shared" si="277"/>
        <v>0</v>
      </c>
      <c r="CR139" s="512">
        <f t="shared" si="278"/>
        <v>0</v>
      </c>
      <c r="CS139" s="512">
        <f t="shared" si="279"/>
        <v>283.14999999999998</v>
      </c>
      <c r="CT139" s="512">
        <f t="shared" si="280"/>
        <v>101.94</v>
      </c>
      <c r="CU139" s="512">
        <f t="shared" si="281"/>
        <v>2120</v>
      </c>
      <c r="CV139" s="1556"/>
      <c r="CW139" s="1195" t="s">
        <v>6979</v>
      </c>
      <c r="CX139" s="1195" t="s">
        <v>6980</v>
      </c>
      <c r="CY139" s="514"/>
      <c r="CZ139" s="514" t="s">
        <v>6313</v>
      </c>
      <c r="DA139" s="514" t="s">
        <v>6198</v>
      </c>
      <c r="DB139" s="514" t="s">
        <v>6265</v>
      </c>
      <c r="DC139" s="514" t="s">
        <v>6622</v>
      </c>
      <c r="DD139" s="514"/>
      <c r="DE139" s="514"/>
      <c r="DF139" s="514"/>
      <c r="DG139" s="514"/>
      <c r="DH139" s="514"/>
      <c r="DJ139" s="478" t="str">
        <f>VLOOKUP(X139,Hoja1!$A$4:$B$10,2,0)</f>
        <v>TÉCNICO SUPERIOR UNIVERSITARIO</v>
      </c>
      <c r="DK139" s="478" t="str">
        <f>VLOOKUP(S139,Hoja1!$D$4:$F$77,3,0)</f>
        <v>TII - IV</v>
      </c>
      <c r="DL139" s="1218" t="str">
        <f t="shared" si="282"/>
        <v>SI</v>
      </c>
      <c r="DM139" s="1743" t="str">
        <f t="shared" si="283"/>
        <v>F</v>
      </c>
      <c r="DN139" s="1743"/>
    </row>
    <row r="140" spans="1:118" s="1654" customFormat="1" ht="21.95" customHeight="1">
      <c r="A140" s="1624" t="s">
        <v>2846</v>
      </c>
      <c r="B140" s="1625">
        <f t="shared" ca="1" si="355"/>
        <v>98</v>
      </c>
      <c r="C140" s="1626">
        <v>13896147</v>
      </c>
      <c r="D140" s="1627" t="s">
        <v>4778</v>
      </c>
      <c r="E140" s="1628" t="s">
        <v>4622</v>
      </c>
      <c r="F140" s="1629">
        <v>29086</v>
      </c>
      <c r="G140" s="1628" t="s">
        <v>4620</v>
      </c>
      <c r="H140" s="1629">
        <v>41334</v>
      </c>
      <c r="I140" s="1630">
        <f t="shared" si="259"/>
        <v>11</v>
      </c>
      <c r="J140" s="1631">
        <v>0</v>
      </c>
      <c r="K140" s="1630">
        <f t="shared" si="260"/>
        <v>11</v>
      </c>
      <c r="L140" s="1632" t="s">
        <v>5555</v>
      </c>
      <c r="M140" s="1631"/>
      <c r="N140" s="1631"/>
      <c r="O140" s="1633" t="s">
        <v>5249</v>
      </c>
      <c r="P140" s="1631" t="s">
        <v>5350</v>
      </c>
      <c r="Q140" s="1634" t="str">
        <f>IFERROR(VLOOKUP(O140,CARGOS!A:E,2,0),"")</f>
        <v>12123</v>
      </c>
      <c r="R140" s="1635" t="s">
        <v>5249</v>
      </c>
      <c r="S140" s="1636" t="s">
        <v>5486</v>
      </c>
      <c r="T140" s="1637">
        <f>IFERROR(VLOOKUP(S140,'TAB EMP'!A:B,2,0),0)</f>
        <v>281</v>
      </c>
      <c r="U140" s="1638">
        <v>0</v>
      </c>
      <c r="V140" s="1637">
        <f t="shared" si="288"/>
        <v>281</v>
      </c>
      <c r="W140" s="1638">
        <f t="shared" si="289"/>
        <v>140.5</v>
      </c>
      <c r="X140" s="1628" t="s">
        <v>2885</v>
      </c>
      <c r="Y140" s="1628"/>
      <c r="Z140" s="1628">
        <v>0</v>
      </c>
      <c r="AA140" s="1637">
        <f>ROUND(IF(H140&lt;&gt;"",VLOOKUP(SUM(I140+J140),'CONCEPTOS Y PARAMETROS'!F:G,2,0)*V140,0),2)</f>
        <v>34.840000000000003</v>
      </c>
      <c r="AB140" s="1637">
        <f>IF(S140&lt;&gt;"",IF(M140="",'CONCEPTOS Y PARAMETROS'!$C$4,0),0)</f>
        <v>130</v>
      </c>
      <c r="AC140" s="1637">
        <f>IF(S140&lt;&gt;"",IF(M140="",'CONCEPTOS Y PARAMETROS'!$C$7*Z140,0),0)</f>
        <v>0</v>
      </c>
      <c r="AD140" s="1637">
        <f>IFERROR(ROUND(VLOOKUP($X140,'CONCEPTOS Y PARAMETROS'!H:I,2,0)*($V140+AA140+AB140+AC140),2),0)</f>
        <v>111.46</v>
      </c>
      <c r="AE140" s="1637">
        <f t="shared" si="285"/>
        <v>276.3</v>
      </c>
      <c r="AF140" s="1637">
        <f t="shared" si="290"/>
        <v>17.420000000000002</v>
      </c>
      <c r="AG140" s="1637">
        <f t="shared" si="291"/>
        <v>17.420000000000002</v>
      </c>
      <c r="AH140" s="1637">
        <f t="shared" si="292"/>
        <v>65</v>
      </c>
      <c r="AI140" s="1637">
        <f t="shared" si="293"/>
        <v>65</v>
      </c>
      <c r="AJ140" s="1637">
        <f t="shared" si="294"/>
        <v>55.73</v>
      </c>
      <c r="AK140" s="1637">
        <f t="shared" si="295"/>
        <v>55.73</v>
      </c>
      <c r="AL140" s="1638">
        <f t="shared" si="296"/>
        <v>138.15</v>
      </c>
      <c r="AM140" s="1638">
        <f t="shared" si="297"/>
        <v>138.15</v>
      </c>
      <c r="AN140" s="1639">
        <v>0</v>
      </c>
      <c r="AO140" s="1640">
        <f>'CONCEPTOS Y PARAMETROS'!$C$18*AN140</f>
        <v>0</v>
      </c>
      <c r="AP140" s="1639">
        <v>0</v>
      </c>
      <c r="AQ140" s="1640">
        <f>'CONCEPTOS Y PARAMETROS'!$C$21*AP140</f>
        <v>0</v>
      </c>
      <c r="AR140" s="1641">
        <v>0</v>
      </c>
      <c r="AS140" s="1641">
        <v>0</v>
      </c>
      <c r="AT140" s="1641">
        <f t="shared" si="286"/>
        <v>0</v>
      </c>
      <c r="AU140" s="1638">
        <f t="shared" si="298"/>
        <v>557.29999999999995</v>
      </c>
      <c r="AV140" s="1642">
        <v>0</v>
      </c>
      <c r="AW140" s="1638">
        <f t="shared" si="299"/>
        <v>0</v>
      </c>
      <c r="AX140" s="1637">
        <f>IF(T140&lt;&gt;"0",(ROUND(IF(A140="EMPLEADO",eval_formula('CONCEPTOS Y PARAMETROS'!$C$8,NOMINA!V140,NOMINA!$AU140,NOMINA!I140+NOMINA!J140),eval_formula('CONCEPTOS Y PARAMETROS'!$D$8,NOMINA!V140,NOMINA!$AU140,NOMINA!I140+NOMINA!J140)),2))*IF(H140&lt;&gt;"",IF(MONTH(H140)=$BR$8,IF(YEAR(H140)&lt;$BT$7,1,0),0)))</f>
        <v>0</v>
      </c>
      <c r="AY140" s="1638">
        <v>180</v>
      </c>
      <c r="AZ140" s="1637">
        <f>IFERROR(VLOOKUP(AY140,'CONCEPTOS Y PARAMETROS'!Y:Z,2,0),0)</f>
        <v>150</v>
      </c>
      <c r="BA140" s="1637">
        <f t="shared" si="300"/>
        <v>4179.75</v>
      </c>
      <c r="BB140" s="1637">
        <f t="shared" si="287"/>
        <v>0</v>
      </c>
      <c r="BC140" s="1639">
        <v>0</v>
      </c>
      <c r="BD140" s="1637" t="str">
        <f t="shared" si="301"/>
        <v>0</v>
      </c>
      <c r="BE140" s="1639">
        <v>0</v>
      </c>
      <c r="BF140" s="1637">
        <f t="shared" si="334"/>
        <v>0</v>
      </c>
      <c r="BG140" s="1638">
        <v>300</v>
      </c>
      <c r="BH140" s="1638">
        <f t="shared" si="261"/>
        <v>0</v>
      </c>
      <c r="BI140" s="1628">
        <v>0</v>
      </c>
      <c r="BJ140" s="1628">
        <f t="shared" si="262"/>
        <v>0</v>
      </c>
      <c r="BK140" s="1638">
        <v>0</v>
      </c>
      <c r="BL140" s="1637">
        <f t="shared" si="329"/>
        <v>20.58</v>
      </c>
      <c r="BM140" s="1637">
        <f t="shared" si="330"/>
        <v>2.57</v>
      </c>
      <c r="BN140" s="1637">
        <f t="shared" si="263"/>
        <v>5.57</v>
      </c>
      <c r="BO140" s="1637">
        <v>0</v>
      </c>
      <c r="BP140" s="1637">
        <v>0</v>
      </c>
      <c r="BQ140" s="1643">
        <f t="shared" si="302"/>
        <v>28.72</v>
      </c>
      <c r="BR140" s="1637">
        <f t="shared" si="331"/>
        <v>46.3</v>
      </c>
      <c r="BS140" s="1637">
        <f t="shared" si="332"/>
        <v>10.29</v>
      </c>
      <c r="BT140" s="1637">
        <f t="shared" si="264"/>
        <v>11.14</v>
      </c>
      <c r="BU140" s="1637">
        <v>0</v>
      </c>
      <c r="BV140" s="1638">
        <f t="shared" si="303"/>
        <v>67.73</v>
      </c>
      <c r="BW140" s="1644">
        <f t="shared" si="304"/>
        <v>96.45</v>
      </c>
      <c r="BX140" s="1644">
        <f t="shared" si="333"/>
        <v>1044.94</v>
      </c>
      <c r="BY140" s="1638">
        <v>0</v>
      </c>
      <c r="BZ140" s="1638">
        <f t="shared" si="265"/>
        <v>1044.94</v>
      </c>
      <c r="CA140" s="1645">
        <f>'CONCEPTOS Y PARAMETROS'!$A$102</f>
        <v>2120</v>
      </c>
      <c r="CB140" s="1644">
        <f t="shared" si="266"/>
        <v>249.92999999999998</v>
      </c>
      <c r="CC140" s="1646">
        <f t="shared" si="267"/>
        <v>578.65</v>
      </c>
      <c r="CD140" s="1647"/>
      <c r="CE140" s="1647"/>
      <c r="CF140" s="1648"/>
      <c r="CG140" s="1649">
        <f t="shared" si="268"/>
        <v>249.92999999999998</v>
      </c>
      <c r="CH140" s="1713">
        <f t="shared" si="269"/>
        <v>300</v>
      </c>
      <c r="CI140" s="1649">
        <f t="shared" si="270"/>
        <v>578.65</v>
      </c>
      <c r="CJ140" s="1649">
        <f t="shared" si="271"/>
        <v>277.75</v>
      </c>
      <c r="CK140" s="1649">
        <f t="shared" si="272"/>
        <v>300.89999999999998</v>
      </c>
      <c r="CL140" s="1649">
        <f t="shared" si="273"/>
        <v>0</v>
      </c>
      <c r="CM140" s="1649">
        <f t="shared" si="274"/>
        <v>0</v>
      </c>
      <c r="CN140" s="1650">
        <f t="shared" si="275"/>
        <v>0</v>
      </c>
      <c r="CO140" s="1651">
        <v>0</v>
      </c>
      <c r="CP140" s="1650">
        <f t="shared" si="276"/>
        <v>0</v>
      </c>
      <c r="CQ140" s="1652">
        <f t="shared" si="277"/>
        <v>0</v>
      </c>
      <c r="CR140" s="1650">
        <f t="shared" si="278"/>
        <v>0</v>
      </c>
      <c r="CS140" s="1650">
        <f t="shared" si="279"/>
        <v>0</v>
      </c>
      <c r="CT140" s="1650">
        <f t="shared" si="280"/>
        <v>96.45</v>
      </c>
      <c r="CU140" s="1650">
        <f t="shared" si="281"/>
        <v>2120</v>
      </c>
      <c r="CV140" s="1653"/>
      <c r="CW140" s="1627" t="s">
        <v>6981</v>
      </c>
      <c r="CX140" s="1627" t="s">
        <v>7268</v>
      </c>
      <c r="CY140" s="1647"/>
      <c r="CZ140" s="1647" t="s">
        <v>6483</v>
      </c>
      <c r="DA140" s="1657" t="s">
        <v>6173</v>
      </c>
      <c r="DB140" s="1657" t="s">
        <v>6265</v>
      </c>
      <c r="DC140" s="1647" t="s">
        <v>6576</v>
      </c>
      <c r="DD140" s="1647"/>
      <c r="DE140" s="1647"/>
      <c r="DF140" s="1647"/>
      <c r="DG140" s="1647"/>
      <c r="DH140" s="1647"/>
      <c r="DJ140" s="1654" t="str">
        <f>VLOOKUP(X140,Hoja1!$A$4:$B$10,2,0)</f>
        <v>PROFESIONAL</v>
      </c>
      <c r="DK140" s="1654" t="str">
        <f>VLOOKUP(S140,Hoja1!$D$4:$F$77,3,0)</f>
        <v>PII - IV</v>
      </c>
      <c r="DL140" s="1655" t="str">
        <f t="shared" si="282"/>
        <v>0</v>
      </c>
      <c r="DM140" s="1742" t="str">
        <f t="shared" si="283"/>
        <v>F</v>
      </c>
      <c r="DN140" s="1742"/>
    </row>
    <row r="141" spans="1:118" s="930" customFormat="1" ht="21.95" customHeight="1">
      <c r="A141" s="929" t="s">
        <v>2846</v>
      </c>
      <c r="B141" s="1404">
        <f ca="1">OFFSET(B141,-1,0)+1</f>
        <v>99</v>
      </c>
      <c r="C141" s="1405">
        <v>13896239</v>
      </c>
      <c r="D141" s="1627" t="s">
        <v>4688</v>
      </c>
      <c r="E141" s="1407" t="s">
        <v>4622</v>
      </c>
      <c r="F141" s="1408">
        <v>28795</v>
      </c>
      <c r="G141" s="1407" t="s">
        <v>4620</v>
      </c>
      <c r="H141" s="1408">
        <v>42416</v>
      </c>
      <c r="I141" s="1409">
        <f t="shared" si="259"/>
        <v>8</v>
      </c>
      <c r="J141" s="1410">
        <v>0</v>
      </c>
      <c r="K141" s="1409">
        <f t="shared" si="260"/>
        <v>8</v>
      </c>
      <c r="L141" s="1411" t="s">
        <v>5545</v>
      </c>
      <c r="M141" s="1410"/>
      <c r="N141" s="1410"/>
      <c r="O141" s="1412" t="s">
        <v>5263</v>
      </c>
      <c r="P141" s="1410" t="s">
        <v>5209</v>
      </c>
      <c r="Q141" s="1413" t="str">
        <f>IFERROR(VLOOKUP(O141,CARGOS!A:E,2,0),"")</f>
        <v>13414</v>
      </c>
      <c r="R141" s="1412" t="s">
        <v>5263</v>
      </c>
      <c r="S141" s="1414" t="s">
        <v>5493</v>
      </c>
      <c r="T141" s="1415">
        <v>0</v>
      </c>
      <c r="U141" s="1382">
        <v>0</v>
      </c>
      <c r="V141" s="1415">
        <f>T141-U141</f>
        <v>0</v>
      </c>
      <c r="W141" s="1382">
        <f>ROUND(V141/2,2)</f>
        <v>0</v>
      </c>
      <c r="X141" s="1407" t="s">
        <v>2884</v>
      </c>
      <c r="Y141" s="1407"/>
      <c r="Z141" s="1407">
        <v>0</v>
      </c>
      <c r="AA141" s="1415">
        <f>ROUND(IF(H141&lt;&gt;"",VLOOKUP(SUM(I141+J141),'CONCEPTOS Y PARAMETROS'!F:G,2,0)*V141,0),2)</f>
        <v>0</v>
      </c>
      <c r="AB141" s="1415">
        <v>0</v>
      </c>
      <c r="AC141" s="1415">
        <v>0</v>
      </c>
      <c r="AD141" s="1415">
        <f>IFERROR(ROUND(VLOOKUP($X141,'CONCEPTOS Y PARAMETROS'!H:I,2,0)*($V141+AA141+AB141+AC141),2),0)</f>
        <v>0</v>
      </c>
      <c r="AE141" s="1415">
        <f t="shared" ref="AE141" si="356">SUM(AA141:AD141)</f>
        <v>0</v>
      </c>
      <c r="AF141" s="1415">
        <f>ROUND(AA141/2,2)</f>
        <v>0</v>
      </c>
      <c r="AG141" s="1415">
        <f>ROUND(AA141-AF141,2)</f>
        <v>0</v>
      </c>
      <c r="AH141" s="1415">
        <f>ROUND(AB141/2,2)</f>
        <v>0</v>
      </c>
      <c r="AI141" s="1415">
        <f>ROUND(AB141-AH141,2)</f>
        <v>0</v>
      </c>
      <c r="AJ141" s="1415">
        <f>ROUND(AD141/2,2)</f>
        <v>0</v>
      </c>
      <c r="AK141" s="1415">
        <f>ROUND(AD141-AJ141,2)</f>
        <v>0</v>
      </c>
      <c r="AL141" s="1382">
        <f>ROUND(AF141+AH141+AJ141+AC141,2)</f>
        <v>0</v>
      </c>
      <c r="AM141" s="1382">
        <f>ROUND(AG141+AI141+AK141,2)</f>
        <v>0</v>
      </c>
      <c r="AN141" s="1416">
        <v>0</v>
      </c>
      <c r="AO141" s="1417">
        <v>0</v>
      </c>
      <c r="AP141" s="1416">
        <v>0</v>
      </c>
      <c r="AQ141" s="1417">
        <f>'CONCEPTOS Y PARAMETROS'!$C$21*AP141</f>
        <v>0</v>
      </c>
      <c r="AR141" s="1418">
        <v>0</v>
      </c>
      <c r="AS141" s="1418">
        <v>0</v>
      </c>
      <c r="AT141" s="1418">
        <f t="shared" ref="AT141" si="357">+AO141+AQ141+AR141+AS141</f>
        <v>0</v>
      </c>
      <c r="AU141" s="1382">
        <f>V141+AE141+AW141</f>
        <v>0</v>
      </c>
      <c r="AV141" s="1419">
        <v>0</v>
      </c>
      <c r="AW141" s="1382">
        <f>ROUND(IF(O141="VIGILANTE",(V141+AE141)*30%,0),2)</f>
        <v>0</v>
      </c>
      <c r="AX141" s="1415">
        <f>IF(T141&lt;&gt;"0",(ROUND(IF(A141="EMPLEADO",eval_formula('CONCEPTOS Y PARAMETROS'!$C$8,NOMINA!V141,NOMINA!$AU141,NOMINA!I141+NOMINA!J141),eval_formula('CONCEPTOS Y PARAMETROS'!$D$8,NOMINA!V141,NOMINA!$AU141,NOMINA!I141+NOMINA!J141)),2))*IF(H141&lt;&gt;"",IF(MONTH(H141)=$BR$8,IF(YEAR(H141)&lt;$BT$7,1,0),0)))</f>
        <v>0</v>
      </c>
      <c r="AY141" s="1382">
        <v>180</v>
      </c>
      <c r="AZ141" s="1415">
        <f>IFERROR(VLOOKUP(AY141,'CONCEPTOS Y PARAMETROS'!Y:Z,2,0),0)</f>
        <v>150</v>
      </c>
      <c r="BA141" s="1415">
        <f>ROUND((((AU141))/30*AY141/12+(AU141))/30*AZ141,2)</f>
        <v>0</v>
      </c>
      <c r="BB141" s="1415">
        <f t="shared" si="287"/>
        <v>0</v>
      </c>
      <c r="BC141" s="1416">
        <v>0</v>
      </c>
      <c r="BD141" s="1415" t="str">
        <f>IF(BC141&gt;0,((((((V141+AA141+AB141+AC141+AD141)/30)/8)*50%)+((((V141+AA141+AB141+AC141+AD141)/30)/8)))*30%+(((((V141+AA141+AB141+AC141+AD141)/30)/8)*50%)+((((V141+AA141+AB141+AC141+AD141)/30)/8))))*BC141,"0")</f>
        <v>0</v>
      </c>
      <c r="BE141" s="1416">
        <v>0</v>
      </c>
      <c r="BF141" s="1415">
        <f t="shared" si="334"/>
        <v>0</v>
      </c>
      <c r="BG141" s="1382">
        <v>0</v>
      </c>
      <c r="BH141" s="1382">
        <f t="shared" si="261"/>
        <v>0</v>
      </c>
      <c r="BI141" s="1382">
        <v>0</v>
      </c>
      <c r="BJ141" s="1382">
        <f t="shared" si="262"/>
        <v>0</v>
      </c>
      <c r="BK141" s="1382">
        <v>0</v>
      </c>
      <c r="BL141" s="1415">
        <f t="shared" si="329"/>
        <v>0</v>
      </c>
      <c r="BM141" s="1415">
        <f t="shared" si="330"/>
        <v>0</v>
      </c>
      <c r="BN141" s="1415">
        <f t="shared" si="263"/>
        <v>0</v>
      </c>
      <c r="BO141" s="1415">
        <v>0</v>
      </c>
      <c r="BP141" s="1415">
        <v>0</v>
      </c>
      <c r="BQ141" s="1420">
        <f t="shared" ref="BQ141" si="358">ROUND(SUM(BL141:BP141),2)</f>
        <v>0</v>
      </c>
      <c r="BR141" s="1415">
        <f t="shared" si="331"/>
        <v>0</v>
      </c>
      <c r="BS141" s="1415">
        <f t="shared" si="332"/>
        <v>0</v>
      </c>
      <c r="BT141" s="1415">
        <f t="shared" si="264"/>
        <v>0</v>
      </c>
      <c r="BU141" s="1415">
        <v>0</v>
      </c>
      <c r="BV141" s="1382">
        <f t="shared" ref="BV141" si="359">ROUND(SUM(BR141:BT141),2)</f>
        <v>0</v>
      </c>
      <c r="BW141" s="1379">
        <f>BQ141+BV141</f>
        <v>0</v>
      </c>
      <c r="BX141" s="1379">
        <f t="shared" si="333"/>
        <v>0</v>
      </c>
      <c r="BY141" s="1382">
        <v>0</v>
      </c>
      <c r="BZ141" s="1382">
        <f t="shared" si="265"/>
        <v>0</v>
      </c>
      <c r="CA141" s="1421">
        <v>0</v>
      </c>
      <c r="CB141" s="1379">
        <f t="shared" si="266"/>
        <v>0</v>
      </c>
      <c r="CC141" s="1422">
        <f t="shared" si="267"/>
        <v>0</v>
      </c>
      <c r="CD141" s="514"/>
      <c r="CE141" s="514"/>
      <c r="CG141" s="931">
        <f t="shared" si="268"/>
        <v>0</v>
      </c>
      <c r="CH141" s="1714">
        <f t="shared" si="269"/>
        <v>0</v>
      </c>
      <c r="CI141" s="931">
        <f t="shared" si="270"/>
        <v>0</v>
      </c>
      <c r="CJ141" s="931">
        <f t="shared" si="271"/>
        <v>0</v>
      </c>
      <c r="CK141" s="931">
        <f t="shared" si="272"/>
        <v>0</v>
      </c>
      <c r="CL141" s="931">
        <f t="shared" si="273"/>
        <v>0</v>
      </c>
      <c r="CM141" s="931">
        <f t="shared" si="274"/>
        <v>0</v>
      </c>
      <c r="CN141" s="932">
        <f t="shared" si="275"/>
        <v>0</v>
      </c>
      <c r="CO141" s="933">
        <v>0</v>
      </c>
      <c r="CP141" s="932">
        <f t="shared" si="276"/>
        <v>0</v>
      </c>
      <c r="CQ141" s="934">
        <f t="shared" si="277"/>
        <v>0</v>
      </c>
      <c r="CR141" s="932">
        <f t="shared" si="278"/>
        <v>0</v>
      </c>
      <c r="CS141" s="932">
        <f t="shared" si="279"/>
        <v>0</v>
      </c>
      <c r="CT141" s="932">
        <f t="shared" si="280"/>
        <v>0</v>
      </c>
      <c r="CU141" s="932">
        <f t="shared" si="281"/>
        <v>0</v>
      </c>
      <c r="CV141" s="1557"/>
      <c r="CW141" s="1406" t="s">
        <v>7186</v>
      </c>
      <c r="CX141" s="1406" t="s">
        <v>6982</v>
      </c>
      <c r="CY141" s="935"/>
      <c r="CZ141" s="514" t="s">
        <v>6224</v>
      </c>
      <c r="DA141" s="478"/>
      <c r="DB141" s="478"/>
      <c r="DC141" s="478"/>
      <c r="DD141" s="514"/>
      <c r="DE141" s="514"/>
      <c r="DF141" s="935"/>
      <c r="DG141" s="935"/>
      <c r="DH141" s="935"/>
      <c r="DJ141" s="930" t="str">
        <f>VLOOKUP(X141,Hoja1!$A$4:$B$10,2,0)</f>
        <v>BACHILLER</v>
      </c>
      <c r="DK141" s="930" t="str">
        <f>VLOOKUP(S141,Hoja1!$D$4:$F$77,3,0)</f>
        <v>BIII - III</v>
      </c>
      <c r="DL141" s="1217" t="str">
        <f t="shared" si="282"/>
        <v>0</v>
      </c>
      <c r="DM141" s="1745" t="str">
        <f t="shared" si="283"/>
        <v>F</v>
      </c>
      <c r="DN141" s="1745"/>
    </row>
    <row r="142" spans="1:118" s="473" customFormat="1" ht="21.95" customHeight="1">
      <c r="A142" s="510" t="s">
        <v>2846</v>
      </c>
      <c r="B142" s="1390">
        <f t="shared" ca="1" si="355"/>
        <v>100</v>
      </c>
      <c r="C142" s="1194">
        <v>13897046</v>
      </c>
      <c r="D142" s="1195" t="s">
        <v>4780</v>
      </c>
      <c r="E142" s="1180" t="s">
        <v>4622</v>
      </c>
      <c r="F142" s="1196">
        <v>28835</v>
      </c>
      <c r="G142" s="1180" t="s">
        <v>4620</v>
      </c>
      <c r="H142" s="1196">
        <v>42384</v>
      </c>
      <c r="I142" s="1185">
        <f t="shared" si="259"/>
        <v>9</v>
      </c>
      <c r="J142" s="1177">
        <v>0</v>
      </c>
      <c r="K142" s="1185">
        <f t="shared" si="260"/>
        <v>9</v>
      </c>
      <c r="L142" s="1191" t="s">
        <v>5561</v>
      </c>
      <c r="M142" s="1177"/>
      <c r="N142" s="1177"/>
      <c r="O142" s="1040" t="s">
        <v>5254</v>
      </c>
      <c r="P142" s="1177" t="s">
        <v>5351</v>
      </c>
      <c r="Q142" s="1391" t="str">
        <f>IFERROR(VLOOKUP(O142,CARGOS!A:E,2,0),"")</f>
        <v>79342</v>
      </c>
      <c r="R142" s="1403" t="s">
        <v>5254</v>
      </c>
      <c r="S142" s="1192" t="s">
        <v>5485</v>
      </c>
      <c r="T142" s="1150">
        <f>IFERROR(VLOOKUP(S142,'TAB EMP'!A:B,2,0),0)</f>
        <v>223</v>
      </c>
      <c r="U142" s="1151">
        <v>0</v>
      </c>
      <c r="V142" s="1150">
        <f t="shared" si="288"/>
        <v>223</v>
      </c>
      <c r="W142" s="1151">
        <f t="shared" si="289"/>
        <v>111.5</v>
      </c>
      <c r="X142" s="1180" t="s">
        <v>2844</v>
      </c>
      <c r="Y142" s="1180"/>
      <c r="Z142" s="1180">
        <v>2</v>
      </c>
      <c r="AA142" s="1150">
        <f>ROUND(IF(H142&lt;&gt;"",VLOOKUP(SUM(I142+J142),'CONCEPTOS Y PARAMETROS'!F:G,2,0)*V142,0),2)</f>
        <v>21.85</v>
      </c>
      <c r="AB142" s="1150">
        <f>IF(S142&lt;&gt;"",IF(M142="",'CONCEPTOS Y PARAMETROS'!$C$4,0),0)</f>
        <v>130</v>
      </c>
      <c r="AC142" s="1150">
        <f>IF(S142&lt;&gt;"",IF(M142="",'CONCEPTOS Y PARAMETROS'!$C$7*Z142,0),0)</f>
        <v>25</v>
      </c>
      <c r="AD142" s="1150">
        <f>IFERROR(ROUND(VLOOKUP($X142,'CONCEPTOS Y PARAMETROS'!H:I,2,0)*($V142+AA142+AB142+AC142),2),0)</f>
        <v>79.97</v>
      </c>
      <c r="AE142" s="1150">
        <f t="shared" si="285"/>
        <v>256.82</v>
      </c>
      <c r="AF142" s="1150">
        <f t="shared" si="290"/>
        <v>10.93</v>
      </c>
      <c r="AG142" s="1150">
        <f t="shared" si="291"/>
        <v>10.92</v>
      </c>
      <c r="AH142" s="1150">
        <f t="shared" si="292"/>
        <v>65</v>
      </c>
      <c r="AI142" s="1150">
        <f t="shared" si="293"/>
        <v>65</v>
      </c>
      <c r="AJ142" s="1150">
        <f t="shared" si="294"/>
        <v>39.99</v>
      </c>
      <c r="AK142" s="1150">
        <f t="shared" si="295"/>
        <v>39.979999999999997</v>
      </c>
      <c r="AL142" s="1151">
        <f t="shared" si="296"/>
        <v>140.91999999999999</v>
      </c>
      <c r="AM142" s="1151">
        <f t="shared" si="297"/>
        <v>115.9</v>
      </c>
      <c r="AN142" s="1583">
        <v>2</v>
      </c>
      <c r="AO142" s="1193">
        <f>'CONCEPTOS Y PARAMETROS'!$C$18*AN142</f>
        <v>25</v>
      </c>
      <c r="AP142" s="1028">
        <v>0</v>
      </c>
      <c r="AQ142" s="1193">
        <f>'CONCEPTOS Y PARAMETROS'!$C$21*AP142</f>
        <v>0</v>
      </c>
      <c r="AR142" s="1394">
        <v>0</v>
      </c>
      <c r="AS142" s="1394">
        <v>0</v>
      </c>
      <c r="AT142" s="1394">
        <f t="shared" si="286"/>
        <v>25</v>
      </c>
      <c r="AU142" s="1151">
        <f t="shared" si="298"/>
        <v>479.82</v>
      </c>
      <c r="AV142" s="1178">
        <v>0</v>
      </c>
      <c r="AW142" s="1151">
        <f t="shared" si="299"/>
        <v>0</v>
      </c>
      <c r="AX142" s="1150">
        <f>IF(T142&lt;&gt;"0",(ROUND(IF(A142="EMPLEADO",eval_formula('CONCEPTOS Y PARAMETROS'!$C$8,NOMINA!V142,NOMINA!$AU142,NOMINA!I142+NOMINA!J142),eval_formula('CONCEPTOS Y PARAMETROS'!$D$8,NOMINA!V142,NOMINA!$AU142,NOMINA!I142+NOMINA!J142)),2))*IF(H142&lt;&gt;"",IF(MONTH(H142)=$BR$8,IF(YEAR(H142)&lt;$BT$7,1,0),0)))</f>
        <v>3838.56</v>
      </c>
      <c r="AY142" s="1151">
        <v>180</v>
      </c>
      <c r="AZ142" s="1150">
        <f>IFERROR(VLOOKUP(AY142,'CONCEPTOS Y PARAMETROS'!Y:Z,2,0),0)</f>
        <v>150</v>
      </c>
      <c r="BA142" s="1150">
        <f t="shared" si="300"/>
        <v>3598.65</v>
      </c>
      <c r="BB142" s="1150">
        <f t="shared" si="287"/>
        <v>0</v>
      </c>
      <c r="BC142" s="1028">
        <v>0</v>
      </c>
      <c r="BD142" s="1150" t="str">
        <f t="shared" si="301"/>
        <v>0</v>
      </c>
      <c r="BE142" s="1028">
        <v>0</v>
      </c>
      <c r="BF142" s="1150">
        <f t="shared" si="334"/>
        <v>0</v>
      </c>
      <c r="BG142" s="1151">
        <v>300</v>
      </c>
      <c r="BH142" s="1151">
        <f t="shared" si="261"/>
        <v>0</v>
      </c>
      <c r="BI142" s="1180">
        <v>0</v>
      </c>
      <c r="BJ142" s="1180">
        <f t="shared" si="262"/>
        <v>0</v>
      </c>
      <c r="BK142" s="1151">
        <v>0</v>
      </c>
      <c r="BL142" s="1150">
        <f t="shared" si="329"/>
        <v>17.72</v>
      </c>
      <c r="BM142" s="1150">
        <f t="shared" si="330"/>
        <v>2.21</v>
      </c>
      <c r="BN142" s="1150">
        <f t="shared" si="263"/>
        <v>4.8</v>
      </c>
      <c r="BO142" s="1150">
        <v>0</v>
      </c>
      <c r="BP142" s="1150">
        <v>0</v>
      </c>
      <c r="BQ142" s="1396">
        <f t="shared" si="302"/>
        <v>24.73</v>
      </c>
      <c r="BR142" s="1150">
        <f t="shared" si="331"/>
        <v>39.86</v>
      </c>
      <c r="BS142" s="1150">
        <f t="shared" si="332"/>
        <v>8.86</v>
      </c>
      <c r="BT142" s="1150">
        <f t="shared" si="264"/>
        <v>9.6</v>
      </c>
      <c r="BU142" s="1150">
        <v>0</v>
      </c>
      <c r="BV142" s="1151">
        <f t="shared" si="303"/>
        <v>58.32</v>
      </c>
      <c r="BW142" s="1155">
        <f t="shared" si="304"/>
        <v>83.05</v>
      </c>
      <c r="BX142" s="1155">
        <f t="shared" si="333"/>
        <v>899.66</v>
      </c>
      <c r="BY142" s="1151">
        <v>0</v>
      </c>
      <c r="BZ142" s="1151">
        <f t="shared" si="265"/>
        <v>899.66</v>
      </c>
      <c r="CA142" s="1397">
        <f>'CONCEPTOS Y PARAMETROS'!$A$102</f>
        <v>2120</v>
      </c>
      <c r="CB142" s="1155">
        <f t="shared" si="266"/>
        <v>227.69</v>
      </c>
      <c r="CC142" s="1156">
        <f t="shared" si="267"/>
        <v>4390.96</v>
      </c>
      <c r="CD142" s="514"/>
      <c r="CE142" s="514"/>
      <c r="CF142" s="520"/>
      <c r="CG142" s="497">
        <f t="shared" si="268"/>
        <v>227.69</v>
      </c>
      <c r="CH142" s="1711">
        <f t="shared" si="269"/>
        <v>300</v>
      </c>
      <c r="CI142" s="497">
        <f t="shared" si="270"/>
        <v>527.4</v>
      </c>
      <c r="CJ142" s="497">
        <f t="shared" si="271"/>
        <v>527.4</v>
      </c>
      <c r="CK142" s="497">
        <f t="shared" si="272"/>
        <v>0</v>
      </c>
      <c r="CL142" s="497">
        <f t="shared" si="273"/>
        <v>0</v>
      </c>
      <c r="CM142" s="497">
        <f t="shared" si="274"/>
        <v>0</v>
      </c>
      <c r="CN142" s="498">
        <f t="shared" si="275"/>
        <v>0</v>
      </c>
      <c r="CO142" s="499">
        <v>0</v>
      </c>
      <c r="CP142" s="498">
        <f t="shared" si="276"/>
        <v>0</v>
      </c>
      <c r="CQ142" s="500">
        <f t="shared" si="277"/>
        <v>25</v>
      </c>
      <c r="CR142" s="498">
        <f t="shared" si="278"/>
        <v>3838.56</v>
      </c>
      <c r="CS142" s="498">
        <f t="shared" si="279"/>
        <v>3863.56</v>
      </c>
      <c r="CT142" s="498">
        <f t="shared" si="280"/>
        <v>83.05</v>
      </c>
      <c r="CU142" s="498">
        <f t="shared" si="281"/>
        <v>2120</v>
      </c>
      <c r="CV142" s="1554"/>
      <c r="CW142" s="1195" t="s">
        <v>7194</v>
      </c>
      <c r="CX142" s="1195" t="s">
        <v>6983</v>
      </c>
      <c r="CY142" s="472"/>
      <c r="CZ142" s="514" t="s">
        <v>6369</v>
      </c>
      <c r="DA142" s="514" t="s">
        <v>6173</v>
      </c>
      <c r="DB142" s="514" t="s">
        <v>6185</v>
      </c>
      <c r="DC142" s="514" t="s">
        <v>6579</v>
      </c>
      <c r="DD142" s="514"/>
      <c r="DE142" s="514"/>
      <c r="DF142" s="472"/>
      <c r="DG142" s="472"/>
      <c r="DH142" s="472"/>
      <c r="DJ142" s="473" t="str">
        <f>VLOOKUP(X142,Hoja1!$A$4:$B$10,2,0)</f>
        <v>TÉCNICO SUPERIOR UNIVERSITARIO</v>
      </c>
      <c r="DK142" s="473" t="str">
        <f>VLOOKUP(S142,Hoja1!$D$4:$F$77,3,0)</f>
        <v>TII - IV</v>
      </c>
      <c r="DL142" s="1216" t="str">
        <f t="shared" si="282"/>
        <v>0</v>
      </c>
      <c r="DM142" s="1741" t="str">
        <f t="shared" si="283"/>
        <v>F</v>
      </c>
      <c r="DN142" s="1741"/>
    </row>
    <row r="143" spans="1:118" s="478" customFormat="1" ht="21.95" customHeight="1">
      <c r="A143" s="510" t="s">
        <v>2846</v>
      </c>
      <c r="B143" s="1390">
        <f t="shared" ca="1" si="355"/>
        <v>101</v>
      </c>
      <c r="C143" s="1194">
        <v>13897695</v>
      </c>
      <c r="D143" s="1195" t="s">
        <v>4781</v>
      </c>
      <c r="E143" s="1180" t="s">
        <v>4622</v>
      </c>
      <c r="F143" s="1196">
        <v>29016</v>
      </c>
      <c r="G143" s="1180" t="s">
        <v>4620</v>
      </c>
      <c r="H143" s="1196">
        <v>39496</v>
      </c>
      <c r="I143" s="1185">
        <f t="shared" si="259"/>
        <v>16</v>
      </c>
      <c r="J143" s="1177">
        <v>3</v>
      </c>
      <c r="K143" s="1185">
        <f t="shared" si="260"/>
        <v>19</v>
      </c>
      <c r="L143" s="1191" t="s">
        <v>5538</v>
      </c>
      <c r="M143" s="1177"/>
      <c r="N143" s="1177"/>
      <c r="O143" s="1040" t="s">
        <v>5246</v>
      </c>
      <c r="P143" s="1177" t="s">
        <v>5352</v>
      </c>
      <c r="Q143" s="1391" t="str">
        <f>IFERROR(VLOOKUP(O143,CARGOS!A:E,2,0),"")</f>
        <v>13420</v>
      </c>
      <c r="R143" s="1403" t="s">
        <v>5246</v>
      </c>
      <c r="S143" s="1192" t="s">
        <v>5471</v>
      </c>
      <c r="T143" s="1150">
        <f>IFERROR(VLOOKUP(S143,'TAB EMP'!A:B,2,0),0)</f>
        <v>287</v>
      </c>
      <c r="U143" s="1151">
        <v>0</v>
      </c>
      <c r="V143" s="1150">
        <f t="shared" si="288"/>
        <v>287</v>
      </c>
      <c r="W143" s="1151">
        <f t="shared" si="289"/>
        <v>143.5</v>
      </c>
      <c r="X143" s="1180" t="s">
        <v>2885</v>
      </c>
      <c r="Y143" s="1180"/>
      <c r="Z143" s="1180">
        <v>2</v>
      </c>
      <c r="AA143" s="1150">
        <f>ROUND(IF(H143&lt;&gt;"",VLOOKUP(SUM(I143+J143),'CONCEPTOS Y PARAMETROS'!F:G,2,0)*V143,0),2)</f>
        <v>70.03</v>
      </c>
      <c r="AB143" s="1150">
        <f>IF(S143&lt;&gt;"",IF(M143="",'CONCEPTOS Y PARAMETROS'!$C$4,0),0)</f>
        <v>130</v>
      </c>
      <c r="AC143" s="1150">
        <f>IF(S143&lt;&gt;"",IF(M143="",'CONCEPTOS Y PARAMETROS'!$C$7*Z143,0),0)</f>
        <v>25</v>
      </c>
      <c r="AD143" s="1150">
        <f>IFERROR(ROUND(VLOOKUP($X143,'CONCEPTOS Y PARAMETROS'!H:I,2,0)*($V143+AA143+AB143+AC143),2),0)</f>
        <v>128.01</v>
      </c>
      <c r="AE143" s="1150">
        <f t="shared" si="285"/>
        <v>353.03999999999996</v>
      </c>
      <c r="AF143" s="1150">
        <f t="shared" si="290"/>
        <v>35.020000000000003</v>
      </c>
      <c r="AG143" s="1150">
        <f t="shared" si="291"/>
        <v>35.01</v>
      </c>
      <c r="AH143" s="1150">
        <f t="shared" si="292"/>
        <v>65</v>
      </c>
      <c r="AI143" s="1150">
        <f t="shared" si="293"/>
        <v>65</v>
      </c>
      <c r="AJ143" s="1150">
        <f t="shared" si="294"/>
        <v>64.010000000000005</v>
      </c>
      <c r="AK143" s="1150">
        <f t="shared" si="295"/>
        <v>64</v>
      </c>
      <c r="AL143" s="1151">
        <f t="shared" si="296"/>
        <v>189.03</v>
      </c>
      <c r="AM143" s="1151">
        <f t="shared" si="297"/>
        <v>164.01</v>
      </c>
      <c r="AN143" s="1583">
        <v>2</v>
      </c>
      <c r="AO143" s="1193">
        <f>'CONCEPTOS Y PARAMETROS'!$C$18*AN143</f>
        <v>25</v>
      </c>
      <c r="AP143" s="1028">
        <v>0</v>
      </c>
      <c r="AQ143" s="1193">
        <f>'CONCEPTOS Y PARAMETROS'!$C$21*AP143</f>
        <v>0</v>
      </c>
      <c r="AR143" s="1394">
        <v>0</v>
      </c>
      <c r="AS143" s="1394">
        <v>0</v>
      </c>
      <c r="AT143" s="1394">
        <f t="shared" si="286"/>
        <v>25</v>
      </c>
      <c r="AU143" s="1151">
        <f t="shared" si="298"/>
        <v>640.04</v>
      </c>
      <c r="AV143" s="1178">
        <v>0</v>
      </c>
      <c r="AW143" s="1151">
        <f t="shared" si="299"/>
        <v>0</v>
      </c>
      <c r="AX143" s="1150">
        <f>IF(T143&lt;&gt;"0",(ROUND(IF(A143="EMPLEADO",eval_formula('CONCEPTOS Y PARAMETROS'!$C$8,NOMINA!V143,NOMINA!$AU143,NOMINA!I143+NOMINA!J143),eval_formula('CONCEPTOS Y PARAMETROS'!$D$8,NOMINA!V143,NOMINA!$AU143,NOMINA!I143+NOMINA!J143)),2))*IF(H143&lt;&gt;"",IF(MONTH(H143)=$BR$8,IF(YEAR(H143)&lt;$BT$7,1,0),0)))</f>
        <v>0</v>
      </c>
      <c r="AY143" s="1151">
        <v>180</v>
      </c>
      <c r="AZ143" s="1150">
        <f>IFERROR(VLOOKUP(AY143,'CONCEPTOS Y PARAMETROS'!Y:Z,2,0),0)</f>
        <v>150</v>
      </c>
      <c r="BA143" s="1150">
        <f t="shared" si="300"/>
        <v>4800.3</v>
      </c>
      <c r="BB143" s="1150">
        <f t="shared" si="287"/>
        <v>0</v>
      </c>
      <c r="BC143" s="1028">
        <v>0</v>
      </c>
      <c r="BD143" s="1150" t="str">
        <f t="shared" si="301"/>
        <v>0</v>
      </c>
      <c r="BE143" s="1028">
        <v>0</v>
      </c>
      <c r="BF143" s="1150">
        <f t="shared" si="334"/>
        <v>0</v>
      </c>
      <c r="BG143" s="1151">
        <v>300</v>
      </c>
      <c r="BH143" s="1151">
        <f t="shared" si="261"/>
        <v>0</v>
      </c>
      <c r="BI143" s="1180">
        <v>0</v>
      </c>
      <c r="BJ143" s="1180">
        <f t="shared" si="262"/>
        <v>0</v>
      </c>
      <c r="BK143" s="1151">
        <v>0</v>
      </c>
      <c r="BL143" s="1150">
        <f t="shared" si="329"/>
        <v>23.63</v>
      </c>
      <c r="BM143" s="1150">
        <f t="shared" si="330"/>
        <v>2.95</v>
      </c>
      <c r="BN143" s="1150">
        <f t="shared" si="263"/>
        <v>6.4</v>
      </c>
      <c r="BO143" s="1150">
        <v>0</v>
      </c>
      <c r="BP143" s="1150">
        <v>0</v>
      </c>
      <c r="BQ143" s="1396">
        <f t="shared" si="302"/>
        <v>32.979999999999997</v>
      </c>
      <c r="BR143" s="1150">
        <f t="shared" si="331"/>
        <v>53.17</v>
      </c>
      <c r="BS143" s="1150">
        <f t="shared" si="332"/>
        <v>11.82</v>
      </c>
      <c r="BT143" s="1150">
        <f t="shared" si="264"/>
        <v>12.8</v>
      </c>
      <c r="BU143" s="1150">
        <v>0</v>
      </c>
      <c r="BV143" s="1151">
        <f t="shared" si="303"/>
        <v>77.790000000000006</v>
      </c>
      <c r="BW143" s="1155">
        <f t="shared" si="304"/>
        <v>110.77000000000001</v>
      </c>
      <c r="BX143" s="1155">
        <f t="shared" si="333"/>
        <v>1200.08</v>
      </c>
      <c r="BY143" s="1151">
        <v>0</v>
      </c>
      <c r="BZ143" s="1151">
        <f t="shared" si="265"/>
        <v>1200.08</v>
      </c>
      <c r="CA143" s="1397">
        <f>'CONCEPTOS Y PARAMETROS'!$A$102</f>
        <v>2120</v>
      </c>
      <c r="CB143" s="1155">
        <f t="shared" si="266"/>
        <v>299.54999999999995</v>
      </c>
      <c r="CC143" s="1156">
        <f t="shared" si="267"/>
        <v>632.51</v>
      </c>
      <c r="CD143" s="514"/>
      <c r="CE143" s="514"/>
      <c r="CF143" s="520"/>
      <c r="CG143" s="497">
        <f t="shared" si="268"/>
        <v>299.54999999999995</v>
      </c>
      <c r="CH143" s="1711">
        <f t="shared" si="269"/>
        <v>300</v>
      </c>
      <c r="CI143" s="497">
        <f t="shared" si="270"/>
        <v>607.51</v>
      </c>
      <c r="CJ143" s="497">
        <f t="shared" si="271"/>
        <v>291.60000000000002</v>
      </c>
      <c r="CK143" s="497">
        <f t="shared" si="272"/>
        <v>315.90999999999997</v>
      </c>
      <c r="CL143" s="497">
        <f t="shared" si="273"/>
        <v>0</v>
      </c>
      <c r="CM143" s="497">
        <f t="shared" si="274"/>
        <v>0</v>
      </c>
      <c r="CN143" s="498">
        <f t="shared" si="275"/>
        <v>0</v>
      </c>
      <c r="CO143" s="499">
        <v>0</v>
      </c>
      <c r="CP143" s="498">
        <f t="shared" si="276"/>
        <v>0</v>
      </c>
      <c r="CQ143" s="500">
        <f t="shared" si="277"/>
        <v>25</v>
      </c>
      <c r="CR143" s="498">
        <f t="shared" si="278"/>
        <v>0</v>
      </c>
      <c r="CS143" s="498">
        <f t="shared" si="279"/>
        <v>25</v>
      </c>
      <c r="CT143" s="498">
        <f t="shared" si="280"/>
        <v>110.77000000000001</v>
      </c>
      <c r="CU143" s="498">
        <f t="shared" si="281"/>
        <v>2120</v>
      </c>
      <c r="CV143" s="1554"/>
      <c r="CW143" s="1195" t="s">
        <v>7079</v>
      </c>
      <c r="CX143" s="1195" t="s">
        <v>6984</v>
      </c>
      <c r="CY143" s="472"/>
      <c r="CZ143" s="514" t="s">
        <v>6444</v>
      </c>
      <c r="DA143" s="514" t="s">
        <v>6175</v>
      </c>
      <c r="DB143" s="514" t="s">
        <v>6260</v>
      </c>
      <c r="DC143" s="514" t="s">
        <v>6261</v>
      </c>
      <c r="DD143" s="514"/>
      <c r="DE143" s="514"/>
      <c r="DF143" s="472"/>
      <c r="DG143" s="472"/>
      <c r="DH143" s="472"/>
      <c r="DI143" s="473"/>
      <c r="DJ143" s="473" t="str">
        <f>VLOOKUP(X143,Hoja1!$A$4:$B$10,2,0)</f>
        <v>PROFESIONAL</v>
      </c>
      <c r="DK143" s="473" t="str">
        <f>VLOOKUP(S143,Hoja1!$D$4:$F$77,3,0)</f>
        <v>PII - VII</v>
      </c>
      <c r="DL143" s="1216" t="str">
        <f t="shared" si="282"/>
        <v>0</v>
      </c>
      <c r="DM143" s="1741" t="str">
        <f t="shared" si="283"/>
        <v>F</v>
      </c>
      <c r="DN143" s="1741"/>
    </row>
    <row r="144" spans="1:118" s="1654" customFormat="1" ht="21.95" customHeight="1">
      <c r="A144" s="1624" t="s">
        <v>2846</v>
      </c>
      <c r="B144" s="1625">
        <f t="shared" ca="1" si="355"/>
        <v>102</v>
      </c>
      <c r="C144" s="1626">
        <v>13996024</v>
      </c>
      <c r="D144" s="1627" t="s">
        <v>4782</v>
      </c>
      <c r="E144" s="1628" t="s">
        <v>4622</v>
      </c>
      <c r="F144" s="1629">
        <v>29217</v>
      </c>
      <c r="G144" s="1628" t="s">
        <v>4620</v>
      </c>
      <c r="H144" s="1629">
        <v>40028</v>
      </c>
      <c r="I144" s="1630">
        <f t="shared" si="259"/>
        <v>15</v>
      </c>
      <c r="J144" s="1631">
        <v>0</v>
      </c>
      <c r="K144" s="1630">
        <f t="shared" si="260"/>
        <v>15</v>
      </c>
      <c r="L144" s="1632" t="s">
        <v>6146</v>
      </c>
      <c r="M144" s="1631"/>
      <c r="N144" s="1631"/>
      <c r="O144" s="1633" t="s">
        <v>7427</v>
      </c>
      <c r="P144" s="1631" t="s">
        <v>5353</v>
      </c>
      <c r="Q144" s="1634" t="str">
        <f>IFERROR(VLOOKUP(O144,CARGOS!A:E,2,0),"")</f>
        <v>21133</v>
      </c>
      <c r="R144" s="1635" t="s">
        <v>7427</v>
      </c>
      <c r="S144" s="1636" t="s">
        <v>5473</v>
      </c>
      <c r="T144" s="1637">
        <f>IFERROR(VLOOKUP(S144,'TAB EMP'!A:B,2,0),0)</f>
        <v>285</v>
      </c>
      <c r="U144" s="1638">
        <v>0</v>
      </c>
      <c r="V144" s="1637">
        <f t="shared" si="288"/>
        <v>285</v>
      </c>
      <c r="W144" s="1638">
        <f t="shared" si="289"/>
        <v>142.5</v>
      </c>
      <c r="X144" s="1628" t="s">
        <v>2885</v>
      </c>
      <c r="Y144" s="1628"/>
      <c r="Z144" s="1628">
        <v>1</v>
      </c>
      <c r="AA144" s="1637">
        <f>ROUND(IF(H144&lt;&gt;"",VLOOKUP(SUM(I144+J144),'CONCEPTOS Y PARAMETROS'!F:G,2,0)*V144,0),2)</f>
        <v>51.3</v>
      </c>
      <c r="AB144" s="1637">
        <f>IF(S144&lt;&gt;"",IF(M144="",'CONCEPTOS Y PARAMETROS'!$C$4,0),0)</f>
        <v>130</v>
      </c>
      <c r="AC144" s="1637">
        <f>IF(S144&lt;&gt;"",IF(M144="",'CONCEPTOS Y PARAMETROS'!$C$7*Z144,0),0)</f>
        <v>12.5</v>
      </c>
      <c r="AD144" s="1637">
        <f>IFERROR(ROUND(VLOOKUP($X144,'CONCEPTOS Y PARAMETROS'!H:I,2,0)*($V144+AA144+AB144+AC144),2),0)</f>
        <v>119.7</v>
      </c>
      <c r="AE144" s="1637">
        <f t="shared" si="285"/>
        <v>313.5</v>
      </c>
      <c r="AF144" s="1637">
        <f t="shared" si="290"/>
        <v>25.65</v>
      </c>
      <c r="AG144" s="1637">
        <f t="shared" si="291"/>
        <v>25.65</v>
      </c>
      <c r="AH144" s="1637">
        <f t="shared" si="292"/>
        <v>65</v>
      </c>
      <c r="AI144" s="1637">
        <f t="shared" si="293"/>
        <v>65</v>
      </c>
      <c r="AJ144" s="1637">
        <f t="shared" si="294"/>
        <v>59.85</v>
      </c>
      <c r="AK144" s="1637">
        <f t="shared" si="295"/>
        <v>59.85</v>
      </c>
      <c r="AL144" s="1638">
        <f t="shared" si="296"/>
        <v>163</v>
      </c>
      <c r="AM144" s="1638">
        <f t="shared" si="297"/>
        <v>150.5</v>
      </c>
      <c r="AN144" s="1639">
        <v>1</v>
      </c>
      <c r="AO144" s="1640">
        <f>'CONCEPTOS Y PARAMETROS'!$C$18*AN144</f>
        <v>12.5</v>
      </c>
      <c r="AP144" s="1639">
        <v>0</v>
      </c>
      <c r="AQ144" s="1640">
        <f>'CONCEPTOS Y PARAMETROS'!$C$21*AP144</f>
        <v>0</v>
      </c>
      <c r="AR144" s="1641">
        <v>0</v>
      </c>
      <c r="AS144" s="1641">
        <v>0</v>
      </c>
      <c r="AT144" s="1641">
        <f t="shared" si="286"/>
        <v>12.5</v>
      </c>
      <c r="AU144" s="1638">
        <f t="shared" si="298"/>
        <v>598.5</v>
      </c>
      <c r="AV144" s="1642">
        <v>0</v>
      </c>
      <c r="AW144" s="1638">
        <f t="shared" si="299"/>
        <v>0</v>
      </c>
      <c r="AX144" s="1637">
        <f>IF(T144&lt;&gt;"0",(ROUND(IF(A144="EMPLEADO",eval_formula('CONCEPTOS Y PARAMETROS'!$C$8,NOMINA!V144,NOMINA!$AU144,NOMINA!I144+NOMINA!J144),eval_formula('CONCEPTOS Y PARAMETROS'!$D$8,NOMINA!V144,NOMINA!$AU144,NOMINA!I144+NOMINA!J144)),2))*IF(H144&lt;&gt;"",IF(MONTH(H144)=$BR$8,IF(YEAR(H144)&lt;$BT$7,1,0),0)))</f>
        <v>0</v>
      </c>
      <c r="AY144" s="1638">
        <v>180</v>
      </c>
      <c r="AZ144" s="1637">
        <f>IFERROR(VLOOKUP(AY144,'CONCEPTOS Y PARAMETROS'!Y:Z,2,0),0)</f>
        <v>150</v>
      </c>
      <c r="BA144" s="1637">
        <f t="shared" si="300"/>
        <v>4488.75</v>
      </c>
      <c r="BB144" s="1637">
        <f t="shared" si="287"/>
        <v>0</v>
      </c>
      <c r="BC144" s="1639">
        <v>0</v>
      </c>
      <c r="BD144" s="1637" t="str">
        <f t="shared" si="301"/>
        <v>0</v>
      </c>
      <c r="BE144" s="1639">
        <v>0</v>
      </c>
      <c r="BF144" s="1637">
        <f t="shared" si="334"/>
        <v>0</v>
      </c>
      <c r="BG144" s="1638">
        <v>300</v>
      </c>
      <c r="BH144" s="1638">
        <f t="shared" si="261"/>
        <v>0</v>
      </c>
      <c r="BI144" s="1628">
        <v>0</v>
      </c>
      <c r="BJ144" s="1628">
        <f t="shared" si="262"/>
        <v>0</v>
      </c>
      <c r="BK144" s="1638">
        <v>0</v>
      </c>
      <c r="BL144" s="1637">
        <f t="shared" si="329"/>
        <v>22.1</v>
      </c>
      <c r="BM144" s="1637">
        <f t="shared" si="330"/>
        <v>2.76</v>
      </c>
      <c r="BN144" s="1637">
        <f t="shared" si="263"/>
        <v>5.99</v>
      </c>
      <c r="BO144" s="1637">
        <v>0</v>
      </c>
      <c r="BP144" s="1637">
        <v>0</v>
      </c>
      <c r="BQ144" s="1643">
        <f t="shared" si="302"/>
        <v>30.85</v>
      </c>
      <c r="BR144" s="1637">
        <f t="shared" si="331"/>
        <v>49.72</v>
      </c>
      <c r="BS144" s="1637">
        <f t="shared" si="332"/>
        <v>11.05</v>
      </c>
      <c r="BT144" s="1637">
        <f t="shared" si="264"/>
        <v>11.98</v>
      </c>
      <c r="BU144" s="1637">
        <v>0</v>
      </c>
      <c r="BV144" s="1638">
        <f t="shared" si="303"/>
        <v>72.75</v>
      </c>
      <c r="BW144" s="1644">
        <f t="shared" si="304"/>
        <v>103.6</v>
      </c>
      <c r="BX144" s="1644">
        <f t="shared" si="333"/>
        <v>1122.19</v>
      </c>
      <c r="BY144" s="1638">
        <v>0</v>
      </c>
      <c r="BZ144" s="1638">
        <f t="shared" si="265"/>
        <v>1122.19</v>
      </c>
      <c r="CA144" s="1645">
        <f>'CONCEPTOS Y PARAMETROS'!$A$102</f>
        <v>2120</v>
      </c>
      <c r="CB144" s="1644">
        <f t="shared" si="266"/>
        <v>274.64999999999998</v>
      </c>
      <c r="CC144" s="1646">
        <f t="shared" si="267"/>
        <v>605.5</v>
      </c>
      <c r="CD144" s="1647"/>
      <c r="CE144" s="1647"/>
      <c r="CF144" s="1648"/>
      <c r="CG144" s="1649">
        <f t="shared" si="268"/>
        <v>274.64999999999998</v>
      </c>
      <c r="CH144" s="1713">
        <f t="shared" si="269"/>
        <v>300</v>
      </c>
      <c r="CI144" s="1649">
        <f t="shared" si="270"/>
        <v>593</v>
      </c>
      <c r="CJ144" s="1649">
        <f t="shared" si="271"/>
        <v>284.64</v>
      </c>
      <c r="CK144" s="1649">
        <f t="shared" si="272"/>
        <v>308.36</v>
      </c>
      <c r="CL144" s="1649">
        <f t="shared" si="273"/>
        <v>0</v>
      </c>
      <c r="CM144" s="1649">
        <f t="shared" si="274"/>
        <v>0</v>
      </c>
      <c r="CN144" s="1650">
        <f t="shared" si="275"/>
        <v>0</v>
      </c>
      <c r="CO144" s="1651">
        <v>0</v>
      </c>
      <c r="CP144" s="1650">
        <f t="shared" si="276"/>
        <v>0</v>
      </c>
      <c r="CQ144" s="1652">
        <f t="shared" si="277"/>
        <v>12.5</v>
      </c>
      <c r="CR144" s="1650">
        <f t="shared" si="278"/>
        <v>0</v>
      </c>
      <c r="CS144" s="1650">
        <f t="shared" si="279"/>
        <v>12.5</v>
      </c>
      <c r="CT144" s="1650">
        <f t="shared" si="280"/>
        <v>103.6</v>
      </c>
      <c r="CU144" s="1650">
        <f t="shared" si="281"/>
        <v>2120</v>
      </c>
      <c r="CV144" s="1653"/>
      <c r="CW144" s="1627" t="s">
        <v>6931</v>
      </c>
      <c r="CX144" s="1627" t="s">
        <v>6985</v>
      </c>
      <c r="CY144" s="1647"/>
      <c r="CZ144" s="1647" t="s">
        <v>6447</v>
      </c>
      <c r="DA144" s="1647" t="s">
        <v>6173</v>
      </c>
      <c r="DB144" s="1647" t="s">
        <v>6202</v>
      </c>
      <c r="DC144" s="1647" t="s">
        <v>6448</v>
      </c>
      <c r="DD144" s="1647"/>
      <c r="DE144" s="1647"/>
      <c r="DF144" s="1647"/>
      <c r="DG144" s="1647"/>
      <c r="DH144" s="1647"/>
      <c r="DJ144" s="1654" t="str">
        <f>VLOOKUP(X144,Hoja1!$A$4:$B$10,2,0)</f>
        <v>PROFESIONAL</v>
      </c>
      <c r="DK144" s="1654" t="str">
        <f>VLOOKUP(S144,Hoja1!$D$4:$F$77,3,0)</f>
        <v>PII - VI</v>
      </c>
      <c r="DL144" s="1656" t="str">
        <f t="shared" si="282"/>
        <v>0</v>
      </c>
      <c r="DM144" s="1742" t="str">
        <f t="shared" si="283"/>
        <v>F</v>
      </c>
      <c r="DN144" s="1742"/>
    </row>
    <row r="145" spans="1:118" s="473" customFormat="1" ht="21.95" customHeight="1">
      <c r="A145" s="510" t="s">
        <v>2846</v>
      </c>
      <c r="B145" s="1390">
        <f t="shared" ca="1" si="355"/>
        <v>103</v>
      </c>
      <c r="C145" s="1194">
        <v>14106648</v>
      </c>
      <c r="D145" s="1195" t="s">
        <v>4783</v>
      </c>
      <c r="E145" s="1180" t="s">
        <v>4622</v>
      </c>
      <c r="F145" s="1196">
        <v>28769</v>
      </c>
      <c r="G145" s="1180" t="s">
        <v>4620</v>
      </c>
      <c r="H145" s="1196">
        <v>40787</v>
      </c>
      <c r="I145" s="1185">
        <f t="shared" si="259"/>
        <v>13</v>
      </c>
      <c r="J145" s="1177">
        <v>6</v>
      </c>
      <c r="K145" s="1185">
        <f t="shared" si="260"/>
        <v>19</v>
      </c>
      <c r="L145" s="1191" t="s">
        <v>5554</v>
      </c>
      <c r="M145" s="1177"/>
      <c r="N145" s="1177"/>
      <c r="O145" s="1040" t="s">
        <v>5223</v>
      </c>
      <c r="P145" s="1177" t="s">
        <v>5354</v>
      </c>
      <c r="Q145" s="1391" t="str">
        <f>IFERROR(VLOOKUP(O145,CARGOS!A:E,2,0),"")</f>
        <v>12114</v>
      </c>
      <c r="R145" s="1403" t="s">
        <v>5223</v>
      </c>
      <c r="S145" s="1192" t="s">
        <v>5484</v>
      </c>
      <c r="T145" s="1150">
        <f>IFERROR(VLOOKUP(S145,'TAB EMP'!A:B,2,0),0)</f>
        <v>228</v>
      </c>
      <c r="U145" s="1151">
        <v>0</v>
      </c>
      <c r="V145" s="1150">
        <f t="shared" si="288"/>
        <v>228</v>
      </c>
      <c r="W145" s="1151">
        <f t="shared" si="289"/>
        <v>114</v>
      </c>
      <c r="X145" s="1180" t="s">
        <v>2844</v>
      </c>
      <c r="Y145" s="1180"/>
      <c r="Z145" s="1180">
        <v>1</v>
      </c>
      <c r="AA145" s="1150">
        <f>ROUND(IF(H145&lt;&gt;"",VLOOKUP(SUM(I145+J145),'CONCEPTOS Y PARAMETROS'!F:G,2,0)*V145,0),2)</f>
        <v>55.63</v>
      </c>
      <c r="AB145" s="1150">
        <f>IF(S145&lt;&gt;"",IF(M145="",'CONCEPTOS Y PARAMETROS'!$C$4,0),0)</f>
        <v>130</v>
      </c>
      <c r="AC145" s="1150">
        <f>IF(S145&lt;&gt;"",IF(M145="",'CONCEPTOS Y PARAMETROS'!$C$7*Z145,0),0)</f>
        <v>12.5</v>
      </c>
      <c r="AD145" s="1150">
        <f>IFERROR(ROUND(VLOOKUP($X145,'CONCEPTOS Y PARAMETROS'!H:I,2,0)*($V145+AA145+AB145+AC145),2),0)</f>
        <v>85.23</v>
      </c>
      <c r="AE145" s="1150">
        <f t="shared" si="285"/>
        <v>283.36</v>
      </c>
      <c r="AF145" s="1150">
        <f t="shared" si="290"/>
        <v>27.82</v>
      </c>
      <c r="AG145" s="1150">
        <f t="shared" si="291"/>
        <v>27.81</v>
      </c>
      <c r="AH145" s="1150">
        <f t="shared" si="292"/>
        <v>65</v>
      </c>
      <c r="AI145" s="1150">
        <f t="shared" si="293"/>
        <v>65</v>
      </c>
      <c r="AJ145" s="1150">
        <f t="shared" si="294"/>
        <v>42.62</v>
      </c>
      <c r="AK145" s="1150">
        <f t="shared" si="295"/>
        <v>42.61</v>
      </c>
      <c r="AL145" s="1151">
        <f t="shared" si="296"/>
        <v>147.94</v>
      </c>
      <c r="AM145" s="1151">
        <f t="shared" si="297"/>
        <v>135.41999999999999</v>
      </c>
      <c r="AN145" s="1028">
        <v>0</v>
      </c>
      <c r="AO145" s="1193">
        <f>'CONCEPTOS Y PARAMETROS'!$C$18*AN145</f>
        <v>0</v>
      </c>
      <c r="AP145" s="1028">
        <v>0</v>
      </c>
      <c r="AQ145" s="1193">
        <f>'CONCEPTOS Y PARAMETROS'!$C$21*AP145</f>
        <v>0</v>
      </c>
      <c r="AR145" s="1394">
        <v>0</v>
      </c>
      <c r="AS145" s="1394">
        <v>0</v>
      </c>
      <c r="AT145" s="1394">
        <f t="shared" si="286"/>
        <v>0</v>
      </c>
      <c r="AU145" s="1151">
        <f t="shared" si="298"/>
        <v>511.36</v>
      </c>
      <c r="AV145" s="1178">
        <v>0</v>
      </c>
      <c r="AW145" s="1151">
        <f t="shared" si="299"/>
        <v>0</v>
      </c>
      <c r="AX145" s="1150">
        <f>IF(T145&lt;&gt;"0",(ROUND(IF(A145="EMPLEADO",eval_formula('CONCEPTOS Y PARAMETROS'!$C$8,NOMINA!V145,NOMINA!$AU145,NOMINA!I145+NOMINA!J145),eval_formula('CONCEPTOS Y PARAMETROS'!$D$8,NOMINA!V145,NOMINA!$AU145,NOMINA!I145+NOMINA!J145)),2))*IF(H145&lt;&gt;"",IF(MONTH(H145)=$BR$8,IF(YEAR(H145)&lt;$BT$7,1,0),0)))</f>
        <v>0</v>
      </c>
      <c r="AY145" s="1151">
        <v>180</v>
      </c>
      <c r="AZ145" s="1150">
        <f>IFERROR(VLOOKUP(AY145,'CONCEPTOS Y PARAMETROS'!Y:Z,2,0),0)</f>
        <v>150</v>
      </c>
      <c r="BA145" s="1150">
        <f t="shared" si="300"/>
        <v>3835.2</v>
      </c>
      <c r="BB145" s="1150">
        <f t="shared" si="287"/>
        <v>0</v>
      </c>
      <c r="BC145" s="1028">
        <v>0</v>
      </c>
      <c r="BD145" s="1150" t="str">
        <f t="shared" si="301"/>
        <v>0</v>
      </c>
      <c r="BE145" s="1028">
        <v>0</v>
      </c>
      <c r="BF145" s="1150">
        <f t="shared" si="334"/>
        <v>0</v>
      </c>
      <c r="BG145" s="1151">
        <v>300</v>
      </c>
      <c r="BH145" s="1151">
        <f t="shared" si="261"/>
        <v>0</v>
      </c>
      <c r="BI145" s="1180">
        <v>0</v>
      </c>
      <c r="BJ145" s="1180">
        <f t="shared" si="262"/>
        <v>0</v>
      </c>
      <c r="BK145" s="1151">
        <v>0</v>
      </c>
      <c r="BL145" s="1150">
        <f t="shared" si="329"/>
        <v>18.88</v>
      </c>
      <c r="BM145" s="1150">
        <f t="shared" si="330"/>
        <v>2.36</v>
      </c>
      <c r="BN145" s="1150">
        <f t="shared" si="263"/>
        <v>5.1100000000000003</v>
      </c>
      <c r="BO145" s="1150">
        <v>0</v>
      </c>
      <c r="BP145" s="1150">
        <v>0</v>
      </c>
      <c r="BQ145" s="1396">
        <f t="shared" si="302"/>
        <v>26.35</v>
      </c>
      <c r="BR145" s="1150">
        <f t="shared" si="331"/>
        <v>42.48</v>
      </c>
      <c r="BS145" s="1150">
        <f t="shared" si="332"/>
        <v>9.44</v>
      </c>
      <c r="BT145" s="1150">
        <f t="shared" si="264"/>
        <v>10.220000000000001</v>
      </c>
      <c r="BU145" s="1150">
        <v>0</v>
      </c>
      <c r="BV145" s="1151">
        <f t="shared" si="303"/>
        <v>62.14</v>
      </c>
      <c r="BW145" s="1155">
        <f t="shared" si="304"/>
        <v>88.490000000000009</v>
      </c>
      <c r="BX145" s="1155">
        <f t="shared" si="333"/>
        <v>958.8</v>
      </c>
      <c r="BY145" s="1151">
        <v>0</v>
      </c>
      <c r="BZ145" s="1151">
        <f t="shared" si="265"/>
        <v>958.8</v>
      </c>
      <c r="CA145" s="1397">
        <f>'CONCEPTOS Y PARAMETROS'!$A$102</f>
        <v>2120</v>
      </c>
      <c r="CB145" s="1155">
        <f t="shared" si="266"/>
        <v>235.59</v>
      </c>
      <c r="CC145" s="1156">
        <f t="shared" si="267"/>
        <v>549.41999999999996</v>
      </c>
      <c r="CD145" s="514"/>
      <c r="CE145" s="514"/>
      <c r="CF145" s="520"/>
      <c r="CG145" s="497">
        <f t="shared" si="268"/>
        <v>235.59</v>
      </c>
      <c r="CH145" s="1711">
        <f t="shared" si="269"/>
        <v>300</v>
      </c>
      <c r="CI145" s="497">
        <f t="shared" si="270"/>
        <v>549.41999999999996</v>
      </c>
      <c r="CJ145" s="497">
        <f t="shared" si="271"/>
        <v>549.41999999999996</v>
      </c>
      <c r="CK145" s="497">
        <f t="shared" si="272"/>
        <v>0</v>
      </c>
      <c r="CL145" s="497">
        <f t="shared" si="273"/>
        <v>0</v>
      </c>
      <c r="CM145" s="497">
        <f t="shared" si="274"/>
        <v>0</v>
      </c>
      <c r="CN145" s="498">
        <f t="shared" si="275"/>
        <v>0</v>
      </c>
      <c r="CO145" s="499">
        <v>0</v>
      </c>
      <c r="CP145" s="498">
        <f t="shared" si="276"/>
        <v>0</v>
      </c>
      <c r="CQ145" s="500">
        <f t="shared" si="277"/>
        <v>0</v>
      </c>
      <c r="CR145" s="498">
        <f t="shared" si="278"/>
        <v>0</v>
      </c>
      <c r="CS145" s="498">
        <f t="shared" si="279"/>
        <v>0</v>
      </c>
      <c r="CT145" s="498">
        <f t="shared" si="280"/>
        <v>88.490000000000009</v>
      </c>
      <c r="CU145" s="498">
        <f t="shared" si="281"/>
        <v>2120</v>
      </c>
      <c r="CV145" s="1554"/>
      <c r="CW145" s="1195" t="s">
        <v>7211</v>
      </c>
      <c r="CX145" s="1195" t="s">
        <v>7269</v>
      </c>
      <c r="CY145" s="472"/>
      <c r="CZ145" s="514" t="s">
        <v>6259</v>
      </c>
      <c r="DA145" s="514" t="s">
        <v>6175</v>
      </c>
      <c r="DB145" s="514" t="s">
        <v>6260</v>
      </c>
      <c r="DC145" s="514" t="s">
        <v>6261</v>
      </c>
      <c r="DD145" s="514"/>
      <c r="DE145" s="514"/>
      <c r="DF145" s="472"/>
      <c r="DG145" s="472"/>
      <c r="DH145" s="472"/>
      <c r="DJ145" s="473" t="str">
        <f>VLOOKUP(X145,Hoja1!$A$4:$B$10,2,0)</f>
        <v>TÉCNICO SUPERIOR UNIVERSITARIO</v>
      </c>
      <c r="DK145" s="473" t="str">
        <f>VLOOKUP(S145,Hoja1!$D$4:$F$77,3,0)</f>
        <v>TII - VII</v>
      </c>
      <c r="DL145" s="1216" t="str">
        <f t="shared" si="282"/>
        <v>0</v>
      </c>
      <c r="DM145" s="1741" t="str">
        <f t="shared" si="283"/>
        <v>F</v>
      </c>
      <c r="DN145" s="1741"/>
    </row>
    <row r="146" spans="1:118" s="473" customFormat="1" ht="21.95" customHeight="1">
      <c r="A146" s="510" t="s">
        <v>2846</v>
      </c>
      <c r="B146" s="1390">
        <f t="shared" ca="1" si="355"/>
        <v>104</v>
      </c>
      <c r="C146" s="1194">
        <v>14329448</v>
      </c>
      <c r="D146" s="1195" t="s">
        <v>4784</v>
      </c>
      <c r="E146" s="1180" t="s">
        <v>4622</v>
      </c>
      <c r="F146" s="1196">
        <v>29370</v>
      </c>
      <c r="G146" s="1180" t="s">
        <v>4620</v>
      </c>
      <c r="H146" s="1196">
        <v>44743</v>
      </c>
      <c r="I146" s="1185">
        <f t="shared" si="259"/>
        <v>2</v>
      </c>
      <c r="J146" s="1177">
        <v>0</v>
      </c>
      <c r="K146" s="1185">
        <f t="shared" si="260"/>
        <v>2</v>
      </c>
      <c r="L146" s="1191" t="s">
        <v>5539</v>
      </c>
      <c r="M146" s="1177"/>
      <c r="N146" s="1177"/>
      <c r="O146" s="1040" t="s">
        <v>5228</v>
      </c>
      <c r="P146" s="1177" t="s">
        <v>5355</v>
      </c>
      <c r="Q146" s="1391" t="str">
        <f>IFERROR(VLOOKUP(O146,CARGOS!A:E,2,0),"")</f>
        <v>79521</v>
      </c>
      <c r="R146" s="1403" t="s">
        <v>5228</v>
      </c>
      <c r="S146" s="1192" t="s">
        <v>5469</v>
      </c>
      <c r="T146" s="1150">
        <f>IFERROR(VLOOKUP(S146,'TAB EMP'!A:B,2,0),0)</f>
        <v>246</v>
      </c>
      <c r="U146" s="1151">
        <v>0</v>
      </c>
      <c r="V146" s="1150">
        <f t="shared" si="288"/>
        <v>246</v>
      </c>
      <c r="W146" s="1151">
        <f t="shared" si="289"/>
        <v>123</v>
      </c>
      <c r="X146" s="1180" t="s">
        <v>2885</v>
      </c>
      <c r="Y146" s="1180"/>
      <c r="Z146" s="1180">
        <v>1</v>
      </c>
      <c r="AA146" s="1150">
        <f>ROUND(IF(H146&lt;&gt;"",VLOOKUP(SUM(I146+J146),'CONCEPTOS Y PARAMETROS'!F:G,2,0)*V146,0),2)</f>
        <v>4.92</v>
      </c>
      <c r="AB146" s="1150">
        <f>IF(S146&lt;&gt;"",IF(M146="",'CONCEPTOS Y PARAMETROS'!$C$4,0),0)</f>
        <v>130</v>
      </c>
      <c r="AC146" s="1150">
        <f>IF(S146&lt;&gt;"",IF(M146="",'CONCEPTOS Y PARAMETROS'!$C$7*Z146,0),0)</f>
        <v>12.5</v>
      </c>
      <c r="AD146" s="1150">
        <f>IFERROR(ROUND(VLOOKUP($X146,'CONCEPTOS Y PARAMETROS'!H:I,2,0)*($V146+AA146+AB146+AC146),2),0)</f>
        <v>98.36</v>
      </c>
      <c r="AE146" s="1150">
        <f t="shared" si="285"/>
        <v>245.77999999999997</v>
      </c>
      <c r="AF146" s="1150">
        <f t="shared" si="290"/>
        <v>2.46</v>
      </c>
      <c r="AG146" s="1150">
        <f t="shared" si="291"/>
        <v>2.46</v>
      </c>
      <c r="AH146" s="1150">
        <f t="shared" si="292"/>
        <v>65</v>
      </c>
      <c r="AI146" s="1150">
        <f t="shared" si="293"/>
        <v>65</v>
      </c>
      <c r="AJ146" s="1150">
        <f t="shared" si="294"/>
        <v>49.18</v>
      </c>
      <c r="AK146" s="1150">
        <f t="shared" si="295"/>
        <v>49.18</v>
      </c>
      <c r="AL146" s="1151">
        <f t="shared" si="296"/>
        <v>129.13999999999999</v>
      </c>
      <c r="AM146" s="1151">
        <f t="shared" si="297"/>
        <v>116.64</v>
      </c>
      <c r="AN146" s="1028">
        <v>0</v>
      </c>
      <c r="AO146" s="1193">
        <f>'CONCEPTOS Y PARAMETROS'!$C$18*AN146</f>
        <v>0</v>
      </c>
      <c r="AP146" s="1028">
        <v>0</v>
      </c>
      <c r="AQ146" s="1193">
        <f>'CONCEPTOS Y PARAMETROS'!$C$21*AP146</f>
        <v>0</v>
      </c>
      <c r="AR146" s="1394">
        <v>0</v>
      </c>
      <c r="AS146" s="1394">
        <v>0</v>
      </c>
      <c r="AT146" s="1394">
        <f t="shared" si="286"/>
        <v>0</v>
      </c>
      <c r="AU146" s="1151">
        <f t="shared" si="298"/>
        <v>491.78</v>
      </c>
      <c r="AV146" s="1178">
        <v>0</v>
      </c>
      <c r="AW146" s="1151">
        <f t="shared" si="299"/>
        <v>0</v>
      </c>
      <c r="AX146" s="1150">
        <f>IF(T146&lt;&gt;"0",(ROUND(IF(A146="EMPLEADO",eval_formula('CONCEPTOS Y PARAMETROS'!$C$8,NOMINA!V146,NOMINA!$AU146,NOMINA!I146+NOMINA!J146),eval_formula('CONCEPTOS Y PARAMETROS'!$D$8,NOMINA!V146,NOMINA!$AU146,NOMINA!I146+NOMINA!J146)),2))*IF(H146&lt;&gt;"",IF(MONTH(H146)=$BR$8,IF(YEAR(H146)&lt;$BT$7,1,0),0)))</f>
        <v>0</v>
      </c>
      <c r="AY146" s="1151">
        <v>180</v>
      </c>
      <c r="AZ146" s="1150">
        <f>IFERROR(VLOOKUP(AY146,'CONCEPTOS Y PARAMETROS'!Y:Z,2,0),0)</f>
        <v>150</v>
      </c>
      <c r="BA146" s="1150">
        <f t="shared" si="300"/>
        <v>3688.35</v>
      </c>
      <c r="BB146" s="1150">
        <f t="shared" si="287"/>
        <v>0</v>
      </c>
      <c r="BC146" s="1028">
        <v>0</v>
      </c>
      <c r="BD146" s="1150" t="str">
        <f t="shared" si="301"/>
        <v>0</v>
      </c>
      <c r="BE146" s="1028">
        <v>0</v>
      </c>
      <c r="BF146" s="1150">
        <f t="shared" si="334"/>
        <v>0</v>
      </c>
      <c r="BG146" s="1151">
        <v>300</v>
      </c>
      <c r="BH146" s="1151">
        <f t="shared" si="261"/>
        <v>0</v>
      </c>
      <c r="BI146" s="1180">
        <v>0</v>
      </c>
      <c r="BJ146" s="1180">
        <f t="shared" si="262"/>
        <v>0</v>
      </c>
      <c r="BK146" s="1151">
        <v>0</v>
      </c>
      <c r="BL146" s="1150">
        <f t="shared" si="329"/>
        <v>18.16</v>
      </c>
      <c r="BM146" s="1150">
        <f t="shared" si="330"/>
        <v>2.27</v>
      </c>
      <c r="BN146" s="1150">
        <f t="shared" si="263"/>
        <v>4.92</v>
      </c>
      <c r="BO146" s="1150">
        <v>0</v>
      </c>
      <c r="BP146" s="1150">
        <v>0</v>
      </c>
      <c r="BQ146" s="1396">
        <f t="shared" si="302"/>
        <v>25.35</v>
      </c>
      <c r="BR146" s="1150">
        <f t="shared" si="331"/>
        <v>40.86</v>
      </c>
      <c r="BS146" s="1150">
        <f t="shared" si="332"/>
        <v>9.08</v>
      </c>
      <c r="BT146" s="1150">
        <f t="shared" si="264"/>
        <v>9.84</v>
      </c>
      <c r="BU146" s="1150">
        <v>0</v>
      </c>
      <c r="BV146" s="1151">
        <f t="shared" si="303"/>
        <v>59.78</v>
      </c>
      <c r="BW146" s="1155">
        <f t="shared" si="304"/>
        <v>85.13</v>
      </c>
      <c r="BX146" s="1155">
        <f t="shared" si="333"/>
        <v>922.09</v>
      </c>
      <c r="BY146" s="1151">
        <v>0</v>
      </c>
      <c r="BZ146" s="1151">
        <f t="shared" si="265"/>
        <v>922.09</v>
      </c>
      <c r="CA146" s="1397">
        <f>'CONCEPTOS Y PARAMETROS'!$A$102</f>
        <v>2120</v>
      </c>
      <c r="CB146" s="1155">
        <f t="shared" si="266"/>
        <v>226.79</v>
      </c>
      <c r="CC146" s="1156">
        <f t="shared" si="267"/>
        <v>539.64</v>
      </c>
      <c r="CD146" s="514"/>
      <c r="CE146" s="514"/>
      <c r="CF146" s="520"/>
      <c r="CG146" s="497">
        <f t="shared" si="268"/>
        <v>226.79</v>
      </c>
      <c r="CH146" s="1711">
        <f t="shared" si="269"/>
        <v>300</v>
      </c>
      <c r="CI146" s="497">
        <f t="shared" si="270"/>
        <v>539.64</v>
      </c>
      <c r="CJ146" s="497">
        <f t="shared" si="271"/>
        <v>539.64</v>
      </c>
      <c r="CK146" s="497">
        <f t="shared" si="272"/>
        <v>0</v>
      </c>
      <c r="CL146" s="497">
        <f t="shared" si="273"/>
        <v>0</v>
      </c>
      <c r="CM146" s="497">
        <f t="shared" si="274"/>
        <v>0</v>
      </c>
      <c r="CN146" s="498">
        <f t="shared" si="275"/>
        <v>0</v>
      </c>
      <c r="CO146" s="499">
        <v>0</v>
      </c>
      <c r="CP146" s="498">
        <f t="shared" si="276"/>
        <v>0</v>
      </c>
      <c r="CQ146" s="500">
        <f t="shared" si="277"/>
        <v>0</v>
      </c>
      <c r="CR146" s="498">
        <f t="shared" si="278"/>
        <v>0</v>
      </c>
      <c r="CS146" s="498">
        <f t="shared" si="279"/>
        <v>0</v>
      </c>
      <c r="CT146" s="498">
        <f t="shared" si="280"/>
        <v>85.13</v>
      </c>
      <c r="CU146" s="498">
        <f t="shared" si="281"/>
        <v>2120</v>
      </c>
      <c r="CV146" s="1554"/>
      <c r="CW146" s="1195" t="s">
        <v>7104</v>
      </c>
      <c r="CX146" s="1195" t="s">
        <v>7270</v>
      </c>
      <c r="CY146" s="472"/>
      <c r="CZ146" s="514" t="s">
        <v>6386</v>
      </c>
      <c r="DA146" s="514" t="s">
        <v>6188</v>
      </c>
      <c r="DB146" s="514" t="s">
        <v>6170</v>
      </c>
      <c r="DC146" s="514" t="s">
        <v>6625</v>
      </c>
      <c r="DD146" s="514"/>
      <c r="DE146" s="514"/>
      <c r="DF146" s="472"/>
      <c r="DG146" s="472"/>
      <c r="DH146" s="472"/>
      <c r="DJ146" s="473" t="str">
        <f>VLOOKUP(X146,Hoja1!$A$4:$B$10,2,0)</f>
        <v>PROFESIONAL</v>
      </c>
      <c r="DK146" s="473" t="str">
        <f>VLOOKUP(S146,Hoja1!$D$4:$F$77,3,0)</f>
        <v>PI</v>
      </c>
      <c r="DL146" s="1216" t="str">
        <f t="shared" si="282"/>
        <v>0</v>
      </c>
      <c r="DM146" s="1741" t="str">
        <f t="shared" si="283"/>
        <v>F</v>
      </c>
      <c r="DN146" s="1741"/>
    </row>
    <row r="147" spans="1:118" s="1654" customFormat="1" ht="21.95" customHeight="1">
      <c r="A147" s="1624" t="s">
        <v>2846</v>
      </c>
      <c r="B147" s="1625">
        <f t="shared" ca="1" si="355"/>
        <v>105</v>
      </c>
      <c r="C147" s="1626">
        <v>14406240</v>
      </c>
      <c r="D147" s="1627" t="s">
        <v>7399</v>
      </c>
      <c r="E147" s="1628" t="s">
        <v>4622</v>
      </c>
      <c r="F147" s="1629">
        <v>29551</v>
      </c>
      <c r="G147" s="1628" t="s">
        <v>4620</v>
      </c>
      <c r="H147" s="1629">
        <v>43785</v>
      </c>
      <c r="I147" s="1630">
        <f t="shared" si="259"/>
        <v>5</v>
      </c>
      <c r="J147" s="1631">
        <v>11</v>
      </c>
      <c r="K147" s="1630">
        <f t="shared" si="260"/>
        <v>16</v>
      </c>
      <c r="L147" s="1632" t="s">
        <v>5544</v>
      </c>
      <c r="M147" s="1631"/>
      <c r="N147" s="1631"/>
      <c r="O147" s="1633" t="s">
        <v>5254</v>
      </c>
      <c r="P147" s="1631" t="s">
        <v>5356</v>
      </c>
      <c r="Q147" s="1634" t="str">
        <f>IFERROR(VLOOKUP(O147,CARGOS!A:E,2,0),"")</f>
        <v>79342</v>
      </c>
      <c r="R147" s="1635" t="s">
        <v>5254</v>
      </c>
      <c r="S147" s="1636" t="s">
        <v>5474</v>
      </c>
      <c r="T147" s="1637">
        <f>IFERROR(VLOOKUP(S147,'TAB EMP'!A:B,2,0),0)</f>
        <v>226</v>
      </c>
      <c r="U147" s="1638">
        <v>0</v>
      </c>
      <c r="V147" s="1637">
        <f t="shared" si="288"/>
        <v>226</v>
      </c>
      <c r="W147" s="1638">
        <f t="shared" si="289"/>
        <v>113</v>
      </c>
      <c r="X147" s="1628" t="s">
        <v>2885</v>
      </c>
      <c r="Y147" s="1628"/>
      <c r="Z147" s="1628">
        <v>0</v>
      </c>
      <c r="AA147" s="1637">
        <f>ROUND(IF(H147&lt;&gt;"",VLOOKUP(SUM(I147+J147),'CONCEPTOS Y PARAMETROS'!F:G,2,0)*V147,0),2)</f>
        <v>44.3</v>
      </c>
      <c r="AB147" s="1637">
        <f>IF(S147&lt;&gt;"",IF(M147="",'CONCEPTOS Y PARAMETROS'!$C$4,0),0)</f>
        <v>130</v>
      </c>
      <c r="AC147" s="1637">
        <f>IF(S147&lt;&gt;"",IF(M147="",'CONCEPTOS Y PARAMETROS'!$C$7*Z147,0),0)</f>
        <v>0</v>
      </c>
      <c r="AD147" s="1637">
        <f>IFERROR(ROUND(VLOOKUP($X147,'CONCEPTOS Y PARAMETROS'!H:I,2,0)*($V147+AA147+AB147+AC147),2),0)</f>
        <v>100.08</v>
      </c>
      <c r="AE147" s="1637">
        <f t="shared" si="285"/>
        <v>274.38</v>
      </c>
      <c r="AF147" s="1637">
        <f t="shared" si="290"/>
        <v>22.15</v>
      </c>
      <c r="AG147" s="1637">
        <f t="shared" si="291"/>
        <v>22.15</v>
      </c>
      <c r="AH147" s="1637">
        <f t="shared" si="292"/>
        <v>65</v>
      </c>
      <c r="AI147" s="1637">
        <f t="shared" si="293"/>
        <v>65</v>
      </c>
      <c r="AJ147" s="1637">
        <f t="shared" si="294"/>
        <v>50.04</v>
      </c>
      <c r="AK147" s="1637">
        <f t="shared" si="295"/>
        <v>50.04</v>
      </c>
      <c r="AL147" s="1638">
        <f t="shared" si="296"/>
        <v>137.19</v>
      </c>
      <c r="AM147" s="1638">
        <f t="shared" si="297"/>
        <v>137.19</v>
      </c>
      <c r="AN147" s="1639">
        <v>0</v>
      </c>
      <c r="AO147" s="1640">
        <f>'CONCEPTOS Y PARAMETROS'!$C$18*AN147</f>
        <v>0</v>
      </c>
      <c r="AP147" s="1639">
        <v>0</v>
      </c>
      <c r="AQ147" s="1640">
        <f>'CONCEPTOS Y PARAMETROS'!$C$21*AP147</f>
        <v>0</v>
      </c>
      <c r="AR147" s="1641">
        <v>0</v>
      </c>
      <c r="AS147" s="1641">
        <v>0</v>
      </c>
      <c r="AT147" s="1641">
        <f t="shared" ref="AT147:AT169" si="360">+AO147+AQ147+AR147+AS147</f>
        <v>0</v>
      </c>
      <c r="AU147" s="1638">
        <f t="shared" si="298"/>
        <v>500.38</v>
      </c>
      <c r="AV147" s="1642">
        <v>0</v>
      </c>
      <c r="AW147" s="1638">
        <f t="shared" si="299"/>
        <v>0</v>
      </c>
      <c r="AX147" s="1637">
        <f>IF(T147&lt;&gt;"0",(ROUND(IF(A147="EMPLEADO",eval_formula('CONCEPTOS Y PARAMETROS'!$C$8,NOMINA!V147,NOMINA!$AU147,NOMINA!I147+NOMINA!J147),eval_formula('CONCEPTOS Y PARAMETROS'!$D$8,NOMINA!V147,NOMINA!$AU147,NOMINA!I147+NOMINA!J147)),2))*IF(H147&lt;&gt;"",IF(MONTH(H147)=$BR$8,IF(YEAR(H147)&lt;$BT$7,1,0),0)))</f>
        <v>0</v>
      </c>
      <c r="AY147" s="1638">
        <v>180</v>
      </c>
      <c r="AZ147" s="1637">
        <f>IFERROR(VLOOKUP(AY147,'CONCEPTOS Y PARAMETROS'!Y:Z,2,0),0)</f>
        <v>150</v>
      </c>
      <c r="BA147" s="1637">
        <f t="shared" si="300"/>
        <v>3752.85</v>
      </c>
      <c r="BB147" s="1637">
        <f t="shared" si="287"/>
        <v>0</v>
      </c>
      <c r="BC147" s="1639">
        <v>0</v>
      </c>
      <c r="BD147" s="1637" t="str">
        <f t="shared" si="301"/>
        <v>0</v>
      </c>
      <c r="BE147" s="1639">
        <v>0</v>
      </c>
      <c r="BF147" s="1637">
        <f t="shared" si="334"/>
        <v>0</v>
      </c>
      <c r="BG147" s="1638">
        <v>300</v>
      </c>
      <c r="BH147" s="1638">
        <f t="shared" si="261"/>
        <v>0</v>
      </c>
      <c r="BI147" s="1628">
        <v>0</v>
      </c>
      <c r="BJ147" s="1628">
        <f t="shared" si="262"/>
        <v>0</v>
      </c>
      <c r="BK147" s="1638">
        <v>0</v>
      </c>
      <c r="BL147" s="1637">
        <f t="shared" si="329"/>
        <v>18.48</v>
      </c>
      <c r="BM147" s="1637">
        <f t="shared" si="330"/>
        <v>2.31</v>
      </c>
      <c r="BN147" s="1637">
        <f t="shared" si="263"/>
        <v>5</v>
      </c>
      <c r="BO147" s="1637">
        <v>0</v>
      </c>
      <c r="BP147" s="1637">
        <v>0</v>
      </c>
      <c r="BQ147" s="1643">
        <f t="shared" si="302"/>
        <v>25.79</v>
      </c>
      <c r="BR147" s="1637">
        <f t="shared" si="331"/>
        <v>41.57</v>
      </c>
      <c r="BS147" s="1637">
        <f t="shared" si="332"/>
        <v>9.24</v>
      </c>
      <c r="BT147" s="1637">
        <f t="shared" si="264"/>
        <v>10</v>
      </c>
      <c r="BU147" s="1637">
        <v>0</v>
      </c>
      <c r="BV147" s="1638">
        <f t="shared" si="303"/>
        <v>60.81</v>
      </c>
      <c r="BW147" s="1644">
        <f t="shared" si="304"/>
        <v>86.6</v>
      </c>
      <c r="BX147" s="1644">
        <f t="shared" si="333"/>
        <v>938.21</v>
      </c>
      <c r="BY147" s="1638">
        <v>0</v>
      </c>
      <c r="BZ147" s="1638">
        <f t="shared" si="265"/>
        <v>938.21</v>
      </c>
      <c r="CA147" s="1645">
        <f>'CONCEPTOS Y PARAMETROS'!$A$102</f>
        <v>2120</v>
      </c>
      <c r="CB147" s="1644">
        <f t="shared" si="266"/>
        <v>224.4</v>
      </c>
      <c r="CC147" s="1646">
        <f t="shared" si="267"/>
        <v>550.19000000000005</v>
      </c>
      <c r="CD147" s="1647"/>
      <c r="CE147" s="1647"/>
      <c r="CF147" s="1648"/>
      <c r="CG147" s="1649">
        <f t="shared" si="268"/>
        <v>224.4</v>
      </c>
      <c r="CH147" s="1713">
        <f t="shared" si="269"/>
        <v>300</v>
      </c>
      <c r="CI147" s="1649">
        <f t="shared" si="270"/>
        <v>550.19000000000005</v>
      </c>
      <c r="CJ147" s="1649">
        <f t="shared" si="271"/>
        <v>550.19000000000005</v>
      </c>
      <c r="CK147" s="1649">
        <f t="shared" si="272"/>
        <v>0</v>
      </c>
      <c r="CL147" s="1649">
        <f t="shared" si="273"/>
        <v>0</v>
      </c>
      <c r="CM147" s="1649">
        <f t="shared" si="274"/>
        <v>0</v>
      </c>
      <c r="CN147" s="1650">
        <f t="shared" si="275"/>
        <v>0</v>
      </c>
      <c r="CO147" s="1651">
        <v>0</v>
      </c>
      <c r="CP147" s="1650">
        <f t="shared" si="276"/>
        <v>0</v>
      </c>
      <c r="CQ147" s="1652">
        <f t="shared" si="277"/>
        <v>0</v>
      </c>
      <c r="CR147" s="1650">
        <f t="shared" si="278"/>
        <v>0</v>
      </c>
      <c r="CS147" s="1650">
        <f t="shared" si="279"/>
        <v>0</v>
      </c>
      <c r="CT147" s="1650">
        <f t="shared" si="280"/>
        <v>86.6</v>
      </c>
      <c r="CU147" s="1650">
        <f t="shared" si="281"/>
        <v>2120</v>
      </c>
      <c r="CV147" s="1653"/>
      <c r="CW147" s="1627" t="s">
        <v>6986</v>
      </c>
      <c r="CX147" s="1627" t="s">
        <v>6987</v>
      </c>
      <c r="CY147" s="1647"/>
      <c r="CZ147" s="1657" t="s">
        <v>6658</v>
      </c>
      <c r="DA147" s="1647" t="s">
        <v>6173</v>
      </c>
      <c r="DB147" s="1647" t="s">
        <v>6202</v>
      </c>
      <c r="DC147" s="1647" t="s">
        <v>6642</v>
      </c>
      <c r="DD147" s="1647"/>
      <c r="DE147" s="1647"/>
      <c r="DF147" s="1647"/>
      <c r="DG147" s="1647"/>
      <c r="DH147" s="1647"/>
      <c r="DJ147" s="1654" t="str">
        <f>VLOOKUP(X147,Hoja1!$A$4:$B$10,2,0)</f>
        <v>PROFESIONAL</v>
      </c>
      <c r="DK147" s="1654" t="str">
        <f>VLOOKUP(S147,Hoja1!$D$4:$F$77,3,0)</f>
        <v>TII - VI</v>
      </c>
      <c r="DL147" s="1656" t="str">
        <f t="shared" si="282"/>
        <v>0</v>
      </c>
      <c r="DM147" s="1742" t="str">
        <f t="shared" si="283"/>
        <v>F</v>
      </c>
      <c r="DN147" s="1742"/>
    </row>
    <row r="148" spans="1:118" s="1654" customFormat="1" ht="21.95" customHeight="1">
      <c r="A148" s="1624" t="s">
        <v>2846</v>
      </c>
      <c r="B148" s="1625">
        <f t="shared" ca="1" si="355"/>
        <v>106</v>
      </c>
      <c r="C148" s="1626">
        <v>14459607</v>
      </c>
      <c r="D148" s="1627" t="s">
        <v>4787</v>
      </c>
      <c r="E148" s="1628" t="s">
        <v>4622</v>
      </c>
      <c r="F148" s="1629">
        <v>29024</v>
      </c>
      <c r="G148" s="1628" t="s">
        <v>4620</v>
      </c>
      <c r="H148" s="1629">
        <v>43116</v>
      </c>
      <c r="I148" s="1630">
        <f t="shared" si="259"/>
        <v>7</v>
      </c>
      <c r="J148" s="1631">
        <v>0</v>
      </c>
      <c r="K148" s="1630">
        <f t="shared" si="260"/>
        <v>7</v>
      </c>
      <c r="L148" s="1632" t="s">
        <v>5562</v>
      </c>
      <c r="M148" s="1631"/>
      <c r="N148" s="1631"/>
      <c r="O148" s="1633" t="s">
        <v>5254</v>
      </c>
      <c r="P148" s="1631" t="s">
        <v>5357</v>
      </c>
      <c r="Q148" s="1634" t="str">
        <f>IFERROR(VLOOKUP(O148,CARGOS!A:E,2,0),"")</f>
        <v>79342</v>
      </c>
      <c r="R148" s="1635" t="s">
        <v>5254</v>
      </c>
      <c r="S148" s="1636" t="s">
        <v>5491</v>
      </c>
      <c r="T148" s="1637">
        <f>IFERROR(VLOOKUP(S148,'TAB EMP'!A:B,2,0),0)</f>
        <v>221</v>
      </c>
      <c r="U148" s="1638">
        <v>0</v>
      </c>
      <c r="V148" s="1637">
        <f t="shared" si="288"/>
        <v>221</v>
      </c>
      <c r="W148" s="1638">
        <f t="shared" si="289"/>
        <v>110.5</v>
      </c>
      <c r="X148" s="1628" t="s">
        <v>2844</v>
      </c>
      <c r="Y148" s="1628"/>
      <c r="Z148" s="1628">
        <v>2</v>
      </c>
      <c r="AA148" s="1637">
        <f>ROUND(IF(H148&lt;&gt;"",VLOOKUP(SUM(I148+J148),'CONCEPTOS Y PARAMETROS'!F:G,2,0)*V148,0),2)</f>
        <v>16.350000000000001</v>
      </c>
      <c r="AB148" s="1637">
        <f>IF(S148&lt;&gt;"",IF(M148="",'CONCEPTOS Y PARAMETROS'!$C$4,0),0)</f>
        <v>130</v>
      </c>
      <c r="AC148" s="1637">
        <f>IF(S148&lt;&gt;"",IF(M148="",'CONCEPTOS Y PARAMETROS'!$C$7*Z148,0),0)</f>
        <v>25</v>
      </c>
      <c r="AD148" s="1637">
        <f>IFERROR(ROUND(VLOOKUP($X148,'CONCEPTOS Y PARAMETROS'!H:I,2,0)*($V148+AA148+AB148+AC148),2),0)</f>
        <v>78.47</v>
      </c>
      <c r="AE148" s="1637">
        <f t="shared" si="285"/>
        <v>249.82</v>
      </c>
      <c r="AF148" s="1637">
        <f t="shared" si="290"/>
        <v>8.18</v>
      </c>
      <c r="AG148" s="1637">
        <f t="shared" si="291"/>
        <v>8.17</v>
      </c>
      <c r="AH148" s="1637">
        <f t="shared" si="292"/>
        <v>65</v>
      </c>
      <c r="AI148" s="1637">
        <f t="shared" si="293"/>
        <v>65</v>
      </c>
      <c r="AJ148" s="1637">
        <f t="shared" si="294"/>
        <v>39.24</v>
      </c>
      <c r="AK148" s="1637">
        <f t="shared" si="295"/>
        <v>39.229999999999997</v>
      </c>
      <c r="AL148" s="1638">
        <f t="shared" si="296"/>
        <v>137.41999999999999</v>
      </c>
      <c r="AM148" s="1638">
        <f t="shared" si="297"/>
        <v>112.4</v>
      </c>
      <c r="AN148" s="1639">
        <v>2</v>
      </c>
      <c r="AO148" s="1640">
        <f>'CONCEPTOS Y PARAMETROS'!$C$18*AN148</f>
        <v>25</v>
      </c>
      <c r="AP148" s="1639">
        <v>0</v>
      </c>
      <c r="AQ148" s="1640">
        <f>'CONCEPTOS Y PARAMETROS'!$C$21*AP148</f>
        <v>0</v>
      </c>
      <c r="AR148" s="1641">
        <v>0</v>
      </c>
      <c r="AS148" s="1641">
        <v>0</v>
      </c>
      <c r="AT148" s="1641">
        <f t="shared" si="360"/>
        <v>25</v>
      </c>
      <c r="AU148" s="1638">
        <f t="shared" si="298"/>
        <v>470.82</v>
      </c>
      <c r="AV148" s="1642">
        <v>0</v>
      </c>
      <c r="AW148" s="1638">
        <f t="shared" ref="AW148:AW163" si="361">ROUND(IF(AV148="NOCTURN",(V148+AE148)*30%,0),2)</f>
        <v>0</v>
      </c>
      <c r="AX148" s="1637">
        <f>IF(T148&lt;&gt;"0",(ROUND(IF(A148="EMPLEADO",eval_formula('CONCEPTOS Y PARAMETROS'!$C$8,NOMINA!V148,NOMINA!$AU148,NOMINA!I148+NOMINA!J148),eval_formula('CONCEPTOS Y PARAMETROS'!$D$8,NOMINA!V148,NOMINA!$AU148,NOMINA!I148+NOMINA!J148)),2))*IF(H148&lt;&gt;"",IF(MONTH(H148)=$BR$8,IF(YEAR(H148)&lt;$BT$7,1,0),0)))</f>
        <v>3766.56</v>
      </c>
      <c r="AY148" s="1638">
        <v>180</v>
      </c>
      <c r="AZ148" s="1637">
        <f>IFERROR(VLOOKUP(AY148,'CONCEPTOS Y PARAMETROS'!Y:Z,2,0),0)</f>
        <v>150</v>
      </c>
      <c r="BA148" s="1637">
        <f t="shared" si="300"/>
        <v>3531.15</v>
      </c>
      <c r="BB148" s="1637">
        <f t="shared" si="287"/>
        <v>0</v>
      </c>
      <c r="BC148" s="1639">
        <v>0</v>
      </c>
      <c r="BD148" s="1637" t="str">
        <f t="shared" si="301"/>
        <v>0</v>
      </c>
      <c r="BE148" s="1639">
        <v>0</v>
      </c>
      <c r="BF148" s="1637">
        <f t="shared" si="334"/>
        <v>0</v>
      </c>
      <c r="BG148" s="1638">
        <v>300</v>
      </c>
      <c r="BH148" s="1638">
        <f t="shared" si="261"/>
        <v>0</v>
      </c>
      <c r="BI148" s="1628">
        <v>0</v>
      </c>
      <c r="BJ148" s="1628">
        <f t="shared" si="262"/>
        <v>0</v>
      </c>
      <c r="BK148" s="1638">
        <v>0</v>
      </c>
      <c r="BL148" s="1637">
        <f t="shared" si="329"/>
        <v>17.38</v>
      </c>
      <c r="BM148" s="1637">
        <f t="shared" si="330"/>
        <v>2.17</v>
      </c>
      <c r="BN148" s="1637">
        <f t="shared" si="263"/>
        <v>4.71</v>
      </c>
      <c r="BO148" s="1637">
        <v>0</v>
      </c>
      <c r="BP148" s="1637">
        <v>0</v>
      </c>
      <c r="BQ148" s="1643">
        <f t="shared" si="302"/>
        <v>24.26</v>
      </c>
      <c r="BR148" s="1637">
        <f t="shared" si="331"/>
        <v>39.11</v>
      </c>
      <c r="BS148" s="1637">
        <f t="shared" si="332"/>
        <v>8.69</v>
      </c>
      <c r="BT148" s="1637">
        <f t="shared" si="264"/>
        <v>9.42</v>
      </c>
      <c r="BU148" s="1637">
        <v>0</v>
      </c>
      <c r="BV148" s="1638">
        <f t="shared" si="303"/>
        <v>57.22</v>
      </c>
      <c r="BW148" s="1644">
        <f t="shared" si="304"/>
        <v>81.48</v>
      </c>
      <c r="BX148" s="1644">
        <f t="shared" si="333"/>
        <v>882.79</v>
      </c>
      <c r="BY148" s="1638">
        <v>0</v>
      </c>
      <c r="BZ148" s="1638">
        <f t="shared" si="265"/>
        <v>882.79</v>
      </c>
      <c r="CA148" s="1645">
        <f>'CONCEPTOS Y PARAMETROS'!$A$102</f>
        <v>2120</v>
      </c>
      <c r="CB148" s="1644">
        <f t="shared" si="266"/>
        <v>223.66</v>
      </c>
      <c r="CC148" s="1646">
        <f t="shared" si="267"/>
        <v>4314.46</v>
      </c>
      <c r="CD148" s="1647"/>
      <c r="CE148" s="1647"/>
      <c r="CF148" s="1648"/>
      <c r="CG148" s="1649">
        <f t="shared" si="268"/>
        <v>223.66</v>
      </c>
      <c r="CH148" s="1713">
        <f t="shared" si="269"/>
        <v>300</v>
      </c>
      <c r="CI148" s="1649">
        <f t="shared" si="270"/>
        <v>522.9</v>
      </c>
      <c r="CJ148" s="1649">
        <f t="shared" si="271"/>
        <v>522.9</v>
      </c>
      <c r="CK148" s="1649">
        <f t="shared" si="272"/>
        <v>0</v>
      </c>
      <c r="CL148" s="1649">
        <f t="shared" si="273"/>
        <v>0</v>
      </c>
      <c r="CM148" s="1649">
        <f t="shared" si="274"/>
        <v>0</v>
      </c>
      <c r="CN148" s="1650">
        <f t="shared" si="275"/>
        <v>0</v>
      </c>
      <c r="CO148" s="1651">
        <v>0</v>
      </c>
      <c r="CP148" s="1650">
        <f t="shared" si="276"/>
        <v>0</v>
      </c>
      <c r="CQ148" s="1652">
        <f t="shared" si="277"/>
        <v>25</v>
      </c>
      <c r="CR148" s="1650">
        <f t="shared" si="278"/>
        <v>3766.56</v>
      </c>
      <c r="CS148" s="1650">
        <f t="shared" si="279"/>
        <v>3791.56</v>
      </c>
      <c r="CT148" s="1650">
        <f t="shared" si="280"/>
        <v>81.48</v>
      </c>
      <c r="CU148" s="1650">
        <f t="shared" si="281"/>
        <v>2120</v>
      </c>
      <c r="CV148" s="1653"/>
      <c r="CW148" s="1627" t="s">
        <v>6988</v>
      </c>
      <c r="CX148" s="1627" t="s">
        <v>7271</v>
      </c>
      <c r="CY148" s="1647"/>
      <c r="CZ148" s="1647" t="s">
        <v>6262</v>
      </c>
      <c r="DA148" s="1647" t="s">
        <v>6198</v>
      </c>
      <c r="DB148" s="1657" t="s">
        <v>6291</v>
      </c>
      <c r="DC148" s="1647" t="s">
        <v>6627</v>
      </c>
      <c r="DD148" s="1647"/>
      <c r="DE148" s="1647"/>
      <c r="DF148" s="1647"/>
      <c r="DG148" s="1647"/>
      <c r="DH148" s="1647"/>
      <c r="DJ148" s="1654" t="str">
        <f>VLOOKUP(X148,Hoja1!$A$4:$B$10,2,0)</f>
        <v>TÉCNICO SUPERIOR UNIVERSITARIO</v>
      </c>
      <c r="DK148" s="1654" t="str">
        <f>VLOOKUP(S148,Hoja1!$D$4:$F$77,3,0)</f>
        <v>TII - III</v>
      </c>
      <c r="DL148" s="1656" t="str">
        <f t="shared" si="282"/>
        <v>0</v>
      </c>
      <c r="DM148" s="1742" t="str">
        <f t="shared" si="283"/>
        <v>F</v>
      </c>
      <c r="DN148" s="1742"/>
    </row>
    <row r="149" spans="1:118" s="1654" customFormat="1" ht="21.95" customHeight="1">
      <c r="A149" s="1624" t="s">
        <v>2846</v>
      </c>
      <c r="B149" s="1625">
        <f t="shared" ca="1" si="355"/>
        <v>107</v>
      </c>
      <c r="C149" s="1626">
        <v>14598170</v>
      </c>
      <c r="D149" s="1627" t="s">
        <v>4788</v>
      </c>
      <c r="E149" s="1628" t="s">
        <v>4622</v>
      </c>
      <c r="F149" s="1629">
        <v>29373</v>
      </c>
      <c r="G149" s="1628" t="s">
        <v>4621</v>
      </c>
      <c r="H149" s="1629">
        <v>43435</v>
      </c>
      <c r="I149" s="1630">
        <f t="shared" si="259"/>
        <v>6</v>
      </c>
      <c r="J149" s="1631">
        <v>0</v>
      </c>
      <c r="K149" s="1630">
        <f t="shared" si="260"/>
        <v>6</v>
      </c>
      <c r="L149" s="1632" t="s">
        <v>5551</v>
      </c>
      <c r="M149" s="1631"/>
      <c r="N149" s="1631"/>
      <c r="O149" s="1633" t="s">
        <v>5237</v>
      </c>
      <c r="P149" s="1631" t="s">
        <v>5358</v>
      </c>
      <c r="Q149" s="1634" t="str">
        <f>IFERROR(VLOOKUP(O149,CARGOS!A:E,2,0),"")</f>
        <v>79523</v>
      </c>
      <c r="R149" s="1635" t="s">
        <v>5237</v>
      </c>
      <c r="S149" s="1636" t="s">
        <v>5488</v>
      </c>
      <c r="T149" s="1637">
        <f>IFERROR(VLOOKUP(S149,'TAB EMP'!A:B,2,0),0)</f>
        <v>279</v>
      </c>
      <c r="U149" s="1638">
        <v>0</v>
      </c>
      <c r="V149" s="1637">
        <f t="shared" si="288"/>
        <v>279</v>
      </c>
      <c r="W149" s="1638">
        <f t="shared" si="289"/>
        <v>139.5</v>
      </c>
      <c r="X149" s="1628" t="s">
        <v>2885</v>
      </c>
      <c r="Y149" s="1628"/>
      <c r="Z149" s="1628">
        <v>1</v>
      </c>
      <c r="AA149" s="1637">
        <f>ROUND(IF(H149&lt;&gt;"",VLOOKUP(SUM(I149+J149),'CONCEPTOS Y PARAMETROS'!F:G,2,0)*V149,0),2)</f>
        <v>17.3</v>
      </c>
      <c r="AB149" s="1637">
        <f>IF(S149&lt;&gt;"",IF(M149="",'CONCEPTOS Y PARAMETROS'!$C$4,0),0)</f>
        <v>130</v>
      </c>
      <c r="AC149" s="1637">
        <f>IF(S149&lt;&gt;"",IF(M149="",'CONCEPTOS Y PARAMETROS'!$C$7*Z149,0),0)</f>
        <v>12.5</v>
      </c>
      <c r="AD149" s="1637">
        <f>IFERROR(ROUND(VLOOKUP($X149,'CONCEPTOS Y PARAMETROS'!H:I,2,0)*($V149+AA149+AB149+AC149),2),0)</f>
        <v>109.7</v>
      </c>
      <c r="AE149" s="1637">
        <f t="shared" si="285"/>
        <v>269.5</v>
      </c>
      <c r="AF149" s="1637">
        <f t="shared" si="290"/>
        <v>8.65</v>
      </c>
      <c r="AG149" s="1637">
        <f t="shared" si="291"/>
        <v>8.65</v>
      </c>
      <c r="AH149" s="1637">
        <f t="shared" si="292"/>
        <v>65</v>
      </c>
      <c r="AI149" s="1637">
        <f t="shared" si="293"/>
        <v>65</v>
      </c>
      <c r="AJ149" s="1637">
        <f t="shared" si="294"/>
        <v>54.85</v>
      </c>
      <c r="AK149" s="1637">
        <f t="shared" si="295"/>
        <v>54.85</v>
      </c>
      <c r="AL149" s="1638">
        <f t="shared" si="296"/>
        <v>141</v>
      </c>
      <c r="AM149" s="1638">
        <f t="shared" si="297"/>
        <v>128.5</v>
      </c>
      <c r="AN149" s="1639">
        <v>0</v>
      </c>
      <c r="AO149" s="1640">
        <f>'CONCEPTOS Y PARAMETROS'!$C$18*AN149</f>
        <v>0</v>
      </c>
      <c r="AP149" s="1639">
        <v>0</v>
      </c>
      <c r="AQ149" s="1640">
        <f>'CONCEPTOS Y PARAMETROS'!$C$21*AP149</f>
        <v>0</v>
      </c>
      <c r="AR149" s="1641">
        <v>0</v>
      </c>
      <c r="AS149" s="1641">
        <v>0</v>
      </c>
      <c r="AT149" s="1641">
        <f t="shared" si="360"/>
        <v>0</v>
      </c>
      <c r="AU149" s="1638">
        <f t="shared" si="298"/>
        <v>548.5</v>
      </c>
      <c r="AV149" s="1642">
        <v>0</v>
      </c>
      <c r="AW149" s="1638">
        <f t="shared" si="361"/>
        <v>0</v>
      </c>
      <c r="AX149" s="1637">
        <f>IF(T149&lt;&gt;"0",(ROUND(IF(A149="EMPLEADO",eval_formula('CONCEPTOS Y PARAMETROS'!$C$8,NOMINA!V149,NOMINA!$AU149,NOMINA!I149+NOMINA!J149),eval_formula('CONCEPTOS Y PARAMETROS'!$D$8,NOMINA!V149,NOMINA!$AU149,NOMINA!I149+NOMINA!J149)),2))*IF(H149&lt;&gt;"",IF(MONTH(H149)=$BR$8,IF(YEAR(H149)&lt;$BT$7,1,0),0)))</f>
        <v>0</v>
      </c>
      <c r="AY149" s="1638">
        <v>180</v>
      </c>
      <c r="AZ149" s="1637">
        <f>IFERROR(VLOOKUP(AY149,'CONCEPTOS Y PARAMETROS'!Y:Z,2,0),0)</f>
        <v>150</v>
      </c>
      <c r="BA149" s="1637">
        <f t="shared" si="300"/>
        <v>4113.75</v>
      </c>
      <c r="BB149" s="1637">
        <f t="shared" si="287"/>
        <v>0</v>
      </c>
      <c r="BC149" s="1639">
        <v>0</v>
      </c>
      <c r="BD149" s="1637" t="str">
        <f t="shared" si="301"/>
        <v>0</v>
      </c>
      <c r="BE149" s="1639">
        <v>0</v>
      </c>
      <c r="BF149" s="1637">
        <f t="shared" si="334"/>
        <v>0</v>
      </c>
      <c r="BG149" s="1638">
        <v>300</v>
      </c>
      <c r="BH149" s="1638">
        <f t="shared" si="261"/>
        <v>0</v>
      </c>
      <c r="BI149" s="1628">
        <v>0</v>
      </c>
      <c r="BJ149" s="1628">
        <f t="shared" si="262"/>
        <v>0</v>
      </c>
      <c r="BK149" s="1638">
        <v>0</v>
      </c>
      <c r="BL149" s="1637">
        <f t="shared" si="329"/>
        <v>20.25</v>
      </c>
      <c r="BM149" s="1637">
        <f t="shared" si="330"/>
        <v>2.5299999999999998</v>
      </c>
      <c r="BN149" s="1637">
        <f t="shared" si="263"/>
        <v>5.49</v>
      </c>
      <c r="BO149" s="1637">
        <v>0</v>
      </c>
      <c r="BP149" s="1637">
        <v>0</v>
      </c>
      <c r="BQ149" s="1643">
        <f t="shared" si="302"/>
        <v>28.27</v>
      </c>
      <c r="BR149" s="1637">
        <f t="shared" si="331"/>
        <v>45.57</v>
      </c>
      <c r="BS149" s="1637">
        <f t="shared" si="332"/>
        <v>10.130000000000001</v>
      </c>
      <c r="BT149" s="1637">
        <f t="shared" si="264"/>
        <v>10.98</v>
      </c>
      <c r="BU149" s="1637">
        <v>0</v>
      </c>
      <c r="BV149" s="1638">
        <f t="shared" si="303"/>
        <v>66.680000000000007</v>
      </c>
      <c r="BW149" s="1644">
        <f t="shared" si="304"/>
        <v>94.95</v>
      </c>
      <c r="BX149" s="1644">
        <f t="shared" si="333"/>
        <v>1028.44</v>
      </c>
      <c r="BY149" s="1638">
        <v>0</v>
      </c>
      <c r="BZ149" s="1638">
        <f t="shared" si="265"/>
        <v>1028.44</v>
      </c>
      <c r="CA149" s="1645">
        <f>'CONCEPTOS Y PARAMETROS'!$A$102</f>
        <v>2120</v>
      </c>
      <c r="CB149" s="1644">
        <f t="shared" si="266"/>
        <v>252.23</v>
      </c>
      <c r="CC149" s="1646">
        <f t="shared" si="267"/>
        <v>568</v>
      </c>
      <c r="CD149" s="1647"/>
      <c r="CE149" s="1647"/>
      <c r="CF149" s="1648"/>
      <c r="CG149" s="1649">
        <f t="shared" si="268"/>
        <v>252.23</v>
      </c>
      <c r="CH149" s="1713">
        <f t="shared" si="269"/>
        <v>300</v>
      </c>
      <c r="CI149" s="1649">
        <f t="shared" si="270"/>
        <v>568</v>
      </c>
      <c r="CJ149" s="1649">
        <f t="shared" si="271"/>
        <v>272.64</v>
      </c>
      <c r="CK149" s="1649">
        <f t="shared" si="272"/>
        <v>295.36</v>
      </c>
      <c r="CL149" s="1649">
        <f t="shared" si="273"/>
        <v>0</v>
      </c>
      <c r="CM149" s="1649">
        <f t="shared" si="274"/>
        <v>0</v>
      </c>
      <c r="CN149" s="1650">
        <f t="shared" si="275"/>
        <v>0</v>
      </c>
      <c r="CO149" s="1651">
        <v>0</v>
      </c>
      <c r="CP149" s="1650">
        <f t="shared" si="276"/>
        <v>0</v>
      </c>
      <c r="CQ149" s="1652">
        <f t="shared" si="277"/>
        <v>0</v>
      </c>
      <c r="CR149" s="1650">
        <f t="shared" si="278"/>
        <v>0</v>
      </c>
      <c r="CS149" s="1650">
        <f t="shared" si="279"/>
        <v>0</v>
      </c>
      <c r="CT149" s="1650">
        <f t="shared" si="280"/>
        <v>94.95</v>
      </c>
      <c r="CU149" s="1650">
        <f t="shared" si="281"/>
        <v>2120</v>
      </c>
      <c r="CV149" s="1653"/>
      <c r="CW149" s="1627" t="s">
        <v>6989</v>
      </c>
      <c r="CX149" s="1627" t="s">
        <v>7272</v>
      </c>
      <c r="CY149" s="1647"/>
      <c r="CZ149" s="1647" t="s">
        <v>6387</v>
      </c>
      <c r="DA149" s="1647" t="s">
        <v>6188</v>
      </c>
      <c r="DB149" s="1647" t="s">
        <v>6229</v>
      </c>
      <c r="DC149" s="1647" t="s">
        <v>6246</v>
      </c>
      <c r="DD149" s="1647"/>
      <c r="DE149" s="1647"/>
      <c r="DF149" s="1647"/>
      <c r="DG149" s="1647"/>
      <c r="DH149" s="1647"/>
      <c r="DJ149" s="1654" t="str">
        <f>VLOOKUP(X149,Hoja1!$A$4:$B$10,2,0)</f>
        <v>PROFESIONAL</v>
      </c>
      <c r="DK149" s="1654" t="str">
        <f>VLOOKUP(S149,Hoja1!$D$4:$F$77,3,0)</f>
        <v>PII - III</v>
      </c>
      <c r="DL149" s="1656" t="str">
        <f t="shared" si="282"/>
        <v>0</v>
      </c>
      <c r="DM149" s="1742" t="str">
        <f t="shared" si="283"/>
        <v>M</v>
      </c>
      <c r="DN149" s="1742"/>
    </row>
    <row r="150" spans="1:118" s="473" customFormat="1" ht="21.95" customHeight="1">
      <c r="A150" s="510" t="s">
        <v>2846</v>
      </c>
      <c r="B150" s="1390">
        <f t="shared" ca="1" si="355"/>
        <v>108</v>
      </c>
      <c r="C150" s="1194">
        <v>14598687</v>
      </c>
      <c r="D150" s="1195" t="s">
        <v>4789</v>
      </c>
      <c r="E150" s="1180" t="s">
        <v>4622</v>
      </c>
      <c r="F150" s="1196">
        <v>29203</v>
      </c>
      <c r="G150" s="1180" t="s">
        <v>4621</v>
      </c>
      <c r="H150" s="1196">
        <v>44332</v>
      </c>
      <c r="I150" s="1185">
        <f t="shared" si="259"/>
        <v>3</v>
      </c>
      <c r="J150" s="1177">
        <v>0</v>
      </c>
      <c r="K150" s="1185">
        <f t="shared" si="260"/>
        <v>3</v>
      </c>
      <c r="L150" s="1191" t="s">
        <v>5545</v>
      </c>
      <c r="M150" s="1177"/>
      <c r="N150" s="1177"/>
      <c r="O150" s="1040" t="s">
        <v>5247</v>
      </c>
      <c r="P150" s="1177" t="s">
        <v>5359</v>
      </c>
      <c r="Q150" s="1391" t="str">
        <f>IFERROR(VLOOKUP(O150,CARGOS!A:E,2,0),"")</f>
        <v>34234</v>
      </c>
      <c r="R150" s="1403" t="s">
        <v>5247</v>
      </c>
      <c r="S150" s="1192" t="s">
        <v>5489</v>
      </c>
      <c r="T150" s="1150">
        <f>IFERROR(VLOOKUP(S150,'TAB EMP'!A:B,2,0),0)</f>
        <v>307</v>
      </c>
      <c r="U150" s="1151">
        <v>0</v>
      </c>
      <c r="V150" s="1150">
        <f t="shared" si="288"/>
        <v>307</v>
      </c>
      <c r="W150" s="1151">
        <f t="shared" si="289"/>
        <v>153.5</v>
      </c>
      <c r="X150" s="1180" t="s">
        <v>2887</v>
      </c>
      <c r="Y150" s="1180"/>
      <c r="Z150" s="1180">
        <v>1</v>
      </c>
      <c r="AA150" s="1150">
        <f>ROUND(IF(H150&lt;&gt;"",VLOOKUP(SUM(I150+J150),'CONCEPTOS Y PARAMETROS'!F:G,2,0)*V150,0),2)</f>
        <v>9.2100000000000009</v>
      </c>
      <c r="AB150" s="1150">
        <f>IF(S150&lt;&gt;"",IF(M150="",'CONCEPTOS Y PARAMETROS'!$C$4,0),0)</f>
        <v>130</v>
      </c>
      <c r="AC150" s="1150">
        <f>IF(S150&lt;&gt;"",IF(M150="",'CONCEPTOS Y PARAMETROS'!$C$7*Z150,0),0)</f>
        <v>12.5</v>
      </c>
      <c r="AD150" s="1150">
        <f>IFERROR(ROUND(VLOOKUP($X150,'CONCEPTOS Y PARAMETROS'!H:I,2,0)*($V150+AA150+AB150+AC150),2),0)</f>
        <v>160.55000000000001</v>
      </c>
      <c r="AE150" s="1150">
        <f t="shared" si="285"/>
        <v>312.26</v>
      </c>
      <c r="AF150" s="1150">
        <f t="shared" si="290"/>
        <v>4.6100000000000003</v>
      </c>
      <c r="AG150" s="1150">
        <f t="shared" si="291"/>
        <v>4.5999999999999996</v>
      </c>
      <c r="AH150" s="1150">
        <f t="shared" si="292"/>
        <v>65</v>
      </c>
      <c r="AI150" s="1150">
        <f t="shared" si="293"/>
        <v>65</v>
      </c>
      <c r="AJ150" s="1150">
        <f t="shared" si="294"/>
        <v>80.28</v>
      </c>
      <c r="AK150" s="1150">
        <f t="shared" si="295"/>
        <v>80.27</v>
      </c>
      <c r="AL150" s="1151">
        <f t="shared" si="296"/>
        <v>162.38999999999999</v>
      </c>
      <c r="AM150" s="1151">
        <f t="shared" si="297"/>
        <v>149.87</v>
      </c>
      <c r="AN150" s="1028">
        <v>0</v>
      </c>
      <c r="AO150" s="1193">
        <f>'CONCEPTOS Y PARAMETROS'!$C$18*AN150</f>
        <v>0</v>
      </c>
      <c r="AP150" s="1028">
        <v>0</v>
      </c>
      <c r="AQ150" s="1193">
        <f>'CONCEPTOS Y PARAMETROS'!$C$21*AP150</f>
        <v>0</v>
      </c>
      <c r="AR150" s="1394">
        <v>0</v>
      </c>
      <c r="AS150" s="1394">
        <v>0</v>
      </c>
      <c r="AT150" s="1394">
        <f t="shared" si="360"/>
        <v>0</v>
      </c>
      <c r="AU150" s="1151">
        <f t="shared" si="298"/>
        <v>619.26</v>
      </c>
      <c r="AV150" s="1178">
        <v>0</v>
      </c>
      <c r="AW150" s="1151">
        <f t="shared" si="361"/>
        <v>0</v>
      </c>
      <c r="AX150" s="1150">
        <f>IF(T150&lt;&gt;"0",(ROUND(IF(A150="EMPLEADO",eval_formula('CONCEPTOS Y PARAMETROS'!$C$8,NOMINA!V150,NOMINA!$AU150,NOMINA!I150+NOMINA!J150),eval_formula('CONCEPTOS Y PARAMETROS'!$D$8,NOMINA!V150,NOMINA!$AU150,NOMINA!I150+NOMINA!J150)),2))*IF(H150&lt;&gt;"",IF(MONTH(H150)=$BR$8,IF(YEAR(H150)&lt;$BT$7,1,0),0)))</f>
        <v>0</v>
      </c>
      <c r="AY150" s="1151">
        <v>180</v>
      </c>
      <c r="AZ150" s="1150">
        <f>IFERROR(VLOOKUP(AY150,'CONCEPTOS Y PARAMETROS'!Y:Z,2,0),0)</f>
        <v>150</v>
      </c>
      <c r="BA150" s="1150">
        <f t="shared" si="300"/>
        <v>4644.45</v>
      </c>
      <c r="BB150" s="1150">
        <f t="shared" si="287"/>
        <v>0</v>
      </c>
      <c r="BC150" s="1028">
        <v>0</v>
      </c>
      <c r="BD150" s="1150" t="str">
        <f t="shared" si="301"/>
        <v>0</v>
      </c>
      <c r="BE150" s="1028">
        <v>0</v>
      </c>
      <c r="BF150" s="1150">
        <f t="shared" si="334"/>
        <v>0</v>
      </c>
      <c r="BG150" s="1151">
        <v>300</v>
      </c>
      <c r="BH150" s="1151">
        <f t="shared" si="261"/>
        <v>0</v>
      </c>
      <c r="BI150" s="1180">
        <v>0</v>
      </c>
      <c r="BJ150" s="1180">
        <f t="shared" si="262"/>
        <v>0</v>
      </c>
      <c r="BK150" s="1151">
        <v>0</v>
      </c>
      <c r="BL150" s="1150">
        <f t="shared" si="329"/>
        <v>22.86</v>
      </c>
      <c r="BM150" s="1150">
        <f t="shared" si="330"/>
        <v>2.86</v>
      </c>
      <c r="BN150" s="1150">
        <f t="shared" si="263"/>
        <v>6.19</v>
      </c>
      <c r="BO150" s="1150">
        <v>0</v>
      </c>
      <c r="BP150" s="1150">
        <v>0</v>
      </c>
      <c r="BQ150" s="1396">
        <f t="shared" si="302"/>
        <v>31.91</v>
      </c>
      <c r="BR150" s="1150">
        <f t="shared" si="331"/>
        <v>51.45</v>
      </c>
      <c r="BS150" s="1150">
        <f t="shared" si="332"/>
        <v>11.43</v>
      </c>
      <c r="BT150" s="1150">
        <f t="shared" si="264"/>
        <v>12.38</v>
      </c>
      <c r="BU150" s="1150">
        <v>0</v>
      </c>
      <c r="BV150" s="1151">
        <f t="shared" si="303"/>
        <v>75.260000000000005</v>
      </c>
      <c r="BW150" s="1155">
        <f t="shared" si="304"/>
        <v>107.17</v>
      </c>
      <c r="BX150" s="1155">
        <f t="shared" si="333"/>
        <v>1161.1099999999999</v>
      </c>
      <c r="BY150" s="1151">
        <v>0</v>
      </c>
      <c r="BZ150" s="1151">
        <f t="shared" si="265"/>
        <v>1161.1099999999999</v>
      </c>
      <c r="CA150" s="1397">
        <f>'CONCEPTOS Y PARAMETROS'!$A$102</f>
        <v>2120</v>
      </c>
      <c r="CB150" s="1155">
        <f t="shared" si="266"/>
        <v>283.97999999999996</v>
      </c>
      <c r="CC150" s="1156">
        <f t="shared" si="267"/>
        <v>603.37</v>
      </c>
      <c r="CD150" s="514"/>
      <c r="CE150" s="514"/>
      <c r="CF150" s="520"/>
      <c r="CG150" s="497">
        <f t="shared" si="268"/>
        <v>283.97999999999996</v>
      </c>
      <c r="CH150" s="1711">
        <f t="shared" si="269"/>
        <v>300</v>
      </c>
      <c r="CI150" s="497">
        <f t="shared" si="270"/>
        <v>603.37</v>
      </c>
      <c r="CJ150" s="497">
        <f t="shared" si="271"/>
        <v>289.62</v>
      </c>
      <c r="CK150" s="497">
        <f t="shared" si="272"/>
        <v>313.75</v>
      </c>
      <c r="CL150" s="497">
        <f t="shared" si="273"/>
        <v>0</v>
      </c>
      <c r="CM150" s="497">
        <f t="shared" si="274"/>
        <v>0</v>
      </c>
      <c r="CN150" s="498">
        <f t="shared" si="275"/>
        <v>0</v>
      </c>
      <c r="CO150" s="499">
        <v>0</v>
      </c>
      <c r="CP150" s="498">
        <f t="shared" si="276"/>
        <v>0</v>
      </c>
      <c r="CQ150" s="500">
        <f t="shared" si="277"/>
        <v>0</v>
      </c>
      <c r="CR150" s="498">
        <f t="shared" si="278"/>
        <v>0</v>
      </c>
      <c r="CS150" s="498">
        <f t="shared" si="279"/>
        <v>0</v>
      </c>
      <c r="CT150" s="498">
        <f t="shared" si="280"/>
        <v>107.17</v>
      </c>
      <c r="CU150" s="498">
        <f t="shared" si="281"/>
        <v>2120</v>
      </c>
      <c r="CV150" s="1554"/>
      <c r="CW150" s="1195" t="s">
        <v>7042</v>
      </c>
      <c r="CX150" s="1195" t="s">
        <v>7228</v>
      </c>
      <c r="CY150" s="472"/>
      <c r="CZ150" s="1199" t="s">
        <v>6619</v>
      </c>
      <c r="DA150" s="514" t="s">
        <v>6173</v>
      </c>
      <c r="DB150" s="514" t="s">
        <v>6185</v>
      </c>
      <c r="DC150" s="514" t="s">
        <v>6659</v>
      </c>
      <c r="DD150" s="514"/>
      <c r="DE150" s="514"/>
      <c r="DF150" s="472"/>
      <c r="DG150" s="472"/>
      <c r="DH150" s="472"/>
      <c r="DJ150" s="473" t="str">
        <f>VLOOKUP(X150,Hoja1!$A$4:$B$10,2,0)</f>
        <v>MAGISTER</v>
      </c>
      <c r="DK150" s="473" t="str">
        <f>VLOOKUP(S150,Hoja1!$D$4:$F$77,3,0)</f>
        <v>PIII - II</v>
      </c>
      <c r="DL150" s="1216" t="str">
        <f t="shared" si="282"/>
        <v>0</v>
      </c>
      <c r="DM150" s="1741" t="str">
        <f t="shared" si="283"/>
        <v>M</v>
      </c>
      <c r="DN150" s="1741"/>
    </row>
    <row r="151" spans="1:118" s="473" customFormat="1" ht="21.95" customHeight="1">
      <c r="A151" s="510" t="s">
        <v>2846</v>
      </c>
      <c r="B151" s="1390">
        <f t="shared" ca="1" si="355"/>
        <v>109</v>
      </c>
      <c r="C151" s="1194">
        <v>14719639</v>
      </c>
      <c r="D151" s="1195" t="s">
        <v>5257</v>
      </c>
      <c r="E151" s="1180" t="s">
        <v>4622</v>
      </c>
      <c r="F151" s="1196">
        <v>28832</v>
      </c>
      <c r="G151" s="1180" t="s">
        <v>4620</v>
      </c>
      <c r="H151" s="1196">
        <v>44896</v>
      </c>
      <c r="I151" s="1185">
        <f t="shared" si="259"/>
        <v>2</v>
      </c>
      <c r="J151" s="1177">
        <v>0</v>
      </c>
      <c r="K151" s="1185">
        <f t="shared" si="260"/>
        <v>2</v>
      </c>
      <c r="L151" s="1191" t="s">
        <v>5562</v>
      </c>
      <c r="M151" s="1177"/>
      <c r="N151" s="1177"/>
      <c r="O151" s="1040" t="s">
        <v>5222</v>
      </c>
      <c r="P151" s="1177" t="s">
        <v>5360</v>
      </c>
      <c r="Q151" s="1391" t="str">
        <f>IFERROR(VLOOKUP(O151,CARGOS!A:E,2,0),"")</f>
        <v>79511</v>
      </c>
      <c r="R151" s="1403" t="s">
        <v>5222</v>
      </c>
      <c r="S151" s="1192" t="s">
        <v>5483</v>
      </c>
      <c r="T151" s="1150">
        <f>IFERROR(VLOOKUP(S151,'TAB EMP'!A:B,2,0),0)</f>
        <v>130</v>
      </c>
      <c r="U151" s="1151">
        <v>0</v>
      </c>
      <c r="V151" s="1150">
        <f t="shared" si="288"/>
        <v>130</v>
      </c>
      <c r="W151" s="1151">
        <f t="shared" si="289"/>
        <v>65</v>
      </c>
      <c r="X151" s="1180" t="s">
        <v>2884</v>
      </c>
      <c r="Y151" s="1180"/>
      <c r="Z151" s="1180">
        <v>2</v>
      </c>
      <c r="AA151" s="1150">
        <f>ROUND(IF(H151&lt;&gt;"",VLOOKUP(SUM(I151+J151),'CONCEPTOS Y PARAMETROS'!F:G,2,0)*V151,0),2)</f>
        <v>2.6</v>
      </c>
      <c r="AB151" s="1150">
        <f>IF(S151&lt;&gt;"",IF(M151="",'CONCEPTOS Y PARAMETROS'!$C$4,0),0)</f>
        <v>130</v>
      </c>
      <c r="AC151" s="1150">
        <f>IF(S151&lt;&gt;"",IF(M151="",'CONCEPTOS Y PARAMETROS'!$C$7*Z151,0),0)</f>
        <v>25</v>
      </c>
      <c r="AD151" s="1150">
        <f>IFERROR(ROUND(VLOOKUP($X151,'CONCEPTOS Y PARAMETROS'!H:I,2,0)*($V151+AA151+AB151+AC151),2),0)</f>
        <v>0</v>
      </c>
      <c r="AE151" s="1150">
        <f t="shared" si="285"/>
        <v>157.6</v>
      </c>
      <c r="AF151" s="1150">
        <f t="shared" si="290"/>
        <v>1.3</v>
      </c>
      <c r="AG151" s="1150">
        <f t="shared" si="291"/>
        <v>1.3</v>
      </c>
      <c r="AH151" s="1150">
        <f t="shared" si="292"/>
        <v>65</v>
      </c>
      <c r="AI151" s="1150">
        <f t="shared" si="293"/>
        <v>65</v>
      </c>
      <c r="AJ151" s="1150">
        <f t="shared" si="294"/>
        <v>0</v>
      </c>
      <c r="AK151" s="1150">
        <f t="shared" si="295"/>
        <v>0</v>
      </c>
      <c r="AL151" s="1151">
        <f t="shared" si="296"/>
        <v>91.3</v>
      </c>
      <c r="AM151" s="1151">
        <f t="shared" si="297"/>
        <v>66.3</v>
      </c>
      <c r="AN151" s="1028">
        <v>0</v>
      </c>
      <c r="AO151" s="1193">
        <f>'CONCEPTOS Y PARAMETROS'!$C$18*AN151</f>
        <v>0</v>
      </c>
      <c r="AP151" s="1028">
        <v>0</v>
      </c>
      <c r="AQ151" s="1193">
        <f>'CONCEPTOS Y PARAMETROS'!$C$21*AP151</f>
        <v>0</v>
      </c>
      <c r="AR151" s="1394">
        <v>0</v>
      </c>
      <c r="AS151" s="1394">
        <v>0</v>
      </c>
      <c r="AT151" s="1394">
        <f t="shared" si="360"/>
        <v>0</v>
      </c>
      <c r="AU151" s="1151">
        <f t="shared" si="298"/>
        <v>373.88</v>
      </c>
      <c r="AV151" s="1178" t="s">
        <v>5080</v>
      </c>
      <c r="AW151" s="1151">
        <f t="shared" si="361"/>
        <v>86.28</v>
      </c>
      <c r="AX151" s="1150">
        <f>IF(T151&lt;&gt;"0",(ROUND(IF(A151="EMPLEADO",eval_formula('CONCEPTOS Y PARAMETROS'!$C$8,NOMINA!V151,NOMINA!$AU151,NOMINA!I151+NOMINA!J151),eval_formula('CONCEPTOS Y PARAMETROS'!$D$8,NOMINA!V151,NOMINA!$AU151,NOMINA!I151+NOMINA!J151)),2))*IF(H151&lt;&gt;"",IF(MONTH(H151)=$BR$8,IF(YEAR(H151)&lt;$BT$7,1,0),0)))</f>
        <v>0</v>
      </c>
      <c r="AY151" s="1151">
        <v>180</v>
      </c>
      <c r="AZ151" s="1150">
        <f>IFERROR(VLOOKUP(AY151,'CONCEPTOS Y PARAMETROS'!Y:Z,2,0),0)</f>
        <v>150</v>
      </c>
      <c r="BA151" s="1150">
        <f t="shared" si="300"/>
        <v>2804.1</v>
      </c>
      <c r="BB151" s="1150">
        <f t="shared" si="287"/>
        <v>0</v>
      </c>
      <c r="BC151" s="1028">
        <v>0</v>
      </c>
      <c r="BD151" s="1150" t="str">
        <f t="shared" si="301"/>
        <v>0</v>
      </c>
      <c r="BE151" s="1028">
        <v>3</v>
      </c>
      <c r="BF151" s="1150">
        <f t="shared" si="334"/>
        <v>56.08</v>
      </c>
      <c r="BG151" s="1151">
        <v>300</v>
      </c>
      <c r="BH151" s="1151">
        <f t="shared" si="261"/>
        <v>0</v>
      </c>
      <c r="BI151" s="1180">
        <v>0</v>
      </c>
      <c r="BJ151" s="1180">
        <f t="shared" si="262"/>
        <v>0</v>
      </c>
      <c r="BK151" s="1151">
        <v>0</v>
      </c>
      <c r="BL151" s="1150">
        <f t="shared" si="329"/>
        <v>13.8</v>
      </c>
      <c r="BM151" s="1150">
        <f t="shared" si="330"/>
        <v>1.73</v>
      </c>
      <c r="BN151" s="1150">
        <f t="shared" si="263"/>
        <v>3.74</v>
      </c>
      <c r="BO151" s="1150">
        <v>0</v>
      </c>
      <c r="BP151" s="1150">
        <v>0</v>
      </c>
      <c r="BQ151" s="1396">
        <f t="shared" si="302"/>
        <v>19.27</v>
      </c>
      <c r="BR151" s="1150">
        <f t="shared" si="331"/>
        <v>31.06</v>
      </c>
      <c r="BS151" s="1150">
        <f t="shared" si="332"/>
        <v>6.9</v>
      </c>
      <c r="BT151" s="1150">
        <f t="shared" si="264"/>
        <v>7.48</v>
      </c>
      <c r="BU151" s="1150">
        <v>0</v>
      </c>
      <c r="BV151" s="1151">
        <f t="shared" si="303"/>
        <v>45.44</v>
      </c>
      <c r="BW151" s="1155">
        <f t="shared" si="304"/>
        <v>64.709999999999994</v>
      </c>
      <c r="BX151" s="1155">
        <f t="shared" ref="BX151:BX182" si="362">ROUND(BA151/4,2)</f>
        <v>701.03</v>
      </c>
      <c r="BY151" s="1151">
        <v>0</v>
      </c>
      <c r="BZ151" s="1151">
        <f t="shared" si="265"/>
        <v>701.03</v>
      </c>
      <c r="CA151" s="1397">
        <f>'CONCEPTOS Y PARAMETROS'!$A$102</f>
        <v>2120</v>
      </c>
      <c r="CB151" s="1155">
        <f t="shared" si="266"/>
        <v>137.03</v>
      </c>
      <c r="CC151" s="1156">
        <f t="shared" si="267"/>
        <v>573.66</v>
      </c>
      <c r="CD151" s="514"/>
      <c r="CE151" s="514"/>
      <c r="CF151" s="520"/>
      <c r="CG151" s="497">
        <f t="shared" si="268"/>
        <v>137.03</v>
      </c>
      <c r="CH151" s="1711">
        <f t="shared" si="269"/>
        <v>300</v>
      </c>
      <c r="CI151" s="497">
        <f t="shared" si="270"/>
        <v>431.3</v>
      </c>
      <c r="CJ151" s="497">
        <f t="shared" si="271"/>
        <v>431.3</v>
      </c>
      <c r="CK151" s="497">
        <f t="shared" si="272"/>
        <v>0</v>
      </c>
      <c r="CL151" s="497">
        <f t="shared" si="273"/>
        <v>0</v>
      </c>
      <c r="CM151" s="497">
        <f t="shared" si="274"/>
        <v>0</v>
      </c>
      <c r="CN151" s="498">
        <f t="shared" si="275"/>
        <v>56.08</v>
      </c>
      <c r="CO151" s="499">
        <v>0</v>
      </c>
      <c r="CP151" s="498">
        <f t="shared" si="276"/>
        <v>86.28</v>
      </c>
      <c r="CQ151" s="500">
        <f t="shared" si="277"/>
        <v>0</v>
      </c>
      <c r="CR151" s="498">
        <f t="shared" si="278"/>
        <v>0</v>
      </c>
      <c r="CS151" s="498">
        <f t="shared" si="279"/>
        <v>142.36000000000001</v>
      </c>
      <c r="CT151" s="498">
        <f t="shared" si="280"/>
        <v>64.709999999999994</v>
      </c>
      <c r="CU151" s="498">
        <f t="shared" si="281"/>
        <v>2120</v>
      </c>
      <c r="CV151" s="1554"/>
      <c r="CW151" s="1195" t="s">
        <v>7130</v>
      </c>
      <c r="CX151" s="1195" t="s">
        <v>7010</v>
      </c>
      <c r="CY151" s="472"/>
      <c r="CZ151" s="1199" t="s">
        <v>6589</v>
      </c>
      <c r="DA151" s="1199" t="s">
        <v>6660</v>
      </c>
      <c r="DB151" s="514" t="s">
        <v>6378</v>
      </c>
      <c r="DC151" s="514" t="s">
        <v>6575</v>
      </c>
      <c r="DD151" s="514"/>
      <c r="DE151" s="514"/>
      <c r="DF151" s="472"/>
      <c r="DG151" s="472"/>
      <c r="DH151" s="472"/>
      <c r="DJ151" s="473" t="str">
        <f>VLOOKUP(X151,Hoja1!$A$4:$B$10,2,0)</f>
        <v>BACHILLER</v>
      </c>
      <c r="DK151" s="473" t="str">
        <f>VLOOKUP(S151,Hoja1!$D$4:$F$77,3,0)</f>
        <v>BI</v>
      </c>
      <c r="DL151" s="1216" t="str">
        <f t="shared" si="282"/>
        <v>SI</v>
      </c>
      <c r="DM151" s="1741" t="str">
        <f t="shared" si="283"/>
        <v>F</v>
      </c>
      <c r="DN151" s="1741"/>
    </row>
    <row r="152" spans="1:118" s="473" customFormat="1" ht="21.95" customHeight="1">
      <c r="A152" s="510" t="s">
        <v>2846</v>
      </c>
      <c r="B152" s="1390">
        <f t="shared" ca="1" si="355"/>
        <v>110</v>
      </c>
      <c r="C152" s="1194">
        <v>14739168</v>
      </c>
      <c r="D152" s="1195" t="s">
        <v>4794</v>
      </c>
      <c r="E152" s="1180" t="s">
        <v>4622</v>
      </c>
      <c r="F152" s="1196">
        <v>28975</v>
      </c>
      <c r="G152" s="1180" t="s">
        <v>4620</v>
      </c>
      <c r="H152" s="1196">
        <v>38841</v>
      </c>
      <c r="I152" s="1185">
        <f t="shared" si="259"/>
        <v>18</v>
      </c>
      <c r="J152" s="1177">
        <v>0</v>
      </c>
      <c r="K152" s="1185">
        <f t="shared" si="260"/>
        <v>18</v>
      </c>
      <c r="L152" s="1191" t="s">
        <v>5550</v>
      </c>
      <c r="M152" s="1177"/>
      <c r="N152" s="1177"/>
      <c r="O152" s="1040" t="s">
        <v>5258</v>
      </c>
      <c r="P152" s="1177" t="s">
        <v>5361</v>
      </c>
      <c r="Q152" s="1391" t="str">
        <f>IFERROR(VLOOKUP(O152,CARGOS!A:E,2,0),"")</f>
        <v>79353</v>
      </c>
      <c r="R152" s="1403" t="s">
        <v>5258</v>
      </c>
      <c r="S152" s="1192" t="s">
        <v>5484</v>
      </c>
      <c r="T152" s="1150">
        <f>IFERROR(VLOOKUP(S152,'TAB EMP'!A:B,2,0),0)</f>
        <v>228</v>
      </c>
      <c r="U152" s="1151">
        <v>0</v>
      </c>
      <c r="V152" s="1150">
        <f t="shared" si="288"/>
        <v>228</v>
      </c>
      <c r="W152" s="1151">
        <f t="shared" si="289"/>
        <v>114</v>
      </c>
      <c r="X152" s="1180" t="s">
        <v>2844</v>
      </c>
      <c r="Y152" s="1180"/>
      <c r="Z152" s="1180">
        <v>1</v>
      </c>
      <c r="AA152" s="1150">
        <f>ROUND(IF(H152&lt;&gt;"",VLOOKUP(SUM(I152+J152),'CONCEPTOS Y PARAMETROS'!F:G,2,0)*V152,0),2)</f>
        <v>51.98</v>
      </c>
      <c r="AB152" s="1150">
        <f>IF(S152&lt;&gt;"",IF(M152="",'CONCEPTOS Y PARAMETROS'!$C$4,0),0)</f>
        <v>130</v>
      </c>
      <c r="AC152" s="1150">
        <f>IF(S152&lt;&gt;"",IF(M152="",'CONCEPTOS Y PARAMETROS'!$C$7*Z152,0),0)</f>
        <v>12.5</v>
      </c>
      <c r="AD152" s="1150">
        <f>IFERROR(ROUND(VLOOKUP($X152,'CONCEPTOS Y PARAMETROS'!H:I,2,0)*($V152+AA152+AB152+AC152),2),0)</f>
        <v>84.5</v>
      </c>
      <c r="AE152" s="1150">
        <f t="shared" si="285"/>
        <v>278.98</v>
      </c>
      <c r="AF152" s="1150">
        <f t="shared" si="290"/>
        <v>25.99</v>
      </c>
      <c r="AG152" s="1150">
        <f t="shared" si="291"/>
        <v>25.99</v>
      </c>
      <c r="AH152" s="1150">
        <f t="shared" si="292"/>
        <v>65</v>
      </c>
      <c r="AI152" s="1150">
        <f t="shared" si="293"/>
        <v>65</v>
      </c>
      <c r="AJ152" s="1150">
        <f t="shared" si="294"/>
        <v>42.25</v>
      </c>
      <c r="AK152" s="1150">
        <f t="shared" si="295"/>
        <v>42.25</v>
      </c>
      <c r="AL152" s="1151">
        <f t="shared" si="296"/>
        <v>145.74</v>
      </c>
      <c r="AM152" s="1151">
        <f t="shared" si="297"/>
        <v>133.24</v>
      </c>
      <c r="AN152" s="1583">
        <v>1</v>
      </c>
      <c r="AO152" s="1193">
        <f>'CONCEPTOS Y PARAMETROS'!$C$18*AN152</f>
        <v>12.5</v>
      </c>
      <c r="AP152" s="1028">
        <v>0</v>
      </c>
      <c r="AQ152" s="1193">
        <f>'CONCEPTOS Y PARAMETROS'!$C$21*AP152</f>
        <v>0</v>
      </c>
      <c r="AR152" s="1394">
        <v>0</v>
      </c>
      <c r="AS152" s="1394">
        <v>0</v>
      </c>
      <c r="AT152" s="1394">
        <f t="shared" si="360"/>
        <v>12.5</v>
      </c>
      <c r="AU152" s="1151">
        <f t="shared" si="298"/>
        <v>506.98</v>
      </c>
      <c r="AV152" s="1178">
        <v>0</v>
      </c>
      <c r="AW152" s="1151">
        <f t="shared" si="361"/>
        <v>0</v>
      </c>
      <c r="AX152" s="1150">
        <f>IF(T152&lt;&gt;"0",(ROUND(IF(A152="EMPLEADO",eval_formula('CONCEPTOS Y PARAMETROS'!$C$8,NOMINA!V152,NOMINA!$AU152,NOMINA!I152+NOMINA!J152),eval_formula('CONCEPTOS Y PARAMETROS'!$D$8,NOMINA!V152,NOMINA!$AU152,NOMINA!I152+NOMINA!J152)),2))*IF(H152&lt;&gt;"",IF(MONTH(H152)=$BR$8,IF(YEAR(H152)&lt;$BT$7,1,0),0)))</f>
        <v>0</v>
      </c>
      <c r="AY152" s="1151">
        <v>180</v>
      </c>
      <c r="AZ152" s="1150">
        <f>IFERROR(VLOOKUP(AY152,'CONCEPTOS Y PARAMETROS'!Y:Z,2,0),0)</f>
        <v>150</v>
      </c>
      <c r="BA152" s="1150">
        <f t="shared" si="300"/>
        <v>3802.35</v>
      </c>
      <c r="BB152" s="1150">
        <f t="shared" si="287"/>
        <v>0</v>
      </c>
      <c r="BC152" s="1028">
        <v>0</v>
      </c>
      <c r="BD152" s="1150" t="str">
        <f t="shared" si="301"/>
        <v>0</v>
      </c>
      <c r="BE152" s="1028">
        <v>0</v>
      </c>
      <c r="BF152" s="1150">
        <f t="shared" ref="BF152:BF183" si="363">ROUND(IF(BE152&gt;0,(((V152+AA152+AB152+AC152+AD152+AW152)/30)*50%+((V152+AA152+AB152+AC152+AD152+AW152)/30))*BE152,"0"),2)</f>
        <v>0</v>
      </c>
      <c r="BG152" s="1151">
        <v>300</v>
      </c>
      <c r="BH152" s="1151">
        <f t="shared" si="261"/>
        <v>0</v>
      </c>
      <c r="BI152" s="1180">
        <v>0</v>
      </c>
      <c r="BJ152" s="1180">
        <f t="shared" si="262"/>
        <v>0</v>
      </c>
      <c r="BK152" s="1151">
        <v>0</v>
      </c>
      <c r="BL152" s="1150">
        <f t="shared" si="329"/>
        <v>18.72</v>
      </c>
      <c r="BM152" s="1150">
        <f t="shared" si="330"/>
        <v>2.34</v>
      </c>
      <c r="BN152" s="1150">
        <f t="shared" si="263"/>
        <v>5.07</v>
      </c>
      <c r="BO152" s="1150">
        <v>0</v>
      </c>
      <c r="BP152" s="1150">
        <v>0</v>
      </c>
      <c r="BQ152" s="1396">
        <f t="shared" si="302"/>
        <v>26.13</v>
      </c>
      <c r="BR152" s="1150">
        <f t="shared" si="331"/>
        <v>42.12</v>
      </c>
      <c r="BS152" s="1150">
        <f t="shared" si="332"/>
        <v>9.36</v>
      </c>
      <c r="BT152" s="1150">
        <f t="shared" si="264"/>
        <v>10.14</v>
      </c>
      <c r="BU152" s="1150">
        <v>0</v>
      </c>
      <c r="BV152" s="1151">
        <f t="shared" si="303"/>
        <v>61.62</v>
      </c>
      <c r="BW152" s="1155">
        <f t="shared" si="304"/>
        <v>87.75</v>
      </c>
      <c r="BX152" s="1155">
        <f t="shared" si="362"/>
        <v>950.59</v>
      </c>
      <c r="BY152" s="1151">
        <v>0</v>
      </c>
      <c r="BZ152" s="1151">
        <f t="shared" si="265"/>
        <v>950.59</v>
      </c>
      <c r="CA152" s="1397">
        <f>'CONCEPTOS Y PARAMETROS'!$A$102</f>
        <v>2120</v>
      </c>
      <c r="CB152" s="1155">
        <f t="shared" si="266"/>
        <v>233.61</v>
      </c>
      <c r="CC152" s="1156">
        <f t="shared" si="267"/>
        <v>559.74</v>
      </c>
      <c r="CD152" s="514"/>
      <c r="CE152" s="514"/>
      <c r="CF152" s="520"/>
      <c r="CG152" s="497">
        <f t="shared" si="268"/>
        <v>233.61</v>
      </c>
      <c r="CH152" s="1711">
        <f t="shared" si="269"/>
        <v>300</v>
      </c>
      <c r="CI152" s="497">
        <f t="shared" si="270"/>
        <v>547.24</v>
      </c>
      <c r="CJ152" s="497">
        <f t="shared" si="271"/>
        <v>547.24</v>
      </c>
      <c r="CK152" s="497">
        <f t="shared" si="272"/>
        <v>0</v>
      </c>
      <c r="CL152" s="497">
        <f t="shared" si="273"/>
        <v>0</v>
      </c>
      <c r="CM152" s="497">
        <f t="shared" si="274"/>
        <v>0</v>
      </c>
      <c r="CN152" s="498">
        <f t="shared" si="275"/>
        <v>0</v>
      </c>
      <c r="CO152" s="499">
        <v>0</v>
      </c>
      <c r="CP152" s="498">
        <f t="shared" si="276"/>
        <v>0</v>
      </c>
      <c r="CQ152" s="500">
        <f t="shared" si="277"/>
        <v>12.5</v>
      </c>
      <c r="CR152" s="498">
        <f t="shared" si="278"/>
        <v>0</v>
      </c>
      <c r="CS152" s="498">
        <f t="shared" si="279"/>
        <v>12.5</v>
      </c>
      <c r="CT152" s="498">
        <f t="shared" si="280"/>
        <v>87.75</v>
      </c>
      <c r="CU152" s="498">
        <f t="shared" si="281"/>
        <v>2120</v>
      </c>
      <c r="CV152" s="1554"/>
      <c r="CW152" s="1195" t="s">
        <v>6960</v>
      </c>
      <c r="CX152" s="1195" t="s">
        <v>7273</v>
      </c>
      <c r="CY152" s="472"/>
      <c r="CZ152" s="514" t="s">
        <v>6263</v>
      </c>
      <c r="DA152" s="514" t="s">
        <v>6198</v>
      </c>
      <c r="DB152" s="514" t="s">
        <v>6199</v>
      </c>
      <c r="DC152" s="514" t="s">
        <v>6200</v>
      </c>
      <c r="DD152" s="514"/>
      <c r="DE152" s="514"/>
      <c r="DF152" s="472"/>
      <c r="DG152" s="472"/>
      <c r="DH152" s="472"/>
      <c r="DJ152" s="473" t="str">
        <f>VLOOKUP(X152,Hoja1!$A$4:$B$10,2,0)</f>
        <v>TÉCNICO SUPERIOR UNIVERSITARIO</v>
      </c>
      <c r="DK152" s="473" t="str">
        <f>VLOOKUP(S152,Hoja1!$D$4:$F$77,3,0)</f>
        <v>TII - VII</v>
      </c>
      <c r="DL152" s="1216" t="str">
        <f t="shared" si="282"/>
        <v>0</v>
      </c>
      <c r="DM152" s="1741" t="str">
        <f t="shared" si="283"/>
        <v>F</v>
      </c>
      <c r="DN152" s="1741"/>
    </row>
    <row r="153" spans="1:118" s="473" customFormat="1" ht="21.95" customHeight="1">
      <c r="A153" s="510" t="s">
        <v>2846</v>
      </c>
      <c r="B153" s="1390">
        <f t="shared" ca="1" si="355"/>
        <v>111</v>
      </c>
      <c r="C153" s="1194">
        <v>14928034</v>
      </c>
      <c r="D153" s="1195" t="s">
        <v>4795</v>
      </c>
      <c r="E153" s="1180" t="s">
        <v>4622</v>
      </c>
      <c r="F153" s="1196">
        <v>28306</v>
      </c>
      <c r="G153" s="1180" t="s">
        <v>4620</v>
      </c>
      <c r="H153" s="1196">
        <v>44302</v>
      </c>
      <c r="I153" s="1185">
        <f t="shared" si="259"/>
        <v>3</v>
      </c>
      <c r="J153" s="1177">
        <v>11</v>
      </c>
      <c r="K153" s="1185">
        <f t="shared" si="260"/>
        <v>14</v>
      </c>
      <c r="L153" s="1191" t="s">
        <v>5540</v>
      </c>
      <c r="M153" s="1177"/>
      <c r="N153" s="1177"/>
      <c r="O153" s="1040" t="s">
        <v>5217</v>
      </c>
      <c r="P153" s="1177" t="s">
        <v>5362</v>
      </c>
      <c r="Q153" s="1391" t="str">
        <f>IFERROR(VLOOKUP(O153,CARGOS!A:E,2,0),"")</f>
        <v>37921</v>
      </c>
      <c r="R153" s="1403" t="s">
        <v>5217</v>
      </c>
      <c r="S153" s="1192" t="s">
        <v>5477</v>
      </c>
      <c r="T153" s="1150">
        <f>IFERROR(VLOOKUP(S153,'TAB EMP'!A:B,2,0),0)</f>
        <v>174</v>
      </c>
      <c r="U153" s="1151">
        <v>0</v>
      </c>
      <c r="V153" s="1150">
        <f t="shared" si="288"/>
        <v>174</v>
      </c>
      <c r="W153" s="1151">
        <f t="shared" si="289"/>
        <v>87</v>
      </c>
      <c r="X153" s="1180" t="s">
        <v>2884</v>
      </c>
      <c r="Y153" s="1180"/>
      <c r="Z153" s="1180">
        <v>0</v>
      </c>
      <c r="AA153" s="1150">
        <f>ROUND(IF(H153&lt;&gt;"",VLOOKUP(SUM(I153+J153),'CONCEPTOS Y PARAMETROS'!F:G,2,0)*V153,0),2)</f>
        <v>28.88</v>
      </c>
      <c r="AB153" s="1150">
        <f>IF(S153&lt;&gt;"",IF(M153="",'CONCEPTOS Y PARAMETROS'!$C$4,0),0)</f>
        <v>130</v>
      </c>
      <c r="AC153" s="1150">
        <f>IF(S153&lt;&gt;"",IF(M153="",'CONCEPTOS Y PARAMETROS'!$C$7*Z153,0),0)</f>
        <v>0</v>
      </c>
      <c r="AD153" s="1150">
        <f>IFERROR(ROUND(VLOOKUP($X153,'CONCEPTOS Y PARAMETROS'!H:I,2,0)*($V153+AA153+AB153+AC153),2),0)</f>
        <v>0</v>
      </c>
      <c r="AE153" s="1150">
        <f t="shared" si="285"/>
        <v>158.88</v>
      </c>
      <c r="AF153" s="1150">
        <f t="shared" si="290"/>
        <v>14.44</v>
      </c>
      <c r="AG153" s="1150">
        <f t="shared" si="291"/>
        <v>14.44</v>
      </c>
      <c r="AH153" s="1150">
        <f t="shared" si="292"/>
        <v>65</v>
      </c>
      <c r="AI153" s="1150">
        <f t="shared" si="293"/>
        <v>65</v>
      </c>
      <c r="AJ153" s="1150">
        <f t="shared" si="294"/>
        <v>0</v>
      </c>
      <c r="AK153" s="1150">
        <f t="shared" si="295"/>
        <v>0</v>
      </c>
      <c r="AL153" s="1151">
        <f t="shared" si="296"/>
        <v>79.44</v>
      </c>
      <c r="AM153" s="1151">
        <f t="shared" si="297"/>
        <v>79.44</v>
      </c>
      <c r="AN153" s="1028">
        <v>0</v>
      </c>
      <c r="AO153" s="1193">
        <f>'CONCEPTOS Y PARAMETROS'!$C$18*AN153</f>
        <v>0</v>
      </c>
      <c r="AP153" s="1028">
        <v>0</v>
      </c>
      <c r="AQ153" s="1193">
        <f>'CONCEPTOS Y PARAMETROS'!$C$21*AP153</f>
        <v>0</v>
      </c>
      <c r="AR153" s="1394">
        <v>0</v>
      </c>
      <c r="AS153" s="1394">
        <v>0</v>
      </c>
      <c r="AT153" s="1394">
        <f t="shared" si="360"/>
        <v>0</v>
      </c>
      <c r="AU153" s="1151">
        <f t="shared" si="298"/>
        <v>332.88</v>
      </c>
      <c r="AV153" s="1178">
        <v>0</v>
      </c>
      <c r="AW153" s="1151">
        <f t="shared" si="361"/>
        <v>0</v>
      </c>
      <c r="AX153" s="1150">
        <f>IF(T153&lt;&gt;"0",(ROUND(IF(A153="EMPLEADO",eval_formula('CONCEPTOS Y PARAMETROS'!$C$8,NOMINA!V153,NOMINA!$AU153,NOMINA!I153+NOMINA!J153),eval_formula('CONCEPTOS Y PARAMETROS'!$D$8,NOMINA!V153,NOMINA!$AU153,NOMINA!I153+NOMINA!J153)),2))*IF(H153&lt;&gt;"",IF(MONTH(H153)=$BR$8,IF(YEAR(H153)&lt;$BT$7,1,0),0)))</f>
        <v>0</v>
      </c>
      <c r="AY153" s="1151">
        <v>180</v>
      </c>
      <c r="AZ153" s="1150">
        <f>IFERROR(VLOOKUP(AY153,'CONCEPTOS Y PARAMETROS'!Y:Z,2,0),0)</f>
        <v>150</v>
      </c>
      <c r="BA153" s="1150">
        <f t="shared" si="300"/>
        <v>2496.6</v>
      </c>
      <c r="BB153" s="1150">
        <f t="shared" si="287"/>
        <v>0</v>
      </c>
      <c r="BC153" s="1028">
        <v>0</v>
      </c>
      <c r="BD153" s="1150" t="str">
        <f t="shared" si="301"/>
        <v>0</v>
      </c>
      <c r="BE153" s="1028">
        <v>0</v>
      </c>
      <c r="BF153" s="1150">
        <f t="shared" si="363"/>
        <v>0</v>
      </c>
      <c r="BG153" s="1151">
        <v>300</v>
      </c>
      <c r="BH153" s="1151">
        <f t="shared" si="261"/>
        <v>0</v>
      </c>
      <c r="BI153" s="1180">
        <v>0</v>
      </c>
      <c r="BJ153" s="1180">
        <f t="shared" si="262"/>
        <v>0</v>
      </c>
      <c r="BK153" s="1151">
        <v>0</v>
      </c>
      <c r="BL153" s="1150">
        <f t="shared" si="329"/>
        <v>12.29</v>
      </c>
      <c r="BM153" s="1150">
        <f t="shared" si="330"/>
        <v>1.54</v>
      </c>
      <c r="BN153" s="1150">
        <f t="shared" si="263"/>
        <v>3.33</v>
      </c>
      <c r="BO153" s="1150">
        <v>0</v>
      </c>
      <c r="BP153" s="1150">
        <v>0</v>
      </c>
      <c r="BQ153" s="1396">
        <f t="shared" si="302"/>
        <v>17.16</v>
      </c>
      <c r="BR153" s="1150">
        <f t="shared" si="331"/>
        <v>27.65</v>
      </c>
      <c r="BS153" s="1150">
        <f t="shared" si="332"/>
        <v>6.15</v>
      </c>
      <c r="BT153" s="1150">
        <f t="shared" si="264"/>
        <v>6.66</v>
      </c>
      <c r="BU153" s="1150">
        <v>0</v>
      </c>
      <c r="BV153" s="1151">
        <f t="shared" si="303"/>
        <v>40.46</v>
      </c>
      <c r="BW153" s="1155">
        <f t="shared" si="304"/>
        <v>57.620000000000005</v>
      </c>
      <c r="BX153" s="1155">
        <f t="shared" si="362"/>
        <v>624.15</v>
      </c>
      <c r="BY153" s="1151">
        <v>0</v>
      </c>
      <c r="BZ153" s="1151">
        <f t="shared" si="265"/>
        <v>624.15</v>
      </c>
      <c r="CA153" s="1397">
        <f>'CONCEPTOS Y PARAMETROS'!$A$102</f>
        <v>2120</v>
      </c>
      <c r="CB153" s="1155">
        <f t="shared" si="266"/>
        <v>149.28</v>
      </c>
      <c r="CC153" s="1156">
        <f t="shared" si="267"/>
        <v>466.44</v>
      </c>
      <c r="CD153" s="514"/>
      <c r="CE153" s="514"/>
      <c r="CF153" s="520"/>
      <c r="CG153" s="497">
        <f t="shared" si="268"/>
        <v>149.28</v>
      </c>
      <c r="CH153" s="1711">
        <f t="shared" si="269"/>
        <v>300</v>
      </c>
      <c r="CI153" s="497">
        <f t="shared" si="270"/>
        <v>466.44</v>
      </c>
      <c r="CJ153" s="497">
        <f t="shared" si="271"/>
        <v>466.44</v>
      </c>
      <c r="CK153" s="497">
        <f t="shared" si="272"/>
        <v>0</v>
      </c>
      <c r="CL153" s="497">
        <f t="shared" si="273"/>
        <v>0</v>
      </c>
      <c r="CM153" s="497">
        <f t="shared" si="274"/>
        <v>0</v>
      </c>
      <c r="CN153" s="498">
        <f t="shared" si="275"/>
        <v>0</v>
      </c>
      <c r="CO153" s="499">
        <v>0</v>
      </c>
      <c r="CP153" s="498">
        <f t="shared" si="276"/>
        <v>0</v>
      </c>
      <c r="CQ153" s="500">
        <f t="shared" si="277"/>
        <v>0</v>
      </c>
      <c r="CR153" s="498">
        <f t="shared" si="278"/>
        <v>0</v>
      </c>
      <c r="CS153" s="498">
        <f t="shared" si="279"/>
        <v>0</v>
      </c>
      <c r="CT153" s="498">
        <f t="shared" si="280"/>
        <v>57.620000000000005</v>
      </c>
      <c r="CU153" s="498">
        <f t="shared" si="281"/>
        <v>2120</v>
      </c>
      <c r="CV153" s="1554"/>
      <c r="CW153" s="1195" t="s">
        <v>7091</v>
      </c>
      <c r="CX153" s="1195" t="s">
        <v>6991</v>
      </c>
      <c r="CY153" s="472"/>
      <c r="CZ153" s="514" t="s">
        <v>6389</v>
      </c>
      <c r="DA153" s="514" t="s">
        <v>6188</v>
      </c>
      <c r="DB153" s="514" t="s">
        <v>6302</v>
      </c>
      <c r="DC153" s="514" t="s">
        <v>6271</v>
      </c>
      <c r="DD153" s="514"/>
      <c r="DE153" s="514"/>
      <c r="DF153" s="472"/>
      <c r="DG153" s="472"/>
      <c r="DH153" s="472"/>
      <c r="DJ153" s="473" t="str">
        <f>VLOOKUP(X153,Hoja1!$A$4:$B$10,2,0)</f>
        <v>BACHILLER</v>
      </c>
      <c r="DK153" s="473" t="str">
        <f>VLOOKUP(S153,Hoja1!$D$4:$F$77,3,0)</f>
        <v>BIII - V</v>
      </c>
      <c r="DL153" s="1216" t="str">
        <f t="shared" si="282"/>
        <v>0</v>
      </c>
      <c r="DM153" s="1741" t="str">
        <f t="shared" si="283"/>
        <v>F</v>
      </c>
      <c r="DN153" s="1741"/>
    </row>
    <row r="154" spans="1:118" s="473" customFormat="1" ht="21.95" customHeight="1">
      <c r="A154" s="510" t="s">
        <v>2846</v>
      </c>
      <c r="B154" s="1390">
        <f t="shared" ca="1" si="355"/>
        <v>112</v>
      </c>
      <c r="C154" s="1194">
        <v>14928260</v>
      </c>
      <c r="D154" s="1195" t="s">
        <v>4796</v>
      </c>
      <c r="E154" s="1180" t="s">
        <v>4622</v>
      </c>
      <c r="F154" s="1196">
        <v>29953</v>
      </c>
      <c r="G154" s="1180" t="s">
        <v>4620</v>
      </c>
      <c r="H154" s="1196">
        <v>39104</v>
      </c>
      <c r="I154" s="1185">
        <f t="shared" si="259"/>
        <v>18</v>
      </c>
      <c r="J154" s="1177">
        <v>0</v>
      </c>
      <c r="K154" s="1185">
        <f t="shared" si="260"/>
        <v>18</v>
      </c>
      <c r="L154" s="1191" t="s">
        <v>5554</v>
      </c>
      <c r="M154" s="1177"/>
      <c r="N154" s="1177"/>
      <c r="O154" s="1040" t="s">
        <v>5228</v>
      </c>
      <c r="P154" s="1177" t="s">
        <v>5363</v>
      </c>
      <c r="Q154" s="1391" t="str">
        <f>IFERROR(VLOOKUP(O154,CARGOS!A:E,2,0),"")</f>
        <v>79521</v>
      </c>
      <c r="R154" s="1403" t="s">
        <v>5228</v>
      </c>
      <c r="S154" s="1192" t="s">
        <v>5484</v>
      </c>
      <c r="T154" s="1150">
        <f>IFERROR(VLOOKUP(S154,'TAB EMP'!A:B,2,0),0)</f>
        <v>228</v>
      </c>
      <c r="U154" s="1151">
        <v>0</v>
      </c>
      <c r="V154" s="1150">
        <f t="shared" si="288"/>
        <v>228</v>
      </c>
      <c r="W154" s="1151">
        <f t="shared" si="289"/>
        <v>114</v>
      </c>
      <c r="X154" s="1180" t="s">
        <v>2844</v>
      </c>
      <c r="Y154" s="1180"/>
      <c r="Z154" s="1180">
        <v>1</v>
      </c>
      <c r="AA154" s="1150">
        <f>ROUND(IF(H154&lt;&gt;"",VLOOKUP(SUM(I154+J154),'CONCEPTOS Y PARAMETROS'!F:G,2,0)*V154,0),2)</f>
        <v>51.98</v>
      </c>
      <c r="AB154" s="1150">
        <f>IF(S154&lt;&gt;"",IF(M154="",'CONCEPTOS Y PARAMETROS'!$C$4,0),0)</f>
        <v>130</v>
      </c>
      <c r="AC154" s="1150">
        <f>IF(S154&lt;&gt;"",IF(M154="",'CONCEPTOS Y PARAMETROS'!$C$7*Z154,0),0)</f>
        <v>12.5</v>
      </c>
      <c r="AD154" s="1150">
        <f>IFERROR(ROUND(VLOOKUP($X154,'CONCEPTOS Y PARAMETROS'!H:I,2,0)*($V154+AA154+AB154+AC154),2),0)</f>
        <v>84.5</v>
      </c>
      <c r="AE154" s="1150">
        <f t="shared" si="285"/>
        <v>278.98</v>
      </c>
      <c r="AF154" s="1150">
        <f t="shared" si="290"/>
        <v>25.99</v>
      </c>
      <c r="AG154" s="1150">
        <f t="shared" si="291"/>
        <v>25.99</v>
      </c>
      <c r="AH154" s="1150">
        <f t="shared" si="292"/>
        <v>65</v>
      </c>
      <c r="AI154" s="1150">
        <f t="shared" si="293"/>
        <v>65</v>
      </c>
      <c r="AJ154" s="1150">
        <f t="shared" si="294"/>
        <v>42.25</v>
      </c>
      <c r="AK154" s="1150">
        <f t="shared" si="295"/>
        <v>42.25</v>
      </c>
      <c r="AL154" s="1151">
        <f t="shared" si="296"/>
        <v>145.74</v>
      </c>
      <c r="AM154" s="1151">
        <f t="shared" si="297"/>
        <v>133.24</v>
      </c>
      <c r="AN154" s="1028">
        <v>0</v>
      </c>
      <c r="AO154" s="1193">
        <f>'CONCEPTOS Y PARAMETROS'!$C$18*AN154</f>
        <v>0</v>
      </c>
      <c r="AP154" s="1028">
        <v>0</v>
      </c>
      <c r="AQ154" s="1193">
        <f>'CONCEPTOS Y PARAMETROS'!$C$21*AP154</f>
        <v>0</v>
      </c>
      <c r="AR154" s="1394">
        <v>0</v>
      </c>
      <c r="AS154" s="1394">
        <v>0</v>
      </c>
      <c r="AT154" s="1394">
        <f t="shared" si="360"/>
        <v>0</v>
      </c>
      <c r="AU154" s="1151">
        <f t="shared" si="298"/>
        <v>506.98</v>
      </c>
      <c r="AV154" s="1178">
        <v>0</v>
      </c>
      <c r="AW154" s="1151">
        <f t="shared" si="361"/>
        <v>0</v>
      </c>
      <c r="AX154" s="1150">
        <f>IF(T154&lt;&gt;"0",(ROUND(IF(A154="EMPLEADO",eval_formula('CONCEPTOS Y PARAMETROS'!$C$8,NOMINA!V154,NOMINA!$AU154,NOMINA!I154+NOMINA!J154),eval_formula('CONCEPTOS Y PARAMETROS'!$D$8,NOMINA!V154,NOMINA!$AU154,NOMINA!I154+NOMINA!J154)),2))*IF(H154&lt;&gt;"",IF(MONTH(H154)=$BR$8,IF(YEAR(H154)&lt;$BT$7,1,0),0)))</f>
        <v>4055.84</v>
      </c>
      <c r="AY154" s="1151">
        <v>180</v>
      </c>
      <c r="AZ154" s="1150">
        <f>IFERROR(VLOOKUP(AY154,'CONCEPTOS Y PARAMETROS'!Y:Z,2,0),0)</f>
        <v>150</v>
      </c>
      <c r="BA154" s="1150">
        <f t="shared" si="300"/>
        <v>3802.35</v>
      </c>
      <c r="BB154" s="1150">
        <f t="shared" si="287"/>
        <v>0</v>
      </c>
      <c r="BC154" s="1028">
        <v>0</v>
      </c>
      <c r="BD154" s="1150" t="str">
        <f t="shared" si="301"/>
        <v>0</v>
      </c>
      <c r="BE154" s="1028">
        <v>0</v>
      </c>
      <c r="BF154" s="1150">
        <f t="shared" si="363"/>
        <v>0</v>
      </c>
      <c r="BG154" s="1151">
        <v>300</v>
      </c>
      <c r="BH154" s="1151">
        <f t="shared" si="261"/>
        <v>0</v>
      </c>
      <c r="BI154" s="1180">
        <v>0</v>
      </c>
      <c r="BJ154" s="1180">
        <f t="shared" si="262"/>
        <v>0</v>
      </c>
      <c r="BK154" s="1151">
        <v>0</v>
      </c>
      <c r="BL154" s="1150">
        <f t="shared" si="329"/>
        <v>18.72</v>
      </c>
      <c r="BM154" s="1150">
        <f t="shared" si="330"/>
        <v>2.34</v>
      </c>
      <c r="BN154" s="1150">
        <f t="shared" si="263"/>
        <v>5.07</v>
      </c>
      <c r="BO154" s="1150">
        <v>0</v>
      </c>
      <c r="BP154" s="1150">
        <v>0</v>
      </c>
      <c r="BQ154" s="1396">
        <f t="shared" si="302"/>
        <v>26.13</v>
      </c>
      <c r="BR154" s="1150">
        <f t="shared" si="331"/>
        <v>42.12</v>
      </c>
      <c r="BS154" s="1150">
        <f t="shared" si="332"/>
        <v>9.36</v>
      </c>
      <c r="BT154" s="1150">
        <f t="shared" si="264"/>
        <v>10.14</v>
      </c>
      <c r="BU154" s="1150">
        <v>0</v>
      </c>
      <c r="BV154" s="1151">
        <f t="shared" si="303"/>
        <v>61.62</v>
      </c>
      <c r="BW154" s="1155">
        <f t="shared" si="304"/>
        <v>87.75</v>
      </c>
      <c r="BX154" s="1155">
        <f t="shared" si="362"/>
        <v>950.59</v>
      </c>
      <c r="BY154" s="1151">
        <v>0</v>
      </c>
      <c r="BZ154" s="1151">
        <f t="shared" si="265"/>
        <v>950.59</v>
      </c>
      <c r="CA154" s="1397">
        <f>'CONCEPTOS Y PARAMETROS'!$A$102</f>
        <v>2120</v>
      </c>
      <c r="CB154" s="1155">
        <f t="shared" si="266"/>
        <v>233.61</v>
      </c>
      <c r="CC154" s="1156">
        <f t="shared" si="267"/>
        <v>4603.08</v>
      </c>
      <c r="CD154" s="514"/>
      <c r="CE154" s="514"/>
      <c r="CF154" s="520"/>
      <c r="CG154" s="497">
        <f t="shared" si="268"/>
        <v>233.61</v>
      </c>
      <c r="CH154" s="1711">
        <f t="shared" si="269"/>
        <v>300</v>
      </c>
      <c r="CI154" s="497">
        <f t="shared" si="270"/>
        <v>547.24</v>
      </c>
      <c r="CJ154" s="497">
        <f t="shared" si="271"/>
        <v>547.24</v>
      </c>
      <c r="CK154" s="497">
        <f t="shared" si="272"/>
        <v>0</v>
      </c>
      <c r="CL154" s="497">
        <f t="shared" si="273"/>
        <v>0</v>
      </c>
      <c r="CM154" s="497">
        <f t="shared" si="274"/>
        <v>0</v>
      </c>
      <c r="CN154" s="498">
        <f t="shared" si="275"/>
        <v>0</v>
      </c>
      <c r="CO154" s="499">
        <v>0</v>
      </c>
      <c r="CP154" s="498">
        <f t="shared" si="276"/>
        <v>0</v>
      </c>
      <c r="CQ154" s="500">
        <f t="shared" si="277"/>
        <v>0</v>
      </c>
      <c r="CR154" s="498">
        <f t="shared" si="278"/>
        <v>4055.84</v>
      </c>
      <c r="CS154" s="498">
        <f t="shared" si="279"/>
        <v>4055.84</v>
      </c>
      <c r="CT154" s="498">
        <f t="shared" si="280"/>
        <v>87.75</v>
      </c>
      <c r="CU154" s="498">
        <f t="shared" si="281"/>
        <v>2120</v>
      </c>
      <c r="CV154" s="1554"/>
      <c r="CW154" s="1195" t="s">
        <v>7014</v>
      </c>
      <c r="CX154" s="1195" t="s">
        <v>6990</v>
      </c>
      <c r="CY154" s="472"/>
      <c r="CZ154" s="514" t="s">
        <v>6412</v>
      </c>
      <c r="DA154" s="514" t="s">
        <v>6196</v>
      </c>
      <c r="DB154" s="514" t="s">
        <v>6260</v>
      </c>
      <c r="DC154" s="514" t="s">
        <v>6656</v>
      </c>
      <c r="DD154" s="514"/>
      <c r="DE154" s="514"/>
      <c r="DF154" s="472"/>
      <c r="DG154" s="472"/>
      <c r="DH154" s="472"/>
      <c r="DJ154" s="473" t="str">
        <f>VLOOKUP(X154,Hoja1!$A$4:$B$10,2,0)</f>
        <v>TÉCNICO SUPERIOR UNIVERSITARIO</v>
      </c>
      <c r="DK154" s="473" t="str">
        <f>VLOOKUP(S154,Hoja1!$D$4:$F$77,3,0)</f>
        <v>TII - VII</v>
      </c>
      <c r="DL154" s="1216" t="str">
        <f t="shared" si="282"/>
        <v>0</v>
      </c>
      <c r="DM154" s="1741" t="str">
        <f t="shared" si="283"/>
        <v>F</v>
      </c>
      <c r="DN154" s="1741"/>
    </row>
    <row r="155" spans="1:118" s="473" customFormat="1" ht="21.95" customHeight="1">
      <c r="A155" s="510" t="s">
        <v>2846</v>
      </c>
      <c r="B155" s="1390">
        <f t="shared" ca="1" si="355"/>
        <v>113</v>
      </c>
      <c r="C155" s="1194">
        <v>14929642</v>
      </c>
      <c r="D155" s="1195" t="s">
        <v>4797</v>
      </c>
      <c r="E155" s="1180" t="s">
        <v>4622</v>
      </c>
      <c r="F155" s="1196">
        <v>29896</v>
      </c>
      <c r="G155" s="1180" t="s">
        <v>4620</v>
      </c>
      <c r="H155" s="1196">
        <v>43419</v>
      </c>
      <c r="I155" s="1185">
        <f t="shared" si="259"/>
        <v>6</v>
      </c>
      <c r="J155" s="1177">
        <v>0</v>
      </c>
      <c r="K155" s="1185">
        <f t="shared" si="260"/>
        <v>6</v>
      </c>
      <c r="L155" s="1191" t="s">
        <v>5550</v>
      </c>
      <c r="M155" s="1177"/>
      <c r="N155" s="1177"/>
      <c r="O155" s="1040" t="s">
        <v>1164</v>
      </c>
      <c r="P155" s="1177" t="s">
        <v>5364</v>
      </c>
      <c r="Q155" s="1391" t="str">
        <f>IFERROR(VLOOKUP(O155,CARGOS!A:E,2,0),"")</f>
        <v>79512</v>
      </c>
      <c r="R155" s="1403" t="s">
        <v>5221</v>
      </c>
      <c r="S155" s="1192" t="s">
        <v>5491</v>
      </c>
      <c r="T155" s="1150">
        <f>IFERROR(VLOOKUP(S155,'TAB EMP'!A:B,2,0),0)</f>
        <v>221</v>
      </c>
      <c r="U155" s="1151">
        <v>0</v>
      </c>
      <c r="V155" s="1150">
        <f t="shared" si="288"/>
        <v>221</v>
      </c>
      <c r="W155" s="1151">
        <f t="shared" si="289"/>
        <v>110.5</v>
      </c>
      <c r="X155" s="1180" t="s">
        <v>2844</v>
      </c>
      <c r="Y155" s="1180"/>
      <c r="Z155" s="1180">
        <v>1</v>
      </c>
      <c r="AA155" s="1150">
        <f>ROUND(IF(H155&lt;&gt;"",VLOOKUP(SUM(I155+J155),'CONCEPTOS Y PARAMETROS'!F:G,2,0)*V155,0),2)</f>
        <v>13.7</v>
      </c>
      <c r="AB155" s="1150">
        <f>IF(S155&lt;&gt;"",IF(M155="",'CONCEPTOS Y PARAMETROS'!$C$4,0),0)</f>
        <v>130</v>
      </c>
      <c r="AC155" s="1150">
        <f>IF(S155&lt;&gt;"",IF(M155="",'CONCEPTOS Y PARAMETROS'!$C$7*Z155,0),0)</f>
        <v>12.5</v>
      </c>
      <c r="AD155" s="1150">
        <f>IFERROR(ROUND(VLOOKUP($X155,'CONCEPTOS Y PARAMETROS'!H:I,2,0)*($V155+AA155+AB155+AC155),2),0)</f>
        <v>75.44</v>
      </c>
      <c r="AE155" s="1150">
        <f t="shared" si="285"/>
        <v>231.64</v>
      </c>
      <c r="AF155" s="1150">
        <f t="shared" si="290"/>
        <v>6.85</v>
      </c>
      <c r="AG155" s="1150">
        <f t="shared" si="291"/>
        <v>6.85</v>
      </c>
      <c r="AH155" s="1150">
        <f t="shared" si="292"/>
        <v>65</v>
      </c>
      <c r="AI155" s="1150">
        <f t="shared" si="293"/>
        <v>65</v>
      </c>
      <c r="AJ155" s="1150">
        <f t="shared" si="294"/>
        <v>37.72</v>
      </c>
      <c r="AK155" s="1150">
        <f t="shared" si="295"/>
        <v>37.72</v>
      </c>
      <c r="AL155" s="1151">
        <f t="shared" si="296"/>
        <v>122.07</v>
      </c>
      <c r="AM155" s="1151">
        <f t="shared" si="297"/>
        <v>109.57</v>
      </c>
      <c r="AN155" s="1583">
        <v>1</v>
      </c>
      <c r="AO155" s="1193">
        <f>'CONCEPTOS Y PARAMETROS'!$C$18*AN155</f>
        <v>12.5</v>
      </c>
      <c r="AP155" s="1028">
        <v>0</v>
      </c>
      <c r="AQ155" s="1193">
        <f>'CONCEPTOS Y PARAMETROS'!$C$21*AP155</f>
        <v>0</v>
      </c>
      <c r="AR155" s="1394">
        <v>0</v>
      </c>
      <c r="AS155" s="1394">
        <v>0</v>
      </c>
      <c r="AT155" s="1394">
        <f t="shared" si="360"/>
        <v>12.5</v>
      </c>
      <c r="AU155" s="1151">
        <f t="shared" si="298"/>
        <v>588.42999999999995</v>
      </c>
      <c r="AV155" s="1178" t="s">
        <v>5080</v>
      </c>
      <c r="AW155" s="1151">
        <f t="shared" si="361"/>
        <v>135.79</v>
      </c>
      <c r="AX155" s="1150">
        <f>IF(T155&lt;&gt;"0",(ROUND(IF(A155="EMPLEADO",eval_formula('CONCEPTOS Y PARAMETROS'!$C$8,NOMINA!V155,NOMINA!$AU155,NOMINA!I155+NOMINA!J155),eval_formula('CONCEPTOS Y PARAMETROS'!$D$8,NOMINA!V155,NOMINA!$AU155,NOMINA!I155+NOMINA!J155)),2))*IF(H155&lt;&gt;"",IF(MONTH(H155)=$BR$8,IF(YEAR(H155)&lt;$BT$7,1,0),0)))</f>
        <v>0</v>
      </c>
      <c r="AY155" s="1151">
        <v>180</v>
      </c>
      <c r="AZ155" s="1150">
        <f>IFERROR(VLOOKUP(AY155,'CONCEPTOS Y PARAMETROS'!Y:Z,2,0),0)</f>
        <v>150</v>
      </c>
      <c r="BA155" s="1150">
        <f t="shared" si="300"/>
        <v>4413.2299999999996</v>
      </c>
      <c r="BB155" s="1150">
        <f t="shared" si="287"/>
        <v>0</v>
      </c>
      <c r="BC155" s="1028">
        <v>0</v>
      </c>
      <c r="BD155" s="1150" t="str">
        <f t="shared" si="301"/>
        <v>0</v>
      </c>
      <c r="BE155" s="1028">
        <v>3</v>
      </c>
      <c r="BF155" s="1150">
        <f t="shared" si="363"/>
        <v>88.26</v>
      </c>
      <c r="BG155" s="1151">
        <v>300</v>
      </c>
      <c r="BH155" s="1151">
        <f t="shared" si="261"/>
        <v>0</v>
      </c>
      <c r="BI155" s="1180">
        <v>0</v>
      </c>
      <c r="BJ155" s="1180">
        <f t="shared" si="262"/>
        <v>0</v>
      </c>
      <c r="BK155" s="1151">
        <v>0</v>
      </c>
      <c r="BL155" s="1150">
        <f t="shared" si="329"/>
        <v>21.73</v>
      </c>
      <c r="BM155" s="1150">
        <f t="shared" si="330"/>
        <v>2.72</v>
      </c>
      <c r="BN155" s="1150">
        <f t="shared" si="263"/>
        <v>5.88</v>
      </c>
      <c r="BO155" s="1150">
        <v>0</v>
      </c>
      <c r="BP155" s="1150">
        <v>0</v>
      </c>
      <c r="BQ155" s="1396">
        <f t="shared" si="302"/>
        <v>30.33</v>
      </c>
      <c r="BR155" s="1150">
        <f t="shared" si="331"/>
        <v>48.88</v>
      </c>
      <c r="BS155" s="1150">
        <f t="shared" si="332"/>
        <v>10.86</v>
      </c>
      <c r="BT155" s="1150">
        <f t="shared" si="264"/>
        <v>11.76</v>
      </c>
      <c r="BU155" s="1150">
        <v>0</v>
      </c>
      <c r="BV155" s="1151">
        <f t="shared" si="303"/>
        <v>71.5</v>
      </c>
      <c r="BW155" s="1155">
        <f t="shared" si="304"/>
        <v>101.83</v>
      </c>
      <c r="BX155" s="1155">
        <f t="shared" si="362"/>
        <v>1103.31</v>
      </c>
      <c r="BY155" s="1151">
        <v>0</v>
      </c>
      <c r="BZ155" s="1151">
        <f t="shared" si="265"/>
        <v>1103.31</v>
      </c>
      <c r="CA155" s="1397">
        <f>'CONCEPTOS Y PARAMETROS'!$A$102</f>
        <v>2120</v>
      </c>
      <c r="CB155" s="1155">
        <f t="shared" si="266"/>
        <v>202.24</v>
      </c>
      <c r="CC155" s="1156">
        <f t="shared" si="267"/>
        <v>756.62</v>
      </c>
      <c r="CD155" s="514"/>
      <c r="CE155" s="514"/>
      <c r="CF155" s="520"/>
      <c r="CG155" s="497">
        <f t="shared" si="268"/>
        <v>202.24</v>
      </c>
      <c r="CH155" s="1711">
        <f t="shared" si="269"/>
        <v>300</v>
      </c>
      <c r="CI155" s="497">
        <f t="shared" si="270"/>
        <v>520.06999999999994</v>
      </c>
      <c r="CJ155" s="497">
        <f t="shared" si="271"/>
        <v>520.07000000000005</v>
      </c>
      <c r="CK155" s="497">
        <f t="shared" si="272"/>
        <v>0</v>
      </c>
      <c r="CL155" s="497">
        <f t="shared" si="273"/>
        <v>0</v>
      </c>
      <c r="CM155" s="497">
        <f t="shared" si="274"/>
        <v>0</v>
      </c>
      <c r="CN155" s="498">
        <f t="shared" si="275"/>
        <v>88.26</v>
      </c>
      <c r="CO155" s="499">
        <v>0</v>
      </c>
      <c r="CP155" s="498">
        <f t="shared" si="276"/>
        <v>135.79</v>
      </c>
      <c r="CQ155" s="500">
        <f t="shared" si="277"/>
        <v>12.5</v>
      </c>
      <c r="CR155" s="498">
        <f t="shared" si="278"/>
        <v>0</v>
      </c>
      <c r="CS155" s="498">
        <f t="shared" si="279"/>
        <v>236.55</v>
      </c>
      <c r="CT155" s="498">
        <f t="shared" si="280"/>
        <v>101.83</v>
      </c>
      <c r="CU155" s="498">
        <f t="shared" si="281"/>
        <v>2120</v>
      </c>
      <c r="CV155" s="1554"/>
      <c r="CW155" s="1195" t="s">
        <v>6992</v>
      </c>
      <c r="CX155" s="1195" t="s">
        <v>7274</v>
      </c>
      <c r="CY155" s="472"/>
      <c r="CZ155" s="514" t="s">
        <v>6264</v>
      </c>
      <c r="DA155" s="514" t="s">
        <v>6198</v>
      </c>
      <c r="DB155" s="514" t="s">
        <v>6265</v>
      </c>
      <c r="DC155" s="514" t="s">
        <v>6266</v>
      </c>
      <c r="DD155" s="514"/>
      <c r="DE155" s="514"/>
      <c r="DF155" s="472"/>
      <c r="DG155" s="472"/>
      <c r="DH155" s="472"/>
      <c r="DJ155" s="473" t="str">
        <f>VLOOKUP(X155,Hoja1!$A$4:$B$10,2,0)</f>
        <v>TÉCNICO SUPERIOR UNIVERSITARIO</v>
      </c>
      <c r="DK155" s="473" t="str">
        <f>VLOOKUP(S155,Hoja1!$D$4:$F$77,3,0)</f>
        <v>TII - III</v>
      </c>
      <c r="DL155" s="1216" t="str">
        <f t="shared" si="282"/>
        <v>SI</v>
      </c>
      <c r="DM155" s="1741" t="str">
        <f t="shared" si="283"/>
        <v>F</v>
      </c>
      <c r="DN155" s="1741"/>
    </row>
    <row r="156" spans="1:118" s="478" customFormat="1" ht="21.95" customHeight="1">
      <c r="A156" s="510" t="s">
        <v>2846</v>
      </c>
      <c r="B156" s="1390">
        <f ca="1">OFFSET(B156,-1,0)+1</f>
        <v>114</v>
      </c>
      <c r="C156" s="1194">
        <v>14986675</v>
      </c>
      <c r="D156" s="1195" t="s">
        <v>5020</v>
      </c>
      <c r="E156" s="1180" t="s">
        <v>4622</v>
      </c>
      <c r="F156" s="1161">
        <v>29947</v>
      </c>
      <c r="G156" s="1180" t="s">
        <v>4620</v>
      </c>
      <c r="H156" s="1161">
        <v>44805</v>
      </c>
      <c r="I156" s="1185">
        <f t="shared" si="259"/>
        <v>2</v>
      </c>
      <c r="J156" s="1177">
        <v>0</v>
      </c>
      <c r="K156" s="1185">
        <f t="shared" si="260"/>
        <v>2</v>
      </c>
      <c r="L156" s="1448" t="s">
        <v>5538</v>
      </c>
      <c r="M156" s="1177"/>
      <c r="N156" s="1177"/>
      <c r="O156" s="1400" t="s">
        <v>5228</v>
      </c>
      <c r="P156" s="1177" t="s">
        <v>5199</v>
      </c>
      <c r="Q156" s="1391" t="str">
        <f>IFERROR(VLOOKUP(O156,CARGOS!A:E,2,0),"")</f>
        <v>79521</v>
      </c>
      <c r="R156" s="1400" t="s">
        <v>5228</v>
      </c>
      <c r="S156" s="1192" t="s">
        <v>5469</v>
      </c>
      <c r="T156" s="1150">
        <f>IFERROR(VLOOKUP(S156,'TAB EMP'!A:B,2,0),0)</f>
        <v>246</v>
      </c>
      <c r="U156" s="1151">
        <v>0</v>
      </c>
      <c r="V156" s="1150">
        <f>T156-U156</f>
        <v>246</v>
      </c>
      <c r="W156" s="1151">
        <f>ROUND(V156/2,2)</f>
        <v>123</v>
      </c>
      <c r="X156" s="1180" t="s">
        <v>2885</v>
      </c>
      <c r="Y156" s="1180"/>
      <c r="Z156" s="1180">
        <v>2</v>
      </c>
      <c r="AA156" s="1150">
        <f>ROUND(IF(H156&lt;&gt;"",VLOOKUP(SUM(I156+J156),'CONCEPTOS Y PARAMETROS'!F:G,2,0)*V156,0),2)</f>
        <v>4.92</v>
      </c>
      <c r="AB156" s="1150">
        <f>IF(S156&lt;&gt;"",IF(M156="",'CONCEPTOS Y PARAMETROS'!$C$4,0),0)</f>
        <v>130</v>
      </c>
      <c r="AC156" s="1150">
        <f>IF(S156&lt;&gt;"",IF(M156="",'CONCEPTOS Y PARAMETROS'!$C$7*Z156,0),0)</f>
        <v>25</v>
      </c>
      <c r="AD156" s="1150">
        <f>IFERROR(ROUND(VLOOKUP($X156,'CONCEPTOS Y PARAMETROS'!H:I,2,0)*($V156+AA156+AB156+AC156),2),0)</f>
        <v>101.48</v>
      </c>
      <c r="AE156" s="1150">
        <f>SUM(AA156:AD156)</f>
        <v>261.39999999999998</v>
      </c>
      <c r="AF156" s="1150">
        <f>ROUND(AA156/2,2)</f>
        <v>2.46</v>
      </c>
      <c r="AG156" s="1150">
        <f>ROUND(AA156-AF156,2)</f>
        <v>2.46</v>
      </c>
      <c r="AH156" s="1150">
        <f>ROUND(AB156/2,2)</f>
        <v>65</v>
      </c>
      <c r="AI156" s="1150">
        <f>ROUND(AB156-AH156,2)</f>
        <v>65</v>
      </c>
      <c r="AJ156" s="1150">
        <f>ROUND(AD156/2,2)</f>
        <v>50.74</v>
      </c>
      <c r="AK156" s="1150">
        <f>ROUND(AD156-AJ156,2)</f>
        <v>50.74</v>
      </c>
      <c r="AL156" s="1151">
        <f>ROUND(AF156+AH156+AJ156+AC156,2)</f>
        <v>143.19999999999999</v>
      </c>
      <c r="AM156" s="1151">
        <f>ROUND(AG156+AI156+AK156,2)</f>
        <v>118.2</v>
      </c>
      <c r="AN156" s="1028">
        <v>0</v>
      </c>
      <c r="AO156" s="1193">
        <f>'CONCEPTOS Y PARAMETROS'!$C$18*AN156</f>
        <v>0</v>
      </c>
      <c r="AP156" s="1028">
        <v>0</v>
      </c>
      <c r="AQ156" s="1193">
        <f>'CONCEPTOS Y PARAMETROS'!$C$21*AP156</f>
        <v>0</v>
      </c>
      <c r="AR156" s="1394">
        <v>0</v>
      </c>
      <c r="AS156" s="1394">
        <v>0</v>
      </c>
      <c r="AT156" s="1394">
        <f>+AO156+AQ156+AR156+AS156</f>
        <v>0</v>
      </c>
      <c r="AU156" s="1151">
        <f>V156+AE156+AW156</f>
        <v>507.4</v>
      </c>
      <c r="AV156" s="1178">
        <v>0</v>
      </c>
      <c r="AW156" s="1151">
        <f>ROUND(IF(O156="VIGILANTE",(V156+AE156)*30%,0),2)</f>
        <v>0</v>
      </c>
      <c r="AX156" s="1150">
        <f>IF(T156&lt;&gt;"0",(ROUND(IF(A156="EMPLEADO",eval_formula('CONCEPTOS Y PARAMETROS'!$C$8,NOMINA!V156,NOMINA!$AU156,NOMINA!I156+NOMINA!J156),eval_formula('CONCEPTOS Y PARAMETROS'!$D$8,NOMINA!V156,NOMINA!$AU156,NOMINA!I156+NOMINA!J156)),2))*IF(H156&lt;&gt;"",IF(MONTH(H156)=$BR$8,IF(YEAR(H156)&lt;$BT$7,1,0),0)))</f>
        <v>0</v>
      </c>
      <c r="AY156" s="1151">
        <v>180</v>
      </c>
      <c r="AZ156" s="1150">
        <f>IFERROR(VLOOKUP(AY156,'CONCEPTOS Y PARAMETROS'!Y:Z,2,0),0)</f>
        <v>150</v>
      </c>
      <c r="BA156" s="1150">
        <f>ROUND((((AU156))/30*AY156/12+(AU156))/30*AZ156,2)</f>
        <v>3805.5</v>
      </c>
      <c r="BB156" s="1150">
        <f t="shared" si="287"/>
        <v>0</v>
      </c>
      <c r="BC156" s="1028">
        <v>0</v>
      </c>
      <c r="BD156" s="1150" t="str">
        <f>IF(BC156&gt;0,((((((V156+AA156+AB156+AC156+AD156)/30)/8)*50%)+((((V156+AA156+AB156+AC156+AD156)/30)/8)))*30%+(((((V156+AA156+AB156+AC156+AD156)/30)/8)*50%)+((((V156+AA156+AB156+AC156+AD156)/30)/8))))*BC156,"0")</f>
        <v>0</v>
      </c>
      <c r="BE156" s="1028">
        <v>0</v>
      </c>
      <c r="BF156" s="1150">
        <f t="shared" si="363"/>
        <v>0</v>
      </c>
      <c r="BG156" s="1151">
        <v>300</v>
      </c>
      <c r="BH156" s="1151">
        <f t="shared" si="261"/>
        <v>0</v>
      </c>
      <c r="BI156" s="1180">
        <v>0</v>
      </c>
      <c r="BJ156" s="1180">
        <f t="shared" si="262"/>
        <v>0</v>
      </c>
      <c r="BK156" s="1151">
        <v>0</v>
      </c>
      <c r="BL156" s="1150">
        <f t="shared" si="329"/>
        <v>18.73</v>
      </c>
      <c r="BM156" s="1150">
        <f t="shared" si="330"/>
        <v>2.34</v>
      </c>
      <c r="BN156" s="1150">
        <f t="shared" si="263"/>
        <v>5.07</v>
      </c>
      <c r="BO156" s="1150">
        <v>0</v>
      </c>
      <c r="BP156" s="1150">
        <v>0</v>
      </c>
      <c r="BQ156" s="1396">
        <f t="shared" ref="BQ156" si="364">ROUND(SUM(BL156:BP156),2)</f>
        <v>26.14</v>
      </c>
      <c r="BR156" s="1150">
        <f t="shared" si="331"/>
        <v>42.15</v>
      </c>
      <c r="BS156" s="1150">
        <f t="shared" si="332"/>
        <v>9.3699999999999992</v>
      </c>
      <c r="BT156" s="1150">
        <f t="shared" si="264"/>
        <v>10.14</v>
      </c>
      <c r="BU156" s="1150">
        <v>0</v>
      </c>
      <c r="BV156" s="1151">
        <f t="shared" ref="BV156" si="365">ROUND(SUM(BR156:BT156),2)</f>
        <v>61.66</v>
      </c>
      <c r="BW156" s="1155">
        <f>BQ156+BV156</f>
        <v>87.8</v>
      </c>
      <c r="BX156" s="1155">
        <f t="shared" si="362"/>
        <v>951.38</v>
      </c>
      <c r="BY156" s="1151">
        <v>0</v>
      </c>
      <c r="BZ156" s="1151">
        <f t="shared" si="265"/>
        <v>951.38</v>
      </c>
      <c r="CA156" s="1397">
        <f>'CONCEPTOS Y PARAMETROS'!$A$102</f>
        <v>2120</v>
      </c>
      <c r="CB156" s="1155">
        <f t="shared" si="266"/>
        <v>240.06</v>
      </c>
      <c r="CC156" s="1156">
        <f t="shared" si="267"/>
        <v>541.20000000000005</v>
      </c>
      <c r="CD156" s="514"/>
      <c r="CE156" s="514"/>
      <c r="CG156" s="511">
        <f t="shared" si="268"/>
        <v>240.06</v>
      </c>
      <c r="CH156" s="1712">
        <f t="shared" si="269"/>
        <v>300</v>
      </c>
      <c r="CI156" s="511">
        <f t="shared" si="270"/>
        <v>541.20000000000005</v>
      </c>
      <c r="CJ156" s="511">
        <f t="shared" si="271"/>
        <v>541.20000000000005</v>
      </c>
      <c r="CK156" s="511">
        <f t="shared" si="272"/>
        <v>0</v>
      </c>
      <c r="CL156" s="511">
        <f t="shared" si="273"/>
        <v>0</v>
      </c>
      <c r="CM156" s="511">
        <f t="shared" si="274"/>
        <v>0</v>
      </c>
      <c r="CN156" s="512">
        <f t="shared" si="275"/>
        <v>0</v>
      </c>
      <c r="CO156" s="513">
        <v>0</v>
      </c>
      <c r="CP156" s="512">
        <f t="shared" si="276"/>
        <v>0</v>
      </c>
      <c r="CQ156" s="500">
        <f t="shared" si="277"/>
        <v>0</v>
      </c>
      <c r="CR156" s="512">
        <f t="shared" si="278"/>
        <v>0</v>
      </c>
      <c r="CS156" s="512">
        <f t="shared" si="279"/>
        <v>0</v>
      </c>
      <c r="CT156" s="512">
        <f t="shared" si="280"/>
        <v>87.8</v>
      </c>
      <c r="CU156" s="512">
        <f t="shared" si="281"/>
        <v>2120</v>
      </c>
      <c r="CV156" s="1556"/>
      <c r="CW156" s="1195" t="s">
        <v>6993</v>
      </c>
      <c r="CX156" s="1195" t="s">
        <v>6994</v>
      </c>
      <c r="CY156" s="514"/>
      <c r="CZ156" s="1199" t="s">
        <v>6189</v>
      </c>
      <c r="DA156" s="514" t="s">
        <v>6171</v>
      </c>
      <c r="DB156" s="514" t="s">
        <v>6171</v>
      </c>
      <c r="DC156" s="514" t="s">
        <v>6190</v>
      </c>
      <c r="DD156" s="514"/>
      <c r="DE156" s="514"/>
      <c r="DF156" s="514"/>
      <c r="DG156" s="514"/>
      <c r="DH156" s="514"/>
      <c r="DJ156" s="478" t="str">
        <f>VLOOKUP(X156,Hoja1!$A$4:$B$10,2,0)</f>
        <v>PROFESIONAL</v>
      </c>
      <c r="DK156" s="478" t="str">
        <f>VLOOKUP(S156,Hoja1!$D$4:$F$77,3,0)</f>
        <v>PI</v>
      </c>
      <c r="DL156" s="1240" t="str">
        <f t="shared" si="282"/>
        <v>0</v>
      </c>
      <c r="DM156" s="1743" t="str">
        <f t="shared" si="283"/>
        <v>F</v>
      </c>
      <c r="DN156" s="1743"/>
    </row>
    <row r="157" spans="1:118" s="473" customFormat="1" ht="21.95" customHeight="1">
      <c r="A157" s="510" t="s">
        <v>2846</v>
      </c>
      <c r="B157" s="1390">
        <f t="shared" ca="1" si="355"/>
        <v>115</v>
      </c>
      <c r="C157" s="1194">
        <v>15188927</v>
      </c>
      <c r="D157" s="1195" t="s">
        <v>4798</v>
      </c>
      <c r="E157" s="1180" t="s">
        <v>4622</v>
      </c>
      <c r="F157" s="1196">
        <v>29902</v>
      </c>
      <c r="G157" s="1180" t="s">
        <v>4620</v>
      </c>
      <c r="H157" s="1196">
        <v>44409</v>
      </c>
      <c r="I157" s="1185">
        <f t="shared" si="259"/>
        <v>3</v>
      </c>
      <c r="J157" s="1177">
        <v>0</v>
      </c>
      <c r="K157" s="1185">
        <f t="shared" si="260"/>
        <v>3</v>
      </c>
      <c r="L157" s="1191" t="s">
        <v>5562</v>
      </c>
      <c r="M157" s="1177"/>
      <c r="N157" s="1177"/>
      <c r="O157" s="1040" t="s">
        <v>5221</v>
      </c>
      <c r="P157" s="1177" t="s">
        <v>5365</v>
      </c>
      <c r="Q157" s="1391" t="str">
        <f>IFERROR(VLOOKUP(O157,CARGOS!A:E,2,0),"")</f>
        <v>79512</v>
      </c>
      <c r="R157" s="1403" t="s">
        <v>5221</v>
      </c>
      <c r="S157" s="1192" t="s">
        <v>5490</v>
      </c>
      <c r="T157" s="1150">
        <f>IFERROR(VLOOKUP(S157,'TAB EMP'!A:B,2,0),0)</f>
        <v>150</v>
      </c>
      <c r="U157" s="1151">
        <v>0</v>
      </c>
      <c r="V157" s="1150">
        <f t="shared" si="288"/>
        <v>150</v>
      </c>
      <c r="W157" s="1151">
        <f t="shared" si="289"/>
        <v>75</v>
      </c>
      <c r="X157" s="1180" t="s">
        <v>2884</v>
      </c>
      <c r="Y157" s="1180"/>
      <c r="Z157" s="1180">
        <v>2</v>
      </c>
      <c r="AA157" s="1150">
        <f>ROUND(IF(H157&lt;&gt;"",VLOOKUP(SUM(I157+J157),'CONCEPTOS Y PARAMETROS'!F:G,2,0)*V157,0),2)</f>
        <v>4.5</v>
      </c>
      <c r="AB157" s="1150">
        <f>IF(S157&lt;&gt;"",IF(M157="",'CONCEPTOS Y PARAMETROS'!$C$4,0),0)</f>
        <v>130</v>
      </c>
      <c r="AC157" s="1150">
        <f>IF(S157&lt;&gt;"",IF(M157="",'CONCEPTOS Y PARAMETROS'!$C$7*Z157,0),0)</f>
        <v>25</v>
      </c>
      <c r="AD157" s="1150">
        <f>IFERROR(ROUND(VLOOKUP($X157,'CONCEPTOS Y PARAMETROS'!H:I,2,0)*($V157+AA157+AB157+AC157),2),0)</f>
        <v>0</v>
      </c>
      <c r="AE157" s="1150">
        <f t="shared" si="285"/>
        <v>159.5</v>
      </c>
      <c r="AF157" s="1150">
        <f t="shared" si="290"/>
        <v>2.25</v>
      </c>
      <c r="AG157" s="1150">
        <f t="shared" si="291"/>
        <v>2.25</v>
      </c>
      <c r="AH157" s="1150">
        <f t="shared" si="292"/>
        <v>65</v>
      </c>
      <c r="AI157" s="1150">
        <f t="shared" si="293"/>
        <v>65</v>
      </c>
      <c r="AJ157" s="1150">
        <f t="shared" si="294"/>
        <v>0</v>
      </c>
      <c r="AK157" s="1150">
        <f t="shared" si="295"/>
        <v>0</v>
      </c>
      <c r="AL157" s="1151">
        <f t="shared" si="296"/>
        <v>92.25</v>
      </c>
      <c r="AM157" s="1151">
        <f t="shared" si="297"/>
        <v>67.25</v>
      </c>
      <c r="AN157" s="1028">
        <v>0</v>
      </c>
      <c r="AO157" s="1193">
        <f>'CONCEPTOS Y PARAMETROS'!$C$18*AN157</f>
        <v>0</v>
      </c>
      <c r="AP157" s="1028">
        <v>0</v>
      </c>
      <c r="AQ157" s="1193">
        <f>'CONCEPTOS Y PARAMETROS'!$C$21*AP157</f>
        <v>0</v>
      </c>
      <c r="AR157" s="1394">
        <v>0</v>
      </c>
      <c r="AS157" s="1394">
        <v>0</v>
      </c>
      <c r="AT157" s="1394">
        <f t="shared" si="360"/>
        <v>0</v>
      </c>
      <c r="AU157" s="1151">
        <f t="shared" si="298"/>
        <v>402.35</v>
      </c>
      <c r="AV157" s="1178" t="s">
        <v>5080</v>
      </c>
      <c r="AW157" s="1151">
        <f t="shared" si="361"/>
        <v>92.85</v>
      </c>
      <c r="AX157" s="1150">
        <f>IF(T157&lt;&gt;"0",(ROUND(IF(A157="EMPLEADO",eval_formula('CONCEPTOS Y PARAMETROS'!$C$8,NOMINA!V157,NOMINA!$AU157,NOMINA!I157+NOMINA!J157),eval_formula('CONCEPTOS Y PARAMETROS'!$D$8,NOMINA!V157,NOMINA!$AU157,NOMINA!I157+NOMINA!J157)),2))*IF(H157&lt;&gt;"",IF(MONTH(H157)=$BR$8,IF(YEAR(H157)&lt;$BT$7,1,0),0)))</f>
        <v>0</v>
      </c>
      <c r="AY157" s="1151">
        <v>180</v>
      </c>
      <c r="AZ157" s="1150">
        <f>IFERROR(VLOOKUP(AY157,'CONCEPTOS Y PARAMETROS'!Y:Z,2,0),0)</f>
        <v>150</v>
      </c>
      <c r="BA157" s="1150">
        <f t="shared" si="300"/>
        <v>3017.63</v>
      </c>
      <c r="BB157" s="1150">
        <f t="shared" si="287"/>
        <v>0</v>
      </c>
      <c r="BC157" s="1028">
        <v>0</v>
      </c>
      <c r="BD157" s="1150" t="str">
        <f t="shared" si="301"/>
        <v>0</v>
      </c>
      <c r="BE157" s="1028">
        <v>3</v>
      </c>
      <c r="BF157" s="1150">
        <f t="shared" si="363"/>
        <v>60.35</v>
      </c>
      <c r="BG157" s="1151">
        <v>300</v>
      </c>
      <c r="BH157" s="1151">
        <f t="shared" si="261"/>
        <v>0</v>
      </c>
      <c r="BI157" s="1180">
        <v>0</v>
      </c>
      <c r="BJ157" s="1180">
        <f t="shared" si="262"/>
        <v>0</v>
      </c>
      <c r="BK157" s="1151">
        <v>0</v>
      </c>
      <c r="BL157" s="1150">
        <f t="shared" si="329"/>
        <v>14.86</v>
      </c>
      <c r="BM157" s="1150">
        <f t="shared" si="330"/>
        <v>1.86</v>
      </c>
      <c r="BN157" s="1150">
        <f t="shared" si="263"/>
        <v>4.0199999999999996</v>
      </c>
      <c r="BO157" s="1150">
        <v>0</v>
      </c>
      <c r="BP157" s="1150">
        <v>0</v>
      </c>
      <c r="BQ157" s="1396">
        <f t="shared" si="302"/>
        <v>20.74</v>
      </c>
      <c r="BR157" s="1150">
        <f t="shared" si="331"/>
        <v>33.43</v>
      </c>
      <c r="BS157" s="1150">
        <f t="shared" si="332"/>
        <v>7.43</v>
      </c>
      <c r="BT157" s="1150">
        <f t="shared" si="264"/>
        <v>8.0399999999999991</v>
      </c>
      <c r="BU157" s="1150">
        <v>0</v>
      </c>
      <c r="BV157" s="1151">
        <f t="shared" si="303"/>
        <v>48.9</v>
      </c>
      <c r="BW157" s="1155">
        <f t="shared" si="304"/>
        <v>69.64</v>
      </c>
      <c r="BX157" s="1155">
        <f t="shared" si="362"/>
        <v>754.41</v>
      </c>
      <c r="BY157" s="1151">
        <v>0</v>
      </c>
      <c r="BZ157" s="1151">
        <f t="shared" si="265"/>
        <v>754.41</v>
      </c>
      <c r="CA157" s="1397">
        <f>'CONCEPTOS Y PARAMETROS'!$A$102</f>
        <v>2120</v>
      </c>
      <c r="CB157" s="1155">
        <f t="shared" si="266"/>
        <v>146.51</v>
      </c>
      <c r="CC157" s="1156">
        <f t="shared" si="267"/>
        <v>595.45000000000005</v>
      </c>
      <c r="CD157" s="514"/>
      <c r="CE157" s="514"/>
      <c r="CF157" s="520"/>
      <c r="CG157" s="497">
        <f t="shared" si="268"/>
        <v>146.51</v>
      </c>
      <c r="CH157" s="1711">
        <f t="shared" si="269"/>
        <v>300</v>
      </c>
      <c r="CI157" s="497">
        <f t="shared" si="270"/>
        <v>442.25</v>
      </c>
      <c r="CJ157" s="497">
        <f t="shared" si="271"/>
        <v>442.25</v>
      </c>
      <c r="CK157" s="497">
        <f t="shared" si="272"/>
        <v>0</v>
      </c>
      <c r="CL157" s="497">
        <f t="shared" si="273"/>
        <v>0</v>
      </c>
      <c r="CM157" s="497">
        <f t="shared" si="274"/>
        <v>0</v>
      </c>
      <c r="CN157" s="498">
        <f t="shared" si="275"/>
        <v>60.35</v>
      </c>
      <c r="CO157" s="499">
        <v>0</v>
      </c>
      <c r="CP157" s="498">
        <f t="shared" si="276"/>
        <v>92.85</v>
      </c>
      <c r="CQ157" s="500">
        <f t="shared" si="277"/>
        <v>0</v>
      </c>
      <c r="CR157" s="498">
        <f t="shared" si="278"/>
        <v>0</v>
      </c>
      <c r="CS157" s="498">
        <f t="shared" si="279"/>
        <v>153.19999999999999</v>
      </c>
      <c r="CT157" s="498">
        <f t="shared" si="280"/>
        <v>69.64</v>
      </c>
      <c r="CU157" s="498">
        <f t="shared" si="281"/>
        <v>2120</v>
      </c>
      <c r="CV157" s="1554"/>
      <c r="CW157" s="1195" t="s">
        <v>6971</v>
      </c>
      <c r="CX157" s="1195" t="s">
        <v>7275</v>
      </c>
      <c r="CY157" s="472"/>
      <c r="CZ157" s="514" t="s">
        <v>6267</v>
      </c>
      <c r="DA157" s="514" t="s">
        <v>6192</v>
      </c>
      <c r="DB157" s="514" t="s">
        <v>6268</v>
      </c>
      <c r="DC157" s="514" t="s">
        <v>6699</v>
      </c>
      <c r="DD157" s="514"/>
      <c r="DE157" s="514"/>
      <c r="DF157" s="472"/>
      <c r="DG157" s="472"/>
      <c r="DH157" s="472"/>
      <c r="DJ157" s="473" t="str">
        <f>VLOOKUP(X157,Hoja1!$A$4:$B$10,2,0)</f>
        <v>BACHILLER</v>
      </c>
      <c r="DK157" s="473" t="str">
        <f>VLOOKUP(S157,Hoja1!$D$4:$F$77,3,0)</f>
        <v>BII - II</v>
      </c>
      <c r="DL157" s="1216" t="str">
        <f t="shared" si="282"/>
        <v>SI</v>
      </c>
      <c r="DM157" s="1741" t="str">
        <f t="shared" si="283"/>
        <v>F</v>
      </c>
      <c r="DN157" s="1741"/>
    </row>
    <row r="158" spans="1:118" s="478" customFormat="1" ht="21.95" customHeight="1">
      <c r="A158" s="510" t="s">
        <v>2846</v>
      </c>
      <c r="B158" s="1390">
        <f t="shared" ca="1" si="355"/>
        <v>116</v>
      </c>
      <c r="C158" s="1194">
        <v>15560762</v>
      </c>
      <c r="D158" s="1195" t="s">
        <v>6751</v>
      </c>
      <c r="E158" s="1180" t="s">
        <v>4622</v>
      </c>
      <c r="F158" s="1196">
        <v>29774</v>
      </c>
      <c r="G158" s="1180" t="s">
        <v>4621</v>
      </c>
      <c r="H158" s="1196">
        <v>45474</v>
      </c>
      <c r="I158" s="1185">
        <f t="shared" si="259"/>
        <v>0</v>
      </c>
      <c r="J158" s="1177">
        <v>0</v>
      </c>
      <c r="K158" s="1185">
        <f t="shared" si="260"/>
        <v>0</v>
      </c>
      <c r="L158" s="1191" t="s">
        <v>5547</v>
      </c>
      <c r="M158" s="1177"/>
      <c r="N158" s="1177"/>
      <c r="O158" s="1040" t="s">
        <v>5247</v>
      </c>
      <c r="P158" s="1197" t="s">
        <v>6752</v>
      </c>
      <c r="Q158" s="1391" t="str">
        <f>IFERROR(VLOOKUP(O158,CARGOS!A:E,2,0),"")</f>
        <v>34234</v>
      </c>
      <c r="R158" s="1403" t="s">
        <v>5247</v>
      </c>
      <c r="S158" s="1192" t="s">
        <v>5469</v>
      </c>
      <c r="T158" s="1150">
        <f>IFERROR(VLOOKUP(S158,'TAB EMP'!A:B,2,0),0)</f>
        <v>246</v>
      </c>
      <c r="U158" s="1151">
        <v>0</v>
      </c>
      <c r="V158" s="1150">
        <f t="shared" si="288"/>
        <v>246</v>
      </c>
      <c r="W158" s="1151">
        <f t="shared" si="289"/>
        <v>123</v>
      </c>
      <c r="X158" s="1180" t="s">
        <v>2885</v>
      </c>
      <c r="Y158" s="1180"/>
      <c r="Z158" s="1180">
        <v>1</v>
      </c>
      <c r="AA158" s="1150">
        <f>ROUND(IF(H158&lt;&gt;"",VLOOKUP(SUM(I158+J158),'CONCEPTOS Y PARAMETROS'!F:G,2,0)*V158,0),2)</f>
        <v>0</v>
      </c>
      <c r="AB158" s="1150">
        <f>IF(S158&lt;&gt;"",IF(M158="",'CONCEPTOS Y PARAMETROS'!$C$4,0),0)</f>
        <v>130</v>
      </c>
      <c r="AC158" s="1150">
        <f>IF(S158&lt;&gt;"",IF(M158="",'CONCEPTOS Y PARAMETROS'!$C$7*Z158,0),0)</f>
        <v>12.5</v>
      </c>
      <c r="AD158" s="1150">
        <f>IFERROR(ROUND(VLOOKUP($X158,'CONCEPTOS Y PARAMETROS'!H:I,2,0)*($V158+AA158+AB158+AC158),2),0)</f>
        <v>97.13</v>
      </c>
      <c r="AE158" s="1150">
        <f t="shared" si="285"/>
        <v>239.63</v>
      </c>
      <c r="AF158" s="1150">
        <f t="shared" si="290"/>
        <v>0</v>
      </c>
      <c r="AG158" s="1150">
        <f t="shared" si="291"/>
        <v>0</v>
      </c>
      <c r="AH158" s="1150">
        <f t="shared" si="292"/>
        <v>65</v>
      </c>
      <c r="AI158" s="1150">
        <f t="shared" si="293"/>
        <v>65</v>
      </c>
      <c r="AJ158" s="1150">
        <f t="shared" si="294"/>
        <v>48.57</v>
      </c>
      <c r="AK158" s="1150">
        <f t="shared" si="295"/>
        <v>48.56</v>
      </c>
      <c r="AL158" s="1151">
        <f t="shared" si="296"/>
        <v>126.07</v>
      </c>
      <c r="AM158" s="1151">
        <f t="shared" si="297"/>
        <v>113.56</v>
      </c>
      <c r="AN158" s="1583">
        <v>1</v>
      </c>
      <c r="AO158" s="1193">
        <f>'CONCEPTOS Y PARAMETROS'!$C$18*AN158</f>
        <v>12.5</v>
      </c>
      <c r="AP158" s="1028">
        <v>0</v>
      </c>
      <c r="AQ158" s="1193">
        <f>'CONCEPTOS Y PARAMETROS'!$C$21*AP158</f>
        <v>0</v>
      </c>
      <c r="AR158" s="1394">
        <v>0</v>
      </c>
      <c r="AS158" s="1394">
        <v>0</v>
      </c>
      <c r="AT158" s="1394">
        <f t="shared" si="360"/>
        <v>12.5</v>
      </c>
      <c r="AU158" s="1151">
        <f t="shared" si="298"/>
        <v>485.63</v>
      </c>
      <c r="AV158" s="1178">
        <v>0</v>
      </c>
      <c r="AW158" s="1151">
        <f t="shared" si="361"/>
        <v>0</v>
      </c>
      <c r="AX158" s="1150">
        <f>IF(T158&lt;&gt;"0",(ROUND(IF(A158="EMPLEADO",eval_formula('CONCEPTOS Y PARAMETROS'!$C$8,NOMINA!V158,NOMINA!$AU158,NOMINA!I158+NOMINA!J158),eval_formula('CONCEPTOS Y PARAMETROS'!$D$8,NOMINA!V158,NOMINA!$AU158,NOMINA!I158+NOMINA!J158)),2))*IF(H158&lt;&gt;"",IF(MONTH(H158)=$BR$8,IF(YEAR(H158)&lt;$BT$7,1,0),0)))</f>
        <v>0</v>
      </c>
      <c r="AY158" s="1151">
        <v>90</v>
      </c>
      <c r="AZ158" s="1150">
        <f>IFERROR(VLOOKUP(AY158,'CONCEPTOS Y PARAMETROS'!Y:Z,2,0),0)</f>
        <v>75</v>
      </c>
      <c r="BA158" s="1150">
        <f t="shared" si="300"/>
        <v>1517.59</v>
      </c>
      <c r="BB158" s="1150">
        <f t="shared" si="287"/>
        <v>0</v>
      </c>
      <c r="BC158" s="1028">
        <v>0</v>
      </c>
      <c r="BD158" s="1150" t="str">
        <f t="shared" si="301"/>
        <v>0</v>
      </c>
      <c r="BE158" s="1028">
        <v>0</v>
      </c>
      <c r="BF158" s="1150">
        <f t="shared" si="363"/>
        <v>0</v>
      </c>
      <c r="BG158" s="1151">
        <v>300</v>
      </c>
      <c r="BH158" s="1151">
        <f t="shared" si="261"/>
        <v>0</v>
      </c>
      <c r="BI158" s="1180">
        <v>0</v>
      </c>
      <c r="BJ158" s="1180">
        <f t="shared" si="262"/>
        <v>0</v>
      </c>
      <c r="BK158" s="1151">
        <v>0</v>
      </c>
      <c r="BL158" s="1150">
        <f t="shared" si="329"/>
        <v>17.93</v>
      </c>
      <c r="BM158" s="1150">
        <f t="shared" si="330"/>
        <v>2.2400000000000002</v>
      </c>
      <c r="BN158" s="1150">
        <f t="shared" si="263"/>
        <v>4.8600000000000003</v>
      </c>
      <c r="BO158" s="1150">
        <v>0</v>
      </c>
      <c r="BP158" s="1150">
        <v>0</v>
      </c>
      <c r="BQ158" s="1396">
        <f t="shared" si="302"/>
        <v>25.03</v>
      </c>
      <c r="BR158" s="1150">
        <f t="shared" si="331"/>
        <v>40.340000000000003</v>
      </c>
      <c r="BS158" s="1150">
        <f t="shared" si="332"/>
        <v>8.9700000000000006</v>
      </c>
      <c r="BT158" s="1150">
        <f t="shared" si="264"/>
        <v>9.7200000000000006</v>
      </c>
      <c r="BU158" s="1150">
        <v>0</v>
      </c>
      <c r="BV158" s="1151">
        <f t="shared" si="303"/>
        <v>59.03</v>
      </c>
      <c r="BW158" s="1155">
        <f t="shared" si="304"/>
        <v>84.06</v>
      </c>
      <c r="BX158" s="1155">
        <f t="shared" si="362"/>
        <v>379.4</v>
      </c>
      <c r="BY158" s="1151">
        <v>0</v>
      </c>
      <c r="BZ158" s="1151">
        <f t="shared" si="265"/>
        <v>379.4</v>
      </c>
      <c r="CA158" s="1397">
        <f>'CONCEPTOS Y PARAMETROS'!$A$102</f>
        <v>2120</v>
      </c>
      <c r="CB158" s="1155">
        <f t="shared" si="266"/>
        <v>224.04</v>
      </c>
      <c r="CC158" s="1156">
        <f t="shared" si="267"/>
        <v>549.05999999999995</v>
      </c>
      <c r="CD158" s="514"/>
      <c r="CE158" s="514"/>
      <c r="CF158" s="521"/>
      <c r="CG158" s="511">
        <f t="shared" si="268"/>
        <v>224.04</v>
      </c>
      <c r="CH158" s="1712">
        <f t="shared" si="269"/>
        <v>300</v>
      </c>
      <c r="CI158" s="511">
        <f t="shared" si="270"/>
        <v>536.55999999999995</v>
      </c>
      <c r="CJ158" s="511">
        <f t="shared" si="271"/>
        <v>536.55999999999995</v>
      </c>
      <c r="CK158" s="511">
        <f t="shared" si="272"/>
        <v>0</v>
      </c>
      <c r="CL158" s="511">
        <f t="shared" si="273"/>
        <v>0</v>
      </c>
      <c r="CM158" s="511">
        <f t="shared" si="274"/>
        <v>0</v>
      </c>
      <c r="CN158" s="512">
        <f t="shared" si="275"/>
        <v>0</v>
      </c>
      <c r="CO158" s="513">
        <v>0</v>
      </c>
      <c r="CP158" s="512">
        <f t="shared" si="276"/>
        <v>0</v>
      </c>
      <c r="CQ158" s="500">
        <f t="shared" si="277"/>
        <v>12.5</v>
      </c>
      <c r="CR158" s="512">
        <f t="shared" si="278"/>
        <v>0</v>
      </c>
      <c r="CS158" s="512">
        <f t="shared" si="279"/>
        <v>12.5</v>
      </c>
      <c r="CT158" s="512">
        <f t="shared" si="280"/>
        <v>84.06</v>
      </c>
      <c r="CU158" s="512">
        <f t="shared" si="281"/>
        <v>2120</v>
      </c>
      <c r="CV158" s="1556"/>
      <c r="CW158" s="1195" t="s">
        <v>6995</v>
      </c>
      <c r="CX158" s="1195" t="s">
        <v>6996</v>
      </c>
      <c r="CY158" s="514"/>
      <c r="CZ158" s="1199" t="s">
        <v>6753</v>
      </c>
      <c r="DA158" s="1199" t="s">
        <v>6171</v>
      </c>
      <c r="DB158" s="1199" t="s">
        <v>6457</v>
      </c>
      <c r="DC158" s="1199" t="s">
        <v>6754</v>
      </c>
      <c r="DD158" s="514"/>
      <c r="DE158" s="514"/>
      <c r="DF158" s="514"/>
      <c r="DG158" s="514"/>
      <c r="DH158" s="514"/>
      <c r="DJ158" s="478" t="str">
        <f>VLOOKUP(X158,Hoja1!$A$4:$B$10,2,0)</f>
        <v>PROFESIONAL</v>
      </c>
      <c r="DK158" s="478" t="str">
        <f>VLOOKUP(S158,Hoja1!$D$4:$F$77,3,0)</f>
        <v>PI</v>
      </c>
      <c r="DL158" s="1218" t="str">
        <f t="shared" si="282"/>
        <v>0</v>
      </c>
      <c r="DM158" s="1743" t="str">
        <f t="shared" si="283"/>
        <v>M</v>
      </c>
      <c r="DN158" s="1743"/>
    </row>
    <row r="159" spans="1:118" s="1654" customFormat="1" ht="21.95" customHeight="1">
      <c r="A159" s="1624" t="s">
        <v>2846</v>
      </c>
      <c r="B159" s="1625">
        <f t="shared" ca="1" si="355"/>
        <v>117</v>
      </c>
      <c r="C159" s="1626">
        <v>15583745</v>
      </c>
      <c r="D159" s="1627" t="s">
        <v>4801</v>
      </c>
      <c r="E159" s="1628" t="s">
        <v>4622</v>
      </c>
      <c r="F159" s="1629">
        <v>29241</v>
      </c>
      <c r="G159" s="1628" t="s">
        <v>4621</v>
      </c>
      <c r="H159" s="1629">
        <v>43481</v>
      </c>
      <c r="I159" s="1630">
        <f t="shared" si="259"/>
        <v>6</v>
      </c>
      <c r="J159" s="1631">
        <v>0</v>
      </c>
      <c r="K159" s="1630">
        <f t="shared" si="260"/>
        <v>6</v>
      </c>
      <c r="L159" s="1632" t="s">
        <v>5538</v>
      </c>
      <c r="M159" s="1631"/>
      <c r="N159" s="1631"/>
      <c r="O159" s="1633" t="s">
        <v>7428</v>
      </c>
      <c r="P159" s="1631" t="s">
        <v>5366</v>
      </c>
      <c r="Q159" s="1634" t="str">
        <f>IFERROR(VLOOKUP(O159,CARGOS!A:E,2,0),"")</f>
        <v>12122</v>
      </c>
      <c r="R159" s="1635" t="s">
        <v>7428</v>
      </c>
      <c r="S159" s="1636" t="s">
        <v>5488</v>
      </c>
      <c r="T159" s="1637">
        <f>IFERROR(VLOOKUP(S159,'TAB EMP'!A:B,2,0),0)</f>
        <v>279</v>
      </c>
      <c r="U159" s="1638">
        <v>0</v>
      </c>
      <c r="V159" s="1637">
        <f t="shared" si="288"/>
        <v>279</v>
      </c>
      <c r="W159" s="1638">
        <f t="shared" si="289"/>
        <v>139.5</v>
      </c>
      <c r="X159" s="1628" t="s">
        <v>2885</v>
      </c>
      <c r="Y159" s="1628"/>
      <c r="Z159" s="1628">
        <v>0</v>
      </c>
      <c r="AA159" s="1637">
        <f>ROUND(IF(H159&lt;&gt;"",VLOOKUP(SUM(I159+J159),'CONCEPTOS Y PARAMETROS'!F:G,2,0)*V159,0),2)</f>
        <v>17.3</v>
      </c>
      <c r="AB159" s="1637">
        <f>IF(S159&lt;&gt;"",IF(M159="",'CONCEPTOS Y PARAMETROS'!$C$4,0),0)</f>
        <v>130</v>
      </c>
      <c r="AC159" s="1637">
        <f>IF(S159&lt;&gt;"",IF(M159="",'CONCEPTOS Y PARAMETROS'!$C$7*Z159,0),0)</f>
        <v>0</v>
      </c>
      <c r="AD159" s="1637">
        <f>IFERROR(ROUND(VLOOKUP($X159,'CONCEPTOS Y PARAMETROS'!H:I,2,0)*($V159+AA159+AB159+AC159),2),0)</f>
        <v>106.58</v>
      </c>
      <c r="AE159" s="1637">
        <f t="shared" si="285"/>
        <v>253.88</v>
      </c>
      <c r="AF159" s="1637">
        <f t="shared" si="290"/>
        <v>8.65</v>
      </c>
      <c r="AG159" s="1637">
        <f t="shared" si="291"/>
        <v>8.65</v>
      </c>
      <c r="AH159" s="1637">
        <f t="shared" si="292"/>
        <v>65</v>
      </c>
      <c r="AI159" s="1637">
        <f t="shared" si="293"/>
        <v>65</v>
      </c>
      <c r="AJ159" s="1637">
        <f t="shared" si="294"/>
        <v>53.29</v>
      </c>
      <c r="AK159" s="1637">
        <f t="shared" si="295"/>
        <v>53.29</v>
      </c>
      <c r="AL159" s="1638">
        <f t="shared" si="296"/>
        <v>126.94</v>
      </c>
      <c r="AM159" s="1638">
        <f t="shared" si="297"/>
        <v>126.94</v>
      </c>
      <c r="AN159" s="1639">
        <v>0</v>
      </c>
      <c r="AO159" s="1640">
        <f>'CONCEPTOS Y PARAMETROS'!$C$18*AN159</f>
        <v>0</v>
      </c>
      <c r="AP159" s="1639">
        <v>0</v>
      </c>
      <c r="AQ159" s="1640">
        <f>'CONCEPTOS Y PARAMETROS'!$C$21*AP159</f>
        <v>0</v>
      </c>
      <c r="AR159" s="1641">
        <v>0</v>
      </c>
      <c r="AS159" s="1641">
        <v>0</v>
      </c>
      <c r="AT159" s="1641">
        <f t="shared" si="360"/>
        <v>0</v>
      </c>
      <c r="AU159" s="1638">
        <f t="shared" si="298"/>
        <v>532.88</v>
      </c>
      <c r="AV159" s="1642">
        <v>0</v>
      </c>
      <c r="AW159" s="1638">
        <f t="shared" si="361"/>
        <v>0</v>
      </c>
      <c r="AX159" s="1637">
        <f>IF(T159&lt;&gt;"0",(ROUND(IF(A159="EMPLEADO",eval_formula('CONCEPTOS Y PARAMETROS'!$C$8,NOMINA!V159,NOMINA!$AU159,NOMINA!I159+NOMINA!J159),eval_formula('CONCEPTOS Y PARAMETROS'!$D$8,NOMINA!V159,NOMINA!$AU159,NOMINA!I159+NOMINA!J159)),2))*IF(H159&lt;&gt;"",IF(MONTH(H159)=$BR$8,IF(YEAR(H159)&lt;$BT$7,1,0),0)))</f>
        <v>4263.04</v>
      </c>
      <c r="AY159" s="1638">
        <v>180</v>
      </c>
      <c r="AZ159" s="1637">
        <f>IFERROR(VLOOKUP(AY159,'CONCEPTOS Y PARAMETROS'!Y:Z,2,0),0)</f>
        <v>150</v>
      </c>
      <c r="BA159" s="1637">
        <f t="shared" si="300"/>
        <v>3996.6</v>
      </c>
      <c r="BB159" s="1637">
        <f t="shared" si="287"/>
        <v>0</v>
      </c>
      <c r="BC159" s="1639">
        <v>0</v>
      </c>
      <c r="BD159" s="1637" t="str">
        <f t="shared" si="301"/>
        <v>0</v>
      </c>
      <c r="BE159" s="1639">
        <v>0</v>
      </c>
      <c r="BF159" s="1637">
        <f t="shared" si="363"/>
        <v>0</v>
      </c>
      <c r="BG159" s="1638">
        <v>300</v>
      </c>
      <c r="BH159" s="1638">
        <f t="shared" si="261"/>
        <v>0</v>
      </c>
      <c r="BI159" s="1628">
        <v>0</v>
      </c>
      <c r="BJ159" s="1628">
        <f t="shared" si="262"/>
        <v>0</v>
      </c>
      <c r="BK159" s="1638">
        <v>0</v>
      </c>
      <c r="BL159" s="1637">
        <f t="shared" si="329"/>
        <v>19.68</v>
      </c>
      <c r="BM159" s="1637">
        <f t="shared" si="330"/>
        <v>2.46</v>
      </c>
      <c r="BN159" s="1637">
        <f t="shared" si="263"/>
        <v>5.33</v>
      </c>
      <c r="BO159" s="1637">
        <v>0</v>
      </c>
      <c r="BP159" s="1637">
        <v>0</v>
      </c>
      <c r="BQ159" s="1643">
        <f t="shared" si="302"/>
        <v>27.47</v>
      </c>
      <c r="BR159" s="1637">
        <f t="shared" si="331"/>
        <v>44.27</v>
      </c>
      <c r="BS159" s="1637">
        <f t="shared" si="332"/>
        <v>9.84</v>
      </c>
      <c r="BT159" s="1637">
        <f t="shared" si="264"/>
        <v>10.66</v>
      </c>
      <c r="BU159" s="1637">
        <v>0</v>
      </c>
      <c r="BV159" s="1638">
        <f t="shared" si="303"/>
        <v>64.77</v>
      </c>
      <c r="BW159" s="1644">
        <f t="shared" si="304"/>
        <v>92.24</v>
      </c>
      <c r="BX159" s="1644">
        <f t="shared" si="362"/>
        <v>999.15</v>
      </c>
      <c r="BY159" s="1638">
        <v>0</v>
      </c>
      <c r="BZ159" s="1638">
        <f t="shared" si="265"/>
        <v>999.15</v>
      </c>
      <c r="CA159" s="1645">
        <f>'CONCEPTOS Y PARAMETROS'!$A$102</f>
        <v>2120</v>
      </c>
      <c r="CB159" s="1644">
        <f t="shared" si="266"/>
        <v>238.97</v>
      </c>
      <c r="CC159" s="1646">
        <f t="shared" si="267"/>
        <v>4829.4799999999996</v>
      </c>
      <c r="CD159" s="1647"/>
      <c r="CE159" s="1647"/>
      <c r="CF159" s="1648"/>
      <c r="CG159" s="1649">
        <f t="shared" si="268"/>
        <v>238.97</v>
      </c>
      <c r="CH159" s="1713">
        <f t="shared" si="269"/>
        <v>300</v>
      </c>
      <c r="CI159" s="1649">
        <f t="shared" si="270"/>
        <v>566.44000000000005</v>
      </c>
      <c r="CJ159" s="1649">
        <f t="shared" si="271"/>
        <v>271.89</v>
      </c>
      <c r="CK159" s="1649">
        <f t="shared" si="272"/>
        <v>294.55000000000007</v>
      </c>
      <c r="CL159" s="1649">
        <f t="shared" si="273"/>
        <v>0</v>
      </c>
      <c r="CM159" s="1649">
        <f t="shared" si="274"/>
        <v>0</v>
      </c>
      <c r="CN159" s="1650">
        <f t="shared" si="275"/>
        <v>0</v>
      </c>
      <c r="CO159" s="1651">
        <v>0</v>
      </c>
      <c r="CP159" s="1650">
        <f t="shared" si="276"/>
        <v>0</v>
      </c>
      <c r="CQ159" s="1652">
        <f t="shared" si="277"/>
        <v>0</v>
      </c>
      <c r="CR159" s="1650">
        <f t="shared" si="278"/>
        <v>4263.04</v>
      </c>
      <c r="CS159" s="1650">
        <f t="shared" si="279"/>
        <v>4263.04</v>
      </c>
      <c r="CT159" s="1650">
        <f t="shared" si="280"/>
        <v>92.24</v>
      </c>
      <c r="CU159" s="1650">
        <f t="shared" si="281"/>
        <v>2120</v>
      </c>
      <c r="CV159" s="1653"/>
      <c r="CW159" s="1627" t="s">
        <v>6960</v>
      </c>
      <c r="CX159" s="1627" t="s">
        <v>7276</v>
      </c>
      <c r="CY159" s="1647"/>
      <c r="CZ159" s="1647" t="s">
        <v>6449</v>
      </c>
      <c r="DA159" s="1647" t="s">
        <v>6173</v>
      </c>
      <c r="DB159" s="1647" t="s">
        <v>6202</v>
      </c>
      <c r="DC159" s="1647" t="s">
        <v>6312</v>
      </c>
      <c r="DD159" s="1647"/>
      <c r="DE159" s="1647"/>
      <c r="DF159" s="1647"/>
      <c r="DG159" s="1647"/>
      <c r="DH159" s="1647"/>
      <c r="DJ159" s="1654" t="str">
        <f>VLOOKUP(X159,Hoja1!$A$4:$B$10,2,0)</f>
        <v>PROFESIONAL</v>
      </c>
      <c r="DK159" s="1654" t="str">
        <f>VLOOKUP(S159,Hoja1!$D$4:$F$77,3,0)</f>
        <v>PII - III</v>
      </c>
      <c r="DL159" s="1656" t="str">
        <f t="shared" si="282"/>
        <v>0</v>
      </c>
      <c r="DM159" s="1742" t="str">
        <f t="shared" si="283"/>
        <v>M</v>
      </c>
      <c r="DN159" s="1742"/>
    </row>
    <row r="160" spans="1:118" s="473" customFormat="1" ht="21.95" customHeight="1">
      <c r="A160" s="510" t="s">
        <v>2846</v>
      </c>
      <c r="B160" s="1390">
        <f t="shared" ca="1" si="355"/>
        <v>118</v>
      </c>
      <c r="C160" s="1194">
        <v>15588470</v>
      </c>
      <c r="D160" s="1195" t="s">
        <v>4804</v>
      </c>
      <c r="E160" s="1180" t="s">
        <v>4622</v>
      </c>
      <c r="F160" s="1196">
        <v>30058</v>
      </c>
      <c r="G160" s="1180" t="s">
        <v>4620</v>
      </c>
      <c r="H160" s="1196">
        <v>39098</v>
      </c>
      <c r="I160" s="1185">
        <f t="shared" si="259"/>
        <v>18</v>
      </c>
      <c r="J160" s="1177">
        <v>0</v>
      </c>
      <c r="K160" s="1185">
        <f t="shared" si="260"/>
        <v>18</v>
      </c>
      <c r="L160" s="1402" t="s">
        <v>5557</v>
      </c>
      <c r="M160" s="1177"/>
      <c r="N160" s="1177"/>
      <c r="O160" s="1040" t="s">
        <v>5260</v>
      </c>
      <c r="P160" s="1177" t="s">
        <v>5367</v>
      </c>
      <c r="Q160" s="1391" t="str">
        <f>IFERROR(VLOOKUP(O160,CARGOS!A:E,2,0),"")</f>
        <v>79352</v>
      </c>
      <c r="R160" s="1403" t="s">
        <v>5260</v>
      </c>
      <c r="S160" s="1192" t="s">
        <v>5484</v>
      </c>
      <c r="T160" s="1150">
        <f>IFERROR(VLOOKUP(S160,'TAB EMP'!A:B,2,0),0)</f>
        <v>228</v>
      </c>
      <c r="U160" s="1151">
        <v>0</v>
      </c>
      <c r="V160" s="1150">
        <f t="shared" si="288"/>
        <v>228</v>
      </c>
      <c r="W160" s="1151">
        <f t="shared" si="289"/>
        <v>114</v>
      </c>
      <c r="X160" s="1180" t="s">
        <v>2844</v>
      </c>
      <c r="Y160" s="1180"/>
      <c r="Z160" s="1180">
        <v>1</v>
      </c>
      <c r="AA160" s="1150">
        <f>ROUND(IF(H160&lt;&gt;"",VLOOKUP(SUM(I160+J160),'CONCEPTOS Y PARAMETROS'!F:G,2,0)*V160,0),2)</f>
        <v>51.98</v>
      </c>
      <c r="AB160" s="1150">
        <f>IF(S160&lt;&gt;"",IF(M160="",'CONCEPTOS Y PARAMETROS'!$C$4,0),0)</f>
        <v>130</v>
      </c>
      <c r="AC160" s="1150">
        <f>IF(S160&lt;&gt;"",IF(M160="",'CONCEPTOS Y PARAMETROS'!$C$7*Z160,0),0)</f>
        <v>12.5</v>
      </c>
      <c r="AD160" s="1150">
        <f>IFERROR(ROUND(VLOOKUP($X160,'CONCEPTOS Y PARAMETROS'!H:I,2,0)*($V160+AA160+AB160+AC160),2),0)</f>
        <v>84.5</v>
      </c>
      <c r="AE160" s="1150">
        <f t="shared" si="285"/>
        <v>278.98</v>
      </c>
      <c r="AF160" s="1150">
        <f t="shared" si="290"/>
        <v>25.99</v>
      </c>
      <c r="AG160" s="1150">
        <f t="shared" si="291"/>
        <v>25.99</v>
      </c>
      <c r="AH160" s="1150">
        <f t="shared" si="292"/>
        <v>65</v>
      </c>
      <c r="AI160" s="1150">
        <f t="shared" si="293"/>
        <v>65</v>
      </c>
      <c r="AJ160" s="1150">
        <f t="shared" si="294"/>
        <v>42.25</v>
      </c>
      <c r="AK160" s="1150">
        <f t="shared" si="295"/>
        <v>42.25</v>
      </c>
      <c r="AL160" s="1151">
        <f t="shared" si="296"/>
        <v>145.74</v>
      </c>
      <c r="AM160" s="1151">
        <f t="shared" si="297"/>
        <v>133.24</v>
      </c>
      <c r="AN160" s="1583">
        <v>1</v>
      </c>
      <c r="AO160" s="1193">
        <f>'CONCEPTOS Y PARAMETROS'!$C$18*AN160</f>
        <v>12.5</v>
      </c>
      <c r="AP160" s="1028">
        <v>0</v>
      </c>
      <c r="AQ160" s="1193">
        <f>'CONCEPTOS Y PARAMETROS'!$C$21*AP160</f>
        <v>0</v>
      </c>
      <c r="AR160" s="1394">
        <v>0</v>
      </c>
      <c r="AS160" s="1394">
        <v>0</v>
      </c>
      <c r="AT160" s="1394">
        <f t="shared" si="360"/>
        <v>12.5</v>
      </c>
      <c r="AU160" s="1151">
        <f t="shared" si="298"/>
        <v>506.98</v>
      </c>
      <c r="AV160" s="1178">
        <v>0</v>
      </c>
      <c r="AW160" s="1151">
        <f t="shared" si="361"/>
        <v>0</v>
      </c>
      <c r="AX160" s="1150">
        <f>IF(T160&lt;&gt;"0",(ROUND(IF(A160="EMPLEADO",eval_formula('CONCEPTOS Y PARAMETROS'!$C$8,NOMINA!V160,NOMINA!$AU160,NOMINA!I160+NOMINA!J160),eval_formula('CONCEPTOS Y PARAMETROS'!$D$8,NOMINA!V160,NOMINA!$AU160,NOMINA!I160+NOMINA!J160)),2))*IF(H160&lt;&gt;"",IF(MONTH(H160)=$BR$8,IF(YEAR(H160)&lt;$BT$7,1,0),0)))</f>
        <v>4055.84</v>
      </c>
      <c r="AY160" s="1151">
        <v>180</v>
      </c>
      <c r="AZ160" s="1150">
        <f>IFERROR(VLOOKUP(AY160,'CONCEPTOS Y PARAMETROS'!Y:Z,2,0),0)</f>
        <v>150</v>
      </c>
      <c r="BA160" s="1150">
        <f t="shared" si="300"/>
        <v>3802.35</v>
      </c>
      <c r="BB160" s="1150">
        <f t="shared" si="287"/>
        <v>0</v>
      </c>
      <c r="BC160" s="1028">
        <v>0</v>
      </c>
      <c r="BD160" s="1150" t="str">
        <f t="shared" si="301"/>
        <v>0</v>
      </c>
      <c r="BE160" s="1028">
        <v>0</v>
      </c>
      <c r="BF160" s="1150">
        <f t="shared" si="363"/>
        <v>0</v>
      </c>
      <c r="BG160" s="1151">
        <v>300</v>
      </c>
      <c r="BH160" s="1151">
        <f t="shared" si="261"/>
        <v>0</v>
      </c>
      <c r="BI160" s="1180">
        <v>0</v>
      </c>
      <c r="BJ160" s="1180">
        <f t="shared" si="262"/>
        <v>0</v>
      </c>
      <c r="BK160" s="1151">
        <v>0</v>
      </c>
      <c r="BL160" s="1150">
        <f t="shared" si="329"/>
        <v>18.72</v>
      </c>
      <c r="BM160" s="1150">
        <f t="shared" si="330"/>
        <v>2.34</v>
      </c>
      <c r="BN160" s="1150">
        <f t="shared" si="263"/>
        <v>5.07</v>
      </c>
      <c r="BO160" s="1150">
        <v>0</v>
      </c>
      <c r="BP160" s="1150">
        <v>0</v>
      </c>
      <c r="BQ160" s="1396">
        <f t="shared" si="302"/>
        <v>26.13</v>
      </c>
      <c r="BR160" s="1150">
        <f t="shared" si="331"/>
        <v>42.12</v>
      </c>
      <c r="BS160" s="1150">
        <f t="shared" si="332"/>
        <v>9.36</v>
      </c>
      <c r="BT160" s="1150">
        <f t="shared" si="264"/>
        <v>10.14</v>
      </c>
      <c r="BU160" s="1150">
        <v>0</v>
      </c>
      <c r="BV160" s="1151">
        <f t="shared" si="303"/>
        <v>61.62</v>
      </c>
      <c r="BW160" s="1155">
        <f t="shared" si="304"/>
        <v>87.75</v>
      </c>
      <c r="BX160" s="1155">
        <f t="shared" si="362"/>
        <v>950.59</v>
      </c>
      <c r="BY160" s="1151">
        <v>0</v>
      </c>
      <c r="BZ160" s="1151">
        <f t="shared" si="265"/>
        <v>950.59</v>
      </c>
      <c r="CA160" s="1397">
        <f>'CONCEPTOS Y PARAMETROS'!$A$102</f>
        <v>2120</v>
      </c>
      <c r="CB160" s="1155">
        <f t="shared" si="266"/>
        <v>233.61</v>
      </c>
      <c r="CC160" s="1156">
        <f t="shared" si="267"/>
        <v>4615.58</v>
      </c>
      <c r="CD160" s="514"/>
      <c r="CE160" s="514"/>
      <c r="CF160" s="520"/>
      <c r="CG160" s="497">
        <f t="shared" si="268"/>
        <v>233.61</v>
      </c>
      <c r="CH160" s="1711">
        <f t="shared" si="269"/>
        <v>300</v>
      </c>
      <c r="CI160" s="497">
        <f t="shared" si="270"/>
        <v>547.24</v>
      </c>
      <c r="CJ160" s="497">
        <f t="shared" si="271"/>
        <v>547.24</v>
      </c>
      <c r="CK160" s="497">
        <f t="shared" si="272"/>
        <v>0</v>
      </c>
      <c r="CL160" s="497">
        <f t="shared" si="273"/>
        <v>0</v>
      </c>
      <c r="CM160" s="497">
        <f t="shared" si="274"/>
        <v>0</v>
      </c>
      <c r="CN160" s="498">
        <f t="shared" si="275"/>
        <v>0</v>
      </c>
      <c r="CO160" s="499">
        <v>0</v>
      </c>
      <c r="CP160" s="498">
        <f t="shared" si="276"/>
        <v>0</v>
      </c>
      <c r="CQ160" s="500">
        <f t="shared" si="277"/>
        <v>12.5</v>
      </c>
      <c r="CR160" s="498">
        <f t="shared" si="278"/>
        <v>4055.84</v>
      </c>
      <c r="CS160" s="498">
        <f t="shared" si="279"/>
        <v>4068.34</v>
      </c>
      <c r="CT160" s="498">
        <f t="shared" si="280"/>
        <v>87.75</v>
      </c>
      <c r="CU160" s="498">
        <f t="shared" si="281"/>
        <v>2120</v>
      </c>
      <c r="CV160" s="1554"/>
      <c r="CW160" s="1195" t="s">
        <v>6960</v>
      </c>
      <c r="CX160" s="1195" t="s">
        <v>7277</v>
      </c>
      <c r="CY160" s="472"/>
      <c r="CZ160" s="1199" t="s">
        <v>6672</v>
      </c>
      <c r="DA160" s="514" t="s">
        <v>6221</v>
      </c>
      <c r="DB160" s="514" t="s">
        <v>6227</v>
      </c>
      <c r="DC160" s="514" t="s">
        <v>6643</v>
      </c>
      <c r="DD160" s="514"/>
      <c r="DE160" s="514"/>
      <c r="DF160" s="472"/>
      <c r="DG160" s="472"/>
      <c r="DH160" s="472"/>
      <c r="DJ160" s="473" t="str">
        <f>VLOOKUP(X160,Hoja1!$A$4:$B$10,2,0)</f>
        <v>TÉCNICO SUPERIOR UNIVERSITARIO</v>
      </c>
      <c r="DK160" s="473" t="str">
        <f>VLOOKUP(S160,Hoja1!$D$4:$F$77,3,0)</f>
        <v>TII - VII</v>
      </c>
      <c r="DL160" s="1216" t="str">
        <f t="shared" si="282"/>
        <v>0</v>
      </c>
      <c r="DM160" s="1741" t="str">
        <f t="shared" si="283"/>
        <v>F</v>
      </c>
      <c r="DN160" s="1741"/>
    </row>
    <row r="161" spans="1:118" s="473" customFormat="1" ht="21.95" customHeight="1">
      <c r="A161" s="510" t="s">
        <v>2846</v>
      </c>
      <c r="B161" s="1390">
        <f ca="1">OFFSET(B161,-1,0)+1</f>
        <v>119</v>
      </c>
      <c r="C161" s="1194">
        <v>15752048</v>
      </c>
      <c r="D161" s="1195" t="s">
        <v>4674</v>
      </c>
      <c r="E161" s="1180" t="s">
        <v>4622</v>
      </c>
      <c r="F161" s="1196">
        <v>29824</v>
      </c>
      <c r="G161" s="1180" t="s">
        <v>4620</v>
      </c>
      <c r="H161" s="1196">
        <v>39679</v>
      </c>
      <c r="I161" s="1185">
        <f t="shared" si="259"/>
        <v>16</v>
      </c>
      <c r="J161" s="1177">
        <v>0</v>
      </c>
      <c r="K161" s="1185">
        <f t="shared" si="260"/>
        <v>16</v>
      </c>
      <c r="L161" s="1191" t="s">
        <v>5540</v>
      </c>
      <c r="M161" s="1177"/>
      <c r="N161" s="1177"/>
      <c r="O161" s="1040" t="s">
        <v>5221</v>
      </c>
      <c r="P161" s="1177" t="s">
        <v>5371</v>
      </c>
      <c r="Q161" s="1391" t="str">
        <f>IFERROR(VLOOKUP(O161,CARGOS!A:E,2,0),"")</f>
        <v>79512</v>
      </c>
      <c r="R161" s="1403" t="s">
        <v>5221</v>
      </c>
      <c r="S161" s="1192" t="s">
        <v>5492</v>
      </c>
      <c r="T161" s="1150">
        <f>IFERROR(VLOOKUP(S161,'TAB EMP'!A:B,2,0),0)</f>
        <v>314</v>
      </c>
      <c r="U161" s="1151">
        <v>0</v>
      </c>
      <c r="V161" s="1150">
        <f t="shared" si="288"/>
        <v>314</v>
      </c>
      <c r="W161" s="1151">
        <f t="shared" si="289"/>
        <v>157</v>
      </c>
      <c r="X161" s="1180" t="s">
        <v>2887</v>
      </c>
      <c r="Y161" s="1180"/>
      <c r="Z161" s="1180">
        <v>0</v>
      </c>
      <c r="AA161" s="1150">
        <f>ROUND(IF(H161&lt;&gt;"",VLOOKUP(SUM(I161+J161),'CONCEPTOS Y PARAMETROS'!F:G,2,0)*V161,0),2)</f>
        <v>61.54</v>
      </c>
      <c r="AB161" s="1150">
        <f>IF(S161&lt;&gt;"",IF(M161="",'CONCEPTOS Y PARAMETROS'!$C$4,0),0)</f>
        <v>130</v>
      </c>
      <c r="AC161" s="1150">
        <f>IF(S161&lt;&gt;"",IF(M161="",'CONCEPTOS Y PARAMETROS'!$C$7*Z161,0),0)</f>
        <v>0</v>
      </c>
      <c r="AD161" s="1150">
        <f>IFERROR(ROUND(VLOOKUP($X161,'CONCEPTOS Y PARAMETROS'!H:I,2,0)*($V161+AA161+AB161+AC161),2),0)</f>
        <v>176.94</v>
      </c>
      <c r="AE161" s="1150">
        <f t="shared" si="285"/>
        <v>368.48</v>
      </c>
      <c r="AF161" s="1150">
        <f t="shared" si="290"/>
        <v>30.77</v>
      </c>
      <c r="AG161" s="1150">
        <f t="shared" si="291"/>
        <v>30.77</v>
      </c>
      <c r="AH161" s="1150">
        <f t="shared" si="292"/>
        <v>65</v>
      </c>
      <c r="AI161" s="1150">
        <f t="shared" si="293"/>
        <v>65</v>
      </c>
      <c r="AJ161" s="1150">
        <f t="shared" si="294"/>
        <v>88.47</v>
      </c>
      <c r="AK161" s="1150">
        <f t="shared" si="295"/>
        <v>88.47</v>
      </c>
      <c r="AL161" s="1151">
        <f t="shared" si="296"/>
        <v>184.24</v>
      </c>
      <c r="AM161" s="1151">
        <f t="shared" si="297"/>
        <v>184.24</v>
      </c>
      <c r="AN161" s="1028">
        <v>0</v>
      </c>
      <c r="AO161" s="1193">
        <f>'CONCEPTOS Y PARAMETROS'!$C$18*AN161</f>
        <v>0</v>
      </c>
      <c r="AP161" s="1028">
        <v>0</v>
      </c>
      <c r="AQ161" s="1193">
        <f>'CONCEPTOS Y PARAMETROS'!$C$21*AP161</f>
        <v>0</v>
      </c>
      <c r="AR161" s="1394">
        <v>0</v>
      </c>
      <c r="AS161" s="1394">
        <v>0</v>
      </c>
      <c r="AT161" s="1394">
        <f>+AO161+AQ161+AR161+AS161</f>
        <v>0</v>
      </c>
      <c r="AU161" s="1394">
        <f t="shared" si="298"/>
        <v>682.48</v>
      </c>
      <c r="AV161" s="1178">
        <v>0</v>
      </c>
      <c r="AW161" s="1394">
        <f t="shared" si="361"/>
        <v>0</v>
      </c>
      <c r="AX161" s="1150">
        <f>IF(T161&lt;&gt;"0",(ROUND(IF(A161="EMPLEADO",eval_formula('CONCEPTOS Y PARAMETROS'!$C$8,NOMINA!V161,NOMINA!$AU161,NOMINA!I161+NOMINA!J161),eval_formula('CONCEPTOS Y PARAMETROS'!$D$8,NOMINA!V161,NOMINA!$AU161,NOMINA!I161+NOMINA!J161)),2))*IF(H161&lt;&gt;"",IF(MONTH(H161)=$BR$8,IF(YEAR(H161)&lt;$BT$7,1,0),0)))</f>
        <v>0</v>
      </c>
      <c r="AY161" s="1151">
        <v>180</v>
      </c>
      <c r="AZ161" s="1150">
        <f>IFERROR(VLOOKUP(AY161,'CONCEPTOS Y PARAMETROS'!Y:Z,2,0),0)</f>
        <v>150</v>
      </c>
      <c r="BA161" s="1150">
        <f t="shared" si="300"/>
        <v>5118.6000000000004</v>
      </c>
      <c r="BB161" s="1150">
        <f t="shared" si="287"/>
        <v>0</v>
      </c>
      <c r="BC161" s="1028">
        <v>0</v>
      </c>
      <c r="BD161" s="1150" t="str">
        <f t="shared" si="301"/>
        <v>0</v>
      </c>
      <c r="BE161" s="1028">
        <v>0</v>
      </c>
      <c r="BF161" s="1150">
        <f t="shared" si="363"/>
        <v>0</v>
      </c>
      <c r="BG161" s="1151">
        <v>300</v>
      </c>
      <c r="BH161" s="1151">
        <f t="shared" si="261"/>
        <v>0</v>
      </c>
      <c r="BI161" s="1180">
        <v>0</v>
      </c>
      <c r="BJ161" s="1180">
        <f t="shared" si="262"/>
        <v>0</v>
      </c>
      <c r="BK161" s="1151">
        <v>0</v>
      </c>
      <c r="BL161" s="1150">
        <f t="shared" si="329"/>
        <v>25.2</v>
      </c>
      <c r="BM161" s="1150">
        <f t="shared" si="330"/>
        <v>3.15</v>
      </c>
      <c r="BN161" s="1150">
        <f t="shared" si="263"/>
        <v>6.82</v>
      </c>
      <c r="BO161" s="1150">
        <v>0</v>
      </c>
      <c r="BP161" s="1150">
        <v>0</v>
      </c>
      <c r="BQ161" s="1396">
        <f>ROUND(SUM(BL161:BP161),2)</f>
        <v>35.17</v>
      </c>
      <c r="BR161" s="1150">
        <f t="shared" si="331"/>
        <v>56.7</v>
      </c>
      <c r="BS161" s="1150">
        <f t="shared" si="332"/>
        <v>12.6</v>
      </c>
      <c r="BT161" s="1150">
        <f t="shared" si="264"/>
        <v>13.64</v>
      </c>
      <c r="BU161" s="1150">
        <v>0</v>
      </c>
      <c r="BV161" s="1150">
        <f>ROUND(SUM(BR161:BT161),2)</f>
        <v>82.94</v>
      </c>
      <c r="BW161" s="1150">
        <f>BQ161+BV161</f>
        <v>118.11</v>
      </c>
      <c r="BX161" s="1155">
        <f t="shared" si="362"/>
        <v>1279.6500000000001</v>
      </c>
      <c r="BY161" s="1151">
        <v>0</v>
      </c>
      <c r="BZ161" s="1151">
        <f t="shared" si="265"/>
        <v>1279.6500000000001</v>
      </c>
      <c r="CA161" s="1397">
        <f>'CONCEPTOS Y PARAMETROS'!$A$102</f>
        <v>2120</v>
      </c>
      <c r="CB161" s="1155">
        <f t="shared" si="266"/>
        <v>306.07</v>
      </c>
      <c r="CC161" s="1156">
        <f t="shared" si="267"/>
        <v>641.24</v>
      </c>
      <c r="CD161" s="514"/>
      <c r="CE161" s="514"/>
      <c r="CF161" s="521"/>
      <c r="CG161" s="497">
        <f t="shared" si="268"/>
        <v>306.07</v>
      </c>
      <c r="CH161" s="1711">
        <f t="shared" si="269"/>
        <v>300</v>
      </c>
      <c r="CI161" s="497">
        <f t="shared" si="270"/>
        <v>641.24</v>
      </c>
      <c r="CJ161" s="497">
        <f t="shared" si="271"/>
        <v>307.8</v>
      </c>
      <c r="CK161" s="497">
        <f t="shared" si="272"/>
        <v>333.44</v>
      </c>
      <c r="CL161" s="497">
        <f t="shared" si="273"/>
        <v>0</v>
      </c>
      <c r="CM161" s="497">
        <f t="shared" si="274"/>
        <v>0</v>
      </c>
      <c r="CN161" s="498">
        <f t="shared" si="275"/>
        <v>0</v>
      </c>
      <c r="CO161" s="499">
        <v>0</v>
      </c>
      <c r="CP161" s="498">
        <f t="shared" si="276"/>
        <v>0</v>
      </c>
      <c r="CQ161" s="500">
        <f t="shared" si="277"/>
        <v>0</v>
      </c>
      <c r="CR161" s="498">
        <f t="shared" si="278"/>
        <v>0</v>
      </c>
      <c r="CS161" s="498">
        <f t="shared" si="279"/>
        <v>0</v>
      </c>
      <c r="CT161" s="498">
        <f t="shared" si="280"/>
        <v>118.11</v>
      </c>
      <c r="CU161" s="498">
        <f t="shared" si="281"/>
        <v>2120</v>
      </c>
      <c r="CV161" s="1554"/>
      <c r="CW161" s="1195" t="s">
        <v>6960</v>
      </c>
      <c r="CX161" s="1195" t="s">
        <v>7278</v>
      </c>
      <c r="CY161" s="514"/>
      <c r="CZ161" s="514" t="s">
        <v>6228</v>
      </c>
      <c r="DA161" s="514" t="s">
        <v>6188</v>
      </c>
      <c r="DB161" s="514" t="s">
        <v>6229</v>
      </c>
      <c r="DC161" s="514" t="s">
        <v>6613</v>
      </c>
      <c r="DD161" s="514"/>
      <c r="DE161" s="514"/>
      <c r="DF161" s="514"/>
      <c r="DG161" s="514"/>
      <c r="DH161" s="514"/>
      <c r="DI161" s="478"/>
      <c r="DJ161" s="473" t="str">
        <f>VLOOKUP(X161,Hoja1!$A$4:$B$10,2,0)</f>
        <v>MAGISTER</v>
      </c>
      <c r="DK161" s="473" t="str">
        <f>VLOOKUP(S161,Hoja1!$D$4:$F$77,3,0)</f>
        <v>PIII - VI</v>
      </c>
      <c r="DL161" s="1216" t="str">
        <f t="shared" si="282"/>
        <v>0</v>
      </c>
      <c r="DM161" s="1741" t="str">
        <f t="shared" si="283"/>
        <v>F</v>
      </c>
      <c r="DN161" s="1741"/>
    </row>
    <row r="162" spans="1:118" s="930" customFormat="1" ht="21.95" customHeight="1">
      <c r="A162" s="929" t="s">
        <v>2846</v>
      </c>
      <c r="B162" s="1404">
        <f ca="1">OFFSET(B162,-1,0)+1</f>
        <v>120</v>
      </c>
      <c r="C162" s="1405">
        <v>15752183</v>
      </c>
      <c r="D162" s="1406" t="s">
        <v>4684</v>
      </c>
      <c r="E162" s="1407" t="s">
        <v>4622</v>
      </c>
      <c r="F162" s="1408">
        <v>30390</v>
      </c>
      <c r="G162" s="1407" t="s">
        <v>4620</v>
      </c>
      <c r="H162" s="1408">
        <v>38930</v>
      </c>
      <c r="I162" s="1409">
        <f t="shared" si="259"/>
        <v>18</v>
      </c>
      <c r="J162" s="1410">
        <v>0</v>
      </c>
      <c r="K162" s="1409">
        <f t="shared" si="260"/>
        <v>18</v>
      </c>
      <c r="L162" s="1409" t="s">
        <v>5538</v>
      </c>
      <c r="M162" s="1410"/>
      <c r="N162" s="1410"/>
      <c r="O162" s="1412" t="s">
        <v>5263</v>
      </c>
      <c r="P162" s="1410" t="s">
        <v>5368</v>
      </c>
      <c r="Q162" s="1413" t="str">
        <f>IFERROR(VLOOKUP(O162,CARGOS!A:E,2,0),"")</f>
        <v>13414</v>
      </c>
      <c r="R162" s="1412" t="s">
        <v>5263</v>
      </c>
      <c r="S162" s="1414" t="s">
        <v>5476</v>
      </c>
      <c r="T162" s="1415">
        <v>0</v>
      </c>
      <c r="U162" s="1382">
        <v>0</v>
      </c>
      <c r="V162" s="1415">
        <f>T162-U162</f>
        <v>0</v>
      </c>
      <c r="W162" s="1382">
        <f>ROUND(V162/2,2)</f>
        <v>0</v>
      </c>
      <c r="X162" s="1407" t="s">
        <v>2884</v>
      </c>
      <c r="Y162" s="1407"/>
      <c r="Z162" s="1407">
        <v>0</v>
      </c>
      <c r="AA162" s="1415">
        <f>ROUND(IF(H162&lt;&gt;"",VLOOKUP(SUM(I162+J162),'CONCEPTOS Y PARAMETROS'!F:G,2,0)*V162,0),2)</f>
        <v>0</v>
      </c>
      <c r="AB162" s="1415">
        <v>0</v>
      </c>
      <c r="AC162" s="1415">
        <v>0</v>
      </c>
      <c r="AD162" s="1415">
        <f>IFERROR(ROUND(VLOOKUP($X162,'CONCEPTOS Y PARAMETROS'!H:I,2,0)*($V162+AA162+AB162+AC162),2),0)</f>
        <v>0</v>
      </c>
      <c r="AE162" s="1415">
        <f>SUM(AA162:AD162)</f>
        <v>0</v>
      </c>
      <c r="AF162" s="1415">
        <f>ROUND(AA162/2,2)</f>
        <v>0</v>
      </c>
      <c r="AG162" s="1415">
        <f>ROUND(AA162-AF162,2)</f>
        <v>0</v>
      </c>
      <c r="AH162" s="1415">
        <f>ROUND(AB162/2,2)</f>
        <v>0</v>
      </c>
      <c r="AI162" s="1415">
        <f>ROUND(AB162-AH162,2)</f>
        <v>0</v>
      </c>
      <c r="AJ162" s="1415">
        <f>ROUND(AD162/2,2)</f>
        <v>0</v>
      </c>
      <c r="AK162" s="1415">
        <f>ROUND(AD162-AJ162,2)</f>
        <v>0</v>
      </c>
      <c r="AL162" s="1382">
        <f>ROUND(AF162+AH162+AJ162+AC162,2)</f>
        <v>0</v>
      </c>
      <c r="AM162" s="1382">
        <f>ROUND(AG162+AI162+AK162,2)</f>
        <v>0</v>
      </c>
      <c r="AN162" s="1416">
        <v>0</v>
      </c>
      <c r="AO162" s="1417">
        <v>0</v>
      </c>
      <c r="AP162" s="1416">
        <v>0</v>
      </c>
      <c r="AQ162" s="1417">
        <f>'CONCEPTOS Y PARAMETROS'!$C$21*AP162</f>
        <v>0</v>
      </c>
      <c r="AR162" s="1418">
        <v>0</v>
      </c>
      <c r="AS162" s="1418">
        <v>0</v>
      </c>
      <c r="AT162" s="1418">
        <f>+AO162+AQ162+AR162+AS162</f>
        <v>0</v>
      </c>
      <c r="AU162" s="1382">
        <f>V162+AE162+AW162</f>
        <v>0</v>
      </c>
      <c r="AV162" s="1419">
        <v>0</v>
      </c>
      <c r="AW162" s="1382">
        <f>ROUND(IF(O162="VIGILANTE",(V162+AE162)*30%,0),2)</f>
        <v>0</v>
      </c>
      <c r="AX162" s="1382">
        <f>IF(T162&lt;&gt;"0",(ROUND(IF(A162="EMPLEADO",eval_formula('CONCEPTOS Y PARAMETROS'!$C$8,NOMINA!V162,NOMINA!$AU162,NOMINA!I162+NOMINA!J162),eval_formula('CONCEPTOS Y PARAMETROS'!$D$8,NOMINA!V162,NOMINA!$AU162,NOMINA!I162+NOMINA!J162)),2))*IF(H162&lt;&gt;"",IF(MONTH(H162)=$BR$8,IF(YEAR(H162)&lt;$BT$7,1,0),0)))</f>
        <v>0</v>
      </c>
      <c r="AY162" s="1382">
        <v>180</v>
      </c>
      <c r="AZ162" s="1415">
        <f>IFERROR(VLOOKUP(AY162,'CONCEPTOS Y PARAMETROS'!Y:Z,2,0),0)</f>
        <v>150</v>
      </c>
      <c r="BA162" s="1415">
        <f>ROUND((((AU162))/30*AY162/12+(AU162))/30*AZ162,2)</f>
        <v>0</v>
      </c>
      <c r="BB162" s="1415">
        <f t="shared" si="287"/>
        <v>0</v>
      </c>
      <c r="BC162" s="1416">
        <v>0</v>
      </c>
      <c r="BD162" s="1415" t="str">
        <f>IF(BC162&gt;0,((((((V162+AA162+AB162+AC162+AD162)/30)/8)*50%)+((((V162+AA162+AB162+AC162+AD162)/30)/8)))*30%+(((((V162+AA162+AB162+AC162+AD162)/30)/8)*50%)+((((V162+AA162+AB162+AC162+AD162)/30)/8))))*BC162,"0")</f>
        <v>0</v>
      </c>
      <c r="BE162" s="1416">
        <v>0</v>
      </c>
      <c r="BF162" s="1415">
        <f t="shared" si="363"/>
        <v>0</v>
      </c>
      <c r="BG162" s="1382">
        <v>0</v>
      </c>
      <c r="BH162" s="1382">
        <f t="shared" si="261"/>
        <v>0</v>
      </c>
      <c r="BI162" s="1382">
        <v>0</v>
      </c>
      <c r="BJ162" s="1382">
        <f t="shared" si="262"/>
        <v>0</v>
      </c>
      <c r="BK162" s="1382">
        <v>0</v>
      </c>
      <c r="BL162" s="1415">
        <f t="shared" si="329"/>
        <v>0</v>
      </c>
      <c r="BM162" s="1415">
        <f t="shared" si="330"/>
        <v>0</v>
      </c>
      <c r="BN162" s="1415">
        <f t="shared" si="263"/>
        <v>0</v>
      </c>
      <c r="BO162" s="1415">
        <v>0</v>
      </c>
      <c r="BP162" s="1415">
        <v>0</v>
      </c>
      <c r="BQ162" s="1420">
        <f>ROUND(SUM(BL162:BP162),2)</f>
        <v>0</v>
      </c>
      <c r="BR162" s="1415">
        <f t="shared" si="331"/>
        <v>0</v>
      </c>
      <c r="BS162" s="1415">
        <f t="shared" si="332"/>
        <v>0</v>
      </c>
      <c r="BT162" s="1415">
        <f t="shared" si="264"/>
        <v>0</v>
      </c>
      <c r="BU162" s="1415">
        <v>0</v>
      </c>
      <c r="BV162" s="1382">
        <f>ROUND(SUM(BR162:BT162),2)</f>
        <v>0</v>
      </c>
      <c r="BW162" s="1379">
        <f>BQ162+BV162</f>
        <v>0</v>
      </c>
      <c r="BX162" s="1379">
        <f t="shared" si="362"/>
        <v>0</v>
      </c>
      <c r="BY162" s="1382">
        <v>0</v>
      </c>
      <c r="BZ162" s="1382">
        <f t="shared" si="265"/>
        <v>0</v>
      </c>
      <c r="CA162" s="1421">
        <v>0</v>
      </c>
      <c r="CB162" s="1379">
        <f t="shared" si="266"/>
        <v>0</v>
      </c>
      <c r="CC162" s="1422">
        <f t="shared" si="267"/>
        <v>0</v>
      </c>
      <c r="CD162" s="514"/>
      <c r="CE162" s="514"/>
      <c r="CG162" s="931">
        <f t="shared" si="268"/>
        <v>0</v>
      </c>
      <c r="CH162" s="1714">
        <f t="shared" si="269"/>
        <v>0</v>
      </c>
      <c r="CI162" s="931">
        <f t="shared" si="270"/>
        <v>0</v>
      </c>
      <c r="CJ162" s="931">
        <f t="shared" si="271"/>
        <v>0</v>
      </c>
      <c r="CK162" s="931">
        <f t="shared" si="272"/>
        <v>0</v>
      </c>
      <c r="CL162" s="931">
        <f t="shared" si="273"/>
        <v>0</v>
      </c>
      <c r="CM162" s="931">
        <f t="shared" si="274"/>
        <v>0</v>
      </c>
      <c r="CN162" s="932">
        <f t="shared" si="275"/>
        <v>0</v>
      </c>
      <c r="CO162" s="933">
        <v>0</v>
      </c>
      <c r="CP162" s="932">
        <f t="shared" si="276"/>
        <v>0</v>
      </c>
      <c r="CQ162" s="934">
        <f t="shared" si="277"/>
        <v>0</v>
      </c>
      <c r="CR162" s="932">
        <f t="shared" si="278"/>
        <v>0</v>
      </c>
      <c r="CS162" s="932">
        <f t="shared" si="279"/>
        <v>0</v>
      </c>
      <c r="CT162" s="932">
        <f t="shared" si="280"/>
        <v>0</v>
      </c>
      <c r="CU162" s="932">
        <f t="shared" si="281"/>
        <v>0</v>
      </c>
      <c r="CV162" s="1557"/>
      <c r="CW162" s="1406" t="s">
        <v>6997</v>
      </c>
      <c r="CX162" s="1406" t="s">
        <v>7220</v>
      </c>
      <c r="CY162" s="935"/>
      <c r="CZ162" s="478"/>
      <c r="DA162" s="478"/>
      <c r="DB162" s="478"/>
      <c r="DC162" s="478"/>
      <c r="DD162" s="514"/>
      <c r="DE162" s="514"/>
      <c r="DF162" s="935"/>
      <c r="DG162" s="935"/>
      <c r="DH162" s="935"/>
      <c r="DJ162" s="930" t="str">
        <f>VLOOKUP(X162,Hoja1!$A$4:$B$10,2,0)</f>
        <v>BACHILLER</v>
      </c>
      <c r="DK162" s="930" t="str">
        <f>VLOOKUP(S162,Hoja1!$D$4:$F$77,3,0)</f>
        <v>BIII - VII</v>
      </c>
      <c r="DL162" s="1217" t="str">
        <f t="shared" si="282"/>
        <v>0</v>
      </c>
      <c r="DM162" s="1745" t="str">
        <f t="shared" si="283"/>
        <v>F</v>
      </c>
      <c r="DN162" s="1745"/>
    </row>
    <row r="163" spans="1:118" s="473" customFormat="1" ht="21.95" customHeight="1">
      <c r="A163" s="510" t="s">
        <v>2846</v>
      </c>
      <c r="B163" s="1390">
        <f t="shared" ca="1" si="355"/>
        <v>121</v>
      </c>
      <c r="C163" s="1194">
        <v>15752386</v>
      </c>
      <c r="D163" s="1195" t="s">
        <v>4805</v>
      </c>
      <c r="E163" s="1180" t="s">
        <v>4622</v>
      </c>
      <c r="F163" s="1196">
        <v>30093</v>
      </c>
      <c r="G163" s="1180" t="s">
        <v>4620</v>
      </c>
      <c r="H163" s="1196">
        <v>38930</v>
      </c>
      <c r="I163" s="1185">
        <f t="shared" si="259"/>
        <v>18</v>
      </c>
      <c r="J163" s="1177">
        <v>0</v>
      </c>
      <c r="K163" s="1185">
        <f t="shared" si="260"/>
        <v>18</v>
      </c>
      <c r="L163" s="1191" t="s">
        <v>5550</v>
      </c>
      <c r="M163" s="1177"/>
      <c r="N163" s="1177"/>
      <c r="O163" s="1040" t="s">
        <v>5221</v>
      </c>
      <c r="P163" s="1177" t="s">
        <v>5369</v>
      </c>
      <c r="Q163" s="1391" t="str">
        <f>IFERROR(VLOOKUP(O163,CARGOS!A:E,2,0),"")</f>
        <v>79512</v>
      </c>
      <c r="R163" s="1403" t="s">
        <v>5221</v>
      </c>
      <c r="S163" s="1192" t="s">
        <v>5484</v>
      </c>
      <c r="T163" s="1150">
        <f>IFERROR(VLOOKUP(S163,'TAB EMP'!A:B,2,0),0)</f>
        <v>228</v>
      </c>
      <c r="U163" s="1151">
        <v>0</v>
      </c>
      <c r="V163" s="1150">
        <f t="shared" si="288"/>
        <v>228</v>
      </c>
      <c r="W163" s="1151">
        <f t="shared" si="289"/>
        <v>114</v>
      </c>
      <c r="X163" s="1180" t="s">
        <v>2844</v>
      </c>
      <c r="Y163" s="1180"/>
      <c r="Z163" s="1180">
        <v>2</v>
      </c>
      <c r="AA163" s="1150">
        <f>ROUND(IF(H163&lt;&gt;"",VLOOKUP(SUM(I163+J163),'CONCEPTOS Y PARAMETROS'!F:G,2,0)*V163,0),2)</f>
        <v>51.98</v>
      </c>
      <c r="AB163" s="1150">
        <f>IF(S163&lt;&gt;"",IF(M163="",'CONCEPTOS Y PARAMETROS'!$C$4,0),0)</f>
        <v>130</v>
      </c>
      <c r="AC163" s="1150">
        <f>IF(S163&lt;&gt;"",IF(M163="",'CONCEPTOS Y PARAMETROS'!$C$7*Z163,0),0)</f>
        <v>25</v>
      </c>
      <c r="AD163" s="1150">
        <f>IFERROR(ROUND(VLOOKUP($X163,'CONCEPTOS Y PARAMETROS'!H:I,2,0)*($V163+AA163+AB163+AC163),2),0)</f>
        <v>87</v>
      </c>
      <c r="AE163" s="1150">
        <f t="shared" si="285"/>
        <v>293.98</v>
      </c>
      <c r="AF163" s="1150">
        <f t="shared" si="290"/>
        <v>25.99</v>
      </c>
      <c r="AG163" s="1150">
        <f t="shared" si="291"/>
        <v>25.99</v>
      </c>
      <c r="AH163" s="1150">
        <f t="shared" si="292"/>
        <v>65</v>
      </c>
      <c r="AI163" s="1150">
        <f t="shared" si="293"/>
        <v>65</v>
      </c>
      <c r="AJ163" s="1150">
        <f t="shared" si="294"/>
        <v>43.5</v>
      </c>
      <c r="AK163" s="1150">
        <f t="shared" si="295"/>
        <v>43.5</v>
      </c>
      <c r="AL163" s="1151">
        <f t="shared" si="296"/>
        <v>159.49</v>
      </c>
      <c r="AM163" s="1151">
        <f t="shared" si="297"/>
        <v>134.49</v>
      </c>
      <c r="AN163" s="1028">
        <v>0</v>
      </c>
      <c r="AO163" s="1193">
        <f>'CONCEPTOS Y PARAMETROS'!$C$18*AN163</f>
        <v>0</v>
      </c>
      <c r="AP163" s="1028">
        <v>0</v>
      </c>
      <c r="AQ163" s="1193">
        <f>'CONCEPTOS Y PARAMETROS'!$C$21*AP163</f>
        <v>0</v>
      </c>
      <c r="AR163" s="1394">
        <v>0</v>
      </c>
      <c r="AS163" s="1394">
        <v>0</v>
      </c>
      <c r="AT163" s="1394">
        <f t="shared" si="360"/>
        <v>0</v>
      </c>
      <c r="AU163" s="1151">
        <f t="shared" si="298"/>
        <v>678.57</v>
      </c>
      <c r="AV163" s="1178" t="s">
        <v>5080</v>
      </c>
      <c r="AW163" s="1151">
        <f t="shared" si="361"/>
        <v>156.59</v>
      </c>
      <c r="AX163" s="1150">
        <f>IF(T163&lt;&gt;"0",(ROUND(IF(A163="EMPLEADO",eval_formula('CONCEPTOS Y PARAMETROS'!$C$8,NOMINA!V163,NOMINA!$AU163,NOMINA!I163+NOMINA!J163),eval_formula('CONCEPTOS Y PARAMETROS'!$D$8,NOMINA!V163,NOMINA!$AU163,NOMINA!I163+NOMINA!J163)),2))*IF(H163&lt;&gt;"",IF(MONTH(H163)=$BR$8,IF(YEAR(H163)&lt;$BT$7,1,0),0)))</f>
        <v>0</v>
      </c>
      <c r="AY163" s="1151">
        <v>180</v>
      </c>
      <c r="AZ163" s="1150">
        <f>IFERROR(VLOOKUP(AY163,'CONCEPTOS Y PARAMETROS'!Y:Z,2,0),0)</f>
        <v>150</v>
      </c>
      <c r="BA163" s="1150">
        <f t="shared" si="300"/>
        <v>5089.28</v>
      </c>
      <c r="BB163" s="1150">
        <f t="shared" si="287"/>
        <v>0</v>
      </c>
      <c r="BC163" s="1028">
        <v>0</v>
      </c>
      <c r="BD163" s="1150" t="str">
        <f t="shared" si="301"/>
        <v>0</v>
      </c>
      <c r="BE163" s="1028">
        <v>3</v>
      </c>
      <c r="BF163" s="1150">
        <f t="shared" si="363"/>
        <v>101.79</v>
      </c>
      <c r="BG163" s="1151">
        <v>300</v>
      </c>
      <c r="BH163" s="1151">
        <f t="shared" si="261"/>
        <v>0</v>
      </c>
      <c r="BI163" s="1180">
        <v>0</v>
      </c>
      <c r="BJ163" s="1180">
        <f t="shared" si="262"/>
        <v>0</v>
      </c>
      <c r="BK163" s="1151">
        <v>0</v>
      </c>
      <c r="BL163" s="1150">
        <f t="shared" si="329"/>
        <v>25.05</v>
      </c>
      <c r="BM163" s="1150">
        <f t="shared" si="330"/>
        <v>3.13</v>
      </c>
      <c r="BN163" s="1150">
        <f t="shared" si="263"/>
        <v>6.79</v>
      </c>
      <c r="BO163" s="1150">
        <v>0</v>
      </c>
      <c r="BP163" s="1150">
        <v>0</v>
      </c>
      <c r="BQ163" s="1396">
        <f t="shared" si="302"/>
        <v>34.97</v>
      </c>
      <c r="BR163" s="1150">
        <f t="shared" si="331"/>
        <v>56.37</v>
      </c>
      <c r="BS163" s="1150">
        <f t="shared" si="332"/>
        <v>12.53</v>
      </c>
      <c r="BT163" s="1150">
        <f t="shared" si="264"/>
        <v>13.58</v>
      </c>
      <c r="BU163" s="1150">
        <v>0</v>
      </c>
      <c r="BV163" s="1151">
        <f t="shared" si="303"/>
        <v>82.48</v>
      </c>
      <c r="BW163" s="1155">
        <f t="shared" si="304"/>
        <v>117.45</v>
      </c>
      <c r="BX163" s="1155">
        <f t="shared" si="362"/>
        <v>1272.32</v>
      </c>
      <c r="BY163" s="1151">
        <v>0</v>
      </c>
      <c r="BZ163" s="1151">
        <f t="shared" si="265"/>
        <v>1272.32</v>
      </c>
      <c r="CA163" s="1397">
        <f>'CONCEPTOS Y PARAMETROS'!$A$102</f>
        <v>2120</v>
      </c>
      <c r="CB163" s="1155">
        <f t="shared" si="266"/>
        <v>238.52</v>
      </c>
      <c r="CC163" s="1156">
        <f t="shared" si="267"/>
        <v>806.87</v>
      </c>
      <c r="CD163" s="514"/>
      <c r="CE163" s="514"/>
      <c r="CF163" s="520"/>
      <c r="CG163" s="497">
        <f t="shared" si="268"/>
        <v>238.52</v>
      </c>
      <c r="CH163" s="1711">
        <f t="shared" si="269"/>
        <v>300</v>
      </c>
      <c r="CI163" s="497">
        <f t="shared" si="270"/>
        <v>548.49</v>
      </c>
      <c r="CJ163" s="497">
        <f t="shared" si="271"/>
        <v>548.49</v>
      </c>
      <c r="CK163" s="497">
        <f t="shared" si="272"/>
        <v>0</v>
      </c>
      <c r="CL163" s="497">
        <f t="shared" si="273"/>
        <v>0</v>
      </c>
      <c r="CM163" s="497">
        <f t="shared" si="274"/>
        <v>0</v>
      </c>
      <c r="CN163" s="498">
        <f t="shared" si="275"/>
        <v>101.79</v>
      </c>
      <c r="CO163" s="499">
        <v>0</v>
      </c>
      <c r="CP163" s="498">
        <f t="shared" si="276"/>
        <v>156.59</v>
      </c>
      <c r="CQ163" s="500">
        <f t="shared" si="277"/>
        <v>0</v>
      </c>
      <c r="CR163" s="498">
        <f t="shared" si="278"/>
        <v>0</v>
      </c>
      <c r="CS163" s="498">
        <f t="shared" si="279"/>
        <v>258.38</v>
      </c>
      <c r="CT163" s="498">
        <f t="shared" si="280"/>
        <v>117.45</v>
      </c>
      <c r="CU163" s="498">
        <f t="shared" si="281"/>
        <v>2120</v>
      </c>
      <c r="CV163" s="1554"/>
      <c r="CW163" s="1195" t="s">
        <v>6976</v>
      </c>
      <c r="CX163" s="1195" t="s">
        <v>7279</v>
      </c>
      <c r="CY163" s="472"/>
      <c r="CZ163" s="514" t="s">
        <v>6269</v>
      </c>
      <c r="DA163" s="514" t="s">
        <v>6198</v>
      </c>
      <c r="DB163" s="514" t="s">
        <v>6265</v>
      </c>
      <c r="DC163" s="514" t="s">
        <v>6443</v>
      </c>
      <c r="DD163" s="514"/>
      <c r="DE163" s="514"/>
      <c r="DF163" s="472"/>
      <c r="DG163" s="472"/>
      <c r="DH163" s="472"/>
      <c r="DJ163" s="473" t="str">
        <f>VLOOKUP(X163,Hoja1!$A$4:$B$10,2,0)</f>
        <v>TÉCNICO SUPERIOR UNIVERSITARIO</v>
      </c>
      <c r="DK163" s="473" t="str">
        <f>VLOOKUP(S163,Hoja1!$D$4:$F$77,3,0)</f>
        <v>TII - VII</v>
      </c>
      <c r="DL163" s="1216" t="str">
        <f t="shared" si="282"/>
        <v>SI</v>
      </c>
      <c r="DM163" s="1741" t="str">
        <f t="shared" si="283"/>
        <v>F</v>
      </c>
      <c r="DN163" s="1741"/>
    </row>
    <row r="164" spans="1:118" s="473" customFormat="1" ht="21.95" customHeight="1">
      <c r="A164" s="510" t="s">
        <v>2846</v>
      </c>
      <c r="B164" s="1390">
        <f ca="1">OFFSET(B164,-1,0)+1</f>
        <v>122</v>
      </c>
      <c r="C164" s="1194">
        <v>15752435</v>
      </c>
      <c r="D164" s="1195" t="s">
        <v>7176</v>
      </c>
      <c r="E164" s="1180" t="s">
        <v>4622</v>
      </c>
      <c r="F164" s="1161">
        <v>30285</v>
      </c>
      <c r="G164" s="1180" t="s">
        <v>4620</v>
      </c>
      <c r="H164" s="1161">
        <v>38930</v>
      </c>
      <c r="I164" s="1185">
        <f t="shared" si="259"/>
        <v>18</v>
      </c>
      <c r="J164" s="1177">
        <v>0</v>
      </c>
      <c r="K164" s="1185">
        <f t="shared" si="260"/>
        <v>18</v>
      </c>
      <c r="L164" s="1191" t="s">
        <v>6146</v>
      </c>
      <c r="M164" s="1177"/>
      <c r="N164" s="1177"/>
      <c r="O164" s="1040" t="s">
        <v>5260</v>
      </c>
      <c r="P164" s="1177" t="s">
        <v>5370</v>
      </c>
      <c r="Q164" s="1391" t="str">
        <f>IFERROR(VLOOKUP(O164,CARGOS!A:E,2,0),"")</f>
        <v>79352</v>
      </c>
      <c r="R164" s="1403" t="s">
        <v>5260</v>
      </c>
      <c r="S164" s="1192" t="s">
        <v>5484</v>
      </c>
      <c r="T164" s="1150">
        <f>IFERROR(VLOOKUP(S164,'TAB EMP'!A:B,2,0),0)</f>
        <v>228</v>
      </c>
      <c r="U164" s="1151">
        <v>0</v>
      </c>
      <c r="V164" s="1150">
        <f t="shared" si="288"/>
        <v>228</v>
      </c>
      <c r="W164" s="1151">
        <f t="shared" si="289"/>
        <v>114</v>
      </c>
      <c r="X164" s="1180" t="s">
        <v>2844</v>
      </c>
      <c r="Y164" s="1180"/>
      <c r="Z164" s="1180">
        <v>2</v>
      </c>
      <c r="AA164" s="1150">
        <f>ROUND(IF(H164&lt;&gt;"",VLOOKUP(SUM(I164+J164),'CONCEPTOS Y PARAMETROS'!F:G,2,0)*V164,0),2)</f>
        <v>51.98</v>
      </c>
      <c r="AB164" s="1150">
        <f>IF(S164&lt;&gt;"",IF(M164="",'CONCEPTOS Y PARAMETROS'!$C$4,0),0)</f>
        <v>130</v>
      </c>
      <c r="AC164" s="1150">
        <f>IF(S164&lt;&gt;"",IF(M164="",'CONCEPTOS Y PARAMETROS'!$C$7*Z164,0),0)</f>
        <v>25</v>
      </c>
      <c r="AD164" s="1150">
        <f>IFERROR(ROUND(VLOOKUP($X164,'CONCEPTOS Y PARAMETROS'!H:I,2,0)*($V164+AA164+AB164+AC164),2),0)</f>
        <v>87</v>
      </c>
      <c r="AE164" s="1150">
        <f t="shared" si="285"/>
        <v>293.98</v>
      </c>
      <c r="AF164" s="1150">
        <f t="shared" si="290"/>
        <v>25.99</v>
      </c>
      <c r="AG164" s="1150">
        <f t="shared" si="291"/>
        <v>25.99</v>
      </c>
      <c r="AH164" s="1150">
        <f t="shared" si="292"/>
        <v>65</v>
      </c>
      <c r="AI164" s="1150">
        <f t="shared" si="293"/>
        <v>65</v>
      </c>
      <c r="AJ164" s="1150">
        <f t="shared" si="294"/>
        <v>43.5</v>
      </c>
      <c r="AK164" s="1150">
        <f t="shared" si="295"/>
        <v>43.5</v>
      </c>
      <c r="AL164" s="1151">
        <f t="shared" si="296"/>
        <v>159.49</v>
      </c>
      <c r="AM164" s="1151">
        <f t="shared" si="297"/>
        <v>134.49</v>
      </c>
      <c r="AN164" s="1028">
        <v>0</v>
      </c>
      <c r="AO164" s="1193">
        <f>'CONCEPTOS Y PARAMETROS'!$C$18*AN164</f>
        <v>0</v>
      </c>
      <c r="AP164" s="1028">
        <v>0</v>
      </c>
      <c r="AQ164" s="1193">
        <f>'CONCEPTOS Y PARAMETROS'!$C$21*AP164</f>
        <v>0</v>
      </c>
      <c r="AR164" s="1394">
        <v>0</v>
      </c>
      <c r="AS164" s="1394">
        <v>0</v>
      </c>
      <c r="AT164" s="1394">
        <f t="shared" ref="AT164" si="366">+AO164+AQ164+AR164+AS164</f>
        <v>0</v>
      </c>
      <c r="AU164" s="1151">
        <f t="shared" si="298"/>
        <v>521.98</v>
      </c>
      <c r="AV164" s="1178">
        <v>0</v>
      </c>
      <c r="AW164" s="1151">
        <f>ROUND(IF(O164="VIGILANTE",(V164+AE164)*30%,0),2)</f>
        <v>0</v>
      </c>
      <c r="AX164" s="1150">
        <f>IF(T164&lt;&gt;"0",(ROUND(IF(A164="EMPLEADO",eval_formula('CONCEPTOS Y PARAMETROS'!$C$8,NOMINA!V164,NOMINA!$AU164,NOMINA!I164+NOMINA!J164),eval_formula('CONCEPTOS Y PARAMETROS'!$D$8,NOMINA!V164,NOMINA!$AU164,NOMINA!I164+NOMINA!J164)),2))*IF(H164&lt;&gt;"",IF(MONTH(H164)=$BR$8,IF(YEAR(H164)&lt;$BT$7,1,0),0)))</f>
        <v>0</v>
      </c>
      <c r="AY164" s="1151">
        <v>180</v>
      </c>
      <c r="AZ164" s="1150">
        <f>IFERROR(VLOOKUP(AY164,'CONCEPTOS Y PARAMETROS'!Y:Z,2,0),0)</f>
        <v>150</v>
      </c>
      <c r="BA164" s="1150">
        <f t="shared" si="300"/>
        <v>3914.85</v>
      </c>
      <c r="BB164" s="1150">
        <f t="shared" si="287"/>
        <v>0</v>
      </c>
      <c r="BC164" s="1028">
        <v>0</v>
      </c>
      <c r="BD164" s="1150" t="str">
        <f t="shared" si="301"/>
        <v>0</v>
      </c>
      <c r="BE164" s="1028">
        <v>0</v>
      </c>
      <c r="BF164" s="1150">
        <f t="shared" si="363"/>
        <v>0</v>
      </c>
      <c r="BG164" s="1151">
        <v>300</v>
      </c>
      <c r="BH164" s="1151">
        <f t="shared" si="261"/>
        <v>0</v>
      </c>
      <c r="BI164" s="1180">
        <v>0</v>
      </c>
      <c r="BJ164" s="1180">
        <f t="shared" si="262"/>
        <v>0</v>
      </c>
      <c r="BK164" s="1151">
        <v>0</v>
      </c>
      <c r="BL164" s="1150">
        <f t="shared" si="329"/>
        <v>19.27</v>
      </c>
      <c r="BM164" s="1150">
        <f t="shared" si="330"/>
        <v>2.41</v>
      </c>
      <c r="BN164" s="1150">
        <f t="shared" si="263"/>
        <v>5.22</v>
      </c>
      <c r="BO164" s="1150">
        <v>0</v>
      </c>
      <c r="BP164" s="1150">
        <v>0</v>
      </c>
      <c r="BQ164" s="1396">
        <f t="shared" ref="BQ164" si="367">ROUND(SUM(BL164:BP164),2)</f>
        <v>26.9</v>
      </c>
      <c r="BR164" s="1150">
        <f t="shared" si="331"/>
        <v>43.36</v>
      </c>
      <c r="BS164" s="1150">
        <f t="shared" si="332"/>
        <v>9.64</v>
      </c>
      <c r="BT164" s="1150">
        <f t="shared" si="264"/>
        <v>10.44</v>
      </c>
      <c r="BU164" s="1150">
        <v>0</v>
      </c>
      <c r="BV164" s="1151">
        <f t="shared" ref="BV164" si="368">ROUND(SUM(BR164:BT164),2)</f>
        <v>63.44</v>
      </c>
      <c r="BW164" s="1155">
        <f t="shared" ref="BW164" si="369">BQ164+BV164</f>
        <v>90.34</v>
      </c>
      <c r="BX164" s="1155">
        <f t="shared" si="362"/>
        <v>978.71</v>
      </c>
      <c r="BY164" s="1151">
        <v>0</v>
      </c>
      <c r="BZ164" s="1151">
        <f t="shared" si="265"/>
        <v>978.71</v>
      </c>
      <c r="CA164" s="1397">
        <f>'CONCEPTOS Y PARAMETROS'!$A$102</f>
        <v>2120</v>
      </c>
      <c r="CB164" s="1155">
        <f t="shared" si="266"/>
        <v>246.59</v>
      </c>
      <c r="CC164" s="1156">
        <f t="shared" si="267"/>
        <v>548.49</v>
      </c>
      <c r="CD164" s="514"/>
      <c r="CE164" s="514"/>
      <c r="CF164" s="478"/>
      <c r="CG164" s="497">
        <f t="shared" si="268"/>
        <v>246.59</v>
      </c>
      <c r="CH164" s="1711">
        <f t="shared" si="269"/>
        <v>300</v>
      </c>
      <c r="CI164" s="497">
        <f t="shared" si="270"/>
        <v>548.49</v>
      </c>
      <c r="CJ164" s="497">
        <f t="shared" si="271"/>
        <v>548.49</v>
      </c>
      <c r="CK164" s="497">
        <f t="shared" si="272"/>
        <v>0</v>
      </c>
      <c r="CL164" s="497">
        <f t="shared" si="273"/>
        <v>0</v>
      </c>
      <c r="CM164" s="497">
        <f t="shared" si="274"/>
        <v>0</v>
      </c>
      <c r="CN164" s="498">
        <f t="shared" si="275"/>
        <v>0</v>
      </c>
      <c r="CO164" s="499">
        <v>0</v>
      </c>
      <c r="CP164" s="498">
        <f t="shared" si="276"/>
        <v>0</v>
      </c>
      <c r="CQ164" s="500">
        <f t="shared" si="277"/>
        <v>0</v>
      </c>
      <c r="CR164" s="498">
        <f t="shared" si="278"/>
        <v>0</v>
      </c>
      <c r="CS164" s="498">
        <f t="shared" si="279"/>
        <v>0</v>
      </c>
      <c r="CT164" s="498">
        <f t="shared" si="280"/>
        <v>90.34</v>
      </c>
      <c r="CU164" s="498">
        <f t="shared" si="281"/>
        <v>2120</v>
      </c>
      <c r="CV164" s="1554"/>
      <c r="CW164" s="1195" t="s">
        <v>6998</v>
      </c>
      <c r="CX164" s="1195" t="s">
        <v>7280</v>
      </c>
      <c r="CY164" s="514"/>
      <c r="CZ164" s="514" t="s">
        <v>6372</v>
      </c>
      <c r="DA164" s="514" t="s">
        <v>6188</v>
      </c>
      <c r="DB164" s="514" t="s">
        <v>6302</v>
      </c>
      <c r="DC164" s="514" t="s">
        <v>6373</v>
      </c>
      <c r="DD164" s="514"/>
      <c r="DE164" s="514"/>
      <c r="DF164" s="514"/>
      <c r="DG164" s="514"/>
      <c r="DH164" s="514"/>
      <c r="DI164" s="478"/>
      <c r="DJ164" s="473" t="str">
        <f>VLOOKUP(X164,Hoja1!$A$4:$B$10,2,0)</f>
        <v>TÉCNICO SUPERIOR UNIVERSITARIO</v>
      </c>
      <c r="DK164" s="473" t="str">
        <f>VLOOKUP(S164,Hoja1!$D$4:$F$77,3,0)</f>
        <v>TII - VII</v>
      </c>
      <c r="DL164" s="1216" t="str">
        <f t="shared" si="282"/>
        <v>0</v>
      </c>
      <c r="DM164" s="1741" t="str">
        <f t="shared" si="283"/>
        <v>F</v>
      </c>
      <c r="DN164" s="1741"/>
    </row>
    <row r="165" spans="1:118" s="473" customFormat="1" ht="21.95" customHeight="1">
      <c r="A165" s="510" t="s">
        <v>2846</v>
      </c>
      <c r="B165" s="1390">
        <f t="shared" ca="1" si="355"/>
        <v>123</v>
      </c>
      <c r="C165" s="1194">
        <v>15780354</v>
      </c>
      <c r="D165" s="1195" t="s">
        <v>4807</v>
      </c>
      <c r="E165" s="1180" t="s">
        <v>4622</v>
      </c>
      <c r="F165" s="1196">
        <v>29466</v>
      </c>
      <c r="G165" s="1180" t="s">
        <v>4620</v>
      </c>
      <c r="H165" s="1196">
        <v>44409</v>
      </c>
      <c r="I165" s="1185">
        <f t="shared" si="259"/>
        <v>3</v>
      </c>
      <c r="J165" s="1177">
        <v>0</v>
      </c>
      <c r="K165" s="1185">
        <f t="shared" si="260"/>
        <v>3</v>
      </c>
      <c r="L165" s="1191" t="s">
        <v>5550</v>
      </c>
      <c r="M165" s="1177"/>
      <c r="N165" s="1177"/>
      <c r="O165" s="1040" t="s">
        <v>5222</v>
      </c>
      <c r="P165" s="1177" t="s">
        <v>5372</v>
      </c>
      <c r="Q165" s="1391" t="str">
        <f>IFERROR(VLOOKUP(O165,CARGOS!A:E,2,0),"")</f>
        <v>79511</v>
      </c>
      <c r="R165" s="1403" t="s">
        <v>5222</v>
      </c>
      <c r="S165" s="1192" t="s">
        <v>5481</v>
      </c>
      <c r="T165" s="1150">
        <f>IFERROR(VLOOKUP(S165,'TAB EMP'!A:B,2,0),0)</f>
        <v>219</v>
      </c>
      <c r="U165" s="1151">
        <v>0</v>
      </c>
      <c r="V165" s="1150">
        <f t="shared" si="288"/>
        <v>219</v>
      </c>
      <c r="W165" s="1151">
        <f t="shared" si="289"/>
        <v>109.5</v>
      </c>
      <c r="X165" s="1180" t="s">
        <v>2885</v>
      </c>
      <c r="Y165" s="1180"/>
      <c r="Z165" s="1180">
        <v>0</v>
      </c>
      <c r="AA165" s="1150">
        <f>ROUND(IF(H165&lt;&gt;"",VLOOKUP(SUM(I165+J165),'CONCEPTOS Y PARAMETROS'!F:G,2,0)*V165,0),2)</f>
        <v>6.57</v>
      </c>
      <c r="AB165" s="1150">
        <f>IF(S165&lt;&gt;"",IF(M165="",'CONCEPTOS Y PARAMETROS'!$C$4,0),0)</f>
        <v>130</v>
      </c>
      <c r="AC165" s="1150">
        <f>IF(S165&lt;&gt;"",IF(M165="",'CONCEPTOS Y PARAMETROS'!$C$7*Z165,0),0)</f>
        <v>0</v>
      </c>
      <c r="AD165" s="1150">
        <f>IFERROR(ROUND(VLOOKUP($X165,'CONCEPTOS Y PARAMETROS'!H:I,2,0)*($V165+AA165+AB165+AC165),2),0)</f>
        <v>88.89</v>
      </c>
      <c r="AE165" s="1150">
        <f t="shared" si="285"/>
        <v>225.45999999999998</v>
      </c>
      <c r="AF165" s="1150">
        <f t="shared" si="290"/>
        <v>3.29</v>
      </c>
      <c r="AG165" s="1150">
        <f t="shared" si="291"/>
        <v>3.28</v>
      </c>
      <c r="AH165" s="1150">
        <f t="shared" si="292"/>
        <v>65</v>
      </c>
      <c r="AI165" s="1150">
        <f t="shared" si="293"/>
        <v>65</v>
      </c>
      <c r="AJ165" s="1150">
        <f t="shared" si="294"/>
        <v>44.45</v>
      </c>
      <c r="AK165" s="1150">
        <f t="shared" si="295"/>
        <v>44.44</v>
      </c>
      <c r="AL165" s="1151">
        <f t="shared" si="296"/>
        <v>112.74</v>
      </c>
      <c r="AM165" s="1151">
        <f t="shared" si="297"/>
        <v>112.72</v>
      </c>
      <c r="AN165" s="1028">
        <v>0</v>
      </c>
      <c r="AO165" s="1193">
        <f>'CONCEPTOS Y PARAMETROS'!$C$18*AN165</f>
        <v>0</v>
      </c>
      <c r="AP165" s="1028">
        <v>0</v>
      </c>
      <c r="AQ165" s="1193">
        <f>'CONCEPTOS Y PARAMETROS'!$C$21*AP165</f>
        <v>0</v>
      </c>
      <c r="AR165" s="1394">
        <v>0</v>
      </c>
      <c r="AS165" s="1394">
        <v>0</v>
      </c>
      <c r="AT165" s="1394">
        <f t="shared" si="360"/>
        <v>0</v>
      </c>
      <c r="AU165" s="1151">
        <f t="shared" si="298"/>
        <v>577.79999999999995</v>
      </c>
      <c r="AV165" s="1178" t="s">
        <v>5080</v>
      </c>
      <c r="AW165" s="1151">
        <f t="shared" ref="AW165:AW198" si="370">ROUND(IF(AV165="NOCTURN",(V165+AE165)*30%,0),2)</f>
        <v>133.34</v>
      </c>
      <c r="AX165" s="1150">
        <f>IF(T165&lt;&gt;"0",(ROUND(IF(A165="EMPLEADO",eval_formula('CONCEPTOS Y PARAMETROS'!$C$8,NOMINA!V165,NOMINA!$AU165,NOMINA!I165+NOMINA!J165),eval_formula('CONCEPTOS Y PARAMETROS'!$D$8,NOMINA!V165,NOMINA!$AU165,NOMINA!I165+NOMINA!J165)),2))*IF(H165&lt;&gt;"",IF(MONTH(H165)=$BR$8,IF(YEAR(H165)&lt;$BT$7,1,0),0)))</f>
        <v>0</v>
      </c>
      <c r="AY165" s="1151">
        <v>180</v>
      </c>
      <c r="AZ165" s="1150">
        <f>IFERROR(VLOOKUP(AY165,'CONCEPTOS Y PARAMETROS'!Y:Z,2,0),0)</f>
        <v>150</v>
      </c>
      <c r="BA165" s="1150">
        <f t="shared" si="300"/>
        <v>4333.5</v>
      </c>
      <c r="BB165" s="1150">
        <f t="shared" si="287"/>
        <v>0</v>
      </c>
      <c r="BC165" s="1028">
        <v>0</v>
      </c>
      <c r="BD165" s="1150" t="str">
        <f t="shared" si="301"/>
        <v>0</v>
      </c>
      <c r="BE165" s="1028">
        <v>3</v>
      </c>
      <c r="BF165" s="1150">
        <f t="shared" si="363"/>
        <v>86.67</v>
      </c>
      <c r="BG165" s="1151">
        <v>300</v>
      </c>
      <c r="BH165" s="1151">
        <f t="shared" si="261"/>
        <v>0</v>
      </c>
      <c r="BI165" s="1180">
        <v>0</v>
      </c>
      <c r="BJ165" s="1180">
        <f t="shared" si="262"/>
        <v>0</v>
      </c>
      <c r="BK165" s="1151">
        <v>0</v>
      </c>
      <c r="BL165" s="1150">
        <f t="shared" si="329"/>
        <v>21.33</v>
      </c>
      <c r="BM165" s="1150">
        <f t="shared" si="330"/>
        <v>2.67</v>
      </c>
      <c r="BN165" s="1150">
        <f t="shared" si="263"/>
        <v>5.78</v>
      </c>
      <c r="BO165" s="1150">
        <v>0</v>
      </c>
      <c r="BP165" s="1150">
        <v>0</v>
      </c>
      <c r="BQ165" s="1396">
        <f t="shared" si="302"/>
        <v>29.78</v>
      </c>
      <c r="BR165" s="1150">
        <f t="shared" si="331"/>
        <v>48</v>
      </c>
      <c r="BS165" s="1150">
        <f t="shared" si="332"/>
        <v>10.67</v>
      </c>
      <c r="BT165" s="1150">
        <f t="shared" si="264"/>
        <v>11.56</v>
      </c>
      <c r="BU165" s="1150">
        <v>0</v>
      </c>
      <c r="BV165" s="1151">
        <f t="shared" si="303"/>
        <v>70.23</v>
      </c>
      <c r="BW165" s="1155">
        <f t="shared" si="304"/>
        <v>100.01</v>
      </c>
      <c r="BX165" s="1155">
        <f t="shared" si="362"/>
        <v>1083.3800000000001</v>
      </c>
      <c r="BY165" s="1151">
        <v>0</v>
      </c>
      <c r="BZ165" s="1151">
        <f t="shared" si="265"/>
        <v>1083.3800000000001</v>
      </c>
      <c r="CA165" s="1397">
        <f>'CONCEPTOS Y PARAMETROS'!$A$102</f>
        <v>2120</v>
      </c>
      <c r="CB165" s="1155">
        <f t="shared" si="266"/>
        <v>192.46</v>
      </c>
      <c r="CC165" s="1156">
        <f t="shared" si="267"/>
        <v>742.23</v>
      </c>
      <c r="CD165" s="514"/>
      <c r="CE165" s="514"/>
      <c r="CF165" s="520"/>
      <c r="CG165" s="497">
        <f t="shared" si="268"/>
        <v>192.46</v>
      </c>
      <c r="CH165" s="1711">
        <f t="shared" si="269"/>
        <v>300</v>
      </c>
      <c r="CI165" s="497">
        <f t="shared" si="270"/>
        <v>522.22</v>
      </c>
      <c r="CJ165" s="497">
        <f t="shared" si="271"/>
        <v>522.22</v>
      </c>
      <c r="CK165" s="497">
        <f t="shared" si="272"/>
        <v>0</v>
      </c>
      <c r="CL165" s="497">
        <f t="shared" si="273"/>
        <v>0</v>
      </c>
      <c r="CM165" s="497">
        <f t="shared" si="274"/>
        <v>0</v>
      </c>
      <c r="CN165" s="498">
        <f t="shared" si="275"/>
        <v>86.67</v>
      </c>
      <c r="CO165" s="499">
        <v>0</v>
      </c>
      <c r="CP165" s="498">
        <f t="shared" si="276"/>
        <v>133.34</v>
      </c>
      <c r="CQ165" s="500">
        <f t="shared" si="277"/>
        <v>0</v>
      </c>
      <c r="CR165" s="498">
        <f t="shared" si="278"/>
        <v>0</v>
      </c>
      <c r="CS165" s="498">
        <f t="shared" si="279"/>
        <v>220.01</v>
      </c>
      <c r="CT165" s="498">
        <f t="shared" si="280"/>
        <v>100.01</v>
      </c>
      <c r="CU165" s="498">
        <f t="shared" si="281"/>
        <v>2120</v>
      </c>
      <c r="CV165" s="1554"/>
      <c r="CW165" s="1195" t="s">
        <v>7212</v>
      </c>
      <c r="CX165" s="1195" t="s">
        <v>7281</v>
      </c>
      <c r="CY165" s="472"/>
      <c r="CZ165" s="514" t="s">
        <v>6288</v>
      </c>
      <c r="DA165" s="514" t="s">
        <v>6216</v>
      </c>
      <c r="DB165" s="514" t="s">
        <v>6289</v>
      </c>
      <c r="DC165" s="514" t="s">
        <v>6429</v>
      </c>
      <c r="DD165" s="514"/>
      <c r="DE165" s="514"/>
      <c r="DF165" s="472"/>
      <c r="DG165" s="472"/>
      <c r="DH165" s="472"/>
      <c r="DJ165" s="473" t="str">
        <f>VLOOKUP(X165,Hoja1!$A$4:$B$10,2,0)</f>
        <v>PROFESIONAL</v>
      </c>
      <c r="DK165" s="473" t="str">
        <f>VLOOKUP(S165,Hoja1!$D$4:$F$77,3,0)</f>
        <v>TII - II</v>
      </c>
      <c r="DL165" s="1216" t="str">
        <f t="shared" si="282"/>
        <v>SI</v>
      </c>
      <c r="DM165" s="1741" t="str">
        <f t="shared" si="283"/>
        <v>F</v>
      </c>
      <c r="DN165" s="1741"/>
    </row>
    <row r="166" spans="1:118" s="1654" customFormat="1" ht="21.95" customHeight="1">
      <c r="A166" s="1624" t="s">
        <v>2846</v>
      </c>
      <c r="B166" s="1625">
        <f t="shared" ca="1" si="355"/>
        <v>124</v>
      </c>
      <c r="C166" s="1626">
        <v>15824548</v>
      </c>
      <c r="D166" s="1627" t="s">
        <v>4809</v>
      </c>
      <c r="E166" s="1628" t="s">
        <v>4622</v>
      </c>
      <c r="F166" s="1629">
        <v>29225</v>
      </c>
      <c r="G166" s="1628" t="s">
        <v>4620</v>
      </c>
      <c r="H166" s="1629">
        <v>44317</v>
      </c>
      <c r="I166" s="1630">
        <f t="shared" si="259"/>
        <v>3</v>
      </c>
      <c r="J166" s="1631">
        <v>0</v>
      </c>
      <c r="K166" s="1630">
        <f t="shared" si="260"/>
        <v>3</v>
      </c>
      <c r="L166" s="1632" t="s">
        <v>5550</v>
      </c>
      <c r="M166" s="1631"/>
      <c r="N166" s="1631"/>
      <c r="O166" s="1633" t="s">
        <v>5254</v>
      </c>
      <c r="P166" s="1631" t="s">
        <v>5373</v>
      </c>
      <c r="Q166" s="1634" t="str">
        <f>IFERROR(VLOOKUP(O166,CARGOS!A:E,2,0),"")</f>
        <v>79342</v>
      </c>
      <c r="R166" s="1635" t="s">
        <v>5254</v>
      </c>
      <c r="S166" s="1636" t="s">
        <v>5481</v>
      </c>
      <c r="T166" s="1637">
        <f>IFERROR(VLOOKUP(S166,'TAB EMP'!A:B,2,0),0)</f>
        <v>219</v>
      </c>
      <c r="U166" s="1638">
        <v>0</v>
      </c>
      <c r="V166" s="1637">
        <f t="shared" si="288"/>
        <v>219</v>
      </c>
      <c r="W166" s="1638">
        <f t="shared" si="289"/>
        <v>109.5</v>
      </c>
      <c r="X166" s="1628" t="s">
        <v>2844</v>
      </c>
      <c r="Y166" s="1628"/>
      <c r="Z166" s="1628">
        <v>1</v>
      </c>
      <c r="AA166" s="1637">
        <f>ROUND(IF(H166&lt;&gt;"",VLOOKUP(SUM(I166+J166),'CONCEPTOS Y PARAMETROS'!F:G,2,0)*V166,0),2)</f>
        <v>6.57</v>
      </c>
      <c r="AB166" s="1637">
        <f>IF(S166&lt;&gt;"",IF(M166="",'CONCEPTOS Y PARAMETROS'!$C$4,0),0)</f>
        <v>130</v>
      </c>
      <c r="AC166" s="1637">
        <f>IF(S166&lt;&gt;"",IF(M166="",'CONCEPTOS Y PARAMETROS'!$C$7*Z166,0),0)</f>
        <v>12.5</v>
      </c>
      <c r="AD166" s="1637">
        <f>IFERROR(ROUND(VLOOKUP($X166,'CONCEPTOS Y PARAMETROS'!H:I,2,0)*($V166+AA166+AB166+AC166),2),0)</f>
        <v>73.61</v>
      </c>
      <c r="AE166" s="1637">
        <f t="shared" si="285"/>
        <v>222.68</v>
      </c>
      <c r="AF166" s="1637">
        <f t="shared" si="290"/>
        <v>3.29</v>
      </c>
      <c r="AG166" s="1637">
        <f t="shared" si="291"/>
        <v>3.28</v>
      </c>
      <c r="AH166" s="1637">
        <f t="shared" si="292"/>
        <v>65</v>
      </c>
      <c r="AI166" s="1637">
        <f t="shared" si="293"/>
        <v>65</v>
      </c>
      <c r="AJ166" s="1637">
        <f t="shared" si="294"/>
        <v>36.81</v>
      </c>
      <c r="AK166" s="1637">
        <f t="shared" si="295"/>
        <v>36.799999999999997</v>
      </c>
      <c r="AL166" s="1638">
        <f t="shared" si="296"/>
        <v>117.6</v>
      </c>
      <c r="AM166" s="1638">
        <f t="shared" si="297"/>
        <v>105.08</v>
      </c>
      <c r="AN166" s="1639">
        <v>1</v>
      </c>
      <c r="AO166" s="1640">
        <f>'CONCEPTOS Y PARAMETROS'!$C$18*AN166</f>
        <v>12.5</v>
      </c>
      <c r="AP166" s="1639">
        <v>0</v>
      </c>
      <c r="AQ166" s="1640">
        <f>'CONCEPTOS Y PARAMETROS'!$C$21*AP166</f>
        <v>0</v>
      </c>
      <c r="AR166" s="1641">
        <v>0</v>
      </c>
      <c r="AS166" s="1641">
        <v>0</v>
      </c>
      <c r="AT166" s="1641">
        <f t="shared" si="360"/>
        <v>12.5</v>
      </c>
      <c r="AU166" s="1638">
        <f t="shared" si="298"/>
        <v>441.68</v>
      </c>
      <c r="AV166" s="1642">
        <v>0</v>
      </c>
      <c r="AW166" s="1638">
        <f t="shared" si="370"/>
        <v>0</v>
      </c>
      <c r="AX166" s="1637">
        <f>IF(T166&lt;&gt;"0",(ROUND(IF(A166="EMPLEADO",eval_formula('CONCEPTOS Y PARAMETROS'!$C$8,NOMINA!V166,NOMINA!$AU166,NOMINA!I166+NOMINA!J166),eval_formula('CONCEPTOS Y PARAMETROS'!$D$8,NOMINA!V166,NOMINA!$AU166,NOMINA!I166+NOMINA!J166)),2))*IF(H166&lt;&gt;"",IF(MONTH(H166)=$BR$8,IF(YEAR(H166)&lt;$BT$7,1,0),0)))</f>
        <v>0</v>
      </c>
      <c r="AY166" s="1638">
        <v>180</v>
      </c>
      <c r="AZ166" s="1637">
        <f>IFERROR(VLOOKUP(AY166,'CONCEPTOS Y PARAMETROS'!Y:Z,2,0),0)</f>
        <v>150</v>
      </c>
      <c r="BA166" s="1637">
        <f t="shared" si="300"/>
        <v>3312.6</v>
      </c>
      <c r="BB166" s="1637">
        <f t="shared" si="287"/>
        <v>0</v>
      </c>
      <c r="BC166" s="1639">
        <v>0</v>
      </c>
      <c r="BD166" s="1637" t="str">
        <f t="shared" si="301"/>
        <v>0</v>
      </c>
      <c r="BE166" s="1639">
        <v>0</v>
      </c>
      <c r="BF166" s="1637">
        <f t="shared" si="363"/>
        <v>0</v>
      </c>
      <c r="BG166" s="1638">
        <v>300</v>
      </c>
      <c r="BH166" s="1638">
        <f t="shared" si="261"/>
        <v>0</v>
      </c>
      <c r="BI166" s="1628">
        <v>0</v>
      </c>
      <c r="BJ166" s="1628">
        <f t="shared" si="262"/>
        <v>0</v>
      </c>
      <c r="BK166" s="1638">
        <v>0</v>
      </c>
      <c r="BL166" s="1637">
        <f t="shared" si="329"/>
        <v>16.309999999999999</v>
      </c>
      <c r="BM166" s="1637">
        <f t="shared" si="330"/>
        <v>2.04</v>
      </c>
      <c r="BN166" s="1637">
        <f t="shared" si="263"/>
        <v>4.42</v>
      </c>
      <c r="BO166" s="1637">
        <v>0</v>
      </c>
      <c r="BP166" s="1637">
        <v>0</v>
      </c>
      <c r="BQ166" s="1643">
        <f t="shared" si="302"/>
        <v>22.77</v>
      </c>
      <c r="BR166" s="1637">
        <f t="shared" si="331"/>
        <v>36.69</v>
      </c>
      <c r="BS166" s="1637">
        <f t="shared" si="332"/>
        <v>8.15</v>
      </c>
      <c r="BT166" s="1637">
        <f t="shared" si="264"/>
        <v>8.84</v>
      </c>
      <c r="BU166" s="1637">
        <v>0</v>
      </c>
      <c r="BV166" s="1638">
        <f t="shared" si="303"/>
        <v>53.68</v>
      </c>
      <c r="BW166" s="1644">
        <f t="shared" si="304"/>
        <v>76.45</v>
      </c>
      <c r="BX166" s="1644">
        <f t="shared" si="362"/>
        <v>828.15</v>
      </c>
      <c r="BY166" s="1638">
        <v>0</v>
      </c>
      <c r="BZ166" s="1638">
        <f t="shared" si="265"/>
        <v>828.15</v>
      </c>
      <c r="CA166" s="1645">
        <f>'CONCEPTOS Y PARAMETROS'!$A$102</f>
        <v>2120</v>
      </c>
      <c r="CB166" s="1644">
        <f t="shared" si="266"/>
        <v>204.32999999999998</v>
      </c>
      <c r="CC166" s="1646">
        <f t="shared" si="267"/>
        <v>527.08000000000004</v>
      </c>
      <c r="CD166" s="1647"/>
      <c r="CE166" s="1647"/>
      <c r="CF166" s="1648"/>
      <c r="CG166" s="1649">
        <f t="shared" si="268"/>
        <v>204.32999999999998</v>
      </c>
      <c r="CH166" s="1713">
        <f t="shared" si="269"/>
        <v>300</v>
      </c>
      <c r="CI166" s="1649">
        <f t="shared" si="270"/>
        <v>514.57999999999993</v>
      </c>
      <c r="CJ166" s="1649">
        <f t="shared" si="271"/>
        <v>514.58000000000004</v>
      </c>
      <c r="CK166" s="1649">
        <f t="shared" si="272"/>
        <v>0</v>
      </c>
      <c r="CL166" s="1649">
        <f t="shared" si="273"/>
        <v>0</v>
      </c>
      <c r="CM166" s="1649">
        <f t="shared" si="274"/>
        <v>0</v>
      </c>
      <c r="CN166" s="1650">
        <f t="shared" si="275"/>
        <v>0</v>
      </c>
      <c r="CO166" s="1651">
        <v>0</v>
      </c>
      <c r="CP166" s="1650">
        <f t="shared" si="276"/>
        <v>0</v>
      </c>
      <c r="CQ166" s="1652">
        <f t="shared" si="277"/>
        <v>12.5</v>
      </c>
      <c r="CR166" s="1650">
        <f t="shared" si="278"/>
        <v>0</v>
      </c>
      <c r="CS166" s="1650">
        <f t="shared" si="279"/>
        <v>12.5</v>
      </c>
      <c r="CT166" s="1650">
        <f t="shared" si="280"/>
        <v>76.45</v>
      </c>
      <c r="CU166" s="1650">
        <f t="shared" si="281"/>
        <v>2120</v>
      </c>
      <c r="CV166" s="1653"/>
      <c r="CW166" s="1627" t="s">
        <v>7141</v>
      </c>
      <c r="CX166" s="1627" t="s">
        <v>6935</v>
      </c>
      <c r="CY166" s="1647"/>
      <c r="CZ166" s="1647" t="s">
        <v>6270</v>
      </c>
      <c r="DA166" s="1647" t="s">
        <v>6198</v>
      </c>
      <c r="DB166" s="1647" t="s">
        <v>6265</v>
      </c>
      <c r="DC166" s="1647" t="s">
        <v>6271</v>
      </c>
      <c r="DD166" s="1647"/>
      <c r="DE166" s="1647"/>
      <c r="DF166" s="1647"/>
      <c r="DG166" s="1647"/>
      <c r="DH166" s="1647"/>
      <c r="DJ166" s="1654" t="str">
        <f>VLOOKUP(X166,Hoja1!$A$4:$B$10,2,0)</f>
        <v>TÉCNICO SUPERIOR UNIVERSITARIO</v>
      </c>
      <c r="DK166" s="1654" t="str">
        <f>VLOOKUP(S166,Hoja1!$D$4:$F$77,3,0)</f>
        <v>TII - II</v>
      </c>
      <c r="DL166" s="1656" t="str">
        <f t="shared" si="282"/>
        <v>0</v>
      </c>
      <c r="DM166" s="1742" t="str">
        <f t="shared" si="283"/>
        <v>F</v>
      </c>
      <c r="DN166" s="1742"/>
    </row>
    <row r="167" spans="1:118" s="478" customFormat="1" ht="21.95" customHeight="1">
      <c r="A167" s="510" t="s">
        <v>2846</v>
      </c>
      <c r="B167" s="1390">
        <f t="shared" ca="1" si="355"/>
        <v>125</v>
      </c>
      <c r="C167" s="1194">
        <v>15904692</v>
      </c>
      <c r="D167" s="1195" t="s">
        <v>4810</v>
      </c>
      <c r="E167" s="1180" t="s">
        <v>4622</v>
      </c>
      <c r="F167" s="1196">
        <v>29684</v>
      </c>
      <c r="G167" s="1180" t="s">
        <v>4620</v>
      </c>
      <c r="H167" s="1196">
        <v>39756</v>
      </c>
      <c r="I167" s="1185">
        <f t="shared" si="259"/>
        <v>16</v>
      </c>
      <c r="J167" s="1177">
        <v>0</v>
      </c>
      <c r="K167" s="1185">
        <f t="shared" si="260"/>
        <v>16</v>
      </c>
      <c r="L167" s="1191" t="s">
        <v>5542</v>
      </c>
      <c r="M167" s="1177"/>
      <c r="N167" s="1177"/>
      <c r="O167" s="1040" t="s">
        <v>5221</v>
      </c>
      <c r="P167" s="1177" t="s">
        <v>5374</v>
      </c>
      <c r="Q167" s="1391" t="str">
        <f>IFERROR(VLOOKUP(O167,CARGOS!A:E,2,0),"")</f>
        <v>79512</v>
      </c>
      <c r="R167" s="1403" t="s">
        <v>5221</v>
      </c>
      <c r="S167" s="1192" t="s">
        <v>5474</v>
      </c>
      <c r="T167" s="1150">
        <f>IFERROR(VLOOKUP(S167,'TAB EMP'!A:B,2,0),0)</f>
        <v>226</v>
      </c>
      <c r="U167" s="1151">
        <v>0</v>
      </c>
      <c r="V167" s="1150">
        <f t="shared" si="288"/>
        <v>226</v>
      </c>
      <c r="W167" s="1151">
        <f t="shared" si="289"/>
        <v>113</v>
      </c>
      <c r="X167" s="1180" t="s">
        <v>2844</v>
      </c>
      <c r="Y167" s="1180"/>
      <c r="Z167" s="1180">
        <v>2</v>
      </c>
      <c r="AA167" s="1150">
        <f>ROUND(IF(H167&lt;&gt;"",VLOOKUP(SUM(I167+J167),'CONCEPTOS Y PARAMETROS'!F:G,2,0)*V167,0),2)</f>
        <v>44.3</v>
      </c>
      <c r="AB167" s="1150">
        <f>IF(S167&lt;&gt;"",IF(M167="",'CONCEPTOS Y PARAMETROS'!$C$4,0),0)</f>
        <v>130</v>
      </c>
      <c r="AC167" s="1150">
        <f>IF(S167&lt;&gt;"",IF(M167="",'CONCEPTOS Y PARAMETROS'!$C$7*Z167,0),0)</f>
        <v>25</v>
      </c>
      <c r="AD167" s="1150">
        <f>IFERROR(ROUND(VLOOKUP($X167,'CONCEPTOS Y PARAMETROS'!H:I,2,0)*($V167+AA167+AB167+AC167),2),0)</f>
        <v>85.06</v>
      </c>
      <c r="AE167" s="1150">
        <f t="shared" si="285"/>
        <v>284.36</v>
      </c>
      <c r="AF167" s="1150">
        <f t="shared" si="290"/>
        <v>22.15</v>
      </c>
      <c r="AG167" s="1150">
        <f t="shared" si="291"/>
        <v>22.15</v>
      </c>
      <c r="AH167" s="1150">
        <f t="shared" si="292"/>
        <v>65</v>
      </c>
      <c r="AI167" s="1150">
        <f t="shared" si="293"/>
        <v>65</v>
      </c>
      <c r="AJ167" s="1150">
        <f t="shared" si="294"/>
        <v>42.53</v>
      </c>
      <c r="AK167" s="1150">
        <f t="shared" si="295"/>
        <v>42.53</v>
      </c>
      <c r="AL167" s="1151">
        <f t="shared" si="296"/>
        <v>154.68</v>
      </c>
      <c r="AM167" s="1151">
        <f t="shared" si="297"/>
        <v>129.68</v>
      </c>
      <c r="AN167" s="1583">
        <v>2</v>
      </c>
      <c r="AO167" s="1193">
        <f>'CONCEPTOS Y PARAMETROS'!$C$18*AN167</f>
        <v>25</v>
      </c>
      <c r="AP167" s="1028">
        <v>0</v>
      </c>
      <c r="AQ167" s="1193">
        <f>'CONCEPTOS Y PARAMETROS'!$C$21*AP167</f>
        <v>0</v>
      </c>
      <c r="AR167" s="1394">
        <v>0</v>
      </c>
      <c r="AS167" s="1394">
        <v>0</v>
      </c>
      <c r="AT167" s="1394">
        <f t="shared" si="360"/>
        <v>25</v>
      </c>
      <c r="AU167" s="1151">
        <f t="shared" si="298"/>
        <v>663.47</v>
      </c>
      <c r="AV167" s="1178" t="s">
        <v>5080</v>
      </c>
      <c r="AW167" s="1151">
        <f t="shared" si="370"/>
        <v>153.11000000000001</v>
      </c>
      <c r="AX167" s="1150">
        <f>IF(T167&lt;&gt;"0",(ROUND(IF(A167="EMPLEADO",eval_formula('CONCEPTOS Y PARAMETROS'!$C$8,NOMINA!V167,NOMINA!$AU167,NOMINA!I167+NOMINA!J167),eval_formula('CONCEPTOS Y PARAMETROS'!$D$8,NOMINA!V167,NOMINA!$AU167,NOMINA!I167+NOMINA!J167)),2))*IF(H167&lt;&gt;"",IF(MONTH(H167)=$BR$8,IF(YEAR(H167)&lt;$BT$7,1,0),0)))</f>
        <v>0</v>
      </c>
      <c r="AY167" s="1151">
        <v>180</v>
      </c>
      <c r="AZ167" s="1150">
        <f>IFERROR(VLOOKUP(AY167,'CONCEPTOS Y PARAMETROS'!Y:Z,2,0),0)</f>
        <v>150</v>
      </c>
      <c r="BA167" s="1150">
        <f t="shared" si="300"/>
        <v>4976.03</v>
      </c>
      <c r="BB167" s="1150">
        <f t="shared" si="287"/>
        <v>0</v>
      </c>
      <c r="BC167" s="1028">
        <v>0</v>
      </c>
      <c r="BD167" s="1150" t="str">
        <f t="shared" si="301"/>
        <v>0</v>
      </c>
      <c r="BE167" s="1028">
        <v>3</v>
      </c>
      <c r="BF167" s="1150">
        <f t="shared" si="363"/>
        <v>99.52</v>
      </c>
      <c r="BG167" s="1151">
        <v>300</v>
      </c>
      <c r="BH167" s="1151">
        <f t="shared" si="261"/>
        <v>0</v>
      </c>
      <c r="BI167" s="1180">
        <v>0</v>
      </c>
      <c r="BJ167" s="1180">
        <f t="shared" si="262"/>
        <v>0</v>
      </c>
      <c r="BK167" s="1151">
        <v>0</v>
      </c>
      <c r="BL167" s="1150">
        <f t="shared" si="329"/>
        <v>24.5</v>
      </c>
      <c r="BM167" s="1150">
        <f t="shared" si="330"/>
        <v>3.06</v>
      </c>
      <c r="BN167" s="1150">
        <f t="shared" si="263"/>
        <v>6.63</v>
      </c>
      <c r="BO167" s="1150">
        <v>0</v>
      </c>
      <c r="BP167" s="1150">
        <v>0</v>
      </c>
      <c r="BQ167" s="1396">
        <f t="shared" si="302"/>
        <v>34.19</v>
      </c>
      <c r="BR167" s="1150">
        <f t="shared" si="331"/>
        <v>55.12</v>
      </c>
      <c r="BS167" s="1150">
        <f t="shared" si="332"/>
        <v>12.25</v>
      </c>
      <c r="BT167" s="1150">
        <f t="shared" si="264"/>
        <v>13.26</v>
      </c>
      <c r="BU167" s="1150">
        <v>0</v>
      </c>
      <c r="BV167" s="1151">
        <f t="shared" si="303"/>
        <v>80.63</v>
      </c>
      <c r="BW167" s="1155">
        <f t="shared" si="304"/>
        <v>114.82</v>
      </c>
      <c r="BX167" s="1155">
        <f t="shared" si="362"/>
        <v>1244.01</v>
      </c>
      <c r="BY167" s="1151">
        <v>0</v>
      </c>
      <c r="BZ167" s="1151">
        <f t="shared" ref="BZ167:BZ228" si="371">+BX167+BY167</f>
        <v>1244.01</v>
      </c>
      <c r="CA167" s="1397">
        <f>'CONCEPTOS Y PARAMETROS'!$A$102</f>
        <v>2120</v>
      </c>
      <c r="CB167" s="1155">
        <f t="shared" si="266"/>
        <v>233.49</v>
      </c>
      <c r="CC167" s="1156">
        <f t="shared" si="267"/>
        <v>820.31</v>
      </c>
      <c r="CD167" s="514"/>
      <c r="CE167" s="514"/>
      <c r="CF167" s="520"/>
      <c r="CG167" s="497">
        <f t="shared" si="268"/>
        <v>233.49</v>
      </c>
      <c r="CH167" s="1711">
        <f t="shared" si="269"/>
        <v>300</v>
      </c>
      <c r="CI167" s="497">
        <f t="shared" si="270"/>
        <v>542.68000000000006</v>
      </c>
      <c r="CJ167" s="497">
        <f t="shared" si="271"/>
        <v>542.67999999999995</v>
      </c>
      <c r="CK167" s="497">
        <f t="shared" si="272"/>
        <v>0</v>
      </c>
      <c r="CL167" s="497">
        <f t="shared" si="273"/>
        <v>0</v>
      </c>
      <c r="CM167" s="497">
        <f t="shared" si="274"/>
        <v>0</v>
      </c>
      <c r="CN167" s="498">
        <f t="shared" si="275"/>
        <v>99.52</v>
      </c>
      <c r="CO167" s="499">
        <v>0</v>
      </c>
      <c r="CP167" s="498">
        <f t="shared" si="276"/>
        <v>153.11000000000001</v>
      </c>
      <c r="CQ167" s="500">
        <f t="shared" si="277"/>
        <v>25</v>
      </c>
      <c r="CR167" s="498">
        <f t="shared" si="278"/>
        <v>0</v>
      </c>
      <c r="CS167" s="498">
        <f t="shared" si="279"/>
        <v>277.63</v>
      </c>
      <c r="CT167" s="498">
        <f t="shared" si="280"/>
        <v>114.82</v>
      </c>
      <c r="CU167" s="498">
        <f t="shared" si="281"/>
        <v>2120</v>
      </c>
      <c r="CV167" s="1554"/>
      <c r="CW167" s="1195" t="s">
        <v>7213</v>
      </c>
      <c r="CX167" s="1195" t="s">
        <v>6999</v>
      </c>
      <c r="CY167" s="472"/>
      <c r="CZ167" s="1199" t="s">
        <v>6673</v>
      </c>
      <c r="DA167" s="1199" t="s">
        <v>6657</v>
      </c>
      <c r="DB167" s="514" t="s">
        <v>6273</v>
      </c>
      <c r="DC167" s="514" t="s">
        <v>6314</v>
      </c>
      <c r="DD167" s="514"/>
      <c r="DE167" s="514"/>
      <c r="DF167" s="472"/>
      <c r="DG167" s="472"/>
      <c r="DH167" s="472"/>
      <c r="DI167" s="473"/>
      <c r="DJ167" s="473" t="str">
        <f>VLOOKUP(X167,Hoja1!$A$4:$B$10,2,0)</f>
        <v>TÉCNICO SUPERIOR UNIVERSITARIO</v>
      </c>
      <c r="DK167" s="473" t="str">
        <f>VLOOKUP(S167,Hoja1!$D$4:$F$77,3,0)</f>
        <v>TII - VI</v>
      </c>
      <c r="DL167" s="1216" t="str">
        <f t="shared" si="282"/>
        <v>SI</v>
      </c>
      <c r="DM167" s="1741" t="str">
        <f t="shared" si="283"/>
        <v>F</v>
      </c>
      <c r="DN167" s="1741"/>
    </row>
    <row r="168" spans="1:118" s="473" customFormat="1" ht="21.95" customHeight="1">
      <c r="A168" s="510" t="s">
        <v>2846</v>
      </c>
      <c r="B168" s="1390">
        <f t="shared" ca="1" si="355"/>
        <v>126</v>
      </c>
      <c r="C168" s="1194">
        <v>16015833</v>
      </c>
      <c r="D168" s="1195" t="s">
        <v>4811</v>
      </c>
      <c r="E168" s="1180" t="s">
        <v>4622</v>
      </c>
      <c r="F168" s="1196">
        <v>30771</v>
      </c>
      <c r="G168" s="1180" t="s">
        <v>4620</v>
      </c>
      <c r="H168" s="1196">
        <v>42948</v>
      </c>
      <c r="I168" s="1185">
        <f t="shared" si="259"/>
        <v>7</v>
      </c>
      <c r="J168" s="1177">
        <v>0</v>
      </c>
      <c r="K168" s="1185">
        <f t="shared" si="260"/>
        <v>7</v>
      </c>
      <c r="L168" s="1191" t="s">
        <v>5550</v>
      </c>
      <c r="M168" s="1177"/>
      <c r="N168" s="1177"/>
      <c r="O168" s="1040" t="s">
        <v>5221</v>
      </c>
      <c r="P168" s="1177" t="s">
        <v>5375</v>
      </c>
      <c r="Q168" s="1391" t="str">
        <f>IFERROR(VLOOKUP(O168,CARGOS!A:E,2,0),"")</f>
        <v>79512</v>
      </c>
      <c r="R168" s="1403" t="s">
        <v>5221</v>
      </c>
      <c r="S168" s="1192" t="s">
        <v>5488</v>
      </c>
      <c r="T168" s="1150">
        <f>IFERROR(VLOOKUP(S168,'TAB EMP'!A:B,2,0),0)</f>
        <v>279</v>
      </c>
      <c r="U168" s="1151">
        <v>0</v>
      </c>
      <c r="V168" s="1150">
        <f t="shared" si="288"/>
        <v>279</v>
      </c>
      <c r="W168" s="1151">
        <f t="shared" si="289"/>
        <v>139.5</v>
      </c>
      <c r="X168" s="1180" t="s">
        <v>2885</v>
      </c>
      <c r="Y168" s="1180"/>
      <c r="Z168" s="1180">
        <v>1</v>
      </c>
      <c r="AA168" s="1150">
        <f>ROUND(IF(H168&lt;&gt;"",VLOOKUP(SUM(I168+J168),'CONCEPTOS Y PARAMETROS'!F:G,2,0)*V168,0),2)</f>
        <v>20.65</v>
      </c>
      <c r="AB168" s="1150">
        <f>IF(S168&lt;&gt;"",IF(M168="",'CONCEPTOS Y PARAMETROS'!$C$4,0),0)</f>
        <v>130</v>
      </c>
      <c r="AC168" s="1150">
        <f>IF(S168&lt;&gt;"",IF(M168="",'CONCEPTOS Y PARAMETROS'!$C$7*Z168,0),0)</f>
        <v>12.5</v>
      </c>
      <c r="AD168" s="1150">
        <f>IFERROR(ROUND(VLOOKUP($X168,'CONCEPTOS Y PARAMETROS'!H:I,2,0)*($V168+AA168+AB168+AC168),2),0)</f>
        <v>110.54</v>
      </c>
      <c r="AE168" s="1150">
        <f t="shared" si="285"/>
        <v>273.69</v>
      </c>
      <c r="AF168" s="1150">
        <f t="shared" si="290"/>
        <v>10.33</v>
      </c>
      <c r="AG168" s="1150">
        <f t="shared" si="291"/>
        <v>10.32</v>
      </c>
      <c r="AH168" s="1150">
        <f t="shared" si="292"/>
        <v>65</v>
      </c>
      <c r="AI168" s="1150">
        <f t="shared" si="293"/>
        <v>65</v>
      </c>
      <c r="AJ168" s="1150">
        <f t="shared" si="294"/>
        <v>55.27</v>
      </c>
      <c r="AK168" s="1150">
        <f t="shared" si="295"/>
        <v>55.27</v>
      </c>
      <c r="AL168" s="1151">
        <f t="shared" si="296"/>
        <v>143.1</v>
      </c>
      <c r="AM168" s="1151">
        <f t="shared" si="297"/>
        <v>130.59</v>
      </c>
      <c r="AN168" s="1583">
        <v>1</v>
      </c>
      <c r="AO168" s="1193">
        <f>'CONCEPTOS Y PARAMETROS'!$C$18*AN168</f>
        <v>12.5</v>
      </c>
      <c r="AP168" s="1028">
        <v>0</v>
      </c>
      <c r="AQ168" s="1193">
        <f>'CONCEPTOS Y PARAMETROS'!$C$21*AP168</f>
        <v>0</v>
      </c>
      <c r="AR168" s="1394">
        <v>0</v>
      </c>
      <c r="AS168" s="1394">
        <v>0</v>
      </c>
      <c r="AT168" s="1394">
        <f t="shared" si="360"/>
        <v>12.5</v>
      </c>
      <c r="AU168" s="1151">
        <f t="shared" si="298"/>
        <v>718.5</v>
      </c>
      <c r="AV168" s="1178" t="s">
        <v>5080</v>
      </c>
      <c r="AW168" s="1151">
        <f t="shared" si="370"/>
        <v>165.81</v>
      </c>
      <c r="AX168" s="1150">
        <f>IF(T168&lt;&gt;"0",(ROUND(IF(A168="EMPLEADO",eval_formula('CONCEPTOS Y PARAMETROS'!$C$8,NOMINA!V168,NOMINA!$AU168,NOMINA!I168+NOMINA!J168),eval_formula('CONCEPTOS Y PARAMETROS'!$D$8,NOMINA!V168,NOMINA!$AU168,NOMINA!I168+NOMINA!J168)),2))*IF(H168&lt;&gt;"",IF(MONTH(H168)=$BR$8,IF(YEAR(H168)&lt;$BT$7,1,0),0)))</f>
        <v>0</v>
      </c>
      <c r="AY168" s="1151">
        <v>180</v>
      </c>
      <c r="AZ168" s="1150">
        <f>IFERROR(VLOOKUP(AY168,'CONCEPTOS Y PARAMETROS'!Y:Z,2,0),0)</f>
        <v>150</v>
      </c>
      <c r="BA168" s="1150">
        <f t="shared" si="300"/>
        <v>5388.75</v>
      </c>
      <c r="BB168" s="1150">
        <f t="shared" si="287"/>
        <v>0</v>
      </c>
      <c r="BC168" s="1028">
        <v>0</v>
      </c>
      <c r="BD168" s="1150" t="str">
        <f t="shared" si="301"/>
        <v>0</v>
      </c>
      <c r="BE168" s="1028">
        <v>5</v>
      </c>
      <c r="BF168" s="1150">
        <f t="shared" si="363"/>
        <v>179.63</v>
      </c>
      <c r="BG168" s="1151">
        <v>300</v>
      </c>
      <c r="BH168" s="1151">
        <f t="shared" si="261"/>
        <v>0</v>
      </c>
      <c r="BI168" s="1180">
        <v>0</v>
      </c>
      <c r="BJ168" s="1180">
        <f t="shared" ref="BJ168:BJ231" si="372">+IF(BI168&lt;&gt;0,(BI168*12.5),0)</f>
        <v>0</v>
      </c>
      <c r="BK168" s="1151">
        <v>0</v>
      </c>
      <c r="BL168" s="1150">
        <f t="shared" si="329"/>
        <v>26.53</v>
      </c>
      <c r="BM168" s="1150">
        <f t="shared" si="330"/>
        <v>3.32</v>
      </c>
      <c r="BN168" s="1150">
        <f t="shared" si="263"/>
        <v>7.19</v>
      </c>
      <c r="BO168" s="1150">
        <v>0</v>
      </c>
      <c r="BP168" s="1150">
        <v>0</v>
      </c>
      <c r="BQ168" s="1396">
        <f t="shared" si="302"/>
        <v>37.04</v>
      </c>
      <c r="BR168" s="1150">
        <f t="shared" si="331"/>
        <v>59.69</v>
      </c>
      <c r="BS168" s="1150">
        <f t="shared" si="332"/>
        <v>13.26</v>
      </c>
      <c r="BT168" s="1150">
        <f t="shared" si="264"/>
        <v>14.38</v>
      </c>
      <c r="BU168" s="1150">
        <v>0</v>
      </c>
      <c r="BV168" s="1151">
        <f t="shared" si="303"/>
        <v>87.33</v>
      </c>
      <c r="BW168" s="1155">
        <f t="shared" si="304"/>
        <v>124.37</v>
      </c>
      <c r="BX168" s="1155">
        <f t="shared" si="362"/>
        <v>1347.19</v>
      </c>
      <c r="BY168" s="1151">
        <v>0</v>
      </c>
      <c r="BZ168" s="1151">
        <f t="shared" si="371"/>
        <v>1347.19</v>
      </c>
      <c r="CA168" s="1397">
        <f>'CONCEPTOS Y PARAMETROS'!$A$102</f>
        <v>2120</v>
      </c>
      <c r="CB168" s="1155">
        <f t="shared" si="266"/>
        <v>245.56000000000003</v>
      </c>
      <c r="CC168" s="1156">
        <f t="shared" si="267"/>
        <v>928.03</v>
      </c>
      <c r="CD168" s="514"/>
      <c r="CE168" s="514"/>
      <c r="CF168" s="520"/>
      <c r="CG168" s="497">
        <f t="shared" si="268"/>
        <v>245.56000000000003</v>
      </c>
      <c r="CH168" s="1711">
        <f t="shared" si="269"/>
        <v>300</v>
      </c>
      <c r="CI168" s="497">
        <f t="shared" si="270"/>
        <v>570.09</v>
      </c>
      <c r="CJ168" s="497">
        <f t="shared" si="271"/>
        <v>273.64</v>
      </c>
      <c r="CK168" s="497">
        <f t="shared" si="272"/>
        <v>296.45000000000005</v>
      </c>
      <c r="CL168" s="497">
        <f t="shared" si="273"/>
        <v>0</v>
      </c>
      <c r="CM168" s="497">
        <f t="shared" si="274"/>
        <v>0</v>
      </c>
      <c r="CN168" s="498">
        <f t="shared" si="275"/>
        <v>179.63</v>
      </c>
      <c r="CO168" s="499">
        <v>0</v>
      </c>
      <c r="CP168" s="498">
        <f t="shared" si="276"/>
        <v>165.81</v>
      </c>
      <c r="CQ168" s="500">
        <f t="shared" si="277"/>
        <v>12.5</v>
      </c>
      <c r="CR168" s="498">
        <f t="shared" si="278"/>
        <v>0</v>
      </c>
      <c r="CS168" s="498">
        <f t="shared" si="279"/>
        <v>357.94</v>
      </c>
      <c r="CT168" s="498">
        <f t="shared" si="280"/>
        <v>124.37</v>
      </c>
      <c r="CU168" s="498">
        <f t="shared" si="281"/>
        <v>2120</v>
      </c>
      <c r="CV168" s="1554"/>
      <c r="CW168" s="1195" t="s">
        <v>6960</v>
      </c>
      <c r="CX168" s="1195" t="s">
        <v>7000</v>
      </c>
      <c r="CY168" s="472"/>
      <c r="CZ168" s="1199" t="s">
        <v>6674</v>
      </c>
      <c r="DA168" s="1199" t="s">
        <v>6181</v>
      </c>
      <c r="DB168" s="1199" t="s">
        <v>6651</v>
      </c>
      <c r="DC168" s="514" t="s">
        <v>6652</v>
      </c>
      <c r="DD168" s="514"/>
      <c r="DE168" s="514"/>
      <c r="DF168" s="472"/>
      <c r="DG168" s="472"/>
      <c r="DH168" s="472"/>
      <c r="DJ168" s="473" t="str">
        <f>VLOOKUP(X168,Hoja1!$A$4:$B$10,2,0)</f>
        <v>PROFESIONAL</v>
      </c>
      <c r="DK168" s="473" t="str">
        <f>VLOOKUP(S168,Hoja1!$D$4:$F$77,3,0)</f>
        <v>PII - III</v>
      </c>
      <c r="DL168" s="1216" t="str">
        <f t="shared" si="282"/>
        <v>SI</v>
      </c>
      <c r="DM168" s="1741" t="str">
        <f t="shared" si="283"/>
        <v>F</v>
      </c>
      <c r="DN168" s="1741"/>
    </row>
    <row r="169" spans="1:118" s="1654" customFormat="1" ht="21.95" customHeight="1">
      <c r="A169" s="1624" t="s">
        <v>2846</v>
      </c>
      <c r="B169" s="1625">
        <f t="shared" ca="1" si="355"/>
        <v>127</v>
      </c>
      <c r="C169" s="1626">
        <v>16065580</v>
      </c>
      <c r="D169" s="1627" t="s">
        <v>4812</v>
      </c>
      <c r="E169" s="1628" t="s">
        <v>4622</v>
      </c>
      <c r="F169" s="1629">
        <v>29958</v>
      </c>
      <c r="G169" s="1628" t="s">
        <v>4620</v>
      </c>
      <c r="H169" s="1629">
        <v>44363</v>
      </c>
      <c r="I169" s="1630">
        <f t="shared" si="259"/>
        <v>3</v>
      </c>
      <c r="J169" s="1631">
        <v>0</v>
      </c>
      <c r="K169" s="1630">
        <f t="shared" si="260"/>
        <v>3</v>
      </c>
      <c r="L169" s="1632" t="s">
        <v>5550</v>
      </c>
      <c r="M169" s="1631"/>
      <c r="N169" s="1631"/>
      <c r="O169" s="1633" t="s">
        <v>5230</v>
      </c>
      <c r="P169" s="1631" t="s">
        <v>5376</v>
      </c>
      <c r="Q169" s="1634" t="str">
        <f>IFERROR(VLOOKUP(O169,CARGOS!A:E,2,0),"")</f>
        <v>79522</v>
      </c>
      <c r="R169" s="1635" t="s">
        <v>5230</v>
      </c>
      <c r="S169" s="1636" t="s">
        <v>5480</v>
      </c>
      <c r="T169" s="1637">
        <f>IFERROR(VLOOKUP(S169,'TAB EMP'!A:B,2,0),0)</f>
        <v>277</v>
      </c>
      <c r="U169" s="1638">
        <v>0</v>
      </c>
      <c r="V169" s="1637">
        <f t="shared" si="288"/>
        <v>277</v>
      </c>
      <c r="W169" s="1638">
        <f t="shared" si="289"/>
        <v>138.5</v>
      </c>
      <c r="X169" s="1628" t="s">
        <v>2885</v>
      </c>
      <c r="Y169" s="1628"/>
      <c r="Z169" s="1628">
        <v>1</v>
      </c>
      <c r="AA169" s="1637">
        <f>ROUND(IF(H169&lt;&gt;"",VLOOKUP(SUM(I169+J169),'CONCEPTOS Y PARAMETROS'!F:G,2,0)*V169,0),2)</f>
        <v>8.31</v>
      </c>
      <c r="AB169" s="1637">
        <f>IF(S169&lt;&gt;"",IF(M169="",'CONCEPTOS Y PARAMETROS'!$C$4,0),0)</f>
        <v>130</v>
      </c>
      <c r="AC169" s="1637">
        <f>IF(S169&lt;&gt;"",IF(M169="",'CONCEPTOS Y PARAMETROS'!$C$7*Z169,0),0)</f>
        <v>12.5</v>
      </c>
      <c r="AD169" s="1637">
        <f>IFERROR(ROUND(VLOOKUP($X169,'CONCEPTOS Y PARAMETROS'!H:I,2,0)*($V169+AA169+AB169+AC169),2),0)</f>
        <v>106.95</v>
      </c>
      <c r="AE169" s="1637">
        <f t="shared" si="285"/>
        <v>257.76</v>
      </c>
      <c r="AF169" s="1637">
        <f t="shared" si="290"/>
        <v>4.16</v>
      </c>
      <c r="AG169" s="1637">
        <f t="shared" si="291"/>
        <v>4.1500000000000004</v>
      </c>
      <c r="AH169" s="1637">
        <f t="shared" si="292"/>
        <v>65</v>
      </c>
      <c r="AI169" s="1637">
        <f t="shared" si="293"/>
        <v>65</v>
      </c>
      <c r="AJ169" s="1637">
        <f t="shared" si="294"/>
        <v>53.48</v>
      </c>
      <c r="AK169" s="1637">
        <f t="shared" si="295"/>
        <v>53.47</v>
      </c>
      <c r="AL169" s="1638">
        <f t="shared" si="296"/>
        <v>135.13999999999999</v>
      </c>
      <c r="AM169" s="1638">
        <f t="shared" si="297"/>
        <v>122.62</v>
      </c>
      <c r="AN169" s="1639">
        <v>0</v>
      </c>
      <c r="AO169" s="1640">
        <f>'CONCEPTOS Y PARAMETROS'!$C$18*AN169</f>
        <v>0</v>
      </c>
      <c r="AP169" s="1639">
        <v>0</v>
      </c>
      <c r="AQ169" s="1640">
        <f>'CONCEPTOS Y PARAMETROS'!$C$21*AP169</f>
        <v>0</v>
      </c>
      <c r="AR169" s="1641">
        <v>0</v>
      </c>
      <c r="AS169" s="1641">
        <v>0</v>
      </c>
      <c r="AT169" s="1641">
        <f t="shared" si="360"/>
        <v>0</v>
      </c>
      <c r="AU169" s="1638">
        <f t="shared" si="298"/>
        <v>534.76</v>
      </c>
      <c r="AV169" s="1642">
        <v>0</v>
      </c>
      <c r="AW169" s="1638">
        <f t="shared" si="370"/>
        <v>0</v>
      </c>
      <c r="AX169" s="1637">
        <f>IF(T169&lt;&gt;"0",(ROUND(IF(A169="EMPLEADO",eval_formula('CONCEPTOS Y PARAMETROS'!$C$8,NOMINA!V169,NOMINA!$AU169,NOMINA!I169+NOMINA!J169),eval_formula('CONCEPTOS Y PARAMETROS'!$D$8,NOMINA!V169,NOMINA!$AU169,NOMINA!I169+NOMINA!J169)),2))*IF(H169&lt;&gt;"",IF(MONTH(H169)=$BR$8,IF(YEAR(H169)&lt;$BT$7,1,0),0)))</f>
        <v>0</v>
      </c>
      <c r="AY169" s="1638">
        <v>180</v>
      </c>
      <c r="AZ169" s="1637">
        <f>IFERROR(VLOOKUP(AY169,'CONCEPTOS Y PARAMETROS'!Y:Z,2,0),0)</f>
        <v>150</v>
      </c>
      <c r="BA169" s="1637">
        <f t="shared" si="300"/>
        <v>4010.7</v>
      </c>
      <c r="BB169" s="1637">
        <f t="shared" si="287"/>
        <v>0</v>
      </c>
      <c r="BC169" s="1639">
        <v>0</v>
      </c>
      <c r="BD169" s="1637" t="str">
        <f t="shared" si="301"/>
        <v>0</v>
      </c>
      <c r="BE169" s="1639">
        <v>0</v>
      </c>
      <c r="BF169" s="1637">
        <f t="shared" si="363"/>
        <v>0</v>
      </c>
      <c r="BG169" s="1638">
        <v>300</v>
      </c>
      <c r="BH169" s="1638">
        <f t="shared" si="261"/>
        <v>0</v>
      </c>
      <c r="BI169" s="1628">
        <v>0</v>
      </c>
      <c r="BJ169" s="1628">
        <f t="shared" si="372"/>
        <v>0</v>
      </c>
      <c r="BK169" s="1638">
        <v>0</v>
      </c>
      <c r="BL169" s="1637">
        <f t="shared" si="329"/>
        <v>19.739999999999998</v>
      </c>
      <c r="BM169" s="1637">
        <f t="shared" si="330"/>
        <v>2.4700000000000002</v>
      </c>
      <c r="BN169" s="1637">
        <f t="shared" si="263"/>
        <v>5.35</v>
      </c>
      <c r="BO169" s="1637">
        <v>0</v>
      </c>
      <c r="BP169" s="1637">
        <v>0</v>
      </c>
      <c r="BQ169" s="1643">
        <f t="shared" ref="BQ169:BQ244" si="373">ROUND(SUM(BL169:BP169),2)</f>
        <v>27.56</v>
      </c>
      <c r="BR169" s="1637">
        <f t="shared" si="331"/>
        <v>44.43</v>
      </c>
      <c r="BS169" s="1637">
        <f t="shared" si="332"/>
        <v>9.8699999999999992</v>
      </c>
      <c r="BT169" s="1637">
        <f t="shared" si="264"/>
        <v>10.7</v>
      </c>
      <c r="BU169" s="1637">
        <v>0</v>
      </c>
      <c r="BV169" s="1638">
        <f t="shared" ref="BV169:BV244" si="374">ROUND(SUM(BR169:BT169),2)</f>
        <v>65</v>
      </c>
      <c r="BW169" s="1644">
        <f t="shared" ref="BW169:BW244" si="375">BQ169+BV169</f>
        <v>92.56</v>
      </c>
      <c r="BX169" s="1644">
        <f t="shared" si="362"/>
        <v>1002.68</v>
      </c>
      <c r="BY169" s="1638">
        <v>0</v>
      </c>
      <c r="BZ169" s="1638">
        <f t="shared" si="371"/>
        <v>1002.68</v>
      </c>
      <c r="CA169" s="1645">
        <f>'CONCEPTOS Y PARAMETROS'!$A$102</f>
        <v>2120</v>
      </c>
      <c r="CB169" s="1644">
        <f t="shared" si="266"/>
        <v>246.07999999999998</v>
      </c>
      <c r="CC169" s="1646">
        <f t="shared" si="267"/>
        <v>561.12</v>
      </c>
      <c r="CD169" s="1647"/>
      <c r="CE169" s="1647"/>
      <c r="CF169" s="1648"/>
      <c r="CG169" s="1649">
        <f t="shared" si="268"/>
        <v>246.07999999999998</v>
      </c>
      <c r="CH169" s="1713">
        <f t="shared" si="269"/>
        <v>300</v>
      </c>
      <c r="CI169" s="1649">
        <f t="shared" si="270"/>
        <v>561.12</v>
      </c>
      <c r="CJ169" s="1649">
        <f t="shared" si="271"/>
        <v>269.33999999999997</v>
      </c>
      <c r="CK169" s="1649">
        <f t="shared" si="272"/>
        <v>291.78000000000003</v>
      </c>
      <c r="CL169" s="1649">
        <f t="shared" si="273"/>
        <v>0</v>
      </c>
      <c r="CM169" s="1649">
        <f t="shared" si="274"/>
        <v>0</v>
      </c>
      <c r="CN169" s="1650">
        <f t="shared" si="275"/>
        <v>0</v>
      </c>
      <c r="CO169" s="1651">
        <v>0</v>
      </c>
      <c r="CP169" s="1650">
        <f t="shared" si="276"/>
        <v>0</v>
      </c>
      <c r="CQ169" s="1652">
        <f t="shared" si="277"/>
        <v>0</v>
      </c>
      <c r="CR169" s="1650">
        <f t="shared" si="278"/>
        <v>0</v>
      </c>
      <c r="CS169" s="1650">
        <f t="shared" si="279"/>
        <v>0</v>
      </c>
      <c r="CT169" s="1650">
        <f t="shared" si="280"/>
        <v>92.56</v>
      </c>
      <c r="CU169" s="1650">
        <f t="shared" si="281"/>
        <v>2120</v>
      </c>
      <c r="CV169" s="1653"/>
      <c r="CW169" s="1627" t="s">
        <v>7214</v>
      </c>
      <c r="CX169" s="1627" t="s">
        <v>7001</v>
      </c>
      <c r="CY169" s="1647"/>
      <c r="CZ169" s="1647" t="s">
        <v>6387</v>
      </c>
      <c r="DA169" s="1647" t="s">
        <v>6188</v>
      </c>
      <c r="DB169" s="1647" t="s">
        <v>6229</v>
      </c>
      <c r="DC169" s="1647" t="s">
        <v>6246</v>
      </c>
      <c r="DD169" s="1647"/>
      <c r="DE169" s="1647"/>
      <c r="DF169" s="1647"/>
      <c r="DG169" s="1647"/>
      <c r="DH169" s="1647"/>
      <c r="DJ169" s="1654" t="str">
        <f>VLOOKUP(X169,Hoja1!$A$4:$B$10,2,0)</f>
        <v>PROFESIONAL</v>
      </c>
      <c r="DK169" s="1654" t="str">
        <f>VLOOKUP(S169,Hoja1!$D$4:$F$77,3,0)</f>
        <v>PII - II</v>
      </c>
      <c r="DL169" s="1663" t="str">
        <f t="shared" si="282"/>
        <v>0</v>
      </c>
      <c r="DM169" s="1742" t="str">
        <f t="shared" si="283"/>
        <v>F</v>
      </c>
      <c r="DN169" s="1742"/>
    </row>
    <row r="170" spans="1:118" s="1654" customFormat="1" ht="21.95" customHeight="1">
      <c r="A170" s="1624" t="s">
        <v>2846</v>
      </c>
      <c r="B170" s="1625">
        <f t="shared" ca="1" si="355"/>
        <v>128</v>
      </c>
      <c r="C170" s="1626">
        <v>16065861</v>
      </c>
      <c r="D170" s="1627" t="s">
        <v>4813</v>
      </c>
      <c r="E170" s="1628" t="s">
        <v>4622</v>
      </c>
      <c r="F170" s="1629">
        <v>29958</v>
      </c>
      <c r="G170" s="1628" t="s">
        <v>4621</v>
      </c>
      <c r="H170" s="1629">
        <v>43906</v>
      </c>
      <c r="I170" s="1630">
        <f t="shared" si="259"/>
        <v>4</v>
      </c>
      <c r="J170" s="1631">
        <v>13</v>
      </c>
      <c r="K170" s="1630">
        <f t="shared" si="260"/>
        <v>17</v>
      </c>
      <c r="L170" s="1632" t="s">
        <v>5554</v>
      </c>
      <c r="M170" s="1631"/>
      <c r="N170" s="1631"/>
      <c r="O170" s="1633" t="s">
        <v>7429</v>
      </c>
      <c r="P170" s="1631" t="s">
        <v>5377</v>
      </c>
      <c r="Q170" s="1634" t="str">
        <f>IFERROR(VLOOKUP(O170,CARGOS!A:E,2,0),"")</f>
        <v>34236</v>
      </c>
      <c r="R170" s="1635" t="s">
        <v>7429</v>
      </c>
      <c r="S170" s="1636" t="s">
        <v>5473</v>
      </c>
      <c r="T170" s="1637">
        <f>IFERROR(VLOOKUP(S170,'TAB EMP'!A:B,2,0),0)</f>
        <v>285</v>
      </c>
      <c r="U170" s="1638">
        <v>0</v>
      </c>
      <c r="V170" s="1637">
        <f t="shared" si="288"/>
        <v>285</v>
      </c>
      <c r="W170" s="1638">
        <f t="shared" si="289"/>
        <v>142.5</v>
      </c>
      <c r="X170" s="1628" t="s">
        <v>2885</v>
      </c>
      <c r="Y170" s="1628"/>
      <c r="Z170" s="1628">
        <v>0</v>
      </c>
      <c r="AA170" s="1637">
        <f>ROUND(IF(H170&lt;&gt;"",VLOOKUP(SUM(I170+J170),'CONCEPTOS Y PARAMETROS'!F:G,2,0)*V170,0),2)</f>
        <v>60.42</v>
      </c>
      <c r="AB170" s="1637">
        <f>IF(S170&lt;&gt;"",IF(M170="",'CONCEPTOS Y PARAMETROS'!$C$4,0),0)</f>
        <v>130</v>
      </c>
      <c r="AC170" s="1637">
        <f>IF(S170&lt;&gt;"",IF(M170="",'CONCEPTOS Y PARAMETROS'!$C$7*Z170,0),0)</f>
        <v>0</v>
      </c>
      <c r="AD170" s="1637">
        <f>IFERROR(ROUND(VLOOKUP($X170,'CONCEPTOS Y PARAMETROS'!H:I,2,0)*($V170+AA170+AB170+AC170),2),0)</f>
        <v>118.86</v>
      </c>
      <c r="AE170" s="1637">
        <f t="shared" ref="AE170:AE246" si="376">SUM(AA170:AD170)</f>
        <v>309.28000000000003</v>
      </c>
      <c r="AF170" s="1637">
        <f t="shared" si="290"/>
        <v>30.21</v>
      </c>
      <c r="AG170" s="1637">
        <f t="shared" si="291"/>
        <v>30.21</v>
      </c>
      <c r="AH170" s="1637">
        <f t="shared" si="292"/>
        <v>65</v>
      </c>
      <c r="AI170" s="1637">
        <f t="shared" si="293"/>
        <v>65</v>
      </c>
      <c r="AJ170" s="1637">
        <f t="shared" si="294"/>
        <v>59.43</v>
      </c>
      <c r="AK170" s="1637">
        <f t="shared" si="295"/>
        <v>59.43</v>
      </c>
      <c r="AL170" s="1638">
        <f t="shared" si="296"/>
        <v>154.63999999999999</v>
      </c>
      <c r="AM170" s="1638">
        <f t="shared" si="297"/>
        <v>154.63999999999999</v>
      </c>
      <c r="AN170" s="1639">
        <v>0</v>
      </c>
      <c r="AO170" s="1640">
        <f>'CONCEPTOS Y PARAMETROS'!$C$18*AN170</f>
        <v>0</v>
      </c>
      <c r="AP170" s="1639">
        <v>0</v>
      </c>
      <c r="AQ170" s="1640">
        <f>'CONCEPTOS Y PARAMETROS'!$C$21*AP170</f>
        <v>0</v>
      </c>
      <c r="AR170" s="1641">
        <v>0</v>
      </c>
      <c r="AS170" s="1641">
        <v>0</v>
      </c>
      <c r="AT170" s="1641">
        <f t="shared" ref="AT170:AT196" si="377">+AO170+AQ170+AR170+AS170</f>
        <v>0</v>
      </c>
      <c r="AU170" s="1638">
        <f t="shared" si="298"/>
        <v>594.28</v>
      </c>
      <c r="AV170" s="1642">
        <v>0</v>
      </c>
      <c r="AW170" s="1638">
        <f t="shared" si="370"/>
        <v>0</v>
      </c>
      <c r="AX170" s="1637">
        <f>IF(T170&lt;&gt;"0",(ROUND(IF(A170="EMPLEADO",eval_formula('CONCEPTOS Y PARAMETROS'!$C$8,NOMINA!V170,NOMINA!$AU170,NOMINA!I170+NOMINA!J170),eval_formula('CONCEPTOS Y PARAMETROS'!$D$8,NOMINA!V170,NOMINA!$AU170,NOMINA!I170+NOMINA!J170)),2))*IF(H170&lt;&gt;"",IF(MONTH(H170)=$BR$8,IF(YEAR(H170)&lt;$BT$7,1,0),0)))</f>
        <v>0</v>
      </c>
      <c r="AY170" s="1638">
        <v>180</v>
      </c>
      <c r="AZ170" s="1637">
        <f>IFERROR(VLOOKUP(AY170,'CONCEPTOS Y PARAMETROS'!Y:Z,2,0),0)</f>
        <v>150</v>
      </c>
      <c r="BA170" s="1637">
        <f t="shared" si="300"/>
        <v>4457.1000000000004</v>
      </c>
      <c r="BB170" s="1637">
        <f t="shared" si="287"/>
        <v>0</v>
      </c>
      <c r="BC170" s="1639">
        <v>0</v>
      </c>
      <c r="BD170" s="1637" t="str">
        <f t="shared" si="301"/>
        <v>0</v>
      </c>
      <c r="BE170" s="1639">
        <v>0</v>
      </c>
      <c r="BF170" s="1637">
        <f t="shared" si="363"/>
        <v>0</v>
      </c>
      <c r="BG170" s="1638">
        <v>300</v>
      </c>
      <c r="BH170" s="1638">
        <f t="shared" si="261"/>
        <v>0</v>
      </c>
      <c r="BI170" s="1628">
        <v>0</v>
      </c>
      <c r="BJ170" s="1628">
        <f t="shared" si="372"/>
        <v>0</v>
      </c>
      <c r="BK170" s="1638">
        <v>0</v>
      </c>
      <c r="BL170" s="1637">
        <f t="shared" si="329"/>
        <v>21.94</v>
      </c>
      <c r="BM170" s="1637">
        <f t="shared" si="330"/>
        <v>2.74</v>
      </c>
      <c r="BN170" s="1637">
        <f t="shared" ref="BN170:BN201" si="378">ROUND(IF(M170="",(AU170*1%),0),2)</f>
        <v>5.94</v>
      </c>
      <c r="BO170" s="1637">
        <v>0</v>
      </c>
      <c r="BP170" s="1637">
        <v>0</v>
      </c>
      <c r="BQ170" s="1643">
        <f t="shared" si="373"/>
        <v>30.62</v>
      </c>
      <c r="BR170" s="1637">
        <f t="shared" si="331"/>
        <v>49.37</v>
      </c>
      <c r="BS170" s="1637">
        <f t="shared" si="332"/>
        <v>10.97</v>
      </c>
      <c r="BT170" s="1637">
        <f t="shared" si="264"/>
        <v>11.88</v>
      </c>
      <c r="BU170" s="1637">
        <v>0</v>
      </c>
      <c r="BV170" s="1638">
        <f t="shared" si="374"/>
        <v>72.22</v>
      </c>
      <c r="BW170" s="1644">
        <f t="shared" si="375"/>
        <v>102.84</v>
      </c>
      <c r="BX170" s="1644">
        <f t="shared" si="362"/>
        <v>1114.28</v>
      </c>
      <c r="BY170" s="1638">
        <v>0</v>
      </c>
      <c r="BZ170" s="1638">
        <f t="shared" si="371"/>
        <v>1114.28</v>
      </c>
      <c r="CA170" s="1645">
        <f>'CONCEPTOS Y PARAMETROS'!$A$102</f>
        <v>2120</v>
      </c>
      <c r="CB170" s="1644">
        <f t="shared" si="266"/>
        <v>266.52</v>
      </c>
      <c r="CC170" s="1646">
        <f t="shared" si="267"/>
        <v>597.14</v>
      </c>
      <c r="CD170" s="1647"/>
      <c r="CE170" s="1647"/>
      <c r="CF170" s="1648"/>
      <c r="CG170" s="1649">
        <f t="shared" si="268"/>
        <v>266.52</v>
      </c>
      <c r="CH170" s="1713">
        <f t="shared" si="269"/>
        <v>300</v>
      </c>
      <c r="CI170" s="1649">
        <f t="shared" si="270"/>
        <v>597.14</v>
      </c>
      <c r="CJ170" s="1649">
        <f t="shared" si="271"/>
        <v>286.63</v>
      </c>
      <c r="CK170" s="1649">
        <f t="shared" si="272"/>
        <v>310.51</v>
      </c>
      <c r="CL170" s="1649">
        <f t="shared" si="273"/>
        <v>0</v>
      </c>
      <c r="CM170" s="1649">
        <f t="shared" si="274"/>
        <v>0</v>
      </c>
      <c r="CN170" s="1650">
        <f t="shared" si="275"/>
        <v>0</v>
      </c>
      <c r="CO170" s="1651">
        <v>0</v>
      </c>
      <c r="CP170" s="1650">
        <f t="shared" si="276"/>
        <v>0</v>
      </c>
      <c r="CQ170" s="1652">
        <f t="shared" si="277"/>
        <v>0</v>
      </c>
      <c r="CR170" s="1650">
        <f t="shared" si="278"/>
        <v>0</v>
      </c>
      <c r="CS170" s="1650">
        <f t="shared" si="279"/>
        <v>0</v>
      </c>
      <c r="CT170" s="1650">
        <f t="shared" si="280"/>
        <v>102.84</v>
      </c>
      <c r="CU170" s="1650">
        <f t="shared" si="281"/>
        <v>2120</v>
      </c>
      <c r="CV170" s="1653"/>
      <c r="CW170" s="1627" t="s">
        <v>6998</v>
      </c>
      <c r="CX170" s="1627" t="s">
        <v>7084</v>
      </c>
      <c r="CY170" s="1647"/>
      <c r="CZ170" s="1647" t="s">
        <v>6413</v>
      </c>
      <c r="DA170" s="1647" t="s">
        <v>6196</v>
      </c>
      <c r="DB170" s="1647" t="s">
        <v>6260</v>
      </c>
      <c r="DC170" s="1647" t="s">
        <v>6411</v>
      </c>
      <c r="DD170" s="1647"/>
      <c r="DE170" s="1647"/>
      <c r="DF170" s="1647"/>
      <c r="DG170" s="1647"/>
      <c r="DH170" s="1647"/>
      <c r="DJ170" s="1654" t="str">
        <f>VLOOKUP(X170,Hoja1!$A$4:$B$10,2,0)</f>
        <v>PROFESIONAL</v>
      </c>
      <c r="DK170" s="1654" t="str">
        <f>VLOOKUP(S170,Hoja1!$D$4:$F$77,3,0)</f>
        <v>PII - VI</v>
      </c>
      <c r="DL170" s="1663" t="str">
        <f t="shared" si="282"/>
        <v>0</v>
      </c>
      <c r="DM170" s="1742" t="str">
        <f t="shared" si="283"/>
        <v>M</v>
      </c>
      <c r="DN170" s="1742"/>
    </row>
    <row r="171" spans="1:118" s="473" customFormat="1" ht="21.95" customHeight="1">
      <c r="A171" s="510" t="s">
        <v>2846</v>
      </c>
      <c r="B171" s="1390">
        <f t="shared" ca="1" si="355"/>
        <v>129</v>
      </c>
      <c r="C171" s="1194">
        <v>16066524</v>
      </c>
      <c r="D171" s="1195" t="s">
        <v>4814</v>
      </c>
      <c r="E171" s="1180" t="s">
        <v>4622</v>
      </c>
      <c r="F171" s="1196">
        <v>30061</v>
      </c>
      <c r="G171" s="1180" t="s">
        <v>4620</v>
      </c>
      <c r="H171" s="1196">
        <v>41456</v>
      </c>
      <c r="I171" s="1185">
        <f t="shared" ref="I171:I234" si="379">IF(AND(YEAR(H171)&lt;YEAR($H$10),MONTH(H171)&gt;$BR$8),YEAR($H$10)-YEAR(H171)-1,IF(OR(H171="",YEAR(H171)&gt;YEAR($H$10)),0,YEAR($H$10)-YEAR(H171)))</f>
        <v>11</v>
      </c>
      <c r="J171" s="1177">
        <v>0</v>
      </c>
      <c r="K171" s="1185">
        <f t="shared" ref="K171:K234" si="380">I171+J171</f>
        <v>11</v>
      </c>
      <c r="L171" s="1191" t="s">
        <v>5558</v>
      </c>
      <c r="M171" s="1177"/>
      <c r="N171" s="1177"/>
      <c r="O171" s="1040" t="s">
        <v>5219</v>
      </c>
      <c r="P171" s="1177" t="s">
        <v>5378</v>
      </c>
      <c r="Q171" s="1391" t="str">
        <f>IFERROR(VLOOKUP(O171,CARGOS!A:E,2,0),"")</f>
        <v>12113</v>
      </c>
      <c r="R171" s="1403" t="s">
        <v>5219</v>
      </c>
      <c r="S171" s="1192" t="s">
        <v>5485</v>
      </c>
      <c r="T171" s="1150">
        <f>IFERROR(VLOOKUP(S171,'TAB EMP'!A:B,2,0),0)</f>
        <v>223</v>
      </c>
      <c r="U171" s="1151">
        <v>0</v>
      </c>
      <c r="V171" s="1150">
        <f t="shared" si="288"/>
        <v>223</v>
      </c>
      <c r="W171" s="1151">
        <f t="shared" si="289"/>
        <v>111.5</v>
      </c>
      <c r="X171" s="1180" t="s">
        <v>2844</v>
      </c>
      <c r="Y171" s="1180"/>
      <c r="Z171" s="1180">
        <v>2</v>
      </c>
      <c r="AA171" s="1150">
        <f>ROUND(IF(H171&lt;&gt;"",VLOOKUP(SUM(I171+J171),'CONCEPTOS Y PARAMETROS'!F:G,2,0)*V171,0),2)</f>
        <v>27.65</v>
      </c>
      <c r="AB171" s="1150">
        <f>IF(S171&lt;&gt;"",IF(M171="",'CONCEPTOS Y PARAMETROS'!$C$4,0),0)</f>
        <v>130</v>
      </c>
      <c r="AC171" s="1150">
        <f>IF(S171&lt;&gt;"",IF(M171="",'CONCEPTOS Y PARAMETROS'!$C$7*Z171,0),0)</f>
        <v>25</v>
      </c>
      <c r="AD171" s="1150">
        <f>IFERROR(ROUND(VLOOKUP($X171,'CONCEPTOS Y PARAMETROS'!H:I,2,0)*($V171+AA171+AB171+AC171),2),0)</f>
        <v>81.13</v>
      </c>
      <c r="AE171" s="1150">
        <f t="shared" si="376"/>
        <v>263.77999999999997</v>
      </c>
      <c r="AF171" s="1150">
        <f t="shared" si="290"/>
        <v>13.83</v>
      </c>
      <c r="AG171" s="1150">
        <f t="shared" si="291"/>
        <v>13.82</v>
      </c>
      <c r="AH171" s="1150">
        <f t="shared" si="292"/>
        <v>65</v>
      </c>
      <c r="AI171" s="1150">
        <f t="shared" si="293"/>
        <v>65</v>
      </c>
      <c r="AJ171" s="1150">
        <f t="shared" si="294"/>
        <v>40.57</v>
      </c>
      <c r="AK171" s="1150">
        <f t="shared" si="295"/>
        <v>40.56</v>
      </c>
      <c r="AL171" s="1151">
        <f t="shared" si="296"/>
        <v>144.4</v>
      </c>
      <c r="AM171" s="1151">
        <f t="shared" si="297"/>
        <v>119.38</v>
      </c>
      <c r="AN171" s="1583">
        <v>2</v>
      </c>
      <c r="AO171" s="1193">
        <f>'CONCEPTOS Y PARAMETROS'!$C$18*AN171</f>
        <v>25</v>
      </c>
      <c r="AP171" s="1028">
        <v>0</v>
      </c>
      <c r="AQ171" s="1193">
        <f>'CONCEPTOS Y PARAMETROS'!$C$21*AP171</f>
        <v>0</v>
      </c>
      <c r="AR171" s="1394">
        <v>0</v>
      </c>
      <c r="AS171" s="1394">
        <v>0</v>
      </c>
      <c r="AT171" s="1394">
        <f t="shared" si="377"/>
        <v>25</v>
      </c>
      <c r="AU171" s="1151">
        <f t="shared" si="298"/>
        <v>486.78</v>
      </c>
      <c r="AV171" s="1178">
        <v>0</v>
      </c>
      <c r="AW171" s="1151">
        <f t="shared" si="370"/>
        <v>0</v>
      </c>
      <c r="AX171" s="1150">
        <f>IF(T171&lt;&gt;"0",(ROUND(IF(A171="EMPLEADO",eval_formula('CONCEPTOS Y PARAMETROS'!$C$8,NOMINA!V171,NOMINA!$AU171,NOMINA!I171+NOMINA!J171),eval_formula('CONCEPTOS Y PARAMETROS'!$D$8,NOMINA!V171,NOMINA!$AU171,NOMINA!I171+NOMINA!J171)),2))*IF(H171&lt;&gt;"",IF(MONTH(H171)=$BR$8,IF(YEAR(H171)&lt;$BT$7,1,0),0)))</f>
        <v>0</v>
      </c>
      <c r="AY171" s="1151">
        <v>180</v>
      </c>
      <c r="AZ171" s="1150">
        <f>IFERROR(VLOOKUP(AY171,'CONCEPTOS Y PARAMETROS'!Y:Z,2,0),0)</f>
        <v>150</v>
      </c>
      <c r="BA171" s="1150">
        <f t="shared" si="300"/>
        <v>3650.85</v>
      </c>
      <c r="BB171" s="1150">
        <f t="shared" ref="BB171:BB233" si="381">ROUND(AU171/30*$BB$10,2)</f>
        <v>0</v>
      </c>
      <c r="BC171" s="1028">
        <v>0</v>
      </c>
      <c r="BD171" s="1150" t="str">
        <f t="shared" si="301"/>
        <v>0</v>
      </c>
      <c r="BE171" s="1028">
        <v>0</v>
      </c>
      <c r="BF171" s="1150">
        <f t="shared" si="363"/>
        <v>0</v>
      </c>
      <c r="BG171" s="1151">
        <v>300</v>
      </c>
      <c r="BH171" s="1151">
        <f t="shared" ref="BH171:BH234" si="382">+IF(AND(Z171&gt;0,G171="M"),12.5,0)*0</f>
        <v>0</v>
      </c>
      <c r="BI171" s="1180">
        <v>0</v>
      </c>
      <c r="BJ171" s="1180">
        <f t="shared" si="372"/>
        <v>0</v>
      </c>
      <c r="BK171" s="1151">
        <v>0</v>
      </c>
      <c r="BL171" s="1150">
        <f t="shared" si="329"/>
        <v>17.97</v>
      </c>
      <c r="BM171" s="1150">
        <f t="shared" si="330"/>
        <v>2.25</v>
      </c>
      <c r="BN171" s="1150">
        <f t="shared" si="378"/>
        <v>4.87</v>
      </c>
      <c r="BO171" s="1150">
        <v>0</v>
      </c>
      <c r="BP171" s="1150">
        <v>0</v>
      </c>
      <c r="BQ171" s="1396">
        <f t="shared" si="373"/>
        <v>25.09</v>
      </c>
      <c r="BR171" s="1150">
        <f t="shared" si="331"/>
        <v>40.44</v>
      </c>
      <c r="BS171" s="1150">
        <f t="shared" si="332"/>
        <v>8.99</v>
      </c>
      <c r="BT171" s="1150">
        <f t="shared" ref="BT171:BT234" si="383">ROUND(IF(M171="",(BN171*2),0),2)</f>
        <v>9.74</v>
      </c>
      <c r="BU171" s="1150">
        <v>0</v>
      </c>
      <c r="BV171" s="1151">
        <f t="shared" si="374"/>
        <v>59.17</v>
      </c>
      <c r="BW171" s="1155">
        <f t="shared" si="375"/>
        <v>84.26</v>
      </c>
      <c r="BX171" s="1155">
        <f t="shared" si="362"/>
        <v>912.71</v>
      </c>
      <c r="BY171" s="1151">
        <v>0</v>
      </c>
      <c r="BZ171" s="1151">
        <f t="shared" si="371"/>
        <v>912.71</v>
      </c>
      <c r="CA171" s="1397">
        <f>'CONCEPTOS Y PARAMETROS'!$A$102</f>
        <v>2120</v>
      </c>
      <c r="CB171" s="1155">
        <f t="shared" ref="CB171:CB234" si="384">W171+AL171-BQ171</f>
        <v>230.81</v>
      </c>
      <c r="CC171" s="1156">
        <f t="shared" ref="CC171:CC234" si="385">ROUND((W171+AM171+AT171+AW171+AX171+BB171+BD171+BF171+BJ171+BK171+BG171),2)</f>
        <v>555.88</v>
      </c>
      <c r="CD171" s="514"/>
      <c r="CE171" s="514"/>
      <c r="CF171" s="520"/>
      <c r="CG171" s="497">
        <f t="shared" ref="CG171:CG234" si="386">W171+AL171-BQ171</f>
        <v>230.81</v>
      </c>
      <c r="CH171" s="1711">
        <f t="shared" ref="CH171:CH234" si="387">BG171</f>
        <v>300</v>
      </c>
      <c r="CI171" s="497">
        <f t="shared" ref="CI171:CI234" si="388">W171+AM171+BG171</f>
        <v>530.88</v>
      </c>
      <c r="CJ171" s="497">
        <f t="shared" ref="CJ171:CJ234" si="389">ROUND(IF(CI171&gt;560,CI171*48%,CI171),2)</f>
        <v>530.88</v>
      </c>
      <c r="CK171" s="497">
        <f t="shared" ref="CK171:CK234" si="390">+CI171-CJ171</f>
        <v>0</v>
      </c>
      <c r="CL171" s="497">
        <f t="shared" ref="CL171:CL234" si="391">+BJ171</f>
        <v>0</v>
      </c>
      <c r="CM171" s="497">
        <f t="shared" ref="CM171:CM234" si="392">+BK171</f>
        <v>0</v>
      </c>
      <c r="CN171" s="498">
        <f t="shared" ref="CN171:CN234" si="393">BF171+BB171</f>
        <v>0</v>
      </c>
      <c r="CO171" s="499">
        <v>0</v>
      </c>
      <c r="CP171" s="498">
        <f t="shared" ref="CP171:CP234" si="394">AW171</f>
        <v>0</v>
      </c>
      <c r="CQ171" s="500">
        <f t="shared" ref="CQ171:CQ234" si="395">AT171+CL171+CM171</f>
        <v>25</v>
      </c>
      <c r="CR171" s="498">
        <f t="shared" ref="CR171:CR234" si="396">AX171</f>
        <v>0</v>
      </c>
      <c r="CS171" s="498">
        <f t="shared" ref="CS171:CS234" si="397">SUM(CL171:CR171)</f>
        <v>25</v>
      </c>
      <c r="CT171" s="498">
        <f t="shared" ref="CT171:CT234" si="398">BQ171+BV171</f>
        <v>84.26</v>
      </c>
      <c r="CU171" s="498">
        <f t="shared" ref="CU171:CU234" si="399">CA171</f>
        <v>2120</v>
      </c>
      <c r="CV171" s="1554"/>
      <c r="CW171" s="1195" t="s">
        <v>7215</v>
      </c>
      <c r="CX171" s="1195" t="s">
        <v>7002</v>
      </c>
      <c r="CY171" s="472"/>
      <c r="CZ171" s="514" t="s">
        <v>6272</v>
      </c>
      <c r="DA171" s="1199" t="s">
        <v>6657</v>
      </c>
      <c r="DB171" s="514" t="s">
        <v>6273</v>
      </c>
      <c r="DC171" s="514" t="s">
        <v>6701</v>
      </c>
      <c r="DD171" s="514"/>
      <c r="DE171" s="514"/>
      <c r="DF171" s="472"/>
      <c r="DG171" s="472"/>
      <c r="DH171" s="472"/>
      <c r="DJ171" s="473" t="str">
        <f>VLOOKUP(X171,Hoja1!$A$4:$B$10,2,0)</f>
        <v>TÉCNICO SUPERIOR UNIVERSITARIO</v>
      </c>
      <c r="DK171" s="473" t="str">
        <f>VLOOKUP(S171,Hoja1!$D$4:$F$77,3,0)</f>
        <v>TII - IV</v>
      </c>
      <c r="DL171" s="1216" t="str">
        <f t="shared" ref="DL171:DL234" si="400">IF(AV171="NOCTURN","SI","0")</f>
        <v>0</v>
      </c>
      <c r="DM171" s="1741" t="str">
        <f t="shared" ref="DM171:DM234" si="401">+G171</f>
        <v>F</v>
      </c>
      <c r="DN171" s="1741"/>
    </row>
    <row r="172" spans="1:118" s="473" customFormat="1" ht="21.95" customHeight="1">
      <c r="A172" s="510" t="s">
        <v>2846</v>
      </c>
      <c r="B172" s="1390">
        <f t="shared" ca="1" si="355"/>
        <v>130</v>
      </c>
      <c r="C172" s="1194">
        <v>16066554</v>
      </c>
      <c r="D172" s="1195" t="s">
        <v>4815</v>
      </c>
      <c r="E172" s="1180" t="s">
        <v>4622</v>
      </c>
      <c r="F172" s="1196">
        <v>29238</v>
      </c>
      <c r="G172" s="1180" t="s">
        <v>4620</v>
      </c>
      <c r="H172" s="1196">
        <v>38797</v>
      </c>
      <c r="I172" s="1185">
        <f t="shared" si="379"/>
        <v>18</v>
      </c>
      <c r="J172" s="1177">
        <v>0</v>
      </c>
      <c r="K172" s="1185">
        <f t="shared" si="380"/>
        <v>18</v>
      </c>
      <c r="L172" s="1191" t="s">
        <v>5555</v>
      </c>
      <c r="M172" s="1177"/>
      <c r="N172" s="1177"/>
      <c r="O172" s="1040" t="s">
        <v>5261</v>
      </c>
      <c r="P172" s="1177" t="s">
        <v>5379</v>
      </c>
      <c r="Q172" s="1391" t="str">
        <f>IFERROR(VLOOKUP(O172,CARGOS!A:E,2,0),"")</f>
        <v>21214</v>
      </c>
      <c r="R172" s="1403" t="s">
        <v>5261</v>
      </c>
      <c r="S172" s="1192" t="s">
        <v>5471</v>
      </c>
      <c r="T172" s="1150">
        <f>IFERROR(VLOOKUP(S172,'TAB EMP'!A:B,2,0),0)</f>
        <v>287</v>
      </c>
      <c r="U172" s="1151">
        <v>0</v>
      </c>
      <c r="V172" s="1150">
        <f t="shared" si="288"/>
        <v>287</v>
      </c>
      <c r="W172" s="1151">
        <f t="shared" si="289"/>
        <v>143.5</v>
      </c>
      <c r="X172" s="1180" t="s">
        <v>2885</v>
      </c>
      <c r="Y172" s="1180"/>
      <c r="Z172" s="1180">
        <v>2</v>
      </c>
      <c r="AA172" s="1150">
        <f>ROUND(IF(H172&lt;&gt;"",VLOOKUP(SUM(I172+J172),'CONCEPTOS Y PARAMETROS'!F:G,2,0)*V172,0),2)</f>
        <v>65.44</v>
      </c>
      <c r="AB172" s="1150">
        <f>IF(S172&lt;&gt;"",IF(M172="",'CONCEPTOS Y PARAMETROS'!$C$4,0),0)</f>
        <v>130</v>
      </c>
      <c r="AC172" s="1150">
        <f>IF(S172&lt;&gt;"",IF(M172="",'CONCEPTOS Y PARAMETROS'!$C$7*Z172,0),0)</f>
        <v>25</v>
      </c>
      <c r="AD172" s="1150">
        <f>IFERROR(ROUND(VLOOKUP($X172,'CONCEPTOS Y PARAMETROS'!H:I,2,0)*($V172+AA172+AB172+AC172),2),0)</f>
        <v>126.86</v>
      </c>
      <c r="AE172" s="1150">
        <f t="shared" si="376"/>
        <v>347.3</v>
      </c>
      <c r="AF172" s="1150">
        <f t="shared" si="290"/>
        <v>32.72</v>
      </c>
      <c r="AG172" s="1150">
        <f t="shared" si="291"/>
        <v>32.72</v>
      </c>
      <c r="AH172" s="1150">
        <f t="shared" si="292"/>
        <v>65</v>
      </c>
      <c r="AI172" s="1150">
        <f t="shared" si="293"/>
        <v>65</v>
      </c>
      <c r="AJ172" s="1150">
        <f t="shared" si="294"/>
        <v>63.43</v>
      </c>
      <c r="AK172" s="1150">
        <f t="shared" si="295"/>
        <v>63.43</v>
      </c>
      <c r="AL172" s="1151">
        <f t="shared" si="296"/>
        <v>186.15</v>
      </c>
      <c r="AM172" s="1151">
        <f t="shared" si="297"/>
        <v>161.15</v>
      </c>
      <c r="AN172" s="1028">
        <v>0</v>
      </c>
      <c r="AO172" s="1193">
        <f>'CONCEPTOS Y PARAMETROS'!$C$18*AN172</f>
        <v>0</v>
      </c>
      <c r="AP172" s="1028">
        <v>0</v>
      </c>
      <c r="AQ172" s="1193">
        <f>'CONCEPTOS Y PARAMETROS'!$C$21*AP172</f>
        <v>0</v>
      </c>
      <c r="AR172" s="1394">
        <v>0</v>
      </c>
      <c r="AS172" s="1394">
        <v>0</v>
      </c>
      <c r="AT172" s="1394">
        <f t="shared" si="377"/>
        <v>0</v>
      </c>
      <c r="AU172" s="1151">
        <f t="shared" si="298"/>
        <v>634.29999999999995</v>
      </c>
      <c r="AV172" s="1178">
        <v>0</v>
      </c>
      <c r="AW172" s="1151">
        <f t="shared" si="370"/>
        <v>0</v>
      </c>
      <c r="AX172" s="1150">
        <f>IF(T172&lt;&gt;"0",(ROUND(IF(A172="EMPLEADO",eval_formula('CONCEPTOS Y PARAMETROS'!$C$8,NOMINA!V172,NOMINA!$AU172,NOMINA!I172+NOMINA!J172),eval_formula('CONCEPTOS Y PARAMETROS'!$D$8,NOMINA!V172,NOMINA!$AU172,NOMINA!I172+NOMINA!J172)),2))*IF(H172&lt;&gt;"",IF(MONTH(H172)=$BR$8,IF(YEAR(H172)&lt;$BT$7,1,0),0)))</f>
        <v>0</v>
      </c>
      <c r="AY172" s="1151">
        <v>180</v>
      </c>
      <c r="AZ172" s="1150">
        <f>IFERROR(VLOOKUP(AY172,'CONCEPTOS Y PARAMETROS'!Y:Z,2,0),0)</f>
        <v>150</v>
      </c>
      <c r="BA172" s="1150">
        <f t="shared" si="300"/>
        <v>4757.25</v>
      </c>
      <c r="BB172" s="1150">
        <f t="shared" si="381"/>
        <v>0</v>
      </c>
      <c r="BC172" s="1028">
        <v>0</v>
      </c>
      <c r="BD172" s="1150" t="str">
        <f t="shared" si="301"/>
        <v>0</v>
      </c>
      <c r="BE172" s="1028">
        <v>0</v>
      </c>
      <c r="BF172" s="1150">
        <f t="shared" si="363"/>
        <v>0</v>
      </c>
      <c r="BG172" s="1151">
        <v>300</v>
      </c>
      <c r="BH172" s="1151">
        <f t="shared" si="382"/>
        <v>0</v>
      </c>
      <c r="BI172" s="1180">
        <v>0</v>
      </c>
      <c r="BJ172" s="1180">
        <f t="shared" si="372"/>
        <v>0</v>
      </c>
      <c r="BK172" s="1151">
        <v>0</v>
      </c>
      <c r="BL172" s="1150">
        <f t="shared" si="329"/>
        <v>23.42</v>
      </c>
      <c r="BM172" s="1150">
        <f t="shared" si="330"/>
        <v>2.93</v>
      </c>
      <c r="BN172" s="1150">
        <f t="shared" si="378"/>
        <v>6.34</v>
      </c>
      <c r="BO172" s="1150">
        <v>0</v>
      </c>
      <c r="BP172" s="1150">
        <v>0</v>
      </c>
      <c r="BQ172" s="1396">
        <f t="shared" si="373"/>
        <v>32.69</v>
      </c>
      <c r="BR172" s="1150">
        <f t="shared" si="331"/>
        <v>52.7</v>
      </c>
      <c r="BS172" s="1150">
        <f t="shared" si="332"/>
        <v>11.71</v>
      </c>
      <c r="BT172" s="1150">
        <f t="shared" si="383"/>
        <v>12.68</v>
      </c>
      <c r="BU172" s="1150">
        <v>0</v>
      </c>
      <c r="BV172" s="1151">
        <f t="shared" si="374"/>
        <v>77.09</v>
      </c>
      <c r="BW172" s="1155">
        <f t="shared" si="375"/>
        <v>109.78</v>
      </c>
      <c r="BX172" s="1155">
        <f t="shared" si="362"/>
        <v>1189.31</v>
      </c>
      <c r="BY172" s="1151">
        <v>0</v>
      </c>
      <c r="BZ172" s="1151">
        <f t="shared" si="371"/>
        <v>1189.31</v>
      </c>
      <c r="CA172" s="1397">
        <f>'CONCEPTOS Y PARAMETROS'!$A$102</f>
        <v>2120</v>
      </c>
      <c r="CB172" s="1155">
        <f t="shared" si="384"/>
        <v>296.95999999999998</v>
      </c>
      <c r="CC172" s="1156">
        <f t="shared" si="385"/>
        <v>604.65</v>
      </c>
      <c r="CD172" s="514"/>
      <c r="CE172" s="514"/>
      <c r="CF172" s="520"/>
      <c r="CG172" s="497">
        <f t="shared" si="386"/>
        <v>296.95999999999998</v>
      </c>
      <c r="CH172" s="1711">
        <f t="shared" si="387"/>
        <v>300</v>
      </c>
      <c r="CI172" s="497">
        <f t="shared" si="388"/>
        <v>604.65</v>
      </c>
      <c r="CJ172" s="497">
        <f t="shared" si="389"/>
        <v>290.23</v>
      </c>
      <c r="CK172" s="497">
        <f t="shared" si="390"/>
        <v>314.41999999999996</v>
      </c>
      <c r="CL172" s="497">
        <f t="shared" si="391"/>
        <v>0</v>
      </c>
      <c r="CM172" s="497">
        <f t="shared" si="392"/>
        <v>0</v>
      </c>
      <c r="CN172" s="498">
        <f t="shared" si="393"/>
        <v>0</v>
      </c>
      <c r="CO172" s="499">
        <v>0</v>
      </c>
      <c r="CP172" s="498">
        <f t="shared" si="394"/>
        <v>0</v>
      </c>
      <c r="CQ172" s="500">
        <f t="shared" si="395"/>
        <v>0</v>
      </c>
      <c r="CR172" s="498">
        <f t="shared" si="396"/>
        <v>0</v>
      </c>
      <c r="CS172" s="498">
        <f t="shared" si="397"/>
        <v>0</v>
      </c>
      <c r="CT172" s="498">
        <f t="shared" si="398"/>
        <v>109.78</v>
      </c>
      <c r="CU172" s="498">
        <f t="shared" si="399"/>
        <v>2120</v>
      </c>
      <c r="CV172" s="1554"/>
      <c r="CW172" s="1195" t="s">
        <v>6998</v>
      </c>
      <c r="CX172" s="1195" t="s">
        <v>6935</v>
      </c>
      <c r="CY172" s="472"/>
      <c r="CZ172" s="514" t="s">
        <v>6484</v>
      </c>
      <c r="DA172" s="514" t="s">
        <v>6485</v>
      </c>
      <c r="DB172" s="514" t="s">
        <v>6486</v>
      </c>
      <c r="DC172" s="514" t="s">
        <v>6487</v>
      </c>
      <c r="DD172" s="514"/>
      <c r="DE172" s="514"/>
      <c r="DF172" s="472"/>
      <c r="DG172" s="472"/>
      <c r="DH172" s="472"/>
      <c r="DJ172" s="473" t="str">
        <f>VLOOKUP(X172,Hoja1!$A$4:$B$10,2,0)</f>
        <v>PROFESIONAL</v>
      </c>
      <c r="DK172" s="473" t="str">
        <f>VLOOKUP(S172,Hoja1!$D$4:$F$77,3,0)</f>
        <v>PII - VII</v>
      </c>
      <c r="DL172" s="1216" t="str">
        <f t="shared" si="400"/>
        <v>0</v>
      </c>
      <c r="DM172" s="1741" t="str">
        <f t="shared" si="401"/>
        <v>F</v>
      </c>
      <c r="DN172" s="1741"/>
    </row>
    <row r="173" spans="1:118" s="473" customFormat="1" ht="21.95" customHeight="1">
      <c r="A173" s="510" t="s">
        <v>2846</v>
      </c>
      <c r="B173" s="1390">
        <f t="shared" ca="1" si="355"/>
        <v>131</v>
      </c>
      <c r="C173" s="1194">
        <v>16266033</v>
      </c>
      <c r="D173" s="1195" t="s">
        <v>4816</v>
      </c>
      <c r="E173" s="1180" t="s">
        <v>4622</v>
      </c>
      <c r="F173" s="1196">
        <v>30376</v>
      </c>
      <c r="G173" s="1180" t="s">
        <v>4620</v>
      </c>
      <c r="H173" s="1196">
        <v>44713</v>
      </c>
      <c r="I173" s="1185">
        <f t="shared" si="379"/>
        <v>2</v>
      </c>
      <c r="J173" s="1177">
        <v>0</v>
      </c>
      <c r="K173" s="1185">
        <f t="shared" si="380"/>
        <v>2</v>
      </c>
      <c r="L173" s="1191" t="s">
        <v>5550</v>
      </c>
      <c r="M173" s="1177"/>
      <c r="N173" s="1177"/>
      <c r="O173" s="1040" t="s">
        <v>5222</v>
      </c>
      <c r="P173" s="1177" t="s">
        <v>5380</v>
      </c>
      <c r="Q173" s="1391" t="str">
        <f>IFERROR(VLOOKUP(O173,CARGOS!A:E,2,0),"")</f>
        <v>79511</v>
      </c>
      <c r="R173" s="1403" t="s">
        <v>5222</v>
      </c>
      <c r="S173" s="1192" t="s">
        <v>5475</v>
      </c>
      <c r="T173" s="1150">
        <f>IFERROR(VLOOKUP(S173,'TAB EMP'!A:B,2,0),0)</f>
        <v>192</v>
      </c>
      <c r="U173" s="1151">
        <v>0</v>
      </c>
      <c r="V173" s="1150">
        <f t="shared" si="288"/>
        <v>192</v>
      </c>
      <c r="W173" s="1151">
        <f t="shared" si="289"/>
        <v>96</v>
      </c>
      <c r="X173" s="1180" t="s">
        <v>2885</v>
      </c>
      <c r="Y173" s="1180"/>
      <c r="Z173" s="1180">
        <v>2</v>
      </c>
      <c r="AA173" s="1150">
        <f>ROUND(IF(H173&lt;&gt;"",VLOOKUP(SUM(I173+J173),'CONCEPTOS Y PARAMETROS'!F:G,2,0)*V173,0),2)</f>
        <v>3.84</v>
      </c>
      <c r="AB173" s="1150">
        <f>IF(S173&lt;&gt;"",IF(M173="",'CONCEPTOS Y PARAMETROS'!$C$4,0),0)</f>
        <v>130</v>
      </c>
      <c r="AC173" s="1150">
        <f>IF(S173&lt;&gt;"",IF(M173="",'CONCEPTOS Y PARAMETROS'!$C$7*Z173,0),0)</f>
        <v>25</v>
      </c>
      <c r="AD173" s="1150">
        <f>IFERROR(ROUND(VLOOKUP($X173,'CONCEPTOS Y PARAMETROS'!H:I,2,0)*($V173+AA173+AB173+AC173),2),0)</f>
        <v>87.71</v>
      </c>
      <c r="AE173" s="1150">
        <f t="shared" si="376"/>
        <v>246.55</v>
      </c>
      <c r="AF173" s="1150">
        <f t="shared" si="290"/>
        <v>1.92</v>
      </c>
      <c r="AG173" s="1150">
        <f t="shared" si="291"/>
        <v>1.92</v>
      </c>
      <c r="AH173" s="1150">
        <f t="shared" si="292"/>
        <v>65</v>
      </c>
      <c r="AI173" s="1150">
        <f t="shared" si="293"/>
        <v>65</v>
      </c>
      <c r="AJ173" s="1150">
        <f t="shared" si="294"/>
        <v>43.86</v>
      </c>
      <c r="AK173" s="1150">
        <f t="shared" si="295"/>
        <v>43.85</v>
      </c>
      <c r="AL173" s="1151">
        <f t="shared" si="296"/>
        <v>135.78</v>
      </c>
      <c r="AM173" s="1151">
        <f t="shared" si="297"/>
        <v>110.77</v>
      </c>
      <c r="AN173" s="1583">
        <v>2</v>
      </c>
      <c r="AO173" s="1193">
        <f>'CONCEPTOS Y PARAMETROS'!$C$18*AN173</f>
        <v>25</v>
      </c>
      <c r="AP173" s="1028">
        <v>0</v>
      </c>
      <c r="AQ173" s="1193">
        <f>'CONCEPTOS Y PARAMETROS'!$C$21*AP173</f>
        <v>0</v>
      </c>
      <c r="AR173" s="1394">
        <v>0</v>
      </c>
      <c r="AS173" s="1394">
        <v>0</v>
      </c>
      <c r="AT173" s="1394">
        <f t="shared" si="377"/>
        <v>25</v>
      </c>
      <c r="AU173" s="1151">
        <f t="shared" si="298"/>
        <v>570.12</v>
      </c>
      <c r="AV173" s="1178" t="s">
        <v>5080</v>
      </c>
      <c r="AW173" s="1151">
        <f t="shared" si="370"/>
        <v>131.57</v>
      </c>
      <c r="AX173" s="1150">
        <f>IF(T173&lt;&gt;"0",(ROUND(IF(A173="EMPLEADO",eval_formula('CONCEPTOS Y PARAMETROS'!$C$8,NOMINA!V173,NOMINA!$AU173,NOMINA!I173+NOMINA!J173),eval_formula('CONCEPTOS Y PARAMETROS'!$D$8,NOMINA!V173,NOMINA!$AU173,NOMINA!I173+NOMINA!J173)),2))*IF(H173&lt;&gt;"",IF(MONTH(H173)=$BR$8,IF(YEAR(H173)&lt;$BT$7,1,0),0)))</f>
        <v>0</v>
      </c>
      <c r="AY173" s="1151">
        <v>180</v>
      </c>
      <c r="AZ173" s="1150">
        <f>IFERROR(VLOOKUP(AY173,'CONCEPTOS Y PARAMETROS'!Y:Z,2,0),0)</f>
        <v>150</v>
      </c>
      <c r="BA173" s="1150">
        <f t="shared" si="300"/>
        <v>4275.8999999999996</v>
      </c>
      <c r="BB173" s="1150">
        <f t="shared" si="381"/>
        <v>0</v>
      </c>
      <c r="BC173" s="1028">
        <v>0</v>
      </c>
      <c r="BD173" s="1150" t="str">
        <f t="shared" si="301"/>
        <v>0</v>
      </c>
      <c r="BE173" s="1028">
        <v>5</v>
      </c>
      <c r="BF173" s="1150">
        <f t="shared" si="363"/>
        <v>142.53</v>
      </c>
      <c r="BG173" s="1151">
        <v>300</v>
      </c>
      <c r="BH173" s="1151">
        <f t="shared" si="382"/>
        <v>0</v>
      </c>
      <c r="BI173" s="1180">
        <v>0</v>
      </c>
      <c r="BJ173" s="1180">
        <f t="shared" si="372"/>
        <v>0</v>
      </c>
      <c r="BK173" s="1151">
        <v>0</v>
      </c>
      <c r="BL173" s="1150">
        <f t="shared" si="329"/>
        <v>21.05</v>
      </c>
      <c r="BM173" s="1150">
        <f t="shared" si="330"/>
        <v>2.63</v>
      </c>
      <c r="BN173" s="1150">
        <f t="shared" si="378"/>
        <v>5.7</v>
      </c>
      <c r="BO173" s="1150">
        <v>0</v>
      </c>
      <c r="BP173" s="1150">
        <v>0</v>
      </c>
      <c r="BQ173" s="1396">
        <f t="shared" si="373"/>
        <v>29.38</v>
      </c>
      <c r="BR173" s="1150">
        <f t="shared" si="331"/>
        <v>47.36</v>
      </c>
      <c r="BS173" s="1150">
        <f t="shared" si="332"/>
        <v>10.53</v>
      </c>
      <c r="BT173" s="1150">
        <f t="shared" si="383"/>
        <v>11.4</v>
      </c>
      <c r="BU173" s="1150">
        <v>0</v>
      </c>
      <c r="BV173" s="1151">
        <f t="shared" si="374"/>
        <v>69.290000000000006</v>
      </c>
      <c r="BW173" s="1155">
        <f t="shared" si="375"/>
        <v>98.67</v>
      </c>
      <c r="BX173" s="1155">
        <f t="shared" si="362"/>
        <v>1068.98</v>
      </c>
      <c r="BY173" s="1151">
        <v>0</v>
      </c>
      <c r="BZ173" s="1151">
        <f t="shared" si="371"/>
        <v>1068.98</v>
      </c>
      <c r="CA173" s="1397">
        <f>'CONCEPTOS Y PARAMETROS'!$A$102</f>
        <v>2120</v>
      </c>
      <c r="CB173" s="1155">
        <f t="shared" si="384"/>
        <v>202.4</v>
      </c>
      <c r="CC173" s="1156">
        <f t="shared" si="385"/>
        <v>805.87</v>
      </c>
      <c r="CD173" s="514"/>
      <c r="CE173" s="514"/>
      <c r="CF173" s="520"/>
      <c r="CG173" s="497">
        <f t="shared" si="386"/>
        <v>202.4</v>
      </c>
      <c r="CH173" s="1711">
        <f t="shared" si="387"/>
        <v>300</v>
      </c>
      <c r="CI173" s="497">
        <f t="shared" si="388"/>
        <v>506.77</v>
      </c>
      <c r="CJ173" s="497">
        <f t="shared" si="389"/>
        <v>506.77</v>
      </c>
      <c r="CK173" s="497">
        <f t="shared" si="390"/>
        <v>0</v>
      </c>
      <c r="CL173" s="497">
        <f t="shared" si="391"/>
        <v>0</v>
      </c>
      <c r="CM173" s="497">
        <f t="shared" si="392"/>
        <v>0</v>
      </c>
      <c r="CN173" s="498">
        <f t="shared" si="393"/>
        <v>142.53</v>
      </c>
      <c r="CO173" s="499">
        <v>0</v>
      </c>
      <c r="CP173" s="498">
        <f t="shared" si="394"/>
        <v>131.57</v>
      </c>
      <c r="CQ173" s="500">
        <f t="shared" si="395"/>
        <v>25</v>
      </c>
      <c r="CR173" s="498">
        <f t="shared" si="396"/>
        <v>0</v>
      </c>
      <c r="CS173" s="498">
        <f t="shared" si="397"/>
        <v>299.10000000000002</v>
      </c>
      <c r="CT173" s="498">
        <f t="shared" si="398"/>
        <v>98.67</v>
      </c>
      <c r="CU173" s="498">
        <f t="shared" si="399"/>
        <v>2120</v>
      </c>
      <c r="CV173" s="1554"/>
      <c r="CW173" s="1195" t="s">
        <v>6972</v>
      </c>
      <c r="CX173" s="1195" t="s">
        <v>7282</v>
      </c>
      <c r="CY173" s="472"/>
      <c r="CZ173" s="514" t="s">
        <v>6274</v>
      </c>
      <c r="DA173" s="514" t="s">
        <v>6198</v>
      </c>
      <c r="DB173" s="514" t="s">
        <v>6199</v>
      </c>
      <c r="DC173" s="514" t="s">
        <v>6200</v>
      </c>
      <c r="DD173" s="514"/>
      <c r="DE173" s="514"/>
      <c r="DF173" s="472"/>
      <c r="DG173" s="472"/>
      <c r="DH173" s="472"/>
      <c r="DJ173" s="473" t="str">
        <f>VLOOKUP(X173,Hoja1!$A$4:$B$10,2,0)</f>
        <v>PROFESIONAL</v>
      </c>
      <c r="DK173" s="473" t="str">
        <f>VLOOKUP(S173,Hoja1!$D$4:$F$77,3,0)</f>
        <v>TI</v>
      </c>
      <c r="DL173" s="1216" t="str">
        <f t="shared" si="400"/>
        <v>SI</v>
      </c>
      <c r="DM173" s="1741" t="str">
        <f t="shared" si="401"/>
        <v>F</v>
      </c>
      <c r="DN173" s="1741"/>
    </row>
    <row r="174" spans="1:118" s="473" customFormat="1" ht="21.95" customHeight="1">
      <c r="A174" s="510" t="s">
        <v>2846</v>
      </c>
      <c r="B174" s="1390">
        <f ca="1">OFFSET(B174,-1,0)+1</f>
        <v>132</v>
      </c>
      <c r="C174" s="1194">
        <v>16266989</v>
      </c>
      <c r="D174" s="1195" t="s">
        <v>4817</v>
      </c>
      <c r="E174" s="1180" t="s">
        <v>4622</v>
      </c>
      <c r="F174" s="1196">
        <v>29759</v>
      </c>
      <c r="G174" s="1180" t="s">
        <v>4620</v>
      </c>
      <c r="H174" s="1196">
        <v>43040</v>
      </c>
      <c r="I174" s="1185">
        <f t="shared" si="379"/>
        <v>7</v>
      </c>
      <c r="J174" s="1177">
        <v>0</v>
      </c>
      <c r="K174" s="1185">
        <f t="shared" si="380"/>
        <v>7</v>
      </c>
      <c r="L174" s="1191" t="s">
        <v>7377</v>
      </c>
      <c r="M174" s="1177"/>
      <c r="N174" s="1177"/>
      <c r="O174" s="1040" t="s">
        <v>5221</v>
      </c>
      <c r="P174" s="1177" t="s">
        <v>5381</v>
      </c>
      <c r="Q174" s="1391" t="str">
        <f>IFERROR(VLOOKUP(O174,CARGOS!A:E,2,0),"")</f>
        <v>79512</v>
      </c>
      <c r="R174" s="1403" t="s">
        <v>5221</v>
      </c>
      <c r="S174" s="1192" t="s">
        <v>5488</v>
      </c>
      <c r="T174" s="1150">
        <f>IFERROR(VLOOKUP(S174,'TAB EMP'!A:B,2,0),0)</f>
        <v>279</v>
      </c>
      <c r="U174" s="1151">
        <v>0</v>
      </c>
      <c r="V174" s="1150">
        <f t="shared" ref="V174:V250" si="402">T174-U174</f>
        <v>279</v>
      </c>
      <c r="W174" s="1151">
        <f t="shared" ref="W174:W250" si="403">ROUND(V174/2,2)</f>
        <v>139.5</v>
      </c>
      <c r="X174" s="1180" t="s">
        <v>2885</v>
      </c>
      <c r="Y174" s="1180"/>
      <c r="Z174" s="1180">
        <v>2</v>
      </c>
      <c r="AA174" s="1150">
        <f>ROUND(IF(H174&lt;&gt;"",VLOOKUP(SUM(I174+J174),'CONCEPTOS Y PARAMETROS'!F:G,2,0)*V174,0),2)</f>
        <v>20.65</v>
      </c>
      <c r="AB174" s="1150">
        <f>IF(S174&lt;&gt;"",IF(M174="",'CONCEPTOS Y PARAMETROS'!$C$4,0),0)</f>
        <v>130</v>
      </c>
      <c r="AC174" s="1150">
        <f>IF(S174&lt;&gt;"",IF(M174="",'CONCEPTOS Y PARAMETROS'!$C$7*Z174,0),0)</f>
        <v>25</v>
      </c>
      <c r="AD174" s="1150">
        <f>IFERROR(ROUND(VLOOKUP($X174,'CONCEPTOS Y PARAMETROS'!H:I,2,0)*($V174+AA174+AB174+AC174),2),0)</f>
        <v>113.66</v>
      </c>
      <c r="AE174" s="1150">
        <f t="shared" si="376"/>
        <v>289.31</v>
      </c>
      <c r="AF174" s="1150">
        <f t="shared" ref="AF174:AF250" si="404">ROUND(AA174/2,2)</f>
        <v>10.33</v>
      </c>
      <c r="AG174" s="1150">
        <f t="shared" ref="AG174:AG250" si="405">ROUND(AA174-AF174,2)</f>
        <v>10.32</v>
      </c>
      <c r="AH174" s="1150">
        <f t="shared" ref="AH174:AH250" si="406">ROUND(AB174/2,2)</f>
        <v>65</v>
      </c>
      <c r="AI174" s="1150">
        <f t="shared" ref="AI174:AI250" si="407">ROUND(AB174-AH174,2)</f>
        <v>65</v>
      </c>
      <c r="AJ174" s="1150">
        <f t="shared" ref="AJ174:AJ250" si="408">ROUND(AD174/2,2)</f>
        <v>56.83</v>
      </c>
      <c r="AK174" s="1150">
        <f t="shared" ref="AK174:AK250" si="409">ROUND(AD174-AJ174,2)</f>
        <v>56.83</v>
      </c>
      <c r="AL174" s="1151">
        <f t="shared" ref="AL174:AL250" si="410">ROUND(AF174+AH174+AJ174+AC174,2)</f>
        <v>157.16</v>
      </c>
      <c r="AM174" s="1151">
        <f t="shared" ref="AM174:AM250" si="411">ROUND(AG174+AI174+AK174,2)</f>
        <v>132.15</v>
      </c>
      <c r="AN174" s="1028">
        <v>0</v>
      </c>
      <c r="AO174" s="1193">
        <f>'CONCEPTOS Y PARAMETROS'!$C$18*AN174</f>
        <v>0</v>
      </c>
      <c r="AP174" s="1028">
        <v>0</v>
      </c>
      <c r="AQ174" s="1193">
        <f>'CONCEPTOS Y PARAMETROS'!$C$21*AP174</f>
        <v>0</v>
      </c>
      <c r="AR174" s="1394">
        <v>0</v>
      </c>
      <c r="AS174" s="1394">
        <v>0</v>
      </c>
      <c r="AT174" s="1394">
        <f t="shared" si="377"/>
        <v>0</v>
      </c>
      <c r="AU174" s="1151">
        <f t="shared" ref="AU174:AU250" si="412">V174+AE174+AW174</f>
        <v>738.8</v>
      </c>
      <c r="AV174" s="1178" t="s">
        <v>5080</v>
      </c>
      <c r="AW174" s="1151">
        <f t="shared" si="370"/>
        <v>170.49</v>
      </c>
      <c r="AX174" s="1150">
        <f>IF(T174&lt;&gt;"0",(ROUND(IF(A174="EMPLEADO",eval_formula('CONCEPTOS Y PARAMETROS'!$C$8,NOMINA!V174,NOMINA!$AU174,NOMINA!I174+NOMINA!J174),eval_formula('CONCEPTOS Y PARAMETROS'!$D$8,NOMINA!V174,NOMINA!$AU174,NOMINA!I174+NOMINA!J174)),2))*IF(H174&lt;&gt;"",IF(MONTH(H174)=$BR$8,IF(YEAR(H174)&lt;$BT$7,1,0),0)))</f>
        <v>0</v>
      </c>
      <c r="AY174" s="1151">
        <v>180</v>
      </c>
      <c r="AZ174" s="1150">
        <f>IFERROR(VLOOKUP(AY174,'CONCEPTOS Y PARAMETROS'!Y:Z,2,0),0)</f>
        <v>150</v>
      </c>
      <c r="BA174" s="1150">
        <f t="shared" ref="BA174:BA250" si="413">ROUND((((AU174))/30*AY174/12+(AU174))/30*AZ174,2)</f>
        <v>5541</v>
      </c>
      <c r="BB174" s="1150">
        <f t="shared" si="381"/>
        <v>0</v>
      </c>
      <c r="BC174" s="1028">
        <v>0</v>
      </c>
      <c r="BD174" s="1150" t="str">
        <f t="shared" ref="BD174:BD250" si="414">IF(BC174&gt;0,((((((V174+AA174+AB174+AC174+AD174)/30)/8)*50%)+((((V174+AA174+AB174+AC174+AD174)/30)/8)))*30%+(((((V174+AA174+AB174+AC174+AD174)/30)/8)*50%)+((((V174+AA174+AB174+AC174+AD174)/30)/8))))*BC174,"0")</f>
        <v>0</v>
      </c>
      <c r="BE174" s="1028">
        <v>3</v>
      </c>
      <c r="BF174" s="1150">
        <f t="shared" si="363"/>
        <v>110.82</v>
      </c>
      <c r="BG174" s="1151">
        <v>300</v>
      </c>
      <c r="BH174" s="1151">
        <f t="shared" si="382"/>
        <v>0</v>
      </c>
      <c r="BI174" s="1180">
        <v>0</v>
      </c>
      <c r="BJ174" s="1180">
        <f t="shared" si="372"/>
        <v>0</v>
      </c>
      <c r="BK174" s="1151">
        <v>0</v>
      </c>
      <c r="BL174" s="1150">
        <f t="shared" si="329"/>
        <v>27.28</v>
      </c>
      <c r="BM174" s="1150">
        <f t="shared" si="330"/>
        <v>3.41</v>
      </c>
      <c r="BN174" s="1150">
        <f t="shared" si="378"/>
        <v>7.39</v>
      </c>
      <c r="BO174" s="1150">
        <v>0</v>
      </c>
      <c r="BP174" s="1150">
        <v>0</v>
      </c>
      <c r="BQ174" s="1396">
        <f t="shared" si="373"/>
        <v>38.08</v>
      </c>
      <c r="BR174" s="1150">
        <f t="shared" si="331"/>
        <v>61.38</v>
      </c>
      <c r="BS174" s="1150">
        <f t="shared" si="332"/>
        <v>13.64</v>
      </c>
      <c r="BT174" s="1150">
        <f t="shared" si="383"/>
        <v>14.78</v>
      </c>
      <c r="BU174" s="1150">
        <v>0</v>
      </c>
      <c r="BV174" s="1151">
        <f t="shared" si="374"/>
        <v>89.8</v>
      </c>
      <c r="BW174" s="1155">
        <f t="shared" si="375"/>
        <v>127.88</v>
      </c>
      <c r="BX174" s="1155">
        <f t="shared" si="362"/>
        <v>1385.25</v>
      </c>
      <c r="BY174" s="1151">
        <v>0</v>
      </c>
      <c r="BZ174" s="1151">
        <f t="shared" si="371"/>
        <v>1385.25</v>
      </c>
      <c r="CA174" s="1397">
        <f>'CONCEPTOS Y PARAMETROS'!$A$102</f>
        <v>2120</v>
      </c>
      <c r="CB174" s="1155">
        <f t="shared" si="384"/>
        <v>258.58</v>
      </c>
      <c r="CC174" s="1156">
        <f t="shared" si="385"/>
        <v>852.96</v>
      </c>
      <c r="CD174" s="514"/>
      <c r="CE174" s="514"/>
      <c r="CF174" s="520"/>
      <c r="CG174" s="497">
        <f t="shared" si="386"/>
        <v>258.58</v>
      </c>
      <c r="CH174" s="1711">
        <f t="shared" si="387"/>
        <v>300</v>
      </c>
      <c r="CI174" s="497">
        <f t="shared" si="388"/>
        <v>571.65</v>
      </c>
      <c r="CJ174" s="497">
        <f t="shared" si="389"/>
        <v>274.39</v>
      </c>
      <c r="CK174" s="497">
        <f t="shared" si="390"/>
        <v>297.26</v>
      </c>
      <c r="CL174" s="497">
        <f t="shared" si="391"/>
        <v>0</v>
      </c>
      <c r="CM174" s="497">
        <f t="shared" si="392"/>
        <v>0</v>
      </c>
      <c r="CN174" s="498">
        <f t="shared" si="393"/>
        <v>110.82</v>
      </c>
      <c r="CO174" s="499">
        <v>0</v>
      </c>
      <c r="CP174" s="498">
        <f t="shared" si="394"/>
        <v>170.49</v>
      </c>
      <c r="CQ174" s="500">
        <f t="shared" si="395"/>
        <v>0</v>
      </c>
      <c r="CR174" s="498">
        <f t="shared" si="396"/>
        <v>0</v>
      </c>
      <c r="CS174" s="498">
        <f t="shared" si="397"/>
        <v>281.31</v>
      </c>
      <c r="CT174" s="498">
        <f t="shared" si="398"/>
        <v>127.88</v>
      </c>
      <c r="CU174" s="498">
        <f t="shared" si="399"/>
        <v>2120</v>
      </c>
      <c r="CV174" s="1554"/>
      <c r="CW174" s="1195" t="s">
        <v>7216</v>
      </c>
      <c r="CX174" s="1195" t="s">
        <v>7003</v>
      </c>
      <c r="CY174" s="472"/>
      <c r="CZ174" s="514" t="s">
        <v>6366</v>
      </c>
      <c r="DA174" s="514" t="s">
        <v>6171</v>
      </c>
      <c r="DB174" s="514" t="s">
        <v>6171</v>
      </c>
      <c r="DC174" s="514" t="s">
        <v>6523</v>
      </c>
      <c r="DD174" s="514"/>
      <c r="DE174" s="514"/>
      <c r="DF174" s="472"/>
      <c r="DG174" s="472"/>
      <c r="DH174" s="472"/>
      <c r="DJ174" s="473" t="str">
        <f>VLOOKUP(X174,Hoja1!$A$4:$B$10,2,0)</f>
        <v>PROFESIONAL</v>
      </c>
      <c r="DK174" s="473" t="str">
        <f>VLOOKUP(S174,Hoja1!$D$4:$F$77,3,0)</f>
        <v>PII - III</v>
      </c>
      <c r="DL174" s="1216" t="str">
        <f t="shared" si="400"/>
        <v>SI</v>
      </c>
      <c r="DM174" s="1741" t="str">
        <f t="shared" si="401"/>
        <v>F</v>
      </c>
      <c r="DN174" s="1741"/>
    </row>
    <row r="175" spans="1:118" s="1654" customFormat="1" ht="21.95" customHeight="1">
      <c r="A175" s="1624" t="s">
        <v>2846</v>
      </c>
      <c r="B175" s="1625">
        <f t="shared" ca="1" si="355"/>
        <v>133</v>
      </c>
      <c r="C175" s="1626">
        <v>16267940</v>
      </c>
      <c r="D175" s="1627" t="s">
        <v>4818</v>
      </c>
      <c r="E175" s="1628" t="s">
        <v>4622</v>
      </c>
      <c r="F175" s="1629">
        <v>30438</v>
      </c>
      <c r="G175" s="1628" t="s">
        <v>4620</v>
      </c>
      <c r="H175" s="1629">
        <v>44600</v>
      </c>
      <c r="I175" s="1630">
        <f t="shared" si="379"/>
        <v>2</v>
      </c>
      <c r="J175" s="1631">
        <v>0</v>
      </c>
      <c r="K175" s="1630">
        <f t="shared" si="380"/>
        <v>2</v>
      </c>
      <c r="L175" s="1632" t="s">
        <v>5542</v>
      </c>
      <c r="M175" s="1631"/>
      <c r="N175" s="1631"/>
      <c r="O175" s="1633" t="s">
        <v>5254</v>
      </c>
      <c r="P175" s="1631" t="s">
        <v>5382</v>
      </c>
      <c r="Q175" s="1634" t="str">
        <f>IFERROR(VLOOKUP(O175,CARGOS!A:E,2,0),"")</f>
        <v>79342</v>
      </c>
      <c r="R175" s="1635" t="s">
        <v>5254</v>
      </c>
      <c r="S175" s="1636" t="s">
        <v>5475</v>
      </c>
      <c r="T175" s="1637">
        <f>IFERROR(VLOOKUP(S175,'TAB EMP'!A:B,2,0),0)</f>
        <v>192</v>
      </c>
      <c r="U175" s="1638">
        <v>0</v>
      </c>
      <c r="V175" s="1637">
        <f t="shared" si="402"/>
        <v>192</v>
      </c>
      <c r="W175" s="1638">
        <f t="shared" si="403"/>
        <v>96</v>
      </c>
      <c r="X175" s="1628" t="s">
        <v>2844</v>
      </c>
      <c r="Y175" s="1628"/>
      <c r="Z175" s="1628">
        <v>2</v>
      </c>
      <c r="AA175" s="1637">
        <f>ROUND(IF(H175&lt;&gt;"",VLOOKUP(SUM(I175+J175),'CONCEPTOS Y PARAMETROS'!F:G,2,0)*V175,0),2)</f>
        <v>3.84</v>
      </c>
      <c r="AB175" s="1637">
        <f>IF(S175&lt;&gt;"",IF(M175="",'CONCEPTOS Y PARAMETROS'!$C$4,0),0)</f>
        <v>130</v>
      </c>
      <c r="AC175" s="1637">
        <f>IF(S175&lt;&gt;"",IF(M175="",'CONCEPTOS Y PARAMETROS'!$C$7*Z175,0),0)</f>
        <v>25</v>
      </c>
      <c r="AD175" s="1637">
        <f>IFERROR(ROUND(VLOOKUP($X175,'CONCEPTOS Y PARAMETROS'!H:I,2,0)*($V175+AA175+AB175+AC175),2),0)</f>
        <v>70.17</v>
      </c>
      <c r="AE175" s="1637">
        <f t="shared" si="376"/>
        <v>229.01</v>
      </c>
      <c r="AF175" s="1637">
        <f t="shared" si="404"/>
        <v>1.92</v>
      </c>
      <c r="AG175" s="1637">
        <f t="shared" si="405"/>
        <v>1.92</v>
      </c>
      <c r="AH175" s="1637">
        <f t="shared" si="406"/>
        <v>65</v>
      </c>
      <c r="AI175" s="1637">
        <f t="shared" si="407"/>
        <v>65</v>
      </c>
      <c r="AJ175" s="1637">
        <f t="shared" si="408"/>
        <v>35.090000000000003</v>
      </c>
      <c r="AK175" s="1637">
        <f t="shared" si="409"/>
        <v>35.08</v>
      </c>
      <c r="AL175" s="1638">
        <f t="shared" si="410"/>
        <v>127.01</v>
      </c>
      <c r="AM175" s="1638">
        <f t="shared" si="411"/>
        <v>102</v>
      </c>
      <c r="AN175" s="1639">
        <v>0</v>
      </c>
      <c r="AO175" s="1640">
        <f>'CONCEPTOS Y PARAMETROS'!$C$18*AN175</f>
        <v>0</v>
      </c>
      <c r="AP175" s="1639">
        <v>0</v>
      </c>
      <c r="AQ175" s="1640">
        <f>'CONCEPTOS Y PARAMETROS'!$C$21*AP175</f>
        <v>0</v>
      </c>
      <c r="AR175" s="1641">
        <v>0</v>
      </c>
      <c r="AS175" s="1641">
        <v>0</v>
      </c>
      <c r="AT175" s="1641">
        <f t="shared" si="377"/>
        <v>0</v>
      </c>
      <c r="AU175" s="1638">
        <f t="shared" si="412"/>
        <v>421.01</v>
      </c>
      <c r="AV175" s="1642">
        <v>0</v>
      </c>
      <c r="AW175" s="1638">
        <f t="shared" si="370"/>
        <v>0</v>
      </c>
      <c r="AX175" s="1637">
        <f>IF(T175&lt;&gt;"0",(ROUND(IF(A175="EMPLEADO",eval_formula('CONCEPTOS Y PARAMETROS'!$C$8,NOMINA!V175,NOMINA!$AU175,NOMINA!I175+NOMINA!J175),eval_formula('CONCEPTOS Y PARAMETROS'!$D$8,NOMINA!V175,NOMINA!$AU175,NOMINA!I175+NOMINA!J175)),2))*IF(H175&lt;&gt;"",IF(MONTH(H175)=$BR$8,IF(YEAR(H175)&lt;$BT$7,1,0),0)))</f>
        <v>0</v>
      </c>
      <c r="AY175" s="1638">
        <v>180</v>
      </c>
      <c r="AZ175" s="1637">
        <f>IFERROR(VLOOKUP(AY175,'CONCEPTOS Y PARAMETROS'!Y:Z,2,0),0)</f>
        <v>150</v>
      </c>
      <c r="BA175" s="1637">
        <f t="shared" si="413"/>
        <v>3157.58</v>
      </c>
      <c r="BB175" s="1637">
        <f t="shared" si="381"/>
        <v>0</v>
      </c>
      <c r="BC175" s="1639">
        <v>0</v>
      </c>
      <c r="BD175" s="1637" t="str">
        <f t="shared" si="414"/>
        <v>0</v>
      </c>
      <c r="BE175" s="1639">
        <v>0</v>
      </c>
      <c r="BF175" s="1637">
        <f t="shared" si="363"/>
        <v>0</v>
      </c>
      <c r="BG175" s="1638">
        <v>300</v>
      </c>
      <c r="BH175" s="1638">
        <f t="shared" si="382"/>
        <v>0</v>
      </c>
      <c r="BI175" s="1628">
        <v>0</v>
      </c>
      <c r="BJ175" s="1628">
        <f t="shared" si="372"/>
        <v>0</v>
      </c>
      <c r="BK175" s="1638">
        <v>0</v>
      </c>
      <c r="BL175" s="1637">
        <f t="shared" si="329"/>
        <v>15.54</v>
      </c>
      <c r="BM175" s="1637">
        <f t="shared" si="330"/>
        <v>1.94</v>
      </c>
      <c r="BN175" s="1637">
        <f t="shared" si="378"/>
        <v>4.21</v>
      </c>
      <c r="BO175" s="1637">
        <v>0</v>
      </c>
      <c r="BP175" s="1637">
        <v>0</v>
      </c>
      <c r="BQ175" s="1643">
        <f t="shared" si="373"/>
        <v>21.69</v>
      </c>
      <c r="BR175" s="1637">
        <f t="shared" si="331"/>
        <v>34.979999999999997</v>
      </c>
      <c r="BS175" s="1637">
        <f t="shared" si="332"/>
        <v>7.77</v>
      </c>
      <c r="BT175" s="1637">
        <f t="shared" si="383"/>
        <v>8.42</v>
      </c>
      <c r="BU175" s="1637">
        <v>0</v>
      </c>
      <c r="BV175" s="1638">
        <f t="shared" si="374"/>
        <v>51.17</v>
      </c>
      <c r="BW175" s="1644">
        <f t="shared" si="375"/>
        <v>72.86</v>
      </c>
      <c r="BX175" s="1644">
        <f t="shared" si="362"/>
        <v>789.4</v>
      </c>
      <c r="BY175" s="1638">
        <v>0</v>
      </c>
      <c r="BZ175" s="1638">
        <f t="shared" si="371"/>
        <v>789.4</v>
      </c>
      <c r="CA175" s="1645">
        <f>'CONCEPTOS Y PARAMETROS'!$A$102</f>
        <v>2120</v>
      </c>
      <c r="CB175" s="1644">
        <f t="shared" si="384"/>
        <v>201.32</v>
      </c>
      <c r="CC175" s="1646">
        <f t="shared" si="385"/>
        <v>498</v>
      </c>
      <c r="CD175" s="1647"/>
      <c r="CE175" s="1647"/>
      <c r="CF175" s="1648"/>
      <c r="CG175" s="1649">
        <f t="shared" si="386"/>
        <v>201.32</v>
      </c>
      <c r="CH175" s="1713">
        <f t="shared" si="387"/>
        <v>300</v>
      </c>
      <c r="CI175" s="1649">
        <f t="shared" si="388"/>
        <v>498</v>
      </c>
      <c r="CJ175" s="1649">
        <f t="shared" si="389"/>
        <v>498</v>
      </c>
      <c r="CK175" s="1649">
        <f t="shared" si="390"/>
        <v>0</v>
      </c>
      <c r="CL175" s="1649">
        <f t="shared" si="391"/>
        <v>0</v>
      </c>
      <c r="CM175" s="1649">
        <f t="shared" si="392"/>
        <v>0</v>
      </c>
      <c r="CN175" s="1650">
        <f t="shared" si="393"/>
        <v>0</v>
      </c>
      <c r="CO175" s="1651">
        <v>0</v>
      </c>
      <c r="CP175" s="1650">
        <f t="shared" si="394"/>
        <v>0</v>
      </c>
      <c r="CQ175" s="1652">
        <f t="shared" si="395"/>
        <v>0</v>
      </c>
      <c r="CR175" s="1650">
        <f t="shared" si="396"/>
        <v>0</v>
      </c>
      <c r="CS175" s="1650">
        <f t="shared" si="397"/>
        <v>0</v>
      </c>
      <c r="CT175" s="1650">
        <f t="shared" si="398"/>
        <v>72.86</v>
      </c>
      <c r="CU175" s="1650">
        <f t="shared" si="399"/>
        <v>2120</v>
      </c>
      <c r="CV175" s="1653"/>
      <c r="CW175" s="1627" t="s">
        <v>7079</v>
      </c>
      <c r="CX175" s="1627" t="s">
        <v>7004</v>
      </c>
      <c r="CY175" s="1647"/>
      <c r="CZ175" s="1647" t="s">
        <v>6315</v>
      </c>
      <c r="DA175" s="1647" t="s">
        <v>6198</v>
      </c>
      <c r="DB175" s="1647" t="s">
        <v>6249</v>
      </c>
      <c r="DC175" s="1647" t="s">
        <v>6569</v>
      </c>
      <c r="DD175" s="1647"/>
      <c r="DE175" s="1647"/>
      <c r="DF175" s="1647"/>
      <c r="DG175" s="1647"/>
      <c r="DH175" s="1647"/>
      <c r="DJ175" s="1654" t="str">
        <f>VLOOKUP(X175,Hoja1!$A$4:$B$10,2,0)</f>
        <v>TÉCNICO SUPERIOR UNIVERSITARIO</v>
      </c>
      <c r="DK175" s="1654" t="str">
        <f>VLOOKUP(S175,Hoja1!$D$4:$F$77,3,0)</f>
        <v>TI</v>
      </c>
      <c r="DL175" s="1663" t="str">
        <f t="shared" si="400"/>
        <v>0</v>
      </c>
      <c r="DM175" s="1742" t="str">
        <f t="shared" si="401"/>
        <v>F</v>
      </c>
      <c r="DN175" s="1742"/>
    </row>
    <row r="176" spans="1:118" s="473" customFormat="1" ht="21.95" customHeight="1">
      <c r="A176" s="510" t="s">
        <v>2846</v>
      </c>
      <c r="B176" s="1390">
        <f t="shared" ca="1" si="355"/>
        <v>134</v>
      </c>
      <c r="C176" s="1194">
        <v>16376534</v>
      </c>
      <c r="D176" s="1195" t="s">
        <v>4820</v>
      </c>
      <c r="E176" s="1180" t="s">
        <v>4622</v>
      </c>
      <c r="F176" s="1196">
        <v>30354</v>
      </c>
      <c r="G176" s="1180" t="s">
        <v>4620</v>
      </c>
      <c r="H176" s="1196">
        <v>43754</v>
      </c>
      <c r="I176" s="1185">
        <f t="shared" si="379"/>
        <v>5</v>
      </c>
      <c r="J176" s="1177">
        <v>0</v>
      </c>
      <c r="K176" s="1185">
        <f t="shared" si="380"/>
        <v>5</v>
      </c>
      <c r="L176" s="1191" t="s">
        <v>5550</v>
      </c>
      <c r="M176" s="1177"/>
      <c r="N176" s="1177"/>
      <c r="O176" s="1040" t="s">
        <v>5221</v>
      </c>
      <c r="P176" s="1177" t="s">
        <v>5383</v>
      </c>
      <c r="Q176" s="1391" t="str">
        <f>IFERROR(VLOOKUP(O176,CARGOS!A:E,2,0),"")</f>
        <v>79512</v>
      </c>
      <c r="R176" s="1403" t="s">
        <v>5221</v>
      </c>
      <c r="S176" s="1192" t="s">
        <v>5480</v>
      </c>
      <c r="T176" s="1150">
        <f>IFERROR(VLOOKUP(S176,'TAB EMP'!A:B,2,0),0)</f>
        <v>277</v>
      </c>
      <c r="U176" s="1151">
        <v>0</v>
      </c>
      <c r="V176" s="1150">
        <f t="shared" si="402"/>
        <v>277</v>
      </c>
      <c r="W176" s="1151">
        <f t="shared" si="403"/>
        <v>138.5</v>
      </c>
      <c r="X176" s="1180" t="s">
        <v>2885</v>
      </c>
      <c r="Y176" s="1180"/>
      <c r="Z176" s="1180">
        <v>1</v>
      </c>
      <c r="AA176" s="1150">
        <f>ROUND(IF(H176&lt;&gt;"",VLOOKUP(SUM(I176+J176),'CONCEPTOS Y PARAMETROS'!F:G,2,0)*V176,0),2)</f>
        <v>13.85</v>
      </c>
      <c r="AB176" s="1150">
        <f>IF(S176&lt;&gt;"",IF(M176="",'CONCEPTOS Y PARAMETROS'!$C$4,0),0)</f>
        <v>130</v>
      </c>
      <c r="AC176" s="1150">
        <f>IF(S176&lt;&gt;"",IF(M176="",'CONCEPTOS Y PARAMETROS'!$C$7*Z176,0),0)</f>
        <v>12.5</v>
      </c>
      <c r="AD176" s="1150">
        <f>IFERROR(ROUND(VLOOKUP($X176,'CONCEPTOS Y PARAMETROS'!H:I,2,0)*($V176+AA176+AB176+AC176),2),0)</f>
        <v>108.34</v>
      </c>
      <c r="AE176" s="1150">
        <f t="shared" si="376"/>
        <v>264.69</v>
      </c>
      <c r="AF176" s="1150">
        <f t="shared" si="404"/>
        <v>6.93</v>
      </c>
      <c r="AG176" s="1150">
        <f t="shared" si="405"/>
        <v>6.92</v>
      </c>
      <c r="AH176" s="1150">
        <f t="shared" si="406"/>
        <v>65</v>
      </c>
      <c r="AI176" s="1150">
        <f t="shared" si="407"/>
        <v>65</v>
      </c>
      <c r="AJ176" s="1150">
        <f t="shared" si="408"/>
        <v>54.17</v>
      </c>
      <c r="AK176" s="1150">
        <f t="shared" si="409"/>
        <v>54.17</v>
      </c>
      <c r="AL176" s="1151">
        <f t="shared" si="410"/>
        <v>138.6</v>
      </c>
      <c r="AM176" s="1151">
        <f t="shared" si="411"/>
        <v>126.09</v>
      </c>
      <c r="AN176" s="1028">
        <v>0</v>
      </c>
      <c r="AO176" s="1193">
        <f>'CONCEPTOS Y PARAMETROS'!$C$18*AN176</f>
        <v>0</v>
      </c>
      <c r="AP176" s="1028">
        <v>0</v>
      </c>
      <c r="AQ176" s="1193">
        <f>'CONCEPTOS Y PARAMETROS'!$C$21*AP176</f>
        <v>0</v>
      </c>
      <c r="AR176" s="1394">
        <v>0</v>
      </c>
      <c r="AS176" s="1394">
        <v>0</v>
      </c>
      <c r="AT176" s="1394">
        <f t="shared" si="377"/>
        <v>0</v>
      </c>
      <c r="AU176" s="1151">
        <f t="shared" si="412"/>
        <v>704.2</v>
      </c>
      <c r="AV176" s="1178" t="s">
        <v>5080</v>
      </c>
      <c r="AW176" s="1151">
        <f t="shared" si="370"/>
        <v>162.51</v>
      </c>
      <c r="AX176" s="1150">
        <f>IF(T176&lt;&gt;"0",(ROUND(IF(A176="EMPLEADO",eval_formula('CONCEPTOS Y PARAMETROS'!$C$8,NOMINA!V176,NOMINA!$AU176,NOMINA!I176+NOMINA!J176),eval_formula('CONCEPTOS Y PARAMETROS'!$D$8,NOMINA!V176,NOMINA!$AU176,NOMINA!I176+NOMINA!J176)),2))*IF(H176&lt;&gt;"",IF(MONTH(H176)=$BR$8,IF(YEAR(H176)&lt;$BT$7,1,0),0)))</f>
        <v>0</v>
      </c>
      <c r="AY176" s="1151">
        <v>180</v>
      </c>
      <c r="AZ176" s="1150">
        <f>IFERROR(VLOOKUP(AY176,'CONCEPTOS Y PARAMETROS'!Y:Z,2,0),0)</f>
        <v>150</v>
      </c>
      <c r="BA176" s="1150">
        <f t="shared" si="413"/>
        <v>5281.5</v>
      </c>
      <c r="BB176" s="1150">
        <f t="shared" si="381"/>
        <v>0</v>
      </c>
      <c r="BC176" s="1028">
        <v>0</v>
      </c>
      <c r="BD176" s="1150" t="str">
        <f t="shared" si="414"/>
        <v>0</v>
      </c>
      <c r="BE176" s="1028">
        <v>3</v>
      </c>
      <c r="BF176" s="1150">
        <f t="shared" si="363"/>
        <v>105.63</v>
      </c>
      <c r="BG176" s="1151">
        <v>300</v>
      </c>
      <c r="BH176" s="1151">
        <f t="shared" si="382"/>
        <v>0</v>
      </c>
      <c r="BI176" s="1180">
        <v>0</v>
      </c>
      <c r="BJ176" s="1180">
        <f t="shared" si="372"/>
        <v>0</v>
      </c>
      <c r="BK176" s="1151">
        <v>0</v>
      </c>
      <c r="BL176" s="1150">
        <f t="shared" si="329"/>
        <v>26</v>
      </c>
      <c r="BM176" s="1150">
        <f t="shared" si="330"/>
        <v>3.25</v>
      </c>
      <c r="BN176" s="1150">
        <f t="shared" si="378"/>
        <v>7.04</v>
      </c>
      <c r="BO176" s="1150">
        <v>0</v>
      </c>
      <c r="BP176" s="1150">
        <v>0</v>
      </c>
      <c r="BQ176" s="1396">
        <f t="shared" si="373"/>
        <v>36.29</v>
      </c>
      <c r="BR176" s="1150">
        <f t="shared" si="331"/>
        <v>58.5</v>
      </c>
      <c r="BS176" s="1150">
        <f t="shared" si="332"/>
        <v>13</v>
      </c>
      <c r="BT176" s="1150">
        <f t="shared" si="383"/>
        <v>14.08</v>
      </c>
      <c r="BU176" s="1150">
        <v>0</v>
      </c>
      <c r="BV176" s="1151">
        <f t="shared" si="374"/>
        <v>85.58</v>
      </c>
      <c r="BW176" s="1155">
        <f t="shared" si="375"/>
        <v>121.87</v>
      </c>
      <c r="BX176" s="1155">
        <f t="shared" si="362"/>
        <v>1320.38</v>
      </c>
      <c r="BY176" s="1151">
        <v>0</v>
      </c>
      <c r="BZ176" s="1151">
        <f t="shared" si="371"/>
        <v>1320.38</v>
      </c>
      <c r="CA176" s="1397">
        <f>'CONCEPTOS Y PARAMETROS'!$A$102</f>
        <v>2120</v>
      </c>
      <c r="CB176" s="1155">
        <f t="shared" si="384"/>
        <v>240.81000000000003</v>
      </c>
      <c r="CC176" s="1156">
        <f t="shared" si="385"/>
        <v>832.73</v>
      </c>
      <c r="CD176" s="514"/>
      <c r="CE176" s="514"/>
      <c r="CF176" s="520"/>
      <c r="CG176" s="497">
        <f t="shared" si="386"/>
        <v>240.81000000000003</v>
      </c>
      <c r="CH176" s="1711">
        <f t="shared" si="387"/>
        <v>300</v>
      </c>
      <c r="CI176" s="497">
        <f t="shared" si="388"/>
        <v>564.59</v>
      </c>
      <c r="CJ176" s="497">
        <f t="shared" si="389"/>
        <v>271</v>
      </c>
      <c r="CK176" s="497">
        <f t="shared" si="390"/>
        <v>293.59000000000003</v>
      </c>
      <c r="CL176" s="497">
        <f t="shared" si="391"/>
        <v>0</v>
      </c>
      <c r="CM176" s="497">
        <f t="shared" si="392"/>
        <v>0</v>
      </c>
      <c r="CN176" s="498">
        <f t="shared" si="393"/>
        <v>105.63</v>
      </c>
      <c r="CO176" s="499">
        <v>0</v>
      </c>
      <c r="CP176" s="498">
        <f t="shared" si="394"/>
        <v>162.51</v>
      </c>
      <c r="CQ176" s="500">
        <f t="shared" si="395"/>
        <v>0</v>
      </c>
      <c r="CR176" s="498">
        <f t="shared" si="396"/>
        <v>0</v>
      </c>
      <c r="CS176" s="498">
        <f t="shared" si="397"/>
        <v>268.14</v>
      </c>
      <c r="CT176" s="498">
        <f t="shared" si="398"/>
        <v>121.87</v>
      </c>
      <c r="CU176" s="498">
        <f t="shared" si="399"/>
        <v>2120</v>
      </c>
      <c r="CV176" s="1554"/>
      <c r="CW176" s="1195" t="s">
        <v>7022</v>
      </c>
      <c r="CX176" s="1195" t="s">
        <v>7029</v>
      </c>
      <c r="CY176" s="472"/>
      <c r="CZ176" s="514" t="s">
        <v>6275</v>
      </c>
      <c r="DA176" s="514" t="s">
        <v>6198</v>
      </c>
      <c r="DB176" s="514" t="s">
        <v>6276</v>
      </c>
      <c r="DC176" s="514" t="s">
        <v>6246</v>
      </c>
      <c r="DD176" s="514"/>
      <c r="DE176" s="514"/>
      <c r="DF176" s="472"/>
      <c r="DG176" s="472"/>
      <c r="DH176" s="472"/>
      <c r="DJ176" s="473" t="str">
        <f>VLOOKUP(X176,Hoja1!$A$4:$B$10,2,0)</f>
        <v>PROFESIONAL</v>
      </c>
      <c r="DK176" s="473" t="str">
        <f>VLOOKUP(S176,Hoja1!$D$4:$F$77,3,0)</f>
        <v>PII - II</v>
      </c>
      <c r="DL176" s="1216" t="str">
        <f t="shared" si="400"/>
        <v>SI</v>
      </c>
      <c r="DM176" s="1741" t="str">
        <f t="shared" si="401"/>
        <v>F</v>
      </c>
      <c r="DN176" s="1741"/>
    </row>
    <row r="177" spans="1:118" s="473" customFormat="1" ht="21.95" customHeight="1">
      <c r="A177" s="510" t="s">
        <v>2846</v>
      </c>
      <c r="B177" s="1390">
        <f t="shared" ca="1" si="355"/>
        <v>135</v>
      </c>
      <c r="C177" s="1194">
        <v>16376698</v>
      </c>
      <c r="D177" s="1195" t="s">
        <v>4821</v>
      </c>
      <c r="E177" s="1180" t="s">
        <v>4622</v>
      </c>
      <c r="F177" s="1196">
        <v>29766</v>
      </c>
      <c r="G177" s="1180" t="s">
        <v>4621</v>
      </c>
      <c r="H177" s="1196">
        <v>40909</v>
      </c>
      <c r="I177" s="1185">
        <f t="shared" si="379"/>
        <v>13</v>
      </c>
      <c r="J177" s="1177">
        <v>0</v>
      </c>
      <c r="K177" s="1185">
        <f t="shared" si="380"/>
        <v>13</v>
      </c>
      <c r="L177" s="1191" t="s">
        <v>5559</v>
      </c>
      <c r="M177" s="1177"/>
      <c r="N177" s="1177"/>
      <c r="O177" s="1040" t="s">
        <v>5233</v>
      </c>
      <c r="P177" s="1177" t="s">
        <v>5384</v>
      </c>
      <c r="Q177" s="1391" t="str">
        <f>IFERROR(VLOOKUP(O177,CARGOS!A:E,2,0),"")</f>
        <v/>
      </c>
      <c r="R177" s="1403" t="s">
        <v>5233</v>
      </c>
      <c r="S177" s="1192" t="s">
        <v>5477</v>
      </c>
      <c r="T177" s="1150">
        <f>IFERROR(VLOOKUP(S177,'TAB EMP'!A:B,2,0),0)</f>
        <v>174</v>
      </c>
      <c r="U177" s="1151">
        <v>0</v>
      </c>
      <c r="V177" s="1150">
        <f t="shared" si="402"/>
        <v>174</v>
      </c>
      <c r="W177" s="1151">
        <f t="shared" si="403"/>
        <v>87</v>
      </c>
      <c r="X177" s="1180" t="s">
        <v>2884</v>
      </c>
      <c r="Y177" s="1180"/>
      <c r="Z177" s="1180">
        <v>2</v>
      </c>
      <c r="AA177" s="1150">
        <f>ROUND(IF(H177&lt;&gt;"",VLOOKUP(SUM(I177+J177),'CONCEPTOS Y PARAMETROS'!F:G,2,0)*V177,0),2)</f>
        <v>26.45</v>
      </c>
      <c r="AB177" s="1150">
        <f>IF(S177&lt;&gt;"",IF(M177="",'CONCEPTOS Y PARAMETROS'!$C$4,0),0)</f>
        <v>130</v>
      </c>
      <c r="AC177" s="1150">
        <f>IF(S177&lt;&gt;"",IF(M177="",'CONCEPTOS Y PARAMETROS'!$C$7*Z177,0),0)</f>
        <v>25</v>
      </c>
      <c r="AD177" s="1150">
        <f>IFERROR(ROUND(VLOOKUP($X177,'CONCEPTOS Y PARAMETROS'!H:I,2,0)*($V177+AA177+AB177+AC177),2),0)</f>
        <v>0</v>
      </c>
      <c r="AE177" s="1150">
        <f t="shared" si="376"/>
        <v>181.45</v>
      </c>
      <c r="AF177" s="1150">
        <f t="shared" si="404"/>
        <v>13.23</v>
      </c>
      <c r="AG177" s="1150">
        <f t="shared" si="405"/>
        <v>13.22</v>
      </c>
      <c r="AH177" s="1150">
        <f t="shared" si="406"/>
        <v>65</v>
      </c>
      <c r="AI177" s="1150">
        <f t="shared" si="407"/>
        <v>65</v>
      </c>
      <c r="AJ177" s="1150">
        <f t="shared" si="408"/>
        <v>0</v>
      </c>
      <c r="AK177" s="1150">
        <f t="shared" si="409"/>
        <v>0</v>
      </c>
      <c r="AL177" s="1151">
        <f t="shared" si="410"/>
        <v>103.23</v>
      </c>
      <c r="AM177" s="1151">
        <f t="shared" si="411"/>
        <v>78.22</v>
      </c>
      <c r="AN177" s="1028">
        <v>0</v>
      </c>
      <c r="AO177" s="1193">
        <f>'CONCEPTOS Y PARAMETROS'!$C$18*AN177</f>
        <v>0</v>
      </c>
      <c r="AP177" s="1028">
        <v>0</v>
      </c>
      <c r="AQ177" s="1193">
        <f>'CONCEPTOS Y PARAMETROS'!$C$21*AP177</f>
        <v>0</v>
      </c>
      <c r="AR177" s="1394">
        <v>0</v>
      </c>
      <c r="AS177" s="1394">
        <v>0</v>
      </c>
      <c r="AT177" s="1394">
        <f t="shared" si="377"/>
        <v>0</v>
      </c>
      <c r="AU177" s="1151">
        <f t="shared" si="412"/>
        <v>355.45</v>
      </c>
      <c r="AV177" s="1178">
        <v>0</v>
      </c>
      <c r="AW177" s="1151">
        <f t="shared" si="370"/>
        <v>0</v>
      </c>
      <c r="AX177" s="1150">
        <f>IF(T177&lt;&gt;"0",(ROUND(IF(A177="EMPLEADO",eval_formula('CONCEPTOS Y PARAMETROS'!$C$8,NOMINA!V177,NOMINA!$AU177,NOMINA!I177+NOMINA!J177),eval_formula('CONCEPTOS Y PARAMETROS'!$D$8,NOMINA!V177,NOMINA!$AU177,NOMINA!I177+NOMINA!J177)),2))*IF(H177&lt;&gt;"",IF(MONTH(H177)=$BR$8,IF(YEAR(H177)&lt;$BT$7,1,0),0)))</f>
        <v>2843.6</v>
      </c>
      <c r="AY177" s="1151">
        <v>180</v>
      </c>
      <c r="AZ177" s="1150">
        <f>IFERROR(VLOOKUP(AY177,'CONCEPTOS Y PARAMETROS'!Y:Z,2,0),0)</f>
        <v>150</v>
      </c>
      <c r="BA177" s="1150">
        <f t="shared" si="413"/>
        <v>2665.88</v>
      </c>
      <c r="BB177" s="1150">
        <f t="shared" si="381"/>
        <v>0</v>
      </c>
      <c r="BC177" s="1028">
        <v>0</v>
      </c>
      <c r="BD177" s="1150" t="str">
        <f t="shared" si="414"/>
        <v>0</v>
      </c>
      <c r="BE177" s="1028">
        <v>1</v>
      </c>
      <c r="BF177" s="1150">
        <f t="shared" si="363"/>
        <v>17.77</v>
      </c>
      <c r="BG177" s="1151">
        <v>300</v>
      </c>
      <c r="BH177" s="1151">
        <f t="shared" si="382"/>
        <v>0</v>
      </c>
      <c r="BI177" s="1180">
        <v>0</v>
      </c>
      <c r="BJ177" s="1180">
        <f t="shared" si="372"/>
        <v>0</v>
      </c>
      <c r="BK177" s="1151">
        <v>0</v>
      </c>
      <c r="BL177" s="1150">
        <f t="shared" si="329"/>
        <v>13.12</v>
      </c>
      <c r="BM177" s="1150">
        <f t="shared" si="330"/>
        <v>1.64</v>
      </c>
      <c r="BN177" s="1150">
        <f t="shared" si="378"/>
        <v>3.55</v>
      </c>
      <c r="BO177" s="1150">
        <v>0</v>
      </c>
      <c r="BP177" s="1150">
        <v>0.86</v>
      </c>
      <c r="BQ177" s="1396">
        <f t="shared" si="373"/>
        <v>19.170000000000002</v>
      </c>
      <c r="BR177" s="1150">
        <f t="shared" si="331"/>
        <v>29.53</v>
      </c>
      <c r="BS177" s="1150">
        <f t="shared" si="332"/>
        <v>6.56</v>
      </c>
      <c r="BT177" s="1150">
        <f t="shared" si="383"/>
        <v>7.1</v>
      </c>
      <c r="BU177" s="1150">
        <v>0</v>
      </c>
      <c r="BV177" s="1151">
        <f t="shared" si="374"/>
        <v>43.19</v>
      </c>
      <c r="BW177" s="1155">
        <f t="shared" si="375"/>
        <v>62.36</v>
      </c>
      <c r="BX177" s="1155">
        <f t="shared" si="362"/>
        <v>666.47</v>
      </c>
      <c r="BY177" s="1151">
        <v>0</v>
      </c>
      <c r="BZ177" s="1151">
        <f t="shared" si="371"/>
        <v>666.47</v>
      </c>
      <c r="CA177" s="1397">
        <f>'CONCEPTOS Y PARAMETROS'!$A$102</f>
        <v>2120</v>
      </c>
      <c r="CB177" s="1155">
        <f t="shared" si="384"/>
        <v>171.06</v>
      </c>
      <c r="CC177" s="1156">
        <f t="shared" si="385"/>
        <v>3326.59</v>
      </c>
      <c r="CD177" s="514"/>
      <c r="CE177" s="514"/>
      <c r="CF177" s="520"/>
      <c r="CG177" s="497">
        <f t="shared" si="386"/>
        <v>171.06</v>
      </c>
      <c r="CH177" s="1711">
        <f t="shared" si="387"/>
        <v>300</v>
      </c>
      <c r="CI177" s="497">
        <f t="shared" si="388"/>
        <v>465.22</v>
      </c>
      <c r="CJ177" s="497">
        <f t="shared" si="389"/>
        <v>465.22</v>
      </c>
      <c r="CK177" s="497">
        <f t="shared" si="390"/>
        <v>0</v>
      </c>
      <c r="CL177" s="497">
        <f t="shared" si="391"/>
        <v>0</v>
      </c>
      <c r="CM177" s="497">
        <f t="shared" si="392"/>
        <v>0</v>
      </c>
      <c r="CN177" s="498">
        <f t="shared" si="393"/>
        <v>17.77</v>
      </c>
      <c r="CO177" s="499">
        <v>0</v>
      </c>
      <c r="CP177" s="498">
        <f t="shared" si="394"/>
        <v>0</v>
      </c>
      <c r="CQ177" s="500">
        <f t="shared" si="395"/>
        <v>0</v>
      </c>
      <c r="CR177" s="498">
        <f t="shared" si="396"/>
        <v>2843.6</v>
      </c>
      <c r="CS177" s="498">
        <f t="shared" si="397"/>
        <v>2861.37</v>
      </c>
      <c r="CT177" s="498">
        <f t="shared" si="398"/>
        <v>62.36</v>
      </c>
      <c r="CU177" s="498">
        <f t="shared" si="399"/>
        <v>2120</v>
      </c>
      <c r="CV177" s="1554"/>
      <c r="CW177" s="1195" t="s">
        <v>7021</v>
      </c>
      <c r="CX177" s="1195" t="s">
        <v>6944</v>
      </c>
      <c r="CY177" s="472"/>
      <c r="CZ177" s="514" t="s">
        <v>6480</v>
      </c>
      <c r="DA177" s="514" t="s">
        <v>6173</v>
      </c>
      <c r="DB177" s="514" t="s">
        <v>6202</v>
      </c>
      <c r="DC177" s="514" t="s">
        <v>6271</v>
      </c>
      <c r="DD177" s="514"/>
      <c r="DE177" s="514"/>
      <c r="DF177" s="472"/>
      <c r="DG177" s="472"/>
      <c r="DH177" s="472"/>
      <c r="DJ177" s="473" t="str">
        <f>VLOOKUP(X177,Hoja1!$A$4:$B$10,2,0)</f>
        <v>BACHILLER</v>
      </c>
      <c r="DK177" s="473" t="str">
        <f>VLOOKUP(S177,Hoja1!$D$4:$F$77,3,0)</f>
        <v>BIII - V</v>
      </c>
      <c r="DL177" s="1216" t="str">
        <f t="shared" si="400"/>
        <v>0</v>
      </c>
      <c r="DM177" s="1741" t="str">
        <f t="shared" si="401"/>
        <v>M</v>
      </c>
      <c r="DN177" s="1741"/>
    </row>
    <row r="178" spans="1:118" s="478" customFormat="1" ht="21.95" customHeight="1">
      <c r="A178" s="510" t="s">
        <v>2846</v>
      </c>
      <c r="B178" s="1390">
        <f t="shared" ca="1" si="355"/>
        <v>136</v>
      </c>
      <c r="C178" s="1194">
        <v>16376781</v>
      </c>
      <c r="D178" s="1195" t="s">
        <v>6563</v>
      </c>
      <c r="E178" s="1180" t="s">
        <v>4622</v>
      </c>
      <c r="F178" s="1196">
        <v>29938</v>
      </c>
      <c r="G178" s="1180" t="s">
        <v>4620</v>
      </c>
      <c r="H178" s="1196">
        <v>45413</v>
      </c>
      <c r="I178" s="1185">
        <f t="shared" si="379"/>
        <v>0</v>
      </c>
      <c r="J178" s="1177">
        <v>0</v>
      </c>
      <c r="K178" s="1185">
        <f t="shared" si="380"/>
        <v>0</v>
      </c>
      <c r="L178" s="1191" t="s">
        <v>5550</v>
      </c>
      <c r="M178" s="1177"/>
      <c r="N178" s="1177"/>
      <c r="O178" s="1040" t="s">
        <v>5222</v>
      </c>
      <c r="P178" s="1197" t="s">
        <v>6562</v>
      </c>
      <c r="Q178" s="1391" t="str">
        <f>IFERROR(VLOOKUP(O178,CARGOS!A:E,2,0),"")</f>
        <v>79511</v>
      </c>
      <c r="R178" s="1403" t="s">
        <v>5222</v>
      </c>
      <c r="S178" s="1192" t="s">
        <v>5475</v>
      </c>
      <c r="T178" s="1150">
        <f>IFERROR(VLOOKUP(S178,'TAB EMP'!A:B,2,0),0)</f>
        <v>192</v>
      </c>
      <c r="U178" s="1151">
        <v>0</v>
      </c>
      <c r="V178" s="1150">
        <f t="shared" ref="V178" si="415">T178-U178</f>
        <v>192</v>
      </c>
      <c r="W178" s="1151">
        <f t="shared" ref="W178" si="416">ROUND(V178/2,2)</f>
        <v>96</v>
      </c>
      <c r="X178" s="1180" t="s">
        <v>2844</v>
      </c>
      <c r="Y178" s="1180"/>
      <c r="Z178" s="1180">
        <v>2</v>
      </c>
      <c r="AA178" s="1150">
        <f>ROUND(IF(H178&lt;&gt;"",VLOOKUP(SUM(I178+J178),'CONCEPTOS Y PARAMETROS'!F:G,2,0)*V178,0),2)</f>
        <v>0</v>
      </c>
      <c r="AB178" s="1150">
        <f>IF(S178&lt;&gt;"",IF(M178="",'CONCEPTOS Y PARAMETROS'!$C$4,0),0)</f>
        <v>130</v>
      </c>
      <c r="AC178" s="1150">
        <f>IF(S178&lt;&gt;"",IF(M178="",'CONCEPTOS Y PARAMETROS'!$C$7*Z178,0),0)</f>
        <v>25</v>
      </c>
      <c r="AD178" s="1150">
        <f>IFERROR(ROUND(VLOOKUP($X178,'CONCEPTOS Y PARAMETROS'!H:I,2,0)*($V178+AA178+AB178+AC178),2),0)</f>
        <v>69.400000000000006</v>
      </c>
      <c r="AE178" s="1150">
        <f t="shared" ref="AE178" si="417">SUM(AA178:AD178)</f>
        <v>224.4</v>
      </c>
      <c r="AF178" s="1150">
        <f t="shared" ref="AF178" si="418">ROUND(AA178/2,2)</f>
        <v>0</v>
      </c>
      <c r="AG178" s="1150">
        <f t="shared" ref="AG178" si="419">ROUND(AA178-AF178,2)</f>
        <v>0</v>
      </c>
      <c r="AH178" s="1150">
        <f t="shared" ref="AH178" si="420">ROUND(AB178/2,2)</f>
        <v>65</v>
      </c>
      <c r="AI178" s="1150">
        <f t="shared" ref="AI178" si="421">ROUND(AB178-AH178,2)</f>
        <v>65</v>
      </c>
      <c r="AJ178" s="1150">
        <f t="shared" ref="AJ178" si="422">ROUND(AD178/2,2)</f>
        <v>34.700000000000003</v>
      </c>
      <c r="AK178" s="1150">
        <f t="shared" ref="AK178" si="423">ROUND(AD178-AJ178,2)</f>
        <v>34.700000000000003</v>
      </c>
      <c r="AL178" s="1151">
        <f t="shared" ref="AL178" si="424">ROUND(AF178+AH178+AJ178+AC178,2)</f>
        <v>124.7</v>
      </c>
      <c r="AM178" s="1151">
        <f t="shared" ref="AM178" si="425">ROUND(AG178+AI178+AK178,2)</f>
        <v>99.7</v>
      </c>
      <c r="AN178" s="1583">
        <v>2</v>
      </c>
      <c r="AO178" s="1193">
        <f>'CONCEPTOS Y PARAMETROS'!$C$18*AN178</f>
        <v>25</v>
      </c>
      <c r="AP178" s="1028">
        <v>0</v>
      </c>
      <c r="AQ178" s="1193">
        <f>'CONCEPTOS Y PARAMETROS'!$C$21*AP178</f>
        <v>0</v>
      </c>
      <c r="AR178" s="1394">
        <v>0</v>
      </c>
      <c r="AS178" s="1394">
        <v>0</v>
      </c>
      <c r="AT178" s="1394">
        <f t="shared" ref="AT178" si="426">+AO178+AQ178+AR178+AS178</f>
        <v>25</v>
      </c>
      <c r="AU178" s="1151">
        <f t="shared" ref="AU178" si="427">V178+AE178+AW178</f>
        <v>541.31999999999994</v>
      </c>
      <c r="AV178" s="1178" t="s">
        <v>5080</v>
      </c>
      <c r="AW178" s="1151">
        <f t="shared" ref="AW178" si="428">ROUND(IF(AV178="NOCTURN",(V178+AE178)*30%,0),2)</f>
        <v>124.92</v>
      </c>
      <c r="AX178" s="1150">
        <f>IF(T178&lt;&gt;"0",(ROUND(IF(A178="EMPLEADO",eval_formula('CONCEPTOS Y PARAMETROS'!$C$8,NOMINA!V178,NOMINA!$AU178,NOMINA!I178+NOMINA!J178),eval_formula('CONCEPTOS Y PARAMETROS'!$D$8,NOMINA!V178,NOMINA!$AU178,NOMINA!I178+NOMINA!J178)),2))*IF(H178&lt;&gt;"",IF(MONTH(H178)=$BR$8,IF(YEAR(H178)&lt;$BT$7,1,0),0)))</f>
        <v>0</v>
      </c>
      <c r="AY178" s="1151">
        <v>120</v>
      </c>
      <c r="AZ178" s="1150">
        <f>IFERROR(VLOOKUP(AY178,'CONCEPTOS Y PARAMETROS'!Y:Z,2,0),0)</f>
        <v>100</v>
      </c>
      <c r="BA178" s="1150">
        <f t="shared" ref="BA178" si="429">ROUND((((AU178))/30*AY178/12+(AU178))/30*AZ178,2)</f>
        <v>2405.87</v>
      </c>
      <c r="BB178" s="1150">
        <f t="shared" si="381"/>
        <v>0</v>
      </c>
      <c r="BC178" s="1028">
        <v>0</v>
      </c>
      <c r="BD178" s="1150" t="str">
        <f t="shared" ref="BD178" si="430">IF(BC178&gt;0,((((((V178+AA178+AB178+AC178+AD178)/30)/8)*50%)+((((V178+AA178+AB178+AC178+AD178)/30)/8)))*30%+(((((V178+AA178+AB178+AC178+AD178)/30)/8)*50%)+((((V178+AA178+AB178+AC178+AD178)/30)/8))))*BC178,"0")</f>
        <v>0</v>
      </c>
      <c r="BE178" s="1028">
        <v>1</v>
      </c>
      <c r="BF178" s="1150">
        <f t="shared" si="363"/>
        <v>27.07</v>
      </c>
      <c r="BG178" s="1151">
        <v>300</v>
      </c>
      <c r="BH178" s="1151">
        <f t="shared" si="382"/>
        <v>0</v>
      </c>
      <c r="BI178" s="1180">
        <v>0</v>
      </c>
      <c r="BJ178" s="1180">
        <f t="shared" si="372"/>
        <v>0</v>
      </c>
      <c r="BK178" s="1151">
        <v>0</v>
      </c>
      <c r="BL178" s="1150">
        <f t="shared" si="329"/>
        <v>19.989999999999998</v>
      </c>
      <c r="BM178" s="1150">
        <f t="shared" si="330"/>
        <v>2.5</v>
      </c>
      <c r="BN178" s="1150">
        <f t="shared" si="378"/>
        <v>5.41</v>
      </c>
      <c r="BO178" s="1150">
        <v>0</v>
      </c>
      <c r="BP178" s="1150">
        <v>0</v>
      </c>
      <c r="BQ178" s="1396">
        <f t="shared" ref="BQ178" si="431">ROUND(SUM(BL178:BP178),2)</f>
        <v>27.9</v>
      </c>
      <c r="BR178" s="1150">
        <f t="shared" si="331"/>
        <v>44.97</v>
      </c>
      <c r="BS178" s="1150">
        <f t="shared" si="332"/>
        <v>9.99</v>
      </c>
      <c r="BT178" s="1150">
        <f t="shared" si="383"/>
        <v>10.82</v>
      </c>
      <c r="BU178" s="1150">
        <v>0</v>
      </c>
      <c r="BV178" s="1151">
        <f t="shared" ref="BV178" si="432">ROUND(SUM(BR178:BT178),2)</f>
        <v>65.78</v>
      </c>
      <c r="BW178" s="1155">
        <f t="shared" ref="BW178" si="433">BQ178+BV178</f>
        <v>93.68</v>
      </c>
      <c r="BX178" s="1155">
        <f t="shared" si="362"/>
        <v>601.47</v>
      </c>
      <c r="BY178" s="1151">
        <v>0</v>
      </c>
      <c r="BZ178" s="1151">
        <f t="shared" si="371"/>
        <v>601.47</v>
      </c>
      <c r="CA178" s="1397">
        <f>'CONCEPTOS Y PARAMETROS'!$A$102</f>
        <v>2120</v>
      </c>
      <c r="CB178" s="1155">
        <f t="shared" si="384"/>
        <v>192.79999999999998</v>
      </c>
      <c r="CC178" s="1156">
        <f t="shared" si="385"/>
        <v>672.69</v>
      </c>
      <c r="CD178" s="514"/>
      <c r="CE178" s="514"/>
      <c r="CF178" s="521"/>
      <c r="CG178" s="511">
        <f t="shared" si="386"/>
        <v>192.79999999999998</v>
      </c>
      <c r="CH178" s="1712">
        <f t="shared" si="387"/>
        <v>300</v>
      </c>
      <c r="CI178" s="511">
        <f t="shared" si="388"/>
        <v>495.7</v>
      </c>
      <c r="CJ178" s="511">
        <f t="shared" si="389"/>
        <v>495.7</v>
      </c>
      <c r="CK178" s="511">
        <f t="shared" si="390"/>
        <v>0</v>
      </c>
      <c r="CL178" s="511">
        <f t="shared" si="391"/>
        <v>0</v>
      </c>
      <c r="CM178" s="511">
        <f t="shared" si="392"/>
        <v>0</v>
      </c>
      <c r="CN178" s="512">
        <f t="shared" si="393"/>
        <v>27.07</v>
      </c>
      <c r="CO178" s="513">
        <v>0</v>
      </c>
      <c r="CP178" s="512">
        <f t="shared" si="394"/>
        <v>124.92</v>
      </c>
      <c r="CQ178" s="500">
        <f t="shared" si="395"/>
        <v>25</v>
      </c>
      <c r="CR178" s="512">
        <f t="shared" si="396"/>
        <v>0</v>
      </c>
      <c r="CS178" s="512">
        <f t="shared" si="397"/>
        <v>176.99</v>
      </c>
      <c r="CT178" s="512">
        <f t="shared" si="398"/>
        <v>93.68</v>
      </c>
      <c r="CU178" s="512">
        <f t="shared" si="399"/>
        <v>2120</v>
      </c>
      <c r="CV178" s="1556"/>
      <c r="CW178" s="1195" t="s">
        <v>7020</v>
      </c>
      <c r="CX178" s="1195" t="s">
        <v>7005</v>
      </c>
      <c r="CY178" s="514"/>
      <c r="CZ178" s="1187" t="s">
        <v>6565</v>
      </c>
      <c r="DA178" s="1187" t="s">
        <v>6173</v>
      </c>
      <c r="DB178" s="1187" t="s">
        <v>6202</v>
      </c>
      <c r="DC178" s="1199" t="s">
        <v>6271</v>
      </c>
      <c r="DD178" s="514"/>
      <c r="DE178" s="514"/>
      <c r="DF178" s="514"/>
      <c r="DG178" s="514"/>
      <c r="DH178" s="514"/>
      <c r="DJ178" s="478" t="str">
        <f>VLOOKUP(X178,Hoja1!$A$4:$B$10,2,0)</f>
        <v>TÉCNICO SUPERIOR UNIVERSITARIO</v>
      </c>
      <c r="DK178" s="478" t="str">
        <f>VLOOKUP(S178,Hoja1!$D$4:$F$77,3,0)</f>
        <v>TI</v>
      </c>
      <c r="DL178" s="1218" t="str">
        <f t="shared" si="400"/>
        <v>SI</v>
      </c>
      <c r="DM178" s="1743" t="str">
        <f t="shared" si="401"/>
        <v>F</v>
      </c>
      <c r="DN178" s="1743"/>
    </row>
    <row r="179" spans="1:118" s="473" customFormat="1" ht="21.95" customHeight="1">
      <c r="A179" s="510" t="s">
        <v>2846</v>
      </c>
      <c r="B179" s="1390">
        <f t="shared" ca="1" si="355"/>
        <v>137</v>
      </c>
      <c r="C179" s="1194">
        <v>16377159</v>
      </c>
      <c r="D179" s="1195" t="s">
        <v>4822</v>
      </c>
      <c r="E179" s="1180" t="s">
        <v>4622</v>
      </c>
      <c r="F179" s="1196">
        <v>30763</v>
      </c>
      <c r="G179" s="1180" t="s">
        <v>4620</v>
      </c>
      <c r="H179" s="1196">
        <v>44743</v>
      </c>
      <c r="I179" s="1185">
        <f t="shared" si="379"/>
        <v>2</v>
      </c>
      <c r="J179" s="1177">
        <v>0</v>
      </c>
      <c r="K179" s="1185">
        <f t="shared" si="380"/>
        <v>2</v>
      </c>
      <c r="L179" s="1191" t="s">
        <v>5539</v>
      </c>
      <c r="M179" s="1177"/>
      <c r="N179" s="1177"/>
      <c r="O179" s="1040" t="s">
        <v>5222</v>
      </c>
      <c r="P179" s="1177" t="s">
        <v>5385</v>
      </c>
      <c r="Q179" s="1391" t="str">
        <f>IFERROR(VLOOKUP(O179,CARGOS!A:E,2,0),"")</f>
        <v>79511</v>
      </c>
      <c r="R179" s="1403" t="s">
        <v>5222</v>
      </c>
      <c r="S179" s="1192" t="s">
        <v>5475</v>
      </c>
      <c r="T179" s="1150">
        <f>IFERROR(VLOOKUP(S179,'TAB EMP'!A:B,2,0),0)</f>
        <v>192</v>
      </c>
      <c r="U179" s="1151">
        <v>0</v>
      </c>
      <c r="V179" s="1150">
        <f t="shared" si="402"/>
        <v>192</v>
      </c>
      <c r="W179" s="1151">
        <f t="shared" si="403"/>
        <v>96</v>
      </c>
      <c r="X179" s="1180" t="s">
        <v>2844</v>
      </c>
      <c r="Y179" s="1180"/>
      <c r="Z179" s="1180">
        <v>2</v>
      </c>
      <c r="AA179" s="1150">
        <f>ROUND(IF(H179&lt;&gt;"",VLOOKUP(SUM(I179+J179),'CONCEPTOS Y PARAMETROS'!F:G,2,0)*V179,0),2)</f>
        <v>3.84</v>
      </c>
      <c r="AB179" s="1150">
        <f>IF(S179&lt;&gt;"",IF(M179="",'CONCEPTOS Y PARAMETROS'!$C$4,0),0)</f>
        <v>130</v>
      </c>
      <c r="AC179" s="1150">
        <f>IF(S179&lt;&gt;"",IF(M179="",'CONCEPTOS Y PARAMETROS'!$C$7*Z179,0),0)</f>
        <v>25</v>
      </c>
      <c r="AD179" s="1150">
        <f>IFERROR(ROUND(VLOOKUP($X179,'CONCEPTOS Y PARAMETROS'!H:I,2,0)*($V179+AA179+AB179+AC179),2),0)</f>
        <v>70.17</v>
      </c>
      <c r="AE179" s="1150">
        <f t="shared" si="376"/>
        <v>229.01</v>
      </c>
      <c r="AF179" s="1150">
        <f t="shared" si="404"/>
        <v>1.92</v>
      </c>
      <c r="AG179" s="1150">
        <f t="shared" si="405"/>
        <v>1.92</v>
      </c>
      <c r="AH179" s="1150">
        <f t="shared" si="406"/>
        <v>65</v>
      </c>
      <c r="AI179" s="1150">
        <f t="shared" si="407"/>
        <v>65</v>
      </c>
      <c r="AJ179" s="1150">
        <f t="shared" si="408"/>
        <v>35.090000000000003</v>
      </c>
      <c r="AK179" s="1150">
        <f t="shared" si="409"/>
        <v>35.08</v>
      </c>
      <c r="AL179" s="1151">
        <f t="shared" si="410"/>
        <v>127.01</v>
      </c>
      <c r="AM179" s="1151">
        <f t="shared" si="411"/>
        <v>102</v>
      </c>
      <c r="AN179" s="1028">
        <v>0</v>
      </c>
      <c r="AO179" s="1193">
        <f>'CONCEPTOS Y PARAMETROS'!$C$18*AN179</f>
        <v>0</v>
      </c>
      <c r="AP179" s="1028">
        <v>0</v>
      </c>
      <c r="AQ179" s="1193">
        <f>'CONCEPTOS Y PARAMETROS'!$C$21*AP179</f>
        <v>0</v>
      </c>
      <c r="AR179" s="1394">
        <v>0</v>
      </c>
      <c r="AS179" s="1394">
        <v>0</v>
      </c>
      <c r="AT179" s="1394">
        <f t="shared" si="377"/>
        <v>0</v>
      </c>
      <c r="AU179" s="1151">
        <f t="shared" si="412"/>
        <v>547.30999999999995</v>
      </c>
      <c r="AV179" s="1178" t="s">
        <v>5080</v>
      </c>
      <c r="AW179" s="1151">
        <f t="shared" si="370"/>
        <v>126.3</v>
      </c>
      <c r="AX179" s="1150">
        <f>IF(T179&lt;&gt;"0",(ROUND(IF(A179="EMPLEADO",eval_formula('CONCEPTOS Y PARAMETROS'!$C$8,NOMINA!V179,NOMINA!$AU179,NOMINA!I179+NOMINA!J179),eval_formula('CONCEPTOS Y PARAMETROS'!$D$8,NOMINA!V179,NOMINA!$AU179,NOMINA!I179+NOMINA!J179)),2))*IF(H179&lt;&gt;"",IF(MONTH(H179)=$BR$8,IF(YEAR(H179)&lt;$BT$7,1,0),0)))</f>
        <v>0</v>
      </c>
      <c r="AY179" s="1151">
        <v>180</v>
      </c>
      <c r="AZ179" s="1150">
        <f>IFERROR(VLOOKUP(AY179,'CONCEPTOS Y PARAMETROS'!Y:Z,2,0),0)</f>
        <v>150</v>
      </c>
      <c r="BA179" s="1150">
        <f t="shared" si="413"/>
        <v>4104.83</v>
      </c>
      <c r="BB179" s="1150">
        <f t="shared" si="381"/>
        <v>0</v>
      </c>
      <c r="BC179" s="1028">
        <v>0</v>
      </c>
      <c r="BD179" s="1150" t="str">
        <f t="shared" si="414"/>
        <v>0</v>
      </c>
      <c r="BE179" s="1028">
        <v>3</v>
      </c>
      <c r="BF179" s="1150">
        <f t="shared" si="363"/>
        <v>82.1</v>
      </c>
      <c r="BG179" s="1151">
        <v>300</v>
      </c>
      <c r="BH179" s="1151">
        <f t="shared" si="382"/>
        <v>0</v>
      </c>
      <c r="BI179" s="1180">
        <v>0</v>
      </c>
      <c r="BJ179" s="1180">
        <f t="shared" si="372"/>
        <v>0</v>
      </c>
      <c r="BK179" s="1151">
        <v>0</v>
      </c>
      <c r="BL179" s="1150">
        <f t="shared" si="329"/>
        <v>20.21</v>
      </c>
      <c r="BM179" s="1150">
        <f t="shared" si="330"/>
        <v>2.5299999999999998</v>
      </c>
      <c r="BN179" s="1150">
        <f t="shared" si="378"/>
        <v>5.47</v>
      </c>
      <c r="BO179" s="1150">
        <v>0</v>
      </c>
      <c r="BP179" s="1150">
        <v>0</v>
      </c>
      <c r="BQ179" s="1396">
        <f t="shared" si="373"/>
        <v>28.21</v>
      </c>
      <c r="BR179" s="1150">
        <f t="shared" si="331"/>
        <v>45.47</v>
      </c>
      <c r="BS179" s="1150">
        <f t="shared" si="332"/>
        <v>10.1</v>
      </c>
      <c r="BT179" s="1150">
        <f t="shared" si="383"/>
        <v>10.94</v>
      </c>
      <c r="BU179" s="1150">
        <v>0</v>
      </c>
      <c r="BV179" s="1151">
        <f t="shared" si="374"/>
        <v>66.510000000000005</v>
      </c>
      <c r="BW179" s="1155">
        <f t="shared" si="375"/>
        <v>94.72</v>
      </c>
      <c r="BX179" s="1155">
        <f t="shared" si="362"/>
        <v>1026.21</v>
      </c>
      <c r="BY179" s="1151">
        <v>0</v>
      </c>
      <c r="BZ179" s="1151">
        <f t="shared" si="371"/>
        <v>1026.21</v>
      </c>
      <c r="CA179" s="1397">
        <f>'CONCEPTOS Y PARAMETROS'!$A$102</f>
        <v>2120</v>
      </c>
      <c r="CB179" s="1155">
        <f t="shared" si="384"/>
        <v>194.79999999999998</v>
      </c>
      <c r="CC179" s="1156">
        <f t="shared" si="385"/>
        <v>706.4</v>
      </c>
      <c r="CD179" s="514"/>
      <c r="CE179" s="514"/>
      <c r="CF179" s="520"/>
      <c r="CG179" s="497">
        <f t="shared" si="386"/>
        <v>194.79999999999998</v>
      </c>
      <c r="CH179" s="1711">
        <f t="shared" si="387"/>
        <v>300</v>
      </c>
      <c r="CI179" s="497">
        <f t="shared" si="388"/>
        <v>498</v>
      </c>
      <c r="CJ179" s="497">
        <f t="shared" si="389"/>
        <v>498</v>
      </c>
      <c r="CK179" s="497">
        <f t="shared" si="390"/>
        <v>0</v>
      </c>
      <c r="CL179" s="497">
        <f t="shared" si="391"/>
        <v>0</v>
      </c>
      <c r="CM179" s="497">
        <f t="shared" si="392"/>
        <v>0</v>
      </c>
      <c r="CN179" s="498">
        <f t="shared" si="393"/>
        <v>82.1</v>
      </c>
      <c r="CO179" s="499">
        <v>0</v>
      </c>
      <c r="CP179" s="498">
        <f t="shared" si="394"/>
        <v>126.3</v>
      </c>
      <c r="CQ179" s="500">
        <f t="shared" si="395"/>
        <v>0</v>
      </c>
      <c r="CR179" s="498">
        <f t="shared" si="396"/>
        <v>0</v>
      </c>
      <c r="CS179" s="498">
        <f t="shared" si="397"/>
        <v>208.39999999999998</v>
      </c>
      <c r="CT179" s="498">
        <f t="shared" si="398"/>
        <v>94.72</v>
      </c>
      <c r="CU179" s="498">
        <f t="shared" si="399"/>
        <v>2120</v>
      </c>
      <c r="CV179" s="1554"/>
      <c r="CW179" s="1195" t="s">
        <v>7006</v>
      </c>
      <c r="CX179" s="1195" t="s">
        <v>7028</v>
      </c>
      <c r="CY179" s="472"/>
      <c r="CZ179" s="514" t="s">
        <v>6345</v>
      </c>
      <c r="DA179" s="1198" t="s">
        <v>6241</v>
      </c>
      <c r="DB179" s="1199" t="s">
        <v>6273</v>
      </c>
      <c r="DC179" s="514" t="s">
        <v>6587</v>
      </c>
      <c r="DD179" s="514"/>
      <c r="DE179" s="514"/>
      <c r="DF179" s="472"/>
      <c r="DG179" s="472"/>
      <c r="DH179" s="472"/>
      <c r="DJ179" s="473" t="str">
        <f>VLOOKUP(X179,Hoja1!$A$4:$B$10,2,0)</f>
        <v>TÉCNICO SUPERIOR UNIVERSITARIO</v>
      </c>
      <c r="DK179" s="473" t="str">
        <f>VLOOKUP(S179,Hoja1!$D$4:$F$77,3,0)</f>
        <v>TI</v>
      </c>
      <c r="DL179" s="1216" t="str">
        <f t="shared" si="400"/>
        <v>SI</v>
      </c>
      <c r="DM179" s="1741" t="str">
        <f t="shared" si="401"/>
        <v>F</v>
      </c>
      <c r="DN179" s="1741"/>
    </row>
    <row r="180" spans="1:118" s="1654" customFormat="1" ht="21.95" customHeight="1">
      <c r="A180" s="1624" t="s">
        <v>2846</v>
      </c>
      <c r="B180" s="1625">
        <f t="shared" ca="1" si="355"/>
        <v>138</v>
      </c>
      <c r="C180" s="1626">
        <v>16377588</v>
      </c>
      <c r="D180" s="1627" t="s">
        <v>4823</v>
      </c>
      <c r="E180" s="1628" t="s">
        <v>4622</v>
      </c>
      <c r="F180" s="1629">
        <v>30894</v>
      </c>
      <c r="G180" s="1628" t="s">
        <v>4620</v>
      </c>
      <c r="H180" s="1629">
        <v>44059</v>
      </c>
      <c r="I180" s="1630">
        <f t="shared" si="379"/>
        <v>4</v>
      </c>
      <c r="J180" s="1631">
        <v>0</v>
      </c>
      <c r="K180" s="1630">
        <f t="shared" si="380"/>
        <v>4</v>
      </c>
      <c r="L180" s="1632" t="s">
        <v>5550</v>
      </c>
      <c r="M180" s="1631"/>
      <c r="N180" s="1631"/>
      <c r="O180" s="1633" t="s">
        <v>5230</v>
      </c>
      <c r="P180" s="1631" t="s">
        <v>5386</v>
      </c>
      <c r="Q180" s="1634" t="str">
        <f>IFERROR(VLOOKUP(O180,CARGOS!A:E,2,0),"")</f>
        <v>79522</v>
      </c>
      <c r="R180" s="1635" t="s">
        <v>5230</v>
      </c>
      <c r="S180" s="1636" t="s">
        <v>5480</v>
      </c>
      <c r="T180" s="1637">
        <f>IFERROR(VLOOKUP(S180,'TAB EMP'!A:B,2,0),0)</f>
        <v>277</v>
      </c>
      <c r="U180" s="1638">
        <v>0</v>
      </c>
      <c r="V180" s="1637">
        <f t="shared" si="402"/>
        <v>277</v>
      </c>
      <c r="W180" s="1638">
        <f t="shared" si="403"/>
        <v>138.5</v>
      </c>
      <c r="X180" s="1628" t="s">
        <v>2885</v>
      </c>
      <c r="Y180" s="1628"/>
      <c r="Z180" s="1628">
        <v>1</v>
      </c>
      <c r="AA180" s="1637">
        <f>ROUND(IF(H180&lt;&gt;"",VLOOKUP(SUM(I180+J180),'CONCEPTOS Y PARAMETROS'!F:G,2,0)*V180,0),2)</f>
        <v>11.08</v>
      </c>
      <c r="AB180" s="1637">
        <f>IF(S180&lt;&gt;"",IF(M180="",'CONCEPTOS Y PARAMETROS'!$C$4,0),0)</f>
        <v>130</v>
      </c>
      <c r="AC180" s="1637">
        <f>IF(S180&lt;&gt;"",IF(M180="",'CONCEPTOS Y PARAMETROS'!$C$7*Z180,0),0)</f>
        <v>12.5</v>
      </c>
      <c r="AD180" s="1637">
        <f>IFERROR(ROUND(VLOOKUP($X180,'CONCEPTOS Y PARAMETROS'!H:I,2,0)*($V180+AA180+AB180+AC180),2),0)</f>
        <v>107.65</v>
      </c>
      <c r="AE180" s="1637">
        <f t="shared" si="376"/>
        <v>261.23</v>
      </c>
      <c r="AF180" s="1637">
        <f t="shared" si="404"/>
        <v>5.54</v>
      </c>
      <c r="AG180" s="1637">
        <f t="shared" si="405"/>
        <v>5.54</v>
      </c>
      <c r="AH180" s="1637">
        <f t="shared" si="406"/>
        <v>65</v>
      </c>
      <c r="AI180" s="1637">
        <f t="shared" si="407"/>
        <v>65</v>
      </c>
      <c r="AJ180" s="1637">
        <f t="shared" si="408"/>
        <v>53.83</v>
      </c>
      <c r="AK180" s="1637">
        <f t="shared" si="409"/>
        <v>53.82</v>
      </c>
      <c r="AL180" s="1638">
        <f t="shared" si="410"/>
        <v>136.87</v>
      </c>
      <c r="AM180" s="1638">
        <f t="shared" si="411"/>
        <v>124.36</v>
      </c>
      <c r="AN180" s="1639">
        <v>0</v>
      </c>
      <c r="AO180" s="1640">
        <f>'CONCEPTOS Y PARAMETROS'!$C$18*AN180</f>
        <v>0</v>
      </c>
      <c r="AP180" s="1639">
        <v>0</v>
      </c>
      <c r="AQ180" s="1640">
        <f>'CONCEPTOS Y PARAMETROS'!$C$21*AP180</f>
        <v>0</v>
      </c>
      <c r="AR180" s="1641">
        <v>0</v>
      </c>
      <c r="AS180" s="1641">
        <v>0</v>
      </c>
      <c r="AT180" s="1641">
        <f t="shared" si="377"/>
        <v>0</v>
      </c>
      <c r="AU180" s="1638">
        <f t="shared" si="412"/>
        <v>538.23</v>
      </c>
      <c r="AV180" s="1642">
        <v>0</v>
      </c>
      <c r="AW180" s="1638">
        <f t="shared" si="370"/>
        <v>0</v>
      </c>
      <c r="AX180" s="1637">
        <f>IF(T180&lt;&gt;"0",(ROUND(IF(A180="EMPLEADO",eval_formula('CONCEPTOS Y PARAMETROS'!$C$8,NOMINA!V180,NOMINA!$AU180,NOMINA!I180+NOMINA!J180),eval_formula('CONCEPTOS Y PARAMETROS'!$D$8,NOMINA!V180,NOMINA!$AU180,NOMINA!I180+NOMINA!J180)),2))*IF(H180&lt;&gt;"",IF(MONTH(H180)=$BR$8,IF(YEAR(H180)&lt;$BT$7,1,0),0)))</f>
        <v>0</v>
      </c>
      <c r="AY180" s="1638">
        <v>180</v>
      </c>
      <c r="AZ180" s="1637">
        <f>IFERROR(VLOOKUP(AY180,'CONCEPTOS Y PARAMETROS'!Y:Z,2,0),0)</f>
        <v>150</v>
      </c>
      <c r="BA180" s="1637">
        <f t="shared" si="413"/>
        <v>4036.73</v>
      </c>
      <c r="BB180" s="1637">
        <f t="shared" si="381"/>
        <v>0</v>
      </c>
      <c r="BC180" s="1639">
        <v>0</v>
      </c>
      <c r="BD180" s="1637" t="str">
        <f t="shared" si="414"/>
        <v>0</v>
      </c>
      <c r="BE180" s="1639">
        <v>0</v>
      </c>
      <c r="BF180" s="1637">
        <f t="shared" si="363"/>
        <v>0</v>
      </c>
      <c r="BG180" s="1638">
        <v>300</v>
      </c>
      <c r="BH180" s="1638">
        <f t="shared" si="382"/>
        <v>0</v>
      </c>
      <c r="BI180" s="1628">
        <v>0</v>
      </c>
      <c r="BJ180" s="1628">
        <f t="shared" si="372"/>
        <v>0</v>
      </c>
      <c r="BK180" s="1638">
        <v>0</v>
      </c>
      <c r="BL180" s="1637">
        <f t="shared" si="329"/>
        <v>19.87</v>
      </c>
      <c r="BM180" s="1637">
        <f t="shared" si="330"/>
        <v>2.48</v>
      </c>
      <c r="BN180" s="1637">
        <f t="shared" si="378"/>
        <v>5.38</v>
      </c>
      <c r="BO180" s="1637">
        <v>0</v>
      </c>
      <c r="BP180" s="1637">
        <v>0</v>
      </c>
      <c r="BQ180" s="1643">
        <f t="shared" si="373"/>
        <v>27.73</v>
      </c>
      <c r="BR180" s="1637">
        <f t="shared" si="331"/>
        <v>44.71</v>
      </c>
      <c r="BS180" s="1637">
        <f t="shared" si="332"/>
        <v>9.94</v>
      </c>
      <c r="BT180" s="1637">
        <f t="shared" si="383"/>
        <v>10.76</v>
      </c>
      <c r="BU180" s="1637">
        <v>0</v>
      </c>
      <c r="BV180" s="1638">
        <f t="shared" si="374"/>
        <v>65.41</v>
      </c>
      <c r="BW180" s="1644">
        <f t="shared" si="375"/>
        <v>93.14</v>
      </c>
      <c r="BX180" s="1644">
        <f t="shared" si="362"/>
        <v>1009.18</v>
      </c>
      <c r="BY180" s="1638">
        <v>0</v>
      </c>
      <c r="BZ180" s="1638">
        <f t="shared" si="371"/>
        <v>1009.18</v>
      </c>
      <c r="CA180" s="1645">
        <f>'CONCEPTOS Y PARAMETROS'!$A$102</f>
        <v>2120</v>
      </c>
      <c r="CB180" s="1644">
        <f t="shared" si="384"/>
        <v>247.64000000000001</v>
      </c>
      <c r="CC180" s="1646">
        <f t="shared" si="385"/>
        <v>562.86</v>
      </c>
      <c r="CD180" s="1647"/>
      <c r="CE180" s="1647"/>
      <c r="CF180" s="1648"/>
      <c r="CG180" s="1649">
        <f t="shared" si="386"/>
        <v>247.64000000000001</v>
      </c>
      <c r="CH180" s="1713">
        <f t="shared" si="387"/>
        <v>300</v>
      </c>
      <c r="CI180" s="1649">
        <f t="shared" si="388"/>
        <v>562.86</v>
      </c>
      <c r="CJ180" s="1649">
        <f t="shared" si="389"/>
        <v>270.17</v>
      </c>
      <c r="CK180" s="1649">
        <f t="shared" si="390"/>
        <v>292.69</v>
      </c>
      <c r="CL180" s="1649">
        <f t="shared" si="391"/>
        <v>0</v>
      </c>
      <c r="CM180" s="1649">
        <f t="shared" si="392"/>
        <v>0</v>
      </c>
      <c r="CN180" s="1650">
        <f t="shared" si="393"/>
        <v>0</v>
      </c>
      <c r="CO180" s="1651">
        <v>0</v>
      </c>
      <c r="CP180" s="1650">
        <f t="shared" si="394"/>
        <v>0</v>
      </c>
      <c r="CQ180" s="1652">
        <f t="shared" si="395"/>
        <v>0</v>
      </c>
      <c r="CR180" s="1650">
        <f t="shared" si="396"/>
        <v>0</v>
      </c>
      <c r="CS180" s="1650">
        <f t="shared" si="397"/>
        <v>0</v>
      </c>
      <c r="CT180" s="1650">
        <f t="shared" si="398"/>
        <v>93.14</v>
      </c>
      <c r="CU180" s="1650">
        <f t="shared" si="399"/>
        <v>2120</v>
      </c>
      <c r="CV180" s="1653"/>
      <c r="CW180" s="1627" t="s">
        <v>7007</v>
      </c>
      <c r="CX180" s="1627" t="s">
        <v>7027</v>
      </c>
      <c r="CY180" s="1647"/>
      <c r="CZ180" s="1647" t="s">
        <v>6390</v>
      </c>
      <c r="DA180" s="1647" t="s">
        <v>6188</v>
      </c>
      <c r="DB180" s="1647" t="s">
        <v>6287</v>
      </c>
      <c r="DC180" s="1647" t="s">
        <v>6569</v>
      </c>
      <c r="DD180" s="1647"/>
      <c r="DE180" s="1647"/>
      <c r="DF180" s="1647"/>
      <c r="DG180" s="1647"/>
      <c r="DH180" s="1647"/>
      <c r="DJ180" s="1654" t="str">
        <f>VLOOKUP(X180,Hoja1!$A$4:$B$10,2,0)</f>
        <v>PROFESIONAL</v>
      </c>
      <c r="DK180" s="1654" t="str">
        <f>VLOOKUP(S180,Hoja1!$D$4:$F$77,3,0)</f>
        <v>PII - II</v>
      </c>
      <c r="DL180" s="1663" t="str">
        <f t="shared" si="400"/>
        <v>0</v>
      </c>
      <c r="DM180" s="1742" t="str">
        <f t="shared" si="401"/>
        <v>F</v>
      </c>
      <c r="DN180" s="1742"/>
    </row>
    <row r="181" spans="1:118" s="473" customFormat="1" ht="21.95" customHeight="1">
      <c r="A181" s="510" t="s">
        <v>2846</v>
      </c>
      <c r="B181" s="1390">
        <f t="shared" ca="1" si="355"/>
        <v>139</v>
      </c>
      <c r="C181" s="1194">
        <v>16377628</v>
      </c>
      <c r="D181" s="1195" t="s">
        <v>4824</v>
      </c>
      <c r="E181" s="1180" t="s">
        <v>4622</v>
      </c>
      <c r="F181" s="1196">
        <v>31161</v>
      </c>
      <c r="G181" s="1180" t="s">
        <v>4620</v>
      </c>
      <c r="H181" s="1196">
        <v>44743</v>
      </c>
      <c r="I181" s="1185">
        <f t="shared" si="379"/>
        <v>2</v>
      </c>
      <c r="J181" s="1177">
        <v>9</v>
      </c>
      <c r="K181" s="1185">
        <f t="shared" si="380"/>
        <v>11</v>
      </c>
      <c r="L181" s="1191" t="s">
        <v>5542</v>
      </c>
      <c r="M181" s="1177"/>
      <c r="N181" s="1177"/>
      <c r="O181" s="1040" t="s">
        <v>5221</v>
      </c>
      <c r="P181" s="1177" t="s">
        <v>5387</v>
      </c>
      <c r="Q181" s="1391" t="str">
        <f>IFERROR(VLOOKUP(O181,CARGOS!A:E,2,0),"")</f>
        <v>79512</v>
      </c>
      <c r="R181" s="1403" t="s">
        <v>5221</v>
      </c>
      <c r="S181" s="1192" t="s">
        <v>5486</v>
      </c>
      <c r="T181" s="1150">
        <f>IFERROR(VLOOKUP(S181,'TAB EMP'!A:B,2,0),0)</f>
        <v>281</v>
      </c>
      <c r="U181" s="1151">
        <v>0</v>
      </c>
      <c r="V181" s="1150">
        <f t="shared" si="402"/>
        <v>281</v>
      </c>
      <c r="W181" s="1151">
        <f t="shared" si="403"/>
        <v>140.5</v>
      </c>
      <c r="X181" s="1180" t="s">
        <v>2885</v>
      </c>
      <c r="Y181" s="1180"/>
      <c r="Z181" s="1180">
        <v>1</v>
      </c>
      <c r="AA181" s="1150">
        <f>ROUND(IF(H181&lt;&gt;"",VLOOKUP(SUM(I181+J181),'CONCEPTOS Y PARAMETROS'!F:G,2,0)*V181,0),2)</f>
        <v>34.840000000000003</v>
      </c>
      <c r="AB181" s="1150">
        <f>IF(S181&lt;&gt;"",IF(M181="",'CONCEPTOS Y PARAMETROS'!$C$4,0),0)</f>
        <v>130</v>
      </c>
      <c r="AC181" s="1150">
        <f>IF(S181&lt;&gt;"",IF(M181="",'CONCEPTOS Y PARAMETROS'!$C$7*Z181,0),0)</f>
        <v>12.5</v>
      </c>
      <c r="AD181" s="1150">
        <f>IFERROR(ROUND(VLOOKUP($X181,'CONCEPTOS Y PARAMETROS'!H:I,2,0)*($V181+AA181+AB181+AC181),2),0)</f>
        <v>114.59</v>
      </c>
      <c r="AE181" s="1150">
        <f t="shared" si="376"/>
        <v>291.93</v>
      </c>
      <c r="AF181" s="1150">
        <f t="shared" si="404"/>
        <v>17.420000000000002</v>
      </c>
      <c r="AG181" s="1150">
        <f t="shared" si="405"/>
        <v>17.420000000000002</v>
      </c>
      <c r="AH181" s="1150">
        <f t="shared" si="406"/>
        <v>65</v>
      </c>
      <c r="AI181" s="1150">
        <f t="shared" si="407"/>
        <v>65</v>
      </c>
      <c r="AJ181" s="1150">
        <f t="shared" si="408"/>
        <v>57.3</v>
      </c>
      <c r="AK181" s="1150">
        <f t="shared" si="409"/>
        <v>57.29</v>
      </c>
      <c r="AL181" s="1151">
        <f t="shared" si="410"/>
        <v>152.22</v>
      </c>
      <c r="AM181" s="1151">
        <f t="shared" si="411"/>
        <v>139.71</v>
      </c>
      <c r="AN181" s="1028">
        <v>0</v>
      </c>
      <c r="AO181" s="1193">
        <f>'CONCEPTOS Y PARAMETROS'!$C$18*AN181</f>
        <v>0</v>
      </c>
      <c r="AP181" s="1028">
        <v>0</v>
      </c>
      <c r="AQ181" s="1193">
        <f>'CONCEPTOS Y PARAMETROS'!$C$21*AP181</f>
        <v>0</v>
      </c>
      <c r="AR181" s="1394">
        <v>0</v>
      </c>
      <c r="AS181" s="1394">
        <v>0</v>
      </c>
      <c r="AT181" s="1394">
        <f t="shared" si="377"/>
        <v>0</v>
      </c>
      <c r="AU181" s="1151">
        <f t="shared" si="412"/>
        <v>744.81000000000006</v>
      </c>
      <c r="AV181" s="1178" t="s">
        <v>5080</v>
      </c>
      <c r="AW181" s="1151">
        <f t="shared" si="370"/>
        <v>171.88</v>
      </c>
      <c r="AX181" s="1150">
        <f>IF(T181&lt;&gt;"0",(ROUND(IF(A181="EMPLEADO",eval_formula('CONCEPTOS Y PARAMETROS'!$C$8,NOMINA!V181,NOMINA!$AU181,NOMINA!I181+NOMINA!J181),eval_formula('CONCEPTOS Y PARAMETROS'!$D$8,NOMINA!V181,NOMINA!$AU181,NOMINA!I181+NOMINA!J181)),2))*IF(H181&lt;&gt;"",IF(MONTH(H181)=$BR$8,IF(YEAR(H181)&lt;$BT$7,1,0),0)))</f>
        <v>0</v>
      </c>
      <c r="AY181" s="1151">
        <v>180</v>
      </c>
      <c r="AZ181" s="1150">
        <f>IFERROR(VLOOKUP(AY181,'CONCEPTOS Y PARAMETROS'!Y:Z,2,0),0)</f>
        <v>150</v>
      </c>
      <c r="BA181" s="1150">
        <f t="shared" si="413"/>
        <v>5586.08</v>
      </c>
      <c r="BB181" s="1150">
        <f t="shared" si="381"/>
        <v>0</v>
      </c>
      <c r="BC181" s="1028">
        <v>0</v>
      </c>
      <c r="BD181" s="1150" t="str">
        <f t="shared" si="414"/>
        <v>0</v>
      </c>
      <c r="BE181" s="1028">
        <v>3</v>
      </c>
      <c r="BF181" s="1150">
        <f t="shared" si="363"/>
        <v>111.72</v>
      </c>
      <c r="BG181" s="1151">
        <v>300</v>
      </c>
      <c r="BH181" s="1151">
        <f t="shared" si="382"/>
        <v>0</v>
      </c>
      <c r="BI181" s="1180">
        <v>0</v>
      </c>
      <c r="BJ181" s="1180">
        <f t="shared" si="372"/>
        <v>0</v>
      </c>
      <c r="BK181" s="1151">
        <v>0</v>
      </c>
      <c r="BL181" s="1150">
        <f t="shared" si="329"/>
        <v>27.5</v>
      </c>
      <c r="BM181" s="1150">
        <f t="shared" si="330"/>
        <v>3.44</v>
      </c>
      <c r="BN181" s="1150">
        <f t="shared" si="378"/>
        <v>7.45</v>
      </c>
      <c r="BO181" s="1150">
        <v>0</v>
      </c>
      <c r="BP181" s="1150">
        <v>0</v>
      </c>
      <c r="BQ181" s="1396">
        <f t="shared" si="373"/>
        <v>38.39</v>
      </c>
      <c r="BR181" s="1150">
        <f t="shared" si="331"/>
        <v>61.88</v>
      </c>
      <c r="BS181" s="1150">
        <f t="shared" si="332"/>
        <v>13.75</v>
      </c>
      <c r="BT181" s="1150">
        <f t="shared" si="383"/>
        <v>14.9</v>
      </c>
      <c r="BU181" s="1150">
        <v>0</v>
      </c>
      <c r="BV181" s="1151">
        <f t="shared" si="374"/>
        <v>90.53</v>
      </c>
      <c r="BW181" s="1155">
        <f t="shared" si="375"/>
        <v>128.92000000000002</v>
      </c>
      <c r="BX181" s="1155">
        <f t="shared" si="362"/>
        <v>1396.52</v>
      </c>
      <c r="BY181" s="1151">
        <v>0</v>
      </c>
      <c r="BZ181" s="1151">
        <f t="shared" si="371"/>
        <v>1396.52</v>
      </c>
      <c r="CA181" s="1397">
        <f>'CONCEPTOS Y PARAMETROS'!$A$102</f>
        <v>2120</v>
      </c>
      <c r="CB181" s="1155">
        <f t="shared" si="384"/>
        <v>254.33000000000004</v>
      </c>
      <c r="CC181" s="1156">
        <f t="shared" si="385"/>
        <v>863.81</v>
      </c>
      <c r="CD181" s="514"/>
      <c r="CE181" s="514"/>
      <c r="CF181" s="520"/>
      <c r="CG181" s="497">
        <f t="shared" si="386"/>
        <v>254.33000000000004</v>
      </c>
      <c r="CH181" s="1711">
        <f t="shared" si="387"/>
        <v>300</v>
      </c>
      <c r="CI181" s="497">
        <f t="shared" si="388"/>
        <v>580.21</v>
      </c>
      <c r="CJ181" s="497">
        <f t="shared" si="389"/>
        <v>278.5</v>
      </c>
      <c r="CK181" s="497">
        <f t="shared" si="390"/>
        <v>301.71000000000004</v>
      </c>
      <c r="CL181" s="497">
        <f t="shared" si="391"/>
        <v>0</v>
      </c>
      <c r="CM181" s="497">
        <f t="shared" si="392"/>
        <v>0</v>
      </c>
      <c r="CN181" s="498">
        <f t="shared" si="393"/>
        <v>111.72</v>
      </c>
      <c r="CO181" s="499">
        <v>0</v>
      </c>
      <c r="CP181" s="498">
        <f t="shared" si="394"/>
        <v>171.88</v>
      </c>
      <c r="CQ181" s="500">
        <f t="shared" si="395"/>
        <v>0</v>
      </c>
      <c r="CR181" s="498">
        <f t="shared" si="396"/>
        <v>0</v>
      </c>
      <c r="CS181" s="498">
        <f t="shared" si="397"/>
        <v>283.60000000000002</v>
      </c>
      <c r="CT181" s="498">
        <f t="shared" si="398"/>
        <v>128.92000000000002</v>
      </c>
      <c r="CU181" s="498">
        <f t="shared" si="399"/>
        <v>2120</v>
      </c>
      <c r="CV181" s="1554"/>
      <c r="CW181" s="1195" t="s">
        <v>7019</v>
      </c>
      <c r="CX181" s="1195" t="s">
        <v>6935</v>
      </c>
      <c r="CY181" s="472"/>
      <c r="CZ181" s="514" t="s">
        <v>6316</v>
      </c>
      <c r="DA181" s="514" t="s">
        <v>6198</v>
      </c>
      <c r="DB181" s="1199" t="s">
        <v>6291</v>
      </c>
      <c r="DC181" s="514" t="s">
        <v>6627</v>
      </c>
      <c r="DD181" s="514"/>
      <c r="DE181" s="514"/>
      <c r="DF181" s="472"/>
      <c r="DG181" s="472"/>
      <c r="DH181" s="472"/>
      <c r="DJ181" s="473" t="str">
        <f>VLOOKUP(X181,Hoja1!$A$4:$B$10,2,0)</f>
        <v>PROFESIONAL</v>
      </c>
      <c r="DK181" s="473" t="str">
        <f>VLOOKUP(S181,Hoja1!$D$4:$F$77,3,0)</f>
        <v>PII - IV</v>
      </c>
      <c r="DL181" s="1216" t="str">
        <f t="shared" si="400"/>
        <v>SI</v>
      </c>
      <c r="DM181" s="1741" t="str">
        <f t="shared" si="401"/>
        <v>F</v>
      </c>
      <c r="DN181" s="1741"/>
    </row>
    <row r="182" spans="1:118" s="473" customFormat="1" ht="21.95" customHeight="1">
      <c r="A182" s="510" t="s">
        <v>2846</v>
      </c>
      <c r="B182" s="1390">
        <f t="shared" ca="1" si="355"/>
        <v>140</v>
      </c>
      <c r="C182" s="1194">
        <v>16533566</v>
      </c>
      <c r="D182" s="1195" t="s">
        <v>4826</v>
      </c>
      <c r="E182" s="1180" t="s">
        <v>4622</v>
      </c>
      <c r="F182" s="1196">
        <v>30410</v>
      </c>
      <c r="G182" s="1180" t="s">
        <v>4620</v>
      </c>
      <c r="H182" s="1196">
        <v>44683</v>
      </c>
      <c r="I182" s="1185">
        <f t="shared" si="379"/>
        <v>2</v>
      </c>
      <c r="J182" s="1177">
        <v>0</v>
      </c>
      <c r="K182" s="1185">
        <f t="shared" si="380"/>
        <v>2</v>
      </c>
      <c r="L182" s="1191" t="s">
        <v>5542</v>
      </c>
      <c r="M182" s="1177"/>
      <c r="N182" s="1177"/>
      <c r="O182" s="1040" t="s">
        <v>5222</v>
      </c>
      <c r="P182" s="1177" t="s">
        <v>5388</v>
      </c>
      <c r="Q182" s="1391" t="str">
        <f>IFERROR(VLOOKUP(O182,CARGOS!A:E,2,0),"")</f>
        <v>79511</v>
      </c>
      <c r="R182" s="1403" t="s">
        <v>5222</v>
      </c>
      <c r="S182" s="1192" t="s">
        <v>5483</v>
      </c>
      <c r="T182" s="1150">
        <f>IFERROR(VLOOKUP(S182,'TAB EMP'!A:B,2,0),0)</f>
        <v>130</v>
      </c>
      <c r="U182" s="1151">
        <v>0</v>
      </c>
      <c r="V182" s="1150">
        <f t="shared" si="402"/>
        <v>130</v>
      </c>
      <c r="W182" s="1151">
        <f t="shared" si="403"/>
        <v>65</v>
      </c>
      <c r="X182" s="1180" t="s">
        <v>2884</v>
      </c>
      <c r="Y182" s="1180"/>
      <c r="Z182" s="1180">
        <v>2</v>
      </c>
      <c r="AA182" s="1150">
        <f>ROUND(IF(H182&lt;&gt;"",VLOOKUP(SUM(I182+J182),'CONCEPTOS Y PARAMETROS'!F:G,2,0)*V182,0),2)</f>
        <v>2.6</v>
      </c>
      <c r="AB182" s="1150">
        <f>IF(S182&lt;&gt;"",IF(M182="",'CONCEPTOS Y PARAMETROS'!$C$4,0),0)</f>
        <v>130</v>
      </c>
      <c r="AC182" s="1150">
        <f>IF(S182&lt;&gt;"",IF(M182="",'CONCEPTOS Y PARAMETROS'!$C$7*Z182,0),0)</f>
        <v>25</v>
      </c>
      <c r="AD182" s="1150">
        <f>IFERROR(ROUND(VLOOKUP($X182,'CONCEPTOS Y PARAMETROS'!H:I,2,0)*($V182+AA182+AB182+AC182),2),0)</f>
        <v>0</v>
      </c>
      <c r="AE182" s="1150">
        <f t="shared" si="376"/>
        <v>157.6</v>
      </c>
      <c r="AF182" s="1150">
        <f t="shared" si="404"/>
        <v>1.3</v>
      </c>
      <c r="AG182" s="1150">
        <f t="shared" si="405"/>
        <v>1.3</v>
      </c>
      <c r="AH182" s="1150">
        <f t="shared" si="406"/>
        <v>65</v>
      </c>
      <c r="AI182" s="1150">
        <f t="shared" si="407"/>
        <v>65</v>
      </c>
      <c r="AJ182" s="1150">
        <f t="shared" si="408"/>
        <v>0</v>
      </c>
      <c r="AK182" s="1150">
        <f t="shared" si="409"/>
        <v>0</v>
      </c>
      <c r="AL182" s="1151">
        <f t="shared" si="410"/>
        <v>91.3</v>
      </c>
      <c r="AM182" s="1151">
        <f t="shared" si="411"/>
        <v>66.3</v>
      </c>
      <c r="AN182" s="1028">
        <v>0</v>
      </c>
      <c r="AO182" s="1193">
        <f>'CONCEPTOS Y PARAMETROS'!$C$18*AN182</f>
        <v>0</v>
      </c>
      <c r="AP182" s="1028">
        <v>0</v>
      </c>
      <c r="AQ182" s="1193">
        <f>'CONCEPTOS Y PARAMETROS'!$C$21*AP182</f>
        <v>0</v>
      </c>
      <c r="AR182" s="1394">
        <v>0</v>
      </c>
      <c r="AS182" s="1394">
        <v>0</v>
      </c>
      <c r="AT182" s="1394">
        <f t="shared" si="377"/>
        <v>0</v>
      </c>
      <c r="AU182" s="1151">
        <f t="shared" si="412"/>
        <v>373.88</v>
      </c>
      <c r="AV182" s="1178" t="s">
        <v>5080</v>
      </c>
      <c r="AW182" s="1151">
        <f t="shared" si="370"/>
        <v>86.28</v>
      </c>
      <c r="AX182" s="1150">
        <f>IF(T182&lt;&gt;"0",(ROUND(IF(A182="EMPLEADO",eval_formula('CONCEPTOS Y PARAMETROS'!$C$8,NOMINA!V182,NOMINA!$AU182,NOMINA!I182+NOMINA!J182),eval_formula('CONCEPTOS Y PARAMETROS'!$D$8,NOMINA!V182,NOMINA!$AU182,NOMINA!I182+NOMINA!J182)),2))*IF(H182&lt;&gt;"",IF(MONTH(H182)=$BR$8,IF(YEAR(H182)&lt;$BT$7,1,0),0)))</f>
        <v>0</v>
      </c>
      <c r="AY182" s="1151">
        <v>180</v>
      </c>
      <c r="AZ182" s="1150">
        <f>IFERROR(VLOOKUP(AY182,'CONCEPTOS Y PARAMETROS'!Y:Z,2,0),0)</f>
        <v>150</v>
      </c>
      <c r="BA182" s="1150">
        <f t="shared" si="413"/>
        <v>2804.1</v>
      </c>
      <c r="BB182" s="1150">
        <f t="shared" si="381"/>
        <v>0</v>
      </c>
      <c r="BC182" s="1028">
        <v>0</v>
      </c>
      <c r="BD182" s="1150" t="str">
        <f t="shared" si="414"/>
        <v>0</v>
      </c>
      <c r="BE182" s="1028">
        <v>3</v>
      </c>
      <c r="BF182" s="1150">
        <f t="shared" si="363"/>
        <v>56.08</v>
      </c>
      <c r="BG182" s="1151">
        <v>300</v>
      </c>
      <c r="BH182" s="1151">
        <f t="shared" si="382"/>
        <v>0</v>
      </c>
      <c r="BI182" s="1180">
        <v>0</v>
      </c>
      <c r="BJ182" s="1180">
        <f t="shared" si="372"/>
        <v>0</v>
      </c>
      <c r="BK182" s="1151">
        <v>0</v>
      </c>
      <c r="BL182" s="1150">
        <f t="shared" si="329"/>
        <v>13.8</v>
      </c>
      <c r="BM182" s="1150">
        <f t="shared" si="330"/>
        <v>1.73</v>
      </c>
      <c r="BN182" s="1150">
        <f t="shared" si="378"/>
        <v>3.74</v>
      </c>
      <c r="BO182" s="1150">
        <v>0</v>
      </c>
      <c r="BP182" s="1150">
        <v>0</v>
      </c>
      <c r="BQ182" s="1396">
        <f t="shared" si="373"/>
        <v>19.27</v>
      </c>
      <c r="BR182" s="1150">
        <f t="shared" si="331"/>
        <v>31.06</v>
      </c>
      <c r="BS182" s="1150">
        <f t="shared" si="332"/>
        <v>6.9</v>
      </c>
      <c r="BT182" s="1150">
        <f t="shared" si="383"/>
        <v>7.48</v>
      </c>
      <c r="BU182" s="1150">
        <v>0</v>
      </c>
      <c r="BV182" s="1151">
        <f t="shared" si="374"/>
        <v>45.44</v>
      </c>
      <c r="BW182" s="1155">
        <f t="shared" si="375"/>
        <v>64.709999999999994</v>
      </c>
      <c r="BX182" s="1155">
        <f t="shared" si="362"/>
        <v>701.03</v>
      </c>
      <c r="BY182" s="1151">
        <v>0</v>
      </c>
      <c r="BZ182" s="1151">
        <f t="shared" si="371"/>
        <v>701.03</v>
      </c>
      <c r="CA182" s="1397">
        <f>'CONCEPTOS Y PARAMETROS'!$A$102</f>
        <v>2120</v>
      </c>
      <c r="CB182" s="1155">
        <f t="shared" si="384"/>
        <v>137.03</v>
      </c>
      <c r="CC182" s="1156">
        <f t="shared" si="385"/>
        <v>573.66</v>
      </c>
      <c r="CD182" s="514"/>
      <c r="CE182" s="514"/>
      <c r="CF182" s="520"/>
      <c r="CG182" s="497">
        <f t="shared" si="386"/>
        <v>137.03</v>
      </c>
      <c r="CH182" s="1711">
        <f t="shared" si="387"/>
        <v>300</v>
      </c>
      <c r="CI182" s="497">
        <f t="shared" si="388"/>
        <v>431.3</v>
      </c>
      <c r="CJ182" s="497">
        <f t="shared" si="389"/>
        <v>431.3</v>
      </c>
      <c r="CK182" s="497">
        <f t="shared" si="390"/>
        <v>0</v>
      </c>
      <c r="CL182" s="497">
        <f t="shared" si="391"/>
        <v>0</v>
      </c>
      <c r="CM182" s="497">
        <f t="shared" si="392"/>
        <v>0</v>
      </c>
      <c r="CN182" s="498">
        <f t="shared" si="393"/>
        <v>56.08</v>
      </c>
      <c r="CO182" s="499">
        <v>0</v>
      </c>
      <c r="CP182" s="498">
        <f t="shared" si="394"/>
        <v>86.28</v>
      </c>
      <c r="CQ182" s="500">
        <f t="shared" si="395"/>
        <v>0</v>
      </c>
      <c r="CR182" s="498">
        <f t="shared" si="396"/>
        <v>0</v>
      </c>
      <c r="CS182" s="498">
        <f t="shared" si="397"/>
        <v>142.36000000000001</v>
      </c>
      <c r="CT182" s="498">
        <f t="shared" si="398"/>
        <v>64.709999999999994</v>
      </c>
      <c r="CU182" s="498">
        <f t="shared" si="399"/>
        <v>2120</v>
      </c>
      <c r="CV182" s="1554"/>
      <c r="CW182" s="1195" t="s">
        <v>7018</v>
      </c>
      <c r="CX182" s="1195" t="s">
        <v>7026</v>
      </c>
      <c r="CY182" s="472"/>
      <c r="CZ182" s="514" t="s">
        <v>6317</v>
      </c>
      <c r="DA182" s="1199" t="s">
        <v>6657</v>
      </c>
      <c r="DB182" s="514" t="s">
        <v>6318</v>
      </c>
      <c r="DC182" s="1199" t="s">
        <v>6243</v>
      </c>
      <c r="DD182" s="514"/>
      <c r="DE182" s="514"/>
      <c r="DF182" s="472"/>
      <c r="DG182" s="472"/>
      <c r="DH182" s="472"/>
      <c r="DJ182" s="473" t="str">
        <f>VLOOKUP(X182,Hoja1!$A$4:$B$10,2,0)</f>
        <v>BACHILLER</v>
      </c>
      <c r="DK182" s="473" t="str">
        <f>VLOOKUP(S182,Hoja1!$D$4:$F$77,3,0)</f>
        <v>BI</v>
      </c>
      <c r="DL182" s="1216" t="str">
        <f t="shared" si="400"/>
        <v>SI</v>
      </c>
      <c r="DM182" s="1741" t="str">
        <f t="shared" si="401"/>
        <v>F</v>
      </c>
      <c r="DN182" s="1741"/>
    </row>
    <row r="183" spans="1:118" s="478" customFormat="1" ht="21.95" customHeight="1">
      <c r="A183" s="510" t="s">
        <v>2846</v>
      </c>
      <c r="B183" s="1390">
        <f t="shared" ca="1" si="355"/>
        <v>141</v>
      </c>
      <c r="C183" s="1194">
        <v>16533615</v>
      </c>
      <c r="D183" s="1195" t="s">
        <v>6747</v>
      </c>
      <c r="E183" s="1180" t="s">
        <v>4622</v>
      </c>
      <c r="F183" s="1196">
        <v>30697</v>
      </c>
      <c r="G183" s="1180" t="s">
        <v>4620</v>
      </c>
      <c r="H183" s="1196">
        <v>45474</v>
      </c>
      <c r="I183" s="1185">
        <f t="shared" si="379"/>
        <v>0</v>
      </c>
      <c r="J183" s="1177">
        <v>0</v>
      </c>
      <c r="K183" s="1185">
        <f t="shared" si="380"/>
        <v>0</v>
      </c>
      <c r="L183" s="1185" t="s">
        <v>5550</v>
      </c>
      <c r="M183" s="1177"/>
      <c r="N183" s="1177"/>
      <c r="O183" s="1040" t="s">
        <v>5222</v>
      </c>
      <c r="P183" s="1197" t="s">
        <v>6748</v>
      </c>
      <c r="Q183" s="1391" t="str">
        <f>IFERROR(VLOOKUP(O183,CARGOS!A:E,2,0),"")</f>
        <v>79511</v>
      </c>
      <c r="R183" s="1403" t="s">
        <v>5222</v>
      </c>
      <c r="S183" s="1192" t="s">
        <v>5469</v>
      </c>
      <c r="T183" s="1150">
        <f>IFERROR(VLOOKUP(S183,'TAB EMP'!A:B,2,0),0)</f>
        <v>246</v>
      </c>
      <c r="U183" s="1151">
        <v>0</v>
      </c>
      <c r="V183" s="1150">
        <f t="shared" ref="V183" si="434">T183-U183</f>
        <v>246</v>
      </c>
      <c r="W183" s="1151">
        <f t="shared" ref="W183" si="435">ROUND(V183/2,2)</f>
        <v>123</v>
      </c>
      <c r="X183" s="1180" t="s">
        <v>2885</v>
      </c>
      <c r="Y183" s="1180"/>
      <c r="Z183" s="1180">
        <v>1</v>
      </c>
      <c r="AA183" s="1150">
        <f>ROUND(IF(H183&lt;&gt;"",VLOOKUP(SUM(I183+J183),'CONCEPTOS Y PARAMETROS'!F:G,2,0)*V183,0),2)</f>
        <v>0</v>
      </c>
      <c r="AB183" s="1150">
        <f>IF(S183&lt;&gt;"",IF(M183="",'CONCEPTOS Y PARAMETROS'!$C$4,0),0)</f>
        <v>130</v>
      </c>
      <c r="AC183" s="1150">
        <f>IF(S183&lt;&gt;"",IF(M183="",'CONCEPTOS Y PARAMETROS'!$C$7*Z183,0),0)</f>
        <v>12.5</v>
      </c>
      <c r="AD183" s="1150">
        <f>IFERROR(ROUND(VLOOKUP($X183,'CONCEPTOS Y PARAMETROS'!H:I,2,0)*($V183+AA183+AB183+AC183),2),0)</f>
        <v>97.13</v>
      </c>
      <c r="AE183" s="1150">
        <f t="shared" ref="AE183" si="436">SUM(AA183:AD183)</f>
        <v>239.63</v>
      </c>
      <c r="AF183" s="1150">
        <f t="shared" ref="AF183" si="437">ROUND(AA183/2,2)</f>
        <v>0</v>
      </c>
      <c r="AG183" s="1150">
        <f t="shared" ref="AG183" si="438">ROUND(AA183-AF183,2)</f>
        <v>0</v>
      </c>
      <c r="AH183" s="1150">
        <f t="shared" ref="AH183" si="439">ROUND(AB183/2,2)</f>
        <v>65</v>
      </c>
      <c r="AI183" s="1150">
        <f t="shared" ref="AI183" si="440">ROUND(AB183-AH183,2)</f>
        <v>65</v>
      </c>
      <c r="AJ183" s="1150">
        <f t="shared" ref="AJ183" si="441">ROUND(AD183/2,2)</f>
        <v>48.57</v>
      </c>
      <c r="AK183" s="1150">
        <f t="shared" ref="AK183" si="442">ROUND(AD183-AJ183,2)</f>
        <v>48.56</v>
      </c>
      <c r="AL183" s="1151">
        <f t="shared" ref="AL183" si="443">ROUND(AF183+AH183+AJ183+AC183,2)</f>
        <v>126.07</v>
      </c>
      <c r="AM183" s="1151">
        <f t="shared" ref="AM183" si="444">ROUND(AG183+AI183+AK183,2)</f>
        <v>113.56</v>
      </c>
      <c r="AN183" s="1583">
        <v>1</v>
      </c>
      <c r="AO183" s="1193">
        <f>'CONCEPTOS Y PARAMETROS'!$C$18*AN183</f>
        <v>12.5</v>
      </c>
      <c r="AP183" s="1028">
        <v>0</v>
      </c>
      <c r="AQ183" s="1193">
        <f>'CONCEPTOS Y PARAMETROS'!$C$21*AP183</f>
        <v>0</v>
      </c>
      <c r="AR183" s="1394">
        <v>0</v>
      </c>
      <c r="AS183" s="1394">
        <v>0</v>
      </c>
      <c r="AT183" s="1394">
        <f t="shared" ref="AT183" si="445">+AO183+AQ183+AR183+AS183</f>
        <v>12.5</v>
      </c>
      <c r="AU183" s="1151">
        <f t="shared" ref="AU183" si="446">V183+AE183+AW183</f>
        <v>631.31999999999994</v>
      </c>
      <c r="AV183" s="1178" t="s">
        <v>5080</v>
      </c>
      <c r="AW183" s="1151">
        <f t="shared" ref="AW183" si="447">ROUND(IF(AV183="NOCTURN",(V183+AE183)*30%,0),2)</f>
        <v>145.69</v>
      </c>
      <c r="AX183" s="1150">
        <f>IF(T183&lt;&gt;"0",(ROUND(IF(A183="EMPLEADO",eval_formula('CONCEPTOS Y PARAMETROS'!$C$8,NOMINA!V183,NOMINA!$AU183,NOMINA!I183+NOMINA!J183),eval_formula('CONCEPTOS Y PARAMETROS'!$D$8,NOMINA!V183,NOMINA!$AU183,NOMINA!I183+NOMINA!J183)),2))*IF(H183&lt;&gt;"",IF(MONTH(H183)=$BR$8,IF(YEAR(H183)&lt;$BT$7,1,0),0)))</f>
        <v>0</v>
      </c>
      <c r="AY183" s="1151">
        <v>90</v>
      </c>
      <c r="AZ183" s="1150">
        <f>IFERROR(VLOOKUP(AY183,'CONCEPTOS Y PARAMETROS'!Y:Z,2,0),0)</f>
        <v>75</v>
      </c>
      <c r="BA183" s="1150">
        <f t="shared" ref="BA183" si="448">ROUND((((AU183))/30*AY183/12+(AU183))/30*AZ183,2)</f>
        <v>1972.88</v>
      </c>
      <c r="BB183" s="1150">
        <f t="shared" si="381"/>
        <v>0</v>
      </c>
      <c r="BC183" s="1028">
        <v>0</v>
      </c>
      <c r="BD183" s="1150" t="str">
        <f t="shared" ref="BD183" si="449">IF(BC183&gt;0,((((((V183+AA183+AB183+AC183+AD183)/30)/8)*50%)+((((V183+AA183+AB183+AC183+AD183)/30)/8)))*30%+(((((V183+AA183+AB183+AC183+AD183)/30)/8)*50%)+((((V183+AA183+AB183+AC183+AD183)/30)/8))))*BC183,"0")</f>
        <v>0</v>
      </c>
      <c r="BE183" s="1028">
        <v>4</v>
      </c>
      <c r="BF183" s="1150">
        <f t="shared" si="363"/>
        <v>126.26</v>
      </c>
      <c r="BG183" s="1151">
        <v>300</v>
      </c>
      <c r="BH183" s="1151">
        <f t="shared" si="382"/>
        <v>0</v>
      </c>
      <c r="BI183" s="1180">
        <v>0</v>
      </c>
      <c r="BJ183" s="1180">
        <f t="shared" si="372"/>
        <v>0</v>
      </c>
      <c r="BK183" s="1151">
        <v>0</v>
      </c>
      <c r="BL183" s="1150">
        <f t="shared" ref="BL183:BL223" si="450">ROUND(IF(M183="", (((AU183*12)/52)*4%)*$BS$8,0),2)</f>
        <v>23.31</v>
      </c>
      <c r="BM183" s="1150">
        <f t="shared" ref="BM183:BM223" si="451">ROUND(IF(M183="",(((AU183*12)/52)*0.5%)*$BS$8,0),2)</f>
        <v>2.91</v>
      </c>
      <c r="BN183" s="1150">
        <f t="shared" si="378"/>
        <v>6.31</v>
      </c>
      <c r="BO183" s="1150">
        <v>0</v>
      </c>
      <c r="BP183" s="1150">
        <v>0</v>
      </c>
      <c r="BQ183" s="1396">
        <f t="shared" ref="BQ183" si="452">ROUND(SUM(BL183:BP183),2)</f>
        <v>32.53</v>
      </c>
      <c r="BR183" s="1150">
        <f t="shared" ref="BR183:BR223" si="453">ROUND(IF(M183="", (((AU183*12)/52)*9%)*$BS$8,0),2)</f>
        <v>52.45</v>
      </c>
      <c r="BS183" s="1150">
        <f t="shared" ref="BS183:BS223" si="454">ROUND(IF(M183="",(((AU183*12)/52)*2%)*$BS$8,0),2)</f>
        <v>11.66</v>
      </c>
      <c r="BT183" s="1150">
        <f t="shared" si="383"/>
        <v>12.62</v>
      </c>
      <c r="BU183" s="1150">
        <v>0</v>
      </c>
      <c r="BV183" s="1151">
        <f t="shared" ref="BV183" si="455">ROUND(SUM(BR183:BT183),2)</f>
        <v>76.73</v>
      </c>
      <c r="BW183" s="1155">
        <f t="shared" ref="BW183" si="456">BQ183+BV183</f>
        <v>109.26</v>
      </c>
      <c r="BX183" s="1155">
        <f t="shared" ref="BX183:BX215" si="457">ROUND(BA183/4,2)</f>
        <v>493.22</v>
      </c>
      <c r="BY183" s="1151">
        <v>0</v>
      </c>
      <c r="BZ183" s="1151">
        <f t="shared" si="371"/>
        <v>493.22</v>
      </c>
      <c r="CA183" s="1397">
        <f>'CONCEPTOS Y PARAMETROS'!$A$102</f>
        <v>2120</v>
      </c>
      <c r="CB183" s="1155">
        <f t="shared" si="384"/>
        <v>216.54</v>
      </c>
      <c r="CC183" s="1156">
        <f t="shared" si="385"/>
        <v>821.01</v>
      </c>
      <c r="CD183" s="514"/>
      <c r="CE183" s="514"/>
      <c r="CF183" s="521"/>
      <c r="CG183" s="511">
        <f t="shared" si="386"/>
        <v>216.54</v>
      </c>
      <c r="CH183" s="1712">
        <f t="shared" si="387"/>
        <v>300</v>
      </c>
      <c r="CI183" s="511">
        <f t="shared" si="388"/>
        <v>536.55999999999995</v>
      </c>
      <c r="CJ183" s="511">
        <f t="shared" si="389"/>
        <v>536.55999999999995</v>
      </c>
      <c r="CK183" s="511">
        <f t="shared" si="390"/>
        <v>0</v>
      </c>
      <c r="CL183" s="511">
        <f t="shared" si="391"/>
        <v>0</v>
      </c>
      <c r="CM183" s="511">
        <f t="shared" si="392"/>
        <v>0</v>
      </c>
      <c r="CN183" s="512">
        <f t="shared" si="393"/>
        <v>126.26</v>
      </c>
      <c r="CO183" s="513">
        <v>0</v>
      </c>
      <c r="CP183" s="512">
        <f t="shared" si="394"/>
        <v>145.69</v>
      </c>
      <c r="CQ183" s="500">
        <f t="shared" si="395"/>
        <v>12.5</v>
      </c>
      <c r="CR183" s="512">
        <f t="shared" si="396"/>
        <v>0</v>
      </c>
      <c r="CS183" s="512">
        <f t="shared" si="397"/>
        <v>284.45</v>
      </c>
      <c r="CT183" s="512">
        <f t="shared" si="398"/>
        <v>109.26</v>
      </c>
      <c r="CU183" s="512">
        <f t="shared" si="399"/>
        <v>2120</v>
      </c>
      <c r="CV183" s="1556"/>
      <c r="CW183" s="1195" t="s">
        <v>7017</v>
      </c>
      <c r="CX183" s="1195" t="s">
        <v>7025</v>
      </c>
      <c r="CY183" s="514"/>
      <c r="CZ183" s="1199" t="s">
        <v>6749</v>
      </c>
      <c r="DA183" s="1199" t="s">
        <v>6181</v>
      </c>
      <c r="DB183" s="1199" t="s">
        <v>6180</v>
      </c>
      <c r="DC183" s="1199" t="s">
        <v>6654</v>
      </c>
      <c r="DD183" s="514"/>
      <c r="DE183" s="514"/>
      <c r="DF183" s="514"/>
      <c r="DG183" s="514"/>
      <c r="DH183" s="514"/>
      <c r="DJ183" s="478" t="str">
        <f>VLOOKUP(X183,Hoja1!$A$4:$B$10,2,0)</f>
        <v>PROFESIONAL</v>
      </c>
      <c r="DK183" s="478" t="str">
        <f>VLOOKUP(S183,Hoja1!$D$4:$F$77,3,0)</f>
        <v>PI</v>
      </c>
      <c r="DL183" s="1218" t="str">
        <f t="shared" si="400"/>
        <v>SI</v>
      </c>
      <c r="DM183" s="1743" t="str">
        <f t="shared" si="401"/>
        <v>F</v>
      </c>
      <c r="DN183" s="1743"/>
    </row>
    <row r="184" spans="1:118" s="1654" customFormat="1" ht="21.95" customHeight="1">
      <c r="A184" s="1624" t="s">
        <v>2846</v>
      </c>
      <c r="B184" s="1625">
        <f t="shared" ca="1" si="355"/>
        <v>142</v>
      </c>
      <c r="C184" s="1626">
        <v>16533986</v>
      </c>
      <c r="D184" s="1627" t="s">
        <v>4827</v>
      </c>
      <c r="E184" s="1628" t="s">
        <v>4622</v>
      </c>
      <c r="F184" s="1629">
        <v>30272</v>
      </c>
      <c r="G184" s="1628" t="s">
        <v>4620</v>
      </c>
      <c r="H184" s="1629">
        <v>42948</v>
      </c>
      <c r="I184" s="1630">
        <f t="shared" si="379"/>
        <v>7</v>
      </c>
      <c r="J184" s="1631">
        <v>0</v>
      </c>
      <c r="K184" s="1630">
        <f t="shared" si="380"/>
        <v>7</v>
      </c>
      <c r="L184" s="1632" t="s">
        <v>5540</v>
      </c>
      <c r="M184" s="1631"/>
      <c r="N184" s="1631"/>
      <c r="O184" s="1633" t="s">
        <v>1250</v>
      </c>
      <c r="P184" s="1631" t="s">
        <v>5389</v>
      </c>
      <c r="Q184" s="1634" t="str">
        <f>IFERROR(VLOOKUP(O184,CARGOS!A:E,2,0),"")</f>
        <v>46520</v>
      </c>
      <c r="R184" s="1635" t="s">
        <v>7430</v>
      </c>
      <c r="S184" s="1636" t="s">
        <v>5488</v>
      </c>
      <c r="T184" s="1637">
        <f>IFERROR(VLOOKUP(S184,'TAB EMP'!A:B,2,0),0)</f>
        <v>279</v>
      </c>
      <c r="U184" s="1638">
        <v>0</v>
      </c>
      <c r="V184" s="1637">
        <f t="shared" si="402"/>
        <v>279</v>
      </c>
      <c r="W184" s="1638">
        <f t="shared" si="403"/>
        <v>139.5</v>
      </c>
      <c r="X184" s="1628" t="s">
        <v>2885</v>
      </c>
      <c r="Y184" s="1628"/>
      <c r="Z184" s="1628">
        <v>1</v>
      </c>
      <c r="AA184" s="1637">
        <f>ROUND(IF(H184&lt;&gt;"",VLOOKUP(SUM(I184+J184),'CONCEPTOS Y PARAMETROS'!F:G,2,0)*V184,0),2)</f>
        <v>20.65</v>
      </c>
      <c r="AB184" s="1637">
        <f>IF(S184&lt;&gt;"",IF(M184="",'CONCEPTOS Y PARAMETROS'!$C$4,0),0)</f>
        <v>130</v>
      </c>
      <c r="AC184" s="1637">
        <f>IF(S184&lt;&gt;"",IF(M184="",'CONCEPTOS Y PARAMETROS'!$C$7*Z184,0),0)</f>
        <v>12.5</v>
      </c>
      <c r="AD184" s="1637">
        <f>IFERROR(ROUND(VLOOKUP($X184,'CONCEPTOS Y PARAMETROS'!H:I,2,0)*($V184+AA184+AB184+AC184),2),0)</f>
        <v>110.54</v>
      </c>
      <c r="AE184" s="1637">
        <f t="shared" si="376"/>
        <v>273.69</v>
      </c>
      <c r="AF184" s="1637">
        <f t="shared" si="404"/>
        <v>10.33</v>
      </c>
      <c r="AG184" s="1637">
        <f t="shared" si="405"/>
        <v>10.32</v>
      </c>
      <c r="AH184" s="1637">
        <f t="shared" si="406"/>
        <v>65</v>
      </c>
      <c r="AI184" s="1637">
        <f t="shared" si="407"/>
        <v>65</v>
      </c>
      <c r="AJ184" s="1637">
        <f t="shared" si="408"/>
        <v>55.27</v>
      </c>
      <c r="AK184" s="1637">
        <f t="shared" si="409"/>
        <v>55.27</v>
      </c>
      <c r="AL184" s="1638">
        <f t="shared" si="410"/>
        <v>143.1</v>
      </c>
      <c r="AM184" s="1638">
        <f t="shared" si="411"/>
        <v>130.59</v>
      </c>
      <c r="AN184" s="1639">
        <v>0</v>
      </c>
      <c r="AO184" s="1640">
        <f>'CONCEPTOS Y PARAMETROS'!$C$18*AN184</f>
        <v>0</v>
      </c>
      <c r="AP184" s="1639">
        <v>0</v>
      </c>
      <c r="AQ184" s="1640">
        <f>'CONCEPTOS Y PARAMETROS'!$C$21*AP184</f>
        <v>0</v>
      </c>
      <c r="AR184" s="1641">
        <v>0</v>
      </c>
      <c r="AS184" s="1641">
        <v>0</v>
      </c>
      <c r="AT184" s="1641">
        <f t="shared" si="377"/>
        <v>0</v>
      </c>
      <c r="AU184" s="1638">
        <f t="shared" si="412"/>
        <v>552.69000000000005</v>
      </c>
      <c r="AV184" s="1642">
        <v>0</v>
      </c>
      <c r="AW184" s="1638">
        <f t="shared" si="370"/>
        <v>0</v>
      </c>
      <c r="AX184" s="1637">
        <f>IF(T184&lt;&gt;"0",(ROUND(IF(A184="EMPLEADO",eval_formula('CONCEPTOS Y PARAMETROS'!$C$8,NOMINA!V184,NOMINA!$AU184,NOMINA!I184+NOMINA!J184),eval_formula('CONCEPTOS Y PARAMETROS'!$D$8,NOMINA!V184,NOMINA!$AU184,NOMINA!I184+NOMINA!J184)),2))*IF(H184&lt;&gt;"",IF(MONTH(H184)=$BR$8,IF(YEAR(H184)&lt;$BT$7,1,0),0)))</f>
        <v>0</v>
      </c>
      <c r="AY184" s="1638">
        <v>180</v>
      </c>
      <c r="AZ184" s="1637">
        <f>IFERROR(VLOOKUP(AY184,'CONCEPTOS Y PARAMETROS'!Y:Z,2,0),0)</f>
        <v>150</v>
      </c>
      <c r="BA184" s="1637">
        <f t="shared" si="413"/>
        <v>4145.18</v>
      </c>
      <c r="BB184" s="1637">
        <f t="shared" si="381"/>
        <v>0</v>
      </c>
      <c r="BC184" s="1639">
        <v>0</v>
      </c>
      <c r="BD184" s="1637" t="str">
        <f t="shared" si="414"/>
        <v>0</v>
      </c>
      <c r="BE184" s="1639">
        <v>0</v>
      </c>
      <c r="BF184" s="1637">
        <f t="shared" ref="BF184:BF215" si="458">ROUND(IF(BE184&gt;0,(((V184+AA184+AB184+AC184+AD184+AW184)/30)*50%+((V184+AA184+AB184+AC184+AD184+AW184)/30))*BE184,"0"),2)</f>
        <v>0</v>
      </c>
      <c r="BG184" s="1638">
        <v>300</v>
      </c>
      <c r="BH184" s="1638">
        <f t="shared" si="382"/>
        <v>0</v>
      </c>
      <c r="BI184" s="1628">
        <v>0</v>
      </c>
      <c r="BJ184" s="1628">
        <f t="shared" si="372"/>
        <v>0</v>
      </c>
      <c r="BK184" s="1638">
        <v>0</v>
      </c>
      <c r="BL184" s="1637">
        <f t="shared" si="450"/>
        <v>20.41</v>
      </c>
      <c r="BM184" s="1637">
        <f t="shared" si="451"/>
        <v>2.5499999999999998</v>
      </c>
      <c r="BN184" s="1637">
        <f t="shared" si="378"/>
        <v>5.53</v>
      </c>
      <c r="BO184" s="1637">
        <v>0</v>
      </c>
      <c r="BP184" s="1637">
        <v>0</v>
      </c>
      <c r="BQ184" s="1643">
        <f t="shared" si="373"/>
        <v>28.49</v>
      </c>
      <c r="BR184" s="1637">
        <f t="shared" si="453"/>
        <v>45.92</v>
      </c>
      <c r="BS184" s="1637">
        <f t="shared" si="454"/>
        <v>10.199999999999999</v>
      </c>
      <c r="BT184" s="1637">
        <f t="shared" si="383"/>
        <v>11.06</v>
      </c>
      <c r="BU184" s="1637">
        <v>0</v>
      </c>
      <c r="BV184" s="1638">
        <f t="shared" si="374"/>
        <v>67.180000000000007</v>
      </c>
      <c r="BW184" s="1644">
        <f t="shared" si="375"/>
        <v>95.67</v>
      </c>
      <c r="BX184" s="1644">
        <f t="shared" si="457"/>
        <v>1036.3</v>
      </c>
      <c r="BY184" s="1638">
        <v>0</v>
      </c>
      <c r="BZ184" s="1638">
        <f t="shared" si="371"/>
        <v>1036.3</v>
      </c>
      <c r="CA184" s="1645">
        <f>'CONCEPTOS Y PARAMETROS'!$A$102</f>
        <v>2120</v>
      </c>
      <c r="CB184" s="1644">
        <f t="shared" si="384"/>
        <v>254.11</v>
      </c>
      <c r="CC184" s="1646">
        <f t="shared" si="385"/>
        <v>570.09</v>
      </c>
      <c r="CD184" s="1647"/>
      <c r="CE184" s="1647"/>
      <c r="CF184" s="1648"/>
      <c r="CG184" s="1649">
        <f t="shared" si="386"/>
        <v>254.11</v>
      </c>
      <c r="CH184" s="1713">
        <f t="shared" si="387"/>
        <v>300</v>
      </c>
      <c r="CI184" s="1649">
        <f t="shared" si="388"/>
        <v>570.09</v>
      </c>
      <c r="CJ184" s="1649">
        <f t="shared" si="389"/>
        <v>273.64</v>
      </c>
      <c r="CK184" s="1649">
        <f t="shared" si="390"/>
        <v>296.45000000000005</v>
      </c>
      <c r="CL184" s="1649">
        <f t="shared" si="391"/>
        <v>0</v>
      </c>
      <c r="CM184" s="1649">
        <f t="shared" si="392"/>
        <v>0</v>
      </c>
      <c r="CN184" s="1650">
        <f t="shared" si="393"/>
        <v>0</v>
      </c>
      <c r="CO184" s="1651">
        <v>0</v>
      </c>
      <c r="CP184" s="1650">
        <f t="shared" si="394"/>
        <v>0</v>
      </c>
      <c r="CQ184" s="1652">
        <f t="shared" si="395"/>
        <v>0</v>
      </c>
      <c r="CR184" s="1650">
        <f t="shared" si="396"/>
        <v>0</v>
      </c>
      <c r="CS184" s="1650">
        <f t="shared" si="397"/>
        <v>0</v>
      </c>
      <c r="CT184" s="1650">
        <f t="shared" si="398"/>
        <v>95.67</v>
      </c>
      <c r="CU184" s="1650">
        <f t="shared" si="399"/>
        <v>2120</v>
      </c>
      <c r="CV184" s="1653"/>
      <c r="CW184" s="1627" t="s">
        <v>7016</v>
      </c>
      <c r="CX184" s="1627" t="s">
        <v>7024</v>
      </c>
      <c r="CY184" s="1647"/>
      <c r="CZ184" s="1647" t="s">
        <v>6391</v>
      </c>
      <c r="DA184" s="1657" t="s">
        <v>6198</v>
      </c>
      <c r="DB184" s="1657" t="s">
        <v>6202</v>
      </c>
      <c r="DC184" s="1657" t="s">
        <v>6271</v>
      </c>
      <c r="DD184" s="1647"/>
      <c r="DE184" s="1647"/>
      <c r="DF184" s="1647"/>
      <c r="DG184" s="1647"/>
      <c r="DH184" s="1647"/>
      <c r="DJ184" s="1654" t="str">
        <f>VLOOKUP(X184,Hoja1!$A$4:$B$10,2,0)</f>
        <v>PROFESIONAL</v>
      </c>
      <c r="DK184" s="1654" t="str">
        <f>VLOOKUP(S184,Hoja1!$D$4:$F$77,3,0)</f>
        <v>PII - III</v>
      </c>
      <c r="DL184" s="1663" t="str">
        <f t="shared" si="400"/>
        <v>0</v>
      </c>
      <c r="DM184" s="1742" t="str">
        <f t="shared" si="401"/>
        <v>F</v>
      </c>
      <c r="DN184" s="1742"/>
    </row>
    <row r="185" spans="1:118" s="1235" customFormat="1" ht="21.95" customHeight="1">
      <c r="A185" s="1233" t="s">
        <v>2846</v>
      </c>
      <c r="B185" s="1449">
        <f t="shared" ca="1" si="355"/>
        <v>143</v>
      </c>
      <c r="C185" s="1450">
        <v>16739081</v>
      </c>
      <c r="D185" s="1451" t="s">
        <v>4828</v>
      </c>
      <c r="E185" s="1452" t="s">
        <v>4622</v>
      </c>
      <c r="F185" s="1453">
        <v>30771</v>
      </c>
      <c r="G185" s="1452" t="s">
        <v>4620</v>
      </c>
      <c r="H185" s="1453">
        <v>42948</v>
      </c>
      <c r="I185" s="1454">
        <f t="shared" si="379"/>
        <v>7</v>
      </c>
      <c r="J185" s="1455">
        <v>0</v>
      </c>
      <c r="K185" s="1454">
        <f t="shared" si="380"/>
        <v>7</v>
      </c>
      <c r="L185" s="1456" t="s">
        <v>5549</v>
      </c>
      <c r="M185" s="1455"/>
      <c r="N185" s="1455"/>
      <c r="O185" s="1457" t="s">
        <v>5219</v>
      </c>
      <c r="P185" s="1455" t="s">
        <v>5390</v>
      </c>
      <c r="Q185" s="1458" t="str">
        <f>IFERROR(VLOOKUP(O185,CARGOS!A:E,2,0),"")</f>
        <v>12113</v>
      </c>
      <c r="R185" s="1459" t="s">
        <v>5219</v>
      </c>
      <c r="S185" s="1460" t="s">
        <v>5491</v>
      </c>
      <c r="T185" s="1461">
        <f>IFERROR(VLOOKUP(S185,'TAB EMP'!A:B,2,0),0)*0</f>
        <v>0</v>
      </c>
      <c r="U185" s="1384">
        <v>0</v>
      </c>
      <c r="V185" s="1461">
        <f t="shared" si="402"/>
        <v>0</v>
      </c>
      <c r="W185" s="1384">
        <f t="shared" si="403"/>
        <v>0</v>
      </c>
      <c r="X185" s="1452" t="s">
        <v>2844</v>
      </c>
      <c r="Y185" s="1452"/>
      <c r="Z185" s="1452">
        <v>0</v>
      </c>
      <c r="AA185" s="1461">
        <f>ROUND(IF(H185&lt;&gt;"",VLOOKUP(SUM(I185+J185),'CONCEPTOS Y PARAMETROS'!F:G,2,0)*V185,0),2)</f>
        <v>0</v>
      </c>
      <c r="AB185" s="1461">
        <f>IF(S185&lt;&gt;"",IF(M185="",'CONCEPTOS Y PARAMETROS'!$C$4,0),0)*0</f>
        <v>0</v>
      </c>
      <c r="AC185" s="1461">
        <f>IF(S185&lt;&gt;"",IF(M185="",'CONCEPTOS Y PARAMETROS'!$C$7*Z185,0),0)</f>
        <v>0</v>
      </c>
      <c r="AD185" s="1461">
        <f>IFERROR(ROUND(VLOOKUP($X185,'CONCEPTOS Y PARAMETROS'!H:I,2,0)*($V185+AA185+AB185+AC185),2),0)</f>
        <v>0</v>
      </c>
      <c r="AE185" s="1461">
        <f t="shared" si="376"/>
        <v>0</v>
      </c>
      <c r="AF185" s="1461">
        <f t="shared" si="404"/>
        <v>0</v>
      </c>
      <c r="AG185" s="1461">
        <f t="shared" si="405"/>
        <v>0</v>
      </c>
      <c r="AH185" s="1461">
        <f t="shared" si="406"/>
        <v>0</v>
      </c>
      <c r="AI185" s="1461">
        <f t="shared" si="407"/>
        <v>0</v>
      </c>
      <c r="AJ185" s="1461">
        <f t="shared" si="408"/>
        <v>0</v>
      </c>
      <c r="AK185" s="1461">
        <f t="shared" si="409"/>
        <v>0</v>
      </c>
      <c r="AL185" s="1384">
        <f t="shared" si="410"/>
        <v>0</v>
      </c>
      <c r="AM185" s="1384">
        <f t="shared" si="411"/>
        <v>0</v>
      </c>
      <c r="AN185" s="1462">
        <v>0</v>
      </c>
      <c r="AO185" s="1463">
        <f>'CONCEPTOS Y PARAMETROS'!$C$18*AN185</f>
        <v>0</v>
      </c>
      <c r="AP185" s="1462">
        <v>0</v>
      </c>
      <c r="AQ185" s="1463">
        <f>'CONCEPTOS Y PARAMETROS'!$C$21*AP185</f>
        <v>0</v>
      </c>
      <c r="AR185" s="1464">
        <v>0</v>
      </c>
      <c r="AS185" s="1464">
        <v>0</v>
      </c>
      <c r="AT185" s="1464">
        <f t="shared" si="377"/>
        <v>0</v>
      </c>
      <c r="AU185" s="1384">
        <f t="shared" si="412"/>
        <v>0</v>
      </c>
      <c r="AV185" s="1465">
        <v>0</v>
      </c>
      <c r="AW185" s="1384">
        <f t="shared" si="370"/>
        <v>0</v>
      </c>
      <c r="AX185" s="1461">
        <f>IF(T185&lt;&gt;"0",(ROUND(IF(A185="EMPLEADO",eval_formula('CONCEPTOS Y PARAMETROS'!$C$8,NOMINA!V185,NOMINA!$AU185,NOMINA!I185+NOMINA!J185),eval_formula('CONCEPTOS Y PARAMETROS'!$D$8,NOMINA!V185,NOMINA!$AU185,NOMINA!I185+NOMINA!J185)),2))*IF(H185&lt;&gt;"",IF(MONTH(H185)=$BR$8,IF(YEAR(H185)&lt;$BT$7,1,0),0)))</f>
        <v>0</v>
      </c>
      <c r="AY185" s="1384">
        <v>180</v>
      </c>
      <c r="AZ185" s="1461">
        <f>IFERROR(VLOOKUP(AY185,'CONCEPTOS Y PARAMETROS'!Y:Z,2,0),0)</f>
        <v>150</v>
      </c>
      <c r="BA185" s="1461">
        <f t="shared" si="413"/>
        <v>0</v>
      </c>
      <c r="BB185" s="1461">
        <f t="shared" si="381"/>
        <v>0</v>
      </c>
      <c r="BC185" s="1462">
        <v>0</v>
      </c>
      <c r="BD185" s="1461" t="str">
        <f t="shared" si="414"/>
        <v>0</v>
      </c>
      <c r="BE185" s="1416">
        <v>0</v>
      </c>
      <c r="BF185" s="1461">
        <f t="shared" si="458"/>
        <v>0</v>
      </c>
      <c r="BG185" s="1384">
        <v>0</v>
      </c>
      <c r="BH185" s="1384">
        <f t="shared" si="382"/>
        <v>0</v>
      </c>
      <c r="BI185" s="1452">
        <v>0</v>
      </c>
      <c r="BJ185" s="1452">
        <f t="shared" si="372"/>
        <v>0</v>
      </c>
      <c r="BK185" s="1384">
        <v>0</v>
      </c>
      <c r="BL185" s="1461">
        <f t="shared" si="450"/>
        <v>0</v>
      </c>
      <c r="BM185" s="1461">
        <f t="shared" si="451"/>
        <v>0</v>
      </c>
      <c r="BN185" s="1461">
        <f t="shared" si="378"/>
        <v>0</v>
      </c>
      <c r="BO185" s="1461">
        <v>0</v>
      </c>
      <c r="BP185" s="1461">
        <v>0</v>
      </c>
      <c r="BQ185" s="1466">
        <f t="shared" si="373"/>
        <v>0</v>
      </c>
      <c r="BR185" s="1461">
        <f t="shared" si="453"/>
        <v>0</v>
      </c>
      <c r="BS185" s="1461">
        <f t="shared" si="454"/>
        <v>0</v>
      </c>
      <c r="BT185" s="1461">
        <f t="shared" si="383"/>
        <v>0</v>
      </c>
      <c r="BU185" s="1461">
        <v>0</v>
      </c>
      <c r="BV185" s="1384">
        <f t="shared" si="374"/>
        <v>0</v>
      </c>
      <c r="BW185" s="1381">
        <f t="shared" si="375"/>
        <v>0</v>
      </c>
      <c r="BX185" s="1381">
        <f t="shared" si="457"/>
        <v>0</v>
      </c>
      <c r="BY185" s="1384">
        <v>0</v>
      </c>
      <c r="BZ185" s="1384">
        <f t="shared" si="371"/>
        <v>0</v>
      </c>
      <c r="CA185" s="1467">
        <v>0</v>
      </c>
      <c r="CB185" s="1381">
        <f t="shared" si="384"/>
        <v>0</v>
      </c>
      <c r="CC185" s="1468">
        <f t="shared" si="385"/>
        <v>0</v>
      </c>
      <c r="CD185" s="1234"/>
      <c r="CE185" s="1234"/>
      <c r="CF185" s="1329"/>
      <c r="CG185" s="1236">
        <f t="shared" si="386"/>
        <v>0</v>
      </c>
      <c r="CH185" s="1716">
        <f t="shared" si="387"/>
        <v>0</v>
      </c>
      <c r="CI185" s="1236">
        <f t="shared" si="388"/>
        <v>0</v>
      </c>
      <c r="CJ185" s="1236">
        <f t="shared" si="389"/>
        <v>0</v>
      </c>
      <c r="CK185" s="1236">
        <f t="shared" si="390"/>
        <v>0</v>
      </c>
      <c r="CL185" s="1236">
        <f t="shared" si="391"/>
        <v>0</v>
      </c>
      <c r="CM185" s="1236">
        <f t="shared" si="392"/>
        <v>0</v>
      </c>
      <c r="CN185" s="1237">
        <f t="shared" si="393"/>
        <v>0</v>
      </c>
      <c r="CO185" s="1238">
        <v>0</v>
      </c>
      <c r="CP185" s="1237">
        <f t="shared" si="394"/>
        <v>0</v>
      </c>
      <c r="CQ185" s="934">
        <f t="shared" si="395"/>
        <v>0</v>
      </c>
      <c r="CR185" s="1237">
        <f t="shared" si="396"/>
        <v>0</v>
      </c>
      <c r="CS185" s="1237">
        <f t="shared" si="397"/>
        <v>0</v>
      </c>
      <c r="CT185" s="1237">
        <f t="shared" si="398"/>
        <v>0</v>
      </c>
      <c r="CU185" s="1237">
        <f t="shared" si="399"/>
        <v>0</v>
      </c>
      <c r="CV185" s="1559"/>
      <c r="CW185" s="1451" t="s">
        <v>7015</v>
      </c>
      <c r="CX185" s="1451" t="s">
        <v>6946</v>
      </c>
      <c r="CY185" s="1234"/>
      <c r="CZ185" s="1234" t="s">
        <v>6290</v>
      </c>
      <c r="DA185" s="1234" t="s">
        <v>6173</v>
      </c>
      <c r="DB185" s="1234" t="s">
        <v>6291</v>
      </c>
      <c r="DC185" s="1330" t="s">
        <v>6381</v>
      </c>
      <c r="DD185" s="1234"/>
      <c r="DE185" s="1234"/>
      <c r="DF185" s="1234"/>
      <c r="DG185" s="1234"/>
      <c r="DH185" s="1234"/>
      <c r="DJ185" s="1235" t="str">
        <f>VLOOKUP(X185,Hoja1!$A$4:$B$10,2,0)</f>
        <v>TÉCNICO SUPERIOR UNIVERSITARIO</v>
      </c>
      <c r="DK185" s="1235" t="str">
        <f>VLOOKUP(S185,Hoja1!$D$4:$F$77,3,0)</f>
        <v>TII - III</v>
      </c>
      <c r="DL185" s="1326" t="str">
        <f t="shared" si="400"/>
        <v>0</v>
      </c>
      <c r="DM185" s="1746" t="str">
        <f t="shared" si="401"/>
        <v>F</v>
      </c>
      <c r="DN185" s="1746"/>
    </row>
    <row r="186" spans="1:118" s="478" customFormat="1" ht="21.95" customHeight="1">
      <c r="A186" s="510" t="s">
        <v>2846</v>
      </c>
      <c r="B186" s="1390">
        <f t="shared" ca="1" si="355"/>
        <v>144</v>
      </c>
      <c r="C186" s="1194">
        <v>16740261</v>
      </c>
      <c r="D186" s="1195" t="s">
        <v>6794</v>
      </c>
      <c r="E186" s="1180" t="s">
        <v>4622</v>
      </c>
      <c r="F186" s="1196">
        <v>30879</v>
      </c>
      <c r="G186" s="1180" t="s">
        <v>4620</v>
      </c>
      <c r="H186" s="1196">
        <v>45505</v>
      </c>
      <c r="I186" s="1185">
        <f t="shared" si="379"/>
        <v>0</v>
      </c>
      <c r="J186" s="1177">
        <v>0</v>
      </c>
      <c r="K186" s="1185">
        <f t="shared" si="380"/>
        <v>0</v>
      </c>
      <c r="L186" s="1191" t="s">
        <v>5550</v>
      </c>
      <c r="M186" s="1177"/>
      <c r="N186" s="1177"/>
      <c r="O186" s="1040" t="s">
        <v>5224</v>
      </c>
      <c r="P186" s="1197" t="s">
        <v>6795</v>
      </c>
      <c r="Q186" s="1391" t="s">
        <v>2380</v>
      </c>
      <c r="R186" s="1403" t="s">
        <v>5224</v>
      </c>
      <c r="S186" s="1192" t="s">
        <v>5475</v>
      </c>
      <c r="T186" s="1150">
        <f>IFERROR(VLOOKUP(S186,'TAB EMP'!A:B,2,0),0)</f>
        <v>192</v>
      </c>
      <c r="U186" s="1151">
        <v>0</v>
      </c>
      <c r="V186" s="1150">
        <f t="shared" ref="V186" si="459">T186-U186</f>
        <v>192</v>
      </c>
      <c r="W186" s="1151">
        <f t="shared" ref="W186" si="460">ROUND(V186/2,2)</f>
        <v>96</v>
      </c>
      <c r="X186" s="1180" t="s">
        <v>2844</v>
      </c>
      <c r="Y186" s="1180"/>
      <c r="Z186" s="1180">
        <v>1</v>
      </c>
      <c r="AA186" s="1150">
        <f>ROUND(IF(H186&lt;&gt;"",VLOOKUP(SUM(I186+J186),'CONCEPTOS Y PARAMETROS'!F:G,2,0)*V186,0),2)</f>
        <v>0</v>
      </c>
      <c r="AB186" s="1150">
        <f>IF(S186&lt;&gt;"",IF(M186="",'CONCEPTOS Y PARAMETROS'!$C$4,0),0)</f>
        <v>130</v>
      </c>
      <c r="AC186" s="1150">
        <f>IF(S186&lt;&gt;"",IF(M186="",'CONCEPTOS Y PARAMETROS'!$C$7*Z186,0),0)</f>
        <v>12.5</v>
      </c>
      <c r="AD186" s="1150">
        <f>IFERROR(ROUND(VLOOKUP($X186,'CONCEPTOS Y PARAMETROS'!H:I,2,0)*($V186+AA186+AB186+AC186),2),0)</f>
        <v>66.900000000000006</v>
      </c>
      <c r="AE186" s="1150">
        <f t="shared" ref="AE186" si="461">SUM(AA186:AD186)</f>
        <v>209.4</v>
      </c>
      <c r="AF186" s="1150">
        <f t="shared" ref="AF186" si="462">ROUND(AA186/2,2)</f>
        <v>0</v>
      </c>
      <c r="AG186" s="1150">
        <f t="shared" ref="AG186" si="463">ROUND(AA186-AF186,2)</f>
        <v>0</v>
      </c>
      <c r="AH186" s="1150">
        <f t="shared" ref="AH186" si="464">ROUND(AB186/2,2)</f>
        <v>65</v>
      </c>
      <c r="AI186" s="1150">
        <f t="shared" ref="AI186" si="465">ROUND(AB186-AH186,2)</f>
        <v>65</v>
      </c>
      <c r="AJ186" s="1150">
        <f t="shared" ref="AJ186" si="466">ROUND(AD186/2,2)</f>
        <v>33.450000000000003</v>
      </c>
      <c r="AK186" s="1150">
        <f t="shared" ref="AK186" si="467">ROUND(AD186-AJ186,2)</f>
        <v>33.450000000000003</v>
      </c>
      <c r="AL186" s="1151">
        <f t="shared" ref="AL186" si="468">ROUND(AF186+AH186+AJ186+AC186,2)</f>
        <v>110.95</v>
      </c>
      <c r="AM186" s="1151">
        <f t="shared" ref="AM186" si="469">ROUND(AG186+AI186+AK186,2)</f>
        <v>98.45</v>
      </c>
      <c r="AN186" s="1028">
        <v>0</v>
      </c>
      <c r="AO186" s="1193">
        <f>'CONCEPTOS Y PARAMETROS'!$C$18*AN186</f>
        <v>0</v>
      </c>
      <c r="AP186" s="1028">
        <v>0</v>
      </c>
      <c r="AQ186" s="1193">
        <f>'CONCEPTOS Y PARAMETROS'!$C$21*AP186</f>
        <v>0</v>
      </c>
      <c r="AR186" s="1394">
        <v>0</v>
      </c>
      <c r="AS186" s="1394">
        <v>0</v>
      </c>
      <c r="AT186" s="1394">
        <f t="shared" si="377"/>
        <v>0</v>
      </c>
      <c r="AU186" s="1151">
        <f t="shared" ref="AU186" si="470">V186+AE186+AW186</f>
        <v>401.4</v>
      </c>
      <c r="AV186" s="1151">
        <v>0</v>
      </c>
      <c r="AW186" s="1151">
        <f t="shared" ref="AW186" si="471">ROUND(IF(AV186="NOCTURN",(V186+AE186)*30%,0),2)</f>
        <v>0</v>
      </c>
      <c r="AX186" s="1151">
        <f>IF(T186&lt;&gt;"0",(ROUND(IF(A186="EMPLEADO",eval_formula('CONCEPTOS Y PARAMETROS'!$C$8,NOMINA!V186,NOMINA!$AU186,NOMINA!I186+NOMINA!J186),eval_formula('CONCEPTOS Y PARAMETROS'!$D$8,NOMINA!V186,NOMINA!$AU186,NOMINA!I186+NOMINA!J186)),2))*IF(H186&lt;&gt;"",IF(MONTH(H186)=$BR$8,IF(YEAR(H186)&lt;$BT$7,1,0),0)))</f>
        <v>0</v>
      </c>
      <c r="AY186" s="1151">
        <v>75</v>
      </c>
      <c r="AZ186" s="1150">
        <f>IFERROR(VLOOKUP(AY186,'CONCEPTOS Y PARAMETROS'!Y:Z,2,0),0)</f>
        <v>62.5</v>
      </c>
      <c r="BA186" s="1150">
        <f t="shared" ref="BA186" si="472">ROUND((((AU186))/30*AY186/12+(AU186))/30*AZ186,2)</f>
        <v>1010.47</v>
      </c>
      <c r="BB186" s="1150">
        <f t="shared" si="381"/>
        <v>0</v>
      </c>
      <c r="BC186" s="1028">
        <v>0</v>
      </c>
      <c r="BD186" s="1150" t="str">
        <f t="shared" ref="BD186" si="473">IF(BC186&gt;0,((((((V186+AA186+AB186+AC186+AD186)/30)/8)*50%)+((((V186+AA186+AB186+AC186+AD186)/30)/8)))*30%+(((((V186+AA186+AB186+AC186+AD186)/30)/8)*50%)+((((V186+AA186+AB186+AC186+AD186)/30)/8))))*BC186,"0")</f>
        <v>0</v>
      </c>
      <c r="BE186" s="1028">
        <v>0</v>
      </c>
      <c r="BF186" s="1150">
        <f t="shared" si="458"/>
        <v>0</v>
      </c>
      <c r="BG186" s="1151">
        <v>300</v>
      </c>
      <c r="BH186" s="1151">
        <f t="shared" si="382"/>
        <v>0</v>
      </c>
      <c r="BI186" s="1180">
        <v>0</v>
      </c>
      <c r="BJ186" s="1180">
        <f t="shared" si="372"/>
        <v>0</v>
      </c>
      <c r="BK186" s="1151">
        <v>0</v>
      </c>
      <c r="BL186" s="1150">
        <f t="shared" si="450"/>
        <v>14.82</v>
      </c>
      <c r="BM186" s="1150">
        <f t="shared" si="451"/>
        <v>1.85</v>
      </c>
      <c r="BN186" s="1150">
        <f t="shared" si="378"/>
        <v>4.01</v>
      </c>
      <c r="BO186" s="1150">
        <v>0</v>
      </c>
      <c r="BP186" s="1150">
        <v>0</v>
      </c>
      <c r="BQ186" s="1396">
        <f t="shared" ref="BQ186" si="474">ROUND(SUM(BL186:BP186),2)</f>
        <v>20.68</v>
      </c>
      <c r="BR186" s="1150">
        <f t="shared" si="453"/>
        <v>33.35</v>
      </c>
      <c r="BS186" s="1150">
        <f t="shared" si="454"/>
        <v>7.41</v>
      </c>
      <c r="BT186" s="1150">
        <f t="shared" si="383"/>
        <v>8.02</v>
      </c>
      <c r="BU186" s="1150">
        <v>0</v>
      </c>
      <c r="BV186" s="1151">
        <f t="shared" si="374"/>
        <v>48.78</v>
      </c>
      <c r="BW186" s="1155">
        <f t="shared" si="375"/>
        <v>69.460000000000008</v>
      </c>
      <c r="BX186" s="1155">
        <f t="shared" si="457"/>
        <v>252.62</v>
      </c>
      <c r="BY186" s="1151">
        <v>0</v>
      </c>
      <c r="BZ186" s="1151">
        <f t="shared" si="371"/>
        <v>252.62</v>
      </c>
      <c r="CA186" s="1397">
        <f>'CONCEPTOS Y PARAMETROS'!$A$102</f>
        <v>2120</v>
      </c>
      <c r="CB186" s="1155">
        <f t="shared" si="384"/>
        <v>186.26999999999998</v>
      </c>
      <c r="CC186" s="1156">
        <f t="shared" si="385"/>
        <v>494.45</v>
      </c>
      <c r="CD186" s="514"/>
      <c r="CE186" s="514"/>
      <c r="CF186" s="521"/>
      <c r="CG186" s="511">
        <f t="shared" si="386"/>
        <v>186.26999999999998</v>
      </c>
      <c r="CH186" s="1712">
        <f t="shared" si="387"/>
        <v>300</v>
      </c>
      <c r="CI186" s="511">
        <f t="shared" si="388"/>
        <v>494.45</v>
      </c>
      <c r="CJ186" s="511">
        <f t="shared" si="389"/>
        <v>494.45</v>
      </c>
      <c r="CK186" s="511">
        <f t="shared" si="390"/>
        <v>0</v>
      </c>
      <c r="CL186" s="511">
        <f t="shared" si="391"/>
        <v>0</v>
      </c>
      <c r="CM186" s="511">
        <f t="shared" si="392"/>
        <v>0</v>
      </c>
      <c r="CN186" s="512">
        <f t="shared" si="393"/>
        <v>0</v>
      </c>
      <c r="CO186" s="513">
        <v>0</v>
      </c>
      <c r="CP186" s="512">
        <f t="shared" si="394"/>
        <v>0</v>
      </c>
      <c r="CQ186" s="500">
        <f t="shared" si="395"/>
        <v>0</v>
      </c>
      <c r="CR186" s="512">
        <f t="shared" si="396"/>
        <v>0</v>
      </c>
      <c r="CS186" s="512">
        <f t="shared" si="397"/>
        <v>0</v>
      </c>
      <c r="CT186" s="512">
        <f t="shared" si="398"/>
        <v>69.460000000000008</v>
      </c>
      <c r="CU186" s="512">
        <f t="shared" si="399"/>
        <v>2120</v>
      </c>
      <c r="CV186" s="1556"/>
      <c r="CW186" s="1195" t="s">
        <v>7014</v>
      </c>
      <c r="CX186" s="1195" t="s">
        <v>7008</v>
      </c>
      <c r="CY186" s="514"/>
      <c r="CZ186" s="1199" t="s">
        <v>6805</v>
      </c>
      <c r="DA186" s="514" t="s">
        <v>6173</v>
      </c>
      <c r="DB186" s="514" t="s">
        <v>6202</v>
      </c>
      <c r="DC186" s="1226" t="s">
        <v>6576</v>
      </c>
      <c r="DD186" s="514"/>
      <c r="DE186" s="514"/>
      <c r="DF186" s="514"/>
      <c r="DG186" s="514"/>
      <c r="DH186" s="514"/>
      <c r="DJ186" s="478" t="str">
        <f>VLOOKUP(X186,Hoja1!$A$4:$B$10,2,0)</f>
        <v>TÉCNICO SUPERIOR UNIVERSITARIO</v>
      </c>
      <c r="DK186" s="478" t="str">
        <f>VLOOKUP(S186,Hoja1!$D$4:$F$77,3,0)</f>
        <v>TI</v>
      </c>
      <c r="DL186" s="1225" t="str">
        <f t="shared" si="400"/>
        <v>0</v>
      </c>
      <c r="DM186" s="1743" t="str">
        <f t="shared" si="401"/>
        <v>F</v>
      </c>
      <c r="DN186" s="1743"/>
    </row>
    <row r="187" spans="1:118" s="473" customFormat="1" ht="21.95" customHeight="1">
      <c r="A187" s="510" t="s">
        <v>2846</v>
      </c>
      <c r="B187" s="1390">
        <f t="shared" ca="1" si="355"/>
        <v>145</v>
      </c>
      <c r="C187" s="1194">
        <v>16881384</v>
      </c>
      <c r="D187" s="1195" t="s">
        <v>4829</v>
      </c>
      <c r="E187" s="1180" t="s">
        <v>4622</v>
      </c>
      <c r="F187" s="1196">
        <v>30355</v>
      </c>
      <c r="G187" s="1180" t="s">
        <v>4621</v>
      </c>
      <c r="H187" s="1196">
        <v>43906</v>
      </c>
      <c r="I187" s="1185">
        <f t="shared" si="379"/>
        <v>4</v>
      </c>
      <c r="J187" s="1177">
        <v>9</v>
      </c>
      <c r="K187" s="1185">
        <f t="shared" si="380"/>
        <v>13</v>
      </c>
      <c r="L187" s="1191" t="s">
        <v>5551</v>
      </c>
      <c r="M187" s="1177"/>
      <c r="N187" s="1177"/>
      <c r="O187" s="1040" t="s">
        <v>5221</v>
      </c>
      <c r="P187" s="1177" t="s">
        <v>5391</v>
      </c>
      <c r="Q187" s="1391" t="str">
        <f>IFERROR(VLOOKUP(O187,CARGOS!A:E,2,0),"")</f>
        <v>79512</v>
      </c>
      <c r="R187" s="1403" t="s">
        <v>5221</v>
      </c>
      <c r="S187" s="1192" t="s">
        <v>5472</v>
      </c>
      <c r="T187" s="1150">
        <f>IFERROR(VLOOKUP(S187,'TAB EMP'!A:B,2,0),0)</f>
        <v>225</v>
      </c>
      <c r="U187" s="1151">
        <v>0</v>
      </c>
      <c r="V187" s="1150">
        <f t="shared" si="402"/>
        <v>225</v>
      </c>
      <c r="W187" s="1151">
        <f t="shared" si="403"/>
        <v>112.5</v>
      </c>
      <c r="X187" s="1180" t="s">
        <v>2844</v>
      </c>
      <c r="Y187" s="1180"/>
      <c r="Z187" s="1180">
        <v>0</v>
      </c>
      <c r="AA187" s="1150">
        <f>ROUND(IF(H187&lt;&gt;"",VLOOKUP(SUM(I187+J187),'CONCEPTOS Y PARAMETROS'!F:G,2,0)*V187,0),2)</f>
        <v>34.200000000000003</v>
      </c>
      <c r="AB187" s="1150">
        <f>IF(S187&lt;&gt;"",IF(M187="",'CONCEPTOS Y PARAMETROS'!$C$4,0),0)</f>
        <v>130</v>
      </c>
      <c r="AC187" s="1150">
        <f>IF(S187&lt;&gt;"",IF(M187="",'CONCEPTOS Y PARAMETROS'!$C$7*Z187,0),0)</f>
        <v>0</v>
      </c>
      <c r="AD187" s="1150">
        <f>IFERROR(ROUND(VLOOKUP($X187,'CONCEPTOS Y PARAMETROS'!H:I,2,0)*($V187+AA187+AB187+AC187),2),0)</f>
        <v>77.84</v>
      </c>
      <c r="AE187" s="1150">
        <f t="shared" si="376"/>
        <v>242.04</v>
      </c>
      <c r="AF187" s="1150">
        <f t="shared" si="404"/>
        <v>17.100000000000001</v>
      </c>
      <c r="AG187" s="1150">
        <f t="shared" si="405"/>
        <v>17.100000000000001</v>
      </c>
      <c r="AH187" s="1150">
        <f t="shared" si="406"/>
        <v>65</v>
      </c>
      <c r="AI187" s="1150">
        <f t="shared" si="407"/>
        <v>65</v>
      </c>
      <c r="AJ187" s="1150">
        <f t="shared" si="408"/>
        <v>38.92</v>
      </c>
      <c r="AK187" s="1150">
        <f t="shared" si="409"/>
        <v>38.92</v>
      </c>
      <c r="AL187" s="1151">
        <f t="shared" si="410"/>
        <v>121.02</v>
      </c>
      <c r="AM187" s="1151">
        <f t="shared" si="411"/>
        <v>121.02</v>
      </c>
      <c r="AN187" s="1028">
        <v>0</v>
      </c>
      <c r="AO187" s="1193">
        <f>'CONCEPTOS Y PARAMETROS'!$C$18*AN187</f>
        <v>0</v>
      </c>
      <c r="AP187" s="1028">
        <v>0</v>
      </c>
      <c r="AQ187" s="1193">
        <f>'CONCEPTOS Y PARAMETROS'!$C$21*AP187</f>
        <v>0</v>
      </c>
      <c r="AR187" s="1394">
        <v>0</v>
      </c>
      <c r="AS187" s="1394">
        <v>0</v>
      </c>
      <c r="AT187" s="1394">
        <f t="shared" si="377"/>
        <v>0</v>
      </c>
      <c r="AU187" s="1151">
        <f t="shared" si="412"/>
        <v>607.15</v>
      </c>
      <c r="AV187" s="1178" t="s">
        <v>5080</v>
      </c>
      <c r="AW187" s="1151">
        <f t="shared" si="370"/>
        <v>140.11000000000001</v>
      </c>
      <c r="AX187" s="1150">
        <f>IF(T187&lt;&gt;"0",(ROUND(IF(A187="EMPLEADO",eval_formula('CONCEPTOS Y PARAMETROS'!$C$8,NOMINA!V187,NOMINA!$AU187,NOMINA!I187+NOMINA!J187),eval_formula('CONCEPTOS Y PARAMETROS'!$D$8,NOMINA!V187,NOMINA!$AU187,NOMINA!I187+NOMINA!J187)),2))*IF(H187&lt;&gt;"",IF(MONTH(H187)=$BR$8,IF(YEAR(H187)&lt;$BT$7,1,0),0)))</f>
        <v>0</v>
      </c>
      <c r="AY187" s="1151">
        <v>180</v>
      </c>
      <c r="AZ187" s="1150">
        <f>IFERROR(VLOOKUP(AY187,'CONCEPTOS Y PARAMETROS'!Y:Z,2,0),0)</f>
        <v>150</v>
      </c>
      <c r="BA187" s="1150">
        <f t="shared" si="413"/>
        <v>4553.63</v>
      </c>
      <c r="BB187" s="1150">
        <f t="shared" si="381"/>
        <v>0</v>
      </c>
      <c r="BC187" s="1028">
        <v>0</v>
      </c>
      <c r="BD187" s="1150" t="str">
        <f t="shared" si="414"/>
        <v>0</v>
      </c>
      <c r="BE187" s="1028">
        <v>4</v>
      </c>
      <c r="BF187" s="1150">
        <f t="shared" si="458"/>
        <v>121.43</v>
      </c>
      <c r="BG187" s="1151">
        <v>300</v>
      </c>
      <c r="BH187" s="1151">
        <f t="shared" si="382"/>
        <v>0</v>
      </c>
      <c r="BI187" s="1180">
        <v>0</v>
      </c>
      <c r="BJ187" s="1180">
        <f t="shared" si="372"/>
        <v>0</v>
      </c>
      <c r="BK187" s="1151">
        <v>0</v>
      </c>
      <c r="BL187" s="1150">
        <f t="shared" si="450"/>
        <v>22.42</v>
      </c>
      <c r="BM187" s="1150">
        <f t="shared" si="451"/>
        <v>2.8</v>
      </c>
      <c r="BN187" s="1150">
        <f t="shared" si="378"/>
        <v>6.07</v>
      </c>
      <c r="BO187" s="1150">
        <v>0</v>
      </c>
      <c r="BP187" s="1150">
        <v>0</v>
      </c>
      <c r="BQ187" s="1396">
        <f t="shared" si="373"/>
        <v>31.29</v>
      </c>
      <c r="BR187" s="1150">
        <f t="shared" si="453"/>
        <v>50.44</v>
      </c>
      <c r="BS187" s="1150">
        <f t="shared" si="454"/>
        <v>11.21</v>
      </c>
      <c r="BT187" s="1150">
        <f t="shared" si="383"/>
        <v>12.14</v>
      </c>
      <c r="BU187" s="1150">
        <v>0</v>
      </c>
      <c r="BV187" s="1151">
        <f t="shared" si="374"/>
        <v>73.790000000000006</v>
      </c>
      <c r="BW187" s="1155">
        <f t="shared" si="375"/>
        <v>105.08000000000001</v>
      </c>
      <c r="BX187" s="1155">
        <f t="shared" si="457"/>
        <v>1138.4100000000001</v>
      </c>
      <c r="BY187" s="1151">
        <v>0</v>
      </c>
      <c r="BZ187" s="1151">
        <f t="shared" si="371"/>
        <v>1138.4100000000001</v>
      </c>
      <c r="CA187" s="1397">
        <f>'CONCEPTOS Y PARAMETROS'!$A$102</f>
        <v>2120</v>
      </c>
      <c r="CB187" s="1155">
        <f t="shared" si="384"/>
        <v>202.23</v>
      </c>
      <c r="CC187" s="1156">
        <f t="shared" si="385"/>
        <v>795.06</v>
      </c>
      <c r="CD187" s="514"/>
      <c r="CE187" s="514"/>
      <c r="CF187" s="520"/>
      <c r="CG187" s="497">
        <f t="shared" si="386"/>
        <v>202.23</v>
      </c>
      <c r="CH187" s="1711">
        <f t="shared" si="387"/>
        <v>300</v>
      </c>
      <c r="CI187" s="497">
        <f t="shared" si="388"/>
        <v>533.52</v>
      </c>
      <c r="CJ187" s="497">
        <f t="shared" si="389"/>
        <v>533.52</v>
      </c>
      <c r="CK187" s="497">
        <f t="shared" si="390"/>
        <v>0</v>
      </c>
      <c r="CL187" s="497">
        <f t="shared" si="391"/>
        <v>0</v>
      </c>
      <c r="CM187" s="497">
        <f t="shared" si="392"/>
        <v>0</v>
      </c>
      <c r="CN187" s="498">
        <f t="shared" si="393"/>
        <v>121.43</v>
      </c>
      <c r="CO187" s="499">
        <v>0</v>
      </c>
      <c r="CP187" s="498">
        <f t="shared" si="394"/>
        <v>140.11000000000001</v>
      </c>
      <c r="CQ187" s="500">
        <f t="shared" si="395"/>
        <v>0</v>
      </c>
      <c r="CR187" s="498">
        <f t="shared" si="396"/>
        <v>0</v>
      </c>
      <c r="CS187" s="498">
        <f t="shared" si="397"/>
        <v>261.54000000000002</v>
      </c>
      <c r="CT187" s="498">
        <f t="shared" si="398"/>
        <v>105.08000000000001</v>
      </c>
      <c r="CU187" s="498">
        <f t="shared" si="399"/>
        <v>2120</v>
      </c>
      <c r="CV187" s="1554"/>
      <c r="CW187" s="1195" t="s">
        <v>6931</v>
      </c>
      <c r="CX187" s="1195" t="s">
        <v>7009</v>
      </c>
      <c r="CY187" s="472"/>
      <c r="CZ187" s="514" t="s">
        <v>6361</v>
      </c>
      <c r="DA187" s="514" t="s">
        <v>6192</v>
      </c>
      <c r="DB187" s="514" t="s">
        <v>6299</v>
      </c>
      <c r="DC187" s="514" t="s">
        <v>6362</v>
      </c>
      <c r="DD187" s="514"/>
      <c r="DE187" s="514"/>
      <c r="DF187" s="472"/>
      <c r="DG187" s="472"/>
      <c r="DH187" s="472"/>
      <c r="DJ187" s="473" t="str">
        <f>VLOOKUP(X187,Hoja1!$A$4:$B$10,2,0)</f>
        <v>TÉCNICO SUPERIOR UNIVERSITARIO</v>
      </c>
      <c r="DK187" s="473" t="str">
        <f>VLOOKUP(S187,Hoja1!$D$4:$F$77,3,0)</f>
        <v>TII - V</v>
      </c>
      <c r="DL187" s="1216" t="str">
        <f t="shared" si="400"/>
        <v>SI</v>
      </c>
      <c r="DM187" s="1741" t="str">
        <f t="shared" si="401"/>
        <v>M</v>
      </c>
      <c r="DN187" s="1741"/>
    </row>
    <row r="188" spans="1:118" s="1654" customFormat="1" ht="21.95" customHeight="1">
      <c r="A188" s="1624" t="s">
        <v>2846</v>
      </c>
      <c r="B188" s="1625">
        <f t="shared" ca="1" si="355"/>
        <v>146</v>
      </c>
      <c r="C188" s="1626">
        <v>16882467</v>
      </c>
      <c r="D188" s="1627" t="s">
        <v>4830</v>
      </c>
      <c r="E188" s="1628" t="s">
        <v>4622</v>
      </c>
      <c r="F188" s="1629">
        <v>30918</v>
      </c>
      <c r="G188" s="1628" t="s">
        <v>4620</v>
      </c>
      <c r="H188" s="1629">
        <v>42948</v>
      </c>
      <c r="I188" s="1630">
        <f t="shared" si="379"/>
        <v>7</v>
      </c>
      <c r="J188" s="1631">
        <v>7</v>
      </c>
      <c r="K188" s="1630">
        <f t="shared" si="380"/>
        <v>14</v>
      </c>
      <c r="L188" s="1632" t="s">
        <v>5552</v>
      </c>
      <c r="M188" s="1631"/>
      <c r="N188" s="1631"/>
      <c r="O188" s="1633" t="s">
        <v>7431</v>
      </c>
      <c r="P188" s="1631" t="s">
        <v>5392</v>
      </c>
      <c r="Q188" s="1634" t="str">
        <f>IFERROR(VLOOKUP(O188,CARGOS!A:E,2,0),"")</f>
        <v>15124</v>
      </c>
      <c r="R188" s="1635" t="s">
        <v>7431</v>
      </c>
      <c r="S188" s="1636" t="s">
        <v>5479</v>
      </c>
      <c r="T188" s="1637">
        <f>IFERROR(VLOOKUP(S188,'TAB EMP'!A:B,2,0),0)</f>
        <v>283</v>
      </c>
      <c r="U188" s="1638">
        <v>0</v>
      </c>
      <c r="V188" s="1637">
        <f t="shared" si="402"/>
        <v>283</v>
      </c>
      <c r="W188" s="1638">
        <f t="shared" si="403"/>
        <v>141.5</v>
      </c>
      <c r="X188" s="1628" t="s">
        <v>2885</v>
      </c>
      <c r="Y188" s="1628"/>
      <c r="Z188" s="1628">
        <v>1</v>
      </c>
      <c r="AA188" s="1637">
        <f>ROUND(IF(H188&lt;&gt;"",VLOOKUP(SUM(I188+J188),'CONCEPTOS Y PARAMETROS'!F:G,2,0)*V188,0),2)</f>
        <v>46.98</v>
      </c>
      <c r="AB188" s="1637">
        <f>IF(S188&lt;&gt;"",IF(M188="",'CONCEPTOS Y PARAMETROS'!$C$4,0),0)</f>
        <v>130</v>
      </c>
      <c r="AC188" s="1637">
        <f>IF(S188&lt;&gt;"",IF(M188="",'CONCEPTOS Y PARAMETROS'!$C$7*Z188,0),0)</f>
        <v>12.5</v>
      </c>
      <c r="AD188" s="1637">
        <f>IFERROR(ROUND(VLOOKUP($X188,'CONCEPTOS Y PARAMETROS'!H:I,2,0)*($V188+AA188+AB188+AC188),2),0)</f>
        <v>118.12</v>
      </c>
      <c r="AE188" s="1637">
        <f t="shared" si="376"/>
        <v>307.60000000000002</v>
      </c>
      <c r="AF188" s="1637">
        <f t="shared" si="404"/>
        <v>23.49</v>
      </c>
      <c r="AG188" s="1637">
        <f t="shared" si="405"/>
        <v>23.49</v>
      </c>
      <c r="AH188" s="1637">
        <f t="shared" si="406"/>
        <v>65</v>
      </c>
      <c r="AI188" s="1637">
        <f t="shared" si="407"/>
        <v>65</v>
      </c>
      <c r="AJ188" s="1637">
        <f t="shared" si="408"/>
        <v>59.06</v>
      </c>
      <c r="AK188" s="1637">
        <f t="shared" si="409"/>
        <v>59.06</v>
      </c>
      <c r="AL188" s="1638">
        <f t="shared" si="410"/>
        <v>160.05000000000001</v>
      </c>
      <c r="AM188" s="1638">
        <f t="shared" si="411"/>
        <v>147.55000000000001</v>
      </c>
      <c r="AN188" s="1639">
        <v>1</v>
      </c>
      <c r="AO188" s="1640">
        <f>'CONCEPTOS Y PARAMETROS'!$C$18*AN188</f>
        <v>12.5</v>
      </c>
      <c r="AP188" s="1639">
        <v>0</v>
      </c>
      <c r="AQ188" s="1640">
        <f>'CONCEPTOS Y PARAMETROS'!$C$21*AP188</f>
        <v>0</v>
      </c>
      <c r="AR188" s="1641">
        <v>0</v>
      </c>
      <c r="AS188" s="1641">
        <v>0</v>
      </c>
      <c r="AT188" s="1641">
        <f t="shared" si="377"/>
        <v>12.5</v>
      </c>
      <c r="AU188" s="1638">
        <f t="shared" si="412"/>
        <v>590.6</v>
      </c>
      <c r="AV188" s="1642">
        <v>0</v>
      </c>
      <c r="AW188" s="1638">
        <f t="shared" si="370"/>
        <v>0</v>
      </c>
      <c r="AX188" s="1637">
        <f>IF(T188&lt;&gt;"0",(ROUND(IF(A188="EMPLEADO",eval_formula('CONCEPTOS Y PARAMETROS'!$C$8,NOMINA!V188,NOMINA!$AU188,NOMINA!I188+NOMINA!J188),eval_formula('CONCEPTOS Y PARAMETROS'!$D$8,NOMINA!V188,NOMINA!$AU188,NOMINA!I188+NOMINA!J188)),2))*IF(H188&lt;&gt;"",IF(MONTH(H188)=$BR$8,IF(YEAR(H188)&lt;$BT$7,1,0),0)))</f>
        <v>0</v>
      </c>
      <c r="AY188" s="1638">
        <v>180</v>
      </c>
      <c r="AZ188" s="1637">
        <f>IFERROR(VLOOKUP(AY188,'CONCEPTOS Y PARAMETROS'!Y:Z,2,0),0)</f>
        <v>150</v>
      </c>
      <c r="BA188" s="1637">
        <f t="shared" si="413"/>
        <v>4429.5</v>
      </c>
      <c r="BB188" s="1637">
        <f t="shared" si="381"/>
        <v>0</v>
      </c>
      <c r="BC188" s="1639">
        <v>0</v>
      </c>
      <c r="BD188" s="1637" t="str">
        <f t="shared" si="414"/>
        <v>0</v>
      </c>
      <c r="BE188" s="1639">
        <v>0</v>
      </c>
      <c r="BF188" s="1637">
        <f t="shared" si="458"/>
        <v>0</v>
      </c>
      <c r="BG188" s="1638">
        <v>300</v>
      </c>
      <c r="BH188" s="1638">
        <f t="shared" si="382"/>
        <v>0</v>
      </c>
      <c r="BI188" s="1628">
        <v>0</v>
      </c>
      <c r="BJ188" s="1628">
        <f t="shared" si="372"/>
        <v>0</v>
      </c>
      <c r="BK188" s="1638">
        <v>0</v>
      </c>
      <c r="BL188" s="1637">
        <f t="shared" si="450"/>
        <v>21.81</v>
      </c>
      <c r="BM188" s="1637">
        <f t="shared" si="451"/>
        <v>2.73</v>
      </c>
      <c r="BN188" s="1637">
        <f t="shared" si="378"/>
        <v>5.91</v>
      </c>
      <c r="BO188" s="1637">
        <v>0</v>
      </c>
      <c r="BP188" s="1637">
        <v>0</v>
      </c>
      <c r="BQ188" s="1643">
        <f t="shared" si="373"/>
        <v>30.45</v>
      </c>
      <c r="BR188" s="1637">
        <f t="shared" si="453"/>
        <v>49.07</v>
      </c>
      <c r="BS188" s="1637">
        <f t="shared" si="454"/>
        <v>10.9</v>
      </c>
      <c r="BT188" s="1637">
        <f t="shared" si="383"/>
        <v>11.82</v>
      </c>
      <c r="BU188" s="1637">
        <v>0</v>
      </c>
      <c r="BV188" s="1638">
        <f t="shared" si="374"/>
        <v>71.790000000000006</v>
      </c>
      <c r="BW188" s="1644">
        <f t="shared" si="375"/>
        <v>102.24000000000001</v>
      </c>
      <c r="BX188" s="1644">
        <f t="shared" si="457"/>
        <v>1107.3800000000001</v>
      </c>
      <c r="BY188" s="1638">
        <v>0</v>
      </c>
      <c r="BZ188" s="1638">
        <f t="shared" si="371"/>
        <v>1107.3800000000001</v>
      </c>
      <c r="CA188" s="1645">
        <f>'CONCEPTOS Y PARAMETROS'!$A$102</f>
        <v>2120</v>
      </c>
      <c r="CB188" s="1644">
        <f t="shared" si="384"/>
        <v>271.10000000000002</v>
      </c>
      <c r="CC188" s="1646">
        <f t="shared" si="385"/>
        <v>601.54999999999995</v>
      </c>
      <c r="CD188" s="1647"/>
      <c r="CE188" s="1647"/>
      <c r="CF188" s="1648"/>
      <c r="CG188" s="1649">
        <f t="shared" si="386"/>
        <v>271.10000000000002</v>
      </c>
      <c r="CH188" s="1713">
        <f t="shared" si="387"/>
        <v>300</v>
      </c>
      <c r="CI188" s="1649">
        <f t="shared" si="388"/>
        <v>589.04999999999995</v>
      </c>
      <c r="CJ188" s="1649">
        <f t="shared" si="389"/>
        <v>282.74</v>
      </c>
      <c r="CK188" s="1649">
        <f t="shared" si="390"/>
        <v>306.30999999999995</v>
      </c>
      <c r="CL188" s="1649">
        <f t="shared" si="391"/>
        <v>0</v>
      </c>
      <c r="CM188" s="1649">
        <f t="shared" si="392"/>
        <v>0</v>
      </c>
      <c r="CN188" s="1650">
        <f t="shared" si="393"/>
        <v>0</v>
      </c>
      <c r="CO188" s="1651">
        <v>0</v>
      </c>
      <c r="CP188" s="1650">
        <f t="shared" si="394"/>
        <v>0</v>
      </c>
      <c r="CQ188" s="1652">
        <f t="shared" si="395"/>
        <v>12.5</v>
      </c>
      <c r="CR188" s="1650">
        <f t="shared" si="396"/>
        <v>0</v>
      </c>
      <c r="CS188" s="1650">
        <f t="shared" si="397"/>
        <v>12.5</v>
      </c>
      <c r="CT188" s="1650">
        <f t="shared" si="398"/>
        <v>102.24000000000001</v>
      </c>
      <c r="CU188" s="1650">
        <f t="shared" si="399"/>
        <v>2120</v>
      </c>
      <c r="CV188" s="1653"/>
      <c r="CW188" s="1627" t="s">
        <v>6950</v>
      </c>
      <c r="CX188" s="1627" t="s">
        <v>7010</v>
      </c>
      <c r="CY188" s="1647"/>
      <c r="CZ188" s="1647" t="s">
        <v>6475</v>
      </c>
      <c r="DA188" s="1647" t="s">
        <v>6173</v>
      </c>
      <c r="DB188" s="1647" t="s">
        <v>6202</v>
      </c>
      <c r="DC188" s="1647" t="s">
        <v>6470</v>
      </c>
      <c r="DD188" s="1647"/>
      <c r="DE188" s="1647"/>
      <c r="DF188" s="1647"/>
      <c r="DG188" s="1647"/>
      <c r="DH188" s="1647"/>
      <c r="DJ188" s="1654" t="str">
        <f>VLOOKUP(X188,Hoja1!$A$4:$B$10,2,0)</f>
        <v>PROFESIONAL</v>
      </c>
      <c r="DK188" s="1654" t="str">
        <f>VLOOKUP(S188,Hoja1!$D$4:$F$77,3,0)</f>
        <v>PII - V</v>
      </c>
      <c r="DL188" s="1663" t="str">
        <f t="shared" si="400"/>
        <v>0</v>
      </c>
      <c r="DM188" s="1742" t="str">
        <f t="shared" si="401"/>
        <v>F</v>
      </c>
      <c r="DN188" s="1742"/>
    </row>
    <row r="189" spans="1:118" s="473" customFormat="1" ht="21.95" customHeight="1">
      <c r="A189" s="510" t="s">
        <v>2846</v>
      </c>
      <c r="B189" s="1390">
        <f t="shared" ca="1" si="355"/>
        <v>147</v>
      </c>
      <c r="C189" s="1194">
        <v>16883267</v>
      </c>
      <c r="D189" s="1195" t="s">
        <v>4831</v>
      </c>
      <c r="E189" s="1180" t="s">
        <v>4622</v>
      </c>
      <c r="F189" s="1196">
        <v>30449</v>
      </c>
      <c r="G189" s="1180" t="s">
        <v>4620</v>
      </c>
      <c r="H189" s="1196">
        <v>38930</v>
      </c>
      <c r="I189" s="1185">
        <f t="shared" si="379"/>
        <v>18</v>
      </c>
      <c r="J189" s="1177">
        <v>0</v>
      </c>
      <c r="K189" s="1185">
        <f t="shared" si="380"/>
        <v>18</v>
      </c>
      <c r="L189" s="1191" t="s">
        <v>5541</v>
      </c>
      <c r="M189" s="1177"/>
      <c r="N189" s="1177"/>
      <c r="O189" s="1040" t="s">
        <v>5221</v>
      </c>
      <c r="P189" s="1177" t="s">
        <v>5393</v>
      </c>
      <c r="Q189" s="1391" t="str">
        <f>IFERROR(VLOOKUP(O189,CARGOS!A:E,2,0),"")</f>
        <v>79512</v>
      </c>
      <c r="R189" s="1403" t="s">
        <v>5221</v>
      </c>
      <c r="S189" s="1192" t="s">
        <v>5484</v>
      </c>
      <c r="T189" s="1150">
        <f>IFERROR(VLOOKUP(S189,'TAB EMP'!A:B,2,0),0)</f>
        <v>228</v>
      </c>
      <c r="U189" s="1151">
        <v>0</v>
      </c>
      <c r="V189" s="1150">
        <f t="shared" si="402"/>
        <v>228</v>
      </c>
      <c r="W189" s="1151">
        <f t="shared" si="403"/>
        <v>114</v>
      </c>
      <c r="X189" s="1180" t="s">
        <v>2844</v>
      </c>
      <c r="Y189" s="1180"/>
      <c r="Z189" s="1180">
        <v>0</v>
      </c>
      <c r="AA189" s="1150">
        <f>ROUND(IF(H189&lt;&gt;"",VLOOKUP(SUM(I189+J189),'CONCEPTOS Y PARAMETROS'!F:G,2,0)*V189,0),2)</f>
        <v>51.98</v>
      </c>
      <c r="AB189" s="1150">
        <f>IF(S189&lt;&gt;"",IF(M189="",'CONCEPTOS Y PARAMETROS'!$C$4,0),0)</f>
        <v>130</v>
      </c>
      <c r="AC189" s="1150">
        <f>IF(S189&lt;&gt;"",IF(M189="",'CONCEPTOS Y PARAMETROS'!$C$7*Z189,0),0)</f>
        <v>0</v>
      </c>
      <c r="AD189" s="1150">
        <f>IFERROR(ROUND(VLOOKUP($X189,'CONCEPTOS Y PARAMETROS'!H:I,2,0)*($V189+AA189+AB189+AC189),2),0)</f>
        <v>82</v>
      </c>
      <c r="AE189" s="1150">
        <f t="shared" si="376"/>
        <v>263.98</v>
      </c>
      <c r="AF189" s="1150">
        <f t="shared" si="404"/>
        <v>25.99</v>
      </c>
      <c r="AG189" s="1150">
        <f t="shared" si="405"/>
        <v>25.99</v>
      </c>
      <c r="AH189" s="1150">
        <f t="shared" si="406"/>
        <v>65</v>
      </c>
      <c r="AI189" s="1150">
        <f t="shared" si="407"/>
        <v>65</v>
      </c>
      <c r="AJ189" s="1150">
        <f t="shared" si="408"/>
        <v>41</v>
      </c>
      <c r="AK189" s="1150">
        <f t="shared" si="409"/>
        <v>41</v>
      </c>
      <c r="AL189" s="1151">
        <f t="shared" si="410"/>
        <v>131.99</v>
      </c>
      <c r="AM189" s="1151">
        <f t="shared" si="411"/>
        <v>131.99</v>
      </c>
      <c r="AN189" s="1028">
        <v>0</v>
      </c>
      <c r="AO189" s="1193">
        <f>'CONCEPTOS Y PARAMETROS'!$C$18*AN189</f>
        <v>0</v>
      </c>
      <c r="AP189" s="1028">
        <v>0</v>
      </c>
      <c r="AQ189" s="1193">
        <f>'CONCEPTOS Y PARAMETROS'!$C$21*AP189</f>
        <v>0</v>
      </c>
      <c r="AR189" s="1394">
        <v>0</v>
      </c>
      <c r="AS189" s="1394">
        <v>0</v>
      </c>
      <c r="AT189" s="1394">
        <f t="shared" si="377"/>
        <v>0</v>
      </c>
      <c r="AU189" s="1151">
        <f t="shared" si="412"/>
        <v>491.98</v>
      </c>
      <c r="AV189" s="1178">
        <v>0</v>
      </c>
      <c r="AW189" s="1151">
        <f t="shared" si="370"/>
        <v>0</v>
      </c>
      <c r="AX189" s="1150">
        <f>IF(T189&lt;&gt;"0",(ROUND(IF(A189="EMPLEADO",eval_formula('CONCEPTOS Y PARAMETROS'!$C$8,NOMINA!V189,NOMINA!$AU189,NOMINA!I189+NOMINA!J189),eval_formula('CONCEPTOS Y PARAMETROS'!$D$8,NOMINA!V189,NOMINA!$AU189,NOMINA!I189+NOMINA!J189)),2))*IF(H189&lt;&gt;"",IF(MONTH(H189)=$BR$8,IF(YEAR(H189)&lt;$BT$7,1,0),0)))</f>
        <v>0</v>
      </c>
      <c r="AY189" s="1151">
        <v>180</v>
      </c>
      <c r="AZ189" s="1150">
        <f>IFERROR(VLOOKUP(AY189,'CONCEPTOS Y PARAMETROS'!Y:Z,2,0),0)</f>
        <v>150</v>
      </c>
      <c r="BA189" s="1150">
        <f t="shared" si="413"/>
        <v>3689.85</v>
      </c>
      <c r="BB189" s="1150">
        <f t="shared" si="381"/>
        <v>0</v>
      </c>
      <c r="BC189" s="1028">
        <v>0</v>
      </c>
      <c r="BD189" s="1150" t="str">
        <f t="shared" si="414"/>
        <v>0</v>
      </c>
      <c r="BE189" s="1028">
        <v>0</v>
      </c>
      <c r="BF189" s="1150">
        <f t="shared" si="458"/>
        <v>0</v>
      </c>
      <c r="BG189" s="1151">
        <v>300</v>
      </c>
      <c r="BH189" s="1151">
        <f t="shared" si="382"/>
        <v>0</v>
      </c>
      <c r="BI189" s="1180">
        <v>0</v>
      </c>
      <c r="BJ189" s="1180">
        <f t="shared" si="372"/>
        <v>0</v>
      </c>
      <c r="BK189" s="1151">
        <v>0</v>
      </c>
      <c r="BL189" s="1150">
        <f t="shared" si="450"/>
        <v>18.170000000000002</v>
      </c>
      <c r="BM189" s="1150">
        <f t="shared" si="451"/>
        <v>2.27</v>
      </c>
      <c r="BN189" s="1150">
        <f t="shared" si="378"/>
        <v>4.92</v>
      </c>
      <c r="BO189" s="1150">
        <v>0</v>
      </c>
      <c r="BP189" s="1150">
        <v>0</v>
      </c>
      <c r="BQ189" s="1396">
        <f t="shared" si="373"/>
        <v>25.36</v>
      </c>
      <c r="BR189" s="1150">
        <f t="shared" si="453"/>
        <v>40.869999999999997</v>
      </c>
      <c r="BS189" s="1150">
        <f t="shared" si="454"/>
        <v>9.08</v>
      </c>
      <c r="BT189" s="1150">
        <f t="shared" si="383"/>
        <v>9.84</v>
      </c>
      <c r="BU189" s="1150">
        <v>0</v>
      </c>
      <c r="BV189" s="1151">
        <f t="shared" si="374"/>
        <v>59.79</v>
      </c>
      <c r="BW189" s="1155">
        <f t="shared" si="375"/>
        <v>85.15</v>
      </c>
      <c r="BX189" s="1155">
        <f t="shared" si="457"/>
        <v>922.46</v>
      </c>
      <c r="BY189" s="1151">
        <v>0</v>
      </c>
      <c r="BZ189" s="1151">
        <f t="shared" si="371"/>
        <v>922.46</v>
      </c>
      <c r="CA189" s="1397">
        <v>0</v>
      </c>
      <c r="CB189" s="1155">
        <f t="shared" si="384"/>
        <v>220.63</v>
      </c>
      <c r="CC189" s="1156">
        <f t="shared" si="385"/>
        <v>545.99</v>
      </c>
      <c r="CD189" s="514"/>
      <c r="CE189" s="514"/>
      <c r="CF189" s="520"/>
      <c r="CG189" s="497">
        <f t="shared" si="386"/>
        <v>220.63</v>
      </c>
      <c r="CH189" s="1711">
        <f t="shared" si="387"/>
        <v>300</v>
      </c>
      <c r="CI189" s="497">
        <f t="shared" si="388"/>
        <v>545.99</v>
      </c>
      <c r="CJ189" s="497">
        <f t="shared" si="389"/>
        <v>545.99</v>
      </c>
      <c r="CK189" s="497">
        <f t="shared" si="390"/>
        <v>0</v>
      </c>
      <c r="CL189" s="497">
        <f t="shared" si="391"/>
        <v>0</v>
      </c>
      <c r="CM189" s="497">
        <f t="shared" si="392"/>
        <v>0</v>
      </c>
      <c r="CN189" s="498">
        <f t="shared" si="393"/>
        <v>0</v>
      </c>
      <c r="CO189" s="499">
        <v>0</v>
      </c>
      <c r="CP189" s="498">
        <f t="shared" si="394"/>
        <v>0</v>
      </c>
      <c r="CQ189" s="500">
        <f t="shared" si="395"/>
        <v>0</v>
      </c>
      <c r="CR189" s="498">
        <f t="shared" si="396"/>
        <v>0</v>
      </c>
      <c r="CS189" s="498">
        <f t="shared" si="397"/>
        <v>0</v>
      </c>
      <c r="CT189" s="498">
        <f t="shared" si="398"/>
        <v>85.15</v>
      </c>
      <c r="CU189" s="498">
        <f t="shared" si="399"/>
        <v>0</v>
      </c>
      <c r="CV189" s="1554"/>
      <c r="CW189" s="1195" t="s">
        <v>7011</v>
      </c>
      <c r="CX189" s="1195" t="s">
        <v>7012</v>
      </c>
      <c r="CY189" s="472"/>
      <c r="CZ189" s="1199" t="s">
        <v>6675</v>
      </c>
      <c r="DA189" s="514" t="s">
        <v>6241</v>
      </c>
      <c r="DB189" s="514" t="s">
        <v>6242</v>
      </c>
      <c r="DC189" s="514" t="s">
        <v>6243</v>
      </c>
      <c r="DD189" s="514"/>
      <c r="DE189" s="514"/>
      <c r="DF189" s="472"/>
      <c r="DG189" s="472"/>
      <c r="DH189" s="472"/>
      <c r="DJ189" s="473" t="str">
        <f>VLOOKUP(X189,Hoja1!$A$4:$B$10,2,0)</f>
        <v>TÉCNICO SUPERIOR UNIVERSITARIO</v>
      </c>
      <c r="DK189" s="473" t="str">
        <f>VLOOKUP(S189,Hoja1!$D$4:$F$77,3,0)</f>
        <v>TII - VII</v>
      </c>
      <c r="DL189" s="1216" t="str">
        <f t="shared" si="400"/>
        <v>0</v>
      </c>
      <c r="DM189" s="1741" t="str">
        <f t="shared" si="401"/>
        <v>F</v>
      </c>
      <c r="DN189" s="1741"/>
    </row>
    <row r="190" spans="1:118" s="473" customFormat="1" ht="21.95" customHeight="1">
      <c r="A190" s="510" t="s">
        <v>2846</v>
      </c>
      <c r="B190" s="1390">
        <f t="shared" ca="1" si="355"/>
        <v>148</v>
      </c>
      <c r="C190" s="1194">
        <v>17037244</v>
      </c>
      <c r="D190" s="1195" t="s">
        <v>4832</v>
      </c>
      <c r="E190" s="1180" t="s">
        <v>4622</v>
      </c>
      <c r="F190" s="1196">
        <v>30767</v>
      </c>
      <c r="G190" s="1180" t="s">
        <v>4620</v>
      </c>
      <c r="H190" s="1196">
        <v>40087</v>
      </c>
      <c r="I190" s="1185">
        <f t="shared" si="379"/>
        <v>15</v>
      </c>
      <c r="J190" s="1177">
        <v>0</v>
      </c>
      <c r="K190" s="1185">
        <f t="shared" si="380"/>
        <v>15</v>
      </c>
      <c r="L190" s="1191" t="s">
        <v>7377</v>
      </c>
      <c r="M190" s="1177"/>
      <c r="N190" s="1177"/>
      <c r="O190" s="1040" t="s">
        <v>5221</v>
      </c>
      <c r="P190" s="1177" t="s">
        <v>5394</v>
      </c>
      <c r="Q190" s="1391" t="str">
        <f>IFERROR(VLOOKUP(O190,CARGOS!A:E,2,0),"")</f>
        <v>79512</v>
      </c>
      <c r="R190" s="1403" t="s">
        <v>5221</v>
      </c>
      <c r="S190" s="1192" t="s">
        <v>5474</v>
      </c>
      <c r="T190" s="1150">
        <f>IFERROR(VLOOKUP(S190,'TAB EMP'!A:B,2,0),0)</f>
        <v>226</v>
      </c>
      <c r="U190" s="1151">
        <v>0</v>
      </c>
      <c r="V190" s="1150">
        <f t="shared" si="402"/>
        <v>226</v>
      </c>
      <c r="W190" s="1151">
        <f t="shared" si="403"/>
        <v>113</v>
      </c>
      <c r="X190" s="1180" t="s">
        <v>2844</v>
      </c>
      <c r="Y190" s="1180"/>
      <c r="Z190" s="1180">
        <v>2</v>
      </c>
      <c r="AA190" s="1150">
        <f>ROUND(IF(H190&lt;&gt;"",VLOOKUP(SUM(I190+J190),'CONCEPTOS Y PARAMETROS'!F:G,2,0)*V190,0),2)</f>
        <v>40.68</v>
      </c>
      <c r="AB190" s="1150">
        <f>IF(S190&lt;&gt;"",IF(M190="",'CONCEPTOS Y PARAMETROS'!$C$4,0),0)</f>
        <v>130</v>
      </c>
      <c r="AC190" s="1150">
        <f>IF(S190&lt;&gt;"",IF(M190="",'CONCEPTOS Y PARAMETROS'!$C$7*Z190,0),0)</f>
        <v>25</v>
      </c>
      <c r="AD190" s="1150">
        <f>IFERROR(ROUND(VLOOKUP($X190,'CONCEPTOS Y PARAMETROS'!H:I,2,0)*($V190+AA190+AB190+AC190),2),0)</f>
        <v>84.34</v>
      </c>
      <c r="AE190" s="1150">
        <f t="shared" si="376"/>
        <v>280.02</v>
      </c>
      <c r="AF190" s="1150">
        <f t="shared" si="404"/>
        <v>20.34</v>
      </c>
      <c r="AG190" s="1150">
        <f t="shared" si="405"/>
        <v>20.34</v>
      </c>
      <c r="AH190" s="1150">
        <f t="shared" si="406"/>
        <v>65</v>
      </c>
      <c r="AI190" s="1150">
        <f t="shared" si="407"/>
        <v>65</v>
      </c>
      <c r="AJ190" s="1150">
        <f t="shared" si="408"/>
        <v>42.17</v>
      </c>
      <c r="AK190" s="1150">
        <f t="shared" si="409"/>
        <v>42.17</v>
      </c>
      <c r="AL190" s="1151">
        <f t="shared" si="410"/>
        <v>152.51</v>
      </c>
      <c r="AM190" s="1151">
        <f t="shared" si="411"/>
        <v>127.51</v>
      </c>
      <c r="AN190" s="1028">
        <v>0</v>
      </c>
      <c r="AO190" s="1193">
        <f>'CONCEPTOS Y PARAMETROS'!$C$18*AN190</f>
        <v>0</v>
      </c>
      <c r="AP190" s="1028">
        <v>0</v>
      </c>
      <c r="AQ190" s="1193">
        <f>'CONCEPTOS Y PARAMETROS'!$C$21*AP190</f>
        <v>0</v>
      </c>
      <c r="AR190" s="1394">
        <v>0</v>
      </c>
      <c r="AS190" s="1394">
        <v>0</v>
      </c>
      <c r="AT190" s="1394">
        <f t="shared" si="377"/>
        <v>0</v>
      </c>
      <c r="AU190" s="1151">
        <f t="shared" si="412"/>
        <v>657.82999999999993</v>
      </c>
      <c r="AV190" s="1178" t="s">
        <v>5080</v>
      </c>
      <c r="AW190" s="1151">
        <f t="shared" si="370"/>
        <v>151.81</v>
      </c>
      <c r="AX190" s="1150">
        <f>IF(T190&lt;&gt;"0",(ROUND(IF(A190="EMPLEADO",eval_formula('CONCEPTOS Y PARAMETROS'!$C$8,NOMINA!V190,NOMINA!$AU190,NOMINA!I190+NOMINA!J190),eval_formula('CONCEPTOS Y PARAMETROS'!$D$8,NOMINA!V190,NOMINA!$AU190,NOMINA!I190+NOMINA!J190)),2))*IF(H190&lt;&gt;"",IF(MONTH(H190)=$BR$8,IF(YEAR(H190)&lt;$BT$7,1,0),0)))</f>
        <v>0</v>
      </c>
      <c r="AY190" s="1151">
        <v>180</v>
      </c>
      <c r="AZ190" s="1150">
        <f>IFERROR(VLOOKUP(AY190,'CONCEPTOS Y PARAMETROS'!Y:Z,2,0),0)</f>
        <v>150</v>
      </c>
      <c r="BA190" s="1150">
        <f t="shared" si="413"/>
        <v>4933.7299999999996</v>
      </c>
      <c r="BB190" s="1150">
        <f t="shared" si="381"/>
        <v>0</v>
      </c>
      <c r="BC190" s="1028">
        <v>0</v>
      </c>
      <c r="BD190" s="1150" t="str">
        <f t="shared" si="414"/>
        <v>0</v>
      </c>
      <c r="BE190" s="1028">
        <v>3</v>
      </c>
      <c r="BF190" s="1150">
        <f t="shared" si="458"/>
        <v>98.67</v>
      </c>
      <c r="BG190" s="1151">
        <v>300</v>
      </c>
      <c r="BH190" s="1151">
        <f t="shared" si="382"/>
        <v>0</v>
      </c>
      <c r="BI190" s="1180">
        <v>0</v>
      </c>
      <c r="BJ190" s="1180">
        <f t="shared" si="372"/>
        <v>0</v>
      </c>
      <c r="BK190" s="1151">
        <v>0</v>
      </c>
      <c r="BL190" s="1150">
        <f t="shared" si="450"/>
        <v>24.29</v>
      </c>
      <c r="BM190" s="1150">
        <f t="shared" si="451"/>
        <v>3.04</v>
      </c>
      <c r="BN190" s="1150">
        <f t="shared" si="378"/>
        <v>6.58</v>
      </c>
      <c r="BO190" s="1150">
        <v>0</v>
      </c>
      <c r="BP190" s="1150">
        <v>0</v>
      </c>
      <c r="BQ190" s="1396">
        <f t="shared" si="373"/>
        <v>33.909999999999997</v>
      </c>
      <c r="BR190" s="1150">
        <f t="shared" si="453"/>
        <v>54.65</v>
      </c>
      <c r="BS190" s="1150">
        <f t="shared" si="454"/>
        <v>12.14</v>
      </c>
      <c r="BT190" s="1150">
        <f t="shared" si="383"/>
        <v>13.16</v>
      </c>
      <c r="BU190" s="1150">
        <v>0</v>
      </c>
      <c r="BV190" s="1151">
        <f t="shared" si="374"/>
        <v>79.95</v>
      </c>
      <c r="BW190" s="1155">
        <f t="shared" si="375"/>
        <v>113.86</v>
      </c>
      <c r="BX190" s="1155">
        <f t="shared" si="457"/>
        <v>1233.43</v>
      </c>
      <c r="BY190" s="1151">
        <v>0</v>
      </c>
      <c r="BZ190" s="1151">
        <f t="shared" si="371"/>
        <v>1233.43</v>
      </c>
      <c r="CA190" s="1397">
        <f>'CONCEPTOS Y PARAMETROS'!$A$102</f>
        <v>2120</v>
      </c>
      <c r="CB190" s="1155">
        <f t="shared" si="384"/>
        <v>231.6</v>
      </c>
      <c r="CC190" s="1156">
        <f t="shared" si="385"/>
        <v>790.99</v>
      </c>
      <c r="CD190" s="514"/>
      <c r="CE190" s="514"/>
      <c r="CF190" s="520"/>
      <c r="CG190" s="497">
        <f t="shared" si="386"/>
        <v>231.6</v>
      </c>
      <c r="CH190" s="1711">
        <f t="shared" si="387"/>
        <v>300</v>
      </c>
      <c r="CI190" s="497">
        <f t="shared" si="388"/>
        <v>540.51</v>
      </c>
      <c r="CJ190" s="497">
        <f t="shared" si="389"/>
        <v>540.51</v>
      </c>
      <c r="CK190" s="497">
        <f t="shared" si="390"/>
        <v>0</v>
      </c>
      <c r="CL190" s="497">
        <f t="shared" si="391"/>
        <v>0</v>
      </c>
      <c r="CM190" s="497">
        <f t="shared" si="392"/>
        <v>0</v>
      </c>
      <c r="CN190" s="498">
        <f t="shared" si="393"/>
        <v>98.67</v>
      </c>
      <c r="CO190" s="499">
        <v>0</v>
      </c>
      <c r="CP190" s="498">
        <f t="shared" si="394"/>
        <v>151.81</v>
      </c>
      <c r="CQ190" s="500">
        <f t="shared" si="395"/>
        <v>0</v>
      </c>
      <c r="CR190" s="498">
        <f t="shared" si="396"/>
        <v>0</v>
      </c>
      <c r="CS190" s="498">
        <f t="shared" si="397"/>
        <v>250.48000000000002</v>
      </c>
      <c r="CT190" s="498">
        <f t="shared" si="398"/>
        <v>113.86</v>
      </c>
      <c r="CU190" s="498">
        <f t="shared" si="399"/>
        <v>2120</v>
      </c>
      <c r="CV190" s="1554"/>
      <c r="CW190" s="1195" t="s">
        <v>6947</v>
      </c>
      <c r="CX190" s="1195" t="s">
        <v>7013</v>
      </c>
      <c r="CY190" s="472"/>
      <c r="CZ190" s="1199" t="s">
        <v>6676</v>
      </c>
      <c r="DA190" s="514" t="s">
        <v>6175</v>
      </c>
      <c r="DB190" s="514" t="s">
        <v>6176</v>
      </c>
      <c r="DC190" s="514" t="s">
        <v>6636</v>
      </c>
      <c r="DD190" s="514"/>
      <c r="DE190" s="514"/>
      <c r="DF190" s="472"/>
      <c r="DG190" s="472"/>
      <c r="DH190" s="472"/>
      <c r="DJ190" s="473" t="str">
        <f>VLOOKUP(X190,Hoja1!$A$4:$B$10,2,0)</f>
        <v>TÉCNICO SUPERIOR UNIVERSITARIO</v>
      </c>
      <c r="DK190" s="473" t="str">
        <f>VLOOKUP(S190,Hoja1!$D$4:$F$77,3,0)</f>
        <v>TII - VI</v>
      </c>
      <c r="DL190" s="1216" t="str">
        <f t="shared" si="400"/>
        <v>SI</v>
      </c>
      <c r="DM190" s="1741" t="str">
        <f t="shared" si="401"/>
        <v>F</v>
      </c>
      <c r="DN190" s="1741"/>
    </row>
    <row r="191" spans="1:118" s="473" customFormat="1" ht="21.95" customHeight="1">
      <c r="A191" s="510" t="s">
        <v>2846</v>
      </c>
      <c r="B191" s="1390">
        <f t="shared" ca="1" si="355"/>
        <v>149</v>
      </c>
      <c r="C191" s="1194">
        <v>17094419</v>
      </c>
      <c r="D191" s="1195" t="s">
        <v>4833</v>
      </c>
      <c r="E191" s="1180" t="s">
        <v>4622</v>
      </c>
      <c r="F191" s="1196">
        <v>31052</v>
      </c>
      <c r="G191" s="1180" t="s">
        <v>4620</v>
      </c>
      <c r="H191" s="1196">
        <v>44409</v>
      </c>
      <c r="I191" s="1185">
        <f t="shared" si="379"/>
        <v>3</v>
      </c>
      <c r="J191" s="1177">
        <v>0</v>
      </c>
      <c r="K191" s="1185">
        <f t="shared" si="380"/>
        <v>3</v>
      </c>
      <c r="L191" s="1191" t="s">
        <v>5564</v>
      </c>
      <c r="M191" s="1177"/>
      <c r="N191" s="1177"/>
      <c r="O191" s="1040" t="s">
        <v>5222</v>
      </c>
      <c r="P191" s="1197" t="s">
        <v>6732</v>
      </c>
      <c r="Q191" s="1391" t="str">
        <f>IFERROR(VLOOKUP(O191,CARGOS!A:E,2,0),"")</f>
        <v>79511</v>
      </c>
      <c r="R191" s="1403" t="s">
        <v>5222</v>
      </c>
      <c r="S191" s="1192" t="s">
        <v>5490</v>
      </c>
      <c r="T191" s="1150">
        <f>IFERROR(VLOOKUP(S191,'TAB EMP'!A:B,2,0),0)</f>
        <v>150</v>
      </c>
      <c r="U191" s="1151">
        <v>0</v>
      </c>
      <c r="V191" s="1150">
        <f t="shared" si="402"/>
        <v>150</v>
      </c>
      <c r="W191" s="1151">
        <f t="shared" si="403"/>
        <v>75</v>
      </c>
      <c r="X191" s="1180" t="s">
        <v>2884</v>
      </c>
      <c r="Y191" s="1180"/>
      <c r="Z191" s="1180">
        <v>0</v>
      </c>
      <c r="AA191" s="1150">
        <f>ROUND(IF(H191&lt;&gt;"",VLOOKUP(SUM(I191+J191),'CONCEPTOS Y PARAMETROS'!F:G,2,0)*V191,0),2)</f>
        <v>4.5</v>
      </c>
      <c r="AB191" s="1150">
        <f>IF(S191&lt;&gt;"",IF(M191="",'CONCEPTOS Y PARAMETROS'!$C$4,0),0)</f>
        <v>130</v>
      </c>
      <c r="AC191" s="1150">
        <f>IF(S191&lt;&gt;"",IF(M191="",'CONCEPTOS Y PARAMETROS'!$C$7*Z191,0),0)</f>
        <v>0</v>
      </c>
      <c r="AD191" s="1150">
        <f>IFERROR(ROUND(VLOOKUP($X191,'CONCEPTOS Y PARAMETROS'!H:I,2,0)*($V191+AA191+AB191+AC191),2),0)</f>
        <v>0</v>
      </c>
      <c r="AE191" s="1150">
        <f t="shared" si="376"/>
        <v>134.5</v>
      </c>
      <c r="AF191" s="1150">
        <f t="shared" si="404"/>
        <v>2.25</v>
      </c>
      <c r="AG191" s="1150">
        <f t="shared" si="405"/>
        <v>2.25</v>
      </c>
      <c r="AH191" s="1150">
        <f t="shared" si="406"/>
        <v>65</v>
      </c>
      <c r="AI191" s="1150">
        <f t="shared" si="407"/>
        <v>65</v>
      </c>
      <c r="AJ191" s="1150">
        <f t="shared" si="408"/>
        <v>0</v>
      </c>
      <c r="AK191" s="1150">
        <f t="shared" si="409"/>
        <v>0</v>
      </c>
      <c r="AL191" s="1151">
        <f t="shared" si="410"/>
        <v>67.25</v>
      </c>
      <c r="AM191" s="1151">
        <f t="shared" si="411"/>
        <v>67.25</v>
      </c>
      <c r="AN191" s="1028">
        <v>0</v>
      </c>
      <c r="AO191" s="1193">
        <f>'CONCEPTOS Y PARAMETROS'!$C$18*AN191</f>
        <v>0</v>
      </c>
      <c r="AP191" s="1028">
        <v>0</v>
      </c>
      <c r="AQ191" s="1193">
        <f>'CONCEPTOS Y PARAMETROS'!$C$21*AP191</f>
        <v>0</v>
      </c>
      <c r="AR191" s="1394">
        <v>0</v>
      </c>
      <c r="AS191" s="1394">
        <v>0</v>
      </c>
      <c r="AT191" s="1394">
        <f t="shared" si="377"/>
        <v>0</v>
      </c>
      <c r="AU191" s="1151">
        <f t="shared" si="412"/>
        <v>369.85</v>
      </c>
      <c r="AV191" s="1178" t="s">
        <v>5080</v>
      </c>
      <c r="AW191" s="1151">
        <f t="shared" si="370"/>
        <v>85.35</v>
      </c>
      <c r="AX191" s="1150">
        <f>IF(T191&lt;&gt;"0",(ROUND(IF(A191="EMPLEADO",eval_formula('CONCEPTOS Y PARAMETROS'!$C$8,NOMINA!V191,NOMINA!$AU191,NOMINA!I191+NOMINA!J191),eval_formula('CONCEPTOS Y PARAMETROS'!$D$8,NOMINA!V191,NOMINA!$AU191,NOMINA!I191+NOMINA!J191)),2))*IF(H191&lt;&gt;"",IF(MONTH(H191)=$BR$8,IF(YEAR(H191)&lt;$BT$7,1,0),0)))</f>
        <v>0</v>
      </c>
      <c r="AY191" s="1151">
        <v>180</v>
      </c>
      <c r="AZ191" s="1150">
        <f>IFERROR(VLOOKUP(AY191,'CONCEPTOS Y PARAMETROS'!Y:Z,2,0),0)</f>
        <v>150</v>
      </c>
      <c r="BA191" s="1150">
        <f t="shared" si="413"/>
        <v>2773.88</v>
      </c>
      <c r="BB191" s="1150">
        <f t="shared" si="381"/>
        <v>0</v>
      </c>
      <c r="BC191" s="1028">
        <v>0</v>
      </c>
      <c r="BD191" s="1150" t="str">
        <f t="shared" si="414"/>
        <v>0</v>
      </c>
      <c r="BE191" s="1028">
        <v>3</v>
      </c>
      <c r="BF191" s="1150">
        <f t="shared" si="458"/>
        <v>55.48</v>
      </c>
      <c r="BG191" s="1151">
        <v>300</v>
      </c>
      <c r="BH191" s="1151">
        <f t="shared" si="382"/>
        <v>0</v>
      </c>
      <c r="BI191" s="1180">
        <v>0</v>
      </c>
      <c r="BJ191" s="1180">
        <f t="shared" si="372"/>
        <v>0</v>
      </c>
      <c r="BK191" s="1151">
        <v>0</v>
      </c>
      <c r="BL191" s="1150">
        <f t="shared" si="450"/>
        <v>13.66</v>
      </c>
      <c r="BM191" s="1150">
        <f t="shared" si="451"/>
        <v>1.71</v>
      </c>
      <c r="BN191" s="1150">
        <f t="shared" si="378"/>
        <v>3.7</v>
      </c>
      <c r="BO191" s="1150">
        <v>0</v>
      </c>
      <c r="BP191" s="1150">
        <v>0</v>
      </c>
      <c r="BQ191" s="1396">
        <f t="shared" si="373"/>
        <v>19.07</v>
      </c>
      <c r="BR191" s="1150">
        <f t="shared" si="453"/>
        <v>30.73</v>
      </c>
      <c r="BS191" s="1150">
        <f t="shared" si="454"/>
        <v>6.83</v>
      </c>
      <c r="BT191" s="1150">
        <f t="shared" si="383"/>
        <v>7.4</v>
      </c>
      <c r="BU191" s="1150">
        <v>0</v>
      </c>
      <c r="BV191" s="1151">
        <f t="shared" si="374"/>
        <v>44.96</v>
      </c>
      <c r="BW191" s="1155">
        <f t="shared" si="375"/>
        <v>64.03</v>
      </c>
      <c r="BX191" s="1155">
        <f t="shared" si="457"/>
        <v>693.47</v>
      </c>
      <c r="BY191" s="1151">
        <v>0</v>
      </c>
      <c r="BZ191" s="1151">
        <f t="shared" si="371"/>
        <v>693.47</v>
      </c>
      <c r="CA191" s="1397">
        <f>'CONCEPTOS Y PARAMETROS'!$A$102</f>
        <v>2120</v>
      </c>
      <c r="CB191" s="1155">
        <f t="shared" si="384"/>
        <v>123.18</v>
      </c>
      <c r="CC191" s="1156">
        <f t="shared" si="385"/>
        <v>583.08000000000004</v>
      </c>
      <c r="CD191" s="514"/>
      <c r="CE191" s="514"/>
      <c r="CF191" s="520"/>
      <c r="CG191" s="497">
        <f t="shared" si="386"/>
        <v>123.18</v>
      </c>
      <c r="CH191" s="1711">
        <f t="shared" si="387"/>
        <v>300</v>
      </c>
      <c r="CI191" s="497">
        <f t="shared" si="388"/>
        <v>442.25</v>
      </c>
      <c r="CJ191" s="497">
        <f t="shared" si="389"/>
        <v>442.25</v>
      </c>
      <c r="CK191" s="497">
        <f t="shared" si="390"/>
        <v>0</v>
      </c>
      <c r="CL191" s="497">
        <f t="shared" si="391"/>
        <v>0</v>
      </c>
      <c r="CM191" s="497">
        <f t="shared" si="392"/>
        <v>0</v>
      </c>
      <c r="CN191" s="498">
        <f t="shared" si="393"/>
        <v>55.48</v>
      </c>
      <c r="CO191" s="499">
        <v>0</v>
      </c>
      <c r="CP191" s="498">
        <f t="shared" si="394"/>
        <v>85.35</v>
      </c>
      <c r="CQ191" s="500">
        <f t="shared" si="395"/>
        <v>0</v>
      </c>
      <c r="CR191" s="498">
        <f t="shared" si="396"/>
        <v>0</v>
      </c>
      <c r="CS191" s="498">
        <f t="shared" si="397"/>
        <v>140.82999999999998</v>
      </c>
      <c r="CT191" s="498">
        <f t="shared" si="398"/>
        <v>64.03</v>
      </c>
      <c r="CU191" s="498">
        <f t="shared" si="399"/>
        <v>2120</v>
      </c>
      <c r="CV191" s="1554"/>
      <c r="CW191" s="1195" t="s">
        <v>6975</v>
      </c>
      <c r="CX191" s="1195" t="s">
        <v>7030</v>
      </c>
      <c r="CY191" s="472"/>
      <c r="CZ191" s="1199" t="s">
        <v>6677</v>
      </c>
      <c r="DA191" s="1199" t="s">
        <v>6192</v>
      </c>
      <c r="DB191" s="1199" t="s">
        <v>6301</v>
      </c>
      <c r="DC191" s="1199" t="s">
        <v>6702</v>
      </c>
      <c r="DD191" s="514"/>
      <c r="DE191" s="514"/>
      <c r="DF191" s="472"/>
      <c r="DG191" s="472"/>
      <c r="DH191" s="472"/>
      <c r="DJ191" s="473" t="str">
        <f>VLOOKUP(X191,Hoja1!$A$4:$B$10,2,0)</f>
        <v>BACHILLER</v>
      </c>
      <c r="DK191" s="473" t="str">
        <f>VLOOKUP(S191,Hoja1!$D$4:$F$77,3,0)</f>
        <v>BII - II</v>
      </c>
      <c r="DL191" s="1216" t="str">
        <f t="shared" si="400"/>
        <v>SI</v>
      </c>
      <c r="DM191" s="1741" t="str">
        <f t="shared" si="401"/>
        <v>F</v>
      </c>
      <c r="DN191" s="1741"/>
    </row>
    <row r="192" spans="1:118" s="473" customFormat="1" ht="21.95" customHeight="1">
      <c r="A192" s="510" t="s">
        <v>2846</v>
      </c>
      <c r="B192" s="1390">
        <f t="shared" ca="1" si="355"/>
        <v>150</v>
      </c>
      <c r="C192" s="1194">
        <v>17094426</v>
      </c>
      <c r="D192" s="1195" t="s">
        <v>4834</v>
      </c>
      <c r="E192" s="1180" t="s">
        <v>4622</v>
      </c>
      <c r="F192" s="1196">
        <v>30910</v>
      </c>
      <c r="G192" s="1180" t="s">
        <v>4621</v>
      </c>
      <c r="H192" s="1196">
        <v>43344</v>
      </c>
      <c r="I192" s="1185">
        <f t="shared" si="379"/>
        <v>6</v>
      </c>
      <c r="J192" s="1177">
        <v>0</v>
      </c>
      <c r="K192" s="1185">
        <f t="shared" si="380"/>
        <v>6</v>
      </c>
      <c r="L192" s="1191" t="s">
        <v>5551</v>
      </c>
      <c r="M192" s="1177"/>
      <c r="N192" s="1177"/>
      <c r="O192" s="1040" t="s">
        <v>5221</v>
      </c>
      <c r="P192" s="1177" t="s">
        <v>5395</v>
      </c>
      <c r="Q192" s="1391" t="str">
        <f>IFERROR(VLOOKUP(O192,CARGOS!A:E,2,0),"")</f>
        <v>79512</v>
      </c>
      <c r="R192" s="1403" t="s">
        <v>5221</v>
      </c>
      <c r="S192" s="1192" t="s">
        <v>5488</v>
      </c>
      <c r="T192" s="1150">
        <f>IFERROR(VLOOKUP(S192,'TAB EMP'!A:B,2,0),0)</f>
        <v>279</v>
      </c>
      <c r="U192" s="1151">
        <v>0</v>
      </c>
      <c r="V192" s="1150">
        <f t="shared" si="402"/>
        <v>279</v>
      </c>
      <c r="W192" s="1151">
        <f t="shared" si="403"/>
        <v>139.5</v>
      </c>
      <c r="X192" s="1180" t="s">
        <v>2885</v>
      </c>
      <c r="Y192" s="1180"/>
      <c r="Z192" s="1180">
        <v>1</v>
      </c>
      <c r="AA192" s="1150">
        <f>ROUND(IF(H192&lt;&gt;"",VLOOKUP(SUM(I192+J192),'CONCEPTOS Y PARAMETROS'!F:G,2,0)*V192,0),2)</f>
        <v>17.3</v>
      </c>
      <c r="AB192" s="1150">
        <f>IF(S192&lt;&gt;"",IF(M192="",'CONCEPTOS Y PARAMETROS'!$C$4,0),0)</f>
        <v>130</v>
      </c>
      <c r="AC192" s="1150">
        <f>IF(S192&lt;&gt;"",IF(M192="",'CONCEPTOS Y PARAMETROS'!$C$7*Z192,0),0)</f>
        <v>12.5</v>
      </c>
      <c r="AD192" s="1150">
        <f>IFERROR(ROUND(VLOOKUP($X192,'CONCEPTOS Y PARAMETROS'!H:I,2,0)*($V192+AA192+AB192+AC192),2),0)</f>
        <v>109.7</v>
      </c>
      <c r="AE192" s="1150">
        <f t="shared" si="376"/>
        <v>269.5</v>
      </c>
      <c r="AF192" s="1150">
        <f t="shared" si="404"/>
        <v>8.65</v>
      </c>
      <c r="AG192" s="1150">
        <f t="shared" si="405"/>
        <v>8.65</v>
      </c>
      <c r="AH192" s="1150">
        <f t="shared" si="406"/>
        <v>65</v>
      </c>
      <c r="AI192" s="1150">
        <f t="shared" si="407"/>
        <v>65</v>
      </c>
      <c r="AJ192" s="1150">
        <f t="shared" si="408"/>
        <v>54.85</v>
      </c>
      <c r="AK192" s="1150">
        <f t="shared" si="409"/>
        <v>54.85</v>
      </c>
      <c r="AL192" s="1151">
        <f t="shared" si="410"/>
        <v>141</v>
      </c>
      <c r="AM192" s="1151">
        <f t="shared" si="411"/>
        <v>128.5</v>
      </c>
      <c r="AN192" s="1028">
        <v>0</v>
      </c>
      <c r="AO192" s="1193">
        <f>'CONCEPTOS Y PARAMETROS'!$C$18*AN192</f>
        <v>0</v>
      </c>
      <c r="AP192" s="1028">
        <v>0</v>
      </c>
      <c r="AQ192" s="1193">
        <f>'CONCEPTOS Y PARAMETROS'!$C$21*AP192</f>
        <v>0</v>
      </c>
      <c r="AR192" s="1394">
        <v>0</v>
      </c>
      <c r="AS192" s="1394">
        <v>0</v>
      </c>
      <c r="AT192" s="1394">
        <f t="shared" si="377"/>
        <v>0</v>
      </c>
      <c r="AU192" s="1151">
        <f t="shared" si="412"/>
        <v>713.05</v>
      </c>
      <c r="AV192" s="1178" t="s">
        <v>5080</v>
      </c>
      <c r="AW192" s="1151">
        <f t="shared" si="370"/>
        <v>164.55</v>
      </c>
      <c r="AX192" s="1150">
        <f>IF(T192&lt;&gt;"0",(ROUND(IF(A192="EMPLEADO",eval_formula('CONCEPTOS Y PARAMETROS'!$C$8,NOMINA!V192,NOMINA!$AU192,NOMINA!I192+NOMINA!J192),eval_formula('CONCEPTOS Y PARAMETROS'!$D$8,NOMINA!V192,NOMINA!$AU192,NOMINA!I192+NOMINA!J192)),2))*IF(H192&lt;&gt;"",IF(MONTH(H192)=$BR$8,IF(YEAR(H192)&lt;$BT$7,1,0),0)))</f>
        <v>0</v>
      </c>
      <c r="AY192" s="1151">
        <v>180</v>
      </c>
      <c r="AZ192" s="1150">
        <f>IFERROR(VLOOKUP(AY192,'CONCEPTOS Y PARAMETROS'!Y:Z,2,0),0)</f>
        <v>150</v>
      </c>
      <c r="BA192" s="1150">
        <f t="shared" si="413"/>
        <v>5347.88</v>
      </c>
      <c r="BB192" s="1150">
        <f t="shared" si="381"/>
        <v>0</v>
      </c>
      <c r="BC192" s="1028">
        <v>0</v>
      </c>
      <c r="BD192" s="1150" t="str">
        <f t="shared" si="414"/>
        <v>0</v>
      </c>
      <c r="BE192" s="1028">
        <v>3</v>
      </c>
      <c r="BF192" s="1150">
        <f t="shared" si="458"/>
        <v>106.96</v>
      </c>
      <c r="BG192" s="1151">
        <v>300</v>
      </c>
      <c r="BH192" s="1151">
        <f t="shared" si="382"/>
        <v>0</v>
      </c>
      <c r="BI192" s="1180">
        <v>0</v>
      </c>
      <c r="BJ192" s="1180">
        <f t="shared" si="372"/>
        <v>0</v>
      </c>
      <c r="BK192" s="1151">
        <v>0</v>
      </c>
      <c r="BL192" s="1150">
        <f t="shared" si="450"/>
        <v>26.33</v>
      </c>
      <c r="BM192" s="1150">
        <f t="shared" si="451"/>
        <v>3.29</v>
      </c>
      <c r="BN192" s="1150">
        <f t="shared" si="378"/>
        <v>7.13</v>
      </c>
      <c r="BO192" s="1150">
        <v>0</v>
      </c>
      <c r="BP192" s="1150">
        <v>0</v>
      </c>
      <c r="BQ192" s="1396">
        <f t="shared" si="373"/>
        <v>36.75</v>
      </c>
      <c r="BR192" s="1150">
        <f t="shared" si="453"/>
        <v>59.24</v>
      </c>
      <c r="BS192" s="1150">
        <f t="shared" si="454"/>
        <v>13.16</v>
      </c>
      <c r="BT192" s="1150">
        <f t="shared" si="383"/>
        <v>14.26</v>
      </c>
      <c r="BU192" s="1150">
        <v>0</v>
      </c>
      <c r="BV192" s="1151">
        <f t="shared" si="374"/>
        <v>86.66</v>
      </c>
      <c r="BW192" s="1155">
        <f t="shared" si="375"/>
        <v>123.41</v>
      </c>
      <c r="BX192" s="1155">
        <f t="shared" si="457"/>
        <v>1336.97</v>
      </c>
      <c r="BY192" s="1151">
        <v>0</v>
      </c>
      <c r="BZ192" s="1151">
        <f t="shared" si="371"/>
        <v>1336.97</v>
      </c>
      <c r="CA192" s="1397">
        <f>'CONCEPTOS Y PARAMETROS'!$A$102</f>
        <v>2120</v>
      </c>
      <c r="CB192" s="1155">
        <f t="shared" si="384"/>
        <v>243.75</v>
      </c>
      <c r="CC192" s="1156">
        <f t="shared" si="385"/>
        <v>839.51</v>
      </c>
      <c r="CD192" s="514"/>
      <c r="CE192" s="514"/>
      <c r="CF192" s="520"/>
      <c r="CG192" s="497">
        <f t="shared" si="386"/>
        <v>243.75</v>
      </c>
      <c r="CH192" s="1711">
        <f t="shared" si="387"/>
        <v>300</v>
      </c>
      <c r="CI192" s="497">
        <f t="shared" si="388"/>
        <v>568</v>
      </c>
      <c r="CJ192" s="497">
        <f t="shared" si="389"/>
        <v>272.64</v>
      </c>
      <c r="CK192" s="497">
        <f t="shared" si="390"/>
        <v>295.36</v>
      </c>
      <c r="CL192" s="497">
        <f t="shared" si="391"/>
        <v>0</v>
      </c>
      <c r="CM192" s="497">
        <f t="shared" si="392"/>
        <v>0</v>
      </c>
      <c r="CN192" s="498">
        <f t="shared" si="393"/>
        <v>106.96</v>
      </c>
      <c r="CO192" s="499">
        <v>0</v>
      </c>
      <c r="CP192" s="498">
        <f t="shared" si="394"/>
        <v>164.55</v>
      </c>
      <c r="CQ192" s="500">
        <f t="shared" si="395"/>
        <v>0</v>
      </c>
      <c r="CR192" s="498">
        <f t="shared" si="396"/>
        <v>0</v>
      </c>
      <c r="CS192" s="498">
        <f t="shared" si="397"/>
        <v>271.51</v>
      </c>
      <c r="CT192" s="498">
        <f t="shared" si="398"/>
        <v>123.41</v>
      </c>
      <c r="CU192" s="498">
        <f t="shared" si="399"/>
        <v>2120</v>
      </c>
      <c r="CV192" s="1554"/>
      <c r="CW192" s="1195" t="s">
        <v>7031</v>
      </c>
      <c r="CX192" s="1195" t="s">
        <v>7032</v>
      </c>
      <c r="CY192" s="472"/>
      <c r="CZ192" s="1199" t="s">
        <v>6620</v>
      </c>
      <c r="DA192" s="514" t="s">
        <v>6173</v>
      </c>
      <c r="DB192" s="514" t="s">
        <v>6283</v>
      </c>
      <c r="DC192" s="1199" t="s">
        <v>6571</v>
      </c>
      <c r="DD192" s="514"/>
      <c r="DE192" s="514"/>
      <c r="DF192" s="472"/>
      <c r="DG192" s="472"/>
      <c r="DH192" s="472"/>
      <c r="DJ192" s="473" t="str">
        <f>VLOOKUP(X192,Hoja1!$A$4:$B$10,2,0)</f>
        <v>PROFESIONAL</v>
      </c>
      <c r="DK192" s="473" t="str">
        <f>VLOOKUP(S192,Hoja1!$D$4:$F$77,3,0)</f>
        <v>PII - III</v>
      </c>
      <c r="DL192" s="1216" t="str">
        <f t="shared" si="400"/>
        <v>SI</v>
      </c>
      <c r="DM192" s="1741" t="str">
        <f t="shared" si="401"/>
        <v>M</v>
      </c>
      <c r="DN192" s="1741"/>
    </row>
    <row r="193" spans="1:118" s="1654" customFormat="1" ht="21.95" customHeight="1">
      <c r="A193" s="1624" t="s">
        <v>2846</v>
      </c>
      <c r="B193" s="1625">
        <f t="shared" ca="1" si="355"/>
        <v>151</v>
      </c>
      <c r="C193" s="1626">
        <v>17130893</v>
      </c>
      <c r="D193" s="1627" t="s">
        <v>4835</v>
      </c>
      <c r="E193" s="1628" t="s">
        <v>4622</v>
      </c>
      <c r="F193" s="1629">
        <v>30823</v>
      </c>
      <c r="G193" s="1628" t="s">
        <v>4620</v>
      </c>
      <c r="H193" s="1629">
        <v>39602</v>
      </c>
      <c r="I193" s="1630">
        <f t="shared" si="379"/>
        <v>16</v>
      </c>
      <c r="J193" s="1631">
        <v>0</v>
      </c>
      <c r="K193" s="1630">
        <f t="shared" si="380"/>
        <v>16</v>
      </c>
      <c r="L193" s="1632" t="s">
        <v>5557</v>
      </c>
      <c r="M193" s="1631"/>
      <c r="N193" s="1631"/>
      <c r="O193" s="1633" t="s">
        <v>5237</v>
      </c>
      <c r="P193" s="1631" t="s">
        <v>5396</v>
      </c>
      <c r="Q193" s="1634" t="str">
        <f>IFERROR(VLOOKUP(O193,CARGOS!A:E,2,0),"")</f>
        <v>79523</v>
      </c>
      <c r="R193" s="1635" t="s">
        <v>5237</v>
      </c>
      <c r="S193" s="1636" t="s">
        <v>5473</v>
      </c>
      <c r="T193" s="1637">
        <f>IFERROR(VLOOKUP(S193,'TAB EMP'!A:B,2,0),0)</f>
        <v>285</v>
      </c>
      <c r="U193" s="1638">
        <v>0</v>
      </c>
      <c r="V193" s="1637">
        <f t="shared" si="402"/>
        <v>285</v>
      </c>
      <c r="W193" s="1638">
        <f t="shared" si="403"/>
        <v>142.5</v>
      </c>
      <c r="X193" s="1628" t="s">
        <v>2885</v>
      </c>
      <c r="Y193" s="1628"/>
      <c r="Z193" s="1628">
        <v>2</v>
      </c>
      <c r="AA193" s="1637">
        <f>ROUND(IF(H193&lt;&gt;"",VLOOKUP(SUM(I193+J193),'CONCEPTOS Y PARAMETROS'!F:G,2,0)*V193,0),2)</f>
        <v>55.86</v>
      </c>
      <c r="AB193" s="1637">
        <f>IF(S193&lt;&gt;"",IF(M193="",'CONCEPTOS Y PARAMETROS'!$C$4,0),0)</f>
        <v>130</v>
      </c>
      <c r="AC193" s="1637">
        <f>IF(S193&lt;&gt;"",IF(M193="",'CONCEPTOS Y PARAMETROS'!$C$7*Z193,0),0)</f>
        <v>25</v>
      </c>
      <c r="AD193" s="1637">
        <f>IFERROR(ROUND(VLOOKUP($X193,'CONCEPTOS Y PARAMETROS'!H:I,2,0)*($V193+AA193+AB193+AC193),2),0)</f>
        <v>123.97</v>
      </c>
      <c r="AE193" s="1637">
        <f t="shared" si="376"/>
        <v>334.83000000000004</v>
      </c>
      <c r="AF193" s="1637">
        <f t="shared" si="404"/>
        <v>27.93</v>
      </c>
      <c r="AG193" s="1637">
        <f t="shared" si="405"/>
        <v>27.93</v>
      </c>
      <c r="AH193" s="1637">
        <f t="shared" si="406"/>
        <v>65</v>
      </c>
      <c r="AI193" s="1637">
        <f t="shared" si="407"/>
        <v>65</v>
      </c>
      <c r="AJ193" s="1637">
        <f t="shared" si="408"/>
        <v>61.99</v>
      </c>
      <c r="AK193" s="1637">
        <f t="shared" si="409"/>
        <v>61.98</v>
      </c>
      <c r="AL193" s="1638">
        <f t="shared" si="410"/>
        <v>179.92</v>
      </c>
      <c r="AM193" s="1638">
        <f t="shared" si="411"/>
        <v>154.91</v>
      </c>
      <c r="AN193" s="1639">
        <v>2</v>
      </c>
      <c r="AO193" s="1640">
        <f>'CONCEPTOS Y PARAMETROS'!$C$18*AN193</f>
        <v>25</v>
      </c>
      <c r="AP193" s="1639">
        <v>0</v>
      </c>
      <c r="AQ193" s="1640">
        <f>'CONCEPTOS Y PARAMETROS'!$C$21*AP193</f>
        <v>0</v>
      </c>
      <c r="AR193" s="1641">
        <v>0</v>
      </c>
      <c r="AS193" s="1641">
        <v>0</v>
      </c>
      <c r="AT193" s="1641">
        <f t="shared" si="377"/>
        <v>25</v>
      </c>
      <c r="AU193" s="1638">
        <f t="shared" si="412"/>
        <v>619.83000000000004</v>
      </c>
      <c r="AV193" s="1642">
        <v>0</v>
      </c>
      <c r="AW193" s="1638">
        <f t="shared" si="370"/>
        <v>0</v>
      </c>
      <c r="AX193" s="1637">
        <f>IF(T193&lt;&gt;"0",(ROUND(IF(A193="EMPLEADO",eval_formula('CONCEPTOS Y PARAMETROS'!$C$8,NOMINA!V193,NOMINA!$AU193,NOMINA!I193+NOMINA!J193),eval_formula('CONCEPTOS Y PARAMETROS'!$D$8,NOMINA!V193,NOMINA!$AU193,NOMINA!I193+NOMINA!J193)),2))*IF(H193&lt;&gt;"",IF(MONTH(H193)=$BR$8,IF(YEAR(H193)&lt;$BT$7,1,0),0)))</f>
        <v>0</v>
      </c>
      <c r="AY193" s="1638">
        <v>180</v>
      </c>
      <c r="AZ193" s="1637">
        <f>IFERROR(VLOOKUP(AY193,'CONCEPTOS Y PARAMETROS'!Y:Z,2,0),0)</f>
        <v>150</v>
      </c>
      <c r="BA193" s="1637">
        <f t="shared" si="413"/>
        <v>4648.7299999999996</v>
      </c>
      <c r="BB193" s="1637">
        <f t="shared" si="381"/>
        <v>0</v>
      </c>
      <c r="BC193" s="1639">
        <v>0</v>
      </c>
      <c r="BD193" s="1637" t="str">
        <f t="shared" si="414"/>
        <v>0</v>
      </c>
      <c r="BE193" s="1639">
        <v>0</v>
      </c>
      <c r="BF193" s="1637">
        <f t="shared" si="458"/>
        <v>0</v>
      </c>
      <c r="BG193" s="1638">
        <v>300</v>
      </c>
      <c r="BH193" s="1638">
        <f t="shared" si="382"/>
        <v>0</v>
      </c>
      <c r="BI193" s="1628">
        <v>0</v>
      </c>
      <c r="BJ193" s="1628">
        <f t="shared" si="372"/>
        <v>0</v>
      </c>
      <c r="BK193" s="1638">
        <v>0</v>
      </c>
      <c r="BL193" s="1637">
        <f t="shared" si="450"/>
        <v>22.89</v>
      </c>
      <c r="BM193" s="1637">
        <f t="shared" si="451"/>
        <v>2.86</v>
      </c>
      <c r="BN193" s="1637">
        <f t="shared" si="378"/>
        <v>6.2</v>
      </c>
      <c r="BO193" s="1637">
        <v>0</v>
      </c>
      <c r="BP193" s="1637">
        <v>0</v>
      </c>
      <c r="BQ193" s="1643">
        <f t="shared" si="373"/>
        <v>31.95</v>
      </c>
      <c r="BR193" s="1637">
        <f t="shared" si="453"/>
        <v>51.49</v>
      </c>
      <c r="BS193" s="1637">
        <f t="shared" si="454"/>
        <v>11.44</v>
      </c>
      <c r="BT193" s="1637">
        <f t="shared" si="383"/>
        <v>12.4</v>
      </c>
      <c r="BU193" s="1637">
        <v>0</v>
      </c>
      <c r="BV193" s="1638">
        <f t="shared" si="374"/>
        <v>75.33</v>
      </c>
      <c r="BW193" s="1644">
        <f t="shared" si="375"/>
        <v>107.28</v>
      </c>
      <c r="BX193" s="1644">
        <f t="shared" si="457"/>
        <v>1162.18</v>
      </c>
      <c r="BY193" s="1638">
        <v>0</v>
      </c>
      <c r="BZ193" s="1638">
        <f t="shared" si="371"/>
        <v>1162.18</v>
      </c>
      <c r="CA193" s="1645">
        <f>'CONCEPTOS Y PARAMETROS'!$A$102</f>
        <v>2120</v>
      </c>
      <c r="CB193" s="1644">
        <f t="shared" si="384"/>
        <v>290.46999999999997</v>
      </c>
      <c r="CC193" s="1646">
        <f t="shared" si="385"/>
        <v>622.41</v>
      </c>
      <c r="CD193" s="1647"/>
      <c r="CE193" s="1647"/>
      <c r="CF193" s="1648"/>
      <c r="CG193" s="1649">
        <f t="shared" si="386"/>
        <v>290.46999999999997</v>
      </c>
      <c r="CH193" s="1713">
        <f t="shared" si="387"/>
        <v>300</v>
      </c>
      <c r="CI193" s="1649">
        <f t="shared" si="388"/>
        <v>597.41</v>
      </c>
      <c r="CJ193" s="1649">
        <f t="shared" si="389"/>
        <v>286.76</v>
      </c>
      <c r="CK193" s="1649">
        <f t="shared" si="390"/>
        <v>310.64999999999998</v>
      </c>
      <c r="CL193" s="1649">
        <f t="shared" si="391"/>
        <v>0</v>
      </c>
      <c r="CM193" s="1649">
        <f t="shared" si="392"/>
        <v>0</v>
      </c>
      <c r="CN193" s="1650">
        <f t="shared" si="393"/>
        <v>0</v>
      </c>
      <c r="CO193" s="1651">
        <v>0</v>
      </c>
      <c r="CP193" s="1650">
        <f t="shared" si="394"/>
        <v>0</v>
      </c>
      <c r="CQ193" s="1652">
        <f t="shared" si="395"/>
        <v>25</v>
      </c>
      <c r="CR193" s="1650">
        <f t="shared" si="396"/>
        <v>0</v>
      </c>
      <c r="CS193" s="1650">
        <f t="shared" si="397"/>
        <v>25</v>
      </c>
      <c r="CT193" s="1650">
        <f t="shared" si="398"/>
        <v>107.28</v>
      </c>
      <c r="CU193" s="1650">
        <f t="shared" si="399"/>
        <v>2120</v>
      </c>
      <c r="CV193" s="1653"/>
      <c r="CW193" s="1627" t="s">
        <v>7033</v>
      </c>
      <c r="CX193" s="1627" t="s">
        <v>7034</v>
      </c>
      <c r="CY193" s="1647"/>
      <c r="CZ193" s="1647" t="s">
        <v>6230</v>
      </c>
      <c r="DA193" s="1647" t="s">
        <v>6221</v>
      </c>
      <c r="DB193" s="1647" t="s">
        <v>6227</v>
      </c>
      <c r="DC193" s="1657" t="s">
        <v>6703</v>
      </c>
      <c r="DD193" s="1647"/>
      <c r="DE193" s="1647"/>
      <c r="DF193" s="1647"/>
      <c r="DG193" s="1647"/>
      <c r="DH193" s="1647"/>
      <c r="DJ193" s="1654" t="str">
        <f>VLOOKUP(X193,Hoja1!$A$4:$B$10,2,0)</f>
        <v>PROFESIONAL</v>
      </c>
      <c r="DK193" s="1654" t="str">
        <f>VLOOKUP(S193,Hoja1!$D$4:$F$77,3,0)</f>
        <v>PII - VI</v>
      </c>
      <c r="DL193" s="1663" t="str">
        <f t="shared" si="400"/>
        <v>0</v>
      </c>
      <c r="DM193" s="1742" t="str">
        <f t="shared" si="401"/>
        <v>F</v>
      </c>
      <c r="DN193" s="1742"/>
    </row>
    <row r="194" spans="1:118" s="478" customFormat="1" ht="21.95" customHeight="1">
      <c r="A194" s="510" t="s">
        <v>2846</v>
      </c>
      <c r="B194" s="1390">
        <f ca="1">OFFSET(B194,-1,0)+1</f>
        <v>152</v>
      </c>
      <c r="C194" s="1194">
        <v>17265093</v>
      </c>
      <c r="D194" s="1195" t="s">
        <v>6001</v>
      </c>
      <c r="E194" s="1180" t="s">
        <v>4622</v>
      </c>
      <c r="F194" s="1196">
        <v>31071</v>
      </c>
      <c r="G194" s="1180" t="s">
        <v>4620</v>
      </c>
      <c r="H194" s="1196">
        <v>45323</v>
      </c>
      <c r="I194" s="1185">
        <f t="shared" si="379"/>
        <v>0</v>
      </c>
      <c r="J194" s="1177">
        <v>1</v>
      </c>
      <c r="K194" s="1185">
        <f t="shared" si="380"/>
        <v>1</v>
      </c>
      <c r="L194" s="1191" t="s">
        <v>5564</v>
      </c>
      <c r="M194" s="1177"/>
      <c r="N194" s="1177"/>
      <c r="O194" s="1040" t="s">
        <v>5267</v>
      </c>
      <c r="P194" s="1197" t="s">
        <v>6003</v>
      </c>
      <c r="Q194" s="1391" t="str">
        <f>IFERROR(VLOOKUP(O194,CARGOS!A:E,2,0),"")</f>
        <v>36321</v>
      </c>
      <c r="R194" s="1040" t="s">
        <v>5267</v>
      </c>
      <c r="S194" s="1192" t="s">
        <v>5482</v>
      </c>
      <c r="T194" s="1150">
        <f>IFERROR(VLOOKUP(S194,'TAB EMP'!A:B,2,0),0)</f>
        <v>305</v>
      </c>
      <c r="U194" s="1151">
        <v>0</v>
      </c>
      <c r="V194" s="1150">
        <f>T194-U194</f>
        <v>305</v>
      </c>
      <c r="W194" s="1151">
        <f>ROUND(V194/2,2)</f>
        <v>152.5</v>
      </c>
      <c r="X194" s="1180" t="s">
        <v>2887</v>
      </c>
      <c r="Y194" s="1180"/>
      <c r="Z194" s="1180">
        <v>1</v>
      </c>
      <c r="AA194" s="1150">
        <f>ROUND(IF(H194&lt;&gt;"",VLOOKUP(SUM(I194+J194),'CONCEPTOS Y PARAMETROS'!F:G,2,0)*V194,0),2)</f>
        <v>3.05</v>
      </c>
      <c r="AB194" s="1150">
        <f>IF(S194&lt;&gt;"",IF(M194="",'CONCEPTOS Y PARAMETROS'!$C$4,0),0)</f>
        <v>130</v>
      </c>
      <c r="AC194" s="1150">
        <f>IF(S194&lt;&gt;"",IF(M194="",'CONCEPTOS Y PARAMETROS'!$C$7*Z194,0),0)</f>
        <v>12.5</v>
      </c>
      <c r="AD194" s="1150">
        <f>IFERROR(ROUND(VLOOKUP($X194,'CONCEPTOS Y PARAMETROS'!H:I,2,0)*($V194+AA194+AB194+AC194),2),0)</f>
        <v>157.69</v>
      </c>
      <c r="AE194" s="1150">
        <f>SUM(AA194:AD194)</f>
        <v>303.24</v>
      </c>
      <c r="AF194" s="1150">
        <f>ROUND(AA194/2,2)</f>
        <v>1.53</v>
      </c>
      <c r="AG194" s="1150">
        <f>ROUND(AA194-AF194,2)</f>
        <v>1.52</v>
      </c>
      <c r="AH194" s="1150">
        <f>ROUND(AB194/2,2)</f>
        <v>65</v>
      </c>
      <c r="AI194" s="1150">
        <f>ROUND(AB194-AH194,2)</f>
        <v>65</v>
      </c>
      <c r="AJ194" s="1150">
        <f>ROUND(AD194/2,2)</f>
        <v>78.849999999999994</v>
      </c>
      <c r="AK194" s="1150">
        <f>ROUND(AD194-AJ194,2)</f>
        <v>78.84</v>
      </c>
      <c r="AL194" s="1151">
        <f>ROUND(AF194+AH194+AJ194+AC194,2)</f>
        <v>157.88</v>
      </c>
      <c r="AM194" s="1151">
        <f>ROUND(AG194+AI194+AK194,2)</f>
        <v>145.36000000000001</v>
      </c>
      <c r="AN194" s="1028">
        <v>0</v>
      </c>
      <c r="AO194" s="1193">
        <f>'CONCEPTOS Y PARAMETROS'!$C$18*AN194</f>
        <v>0</v>
      </c>
      <c r="AP194" s="1028">
        <v>0</v>
      </c>
      <c r="AQ194" s="1193">
        <f>'CONCEPTOS Y PARAMETROS'!$C$21*AP194</f>
        <v>0</v>
      </c>
      <c r="AR194" s="1394">
        <v>0</v>
      </c>
      <c r="AS194" s="1394">
        <v>0</v>
      </c>
      <c r="AT194" s="1394">
        <f>+AO194+AQ194+AR194+AS194</f>
        <v>0</v>
      </c>
      <c r="AU194" s="1151">
        <f>V194+AE194+AW194</f>
        <v>608.24</v>
      </c>
      <c r="AV194" s="1178">
        <v>0</v>
      </c>
      <c r="AW194" s="1151">
        <f>ROUND(IF(AV194="NOCTURN",(V194+AE194)*30%,0),2)</f>
        <v>0</v>
      </c>
      <c r="AX194" s="1150">
        <f>IF(T194&lt;&gt;"0",(ROUND(IF(A194="EMPLEADO",eval_formula('CONCEPTOS Y PARAMETROS'!$C$8,NOMINA!V194,NOMINA!$AU194,NOMINA!I194+NOMINA!J194),eval_formula('CONCEPTOS Y PARAMETROS'!$D$8,NOMINA!V194,NOMINA!$AU194,NOMINA!I194+NOMINA!J194)),2))*IF(H194&lt;&gt;"",IF(MONTH(H194)=$BR$8,IF(YEAR(H194)&lt;$BT$7,1,0),0)))</f>
        <v>0</v>
      </c>
      <c r="AY194" s="1151">
        <v>165</v>
      </c>
      <c r="AZ194" s="1150">
        <f>IFERROR(VLOOKUP(AY194,'CONCEPTOS Y PARAMETROS'!Y:Z,2,0),0)</f>
        <v>137.5</v>
      </c>
      <c r="BA194" s="1150">
        <f>ROUND((((AU194))/30*AY194/12+(AU194))/30*AZ194,2)</f>
        <v>4065.49</v>
      </c>
      <c r="BB194" s="1150">
        <f t="shared" si="381"/>
        <v>0</v>
      </c>
      <c r="BC194" s="1028">
        <v>0</v>
      </c>
      <c r="BD194" s="1150" t="str">
        <f>IF(BC194&gt;0,((((((V194+AA194+AB194+AC194+AD194)/30)/8)*50%)+((((V194+AA194+AB194+AC194+AD194)/30)/8)))*30%+(((((V194+AA194+AB194+AC194+AD194)/30)/8)*50%)+((((V194+AA194+AB194+AC194+AD194)/30)/8))))*BC194,"0")</f>
        <v>0</v>
      </c>
      <c r="BE194" s="1028">
        <v>0</v>
      </c>
      <c r="BF194" s="1150">
        <f t="shared" si="458"/>
        <v>0</v>
      </c>
      <c r="BG194" s="1151">
        <v>300</v>
      </c>
      <c r="BH194" s="1151">
        <f t="shared" si="382"/>
        <v>0</v>
      </c>
      <c r="BI194" s="1180">
        <v>0</v>
      </c>
      <c r="BJ194" s="1180">
        <f t="shared" si="372"/>
        <v>0</v>
      </c>
      <c r="BK194" s="1151">
        <v>0</v>
      </c>
      <c r="BL194" s="1150">
        <f t="shared" si="450"/>
        <v>22.46</v>
      </c>
      <c r="BM194" s="1150">
        <f t="shared" si="451"/>
        <v>2.81</v>
      </c>
      <c r="BN194" s="1150">
        <f t="shared" si="378"/>
        <v>6.08</v>
      </c>
      <c r="BO194" s="1150">
        <v>0</v>
      </c>
      <c r="BP194" s="1150">
        <v>0</v>
      </c>
      <c r="BQ194" s="1396">
        <f>ROUND(SUM(BL194:BP194),2)</f>
        <v>31.35</v>
      </c>
      <c r="BR194" s="1150">
        <f t="shared" si="453"/>
        <v>50.53</v>
      </c>
      <c r="BS194" s="1150">
        <f t="shared" si="454"/>
        <v>11.23</v>
      </c>
      <c r="BT194" s="1150">
        <f t="shared" si="383"/>
        <v>12.16</v>
      </c>
      <c r="BU194" s="1150">
        <v>0</v>
      </c>
      <c r="BV194" s="1151">
        <f>ROUND(SUM(BR194:BT194),2)</f>
        <v>73.92</v>
      </c>
      <c r="BW194" s="1155">
        <f>BQ194+BV194</f>
        <v>105.27000000000001</v>
      </c>
      <c r="BX194" s="1155">
        <f t="shared" si="457"/>
        <v>1016.37</v>
      </c>
      <c r="BY194" s="1151">
        <v>0</v>
      </c>
      <c r="BZ194" s="1151">
        <f t="shared" si="371"/>
        <v>1016.37</v>
      </c>
      <c r="CA194" s="1397">
        <f>'CONCEPTOS Y PARAMETROS'!$A$102</f>
        <v>2120</v>
      </c>
      <c r="CB194" s="1155">
        <f t="shared" si="384"/>
        <v>279.02999999999997</v>
      </c>
      <c r="CC194" s="1156">
        <f t="shared" si="385"/>
        <v>597.86</v>
      </c>
      <c r="CD194" s="514"/>
      <c r="CE194" s="514"/>
      <c r="CF194" s="521"/>
      <c r="CG194" s="511">
        <f t="shared" si="386"/>
        <v>279.02999999999997</v>
      </c>
      <c r="CH194" s="1712">
        <f t="shared" si="387"/>
        <v>300</v>
      </c>
      <c r="CI194" s="511">
        <f t="shared" si="388"/>
        <v>597.86</v>
      </c>
      <c r="CJ194" s="511">
        <f t="shared" si="389"/>
        <v>286.97000000000003</v>
      </c>
      <c r="CK194" s="511">
        <f t="shared" si="390"/>
        <v>310.89</v>
      </c>
      <c r="CL194" s="511">
        <f t="shared" si="391"/>
        <v>0</v>
      </c>
      <c r="CM194" s="511">
        <f t="shared" si="392"/>
        <v>0</v>
      </c>
      <c r="CN194" s="512">
        <f t="shared" si="393"/>
        <v>0</v>
      </c>
      <c r="CO194" s="513">
        <v>0</v>
      </c>
      <c r="CP194" s="512">
        <f t="shared" si="394"/>
        <v>0</v>
      </c>
      <c r="CQ194" s="500">
        <f t="shared" si="395"/>
        <v>0</v>
      </c>
      <c r="CR194" s="512">
        <f t="shared" si="396"/>
        <v>0</v>
      </c>
      <c r="CS194" s="512">
        <f t="shared" si="397"/>
        <v>0</v>
      </c>
      <c r="CT194" s="512">
        <f t="shared" si="398"/>
        <v>105.27000000000001</v>
      </c>
      <c r="CU194" s="512">
        <f t="shared" si="399"/>
        <v>2120</v>
      </c>
      <c r="CV194" s="1556"/>
      <c r="CW194" s="1195" t="s">
        <v>7035</v>
      </c>
      <c r="CX194" s="1195" t="s">
        <v>7036</v>
      </c>
      <c r="CY194" s="514"/>
      <c r="CZ194" s="1188" t="s">
        <v>6590</v>
      </c>
      <c r="DA194" s="1188" t="s">
        <v>6192</v>
      </c>
      <c r="DB194" s="1188" t="s">
        <v>6299</v>
      </c>
      <c r="DC194" s="514" t="s">
        <v>6577</v>
      </c>
      <c r="DD194" s="514"/>
      <c r="DE194" s="514"/>
      <c r="DF194" s="514"/>
      <c r="DG194" s="514"/>
      <c r="DH194" s="514"/>
      <c r="DJ194" s="478" t="str">
        <f>VLOOKUP(X194,Hoja1!$A$4:$B$10,2,0)</f>
        <v>MAGISTER</v>
      </c>
      <c r="DK194" s="478" t="str">
        <f>VLOOKUP(S194,Hoja1!$D$4:$F$77,3,0)</f>
        <v>PIII</v>
      </c>
      <c r="DL194" s="1218" t="str">
        <f t="shared" si="400"/>
        <v>0</v>
      </c>
      <c r="DM194" s="1743" t="str">
        <f t="shared" si="401"/>
        <v>F</v>
      </c>
      <c r="DN194" s="1743"/>
    </row>
    <row r="195" spans="1:118" s="1654" customFormat="1" ht="21.95" customHeight="1">
      <c r="A195" s="1624" t="s">
        <v>2846</v>
      </c>
      <c r="B195" s="1625">
        <f t="shared" ca="1" si="355"/>
        <v>153</v>
      </c>
      <c r="C195" s="1626">
        <v>17265578</v>
      </c>
      <c r="D195" s="1627" t="s">
        <v>5527</v>
      </c>
      <c r="E195" s="1628" t="s">
        <v>4622</v>
      </c>
      <c r="F195" s="1629">
        <v>30869</v>
      </c>
      <c r="G195" s="1628" t="s">
        <v>4620</v>
      </c>
      <c r="H195" s="1629">
        <v>45047</v>
      </c>
      <c r="I195" s="1630">
        <f t="shared" si="379"/>
        <v>1</v>
      </c>
      <c r="J195" s="1631">
        <f>1+1</f>
        <v>2</v>
      </c>
      <c r="K195" s="1630">
        <f t="shared" si="380"/>
        <v>3</v>
      </c>
      <c r="L195" s="1632" t="s">
        <v>5563</v>
      </c>
      <c r="M195" s="1631"/>
      <c r="N195" s="1631"/>
      <c r="O195" s="1633" t="s">
        <v>5254</v>
      </c>
      <c r="P195" s="1631" t="s">
        <v>5746</v>
      </c>
      <c r="Q195" s="1634" t="str">
        <f>IFERROR(VLOOKUP(O195,CARGOS!A:E,2,0),"")</f>
        <v>79342</v>
      </c>
      <c r="R195" s="1635" t="s">
        <v>5254</v>
      </c>
      <c r="S195" s="1636" t="s">
        <v>5481</v>
      </c>
      <c r="T195" s="1637">
        <f>IFERROR(VLOOKUP(S195,'TAB EMP'!A:B,2,0),0)</f>
        <v>219</v>
      </c>
      <c r="U195" s="1638">
        <v>0</v>
      </c>
      <c r="V195" s="1637">
        <f t="shared" si="402"/>
        <v>219</v>
      </c>
      <c r="W195" s="1638">
        <f t="shared" si="403"/>
        <v>109.5</v>
      </c>
      <c r="X195" s="1628" t="s">
        <v>2844</v>
      </c>
      <c r="Y195" s="1628"/>
      <c r="Z195" s="1628">
        <v>2</v>
      </c>
      <c r="AA195" s="1637">
        <f>ROUND(IF(H195&lt;&gt;"",VLOOKUP(SUM(I195+J195),'CONCEPTOS Y PARAMETROS'!F:G,2,0)*V195,0),2)</f>
        <v>6.57</v>
      </c>
      <c r="AB195" s="1637">
        <f>IF(S195&lt;&gt;"",IF(M195="",'CONCEPTOS Y PARAMETROS'!$C$4,0),0)</f>
        <v>130</v>
      </c>
      <c r="AC195" s="1637">
        <f>IF(S195&lt;&gt;"",IF(M195="",'CONCEPTOS Y PARAMETROS'!$C$7*Z195,0),0)</f>
        <v>25</v>
      </c>
      <c r="AD195" s="1637">
        <f>IFERROR(ROUND(VLOOKUP($X195,'CONCEPTOS Y PARAMETROS'!H:I,2,0)*($V195+AA195+AB195+AC195),2),0)</f>
        <v>76.11</v>
      </c>
      <c r="AE195" s="1637">
        <f t="shared" si="376"/>
        <v>237.68</v>
      </c>
      <c r="AF195" s="1637">
        <f t="shared" si="404"/>
        <v>3.29</v>
      </c>
      <c r="AG195" s="1637">
        <f t="shared" si="405"/>
        <v>3.28</v>
      </c>
      <c r="AH195" s="1637">
        <f t="shared" si="406"/>
        <v>65</v>
      </c>
      <c r="AI195" s="1637">
        <f t="shared" si="407"/>
        <v>65</v>
      </c>
      <c r="AJ195" s="1637">
        <f t="shared" si="408"/>
        <v>38.06</v>
      </c>
      <c r="AK195" s="1637">
        <f t="shared" si="409"/>
        <v>38.049999999999997</v>
      </c>
      <c r="AL195" s="1638">
        <f t="shared" si="410"/>
        <v>131.35</v>
      </c>
      <c r="AM195" s="1638">
        <f t="shared" si="411"/>
        <v>106.33</v>
      </c>
      <c r="AN195" s="1639">
        <v>0</v>
      </c>
      <c r="AO195" s="1640">
        <f>'CONCEPTOS Y PARAMETROS'!$C$18*AN195</f>
        <v>0</v>
      </c>
      <c r="AP195" s="1639">
        <v>0</v>
      </c>
      <c r="AQ195" s="1640">
        <f>'CONCEPTOS Y PARAMETROS'!$C$21*AP195</f>
        <v>0</v>
      </c>
      <c r="AR195" s="1641">
        <v>0</v>
      </c>
      <c r="AS195" s="1641">
        <v>0</v>
      </c>
      <c r="AT195" s="1641">
        <f t="shared" ref="AT195" si="475">+AO195+AQ195+AR195+AS195</f>
        <v>0</v>
      </c>
      <c r="AU195" s="1638">
        <f t="shared" si="412"/>
        <v>456.68</v>
      </c>
      <c r="AV195" s="1638">
        <v>0</v>
      </c>
      <c r="AW195" s="1638">
        <f t="shared" si="370"/>
        <v>0</v>
      </c>
      <c r="AX195" s="1638">
        <f>IF(T195&lt;&gt;"0",(ROUND(IF(A195="EMPLEADO",eval_formula('CONCEPTOS Y PARAMETROS'!$C$8,NOMINA!V195,NOMINA!$AU195,NOMINA!I195+NOMINA!J195),eval_formula('CONCEPTOS Y PARAMETROS'!$D$8,NOMINA!V195,NOMINA!$AU195,NOMINA!I195+NOMINA!J195)),2))*IF(H195&lt;&gt;"",IF(MONTH(H195)=$BR$8,IF(YEAR(H195)&lt;$BT$7,1,0),0)))</f>
        <v>0</v>
      </c>
      <c r="AY195" s="1638">
        <v>180</v>
      </c>
      <c r="AZ195" s="1637">
        <f>IFERROR(VLOOKUP(AY195,'CONCEPTOS Y PARAMETROS'!Y:Z,2,0),0)</f>
        <v>150</v>
      </c>
      <c r="BA195" s="1637">
        <f t="shared" si="413"/>
        <v>3425.1</v>
      </c>
      <c r="BB195" s="1637">
        <f t="shared" si="381"/>
        <v>0</v>
      </c>
      <c r="BC195" s="1639">
        <v>0</v>
      </c>
      <c r="BD195" s="1637" t="str">
        <f t="shared" si="414"/>
        <v>0</v>
      </c>
      <c r="BE195" s="1639">
        <v>0</v>
      </c>
      <c r="BF195" s="1637">
        <f t="shared" si="458"/>
        <v>0</v>
      </c>
      <c r="BG195" s="1638">
        <v>300</v>
      </c>
      <c r="BH195" s="1638">
        <f t="shared" si="382"/>
        <v>0</v>
      </c>
      <c r="BI195" s="1628">
        <v>0</v>
      </c>
      <c r="BJ195" s="1628">
        <f t="shared" si="372"/>
        <v>0</v>
      </c>
      <c r="BK195" s="1638">
        <v>0</v>
      </c>
      <c r="BL195" s="1637">
        <f t="shared" si="450"/>
        <v>16.86</v>
      </c>
      <c r="BM195" s="1637">
        <f t="shared" si="451"/>
        <v>2.11</v>
      </c>
      <c r="BN195" s="1637">
        <f t="shared" si="378"/>
        <v>4.57</v>
      </c>
      <c r="BO195" s="1637">
        <v>0</v>
      </c>
      <c r="BP195" s="1637">
        <v>0</v>
      </c>
      <c r="BQ195" s="1643">
        <f t="shared" ref="BQ195" si="476">ROUND(SUM(BL195:BP195),2)</f>
        <v>23.54</v>
      </c>
      <c r="BR195" s="1637">
        <f t="shared" si="453"/>
        <v>37.94</v>
      </c>
      <c r="BS195" s="1637">
        <f t="shared" si="454"/>
        <v>8.43</v>
      </c>
      <c r="BT195" s="1637">
        <f t="shared" si="383"/>
        <v>9.14</v>
      </c>
      <c r="BU195" s="1637">
        <v>0</v>
      </c>
      <c r="BV195" s="1638">
        <f t="shared" ref="BV195" si="477">ROUND(SUM(BR195:BT195),2)</f>
        <v>55.51</v>
      </c>
      <c r="BW195" s="1644">
        <f t="shared" ref="BW195" si="478">BQ195+BV195</f>
        <v>79.05</v>
      </c>
      <c r="BX195" s="1644">
        <f t="shared" si="457"/>
        <v>856.28</v>
      </c>
      <c r="BY195" s="1638">
        <v>0</v>
      </c>
      <c r="BZ195" s="1638">
        <f t="shared" si="371"/>
        <v>856.28</v>
      </c>
      <c r="CA195" s="1645">
        <f>'CONCEPTOS Y PARAMETROS'!$A$102</f>
        <v>2120</v>
      </c>
      <c r="CB195" s="1644">
        <f t="shared" si="384"/>
        <v>217.31</v>
      </c>
      <c r="CC195" s="1646">
        <f t="shared" si="385"/>
        <v>515.83000000000004</v>
      </c>
      <c r="CD195" s="1647"/>
      <c r="CE195" s="1647"/>
      <c r="CF195" s="1648"/>
      <c r="CG195" s="1649">
        <f t="shared" si="386"/>
        <v>217.31</v>
      </c>
      <c r="CH195" s="1713">
        <f t="shared" si="387"/>
        <v>300</v>
      </c>
      <c r="CI195" s="1649">
        <f t="shared" si="388"/>
        <v>515.82999999999993</v>
      </c>
      <c r="CJ195" s="1649">
        <f t="shared" si="389"/>
        <v>515.83000000000004</v>
      </c>
      <c r="CK195" s="1649">
        <f t="shared" si="390"/>
        <v>0</v>
      </c>
      <c r="CL195" s="1649">
        <f t="shared" si="391"/>
        <v>0</v>
      </c>
      <c r="CM195" s="1649">
        <f t="shared" si="392"/>
        <v>0</v>
      </c>
      <c r="CN195" s="1650">
        <f t="shared" si="393"/>
        <v>0</v>
      </c>
      <c r="CO195" s="1651">
        <v>0</v>
      </c>
      <c r="CP195" s="1650">
        <f t="shared" si="394"/>
        <v>0</v>
      </c>
      <c r="CQ195" s="1652">
        <f t="shared" si="395"/>
        <v>0</v>
      </c>
      <c r="CR195" s="1650">
        <f t="shared" si="396"/>
        <v>0</v>
      </c>
      <c r="CS195" s="1650">
        <f t="shared" si="397"/>
        <v>0</v>
      </c>
      <c r="CT195" s="1650">
        <f t="shared" si="398"/>
        <v>79.05</v>
      </c>
      <c r="CU195" s="1650">
        <f t="shared" si="399"/>
        <v>2120</v>
      </c>
      <c r="CV195" s="1653"/>
      <c r="CW195" s="1627" t="s">
        <v>6960</v>
      </c>
      <c r="CX195" s="1627" t="s">
        <v>7037</v>
      </c>
      <c r="CY195" s="1647"/>
      <c r="CZ195" s="1657" t="s">
        <v>6591</v>
      </c>
      <c r="DA195" s="1647" t="s">
        <v>6320</v>
      </c>
      <c r="DB195" s="1664" t="s">
        <v>6578</v>
      </c>
      <c r="DC195" s="1647" t="s">
        <v>6326</v>
      </c>
      <c r="DD195" s="1647"/>
      <c r="DE195" s="1647"/>
      <c r="DF195" s="1647"/>
      <c r="DG195" s="1647"/>
      <c r="DH195" s="1647"/>
      <c r="DJ195" s="1654" t="str">
        <f>VLOOKUP(X195,Hoja1!$A$4:$B$10,2,0)</f>
        <v>TÉCNICO SUPERIOR UNIVERSITARIO</v>
      </c>
      <c r="DK195" s="1654" t="str">
        <f>VLOOKUP(S195,Hoja1!$D$4:$F$77,3,0)</f>
        <v>TII - II</v>
      </c>
      <c r="DL195" s="1663" t="str">
        <f t="shared" si="400"/>
        <v>0</v>
      </c>
      <c r="DM195" s="1742" t="str">
        <f t="shared" si="401"/>
        <v>F</v>
      </c>
      <c r="DN195" s="1742"/>
    </row>
    <row r="196" spans="1:118" s="473" customFormat="1" ht="21.95" customHeight="1">
      <c r="A196" s="510" t="s">
        <v>2846</v>
      </c>
      <c r="B196" s="1390">
        <f t="shared" ref="B196:B269" ca="1" si="479">OFFSET(B196,-1,0)+1</f>
        <v>154</v>
      </c>
      <c r="C196" s="1194">
        <v>17265648</v>
      </c>
      <c r="D196" s="1195" t="s">
        <v>4836</v>
      </c>
      <c r="E196" s="1180" t="s">
        <v>4622</v>
      </c>
      <c r="F196" s="1196">
        <v>31212</v>
      </c>
      <c r="G196" s="1180" t="s">
        <v>4620</v>
      </c>
      <c r="H196" s="1196">
        <v>43709</v>
      </c>
      <c r="I196" s="1185">
        <f t="shared" si="379"/>
        <v>5</v>
      </c>
      <c r="J196" s="1177">
        <v>0</v>
      </c>
      <c r="K196" s="1185">
        <f t="shared" si="380"/>
        <v>5</v>
      </c>
      <c r="L196" s="1191" t="s">
        <v>5550</v>
      </c>
      <c r="M196" s="1177"/>
      <c r="N196" s="1177"/>
      <c r="O196" s="1040" t="s">
        <v>5221</v>
      </c>
      <c r="P196" s="1177" t="s">
        <v>5397</v>
      </c>
      <c r="Q196" s="1391" t="str">
        <f>IFERROR(VLOOKUP(O196,CARGOS!A:E,2,0),"")</f>
        <v>79512</v>
      </c>
      <c r="R196" s="1403" t="s">
        <v>5221</v>
      </c>
      <c r="S196" s="1192" t="s">
        <v>5490</v>
      </c>
      <c r="T196" s="1150">
        <f>IFERROR(VLOOKUP(S196,'TAB EMP'!A:B,2,0),0)</f>
        <v>150</v>
      </c>
      <c r="U196" s="1151">
        <v>0</v>
      </c>
      <c r="V196" s="1150">
        <f t="shared" si="402"/>
        <v>150</v>
      </c>
      <c r="W196" s="1151">
        <f t="shared" si="403"/>
        <v>75</v>
      </c>
      <c r="X196" s="1180" t="s">
        <v>2884</v>
      </c>
      <c r="Y196" s="1180"/>
      <c r="Z196" s="1180">
        <v>2</v>
      </c>
      <c r="AA196" s="1150">
        <f>ROUND(IF(H196&lt;&gt;"",VLOOKUP(SUM(I196+J196),'CONCEPTOS Y PARAMETROS'!F:G,2,0)*V196,0),2)</f>
        <v>7.5</v>
      </c>
      <c r="AB196" s="1150">
        <f>IF(S196&lt;&gt;"",IF(M196="",'CONCEPTOS Y PARAMETROS'!$C$4,0),0)</f>
        <v>130</v>
      </c>
      <c r="AC196" s="1150">
        <f>IF(S196&lt;&gt;"",IF(M196="",'CONCEPTOS Y PARAMETROS'!$C$7*Z196,0),0)</f>
        <v>25</v>
      </c>
      <c r="AD196" s="1150">
        <f>IFERROR(ROUND(VLOOKUP($X196,'CONCEPTOS Y PARAMETROS'!H:I,2,0)*($V196+AA196+AB196+AC196),2),0)</f>
        <v>0</v>
      </c>
      <c r="AE196" s="1150">
        <f t="shared" si="376"/>
        <v>162.5</v>
      </c>
      <c r="AF196" s="1150">
        <f t="shared" si="404"/>
        <v>3.75</v>
      </c>
      <c r="AG196" s="1150">
        <f t="shared" si="405"/>
        <v>3.75</v>
      </c>
      <c r="AH196" s="1150">
        <f t="shared" si="406"/>
        <v>65</v>
      </c>
      <c r="AI196" s="1150">
        <f t="shared" si="407"/>
        <v>65</v>
      </c>
      <c r="AJ196" s="1150">
        <f t="shared" si="408"/>
        <v>0</v>
      </c>
      <c r="AK196" s="1150">
        <f t="shared" si="409"/>
        <v>0</v>
      </c>
      <c r="AL196" s="1151">
        <f t="shared" si="410"/>
        <v>93.75</v>
      </c>
      <c r="AM196" s="1151">
        <f t="shared" si="411"/>
        <v>68.75</v>
      </c>
      <c r="AN196" s="1028">
        <v>0</v>
      </c>
      <c r="AO196" s="1193">
        <f>'CONCEPTOS Y PARAMETROS'!$C$18*AN196</f>
        <v>0</v>
      </c>
      <c r="AP196" s="1028">
        <v>0</v>
      </c>
      <c r="AQ196" s="1193">
        <f>'CONCEPTOS Y PARAMETROS'!$C$21*AP196</f>
        <v>0</v>
      </c>
      <c r="AR196" s="1394">
        <v>0</v>
      </c>
      <c r="AS196" s="1394">
        <v>0</v>
      </c>
      <c r="AT196" s="1394">
        <f t="shared" si="377"/>
        <v>0</v>
      </c>
      <c r="AU196" s="1151">
        <f t="shared" si="412"/>
        <v>406.25</v>
      </c>
      <c r="AV196" s="1178" t="s">
        <v>5080</v>
      </c>
      <c r="AW196" s="1151">
        <f t="shared" si="370"/>
        <v>93.75</v>
      </c>
      <c r="AX196" s="1150">
        <f>IF(T196&lt;&gt;"0",(ROUND(IF(A196="EMPLEADO",eval_formula('CONCEPTOS Y PARAMETROS'!$C$8,NOMINA!V196,NOMINA!$AU196,NOMINA!I196+NOMINA!J196),eval_formula('CONCEPTOS Y PARAMETROS'!$D$8,NOMINA!V196,NOMINA!$AU196,NOMINA!I196+NOMINA!J196)),2))*IF(H196&lt;&gt;"",IF(MONTH(H196)=$BR$8,IF(YEAR(H196)&lt;$BT$7,1,0),0)))</f>
        <v>0</v>
      </c>
      <c r="AY196" s="1151">
        <v>180</v>
      </c>
      <c r="AZ196" s="1150">
        <f>IFERROR(VLOOKUP(AY196,'CONCEPTOS Y PARAMETROS'!Y:Z,2,0),0)</f>
        <v>150</v>
      </c>
      <c r="BA196" s="1150">
        <f t="shared" si="413"/>
        <v>3046.88</v>
      </c>
      <c r="BB196" s="1150">
        <f t="shared" si="381"/>
        <v>0</v>
      </c>
      <c r="BC196" s="1028">
        <v>0</v>
      </c>
      <c r="BD196" s="1150" t="str">
        <f t="shared" si="414"/>
        <v>0</v>
      </c>
      <c r="BE196" s="1028">
        <v>5</v>
      </c>
      <c r="BF196" s="1150">
        <f t="shared" si="458"/>
        <v>101.56</v>
      </c>
      <c r="BG196" s="1151">
        <v>300</v>
      </c>
      <c r="BH196" s="1151">
        <f t="shared" si="382"/>
        <v>0</v>
      </c>
      <c r="BI196" s="1180">
        <v>0</v>
      </c>
      <c r="BJ196" s="1180">
        <f t="shared" si="372"/>
        <v>0</v>
      </c>
      <c r="BK196" s="1151">
        <v>0</v>
      </c>
      <c r="BL196" s="1150">
        <f t="shared" si="450"/>
        <v>15</v>
      </c>
      <c r="BM196" s="1150">
        <f t="shared" si="451"/>
        <v>1.88</v>
      </c>
      <c r="BN196" s="1150">
        <f t="shared" si="378"/>
        <v>4.0599999999999996</v>
      </c>
      <c r="BO196" s="1150">
        <v>0</v>
      </c>
      <c r="BP196" s="1150">
        <v>0</v>
      </c>
      <c r="BQ196" s="1396">
        <f t="shared" si="373"/>
        <v>20.94</v>
      </c>
      <c r="BR196" s="1150">
        <f t="shared" si="453"/>
        <v>33.75</v>
      </c>
      <c r="BS196" s="1150">
        <f t="shared" si="454"/>
        <v>7.5</v>
      </c>
      <c r="BT196" s="1150">
        <f t="shared" si="383"/>
        <v>8.1199999999999992</v>
      </c>
      <c r="BU196" s="1150">
        <v>0</v>
      </c>
      <c r="BV196" s="1151">
        <f t="shared" si="374"/>
        <v>49.37</v>
      </c>
      <c r="BW196" s="1155">
        <f t="shared" si="375"/>
        <v>70.31</v>
      </c>
      <c r="BX196" s="1155">
        <f t="shared" si="457"/>
        <v>761.72</v>
      </c>
      <c r="BY196" s="1151">
        <v>0</v>
      </c>
      <c r="BZ196" s="1151">
        <f t="shared" si="371"/>
        <v>761.72</v>
      </c>
      <c r="CA196" s="1397">
        <f>'CONCEPTOS Y PARAMETROS'!$A$102</f>
        <v>2120</v>
      </c>
      <c r="CB196" s="1155">
        <f t="shared" si="384"/>
        <v>147.81</v>
      </c>
      <c r="CC196" s="1156">
        <f t="shared" si="385"/>
        <v>639.05999999999995</v>
      </c>
      <c r="CD196" s="514"/>
      <c r="CE196" s="514"/>
      <c r="CF196" s="520"/>
      <c r="CG196" s="497">
        <f t="shared" si="386"/>
        <v>147.81</v>
      </c>
      <c r="CH196" s="1711">
        <f t="shared" si="387"/>
        <v>300</v>
      </c>
      <c r="CI196" s="497">
        <f t="shared" si="388"/>
        <v>443.75</v>
      </c>
      <c r="CJ196" s="497">
        <f t="shared" si="389"/>
        <v>443.75</v>
      </c>
      <c r="CK196" s="497">
        <f t="shared" si="390"/>
        <v>0</v>
      </c>
      <c r="CL196" s="497">
        <f t="shared" si="391"/>
        <v>0</v>
      </c>
      <c r="CM196" s="497">
        <f t="shared" si="392"/>
        <v>0</v>
      </c>
      <c r="CN196" s="498">
        <f t="shared" si="393"/>
        <v>101.56</v>
      </c>
      <c r="CO196" s="499">
        <v>0</v>
      </c>
      <c r="CP196" s="498">
        <f t="shared" si="394"/>
        <v>93.75</v>
      </c>
      <c r="CQ196" s="500">
        <f t="shared" si="395"/>
        <v>0</v>
      </c>
      <c r="CR196" s="498">
        <f t="shared" si="396"/>
        <v>0</v>
      </c>
      <c r="CS196" s="498">
        <f t="shared" si="397"/>
        <v>195.31</v>
      </c>
      <c r="CT196" s="498">
        <f t="shared" si="398"/>
        <v>70.31</v>
      </c>
      <c r="CU196" s="498">
        <f t="shared" si="399"/>
        <v>2120</v>
      </c>
      <c r="CV196" s="1554"/>
      <c r="CW196" s="1195" t="s">
        <v>6981</v>
      </c>
      <c r="CX196" s="1195" t="s">
        <v>7038</v>
      </c>
      <c r="CY196" s="472"/>
      <c r="CZ196" s="514" t="s">
        <v>6346</v>
      </c>
      <c r="DA196" s="514" t="s">
        <v>6188</v>
      </c>
      <c r="DB196" s="514" t="s">
        <v>6302</v>
      </c>
      <c r="DC196" s="514" t="s">
        <v>6305</v>
      </c>
      <c r="DD196" s="514"/>
      <c r="DE196" s="514"/>
      <c r="DF196" s="472"/>
      <c r="DG196" s="472"/>
      <c r="DH196" s="472"/>
      <c r="DJ196" s="473" t="str">
        <f>VLOOKUP(X196,Hoja1!$A$4:$B$10,2,0)</f>
        <v>BACHILLER</v>
      </c>
      <c r="DK196" s="473" t="str">
        <f>VLOOKUP(S196,Hoja1!$D$4:$F$77,3,0)</f>
        <v>BII - II</v>
      </c>
      <c r="DL196" s="1216" t="str">
        <f t="shared" si="400"/>
        <v>SI</v>
      </c>
      <c r="DM196" s="1741" t="str">
        <f t="shared" si="401"/>
        <v>F</v>
      </c>
      <c r="DN196" s="1741"/>
    </row>
    <row r="197" spans="1:118" s="473" customFormat="1" ht="21.95" customHeight="1">
      <c r="A197" s="510" t="s">
        <v>2846</v>
      </c>
      <c r="B197" s="1390">
        <f t="shared" ca="1" si="479"/>
        <v>155</v>
      </c>
      <c r="C197" s="1194">
        <v>17267324</v>
      </c>
      <c r="D197" s="1195" t="s">
        <v>4837</v>
      </c>
      <c r="E197" s="1180" t="s">
        <v>4622</v>
      </c>
      <c r="F197" s="1196">
        <v>31145</v>
      </c>
      <c r="G197" s="1180" t="s">
        <v>4620</v>
      </c>
      <c r="H197" s="1196">
        <v>43785</v>
      </c>
      <c r="I197" s="1185">
        <f t="shared" si="379"/>
        <v>5</v>
      </c>
      <c r="J197" s="1177">
        <v>0</v>
      </c>
      <c r="K197" s="1185">
        <f t="shared" si="380"/>
        <v>5</v>
      </c>
      <c r="L197" s="1191" t="s">
        <v>5539</v>
      </c>
      <c r="M197" s="1177"/>
      <c r="N197" s="1177"/>
      <c r="O197" s="1040" t="s">
        <v>5221</v>
      </c>
      <c r="P197" s="1177" t="s">
        <v>5398</v>
      </c>
      <c r="Q197" s="1391" t="str">
        <f>IFERROR(VLOOKUP(O197,CARGOS!A:E,2,0),"")</f>
        <v>79512</v>
      </c>
      <c r="R197" s="1403" t="s">
        <v>5221</v>
      </c>
      <c r="S197" s="1192" t="s">
        <v>5490</v>
      </c>
      <c r="T197" s="1150">
        <f>IFERROR(VLOOKUP(S197,'TAB EMP'!A:B,2,0),0)</f>
        <v>150</v>
      </c>
      <c r="U197" s="1151">
        <v>0</v>
      </c>
      <c r="V197" s="1150">
        <f t="shared" si="402"/>
        <v>150</v>
      </c>
      <c r="W197" s="1151">
        <f t="shared" si="403"/>
        <v>75</v>
      </c>
      <c r="X197" s="1180" t="s">
        <v>2884</v>
      </c>
      <c r="Y197" s="1180"/>
      <c r="Z197" s="1180">
        <v>2</v>
      </c>
      <c r="AA197" s="1150">
        <f>ROUND(IF(H197&lt;&gt;"",VLOOKUP(SUM(I197+J197),'CONCEPTOS Y PARAMETROS'!F:G,2,0)*V197,0),2)</f>
        <v>7.5</v>
      </c>
      <c r="AB197" s="1150">
        <f>IF(S197&lt;&gt;"",IF(M197="",'CONCEPTOS Y PARAMETROS'!$C$4,0),0)</f>
        <v>130</v>
      </c>
      <c r="AC197" s="1150">
        <f>IF(S197&lt;&gt;"",IF(M197="",'CONCEPTOS Y PARAMETROS'!$C$7*Z197,0),0)</f>
        <v>25</v>
      </c>
      <c r="AD197" s="1150">
        <f>IFERROR(ROUND(VLOOKUP($X197,'CONCEPTOS Y PARAMETROS'!H:I,2,0)*($V197+AA197+AB197+AC197),2),0)</f>
        <v>0</v>
      </c>
      <c r="AE197" s="1150">
        <f t="shared" si="376"/>
        <v>162.5</v>
      </c>
      <c r="AF197" s="1150">
        <f t="shared" si="404"/>
        <v>3.75</v>
      </c>
      <c r="AG197" s="1150">
        <f t="shared" si="405"/>
        <v>3.75</v>
      </c>
      <c r="AH197" s="1150">
        <f t="shared" si="406"/>
        <v>65</v>
      </c>
      <c r="AI197" s="1150">
        <f t="shared" si="407"/>
        <v>65</v>
      </c>
      <c r="AJ197" s="1150">
        <f t="shared" si="408"/>
        <v>0</v>
      </c>
      <c r="AK197" s="1150">
        <f t="shared" si="409"/>
        <v>0</v>
      </c>
      <c r="AL197" s="1151">
        <f t="shared" si="410"/>
        <v>93.75</v>
      </c>
      <c r="AM197" s="1151">
        <f t="shared" si="411"/>
        <v>68.75</v>
      </c>
      <c r="AN197" s="1028">
        <v>0</v>
      </c>
      <c r="AO197" s="1193">
        <f>'CONCEPTOS Y PARAMETROS'!$C$18*AN197</f>
        <v>0</v>
      </c>
      <c r="AP197" s="1028">
        <v>0</v>
      </c>
      <c r="AQ197" s="1193">
        <f>'CONCEPTOS Y PARAMETROS'!$C$21*AP197</f>
        <v>0</v>
      </c>
      <c r="AR197" s="1394">
        <v>0</v>
      </c>
      <c r="AS197" s="1394">
        <v>0</v>
      </c>
      <c r="AT197" s="1394">
        <f t="shared" ref="AT197:AT239" si="480">+AO197+AQ197+AR197+AS197</f>
        <v>0</v>
      </c>
      <c r="AU197" s="1151">
        <f t="shared" si="412"/>
        <v>406.25</v>
      </c>
      <c r="AV197" s="1178" t="s">
        <v>5080</v>
      </c>
      <c r="AW197" s="1151">
        <f t="shared" si="370"/>
        <v>93.75</v>
      </c>
      <c r="AX197" s="1150">
        <f>IF(T197&lt;&gt;"0",(ROUND(IF(A197="EMPLEADO",eval_formula('CONCEPTOS Y PARAMETROS'!$C$8,NOMINA!V197,NOMINA!$AU197,NOMINA!I197+NOMINA!J197),eval_formula('CONCEPTOS Y PARAMETROS'!$D$8,NOMINA!V197,NOMINA!$AU197,NOMINA!I197+NOMINA!J197)),2))*IF(H197&lt;&gt;"",IF(MONTH(H197)=$BR$8,IF(YEAR(H197)&lt;$BT$7,1,0),0)))</f>
        <v>0</v>
      </c>
      <c r="AY197" s="1151">
        <v>180</v>
      </c>
      <c r="AZ197" s="1150">
        <f>IFERROR(VLOOKUP(AY197,'CONCEPTOS Y PARAMETROS'!Y:Z,2,0),0)</f>
        <v>150</v>
      </c>
      <c r="BA197" s="1150">
        <f t="shared" si="413"/>
        <v>3046.88</v>
      </c>
      <c r="BB197" s="1150">
        <f t="shared" si="381"/>
        <v>0</v>
      </c>
      <c r="BC197" s="1028">
        <v>0</v>
      </c>
      <c r="BD197" s="1150" t="str">
        <f t="shared" si="414"/>
        <v>0</v>
      </c>
      <c r="BE197" s="1028">
        <v>3</v>
      </c>
      <c r="BF197" s="1150">
        <f t="shared" si="458"/>
        <v>60.94</v>
      </c>
      <c r="BG197" s="1151">
        <v>300</v>
      </c>
      <c r="BH197" s="1151">
        <f t="shared" si="382"/>
        <v>0</v>
      </c>
      <c r="BI197" s="1180">
        <v>0</v>
      </c>
      <c r="BJ197" s="1180">
        <f t="shared" si="372"/>
        <v>0</v>
      </c>
      <c r="BK197" s="1151">
        <v>0</v>
      </c>
      <c r="BL197" s="1150">
        <f t="shared" si="450"/>
        <v>15</v>
      </c>
      <c r="BM197" s="1150">
        <f t="shared" si="451"/>
        <v>1.88</v>
      </c>
      <c r="BN197" s="1150">
        <f t="shared" si="378"/>
        <v>4.0599999999999996</v>
      </c>
      <c r="BO197" s="1150">
        <v>0</v>
      </c>
      <c r="BP197" s="1150">
        <v>0</v>
      </c>
      <c r="BQ197" s="1396">
        <f t="shared" si="373"/>
        <v>20.94</v>
      </c>
      <c r="BR197" s="1150">
        <f t="shared" si="453"/>
        <v>33.75</v>
      </c>
      <c r="BS197" s="1150">
        <f t="shared" si="454"/>
        <v>7.5</v>
      </c>
      <c r="BT197" s="1150">
        <f t="shared" si="383"/>
        <v>8.1199999999999992</v>
      </c>
      <c r="BU197" s="1150">
        <v>0</v>
      </c>
      <c r="BV197" s="1151">
        <f t="shared" si="374"/>
        <v>49.37</v>
      </c>
      <c r="BW197" s="1155">
        <f t="shared" si="375"/>
        <v>70.31</v>
      </c>
      <c r="BX197" s="1155">
        <f t="shared" si="457"/>
        <v>761.72</v>
      </c>
      <c r="BY197" s="1151">
        <v>0</v>
      </c>
      <c r="BZ197" s="1151">
        <f t="shared" si="371"/>
        <v>761.72</v>
      </c>
      <c r="CA197" s="1397">
        <f>'CONCEPTOS Y PARAMETROS'!$A$102</f>
        <v>2120</v>
      </c>
      <c r="CB197" s="1155">
        <f t="shared" si="384"/>
        <v>147.81</v>
      </c>
      <c r="CC197" s="1156">
        <f t="shared" si="385"/>
        <v>598.44000000000005</v>
      </c>
      <c r="CD197" s="514"/>
      <c r="CE197" s="514"/>
      <c r="CF197" s="520"/>
      <c r="CG197" s="497">
        <f t="shared" si="386"/>
        <v>147.81</v>
      </c>
      <c r="CH197" s="1711">
        <f t="shared" si="387"/>
        <v>300</v>
      </c>
      <c r="CI197" s="497">
        <f t="shared" si="388"/>
        <v>443.75</v>
      </c>
      <c r="CJ197" s="497">
        <f t="shared" si="389"/>
        <v>443.75</v>
      </c>
      <c r="CK197" s="497">
        <f t="shared" si="390"/>
        <v>0</v>
      </c>
      <c r="CL197" s="497">
        <f t="shared" si="391"/>
        <v>0</v>
      </c>
      <c r="CM197" s="497">
        <f t="shared" si="392"/>
        <v>0</v>
      </c>
      <c r="CN197" s="498">
        <f t="shared" si="393"/>
        <v>60.94</v>
      </c>
      <c r="CO197" s="499">
        <v>0</v>
      </c>
      <c r="CP197" s="498">
        <f t="shared" si="394"/>
        <v>93.75</v>
      </c>
      <c r="CQ197" s="500">
        <f t="shared" si="395"/>
        <v>0</v>
      </c>
      <c r="CR197" s="498">
        <f t="shared" si="396"/>
        <v>0</v>
      </c>
      <c r="CS197" s="498">
        <f t="shared" si="397"/>
        <v>154.69</v>
      </c>
      <c r="CT197" s="498">
        <f t="shared" si="398"/>
        <v>70.31</v>
      </c>
      <c r="CU197" s="498">
        <f t="shared" si="399"/>
        <v>2120</v>
      </c>
      <c r="CV197" s="1554"/>
      <c r="CW197" s="1195" t="s">
        <v>7039</v>
      </c>
      <c r="CX197" s="1195" t="s">
        <v>7040</v>
      </c>
      <c r="CY197" s="472"/>
      <c r="CZ197" s="1199" t="s">
        <v>6698</v>
      </c>
      <c r="DA197" s="514" t="s">
        <v>6347</v>
      </c>
      <c r="DB197" s="1199" t="s">
        <v>6237</v>
      </c>
      <c r="DC197" s="514" t="s">
        <v>6709</v>
      </c>
      <c r="DD197" s="514"/>
      <c r="DE197" s="514"/>
      <c r="DF197" s="472"/>
      <c r="DG197" s="472"/>
      <c r="DH197" s="472"/>
      <c r="DJ197" s="473" t="str">
        <f>VLOOKUP(X197,Hoja1!$A$4:$B$10,2,0)</f>
        <v>BACHILLER</v>
      </c>
      <c r="DK197" s="473" t="str">
        <f>VLOOKUP(S197,Hoja1!$D$4:$F$77,3,0)</f>
        <v>BII - II</v>
      </c>
      <c r="DL197" s="1216" t="str">
        <f t="shared" si="400"/>
        <v>SI</v>
      </c>
      <c r="DM197" s="1741" t="str">
        <f t="shared" si="401"/>
        <v>F</v>
      </c>
      <c r="DN197" s="1741"/>
    </row>
    <row r="198" spans="1:118" s="473" customFormat="1" ht="21.95" customHeight="1">
      <c r="A198" s="510" t="s">
        <v>2846</v>
      </c>
      <c r="B198" s="1390">
        <f t="shared" ca="1" si="479"/>
        <v>156</v>
      </c>
      <c r="C198" s="1194">
        <v>17391316</v>
      </c>
      <c r="D198" s="1195" t="s">
        <v>4838</v>
      </c>
      <c r="E198" s="1180" t="s">
        <v>4622</v>
      </c>
      <c r="F198" s="1196">
        <v>31577</v>
      </c>
      <c r="G198" s="1180" t="s">
        <v>4620</v>
      </c>
      <c r="H198" s="1196">
        <v>44713</v>
      </c>
      <c r="I198" s="1185">
        <f t="shared" si="379"/>
        <v>2</v>
      </c>
      <c r="J198" s="1177">
        <v>0</v>
      </c>
      <c r="K198" s="1185">
        <f t="shared" si="380"/>
        <v>2</v>
      </c>
      <c r="L198" s="1191" t="s">
        <v>5539</v>
      </c>
      <c r="M198" s="1177"/>
      <c r="N198" s="1177"/>
      <c r="O198" s="1040" t="s">
        <v>5222</v>
      </c>
      <c r="P198" s="1177" t="s">
        <v>5399</v>
      </c>
      <c r="Q198" s="1391" t="str">
        <f>IFERROR(VLOOKUP(O198,CARGOS!A:E,2,0),"")</f>
        <v>79511</v>
      </c>
      <c r="R198" s="1403" t="s">
        <v>5222</v>
      </c>
      <c r="S198" s="1192" t="s">
        <v>5475</v>
      </c>
      <c r="T198" s="1150">
        <f>IFERROR(VLOOKUP(S198,'TAB EMP'!A:B,2,0),0)</f>
        <v>192</v>
      </c>
      <c r="U198" s="1151">
        <v>0</v>
      </c>
      <c r="V198" s="1150">
        <f t="shared" si="402"/>
        <v>192</v>
      </c>
      <c r="W198" s="1151">
        <f t="shared" si="403"/>
        <v>96</v>
      </c>
      <c r="X198" s="1180" t="s">
        <v>2844</v>
      </c>
      <c r="Y198" s="1180"/>
      <c r="Z198" s="1180">
        <v>1</v>
      </c>
      <c r="AA198" s="1150">
        <f>ROUND(IF(H198&lt;&gt;"",VLOOKUP(SUM(I198+J198),'CONCEPTOS Y PARAMETROS'!F:G,2,0)*V198,0),2)</f>
        <v>3.84</v>
      </c>
      <c r="AB198" s="1150">
        <f>IF(S198&lt;&gt;"",IF(M198="",'CONCEPTOS Y PARAMETROS'!$C$4,0),0)</f>
        <v>130</v>
      </c>
      <c r="AC198" s="1150">
        <f>IF(S198&lt;&gt;"",IF(M198="",'CONCEPTOS Y PARAMETROS'!$C$7*Z198,0),0)</f>
        <v>12.5</v>
      </c>
      <c r="AD198" s="1150">
        <f>IFERROR(ROUND(VLOOKUP($X198,'CONCEPTOS Y PARAMETROS'!H:I,2,0)*($V198+AA198+AB198+AC198),2),0)</f>
        <v>67.67</v>
      </c>
      <c r="AE198" s="1150">
        <f t="shared" si="376"/>
        <v>214.01</v>
      </c>
      <c r="AF198" s="1150">
        <f t="shared" si="404"/>
        <v>1.92</v>
      </c>
      <c r="AG198" s="1150">
        <f t="shared" si="405"/>
        <v>1.92</v>
      </c>
      <c r="AH198" s="1150">
        <f t="shared" si="406"/>
        <v>65</v>
      </c>
      <c r="AI198" s="1150">
        <f t="shared" si="407"/>
        <v>65</v>
      </c>
      <c r="AJ198" s="1150">
        <f t="shared" si="408"/>
        <v>33.840000000000003</v>
      </c>
      <c r="AK198" s="1150">
        <f t="shared" si="409"/>
        <v>33.83</v>
      </c>
      <c r="AL198" s="1151">
        <f t="shared" si="410"/>
        <v>113.26</v>
      </c>
      <c r="AM198" s="1151">
        <f t="shared" si="411"/>
        <v>100.75</v>
      </c>
      <c r="AN198" s="1028">
        <v>0</v>
      </c>
      <c r="AO198" s="1193">
        <f>'CONCEPTOS Y PARAMETROS'!$C$18*AN198</f>
        <v>0</v>
      </c>
      <c r="AP198" s="1028">
        <v>0</v>
      </c>
      <c r="AQ198" s="1193">
        <f>'CONCEPTOS Y PARAMETROS'!$C$21*AP198</f>
        <v>0</v>
      </c>
      <c r="AR198" s="1394">
        <v>0</v>
      </c>
      <c r="AS198" s="1394">
        <v>0</v>
      </c>
      <c r="AT198" s="1394">
        <f t="shared" si="480"/>
        <v>0</v>
      </c>
      <c r="AU198" s="1151">
        <f t="shared" si="412"/>
        <v>527.80999999999995</v>
      </c>
      <c r="AV198" s="1178" t="s">
        <v>5080</v>
      </c>
      <c r="AW198" s="1151">
        <f t="shared" si="370"/>
        <v>121.8</v>
      </c>
      <c r="AX198" s="1150">
        <f>IF(T198&lt;&gt;"0",(ROUND(IF(A198="EMPLEADO",eval_formula('CONCEPTOS Y PARAMETROS'!$C$8,NOMINA!V198,NOMINA!$AU198,NOMINA!I198+NOMINA!J198),eval_formula('CONCEPTOS Y PARAMETROS'!$D$8,NOMINA!V198,NOMINA!$AU198,NOMINA!I198+NOMINA!J198)),2))*IF(H198&lt;&gt;"",IF(MONTH(H198)=$BR$8,IF(YEAR(H198)&lt;$BT$7,1,0),0)))</f>
        <v>0</v>
      </c>
      <c r="AY198" s="1151">
        <v>180</v>
      </c>
      <c r="AZ198" s="1150">
        <f>IFERROR(VLOOKUP(AY198,'CONCEPTOS Y PARAMETROS'!Y:Z,2,0),0)</f>
        <v>150</v>
      </c>
      <c r="BA198" s="1150">
        <f t="shared" si="413"/>
        <v>3958.58</v>
      </c>
      <c r="BB198" s="1150">
        <f t="shared" si="381"/>
        <v>0</v>
      </c>
      <c r="BC198" s="1028">
        <v>0</v>
      </c>
      <c r="BD198" s="1150" t="str">
        <f t="shared" si="414"/>
        <v>0</v>
      </c>
      <c r="BE198" s="1028">
        <v>3</v>
      </c>
      <c r="BF198" s="1150">
        <f t="shared" si="458"/>
        <v>79.17</v>
      </c>
      <c r="BG198" s="1151">
        <v>300</v>
      </c>
      <c r="BH198" s="1151">
        <f t="shared" si="382"/>
        <v>0</v>
      </c>
      <c r="BI198" s="1180">
        <v>0</v>
      </c>
      <c r="BJ198" s="1180">
        <f t="shared" si="372"/>
        <v>0</v>
      </c>
      <c r="BK198" s="1151">
        <v>0</v>
      </c>
      <c r="BL198" s="1150">
        <f t="shared" si="450"/>
        <v>19.489999999999998</v>
      </c>
      <c r="BM198" s="1150">
        <f t="shared" si="451"/>
        <v>2.44</v>
      </c>
      <c r="BN198" s="1150">
        <f t="shared" si="378"/>
        <v>5.28</v>
      </c>
      <c r="BO198" s="1150">
        <v>0</v>
      </c>
      <c r="BP198" s="1150">
        <v>0</v>
      </c>
      <c r="BQ198" s="1396">
        <f t="shared" si="373"/>
        <v>27.21</v>
      </c>
      <c r="BR198" s="1150">
        <f t="shared" si="453"/>
        <v>43.85</v>
      </c>
      <c r="BS198" s="1150">
        <f t="shared" si="454"/>
        <v>9.74</v>
      </c>
      <c r="BT198" s="1150">
        <f t="shared" si="383"/>
        <v>10.56</v>
      </c>
      <c r="BU198" s="1150">
        <v>0</v>
      </c>
      <c r="BV198" s="1151">
        <f t="shared" si="374"/>
        <v>64.150000000000006</v>
      </c>
      <c r="BW198" s="1155">
        <f t="shared" si="375"/>
        <v>91.360000000000014</v>
      </c>
      <c r="BX198" s="1155">
        <f t="shared" si="457"/>
        <v>989.65</v>
      </c>
      <c r="BY198" s="1151">
        <v>0</v>
      </c>
      <c r="BZ198" s="1151">
        <f t="shared" si="371"/>
        <v>989.65</v>
      </c>
      <c r="CA198" s="1397">
        <f>'CONCEPTOS Y PARAMETROS'!$A$102</f>
        <v>2120</v>
      </c>
      <c r="CB198" s="1155">
        <f t="shared" si="384"/>
        <v>182.04999999999998</v>
      </c>
      <c r="CC198" s="1156">
        <f t="shared" si="385"/>
        <v>697.72</v>
      </c>
      <c r="CD198" s="514"/>
      <c r="CE198" s="514"/>
      <c r="CF198" s="520"/>
      <c r="CG198" s="497">
        <f t="shared" si="386"/>
        <v>182.04999999999998</v>
      </c>
      <c r="CH198" s="1711">
        <f t="shared" si="387"/>
        <v>300</v>
      </c>
      <c r="CI198" s="497">
        <f t="shared" si="388"/>
        <v>496.75</v>
      </c>
      <c r="CJ198" s="497">
        <f t="shared" si="389"/>
        <v>496.75</v>
      </c>
      <c r="CK198" s="497">
        <f t="shared" si="390"/>
        <v>0</v>
      </c>
      <c r="CL198" s="497">
        <f t="shared" si="391"/>
        <v>0</v>
      </c>
      <c r="CM198" s="497">
        <f t="shared" si="392"/>
        <v>0</v>
      </c>
      <c r="CN198" s="498">
        <f t="shared" si="393"/>
        <v>79.17</v>
      </c>
      <c r="CO198" s="499">
        <v>0</v>
      </c>
      <c r="CP198" s="498">
        <f t="shared" si="394"/>
        <v>121.8</v>
      </c>
      <c r="CQ198" s="500">
        <f t="shared" si="395"/>
        <v>0</v>
      </c>
      <c r="CR198" s="498">
        <f t="shared" si="396"/>
        <v>0</v>
      </c>
      <c r="CS198" s="498">
        <f t="shared" si="397"/>
        <v>200.97</v>
      </c>
      <c r="CT198" s="498">
        <f t="shared" si="398"/>
        <v>91.360000000000014</v>
      </c>
      <c r="CU198" s="498">
        <f t="shared" si="399"/>
        <v>2120</v>
      </c>
      <c r="CV198" s="1554"/>
      <c r="CW198" s="1195" t="s">
        <v>6958</v>
      </c>
      <c r="CX198" s="1195" t="s">
        <v>7041</v>
      </c>
      <c r="CY198" s="472"/>
      <c r="CZ198" s="514" t="s">
        <v>6319</v>
      </c>
      <c r="DA198" s="514" t="s">
        <v>6320</v>
      </c>
      <c r="DB198" s="1199" t="s">
        <v>6273</v>
      </c>
      <c r="DC198" s="514" t="s">
        <v>6587</v>
      </c>
      <c r="DD198" s="514"/>
      <c r="DE198" s="514"/>
      <c r="DF198" s="472"/>
      <c r="DG198" s="472"/>
      <c r="DH198" s="472"/>
      <c r="DJ198" s="473" t="str">
        <f>VLOOKUP(X198,Hoja1!$A$4:$B$10,2,0)</f>
        <v>TÉCNICO SUPERIOR UNIVERSITARIO</v>
      </c>
      <c r="DK198" s="473" t="str">
        <f>VLOOKUP(S198,Hoja1!$D$4:$F$77,3,0)</f>
        <v>TI</v>
      </c>
      <c r="DL198" s="1216" t="str">
        <f t="shared" si="400"/>
        <v>SI</v>
      </c>
      <c r="DM198" s="1741" t="str">
        <f t="shared" si="401"/>
        <v>F</v>
      </c>
      <c r="DN198" s="1741"/>
    </row>
    <row r="199" spans="1:118" s="478" customFormat="1" ht="21.95" customHeight="1">
      <c r="A199" s="510" t="s">
        <v>2846</v>
      </c>
      <c r="B199" s="1390">
        <f t="shared" ca="1" si="479"/>
        <v>157</v>
      </c>
      <c r="C199" s="1194">
        <v>17391892</v>
      </c>
      <c r="D199" s="1195" t="s">
        <v>5994</v>
      </c>
      <c r="E199" s="1180" t="s">
        <v>4622</v>
      </c>
      <c r="F199" s="1196">
        <v>31576</v>
      </c>
      <c r="G199" s="1180" t="s">
        <v>4620</v>
      </c>
      <c r="H199" s="1196">
        <v>45323</v>
      </c>
      <c r="I199" s="1185">
        <f t="shared" si="379"/>
        <v>0</v>
      </c>
      <c r="J199" s="1177">
        <v>2</v>
      </c>
      <c r="K199" s="1185">
        <f t="shared" si="380"/>
        <v>2</v>
      </c>
      <c r="L199" s="1191" t="s">
        <v>5552</v>
      </c>
      <c r="M199" s="1177"/>
      <c r="N199" s="1177"/>
      <c r="O199" s="1040" t="s">
        <v>5265</v>
      </c>
      <c r="P199" s="1197" t="s">
        <v>6004</v>
      </c>
      <c r="Q199" s="1391" t="str">
        <f>IFERROR(VLOOKUP(O199,CARGOS!A:E,2,0),"")</f>
        <v>15121</v>
      </c>
      <c r="R199" s="1403" t="s">
        <v>5265</v>
      </c>
      <c r="S199" s="1192" t="s">
        <v>5469</v>
      </c>
      <c r="T199" s="1150">
        <f>IFERROR(VLOOKUP(S199,'TAB EMP'!A:B,2,0),0)</f>
        <v>246</v>
      </c>
      <c r="U199" s="1151">
        <v>0</v>
      </c>
      <c r="V199" s="1150">
        <f t="shared" ref="V199" si="481">T199-U199</f>
        <v>246</v>
      </c>
      <c r="W199" s="1151">
        <f t="shared" ref="W199" si="482">ROUND(V199/2,2)</f>
        <v>123</v>
      </c>
      <c r="X199" s="1180" t="s">
        <v>2885</v>
      </c>
      <c r="Y199" s="1180"/>
      <c r="Z199" s="1180">
        <v>2</v>
      </c>
      <c r="AA199" s="1150">
        <f>ROUND(IF(H199&lt;&gt;"",VLOOKUP(SUM(I199+J199),'CONCEPTOS Y PARAMETROS'!F:G,2,0)*V199,0),2)</f>
        <v>4.92</v>
      </c>
      <c r="AB199" s="1150">
        <f>IF(S199&lt;&gt;"",IF(M199="",'CONCEPTOS Y PARAMETROS'!$C$4,0),0)</f>
        <v>130</v>
      </c>
      <c r="AC199" s="1150">
        <f>IF(S199&lt;&gt;"",IF(M199="",'CONCEPTOS Y PARAMETROS'!$C$7*Z199,0),0)</f>
        <v>25</v>
      </c>
      <c r="AD199" s="1150">
        <f>IFERROR(ROUND(VLOOKUP($X199,'CONCEPTOS Y PARAMETROS'!H:I,2,0)*($V199+AA199+AB199+AC199),2),0)</f>
        <v>101.48</v>
      </c>
      <c r="AE199" s="1150">
        <f t="shared" ref="AE199" si="483">SUM(AA199:AD199)</f>
        <v>261.39999999999998</v>
      </c>
      <c r="AF199" s="1150">
        <f t="shared" ref="AF199" si="484">ROUND(AA199/2,2)</f>
        <v>2.46</v>
      </c>
      <c r="AG199" s="1150">
        <f t="shared" ref="AG199" si="485">ROUND(AA199-AF199,2)</f>
        <v>2.46</v>
      </c>
      <c r="AH199" s="1150">
        <f t="shared" ref="AH199" si="486">ROUND(AB199/2,2)</f>
        <v>65</v>
      </c>
      <c r="AI199" s="1150">
        <f t="shared" ref="AI199" si="487">ROUND(AB199-AH199,2)</f>
        <v>65</v>
      </c>
      <c r="AJ199" s="1150">
        <f t="shared" ref="AJ199" si="488">ROUND(AD199/2,2)</f>
        <v>50.74</v>
      </c>
      <c r="AK199" s="1150">
        <f t="shared" ref="AK199" si="489">ROUND(AD199-AJ199,2)</f>
        <v>50.74</v>
      </c>
      <c r="AL199" s="1151">
        <f t="shared" ref="AL199" si="490">ROUND(AF199+AH199+AJ199+AC199,2)</f>
        <v>143.19999999999999</v>
      </c>
      <c r="AM199" s="1151">
        <f t="shared" ref="AM199" si="491">ROUND(AG199+AI199+AK199,2)</f>
        <v>118.2</v>
      </c>
      <c r="AN199" s="1583">
        <v>2</v>
      </c>
      <c r="AO199" s="1193">
        <f>'CONCEPTOS Y PARAMETROS'!$C$18*AN199</f>
        <v>25</v>
      </c>
      <c r="AP199" s="1028">
        <v>0</v>
      </c>
      <c r="AQ199" s="1193">
        <f>'CONCEPTOS Y PARAMETROS'!$C$21*AP199</f>
        <v>0</v>
      </c>
      <c r="AR199" s="1394">
        <v>0</v>
      </c>
      <c r="AS199" s="1394">
        <v>0</v>
      </c>
      <c r="AT199" s="1394">
        <f t="shared" si="480"/>
        <v>25</v>
      </c>
      <c r="AU199" s="1151">
        <f t="shared" ref="AU199" si="492">V199+AE199+AW199</f>
        <v>507.4</v>
      </c>
      <c r="AV199" s="1178">
        <v>0</v>
      </c>
      <c r="AW199" s="1151">
        <f t="shared" ref="AW199" si="493">ROUND(IF(AV199="NOCTURN",(V199+AE199)*30%,0),2)</f>
        <v>0</v>
      </c>
      <c r="AX199" s="1150">
        <f>IF(T199&lt;&gt;"0",(ROUND(IF(A199="EMPLEADO",eval_formula('CONCEPTOS Y PARAMETROS'!$C$8,NOMINA!V199,NOMINA!$AU199,NOMINA!I199+NOMINA!J199),eval_formula('CONCEPTOS Y PARAMETROS'!$D$8,NOMINA!V199,NOMINA!$AU199,NOMINA!I199+NOMINA!J199)),2))*IF(H199&lt;&gt;"",IF(MONTH(H199)=$BR$8,IF(YEAR(H199)&lt;$BT$7,1,0),0)))</f>
        <v>0</v>
      </c>
      <c r="AY199" s="1151">
        <v>165</v>
      </c>
      <c r="AZ199" s="1150">
        <f>IFERROR(VLOOKUP(AY199,'CONCEPTOS Y PARAMETROS'!Y:Z,2,0),0)</f>
        <v>137.5</v>
      </c>
      <c r="BA199" s="1150">
        <f t="shared" ref="BA199" si="494">ROUND((((AU199))/30*AY199/12+(AU199))/30*AZ199,2)</f>
        <v>3391.48</v>
      </c>
      <c r="BB199" s="1150">
        <f t="shared" si="381"/>
        <v>0</v>
      </c>
      <c r="BC199" s="1028">
        <v>0</v>
      </c>
      <c r="BD199" s="1150" t="str">
        <f t="shared" ref="BD199" si="495">IF(BC199&gt;0,((((((V199+AA199+AB199+AC199+AD199)/30)/8)*50%)+((((V199+AA199+AB199+AC199+AD199)/30)/8)))*30%+(((((V199+AA199+AB199+AC199+AD199)/30)/8)*50%)+((((V199+AA199+AB199+AC199+AD199)/30)/8))))*BC199,"0")</f>
        <v>0</v>
      </c>
      <c r="BE199" s="1028">
        <v>0</v>
      </c>
      <c r="BF199" s="1150">
        <f t="shared" si="458"/>
        <v>0</v>
      </c>
      <c r="BG199" s="1151">
        <v>300</v>
      </c>
      <c r="BH199" s="1151">
        <f t="shared" si="382"/>
        <v>0</v>
      </c>
      <c r="BI199" s="1180">
        <v>0</v>
      </c>
      <c r="BJ199" s="1180">
        <f t="shared" si="372"/>
        <v>0</v>
      </c>
      <c r="BK199" s="1151">
        <v>0</v>
      </c>
      <c r="BL199" s="1150">
        <f t="shared" si="450"/>
        <v>18.73</v>
      </c>
      <c r="BM199" s="1150">
        <f t="shared" si="451"/>
        <v>2.34</v>
      </c>
      <c r="BN199" s="1150">
        <f t="shared" si="378"/>
        <v>5.07</v>
      </c>
      <c r="BO199" s="1150">
        <v>0</v>
      </c>
      <c r="BP199" s="1150">
        <v>0</v>
      </c>
      <c r="BQ199" s="1396">
        <f t="shared" ref="BQ199" si="496">ROUND(SUM(BL199:BP199),2)</f>
        <v>26.14</v>
      </c>
      <c r="BR199" s="1150">
        <f t="shared" si="453"/>
        <v>42.15</v>
      </c>
      <c r="BS199" s="1150">
        <f t="shared" si="454"/>
        <v>9.3699999999999992</v>
      </c>
      <c r="BT199" s="1150">
        <f t="shared" si="383"/>
        <v>10.14</v>
      </c>
      <c r="BU199" s="1150">
        <v>0</v>
      </c>
      <c r="BV199" s="1151">
        <f t="shared" ref="BV199" si="497">ROUND(SUM(BR199:BT199),2)</f>
        <v>61.66</v>
      </c>
      <c r="BW199" s="1155">
        <f t="shared" ref="BW199" si="498">BQ199+BV199</f>
        <v>87.8</v>
      </c>
      <c r="BX199" s="1155">
        <f t="shared" si="457"/>
        <v>847.87</v>
      </c>
      <c r="BY199" s="1151">
        <v>0</v>
      </c>
      <c r="BZ199" s="1151">
        <f t="shared" si="371"/>
        <v>847.87</v>
      </c>
      <c r="CA199" s="1397">
        <f>'CONCEPTOS Y PARAMETROS'!$A$102</f>
        <v>2120</v>
      </c>
      <c r="CB199" s="1155">
        <f t="shared" si="384"/>
        <v>240.06</v>
      </c>
      <c r="CC199" s="1156">
        <f t="shared" si="385"/>
        <v>566.20000000000005</v>
      </c>
      <c r="CD199" s="514"/>
      <c r="CE199" s="514"/>
      <c r="CF199" s="521"/>
      <c r="CG199" s="511">
        <f t="shared" si="386"/>
        <v>240.06</v>
      </c>
      <c r="CH199" s="1712">
        <f t="shared" si="387"/>
        <v>300</v>
      </c>
      <c r="CI199" s="511">
        <f t="shared" si="388"/>
        <v>541.20000000000005</v>
      </c>
      <c r="CJ199" s="511">
        <f t="shared" si="389"/>
        <v>541.20000000000005</v>
      </c>
      <c r="CK199" s="511">
        <f t="shared" si="390"/>
        <v>0</v>
      </c>
      <c r="CL199" s="511">
        <f t="shared" si="391"/>
        <v>0</v>
      </c>
      <c r="CM199" s="511">
        <f t="shared" si="392"/>
        <v>0</v>
      </c>
      <c r="CN199" s="512">
        <f t="shared" si="393"/>
        <v>0</v>
      </c>
      <c r="CO199" s="513">
        <v>0</v>
      </c>
      <c r="CP199" s="512">
        <f t="shared" si="394"/>
        <v>0</v>
      </c>
      <c r="CQ199" s="500">
        <f t="shared" si="395"/>
        <v>25</v>
      </c>
      <c r="CR199" s="512">
        <f t="shared" si="396"/>
        <v>0</v>
      </c>
      <c r="CS199" s="512">
        <f t="shared" si="397"/>
        <v>25</v>
      </c>
      <c r="CT199" s="512">
        <f t="shared" si="398"/>
        <v>87.8</v>
      </c>
      <c r="CU199" s="512">
        <f t="shared" si="399"/>
        <v>2120</v>
      </c>
      <c r="CV199" s="1556"/>
      <c r="CW199" s="1195" t="s">
        <v>7042</v>
      </c>
      <c r="CX199" s="1195" t="s">
        <v>7043</v>
      </c>
      <c r="CY199" s="514"/>
      <c r="CZ199" s="1189" t="s">
        <v>6558</v>
      </c>
      <c r="DA199" s="1188" t="s">
        <v>6188</v>
      </c>
      <c r="DB199" s="1188" t="s">
        <v>6170</v>
      </c>
      <c r="DC199" s="1188" t="s">
        <v>6557</v>
      </c>
      <c r="DD199" s="514"/>
      <c r="DE199" s="514"/>
      <c r="DF199" s="514"/>
      <c r="DG199" s="514"/>
      <c r="DH199" s="514"/>
      <c r="DJ199" s="478" t="str">
        <f>VLOOKUP(X199,Hoja1!$A$4:$B$10,2,0)</f>
        <v>PROFESIONAL</v>
      </c>
      <c r="DK199" s="478" t="str">
        <f>VLOOKUP(S199,Hoja1!$D$4:$F$77,3,0)</f>
        <v>PI</v>
      </c>
      <c r="DL199" s="1218" t="str">
        <f t="shared" si="400"/>
        <v>0</v>
      </c>
      <c r="DM199" s="1743" t="str">
        <f t="shared" si="401"/>
        <v>F</v>
      </c>
      <c r="DN199" s="1743"/>
    </row>
    <row r="200" spans="1:118" s="1654" customFormat="1" ht="21.95" customHeight="1">
      <c r="A200" s="1624" t="s">
        <v>2846</v>
      </c>
      <c r="B200" s="1625">
        <f t="shared" ca="1" si="479"/>
        <v>158</v>
      </c>
      <c r="C200" s="1626">
        <v>17392309</v>
      </c>
      <c r="D200" s="1627" t="s">
        <v>4839</v>
      </c>
      <c r="E200" s="1628" t="s">
        <v>4622</v>
      </c>
      <c r="F200" s="1629">
        <v>30702</v>
      </c>
      <c r="G200" s="1628" t="s">
        <v>4620</v>
      </c>
      <c r="H200" s="1629">
        <v>43116</v>
      </c>
      <c r="I200" s="1630">
        <f t="shared" si="379"/>
        <v>7</v>
      </c>
      <c r="J200" s="1631">
        <v>0</v>
      </c>
      <c r="K200" s="1630">
        <f t="shared" si="380"/>
        <v>7</v>
      </c>
      <c r="L200" s="1632" t="s">
        <v>5538</v>
      </c>
      <c r="M200" s="1631"/>
      <c r="N200" s="1631"/>
      <c r="O200" s="1633" t="s">
        <v>7428</v>
      </c>
      <c r="P200" s="1631" t="s">
        <v>5400</v>
      </c>
      <c r="Q200" s="1634" t="str">
        <f>IFERROR(VLOOKUP(O200,CARGOS!A:E,2,0),"")</f>
        <v>12122</v>
      </c>
      <c r="R200" s="1635" t="s">
        <v>7428</v>
      </c>
      <c r="S200" s="1636" t="s">
        <v>5488</v>
      </c>
      <c r="T200" s="1637">
        <f>IFERROR(VLOOKUP(S200,'TAB EMP'!A:B,2,0),0)</f>
        <v>279</v>
      </c>
      <c r="U200" s="1638">
        <v>0</v>
      </c>
      <c r="V200" s="1637">
        <f t="shared" si="402"/>
        <v>279</v>
      </c>
      <c r="W200" s="1638">
        <f t="shared" si="403"/>
        <v>139.5</v>
      </c>
      <c r="X200" s="1628" t="s">
        <v>2885</v>
      </c>
      <c r="Y200" s="1628"/>
      <c r="Z200" s="1628">
        <v>2</v>
      </c>
      <c r="AA200" s="1637">
        <f>ROUND(IF(H200&lt;&gt;"",VLOOKUP(SUM(I200+J200),'CONCEPTOS Y PARAMETROS'!F:G,2,0)*V200,0),2)</f>
        <v>20.65</v>
      </c>
      <c r="AB200" s="1637">
        <f>IF(S200&lt;&gt;"",IF(M200="",'CONCEPTOS Y PARAMETROS'!$C$4,0),0)</f>
        <v>130</v>
      </c>
      <c r="AC200" s="1637">
        <f>IF(S200&lt;&gt;"",IF(M200="",'CONCEPTOS Y PARAMETROS'!$C$7*Z200,0),0)</f>
        <v>25</v>
      </c>
      <c r="AD200" s="1637">
        <f>IFERROR(ROUND(VLOOKUP($X200,'CONCEPTOS Y PARAMETROS'!H:I,2,0)*($V200+AA200+AB200+AC200),2),0)</f>
        <v>113.66</v>
      </c>
      <c r="AE200" s="1637">
        <f t="shared" si="376"/>
        <v>289.31</v>
      </c>
      <c r="AF200" s="1637">
        <f t="shared" si="404"/>
        <v>10.33</v>
      </c>
      <c r="AG200" s="1637">
        <f t="shared" si="405"/>
        <v>10.32</v>
      </c>
      <c r="AH200" s="1637">
        <f t="shared" si="406"/>
        <v>65</v>
      </c>
      <c r="AI200" s="1637">
        <f t="shared" si="407"/>
        <v>65</v>
      </c>
      <c r="AJ200" s="1637">
        <f t="shared" si="408"/>
        <v>56.83</v>
      </c>
      <c r="AK200" s="1637">
        <f t="shared" si="409"/>
        <v>56.83</v>
      </c>
      <c r="AL200" s="1638">
        <f t="shared" si="410"/>
        <v>157.16</v>
      </c>
      <c r="AM200" s="1638">
        <f t="shared" si="411"/>
        <v>132.15</v>
      </c>
      <c r="AN200" s="1665">
        <v>1</v>
      </c>
      <c r="AO200" s="1640">
        <f>'CONCEPTOS Y PARAMETROS'!$C$18*AN200</f>
        <v>12.5</v>
      </c>
      <c r="AP200" s="1639">
        <v>0</v>
      </c>
      <c r="AQ200" s="1640">
        <f>'CONCEPTOS Y PARAMETROS'!$C$21*AP200</f>
        <v>0</v>
      </c>
      <c r="AR200" s="1641">
        <v>0</v>
      </c>
      <c r="AS200" s="1641">
        <v>0</v>
      </c>
      <c r="AT200" s="1641">
        <f t="shared" si="480"/>
        <v>12.5</v>
      </c>
      <c r="AU200" s="1638">
        <f t="shared" si="412"/>
        <v>568.30999999999995</v>
      </c>
      <c r="AV200" s="1642">
        <v>0</v>
      </c>
      <c r="AW200" s="1638">
        <f t="shared" ref="AW200:AW239" si="499">ROUND(IF(AV200="NOCTURN",(V200+AE200)*30%,0),2)</f>
        <v>0</v>
      </c>
      <c r="AX200" s="1637">
        <f>IF(T200&lt;&gt;"0",(ROUND(IF(A200="EMPLEADO",eval_formula('CONCEPTOS Y PARAMETROS'!$C$8,NOMINA!V200,NOMINA!$AU200,NOMINA!I200+NOMINA!J200),eval_formula('CONCEPTOS Y PARAMETROS'!$D$8,NOMINA!V200,NOMINA!$AU200,NOMINA!I200+NOMINA!J200)),2))*IF(H200&lt;&gt;"",IF(MONTH(H200)=$BR$8,IF(YEAR(H200)&lt;$BT$7,1,0),0)))</f>
        <v>4546.4799999999996</v>
      </c>
      <c r="AY200" s="1638">
        <v>180</v>
      </c>
      <c r="AZ200" s="1637">
        <f>IFERROR(VLOOKUP(AY200,'CONCEPTOS Y PARAMETROS'!Y:Z,2,0),0)</f>
        <v>150</v>
      </c>
      <c r="BA200" s="1637">
        <f t="shared" si="413"/>
        <v>4262.33</v>
      </c>
      <c r="BB200" s="1637">
        <f t="shared" si="381"/>
        <v>0</v>
      </c>
      <c r="BC200" s="1639">
        <v>0</v>
      </c>
      <c r="BD200" s="1637" t="str">
        <f t="shared" si="414"/>
        <v>0</v>
      </c>
      <c r="BE200" s="1639">
        <v>0</v>
      </c>
      <c r="BF200" s="1637">
        <f t="shared" si="458"/>
        <v>0</v>
      </c>
      <c r="BG200" s="1638">
        <v>300</v>
      </c>
      <c r="BH200" s="1638">
        <f t="shared" si="382"/>
        <v>0</v>
      </c>
      <c r="BI200" s="1628">
        <v>0</v>
      </c>
      <c r="BJ200" s="1628">
        <f t="shared" si="372"/>
        <v>0</v>
      </c>
      <c r="BK200" s="1638">
        <v>0</v>
      </c>
      <c r="BL200" s="1637">
        <f t="shared" si="450"/>
        <v>20.98</v>
      </c>
      <c r="BM200" s="1637">
        <f t="shared" si="451"/>
        <v>2.62</v>
      </c>
      <c r="BN200" s="1637">
        <f t="shared" si="378"/>
        <v>5.68</v>
      </c>
      <c r="BO200" s="1637">
        <v>0</v>
      </c>
      <c r="BP200" s="1637">
        <v>0</v>
      </c>
      <c r="BQ200" s="1643">
        <f t="shared" si="373"/>
        <v>29.28</v>
      </c>
      <c r="BR200" s="1637">
        <f t="shared" si="453"/>
        <v>47.21</v>
      </c>
      <c r="BS200" s="1637">
        <f t="shared" si="454"/>
        <v>10.49</v>
      </c>
      <c r="BT200" s="1637">
        <f t="shared" si="383"/>
        <v>11.36</v>
      </c>
      <c r="BU200" s="1637">
        <v>0</v>
      </c>
      <c r="BV200" s="1638">
        <f t="shared" si="374"/>
        <v>69.06</v>
      </c>
      <c r="BW200" s="1644">
        <f t="shared" si="375"/>
        <v>98.34</v>
      </c>
      <c r="BX200" s="1644">
        <f t="shared" si="457"/>
        <v>1065.58</v>
      </c>
      <c r="BY200" s="1638">
        <v>0</v>
      </c>
      <c r="BZ200" s="1638">
        <f t="shared" si="371"/>
        <v>1065.58</v>
      </c>
      <c r="CA200" s="1645">
        <f>'CONCEPTOS Y PARAMETROS'!$A$102</f>
        <v>2120</v>
      </c>
      <c r="CB200" s="1644">
        <f t="shared" si="384"/>
        <v>267.38</v>
      </c>
      <c r="CC200" s="1646">
        <f t="shared" si="385"/>
        <v>5130.63</v>
      </c>
      <c r="CD200" s="1647"/>
      <c r="CE200" s="1647"/>
      <c r="CF200" s="1648"/>
      <c r="CG200" s="1649">
        <f t="shared" si="386"/>
        <v>267.38</v>
      </c>
      <c r="CH200" s="1713">
        <f t="shared" si="387"/>
        <v>300</v>
      </c>
      <c r="CI200" s="1649">
        <f t="shared" si="388"/>
        <v>571.65</v>
      </c>
      <c r="CJ200" s="1649">
        <f t="shared" si="389"/>
        <v>274.39</v>
      </c>
      <c r="CK200" s="1649">
        <f t="shared" si="390"/>
        <v>297.26</v>
      </c>
      <c r="CL200" s="1649">
        <f t="shared" si="391"/>
        <v>0</v>
      </c>
      <c r="CM200" s="1649">
        <f t="shared" si="392"/>
        <v>0</v>
      </c>
      <c r="CN200" s="1650">
        <f t="shared" si="393"/>
        <v>0</v>
      </c>
      <c r="CO200" s="1651">
        <v>0</v>
      </c>
      <c r="CP200" s="1650">
        <f t="shared" si="394"/>
        <v>0</v>
      </c>
      <c r="CQ200" s="1652">
        <f t="shared" si="395"/>
        <v>12.5</v>
      </c>
      <c r="CR200" s="1650">
        <f t="shared" si="396"/>
        <v>4546.4799999999996</v>
      </c>
      <c r="CS200" s="1650">
        <f t="shared" si="397"/>
        <v>4558.9799999999996</v>
      </c>
      <c r="CT200" s="1650">
        <f t="shared" si="398"/>
        <v>98.34</v>
      </c>
      <c r="CU200" s="1650">
        <f t="shared" si="399"/>
        <v>2120</v>
      </c>
      <c r="CV200" s="1653"/>
      <c r="CW200" s="1627" t="s">
        <v>6958</v>
      </c>
      <c r="CX200" s="1627" t="s">
        <v>7044</v>
      </c>
      <c r="CY200" s="1647"/>
      <c r="CZ200" s="1647" t="s">
        <v>6450</v>
      </c>
      <c r="DA200" s="1647" t="s">
        <v>6173</v>
      </c>
      <c r="DB200" s="1647" t="s">
        <v>6202</v>
      </c>
      <c r="DC200" s="1647" t="s">
        <v>6710</v>
      </c>
      <c r="DD200" s="1647"/>
      <c r="DE200" s="1647"/>
      <c r="DF200" s="1647"/>
      <c r="DG200" s="1647"/>
      <c r="DH200" s="1647"/>
      <c r="DJ200" s="1654" t="str">
        <f>VLOOKUP(X200,Hoja1!$A$4:$B$10,2,0)</f>
        <v>PROFESIONAL</v>
      </c>
      <c r="DK200" s="1654" t="str">
        <f>VLOOKUP(S200,Hoja1!$D$4:$F$77,3,0)</f>
        <v>PII - III</v>
      </c>
      <c r="DL200" s="1663" t="str">
        <f t="shared" si="400"/>
        <v>0</v>
      </c>
      <c r="DM200" s="1742" t="str">
        <f t="shared" si="401"/>
        <v>F</v>
      </c>
      <c r="DN200" s="1742"/>
    </row>
    <row r="201" spans="1:118" s="1654" customFormat="1" ht="21.95" customHeight="1">
      <c r="A201" s="1624" t="s">
        <v>2846</v>
      </c>
      <c r="B201" s="1625">
        <f t="shared" ca="1" si="479"/>
        <v>159</v>
      </c>
      <c r="C201" s="1626">
        <v>17393693</v>
      </c>
      <c r="D201" s="1627" t="s">
        <v>4840</v>
      </c>
      <c r="E201" s="1628" t="s">
        <v>4622</v>
      </c>
      <c r="F201" s="1629">
        <v>31349</v>
      </c>
      <c r="G201" s="1628" t="s">
        <v>4620</v>
      </c>
      <c r="H201" s="1629">
        <v>44516</v>
      </c>
      <c r="I201" s="1630">
        <f t="shared" si="379"/>
        <v>3</v>
      </c>
      <c r="J201" s="1631">
        <v>0</v>
      </c>
      <c r="K201" s="1630">
        <f t="shared" si="380"/>
        <v>3</v>
      </c>
      <c r="L201" s="1632" t="s">
        <v>5536</v>
      </c>
      <c r="M201" s="1631"/>
      <c r="N201" s="1631"/>
      <c r="O201" s="1633" t="s">
        <v>7422</v>
      </c>
      <c r="P201" s="1631" t="s">
        <v>5401</v>
      </c>
      <c r="Q201" s="1634" t="str">
        <f>IFERROR(VLOOKUP(O201,CARGOS!A:E,2,0),"")</f>
        <v>12112</v>
      </c>
      <c r="R201" s="1635" t="s">
        <v>7422</v>
      </c>
      <c r="S201" s="1636" t="s">
        <v>5490</v>
      </c>
      <c r="T201" s="1637">
        <f>IFERROR(VLOOKUP(S201,'TAB EMP'!A:B,2,0),0)</f>
        <v>150</v>
      </c>
      <c r="U201" s="1638">
        <v>0</v>
      </c>
      <c r="V201" s="1637">
        <f t="shared" si="402"/>
        <v>150</v>
      </c>
      <c r="W201" s="1638">
        <f t="shared" si="403"/>
        <v>75</v>
      </c>
      <c r="X201" s="1628" t="s">
        <v>2884</v>
      </c>
      <c r="Y201" s="1628"/>
      <c r="Z201" s="1628">
        <v>2</v>
      </c>
      <c r="AA201" s="1637">
        <f>ROUND(IF(H201&lt;&gt;"",VLOOKUP(SUM(I201+J201),'CONCEPTOS Y PARAMETROS'!F:G,2,0)*V201,0),2)</f>
        <v>4.5</v>
      </c>
      <c r="AB201" s="1637">
        <f>IF(S201&lt;&gt;"",IF(M201="",'CONCEPTOS Y PARAMETROS'!$C$4,0),0)</f>
        <v>130</v>
      </c>
      <c r="AC201" s="1637">
        <f>IF(S201&lt;&gt;"",IF(M201="",'CONCEPTOS Y PARAMETROS'!$C$7*Z201,0),0)</f>
        <v>25</v>
      </c>
      <c r="AD201" s="1637">
        <f>IFERROR(ROUND(VLOOKUP($X201,'CONCEPTOS Y PARAMETROS'!H:I,2,0)*($V201+AA201+AB201+AC201),2),0)</f>
        <v>0</v>
      </c>
      <c r="AE201" s="1637">
        <f t="shared" si="376"/>
        <v>159.5</v>
      </c>
      <c r="AF201" s="1637">
        <f t="shared" si="404"/>
        <v>2.25</v>
      </c>
      <c r="AG201" s="1637">
        <f t="shared" si="405"/>
        <v>2.25</v>
      </c>
      <c r="AH201" s="1637">
        <f t="shared" si="406"/>
        <v>65</v>
      </c>
      <c r="AI201" s="1637">
        <f t="shared" si="407"/>
        <v>65</v>
      </c>
      <c r="AJ201" s="1637">
        <f t="shared" si="408"/>
        <v>0</v>
      </c>
      <c r="AK201" s="1637">
        <f t="shared" si="409"/>
        <v>0</v>
      </c>
      <c r="AL201" s="1638">
        <f t="shared" si="410"/>
        <v>92.25</v>
      </c>
      <c r="AM201" s="1638">
        <f t="shared" si="411"/>
        <v>67.25</v>
      </c>
      <c r="AN201" s="1639">
        <v>0</v>
      </c>
      <c r="AO201" s="1640">
        <f>'CONCEPTOS Y PARAMETROS'!$C$18*AN201</f>
        <v>0</v>
      </c>
      <c r="AP201" s="1639">
        <v>0</v>
      </c>
      <c r="AQ201" s="1640">
        <f>'CONCEPTOS Y PARAMETROS'!$C$21*AP201</f>
        <v>0</v>
      </c>
      <c r="AR201" s="1641">
        <v>0</v>
      </c>
      <c r="AS201" s="1641">
        <v>0</v>
      </c>
      <c r="AT201" s="1641">
        <f t="shared" si="480"/>
        <v>0</v>
      </c>
      <c r="AU201" s="1638">
        <f t="shared" si="412"/>
        <v>309.5</v>
      </c>
      <c r="AV201" s="1642">
        <v>0</v>
      </c>
      <c r="AW201" s="1638">
        <f t="shared" si="499"/>
        <v>0</v>
      </c>
      <c r="AX201" s="1637">
        <f>IF(T201&lt;&gt;"0",(ROUND(IF(A201="EMPLEADO",eval_formula('CONCEPTOS Y PARAMETROS'!$C$8,NOMINA!V201,NOMINA!$AU201,NOMINA!I201+NOMINA!J201),eval_formula('CONCEPTOS Y PARAMETROS'!$D$8,NOMINA!V201,NOMINA!$AU201,NOMINA!I201+NOMINA!J201)),2))*IF(H201&lt;&gt;"",IF(MONTH(H201)=$BR$8,IF(YEAR(H201)&lt;$BT$7,1,0),0)))</f>
        <v>0</v>
      </c>
      <c r="AY201" s="1638">
        <v>180</v>
      </c>
      <c r="AZ201" s="1637">
        <f>IFERROR(VLOOKUP(AY201,'CONCEPTOS Y PARAMETROS'!Y:Z,2,0),0)</f>
        <v>150</v>
      </c>
      <c r="BA201" s="1637">
        <f t="shared" si="413"/>
        <v>2321.25</v>
      </c>
      <c r="BB201" s="1637">
        <f t="shared" si="381"/>
        <v>0</v>
      </c>
      <c r="BC201" s="1639">
        <v>0</v>
      </c>
      <c r="BD201" s="1637" t="str">
        <f t="shared" si="414"/>
        <v>0</v>
      </c>
      <c r="BE201" s="1639">
        <v>0</v>
      </c>
      <c r="BF201" s="1637">
        <f t="shared" si="458"/>
        <v>0</v>
      </c>
      <c r="BG201" s="1638">
        <v>300</v>
      </c>
      <c r="BH201" s="1638">
        <f t="shared" si="382"/>
        <v>0</v>
      </c>
      <c r="BI201" s="1628">
        <v>0</v>
      </c>
      <c r="BJ201" s="1628">
        <f t="shared" si="372"/>
        <v>0</v>
      </c>
      <c r="BK201" s="1638">
        <v>0</v>
      </c>
      <c r="BL201" s="1637">
        <f t="shared" si="450"/>
        <v>11.43</v>
      </c>
      <c r="BM201" s="1637">
        <f t="shared" si="451"/>
        <v>1.43</v>
      </c>
      <c r="BN201" s="1637">
        <f t="shared" si="378"/>
        <v>3.1</v>
      </c>
      <c r="BO201" s="1637">
        <v>0</v>
      </c>
      <c r="BP201" s="1637">
        <v>0</v>
      </c>
      <c r="BQ201" s="1643">
        <f t="shared" si="373"/>
        <v>15.96</v>
      </c>
      <c r="BR201" s="1637">
        <f t="shared" si="453"/>
        <v>25.71</v>
      </c>
      <c r="BS201" s="1637">
        <f t="shared" si="454"/>
        <v>5.71</v>
      </c>
      <c r="BT201" s="1637">
        <f t="shared" si="383"/>
        <v>6.2</v>
      </c>
      <c r="BU201" s="1637">
        <v>0</v>
      </c>
      <c r="BV201" s="1638">
        <f t="shared" si="374"/>
        <v>37.619999999999997</v>
      </c>
      <c r="BW201" s="1644">
        <f t="shared" si="375"/>
        <v>53.58</v>
      </c>
      <c r="BX201" s="1644">
        <f t="shared" si="457"/>
        <v>580.30999999999995</v>
      </c>
      <c r="BY201" s="1638">
        <v>0</v>
      </c>
      <c r="BZ201" s="1638">
        <f t="shared" si="371"/>
        <v>580.30999999999995</v>
      </c>
      <c r="CA201" s="1645">
        <f>'CONCEPTOS Y PARAMETROS'!$A$102</f>
        <v>2120</v>
      </c>
      <c r="CB201" s="1644">
        <f t="shared" si="384"/>
        <v>151.29</v>
      </c>
      <c r="CC201" s="1646">
        <f t="shared" si="385"/>
        <v>442.25</v>
      </c>
      <c r="CD201" s="1647"/>
      <c r="CE201" s="1647"/>
      <c r="CF201" s="1648"/>
      <c r="CG201" s="1649">
        <f t="shared" si="386"/>
        <v>151.29</v>
      </c>
      <c r="CH201" s="1713">
        <f t="shared" si="387"/>
        <v>300</v>
      </c>
      <c r="CI201" s="1649">
        <f t="shared" si="388"/>
        <v>442.25</v>
      </c>
      <c r="CJ201" s="1649">
        <f t="shared" si="389"/>
        <v>442.25</v>
      </c>
      <c r="CK201" s="1649">
        <f t="shared" si="390"/>
        <v>0</v>
      </c>
      <c r="CL201" s="1649">
        <f t="shared" si="391"/>
        <v>0</v>
      </c>
      <c r="CM201" s="1649">
        <f t="shared" si="392"/>
        <v>0</v>
      </c>
      <c r="CN201" s="1650">
        <f t="shared" si="393"/>
        <v>0</v>
      </c>
      <c r="CO201" s="1651">
        <v>0</v>
      </c>
      <c r="CP201" s="1650">
        <f t="shared" si="394"/>
        <v>0</v>
      </c>
      <c r="CQ201" s="1652">
        <f t="shared" si="395"/>
        <v>0</v>
      </c>
      <c r="CR201" s="1650">
        <f t="shared" si="396"/>
        <v>0</v>
      </c>
      <c r="CS201" s="1650">
        <f t="shared" si="397"/>
        <v>0</v>
      </c>
      <c r="CT201" s="1650">
        <f t="shared" si="398"/>
        <v>53.58</v>
      </c>
      <c r="CU201" s="1650">
        <f t="shared" si="399"/>
        <v>2120</v>
      </c>
      <c r="CV201" s="1653"/>
      <c r="CW201" s="1627" t="s">
        <v>7045</v>
      </c>
      <c r="CX201" s="1627" t="s">
        <v>6935</v>
      </c>
      <c r="CY201" s="1647"/>
      <c r="CZ201" s="1647" t="s">
        <v>6398</v>
      </c>
      <c r="DA201" s="1657" t="s">
        <v>6173</v>
      </c>
      <c r="DB201" s="1657" t="s">
        <v>6202</v>
      </c>
      <c r="DC201" s="1647" t="s">
        <v>6448</v>
      </c>
      <c r="DD201" s="1647"/>
      <c r="DE201" s="1647"/>
      <c r="DF201" s="1647"/>
      <c r="DG201" s="1647"/>
      <c r="DH201" s="1647"/>
      <c r="DJ201" s="1654" t="str">
        <f>VLOOKUP(X201,Hoja1!$A$4:$B$10,2,0)</f>
        <v>BACHILLER</v>
      </c>
      <c r="DK201" s="1654" t="str">
        <f>VLOOKUP(S201,Hoja1!$D$4:$F$77,3,0)</f>
        <v>BII - II</v>
      </c>
      <c r="DL201" s="1663" t="str">
        <f t="shared" si="400"/>
        <v>0</v>
      </c>
      <c r="DM201" s="1742" t="str">
        <f t="shared" si="401"/>
        <v>F</v>
      </c>
      <c r="DN201" s="1742"/>
    </row>
    <row r="202" spans="1:118" s="478" customFormat="1" ht="21.95" customHeight="1">
      <c r="A202" s="510" t="s">
        <v>2846</v>
      </c>
      <c r="B202" s="1390">
        <f t="shared" ca="1" si="479"/>
        <v>160</v>
      </c>
      <c r="C202" s="1194">
        <v>17596844</v>
      </c>
      <c r="D202" s="1195" t="s">
        <v>6770</v>
      </c>
      <c r="E202" s="1180" t="s">
        <v>4622</v>
      </c>
      <c r="F202" s="1161">
        <v>31320</v>
      </c>
      <c r="G202" s="1180" t="s">
        <v>4621</v>
      </c>
      <c r="H202" s="1161">
        <v>45474</v>
      </c>
      <c r="I202" s="1185">
        <f t="shared" si="379"/>
        <v>0</v>
      </c>
      <c r="J202" s="1177">
        <v>0</v>
      </c>
      <c r="K202" s="1185">
        <f t="shared" si="380"/>
        <v>0</v>
      </c>
      <c r="L202" s="1447" t="s">
        <v>5561</v>
      </c>
      <c r="M202" s="1177"/>
      <c r="N202" s="1177"/>
      <c r="O202" s="1040" t="s">
        <v>5222</v>
      </c>
      <c r="P202" s="1197" t="s">
        <v>6771</v>
      </c>
      <c r="Q202" s="1391" t="str">
        <f>IFERROR(VLOOKUP(O202,CARGOS!A:E,2,0),"")</f>
        <v>79511</v>
      </c>
      <c r="R202" s="1403" t="s">
        <v>5222</v>
      </c>
      <c r="S202" s="1192" t="s">
        <v>5475</v>
      </c>
      <c r="T202" s="1150">
        <f>IFERROR(VLOOKUP(S202,'TAB EMP'!A:B,2,0),0)</f>
        <v>192</v>
      </c>
      <c r="U202" s="1151">
        <v>0</v>
      </c>
      <c r="V202" s="1150">
        <f t="shared" ref="V202:V203" si="500">T202-U202</f>
        <v>192</v>
      </c>
      <c r="W202" s="1151">
        <f t="shared" ref="W202:W203" si="501">ROUND(V202/2,2)</f>
        <v>96</v>
      </c>
      <c r="X202" s="1180" t="s">
        <v>2844</v>
      </c>
      <c r="Y202" s="1180"/>
      <c r="Z202" s="1180">
        <v>2</v>
      </c>
      <c r="AA202" s="1150">
        <f>ROUND(IF(H202&lt;&gt;"",VLOOKUP(SUM(I202+J202),'CONCEPTOS Y PARAMETROS'!F:G,2,0)*V202,0),2)</f>
        <v>0</v>
      </c>
      <c r="AB202" s="1150">
        <f>IF(S202&lt;&gt;"",IF(M202="",'CONCEPTOS Y PARAMETROS'!$C$4,0),0)</f>
        <v>130</v>
      </c>
      <c r="AC202" s="1150">
        <f>IF(S202&lt;&gt;"",IF(M202="",'CONCEPTOS Y PARAMETROS'!$C$7*Z202,0),0)</f>
        <v>25</v>
      </c>
      <c r="AD202" s="1150">
        <f>IFERROR(ROUND(VLOOKUP($X202,'CONCEPTOS Y PARAMETROS'!H:I,2,0)*($V202+AA202+AB202+AC202),2),0)</f>
        <v>69.400000000000006</v>
      </c>
      <c r="AE202" s="1150">
        <f t="shared" ref="AE202:AE203" si="502">SUM(AA202:AD202)</f>
        <v>224.4</v>
      </c>
      <c r="AF202" s="1150">
        <f t="shared" ref="AF202:AF203" si="503">ROUND(AA202/2,2)</f>
        <v>0</v>
      </c>
      <c r="AG202" s="1150">
        <f t="shared" ref="AG202:AG203" si="504">ROUND(AA202-AF202,2)</f>
        <v>0</v>
      </c>
      <c r="AH202" s="1150">
        <f t="shared" ref="AH202:AH203" si="505">ROUND(AB202/2,2)</f>
        <v>65</v>
      </c>
      <c r="AI202" s="1150">
        <f t="shared" ref="AI202:AI203" si="506">ROUND(AB202-AH202,2)</f>
        <v>65</v>
      </c>
      <c r="AJ202" s="1150">
        <f t="shared" ref="AJ202:AJ203" si="507">ROUND(AD202/2,2)</f>
        <v>34.700000000000003</v>
      </c>
      <c r="AK202" s="1150">
        <f t="shared" ref="AK202:AK203" si="508">ROUND(AD202-AJ202,2)</f>
        <v>34.700000000000003</v>
      </c>
      <c r="AL202" s="1151">
        <f t="shared" ref="AL202:AL203" si="509">ROUND(AF202+AH202+AJ202+AC202,2)</f>
        <v>124.7</v>
      </c>
      <c r="AM202" s="1151">
        <f t="shared" ref="AM202:AM203" si="510">ROUND(AG202+AI202+AK202,2)</f>
        <v>99.7</v>
      </c>
      <c r="AN202" s="1028">
        <v>0</v>
      </c>
      <c r="AO202" s="1193">
        <f>'CONCEPTOS Y PARAMETROS'!$C$18*AN202</f>
        <v>0</v>
      </c>
      <c r="AP202" s="1028">
        <v>0</v>
      </c>
      <c r="AQ202" s="1193">
        <f>'CONCEPTOS Y PARAMETROS'!$C$21*AP202</f>
        <v>0</v>
      </c>
      <c r="AR202" s="1394">
        <v>0</v>
      </c>
      <c r="AS202" s="1394">
        <v>0</v>
      </c>
      <c r="AT202" s="1394">
        <f t="shared" si="480"/>
        <v>0</v>
      </c>
      <c r="AU202" s="1151">
        <f t="shared" ref="AU202:AU203" si="511">V202+AE202+AW202</f>
        <v>541.31999999999994</v>
      </c>
      <c r="AV202" s="1178" t="s">
        <v>5080</v>
      </c>
      <c r="AW202" s="1151">
        <f t="shared" si="499"/>
        <v>124.92</v>
      </c>
      <c r="AX202" s="1150">
        <f>IF(T202&lt;&gt;"0",(ROUND(IF(A202="EMPLEADO",eval_formula('CONCEPTOS Y PARAMETROS'!$C$8,NOMINA!V202,NOMINA!$AU202,NOMINA!I202+NOMINA!J202),eval_formula('CONCEPTOS Y PARAMETROS'!$D$8,NOMINA!V202,NOMINA!$AU202,NOMINA!I202+NOMINA!J202)),2))*IF(H202&lt;&gt;"",IF(MONTH(H202)=$BR$8,IF(YEAR(H202)&lt;$BT$7,1,0),0)))</f>
        <v>0</v>
      </c>
      <c r="AY202" s="1151">
        <v>90</v>
      </c>
      <c r="AZ202" s="1150">
        <f>IFERROR(VLOOKUP(AY202,'CONCEPTOS Y PARAMETROS'!Y:Z,2,0),0)</f>
        <v>75</v>
      </c>
      <c r="BA202" s="1150">
        <f t="shared" ref="BA202:BA203" si="512">ROUND((((AU202))/30*AY202/12+(AU202))/30*AZ202,2)</f>
        <v>1691.63</v>
      </c>
      <c r="BB202" s="1150">
        <f t="shared" si="381"/>
        <v>0</v>
      </c>
      <c r="BC202" s="1028">
        <v>0</v>
      </c>
      <c r="BD202" s="1150" t="str">
        <f t="shared" ref="BD202:BD203" si="513">IF(BC202&gt;0,((((((V202+AA202+AB202+AC202+AD202)/30)/8)*50%)+((((V202+AA202+AB202+AC202+AD202)/30)/8)))*30%+(((((V202+AA202+AB202+AC202+AD202)/30)/8)*50%)+((((V202+AA202+AB202+AC202+AD202)/30)/8))))*BC202,"0")</f>
        <v>0</v>
      </c>
      <c r="BE202" s="1028">
        <v>5</v>
      </c>
      <c r="BF202" s="1150">
        <f t="shared" si="458"/>
        <v>135.33000000000001</v>
      </c>
      <c r="BG202" s="1151">
        <v>300</v>
      </c>
      <c r="BH202" s="1151">
        <f t="shared" si="382"/>
        <v>0</v>
      </c>
      <c r="BI202" s="1180">
        <v>0</v>
      </c>
      <c r="BJ202" s="1180">
        <f t="shared" si="372"/>
        <v>0</v>
      </c>
      <c r="BK202" s="1151">
        <v>0</v>
      </c>
      <c r="BL202" s="1150">
        <f t="shared" si="450"/>
        <v>19.989999999999998</v>
      </c>
      <c r="BM202" s="1150">
        <f t="shared" si="451"/>
        <v>2.5</v>
      </c>
      <c r="BN202" s="1150">
        <f t="shared" ref="BN202:BN223" si="514">ROUND(IF(M202="",(AU202*1%),0),2)</f>
        <v>5.41</v>
      </c>
      <c r="BO202" s="1150">
        <v>0</v>
      </c>
      <c r="BP202" s="1150">
        <v>0</v>
      </c>
      <c r="BQ202" s="1396">
        <f t="shared" ref="BQ202" si="515">ROUND(SUM(BL202:BP202),2)</f>
        <v>27.9</v>
      </c>
      <c r="BR202" s="1150">
        <f t="shared" si="453"/>
        <v>44.97</v>
      </c>
      <c r="BS202" s="1150">
        <f t="shared" si="454"/>
        <v>9.99</v>
      </c>
      <c r="BT202" s="1150">
        <f t="shared" si="383"/>
        <v>10.82</v>
      </c>
      <c r="BU202" s="1150">
        <v>0</v>
      </c>
      <c r="BV202" s="1151">
        <f t="shared" si="374"/>
        <v>65.78</v>
      </c>
      <c r="BW202" s="1155">
        <f t="shared" si="375"/>
        <v>93.68</v>
      </c>
      <c r="BX202" s="1155">
        <f t="shared" si="457"/>
        <v>422.91</v>
      </c>
      <c r="BY202" s="1151">
        <v>0</v>
      </c>
      <c r="BZ202" s="1151">
        <f t="shared" si="371"/>
        <v>422.91</v>
      </c>
      <c r="CA202" s="1397">
        <f>'CONCEPTOS Y PARAMETROS'!$A$102</f>
        <v>2120</v>
      </c>
      <c r="CB202" s="1155">
        <f t="shared" si="384"/>
        <v>192.79999999999998</v>
      </c>
      <c r="CC202" s="1156">
        <f t="shared" si="385"/>
        <v>755.95</v>
      </c>
      <c r="CD202" s="514"/>
      <c r="CE202" s="514"/>
      <c r="CG202" s="511">
        <f t="shared" si="386"/>
        <v>192.79999999999998</v>
      </c>
      <c r="CH202" s="1712">
        <f t="shared" si="387"/>
        <v>300</v>
      </c>
      <c r="CI202" s="511">
        <f t="shared" si="388"/>
        <v>495.7</v>
      </c>
      <c r="CJ202" s="511">
        <f t="shared" si="389"/>
        <v>495.7</v>
      </c>
      <c r="CK202" s="511">
        <f t="shared" si="390"/>
        <v>0</v>
      </c>
      <c r="CL202" s="511">
        <f t="shared" si="391"/>
        <v>0</v>
      </c>
      <c r="CM202" s="511">
        <f t="shared" si="392"/>
        <v>0</v>
      </c>
      <c r="CN202" s="512">
        <f t="shared" si="393"/>
        <v>135.33000000000001</v>
      </c>
      <c r="CO202" s="513">
        <v>0</v>
      </c>
      <c r="CP202" s="512">
        <f t="shared" si="394"/>
        <v>124.92</v>
      </c>
      <c r="CQ202" s="500">
        <f t="shared" si="395"/>
        <v>0</v>
      </c>
      <c r="CR202" s="512">
        <f t="shared" si="396"/>
        <v>0</v>
      </c>
      <c r="CS202" s="512">
        <f t="shared" si="397"/>
        <v>260.25</v>
      </c>
      <c r="CT202" s="512">
        <f t="shared" si="398"/>
        <v>93.68</v>
      </c>
      <c r="CU202" s="512">
        <f t="shared" si="399"/>
        <v>2120</v>
      </c>
      <c r="CV202" s="1556"/>
      <c r="CW202" s="1195" t="s">
        <v>7046</v>
      </c>
      <c r="CX202" s="1195" t="s">
        <v>7047</v>
      </c>
      <c r="CY202" s="514"/>
      <c r="CZ202" s="1199" t="s">
        <v>6772</v>
      </c>
      <c r="DA202" s="1200" t="s">
        <v>6181</v>
      </c>
      <c r="DB202" s="1199" t="s">
        <v>6651</v>
      </c>
      <c r="DC202" s="1199" t="s">
        <v>6778</v>
      </c>
      <c r="DD202" s="514"/>
      <c r="DE202" s="514"/>
      <c r="DF202" s="514"/>
      <c r="DG202" s="514"/>
      <c r="DH202" s="514"/>
      <c r="DJ202" s="478" t="str">
        <f>VLOOKUP(X202,Hoja1!$A$4:$B$10,2,0)</f>
        <v>TÉCNICO SUPERIOR UNIVERSITARIO</v>
      </c>
      <c r="DK202" s="478" t="str">
        <f>VLOOKUP(S202,Hoja1!$D$4:$F$77,3,0)</f>
        <v>TI</v>
      </c>
      <c r="DL202" s="1218" t="str">
        <f t="shared" si="400"/>
        <v>SI</v>
      </c>
      <c r="DM202" s="1743" t="str">
        <f t="shared" si="401"/>
        <v>M</v>
      </c>
      <c r="DN202" s="1743"/>
    </row>
    <row r="203" spans="1:118" s="478" customFormat="1" ht="21.95" customHeight="1">
      <c r="A203" s="510" t="s">
        <v>2846</v>
      </c>
      <c r="B203" s="1390">
        <f t="shared" ca="1" si="479"/>
        <v>161</v>
      </c>
      <c r="C203" s="1194">
        <v>17597257</v>
      </c>
      <c r="D203" s="1195" t="s">
        <v>6830</v>
      </c>
      <c r="E203" s="1180" t="s">
        <v>4622</v>
      </c>
      <c r="F203" s="1196">
        <v>31324</v>
      </c>
      <c r="G203" s="1180" t="s">
        <v>4621</v>
      </c>
      <c r="H203" s="1196">
        <v>45536</v>
      </c>
      <c r="I203" s="1185">
        <f t="shared" si="379"/>
        <v>0</v>
      </c>
      <c r="J203" s="1177">
        <v>0</v>
      </c>
      <c r="K203" s="1185">
        <f t="shared" si="380"/>
        <v>0</v>
      </c>
      <c r="L203" s="1191" t="s">
        <v>5561</v>
      </c>
      <c r="M203" s="1177"/>
      <c r="N203" s="1177"/>
      <c r="O203" s="1040" t="s">
        <v>1162</v>
      </c>
      <c r="P203" s="1197" t="s">
        <v>6831</v>
      </c>
      <c r="Q203" s="1391" t="str">
        <f>IFERROR(VLOOKUP(O203,CARGOS!A:E,2,0),"")</f>
        <v>79511</v>
      </c>
      <c r="R203" s="1403" t="s">
        <v>5222</v>
      </c>
      <c r="S203" s="1192" t="s">
        <v>5475</v>
      </c>
      <c r="T203" s="1150">
        <f>IFERROR(VLOOKUP(S203,'TAB EMP'!A:B,2,0),0)</f>
        <v>192</v>
      </c>
      <c r="U203" s="1151">
        <v>0</v>
      </c>
      <c r="V203" s="1150">
        <f t="shared" si="500"/>
        <v>192</v>
      </c>
      <c r="W203" s="1151">
        <f t="shared" si="501"/>
        <v>96</v>
      </c>
      <c r="X203" s="1180" t="s">
        <v>2844</v>
      </c>
      <c r="Y203" s="1180"/>
      <c r="Z203" s="1180">
        <v>0</v>
      </c>
      <c r="AA203" s="1150">
        <f>ROUND(IF(H203&lt;&gt;"",VLOOKUP(SUM(I203+J203),'CONCEPTOS Y PARAMETROS'!F:G,2,0)*V203,0),2)</f>
        <v>0</v>
      </c>
      <c r="AB203" s="1150">
        <f>IF(S203&lt;&gt;"",IF(M203="",'CONCEPTOS Y PARAMETROS'!$C$4,0),0)</f>
        <v>130</v>
      </c>
      <c r="AC203" s="1150">
        <f>IF(S203&lt;&gt;"",IF(M203="",'CONCEPTOS Y PARAMETROS'!$C$7*Z203,0),0)</f>
        <v>0</v>
      </c>
      <c r="AD203" s="1150">
        <f>IFERROR(ROUND(VLOOKUP($X203,'CONCEPTOS Y PARAMETROS'!H:I,2,0)*($V203+AA203+AB203+AC203),2),0)</f>
        <v>64.400000000000006</v>
      </c>
      <c r="AE203" s="1150">
        <f t="shared" si="502"/>
        <v>194.4</v>
      </c>
      <c r="AF203" s="1150">
        <f t="shared" si="503"/>
        <v>0</v>
      </c>
      <c r="AG203" s="1150">
        <f t="shared" si="504"/>
        <v>0</v>
      </c>
      <c r="AH203" s="1150">
        <f t="shared" si="505"/>
        <v>65</v>
      </c>
      <c r="AI203" s="1150">
        <f t="shared" si="506"/>
        <v>65</v>
      </c>
      <c r="AJ203" s="1150">
        <f t="shared" si="507"/>
        <v>32.200000000000003</v>
      </c>
      <c r="AK203" s="1150">
        <f t="shared" si="508"/>
        <v>32.200000000000003</v>
      </c>
      <c r="AL203" s="1151">
        <f t="shared" si="509"/>
        <v>97.2</v>
      </c>
      <c r="AM203" s="1151">
        <f t="shared" si="510"/>
        <v>97.2</v>
      </c>
      <c r="AN203" s="1028">
        <v>0</v>
      </c>
      <c r="AO203" s="1193">
        <f>'CONCEPTOS Y PARAMETROS'!$C$18*AN203</f>
        <v>0</v>
      </c>
      <c r="AP203" s="1028">
        <v>0</v>
      </c>
      <c r="AQ203" s="1193">
        <f>'CONCEPTOS Y PARAMETROS'!$C$21*AP203</f>
        <v>0</v>
      </c>
      <c r="AR203" s="1394">
        <v>0</v>
      </c>
      <c r="AS203" s="1394">
        <v>0</v>
      </c>
      <c r="AT203" s="1394">
        <f t="shared" si="480"/>
        <v>0</v>
      </c>
      <c r="AU203" s="1151">
        <f t="shared" si="511"/>
        <v>502.32</v>
      </c>
      <c r="AV203" s="1178" t="s">
        <v>5080</v>
      </c>
      <c r="AW203" s="1151">
        <f t="shared" si="499"/>
        <v>115.92</v>
      </c>
      <c r="AX203" s="1150">
        <f>IF(T203&lt;&gt;"0",(ROUND(IF(A203="EMPLEADO",eval_formula('CONCEPTOS Y PARAMETROS'!$C$8,NOMINA!V203,NOMINA!$AU203,NOMINA!I203+NOMINA!J203),eval_formula('CONCEPTOS Y PARAMETROS'!$D$8,NOMINA!V203,NOMINA!$AU203,NOMINA!I203+NOMINA!J203)),2))*IF(H203&lt;&gt;"",IF(MONTH(H203)=$BR$8,IF(YEAR(H203)&lt;$BT$7,1,0),0)))</f>
        <v>0</v>
      </c>
      <c r="AY203" s="1151">
        <v>60</v>
      </c>
      <c r="AZ203" s="1150">
        <f>IFERROR(VLOOKUP(AY203,'CONCEPTOS Y PARAMETROS'!Y:Z,2,0),0)</f>
        <v>50</v>
      </c>
      <c r="BA203" s="1150">
        <f t="shared" si="512"/>
        <v>976.73</v>
      </c>
      <c r="BB203" s="1150">
        <f t="shared" si="381"/>
        <v>0</v>
      </c>
      <c r="BC203" s="1028">
        <v>0</v>
      </c>
      <c r="BD203" s="1150" t="str">
        <f t="shared" si="513"/>
        <v>0</v>
      </c>
      <c r="BE203" s="1028">
        <v>3</v>
      </c>
      <c r="BF203" s="1150">
        <f t="shared" si="458"/>
        <v>75.349999999999994</v>
      </c>
      <c r="BG203" s="1151">
        <v>300</v>
      </c>
      <c r="BH203" s="1151">
        <f t="shared" si="382"/>
        <v>0</v>
      </c>
      <c r="BI203" s="1180">
        <v>0</v>
      </c>
      <c r="BJ203" s="1180">
        <f t="shared" si="372"/>
        <v>0</v>
      </c>
      <c r="BK203" s="1151">
        <v>0</v>
      </c>
      <c r="BL203" s="1150">
        <f t="shared" si="450"/>
        <v>18.55</v>
      </c>
      <c r="BM203" s="1150">
        <f t="shared" si="451"/>
        <v>2.3199999999999998</v>
      </c>
      <c r="BN203" s="1150">
        <f t="shared" si="514"/>
        <v>5.0199999999999996</v>
      </c>
      <c r="BO203" s="1150">
        <v>0</v>
      </c>
      <c r="BP203" s="1150">
        <v>0</v>
      </c>
      <c r="BQ203" s="1396">
        <f t="shared" ref="BQ203" si="516">ROUND(SUM(BL203:BP203),2)</f>
        <v>25.89</v>
      </c>
      <c r="BR203" s="1150">
        <f t="shared" si="453"/>
        <v>41.73</v>
      </c>
      <c r="BS203" s="1150">
        <f t="shared" si="454"/>
        <v>9.27</v>
      </c>
      <c r="BT203" s="1150">
        <f t="shared" si="383"/>
        <v>10.039999999999999</v>
      </c>
      <c r="BU203" s="1150">
        <v>0</v>
      </c>
      <c r="BV203" s="1151">
        <f t="shared" ref="BV203" si="517">ROUND(SUM(BR203:BT203),2)</f>
        <v>61.04</v>
      </c>
      <c r="BW203" s="1155">
        <f t="shared" ref="BW203" si="518">BQ203+BV203</f>
        <v>86.93</v>
      </c>
      <c r="BX203" s="1155">
        <f t="shared" si="457"/>
        <v>244.18</v>
      </c>
      <c r="BY203" s="1151">
        <v>0</v>
      </c>
      <c r="BZ203" s="1151">
        <f t="shared" si="371"/>
        <v>244.18</v>
      </c>
      <c r="CA203" s="1397">
        <f>'CONCEPTOS Y PARAMETROS'!$A$102</f>
        <v>2120</v>
      </c>
      <c r="CB203" s="1155">
        <f t="shared" si="384"/>
        <v>167.31</v>
      </c>
      <c r="CC203" s="1156">
        <f t="shared" si="385"/>
        <v>684.47</v>
      </c>
      <c r="CD203" s="514"/>
      <c r="CE203" s="514"/>
      <c r="CF203" s="521"/>
      <c r="CG203" s="511">
        <f t="shared" si="386"/>
        <v>167.31</v>
      </c>
      <c r="CH203" s="1712">
        <f t="shared" si="387"/>
        <v>300</v>
      </c>
      <c r="CI203" s="511">
        <f t="shared" si="388"/>
        <v>493.2</v>
      </c>
      <c r="CJ203" s="511">
        <f t="shared" si="389"/>
        <v>493.2</v>
      </c>
      <c r="CK203" s="511">
        <f t="shared" si="390"/>
        <v>0</v>
      </c>
      <c r="CL203" s="511">
        <f t="shared" si="391"/>
        <v>0</v>
      </c>
      <c r="CM203" s="511">
        <f t="shared" si="392"/>
        <v>0</v>
      </c>
      <c r="CN203" s="512">
        <f t="shared" si="393"/>
        <v>75.349999999999994</v>
      </c>
      <c r="CO203" s="513">
        <v>0</v>
      </c>
      <c r="CP203" s="512">
        <f t="shared" si="394"/>
        <v>115.92</v>
      </c>
      <c r="CQ203" s="500">
        <f t="shared" si="395"/>
        <v>0</v>
      </c>
      <c r="CR203" s="512">
        <f t="shared" si="396"/>
        <v>0</v>
      </c>
      <c r="CS203" s="512">
        <f t="shared" si="397"/>
        <v>191.26999999999998</v>
      </c>
      <c r="CT203" s="512">
        <f t="shared" si="398"/>
        <v>86.93</v>
      </c>
      <c r="CU203" s="512">
        <f t="shared" si="399"/>
        <v>2120</v>
      </c>
      <c r="CV203" s="1556"/>
      <c r="CW203" s="1195" t="s">
        <v>6971</v>
      </c>
      <c r="CX203" s="1195" t="s">
        <v>7047</v>
      </c>
      <c r="CY203" s="514"/>
      <c r="CZ203" s="1199">
        <v>4247445725</v>
      </c>
      <c r="DA203" s="514"/>
      <c r="DB203" s="514"/>
      <c r="DC203" s="1199"/>
      <c r="DD203" s="514"/>
      <c r="DE203" s="514"/>
      <c r="DF203" s="514"/>
      <c r="DG203" s="514"/>
      <c r="DH203" s="514"/>
      <c r="DJ203" s="478" t="str">
        <f>VLOOKUP(X203,Hoja1!$A$4:$B$10,2,0)</f>
        <v>TÉCNICO SUPERIOR UNIVERSITARIO</v>
      </c>
      <c r="DK203" s="478" t="str">
        <f>VLOOKUP(S203,Hoja1!$D$4:$F$77,3,0)</f>
        <v>TI</v>
      </c>
      <c r="DL203" s="1239" t="str">
        <f t="shared" si="400"/>
        <v>SI</v>
      </c>
      <c r="DM203" s="1743" t="str">
        <f t="shared" si="401"/>
        <v>M</v>
      </c>
      <c r="DN203" s="1743"/>
    </row>
    <row r="204" spans="1:118" s="478" customFormat="1" ht="21.95" customHeight="1">
      <c r="A204" s="510" t="s">
        <v>2846</v>
      </c>
      <c r="B204" s="1390">
        <f t="shared" ca="1" si="479"/>
        <v>162</v>
      </c>
      <c r="C204" s="1194">
        <v>17597285</v>
      </c>
      <c r="D204" s="1195" t="s">
        <v>4841</v>
      </c>
      <c r="E204" s="1180" t="s">
        <v>4622</v>
      </c>
      <c r="F204" s="1196">
        <v>31429</v>
      </c>
      <c r="G204" s="1180" t="s">
        <v>4621</v>
      </c>
      <c r="H204" s="1196">
        <v>42782</v>
      </c>
      <c r="I204" s="1185">
        <f t="shared" si="379"/>
        <v>7</v>
      </c>
      <c r="J204" s="1177">
        <v>0</v>
      </c>
      <c r="K204" s="1185">
        <f t="shared" si="380"/>
        <v>7</v>
      </c>
      <c r="L204" s="1191" t="s">
        <v>5551</v>
      </c>
      <c r="M204" s="1177"/>
      <c r="N204" s="1177"/>
      <c r="O204" s="1040" t="s">
        <v>5254</v>
      </c>
      <c r="P204" s="1177" t="s">
        <v>5402</v>
      </c>
      <c r="Q204" s="1391" t="str">
        <f>IFERROR(VLOOKUP(O204,CARGOS!A:E,2,0),"")</f>
        <v>79342</v>
      </c>
      <c r="R204" s="1403" t="s">
        <v>5254</v>
      </c>
      <c r="S204" s="1192" t="s">
        <v>5491</v>
      </c>
      <c r="T204" s="1150">
        <f>IFERROR(VLOOKUP(S204,'TAB EMP'!A:B,2,0),0)</f>
        <v>221</v>
      </c>
      <c r="U204" s="1151">
        <v>0</v>
      </c>
      <c r="V204" s="1150">
        <f t="shared" si="402"/>
        <v>221</v>
      </c>
      <c r="W204" s="1151">
        <f t="shared" si="403"/>
        <v>110.5</v>
      </c>
      <c r="X204" s="1180" t="s">
        <v>2844</v>
      </c>
      <c r="Y204" s="1180"/>
      <c r="Z204" s="1180">
        <v>0</v>
      </c>
      <c r="AA204" s="1150">
        <f>ROUND(IF(H204&lt;&gt;"",VLOOKUP(SUM(I204+J204),'CONCEPTOS Y PARAMETROS'!F:G,2,0)*V204,0),2)</f>
        <v>16.350000000000001</v>
      </c>
      <c r="AB204" s="1150">
        <f>IF(S204&lt;&gt;"",IF(M204="",'CONCEPTOS Y PARAMETROS'!$C$4,0),0)</f>
        <v>130</v>
      </c>
      <c r="AC204" s="1150">
        <f>IF(S204&lt;&gt;"",IF(M204="",'CONCEPTOS Y PARAMETROS'!$C$7*Z204,0),0)</f>
        <v>0</v>
      </c>
      <c r="AD204" s="1150">
        <f>IFERROR(ROUND(VLOOKUP($X204,'CONCEPTOS Y PARAMETROS'!H:I,2,0)*($V204+AA204+AB204+AC204),2),0)</f>
        <v>73.47</v>
      </c>
      <c r="AE204" s="1150">
        <f t="shared" si="376"/>
        <v>219.82</v>
      </c>
      <c r="AF204" s="1150">
        <f t="shared" si="404"/>
        <v>8.18</v>
      </c>
      <c r="AG204" s="1150">
        <f t="shared" si="405"/>
        <v>8.17</v>
      </c>
      <c r="AH204" s="1150">
        <f t="shared" si="406"/>
        <v>65</v>
      </c>
      <c r="AI204" s="1150">
        <f t="shared" si="407"/>
        <v>65</v>
      </c>
      <c r="AJ204" s="1150">
        <f t="shared" si="408"/>
        <v>36.74</v>
      </c>
      <c r="AK204" s="1150">
        <f t="shared" si="409"/>
        <v>36.729999999999997</v>
      </c>
      <c r="AL204" s="1151">
        <f t="shared" si="410"/>
        <v>109.92</v>
      </c>
      <c r="AM204" s="1151">
        <f t="shared" si="411"/>
        <v>109.9</v>
      </c>
      <c r="AN204" s="1028">
        <v>0</v>
      </c>
      <c r="AO204" s="1193">
        <f>'CONCEPTOS Y PARAMETROS'!$C$18*AN204</f>
        <v>0</v>
      </c>
      <c r="AP204" s="1028">
        <v>0</v>
      </c>
      <c r="AQ204" s="1193">
        <f>'CONCEPTOS Y PARAMETROS'!$C$21*AP204</f>
        <v>0</v>
      </c>
      <c r="AR204" s="1394">
        <v>0</v>
      </c>
      <c r="AS204" s="1394">
        <v>0</v>
      </c>
      <c r="AT204" s="1394">
        <f t="shared" si="480"/>
        <v>0</v>
      </c>
      <c r="AU204" s="1151">
        <f t="shared" si="412"/>
        <v>440.82</v>
      </c>
      <c r="AV204" s="1178">
        <v>0</v>
      </c>
      <c r="AW204" s="1151">
        <f t="shared" si="499"/>
        <v>0</v>
      </c>
      <c r="AX204" s="1150">
        <f>IF(T204&lt;&gt;"0",(ROUND(IF(A204="EMPLEADO",eval_formula('CONCEPTOS Y PARAMETROS'!$C$8,NOMINA!V204,NOMINA!$AU204,NOMINA!I204+NOMINA!J204),eval_formula('CONCEPTOS Y PARAMETROS'!$D$8,NOMINA!V204,NOMINA!$AU204,NOMINA!I204+NOMINA!J204)),2))*IF(H204&lt;&gt;"",IF(MONTH(H204)=$BR$8,IF(YEAR(H204)&lt;$BT$7,1,0),0)))</f>
        <v>0</v>
      </c>
      <c r="AY204" s="1151">
        <v>180</v>
      </c>
      <c r="AZ204" s="1150">
        <f>IFERROR(VLOOKUP(AY204,'CONCEPTOS Y PARAMETROS'!Y:Z,2,0),0)</f>
        <v>150</v>
      </c>
      <c r="BA204" s="1150">
        <f t="shared" si="413"/>
        <v>3306.15</v>
      </c>
      <c r="BB204" s="1150">
        <f t="shared" si="381"/>
        <v>0</v>
      </c>
      <c r="BC204" s="1028">
        <v>0</v>
      </c>
      <c r="BD204" s="1150" t="str">
        <f t="shared" si="414"/>
        <v>0</v>
      </c>
      <c r="BE204" s="1028">
        <v>0</v>
      </c>
      <c r="BF204" s="1150">
        <f t="shared" si="458"/>
        <v>0</v>
      </c>
      <c r="BG204" s="1151">
        <v>300</v>
      </c>
      <c r="BH204" s="1151">
        <f t="shared" si="382"/>
        <v>0</v>
      </c>
      <c r="BI204" s="1180">
        <v>0</v>
      </c>
      <c r="BJ204" s="1180">
        <f t="shared" si="372"/>
        <v>0</v>
      </c>
      <c r="BK204" s="1151">
        <v>0</v>
      </c>
      <c r="BL204" s="1150">
        <f t="shared" si="450"/>
        <v>16.28</v>
      </c>
      <c r="BM204" s="1150">
        <f t="shared" si="451"/>
        <v>2.0299999999999998</v>
      </c>
      <c r="BN204" s="1150">
        <f t="shared" si="514"/>
        <v>4.41</v>
      </c>
      <c r="BO204" s="1150">
        <v>0</v>
      </c>
      <c r="BP204" s="1150">
        <v>0</v>
      </c>
      <c r="BQ204" s="1396">
        <f t="shared" si="373"/>
        <v>22.72</v>
      </c>
      <c r="BR204" s="1150">
        <f t="shared" si="453"/>
        <v>36.619999999999997</v>
      </c>
      <c r="BS204" s="1150">
        <f t="shared" si="454"/>
        <v>8.14</v>
      </c>
      <c r="BT204" s="1150">
        <f t="shared" si="383"/>
        <v>8.82</v>
      </c>
      <c r="BU204" s="1150">
        <v>0</v>
      </c>
      <c r="BV204" s="1151">
        <f t="shared" si="374"/>
        <v>53.58</v>
      </c>
      <c r="BW204" s="1155">
        <f t="shared" si="375"/>
        <v>76.3</v>
      </c>
      <c r="BX204" s="1155">
        <f t="shared" si="457"/>
        <v>826.54</v>
      </c>
      <c r="BY204" s="1151">
        <v>0</v>
      </c>
      <c r="BZ204" s="1151">
        <f t="shared" si="371"/>
        <v>826.54</v>
      </c>
      <c r="CA204" s="1397">
        <f>'CONCEPTOS Y PARAMETROS'!$A$102</f>
        <v>2120</v>
      </c>
      <c r="CB204" s="1155">
        <f t="shared" si="384"/>
        <v>197.70000000000002</v>
      </c>
      <c r="CC204" s="1156">
        <f t="shared" si="385"/>
        <v>520.4</v>
      </c>
      <c r="CD204" s="514"/>
      <c r="CE204" s="514"/>
      <c r="CF204" s="520"/>
      <c r="CG204" s="497">
        <f t="shared" si="386"/>
        <v>197.70000000000002</v>
      </c>
      <c r="CH204" s="1711">
        <f t="shared" si="387"/>
        <v>300</v>
      </c>
      <c r="CI204" s="497">
        <f t="shared" si="388"/>
        <v>520.4</v>
      </c>
      <c r="CJ204" s="497">
        <f t="shared" si="389"/>
        <v>520.4</v>
      </c>
      <c r="CK204" s="497">
        <f t="shared" si="390"/>
        <v>0</v>
      </c>
      <c r="CL204" s="497">
        <f t="shared" si="391"/>
        <v>0</v>
      </c>
      <c r="CM204" s="497">
        <f t="shared" si="392"/>
        <v>0</v>
      </c>
      <c r="CN204" s="498">
        <f t="shared" si="393"/>
        <v>0</v>
      </c>
      <c r="CO204" s="499">
        <v>0</v>
      </c>
      <c r="CP204" s="498">
        <f t="shared" si="394"/>
        <v>0</v>
      </c>
      <c r="CQ204" s="500">
        <f t="shared" si="395"/>
        <v>0</v>
      </c>
      <c r="CR204" s="498">
        <f t="shared" si="396"/>
        <v>0</v>
      </c>
      <c r="CS204" s="498">
        <f t="shared" si="397"/>
        <v>0</v>
      </c>
      <c r="CT204" s="498">
        <f t="shared" si="398"/>
        <v>76.3</v>
      </c>
      <c r="CU204" s="498">
        <f t="shared" si="399"/>
        <v>2120</v>
      </c>
      <c r="CV204" s="1554"/>
      <c r="CW204" s="1195" t="s">
        <v>6954</v>
      </c>
      <c r="CX204" s="1195" t="s">
        <v>7048</v>
      </c>
      <c r="CY204" s="472"/>
      <c r="CZ204" s="514" t="s">
        <v>6292</v>
      </c>
      <c r="DA204" s="514" t="s">
        <v>6161</v>
      </c>
      <c r="DB204" s="514" t="s">
        <v>6293</v>
      </c>
      <c r="DC204" s="514" t="s">
        <v>6294</v>
      </c>
      <c r="DD204" s="514"/>
      <c r="DE204" s="514"/>
      <c r="DF204" s="472"/>
      <c r="DG204" s="472"/>
      <c r="DH204" s="472"/>
      <c r="DI204" s="473"/>
      <c r="DJ204" s="473" t="str">
        <f>VLOOKUP(X204,Hoja1!$A$4:$B$10,2,0)</f>
        <v>TÉCNICO SUPERIOR UNIVERSITARIO</v>
      </c>
      <c r="DK204" s="473" t="str">
        <f>VLOOKUP(S204,Hoja1!$D$4:$F$77,3,0)</f>
        <v>TII - III</v>
      </c>
      <c r="DL204" s="1216" t="str">
        <f t="shared" si="400"/>
        <v>0</v>
      </c>
      <c r="DM204" s="1741" t="str">
        <f t="shared" si="401"/>
        <v>M</v>
      </c>
      <c r="DN204" s="1741"/>
    </row>
    <row r="205" spans="1:118" s="473" customFormat="1" ht="21.95" customHeight="1">
      <c r="A205" s="510" t="s">
        <v>2846</v>
      </c>
      <c r="B205" s="1390">
        <f t="shared" ca="1" si="479"/>
        <v>163</v>
      </c>
      <c r="C205" s="1194">
        <v>17604568</v>
      </c>
      <c r="D205" s="1195" t="s">
        <v>4842</v>
      </c>
      <c r="E205" s="1180" t="s">
        <v>4622</v>
      </c>
      <c r="F205" s="1196">
        <v>30724</v>
      </c>
      <c r="G205" s="1180" t="s">
        <v>4621</v>
      </c>
      <c r="H205" s="1196">
        <v>43831</v>
      </c>
      <c r="I205" s="1185">
        <f t="shared" si="379"/>
        <v>5</v>
      </c>
      <c r="J205" s="1177">
        <v>0</v>
      </c>
      <c r="K205" s="1185">
        <f t="shared" si="380"/>
        <v>5</v>
      </c>
      <c r="L205" s="1191" t="s">
        <v>5559</v>
      </c>
      <c r="M205" s="1177"/>
      <c r="N205" s="1177"/>
      <c r="O205" s="1040" t="s">
        <v>5266</v>
      </c>
      <c r="P205" s="1177" t="s">
        <v>5403</v>
      </c>
      <c r="Q205" s="1391" t="str">
        <f>IFERROR(VLOOKUP(O205,CARGOS!A:E,2,0),"")</f>
        <v/>
      </c>
      <c r="R205" s="1403" t="s">
        <v>5266</v>
      </c>
      <c r="S205" s="1192" t="s">
        <v>5481</v>
      </c>
      <c r="T205" s="1150">
        <f>IFERROR(VLOOKUP(S205,'TAB EMP'!A:B,2,0),0)</f>
        <v>219</v>
      </c>
      <c r="U205" s="1151">
        <v>0</v>
      </c>
      <c r="V205" s="1150">
        <f t="shared" si="402"/>
        <v>219</v>
      </c>
      <c r="W205" s="1151">
        <f t="shared" si="403"/>
        <v>109.5</v>
      </c>
      <c r="X205" s="1180" t="s">
        <v>2844</v>
      </c>
      <c r="Y205" s="1180"/>
      <c r="Z205" s="1180">
        <v>2</v>
      </c>
      <c r="AA205" s="1150">
        <f>ROUND(IF(H205&lt;&gt;"",VLOOKUP(SUM(I205+J205),'CONCEPTOS Y PARAMETROS'!F:G,2,0)*V205,0),2)</f>
        <v>10.95</v>
      </c>
      <c r="AB205" s="1150">
        <f>IF(S205&lt;&gt;"",IF(M205="",'CONCEPTOS Y PARAMETROS'!$C$4,0),0)</f>
        <v>130</v>
      </c>
      <c r="AC205" s="1150">
        <f>IF(S205&lt;&gt;"",IF(M205="",'CONCEPTOS Y PARAMETROS'!$C$7*Z205,0),0)</f>
        <v>25</v>
      </c>
      <c r="AD205" s="1150">
        <f>IFERROR(ROUND(VLOOKUP($X205,'CONCEPTOS Y PARAMETROS'!H:I,2,0)*($V205+AA205+AB205+AC205),2),0)</f>
        <v>76.989999999999995</v>
      </c>
      <c r="AE205" s="1150">
        <f t="shared" si="376"/>
        <v>242.94</v>
      </c>
      <c r="AF205" s="1150">
        <f t="shared" si="404"/>
        <v>5.48</v>
      </c>
      <c r="AG205" s="1150">
        <f t="shared" si="405"/>
        <v>5.47</v>
      </c>
      <c r="AH205" s="1150">
        <f t="shared" si="406"/>
        <v>65</v>
      </c>
      <c r="AI205" s="1150">
        <f t="shared" si="407"/>
        <v>65</v>
      </c>
      <c r="AJ205" s="1150">
        <f t="shared" si="408"/>
        <v>38.5</v>
      </c>
      <c r="AK205" s="1150">
        <f t="shared" si="409"/>
        <v>38.49</v>
      </c>
      <c r="AL205" s="1151">
        <f t="shared" si="410"/>
        <v>133.97999999999999</v>
      </c>
      <c r="AM205" s="1151">
        <f t="shared" si="411"/>
        <v>108.96</v>
      </c>
      <c r="AN205" s="1583">
        <v>2</v>
      </c>
      <c r="AO205" s="1193">
        <f>'CONCEPTOS Y PARAMETROS'!$C$18*AN205</f>
        <v>25</v>
      </c>
      <c r="AP205" s="1028">
        <v>0</v>
      </c>
      <c r="AQ205" s="1193">
        <f>'CONCEPTOS Y PARAMETROS'!$C$21*AP205</f>
        <v>0</v>
      </c>
      <c r="AR205" s="1394">
        <v>0</v>
      </c>
      <c r="AS205" s="1394">
        <v>0</v>
      </c>
      <c r="AT205" s="1394">
        <f t="shared" si="480"/>
        <v>25</v>
      </c>
      <c r="AU205" s="1151">
        <f t="shared" si="412"/>
        <v>461.94</v>
      </c>
      <c r="AV205" s="1178">
        <v>0</v>
      </c>
      <c r="AW205" s="1151">
        <f t="shared" si="499"/>
        <v>0</v>
      </c>
      <c r="AX205" s="1150">
        <f>IF(T205&lt;&gt;"0",(ROUND(IF(A205="EMPLEADO",eval_formula('CONCEPTOS Y PARAMETROS'!$C$8,NOMINA!V205,NOMINA!$AU205,NOMINA!I205+NOMINA!J205),eval_formula('CONCEPTOS Y PARAMETROS'!$D$8,NOMINA!V205,NOMINA!$AU205,NOMINA!I205+NOMINA!J205)),2))*IF(H205&lt;&gt;"",IF(MONTH(H205)=$BR$8,IF(YEAR(H205)&lt;$BT$7,1,0),0)))</f>
        <v>3695.52</v>
      </c>
      <c r="AY205" s="1151">
        <v>180</v>
      </c>
      <c r="AZ205" s="1150">
        <f>IFERROR(VLOOKUP(AY205,'CONCEPTOS Y PARAMETROS'!Y:Z,2,0),0)</f>
        <v>150</v>
      </c>
      <c r="BA205" s="1150">
        <f t="shared" si="413"/>
        <v>3464.55</v>
      </c>
      <c r="BB205" s="1150">
        <f t="shared" si="381"/>
        <v>0</v>
      </c>
      <c r="BC205" s="1028">
        <v>0</v>
      </c>
      <c r="BD205" s="1150" t="str">
        <f t="shared" si="414"/>
        <v>0</v>
      </c>
      <c r="BE205" s="1028">
        <v>1</v>
      </c>
      <c r="BF205" s="1150">
        <f t="shared" si="458"/>
        <v>23.1</v>
      </c>
      <c r="BG205" s="1151">
        <v>300</v>
      </c>
      <c r="BH205" s="1151">
        <f t="shared" si="382"/>
        <v>0</v>
      </c>
      <c r="BI205" s="1180">
        <v>0</v>
      </c>
      <c r="BJ205" s="1180">
        <f t="shared" si="372"/>
        <v>0</v>
      </c>
      <c r="BK205" s="1151">
        <v>0</v>
      </c>
      <c r="BL205" s="1150">
        <f t="shared" si="450"/>
        <v>17.059999999999999</v>
      </c>
      <c r="BM205" s="1150">
        <f t="shared" si="451"/>
        <v>2.13</v>
      </c>
      <c r="BN205" s="1150">
        <f t="shared" si="514"/>
        <v>4.62</v>
      </c>
      <c r="BO205" s="1150">
        <v>0</v>
      </c>
      <c r="BP205" s="1150">
        <v>0</v>
      </c>
      <c r="BQ205" s="1396">
        <f t="shared" si="373"/>
        <v>23.81</v>
      </c>
      <c r="BR205" s="1150">
        <f t="shared" si="453"/>
        <v>38.380000000000003</v>
      </c>
      <c r="BS205" s="1150">
        <f t="shared" si="454"/>
        <v>8.5299999999999994</v>
      </c>
      <c r="BT205" s="1150">
        <f t="shared" si="383"/>
        <v>9.24</v>
      </c>
      <c r="BU205" s="1150">
        <v>0</v>
      </c>
      <c r="BV205" s="1151">
        <f t="shared" si="374"/>
        <v>56.15</v>
      </c>
      <c r="BW205" s="1155">
        <f t="shared" si="375"/>
        <v>79.959999999999994</v>
      </c>
      <c r="BX205" s="1155">
        <f t="shared" si="457"/>
        <v>866.14</v>
      </c>
      <c r="BY205" s="1151">
        <v>0</v>
      </c>
      <c r="BZ205" s="1151">
        <f t="shared" si="371"/>
        <v>866.14</v>
      </c>
      <c r="CA205" s="1397">
        <f>'CONCEPTOS Y PARAMETROS'!$A$102</f>
        <v>2120</v>
      </c>
      <c r="CB205" s="1155">
        <f t="shared" si="384"/>
        <v>219.67</v>
      </c>
      <c r="CC205" s="1156">
        <f t="shared" si="385"/>
        <v>4262.08</v>
      </c>
      <c r="CD205" s="514"/>
      <c r="CE205" s="514"/>
      <c r="CF205" s="520"/>
      <c r="CG205" s="497">
        <f t="shared" si="386"/>
        <v>219.67</v>
      </c>
      <c r="CH205" s="1711">
        <f t="shared" si="387"/>
        <v>300</v>
      </c>
      <c r="CI205" s="497">
        <f t="shared" si="388"/>
        <v>518.46</v>
      </c>
      <c r="CJ205" s="497">
        <f t="shared" si="389"/>
        <v>518.46</v>
      </c>
      <c r="CK205" s="497">
        <f t="shared" si="390"/>
        <v>0</v>
      </c>
      <c r="CL205" s="497">
        <f t="shared" si="391"/>
        <v>0</v>
      </c>
      <c r="CM205" s="497">
        <f t="shared" si="392"/>
        <v>0</v>
      </c>
      <c r="CN205" s="498">
        <f t="shared" si="393"/>
        <v>23.1</v>
      </c>
      <c r="CO205" s="499">
        <v>0</v>
      </c>
      <c r="CP205" s="498">
        <f t="shared" si="394"/>
        <v>0</v>
      </c>
      <c r="CQ205" s="500">
        <f t="shared" si="395"/>
        <v>25</v>
      </c>
      <c r="CR205" s="498">
        <f t="shared" si="396"/>
        <v>3695.52</v>
      </c>
      <c r="CS205" s="498">
        <f t="shared" si="397"/>
        <v>3743.62</v>
      </c>
      <c r="CT205" s="498">
        <f t="shared" si="398"/>
        <v>79.959999999999994</v>
      </c>
      <c r="CU205" s="498">
        <f t="shared" si="399"/>
        <v>2120</v>
      </c>
      <c r="CV205" s="1554"/>
      <c r="CW205" s="1195" t="s">
        <v>7049</v>
      </c>
      <c r="CX205" s="1195" t="s">
        <v>7050</v>
      </c>
      <c r="CY205" s="472"/>
      <c r="CZ205" s="514" t="s">
        <v>6481</v>
      </c>
      <c r="DA205" s="514" t="s">
        <v>6173</v>
      </c>
      <c r="DB205" s="514" t="s">
        <v>6202</v>
      </c>
      <c r="DC205" s="514" t="s">
        <v>6617</v>
      </c>
      <c r="DD205" s="514"/>
      <c r="DE205" s="514"/>
      <c r="DF205" s="472"/>
      <c r="DG205" s="472"/>
      <c r="DH205" s="472"/>
      <c r="DJ205" s="473" t="str">
        <f>VLOOKUP(X205,Hoja1!$A$4:$B$10,2,0)</f>
        <v>TÉCNICO SUPERIOR UNIVERSITARIO</v>
      </c>
      <c r="DK205" s="473" t="str">
        <f>VLOOKUP(S205,Hoja1!$D$4:$F$77,3,0)</f>
        <v>TII - II</v>
      </c>
      <c r="DL205" s="1216" t="str">
        <f t="shared" si="400"/>
        <v>0</v>
      </c>
      <c r="DM205" s="1741" t="str">
        <f t="shared" si="401"/>
        <v>M</v>
      </c>
      <c r="DN205" s="1741"/>
    </row>
    <row r="206" spans="1:118" s="478" customFormat="1" ht="21.95" customHeight="1">
      <c r="A206" s="510" t="s">
        <v>2846</v>
      </c>
      <c r="B206" s="1390">
        <f t="shared" ca="1" si="479"/>
        <v>164</v>
      </c>
      <c r="C206" s="1194">
        <v>17605222</v>
      </c>
      <c r="D206" s="1195" t="s">
        <v>4843</v>
      </c>
      <c r="E206" s="1180" t="s">
        <v>4622</v>
      </c>
      <c r="F206" s="1196">
        <v>31346</v>
      </c>
      <c r="G206" s="1180" t="s">
        <v>4620</v>
      </c>
      <c r="H206" s="1196">
        <v>42737</v>
      </c>
      <c r="I206" s="1185">
        <f t="shared" si="379"/>
        <v>8</v>
      </c>
      <c r="J206" s="1177">
        <v>0</v>
      </c>
      <c r="K206" s="1185">
        <f t="shared" si="380"/>
        <v>8</v>
      </c>
      <c r="L206" s="1191" t="s">
        <v>5542</v>
      </c>
      <c r="M206" s="1177"/>
      <c r="N206" s="1177"/>
      <c r="O206" s="1040" t="s">
        <v>5221</v>
      </c>
      <c r="P206" s="1177" t="s">
        <v>5404</v>
      </c>
      <c r="Q206" s="1391" t="str">
        <f>IFERROR(VLOOKUP(O206,CARGOS!A:E,2,0),"")</f>
        <v>79512</v>
      </c>
      <c r="R206" s="1403" t="s">
        <v>5221</v>
      </c>
      <c r="S206" s="1192" t="s">
        <v>5491</v>
      </c>
      <c r="T206" s="1150">
        <f>IFERROR(VLOOKUP(S206,'TAB EMP'!A:B,2,0),0)</f>
        <v>221</v>
      </c>
      <c r="U206" s="1151">
        <v>0</v>
      </c>
      <c r="V206" s="1150">
        <f t="shared" si="402"/>
        <v>221</v>
      </c>
      <c r="W206" s="1151">
        <f t="shared" si="403"/>
        <v>110.5</v>
      </c>
      <c r="X206" s="1180" t="s">
        <v>2885</v>
      </c>
      <c r="Y206" s="1180"/>
      <c r="Z206" s="1180">
        <v>0</v>
      </c>
      <c r="AA206" s="1150">
        <f>ROUND(IF(H206&lt;&gt;"",VLOOKUP(SUM(I206+J206),'CONCEPTOS Y PARAMETROS'!F:G,2,0)*V206,0),2)</f>
        <v>19.010000000000002</v>
      </c>
      <c r="AB206" s="1150">
        <f>IF(S206&lt;&gt;"",IF(M206="",'CONCEPTOS Y PARAMETROS'!$C$4,0),0)</f>
        <v>130</v>
      </c>
      <c r="AC206" s="1150">
        <f>IF(S206&lt;&gt;"",IF(M206="",'CONCEPTOS Y PARAMETROS'!$C$7*Z206,0),0)</f>
        <v>0</v>
      </c>
      <c r="AD206" s="1150">
        <f>IFERROR(ROUND(VLOOKUP($X206,'CONCEPTOS Y PARAMETROS'!H:I,2,0)*($V206+AA206+AB206+AC206),2),0)</f>
        <v>92.5</v>
      </c>
      <c r="AE206" s="1150">
        <f t="shared" si="376"/>
        <v>241.51</v>
      </c>
      <c r="AF206" s="1150">
        <f t="shared" si="404"/>
        <v>9.51</v>
      </c>
      <c r="AG206" s="1150">
        <f t="shared" si="405"/>
        <v>9.5</v>
      </c>
      <c r="AH206" s="1150">
        <f t="shared" si="406"/>
        <v>65</v>
      </c>
      <c r="AI206" s="1150">
        <f t="shared" si="407"/>
        <v>65</v>
      </c>
      <c r="AJ206" s="1150">
        <f t="shared" si="408"/>
        <v>46.25</v>
      </c>
      <c r="AK206" s="1150">
        <f t="shared" si="409"/>
        <v>46.25</v>
      </c>
      <c r="AL206" s="1151">
        <f t="shared" si="410"/>
        <v>120.76</v>
      </c>
      <c r="AM206" s="1151">
        <f t="shared" si="411"/>
        <v>120.75</v>
      </c>
      <c r="AN206" s="1028">
        <v>0</v>
      </c>
      <c r="AO206" s="1193">
        <f>'CONCEPTOS Y PARAMETROS'!$C$18*AN206</f>
        <v>0</v>
      </c>
      <c r="AP206" s="1028">
        <v>0</v>
      </c>
      <c r="AQ206" s="1193">
        <f>'CONCEPTOS Y PARAMETROS'!$C$21*AP206</f>
        <v>0</v>
      </c>
      <c r="AR206" s="1394">
        <v>0</v>
      </c>
      <c r="AS206" s="1394">
        <v>0</v>
      </c>
      <c r="AT206" s="1394">
        <f t="shared" si="480"/>
        <v>0</v>
      </c>
      <c r="AU206" s="1151">
        <f t="shared" si="412"/>
        <v>601.26</v>
      </c>
      <c r="AV206" s="1178" t="s">
        <v>5080</v>
      </c>
      <c r="AW206" s="1151">
        <f t="shared" si="499"/>
        <v>138.75</v>
      </c>
      <c r="AX206" s="1150">
        <f>IF(T206&lt;&gt;"0",(ROUND(IF(A206="EMPLEADO",eval_formula('CONCEPTOS Y PARAMETROS'!$C$8,NOMINA!V206,NOMINA!$AU206,NOMINA!I206+NOMINA!J206),eval_formula('CONCEPTOS Y PARAMETROS'!$D$8,NOMINA!V206,NOMINA!$AU206,NOMINA!I206+NOMINA!J206)),2))*IF(H206&lt;&gt;"",IF(MONTH(H206)=$BR$8,IF(YEAR(H206)&lt;$BT$7,1,0),0)))</f>
        <v>4810.08</v>
      </c>
      <c r="AY206" s="1151">
        <v>180</v>
      </c>
      <c r="AZ206" s="1150">
        <f>IFERROR(VLOOKUP(AY206,'CONCEPTOS Y PARAMETROS'!Y:Z,2,0),0)</f>
        <v>150</v>
      </c>
      <c r="BA206" s="1150">
        <f t="shared" si="413"/>
        <v>4509.45</v>
      </c>
      <c r="BB206" s="1150">
        <f t="shared" si="381"/>
        <v>0</v>
      </c>
      <c r="BC206" s="1028">
        <v>0</v>
      </c>
      <c r="BD206" s="1150" t="str">
        <f t="shared" si="414"/>
        <v>0</v>
      </c>
      <c r="BE206" s="1028">
        <v>3</v>
      </c>
      <c r="BF206" s="1150">
        <f t="shared" si="458"/>
        <v>90.19</v>
      </c>
      <c r="BG206" s="1151">
        <v>300</v>
      </c>
      <c r="BH206" s="1151">
        <f t="shared" si="382"/>
        <v>0</v>
      </c>
      <c r="BI206" s="1180">
        <v>0</v>
      </c>
      <c r="BJ206" s="1180">
        <f t="shared" si="372"/>
        <v>0</v>
      </c>
      <c r="BK206" s="1151">
        <v>0</v>
      </c>
      <c r="BL206" s="1150">
        <f t="shared" si="450"/>
        <v>22.2</v>
      </c>
      <c r="BM206" s="1150">
        <f t="shared" si="451"/>
        <v>2.78</v>
      </c>
      <c r="BN206" s="1150">
        <f t="shared" si="514"/>
        <v>6.01</v>
      </c>
      <c r="BO206" s="1150">
        <v>0</v>
      </c>
      <c r="BP206" s="1150">
        <v>0</v>
      </c>
      <c r="BQ206" s="1396">
        <f t="shared" si="373"/>
        <v>30.99</v>
      </c>
      <c r="BR206" s="1150">
        <f t="shared" si="453"/>
        <v>49.95</v>
      </c>
      <c r="BS206" s="1150">
        <f t="shared" si="454"/>
        <v>11.1</v>
      </c>
      <c r="BT206" s="1150">
        <f t="shared" si="383"/>
        <v>12.02</v>
      </c>
      <c r="BU206" s="1150">
        <v>0</v>
      </c>
      <c r="BV206" s="1151">
        <f t="shared" si="374"/>
        <v>73.069999999999993</v>
      </c>
      <c r="BW206" s="1155">
        <f t="shared" si="375"/>
        <v>104.05999999999999</v>
      </c>
      <c r="BX206" s="1155">
        <f t="shared" si="457"/>
        <v>1127.3599999999999</v>
      </c>
      <c r="BY206" s="1151">
        <v>0</v>
      </c>
      <c r="BZ206" s="1151">
        <f t="shared" si="371"/>
        <v>1127.3599999999999</v>
      </c>
      <c r="CA206" s="1397">
        <f>'CONCEPTOS Y PARAMETROS'!$A$102</f>
        <v>2120</v>
      </c>
      <c r="CB206" s="1155">
        <f t="shared" si="384"/>
        <v>200.26999999999998</v>
      </c>
      <c r="CC206" s="1156">
        <f t="shared" si="385"/>
        <v>5570.27</v>
      </c>
      <c r="CD206" s="514"/>
      <c r="CE206" s="514"/>
      <c r="CF206" s="521"/>
      <c r="CG206" s="511">
        <f t="shared" si="386"/>
        <v>200.26999999999998</v>
      </c>
      <c r="CH206" s="1712">
        <f t="shared" si="387"/>
        <v>300</v>
      </c>
      <c r="CI206" s="511">
        <f t="shared" si="388"/>
        <v>531.25</v>
      </c>
      <c r="CJ206" s="511">
        <f t="shared" si="389"/>
        <v>531.25</v>
      </c>
      <c r="CK206" s="511">
        <f t="shared" si="390"/>
        <v>0</v>
      </c>
      <c r="CL206" s="511">
        <f t="shared" si="391"/>
        <v>0</v>
      </c>
      <c r="CM206" s="511">
        <f t="shared" si="392"/>
        <v>0</v>
      </c>
      <c r="CN206" s="512">
        <f t="shared" si="393"/>
        <v>90.19</v>
      </c>
      <c r="CO206" s="513">
        <v>0</v>
      </c>
      <c r="CP206" s="512">
        <f t="shared" si="394"/>
        <v>138.75</v>
      </c>
      <c r="CQ206" s="500">
        <f t="shared" si="395"/>
        <v>0</v>
      </c>
      <c r="CR206" s="512">
        <f t="shared" si="396"/>
        <v>4810.08</v>
      </c>
      <c r="CS206" s="512">
        <f t="shared" si="397"/>
        <v>5039.0199999999995</v>
      </c>
      <c r="CT206" s="512">
        <f t="shared" si="398"/>
        <v>104.05999999999999</v>
      </c>
      <c r="CU206" s="512">
        <f t="shared" si="399"/>
        <v>2120</v>
      </c>
      <c r="CV206" s="1556"/>
      <c r="CW206" s="1195" t="s">
        <v>6940</v>
      </c>
      <c r="CX206" s="1195" t="s">
        <v>7051</v>
      </c>
      <c r="CY206" s="514"/>
      <c r="CZ206" s="514" t="s">
        <v>6321</v>
      </c>
      <c r="DA206" s="514" t="s">
        <v>6198</v>
      </c>
      <c r="DB206" s="514" t="s">
        <v>6185</v>
      </c>
      <c r="DC206" s="514" t="s">
        <v>6613</v>
      </c>
      <c r="DD206" s="514"/>
      <c r="DE206" s="514"/>
      <c r="DF206" s="514"/>
      <c r="DG206" s="514"/>
      <c r="DH206" s="514"/>
      <c r="DJ206" s="478" t="str">
        <f>VLOOKUP(X206,Hoja1!$A$4:$B$10,2,0)</f>
        <v>PROFESIONAL</v>
      </c>
      <c r="DK206" s="478" t="str">
        <f>VLOOKUP(S206,Hoja1!$D$4:$F$77,3,0)</f>
        <v>TII - III</v>
      </c>
      <c r="DL206" s="1218" t="str">
        <f t="shared" si="400"/>
        <v>SI</v>
      </c>
      <c r="DM206" s="1743" t="str">
        <f t="shared" si="401"/>
        <v>F</v>
      </c>
      <c r="DN206" s="1743"/>
    </row>
    <row r="207" spans="1:118" s="1654" customFormat="1" ht="21.95" customHeight="1">
      <c r="A207" s="1624" t="s">
        <v>2846</v>
      </c>
      <c r="B207" s="1625">
        <f t="shared" ca="1" si="479"/>
        <v>165</v>
      </c>
      <c r="C207" s="1626">
        <v>17605492</v>
      </c>
      <c r="D207" s="1627" t="s">
        <v>4844</v>
      </c>
      <c r="E207" s="1628" t="s">
        <v>4622</v>
      </c>
      <c r="F207" s="1629">
        <v>31887</v>
      </c>
      <c r="G207" s="1628" t="s">
        <v>4620</v>
      </c>
      <c r="H207" s="1629">
        <v>43967</v>
      </c>
      <c r="I207" s="1630">
        <f t="shared" si="379"/>
        <v>4</v>
      </c>
      <c r="J207" s="1631">
        <v>0</v>
      </c>
      <c r="K207" s="1630">
        <f t="shared" si="380"/>
        <v>4</v>
      </c>
      <c r="L207" s="1632" t="s">
        <v>5553</v>
      </c>
      <c r="M207" s="1631"/>
      <c r="N207" s="1631"/>
      <c r="O207" s="1633" t="s">
        <v>7432</v>
      </c>
      <c r="P207" s="1631" t="s">
        <v>5405</v>
      </c>
      <c r="Q207" s="1634" t="str">
        <f>IFERROR(VLOOKUP(O207,CARGOS!A:E,2,0),"")</f>
        <v>12115</v>
      </c>
      <c r="R207" s="1635" t="s">
        <v>7432</v>
      </c>
      <c r="S207" s="1636" t="s">
        <v>5480</v>
      </c>
      <c r="T207" s="1637">
        <f>IFERROR(VLOOKUP(S207,'TAB EMP'!A:B,2,0),0)</f>
        <v>277</v>
      </c>
      <c r="U207" s="1638">
        <v>0</v>
      </c>
      <c r="V207" s="1637">
        <f t="shared" si="402"/>
        <v>277</v>
      </c>
      <c r="W207" s="1638">
        <f t="shared" si="403"/>
        <v>138.5</v>
      </c>
      <c r="X207" s="1628" t="s">
        <v>2885</v>
      </c>
      <c r="Y207" s="1628"/>
      <c r="Z207" s="1628">
        <v>0</v>
      </c>
      <c r="AA207" s="1637">
        <f>ROUND(IF(H207&lt;&gt;"",VLOOKUP(SUM(I207+J207),'CONCEPTOS Y PARAMETROS'!F:G,2,0)*V207,0),2)</f>
        <v>11.08</v>
      </c>
      <c r="AB207" s="1637">
        <f>IF(S207&lt;&gt;"",IF(M207="",'CONCEPTOS Y PARAMETROS'!$C$4,0),0)</f>
        <v>130</v>
      </c>
      <c r="AC207" s="1637">
        <f>IF(S207&lt;&gt;"",IF(M207="",'CONCEPTOS Y PARAMETROS'!$C$7*Z207,0),0)</f>
        <v>0</v>
      </c>
      <c r="AD207" s="1637">
        <f>IFERROR(ROUND(VLOOKUP($X207,'CONCEPTOS Y PARAMETROS'!H:I,2,0)*($V207+AA207+AB207+AC207),2),0)</f>
        <v>104.52</v>
      </c>
      <c r="AE207" s="1637">
        <f t="shared" si="376"/>
        <v>245.60000000000002</v>
      </c>
      <c r="AF207" s="1637">
        <f t="shared" si="404"/>
        <v>5.54</v>
      </c>
      <c r="AG207" s="1637">
        <f t="shared" si="405"/>
        <v>5.54</v>
      </c>
      <c r="AH207" s="1637">
        <f t="shared" si="406"/>
        <v>65</v>
      </c>
      <c r="AI207" s="1637">
        <f t="shared" si="407"/>
        <v>65</v>
      </c>
      <c r="AJ207" s="1637">
        <f t="shared" si="408"/>
        <v>52.26</v>
      </c>
      <c r="AK207" s="1637">
        <f t="shared" si="409"/>
        <v>52.26</v>
      </c>
      <c r="AL207" s="1638">
        <f t="shared" si="410"/>
        <v>122.8</v>
      </c>
      <c r="AM207" s="1638">
        <f t="shared" si="411"/>
        <v>122.8</v>
      </c>
      <c r="AN207" s="1639">
        <v>0</v>
      </c>
      <c r="AO207" s="1640">
        <f>'CONCEPTOS Y PARAMETROS'!$C$18*AN207</f>
        <v>0</v>
      </c>
      <c r="AP207" s="1639">
        <v>0</v>
      </c>
      <c r="AQ207" s="1640">
        <f>'CONCEPTOS Y PARAMETROS'!$C$21*AP207</f>
        <v>0</v>
      </c>
      <c r="AR207" s="1641">
        <v>0</v>
      </c>
      <c r="AS207" s="1641">
        <v>0</v>
      </c>
      <c r="AT207" s="1641">
        <f t="shared" si="480"/>
        <v>0</v>
      </c>
      <c r="AU207" s="1638">
        <f t="shared" si="412"/>
        <v>522.6</v>
      </c>
      <c r="AV207" s="1642">
        <v>0</v>
      </c>
      <c r="AW207" s="1638">
        <f t="shared" si="499"/>
        <v>0</v>
      </c>
      <c r="AX207" s="1637">
        <f>IF(T207&lt;&gt;"0",(ROUND(IF(A207="EMPLEADO",eval_formula('CONCEPTOS Y PARAMETROS'!$C$8,NOMINA!V207,NOMINA!$AU207,NOMINA!I207+NOMINA!J207),eval_formula('CONCEPTOS Y PARAMETROS'!$D$8,NOMINA!V207,NOMINA!$AU207,NOMINA!I207+NOMINA!J207)),2))*IF(H207&lt;&gt;"",IF(MONTH(H207)=$BR$8,IF(YEAR(H207)&lt;$BT$7,1,0),0)))</f>
        <v>0</v>
      </c>
      <c r="AY207" s="1638">
        <v>180</v>
      </c>
      <c r="AZ207" s="1637">
        <f>IFERROR(VLOOKUP(AY207,'CONCEPTOS Y PARAMETROS'!Y:Z,2,0),0)</f>
        <v>150</v>
      </c>
      <c r="BA207" s="1637">
        <f t="shared" si="413"/>
        <v>3919.5</v>
      </c>
      <c r="BB207" s="1637">
        <f t="shared" si="381"/>
        <v>0</v>
      </c>
      <c r="BC207" s="1639">
        <v>0</v>
      </c>
      <c r="BD207" s="1637" t="str">
        <f t="shared" si="414"/>
        <v>0</v>
      </c>
      <c r="BE207" s="1639">
        <v>0</v>
      </c>
      <c r="BF207" s="1637">
        <f t="shared" si="458"/>
        <v>0</v>
      </c>
      <c r="BG207" s="1638">
        <v>300</v>
      </c>
      <c r="BH207" s="1638">
        <f t="shared" si="382"/>
        <v>0</v>
      </c>
      <c r="BI207" s="1628">
        <v>0</v>
      </c>
      <c r="BJ207" s="1628">
        <f t="shared" si="372"/>
        <v>0</v>
      </c>
      <c r="BK207" s="1638">
        <v>0</v>
      </c>
      <c r="BL207" s="1637">
        <f t="shared" si="450"/>
        <v>19.3</v>
      </c>
      <c r="BM207" s="1637">
        <f t="shared" si="451"/>
        <v>2.41</v>
      </c>
      <c r="BN207" s="1637">
        <f t="shared" si="514"/>
        <v>5.23</v>
      </c>
      <c r="BO207" s="1637">
        <v>0</v>
      </c>
      <c r="BP207" s="1637">
        <v>0</v>
      </c>
      <c r="BQ207" s="1643">
        <f t="shared" si="373"/>
        <v>26.94</v>
      </c>
      <c r="BR207" s="1637">
        <f t="shared" si="453"/>
        <v>43.42</v>
      </c>
      <c r="BS207" s="1637">
        <f t="shared" si="454"/>
        <v>9.65</v>
      </c>
      <c r="BT207" s="1637">
        <f t="shared" si="383"/>
        <v>10.46</v>
      </c>
      <c r="BU207" s="1637">
        <v>0</v>
      </c>
      <c r="BV207" s="1638">
        <f t="shared" si="374"/>
        <v>63.53</v>
      </c>
      <c r="BW207" s="1644">
        <f t="shared" si="375"/>
        <v>90.47</v>
      </c>
      <c r="BX207" s="1644">
        <f t="shared" si="457"/>
        <v>979.88</v>
      </c>
      <c r="BY207" s="1638">
        <v>0</v>
      </c>
      <c r="BZ207" s="1638">
        <f t="shared" si="371"/>
        <v>979.88</v>
      </c>
      <c r="CA207" s="1645">
        <f>'CONCEPTOS Y PARAMETROS'!$A$102</f>
        <v>2120</v>
      </c>
      <c r="CB207" s="1644">
        <f t="shared" si="384"/>
        <v>234.36</v>
      </c>
      <c r="CC207" s="1646">
        <f t="shared" si="385"/>
        <v>561.29999999999995</v>
      </c>
      <c r="CD207" s="1647"/>
      <c r="CE207" s="1647"/>
      <c r="CF207" s="1648"/>
      <c r="CG207" s="1649">
        <f t="shared" si="386"/>
        <v>234.36</v>
      </c>
      <c r="CH207" s="1713">
        <f t="shared" si="387"/>
        <v>300</v>
      </c>
      <c r="CI207" s="1649">
        <f t="shared" si="388"/>
        <v>561.29999999999995</v>
      </c>
      <c r="CJ207" s="1649">
        <f t="shared" si="389"/>
        <v>269.42</v>
      </c>
      <c r="CK207" s="1649">
        <f t="shared" si="390"/>
        <v>291.87999999999994</v>
      </c>
      <c r="CL207" s="1649">
        <f t="shared" si="391"/>
        <v>0</v>
      </c>
      <c r="CM207" s="1649">
        <f t="shared" si="392"/>
        <v>0</v>
      </c>
      <c r="CN207" s="1650">
        <f t="shared" si="393"/>
        <v>0</v>
      </c>
      <c r="CO207" s="1651">
        <v>0</v>
      </c>
      <c r="CP207" s="1650">
        <f t="shared" si="394"/>
        <v>0</v>
      </c>
      <c r="CQ207" s="1652">
        <f t="shared" si="395"/>
        <v>0</v>
      </c>
      <c r="CR207" s="1650">
        <f t="shared" si="396"/>
        <v>0</v>
      </c>
      <c r="CS207" s="1650">
        <f t="shared" si="397"/>
        <v>0</v>
      </c>
      <c r="CT207" s="1650">
        <f t="shared" si="398"/>
        <v>90.47</v>
      </c>
      <c r="CU207" s="1650">
        <f t="shared" si="399"/>
        <v>2120</v>
      </c>
      <c r="CV207" s="1653"/>
      <c r="CW207" s="1627" t="s">
        <v>6960</v>
      </c>
      <c r="CX207" s="1627" t="s">
        <v>7052</v>
      </c>
      <c r="CY207" s="1647"/>
      <c r="CZ207" s="1647" t="s">
        <v>6478</v>
      </c>
      <c r="DA207" s="1647" t="s">
        <v>6173</v>
      </c>
      <c r="DB207" s="1647" t="s">
        <v>6234</v>
      </c>
      <c r="DC207" s="1657" t="s">
        <v>6711</v>
      </c>
      <c r="DD207" s="1647"/>
      <c r="DE207" s="1647"/>
      <c r="DF207" s="1647"/>
      <c r="DG207" s="1647"/>
      <c r="DH207" s="1647"/>
      <c r="DJ207" s="1654" t="str">
        <f>VLOOKUP(X207,Hoja1!$A$4:$B$10,2,0)</f>
        <v>PROFESIONAL</v>
      </c>
      <c r="DK207" s="1654" t="str">
        <f>VLOOKUP(S207,Hoja1!$D$4:$F$77,3,0)</f>
        <v>PII - II</v>
      </c>
      <c r="DL207" s="1663" t="str">
        <f t="shared" si="400"/>
        <v>0</v>
      </c>
      <c r="DM207" s="1742" t="str">
        <f t="shared" si="401"/>
        <v>F</v>
      </c>
      <c r="DN207" s="1742"/>
    </row>
    <row r="208" spans="1:118" s="478" customFormat="1" ht="21.95" customHeight="1">
      <c r="A208" s="510" t="s">
        <v>2846</v>
      </c>
      <c r="B208" s="1390">
        <f t="shared" ca="1" si="479"/>
        <v>166</v>
      </c>
      <c r="C208" s="1194">
        <v>17606237</v>
      </c>
      <c r="D208" s="1195" t="s">
        <v>5781</v>
      </c>
      <c r="E208" s="1180" t="s">
        <v>4622</v>
      </c>
      <c r="F208" s="1196">
        <v>30379</v>
      </c>
      <c r="G208" s="1180" t="s">
        <v>4620</v>
      </c>
      <c r="H208" s="1196">
        <v>40909</v>
      </c>
      <c r="I208" s="1185">
        <f t="shared" si="379"/>
        <v>13</v>
      </c>
      <c r="J208" s="1177">
        <v>0</v>
      </c>
      <c r="K208" s="1185">
        <f t="shared" si="380"/>
        <v>13</v>
      </c>
      <c r="L208" s="1191" t="s">
        <v>5548</v>
      </c>
      <c r="M208" s="1177"/>
      <c r="N208" s="1177"/>
      <c r="O208" s="1040" t="s">
        <v>5219</v>
      </c>
      <c r="P208" s="1197" t="s">
        <v>5782</v>
      </c>
      <c r="Q208" s="1391" t="str">
        <f>IFERROR(VLOOKUP(O208,CARGOS!A:E,2,0),"")</f>
        <v>12113</v>
      </c>
      <c r="R208" s="1403" t="s">
        <v>5219</v>
      </c>
      <c r="S208" s="1192" t="s">
        <v>5477</v>
      </c>
      <c r="T208" s="1150">
        <f>IFERROR(VLOOKUP(S208,'TAB EMP'!A:B,2,0),0)</f>
        <v>174</v>
      </c>
      <c r="U208" s="1151">
        <v>0</v>
      </c>
      <c r="V208" s="1150">
        <f t="shared" si="402"/>
        <v>174</v>
      </c>
      <c r="W208" s="1151">
        <f t="shared" si="403"/>
        <v>87</v>
      </c>
      <c r="X208" s="1180" t="s">
        <v>2844</v>
      </c>
      <c r="Y208" s="1180"/>
      <c r="Z208" s="1180">
        <v>1</v>
      </c>
      <c r="AA208" s="1150">
        <f>ROUND(IF(H208&lt;&gt;"",VLOOKUP(SUM(I208+J208),'CONCEPTOS Y PARAMETROS'!F:G,2,0)*V208,0),2)</f>
        <v>26.45</v>
      </c>
      <c r="AB208" s="1150">
        <f>IF(S208&lt;&gt;"",IF(M208="",'CONCEPTOS Y PARAMETROS'!$C$4,0),0)</f>
        <v>130</v>
      </c>
      <c r="AC208" s="1150">
        <f>IF(S208&lt;&gt;"",IF(M208="",'CONCEPTOS Y PARAMETROS'!$C$7*Z208,0),0)</f>
        <v>12.5</v>
      </c>
      <c r="AD208" s="1150">
        <f>IFERROR(ROUND(VLOOKUP($X208,'CONCEPTOS Y PARAMETROS'!H:I,2,0)*($V208+AA208+AB208+AC208),2),0)</f>
        <v>68.59</v>
      </c>
      <c r="AE208" s="1150">
        <f t="shared" si="376"/>
        <v>237.54</v>
      </c>
      <c r="AF208" s="1150">
        <f t="shared" si="404"/>
        <v>13.23</v>
      </c>
      <c r="AG208" s="1150">
        <f t="shared" si="405"/>
        <v>13.22</v>
      </c>
      <c r="AH208" s="1150">
        <f t="shared" si="406"/>
        <v>65</v>
      </c>
      <c r="AI208" s="1150">
        <f t="shared" si="407"/>
        <v>65</v>
      </c>
      <c r="AJ208" s="1150">
        <f t="shared" si="408"/>
        <v>34.299999999999997</v>
      </c>
      <c r="AK208" s="1150">
        <f t="shared" si="409"/>
        <v>34.29</v>
      </c>
      <c r="AL208" s="1151">
        <f t="shared" si="410"/>
        <v>125.03</v>
      </c>
      <c r="AM208" s="1151">
        <f t="shared" si="411"/>
        <v>112.51</v>
      </c>
      <c r="AN208" s="1028">
        <v>0</v>
      </c>
      <c r="AO208" s="1193">
        <f>'CONCEPTOS Y PARAMETROS'!$C$18*AN208</f>
        <v>0</v>
      </c>
      <c r="AP208" s="1028">
        <v>0</v>
      </c>
      <c r="AQ208" s="1193">
        <f>'CONCEPTOS Y PARAMETROS'!$C$21*AP208</f>
        <v>0</v>
      </c>
      <c r="AR208" s="1394">
        <v>0</v>
      </c>
      <c r="AS208" s="1394">
        <v>0</v>
      </c>
      <c r="AT208" s="1394">
        <f t="shared" ref="AT208" si="519">+AO208+AQ208+AR208+AS208</f>
        <v>0</v>
      </c>
      <c r="AU208" s="1151">
        <f t="shared" si="412"/>
        <v>411.53999999999996</v>
      </c>
      <c r="AV208" s="1178">
        <v>0</v>
      </c>
      <c r="AW208" s="1151">
        <f t="shared" si="499"/>
        <v>0</v>
      </c>
      <c r="AX208" s="1150">
        <f>IF(T208&lt;&gt;"0",(ROUND(IF(A208="EMPLEADO",eval_formula('CONCEPTOS Y PARAMETROS'!$C$8,NOMINA!V208,NOMINA!$AU208,NOMINA!I208+NOMINA!J208),eval_formula('CONCEPTOS Y PARAMETROS'!$D$8,NOMINA!V208,NOMINA!$AU208,NOMINA!I208+NOMINA!J208)),2))*IF(H208&lt;&gt;"",IF(MONTH(H208)=$BR$8,IF(YEAR(H208)&lt;$BT$7,1,0),0)))</f>
        <v>3292.32</v>
      </c>
      <c r="AY208" s="1151">
        <v>180</v>
      </c>
      <c r="AZ208" s="1150">
        <f>IFERROR(VLOOKUP(AY208,'CONCEPTOS Y PARAMETROS'!Y:Z,2,0),0)</f>
        <v>150</v>
      </c>
      <c r="BA208" s="1150">
        <f t="shared" si="413"/>
        <v>3086.55</v>
      </c>
      <c r="BB208" s="1150">
        <f t="shared" si="381"/>
        <v>0</v>
      </c>
      <c r="BC208" s="1028">
        <v>0</v>
      </c>
      <c r="BD208" s="1150" t="str">
        <f t="shared" si="414"/>
        <v>0</v>
      </c>
      <c r="BE208" s="1028">
        <v>0</v>
      </c>
      <c r="BF208" s="1150">
        <f t="shared" si="458"/>
        <v>0</v>
      </c>
      <c r="BG208" s="1151">
        <v>300</v>
      </c>
      <c r="BH208" s="1151">
        <f t="shared" si="382"/>
        <v>0</v>
      </c>
      <c r="BI208" s="1180">
        <v>0</v>
      </c>
      <c r="BJ208" s="1180">
        <f t="shared" si="372"/>
        <v>0</v>
      </c>
      <c r="BK208" s="1151">
        <v>0</v>
      </c>
      <c r="BL208" s="1150">
        <f t="shared" si="450"/>
        <v>15.2</v>
      </c>
      <c r="BM208" s="1150">
        <f t="shared" si="451"/>
        <v>1.9</v>
      </c>
      <c r="BN208" s="1150">
        <f t="shared" si="514"/>
        <v>4.12</v>
      </c>
      <c r="BO208" s="1150">
        <v>0</v>
      </c>
      <c r="BP208" s="1150">
        <v>0</v>
      </c>
      <c r="BQ208" s="1396">
        <f t="shared" ref="BQ208" si="520">ROUND(SUM(BL208:BP208),2)</f>
        <v>21.22</v>
      </c>
      <c r="BR208" s="1150">
        <f t="shared" si="453"/>
        <v>34.19</v>
      </c>
      <c r="BS208" s="1150">
        <f t="shared" si="454"/>
        <v>7.6</v>
      </c>
      <c r="BT208" s="1150">
        <f t="shared" si="383"/>
        <v>8.24</v>
      </c>
      <c r="BU208" s="1150">
        <v>0</v>
      </c>
      <c r="BV208" s="1151">
        <f t="shared" ref="BV208" si="521">ROUND(SUM(BR208:BT208),2)</f>
        <v>50.03</v>
      </c>
      <c r="BW208" s="1155">
        <f t="shared" ref="BW208" si="522">BQ208+BV208</f>
        <v>71.25</v>
      </c>
      <c r="BX208" s="1155">
        <f t="shared" si="457"/>
        <v>771.64</v>
      </c>
      <c r="BY208" s="1151">
        <v>0</v>
      </c>
      <c r="BZ208" s="1151">
        <f t="shared" si="371"/>
        <v>771.64</v>
      </c>
      <c r="CA208" s="1397">
        <f>'CONCEPTOS Y PARAMETROS'!$A$102</f>
        <v>2120</v>
      </c>
      <c r="CB208" s="1155">
        <f t="shared" si="384"/>
        <v>190.81</v>
      </c>
      <c r="CC208" s="1156">
        <f t="shared" si="385"/>
        <v>3791.83</v>
      </c>
      <c r="CD208" s="514"/>
      <c r="CE208" s="514"/>
      <c r="CF208" s="521"/>
      <c r="CG208" s="511">
        <f t="shared" si="386"/>
        <v>190.81</v>
      </c>
      <c r="CH208" s="1712">
        <f t="shared" si="387"/>
        <v>300</v>
      </c>
      <c r="CI208" s="511">
        <f t="shared" si="388"/>
        <v>499.51</v>
      </c>
      <c r="CJ208" s="511">
        <f t="shared" si="389"/>
        <v>499.51</v>
      </c>
      <c r="CK208" s="511">
        <f t="shared" si="390"/>
        <v>0</v>
      </c>
      <c r="CL208" s="511">
        <f t="shared" si="391"/>
        <v>0</v>
      </c>
      <c r="CM208" s="511">
        <f t="shared" si="392"/>
        <v>0</v>
      </c>
      <c r="CN208" s="512">
        <f t="shared" si="393"/>
        <v>0</v>
      </c>
      <c r="CO208" s="513">
        <v>0</v>
      </c>
      <c r="CP208" s="512">
        <f t="shared" si="394"/>
        <v>0</v>
      </c>
      <c r="CQ208" s="500">
        <f t="shared" si="395"/>
        <v>0</v>
      </c>
      <c r="CR208" s="512">
        <f t="shared" si="396"/>
        <v>3292.32</v>
      </c>
      <c r="CS208" s="512">
        <f t="shared" si="397"/>
        <v>3292.32</v>
      </c>
      <c r="CT208" s="512">
        <f t="shared" si="398"/>
        <v>71.25</v>
      </c>
      <c r="CU208" s="512">
        <f t="shared" si="399"/>
        <v>2120</v>
      </c>
      <c r="CV208" s="1556"/>
      <c r="CW208" s="1195" t="s">
        <v>7053</v>
      </c>
      <c r="CX208" s="1195" t="s">
        <v>6935</v>
      </c>
      <c r="CY208" s="514"/>
      <c r="CZ208" s="1199" t="s">
        <v>6592</v>
      </c>
      <c r="DA208" s="514" t="s">
        <v>6173</v>
      </c>
      <c r="DB208" s="514" t="s">
        <v>6213</v>
      </c>
      <c r="DC208" s="514" t="s">
        <v>6277</v>
      </c>
      <c r="DD208" s="514"/>
      <c r="DE208" s="514"/>
      <c r="DF208" s="514"/>
      <c r="DG208" s="514"/>
      <c r="DH208" s="514"/>
      <c r="DJ208" s="478" t="str">
        <f>VLOOKUP(X208,Hoja1!$A$4:$B$10,2,0)</f>
        <v>TÉCNICO SUPERIOR UNIVERSITARIO</v>
      </c>
      <c r="DK208" s="478" t="str">
        <f>VLOOKUP(S208,Hoja1!$D$4:$F$77,3,0)</f>
        <v>BIII - V</v>
      </c>
      <c r="DL208" s="1218" t="str">
        <f t="shared" si="400"/>
        <v>0</v>
      </c>
      <c r="DM208" s="1743" t="str">
        <f t="shared" si="401"/>
        <v>F</v>
      </c>
      <c r="DN208" s="1743"/>
    </row>
    <row r="209" spans="1:118" s="473" customFormat="1" ht="21.95" customHeight="1">
      <c r="A209" s="510" t="s">
        <v>2846</v>
      </c>
      <c r="B209" s="1390">
        <f t="shared" ca="1" si="479"/>
        <v>167</v>
      </c>
      <c r="C209" s="1194">
        <v>17830972</v>
      </c>
      <c r="D209" s="1195" t="s">
        <v>4847</v>
      </c>
      <c r="E209" s="1180" t="s">
        <v>4622</v>
      </c>
      <c r="F209" s="1196">
        <v>31451</v>
      </c>
      <c r="G209" s="1180" t="s">
        <v>4620</v>
      </c>
      <c r="H209" s="1196">
        <v>44713</v>
      </c>
      <c r="I209" s="1185">
        <f t="shared" si="379"/>
        <v>2</v>
      </c>
      <c r="J209" s="1177">
        <v>0</v>
      </c>
      <c r="K209" s="1185">
        <f t="shared" si="380"/>
        <v>2</v>
      </c>
      <c r="L209" s="1191" t="s">
        <v>5541</v>
      </c>
      <c r="M209" s="1177"/>
      <c r="N209" s="1177"/>
      <c r="O209" s="1040" t="s">
        <v>5247</v>
      </c>
      <c r="P209" s="1177" t="s">
        <v>5406</v>
      </c>
      <c r="Q209" s="1391" t="str">
        <f>IFERROR(VLOOKUP(O209,CARGOS!A:E,2,0),"")</f>
        <v>34234</v>
      </c>
      <c r="R209" s="1403" t="s">
        <v>5247</v>
      </c>
      <c r="S209" s="1192" t="s">
        <v>5469</v>
      </c>
      <c r="T209" s="1150">
        <f>IFERROR(VLOOKUP(S209,'TAB EMP'!A:B,2,0),0)</f>
        <v>246</v>
      </c>
      <c r="U209" s="1151">
        <v>0</v>
      </c>
      <c r="V209" s="1150">
        <f t="shared" si="402"/>
        <v>246</v>
      </c>
      <c r="W209" s="1151">
        <f t="shared" si="403"/>
        <v>123</v>
      </c>
      <c r="X209" s="1180" t="s">
        <v>2885</v>
      </c>
      <c r="Y209" s="1180"/>
      <c r="Z209" s="1180">
        <v>0</v>
      </c>
      <c r="AA209" s="1150">
        <f>ROUND(IF(H209&lt;&gt;"",VLOOKUP(SUM(I209+J209),'CONCEPTOS Y PARAMETROS'!F:G,2,0)*V209,0),2)</f>
        <v>4.92</v>
      </c>
      <c r="AB209" s="1150">
        <f>IF(S209&lt;&gt;"",IF(M209="",'CONCEPTOS Y PARAMETROS'!$C$4,0),0)</f>
        <v>130</v>
      </c>
      <c r="AC209" s="1150">
        <f>IF(S209&lt;&gt;"",IF(M209="",'CONCEPTOS Y PARAMETROS'!$C$7*Z209,0),0)</f>
        <v>0</v>
      </c>
      <c r="AD209" s="1150">
        <f>IFERROR(ROUND(VLOOKUP($X209,'CONCEPTOS Y PARAMETROS'!H:I,2,0)*($V209+AA209+AB209+AC209),2),0)</f>
        <v>95.23</v>
      </c>
      <c r="AE209" s="1150">
        <f t="shared" si="376"/>
        <v>230.14999999999998</v>
      </c>
      <c r="AF209" s="1150">
        <f t="shared" si="404"/>
        <v>2.46</v>
      </c>
      <c r="AG209" s="1150">
        <f t="shared" si="405"/>
        <v>2.46</v>
      </c>
      <c r="AH209" s="1150">
        <f t="shared" si="406"/>
        <v>65</v>
      </c>
      <c r="AI209" s="1150">
        <f t="shared" si="407"/>
        <v>65</v>
      </c>
      <c r="AJ209" s="1150">
        <f t="shared" si="408"/>
        <v>47.62</v>
      </c>
      <c r="AK209" s="1150">
        <f t="shared" si="409"/>
        <v>47.61</v>
      </c>
      <c r="AL209" s="1151">
        <f t="shared" si="410"/>
        <v>115.08</v>
      </c>
      <c r="AM209" s="1151">
        <f t="shared" si="411"/>
        <v>115.07</v>
      </c>
      <c r="AN209" s="1028">
        <v>0</v>
      </c>
      <c r="AO209" s="1193">
        <f>'CONCEPTOS Y PARAMETROS'!$C$18*AN209</f>
        <v>0</v>
      </c>
      <c r="AP209" s="1028">
        <v>0</v>
      </c>
      <c r="AQ209" s="1193">
        <f>'CONCEPTOS Y PARAMETROS'!$C$21*AP209</f>
        <v>0</v>
      </c>
      <c r="AR209" s="1394">
        <v>0</v>
      </c>
      <c r="AS209" s="1394">
        <v>0</v>
      </c>
      <c r="AT209" s="1394">
        <f t="shared" si="480"/>
        <v>0</v>
      </c>
      <c r="AU209" s="1151">
        <f t="shared" si="412"/>
        <v>476.15</v>
      </c>
      <c r="AV209" s="1178">
        <v>0</v>
      </c>
      <c r="AW209" s="1151">
        <f t="shared" si="499"/>
        <v>0</v>
      </c>
      <c r="AX209" s="1150">
        <f>IF(T209&lt;&gt;"0",(ROUND(IF(A209="EMPLEADO",eval_formula('CONCEPTOS Y PARAMETROS'!$C$8,NOMINA!V209,NOMINA!$AU209,NOMINA!I209+NOMINA!J209),eval_formula('CONCEPTOS Y PARAMETROS'!$D$8,NOMINA!V209,NOMINA!$AU209,NOMINA!I209+NOMINA!J209)),2))*IF(H209&lt;&gt;"",IF(MONTH(H209)=$BR$8,IF(YEAR(H209)&lt;$BT$7,1,0),0)))</f>
        <v>0</v>
      </c>
      <c r="AY209" s="1151">
        <v>180</v>
      </c>
      <c r="AZ209" s="1150">
        <f>IFERROR(VLOOKUP(AY209,'CONCEPTOS Y PARAMETROS'!Y:Z,2,0),0)</f>
        <v>150</v>
      </c>
      <c r="BA209" s="1150">
        <f t="shared" si="413"/>
        <v>3571.13</v>
      </c>
      <c r="BB209" s="1150">
        <f t="shared" si="381"/>
        <v>0</v>
      </c>
      <c r="BC209" s="1028">
        <v>0</v>
      </c>
      <c r="BD209" s="1150" t="str">
        <f t="shared" si="414"/>
        <v>0</v>
      </c>
      <c r="BE209" s="1028">
        <v>0</v>
      </c>
      <c r="BF209" s="1150">
        <f t="shared" si="458"/>
        <v>0</v>
      </c>
      <c r="BG209" s="1151">
        <v>300</v>
      </c>
      <c r="BH209" s="1151">
        <f t="shared" si="382"/>
        <v>0</v>
      </c>
      <c r="BI209" s="1180">
        <v>0</v>
      </c>
      <c r="BJ209" s="1180">
        <f t="shared" si="372"/>
        <v>0</v>
      </c>
      <c r="BK209" s="1151">
        <v>0</v>
      </c>
      <c r="BL209" s="1150">
        <f t="shared" si="450"/>
        <v>17.579999999999998</v>
      </c>
      <c r="BM209" s="1150">
        <f t="shared" si="451"/>
        <v>2.2000000000000002</v>
      </c>
      <c r="BN209" s="1150">
        <f t="shared" si="514"/>
        <v>4.76</v>
      </c>
      <c r="BO209" s="1150">
        <v>0</v>
      </c>
      <c r="BP209" s="1150">
        <v>0</v>
      </c>
      <c r="BQ209" s="1396">
        <f t="shared" si="373"/>
        <v>24.54</v>
      </c>
      <c r="BR209" s="1150">
        <f t="shared" si="453"/>
        <v>39.56</v>
      </c>
      <c r="BS209" s="1150">
        <f t="shared" si="454"/>
        <v>8.7899999999999991</v>
      </c>
      <c r="BT209" s="1150">
        <f t="shared" si="383"/>
        <v>9.52</v>
      </c>
      <c r="BU209" s="1150">
        <v>0</v>
      </c>
      <c r="BV209" s="1151">
        <f t="shared" si="374"/>
        <v>57.87</v>
      </c>
      <c r="BW209" s="1155">
        <f t="shared" si="375"/>
        <v>82.41</v>
      </c>
      <c r="BX209" s="1155">
        <f t="shared" si="457"/>
        <v>892.78</v>
      </c>
      <c r="BY209" s="1151">
        <v>0</v>
      </c>
      <c r="BZ209" s="1151">
        <f t="shared" si="371"/>
        <v>892.78</v>
      </c>
      <c r="CA209" s="1397">
        <f>'CONCEPTOS Y PARAMETROS'!$A$102</f>
        <v>2120</v>
      </c>
      <c r="CB209" s="1155">
        <f t="shared" si="384"/>
        <v>213.54</v>
      </c>
      <c r="CC209" s="1156">
        <f t="shared" si="385"/>
        <v>538.07000000000005</v>
      </c>
      <c r="CD209" s="514"/>
      <c r="CE209" s="514"/>
      <c r="CF209" s="520"/>
      <c r="CG209" s="497">
        <f t="shared" si="386"/>
        <v>213.54</v>
      </c>
      <c r="CH209" s="1711">
        <f t="shared" si="387"/>
        <v>300</v>
      </c>
      <c r="CI209" s="497">
        <f t="shared" si="388"/>
        <v>538.06999999999994</v>
      </c>
      <c r="CJ209" s="497">
        <f t="shared" si="389"/>
        <v>538.07000000000005</v>
      </c>
      <c r="CK209" s="497">
        <f t="shared" si="390"/>
        <v>0</v>
      </c>
      <c r="CL209" s="497">
        <f t="shared" si="391"/>
        <v>0</v>
      </c>
      <c r="CM209" s="497">
        <f t="shared" si="392"/>
        <v>0</v>
      </c>
      <c r="CN209" s="498">
        <f t="shared" si="393"/>
        <v>0</v>
      </c>
      <c r="CO209" s="499">
        <v>0</v>
      </c>
      <c r="CP209" s="498">
        <f t="shared" si="394"/>
        <v>0</v>
      </c>
      <c r="CQ209" s="500">
        <f t="shared" si="395"/>
        <v>0</v>
      </c>
      <c r="CR209" s="498">
        <f t="shared" si="396"/>
        <v>0</v>
      </c>
      <c r="CS209" s="498">
        <f t="shared" si="397"/>
        <v>0</v>
      </c>
      <c r="CT209" s="498">
        <f t="shared" si="398"/>
        <v>82.41</v>
      </c>
      <c r="CU209" s="498">
        <f t="shared" si="399"/>
        <v>2120</v>
      </c>
      <c r="CV209" s="1554"/>
      <c r="CW209" s="1195" t="s">
        <v>6947</v>
      </c>
      <c r="CX209" s="1195" t="s">
        <v>7054</v>
      </c>
      <c r="CY209" s="472"/>
      <c r="CZ209" s="514" t="s">
        <v>6244</v>
      </c>
      <c r="DA209" s="514" t="s">
        <v>6173</v>
      </c>
      <c r="DB209" s="514" t="s">
        <v>6234</v>
      </c>
      <c r="DC209" s="1199" t="s">
        <v>6711</v>
      </c>
      <c r="DD209" s="514"/>
      <c r="DE209" s="514"/>
      <c r="DF209" s="472"/>
      <c r="DG209" s="472"/>
      <c r="DH209" s="472"/>
      <c r="DJ209" s="473" t="str">
        <f>VLOOKUP(X209,Hoja1!$A$4:$B$10,2,0)</f>
        <v>PROFESIONAL</v>
      </c>
      <c r="DK209" s="473" t="str">
        <f>VLOOKUP(S209,Hoja1!$D$4:$F$77,3,0)</f>
        <v>PI</v>
      </c>
      <c r="DL209" s="1216" t="str">
        <f t="shared" si="400"/>
        <v>0</v>
      </c>
      <c r="DM209" s="1741" t="str">
        <f t="shared" si="401"/>
        <v>F</v>
      </c>
      <c r="DN209" s="1741"/>
    </row>
    <row r="210" spans="1:118" s="478" customFormat="1" ht="21.95" customHeight="1">
      <c r="A210" s="510" t="s">
        <v>2846</v>
      </c>
      <c r="B210" s="1390">
        <f t="shared" ca="1" si="479"/>
        <v>168</v>
      </c>
      <c r="C210" s="1194">
        <v>17831012</v>
      </c>
      <c r="D210" s="1195" t="s">
        <v>6742</v>
      </c>
      <c r="E210" s="1180" t="s">
        <v>4622</v>
      </c>
      <c r="F210" s="1161">
        <v>31437</v>
      </c>
      <c r="G210" s="1180" t="s">
        <v>4621</v>
      </c>
      <c r="H210" s="1161">
        <v>45474</v>
      </c>
      <c r="I210" s="1185">
        <f t="shared" si="379"/>
        <v>0</v>
      </c>
      <c r="J210" s="1177">
        <f>3+2</f>
        <v>5</v>
      </c>
      <c r="K210" s="1185">
        <f t="shared" si="380"/>
        <v>5</v>
      </c>
      <c r="L210" s="1447" t="s">
        <v>5561</v>
      </c>
      <c r="M210" s="1177"/>
      <c r="N210" s="1177"/>
      <c r="O210" s="1040" t="s">
        <v>5222</v>
      </c>
      <c r="P210" s="1197" t="s">
        <v>6743</v>
      </c>
      <c r="Q210" s="1391" t="str">
        <f>IFERROR(VLOOKUP(O210,CARGOS!A:E,2,0),"")</f>
        <v>79511</v>
      </c>
      <c r="R210" s="1403" t="s">
        <v>5222</v>
      </c>
      <c r="S210" s="1192" t="s">
        <v>5490</v>
      </c>
      <c r="T210" s="1150">
        <f>IFERROR(VLOOKUP(S210,'TAB EMP'!A:B,2,0),0)</f>
        <v>150</v>
      </c>
      <c r="U210" s="1151">
        <v>0</v>
      </c>
      <c r="V210" s="1150">
        <f t="shared" ref="V210" si="523">T210-U210</f>
        <v>150</v>
      </c>
      <c r="W210" s="1151">
        <f t="shared" ref="W210" si="524">ROUND(V210/2,2)</f>
        <v>75</v>
      </c>
      <c r="X210" s="1180" t="s">
        <v>2884</v>
      </c>
      <c r="Y210" s="1180"/>
      <c r="Z210" s="1180">
        <v>1</v>
      </c>
      <c r="AA210" s="1150">
        <f>ROUND(IF(H210&lt;&gt;"",VLOOKUP(SUM(I210+J210),'CONCEPTOS Y PARAMETROS'!F:G,2,0)*V210,0),2)</f>
        <v>7.5</v>
      </c>
      <c r="AB210" s="1150">
        <f>IF(S210&lt;&gt;"",IF(M210="",'CONCEPTOS Y PARAMETROS'!$C$4,0),0)</f>
        <v>130</v>
      </c>
      <c r="AC210" s="1150">
        <f>IF(S210&lt;&gt;"",IF(M210="",'CONCEPTOS Y PARAMETROS'!$C$7*Z210,0),0)</f>
        <v>12.5</v>
      </c>
      <c r="AD210" s="1150">
        <f>IFERROR(ROUND(VLOOKUP($X210,'CONCEPTOS Y PARAMETROS'!H:I,2,0)*($V210+AA210+AB210+AC210),2),0)</f>
        <v>0</v>
      </c>
      <c r="AE210" s="1150">
        <f t="shared" ref="AE210" si="525">SUM(AA210:AD210)</f>
        <v>150</v>
      </c>
      <c r="AF210" s="1150">
        <f t="shared" ref="AF210" si="526">ROUND(AA210/2,2)</f>
        <v>3.75</v>
      </c>
      <c r="AG210" s="1150">
        <f t="shared" ref="AG210" si="527">ROUND(AA210-AF210,2)</f>
        <v>3.75</v>
      </c>
      <c r="AH210" s="1150">
        <f t="shared" ref="AH210" si="528">ROUND(AB210/2,2)</f>
        <v>65</v>
      </c>
      <c r="AI210" s="1150">
        <f t="shared" ref="AI210" si="529">ROUND(AB210-AH210,2)</f>
        <v>65</v>
      </c>
      <c r="AJ210" s="1150">
        <f t="shared" ref="AJ210" si="530">ROUND(AD210/2,2)</f>
        <v>0</v>
      </c>
      <c r="AK210" s="1150">
        <f t="shared" ref="AK210" si="531">ROUND(AD210-AJ210,2)</f>
        <v>0</v>
      </c>
      <c r="AL210" s="1151">
        <f t="shared" ref="AL210" si="532">ROUND(AF210+AH210+AJ210+AC210,2)</f>
        <v>81.25</v>
      </c>
      <c r="AM210" s="1151">
        <f t="shared" ref="AM210" si="533">ROUND(AG210+AI210+AK210,2)</f>
        <v>68.75</v>
      </c>
      <c r="AN210" s="1583">
        <v>1</v>
      </c>
      <c r="AO210" s="1193">
        <f>'CONCEPTOS Y PARAMETROS'!$C$18*AN210</f>
        <v>12.5</v>
      </c>
      <c r="AP210" s="1028">
        <v>0</v>
      </c>
      <c r="AQ210" s="1193">
        <f>'CONCEPTOS Y PARAMETROS'!$C$21*AP210</f>
        <v>0</v>
      </c>
      <c r="AR210" s="1394">
        <v>0</v>
      </c>
      <c r="AS210" s="1394">
        <v>0</v>
      </c>
      <c r="AT210" s="1394">
        <f t="shared" si="480"/>
        <v>12.5</v>
      </c>
      <c r="AU210" s="1151">
        <f t="shared" ref="AU210" si="534">V210+AE210+AW210</f>
        <v>390</v>
      </c>
      <c r="AV210" s="1178" t="s">
        <v>5080</v>
      </c>
      <c r="AW210" s="1151">
        <f t="shared" ref="AW210" si="535">ROUND(IF(AV210="NOCTURN",(V210+AE210)*30%,0),2)</f>
        <v>90</v>
      </c>
      <c r="AX210" s="1150">
        <f>IF(T210&lt;&gt;"0",(ROUND(IF(A210="EMPLEADO",eval_formula('CONCEPTOS Y PARAMETROS'!$C$8,NOMINA!V210,NOMINA!$AU210,NOMINA!I210+NOMINA!J210),eval_formula('CONCEPTOS Y PARAMETROS'!$D$8,NOMINA!V210,NOMINA!$AU210,NOMINA!I210+NOMINA!J210)),2))*IF(H210&lt;&gt;"",IF(MONTH(H210)=$BR$8,IF(YEAR(H210)&lt;$BT$7,1,0),0)))</f>
        <v>0</v>
      </c>
      <c r="AY210" s="1151">
        <v>90</v>
      </c>
      <c r="AZ210" s="1150">
        <f>IFERROR(VLOOKUP(AY210,'CONCEPTOS Y PARAMETROS'!Y:Z,2,0),0)</f>
        <v>75</v>
      </c>
      <c r="BA210" s="1150">
        <f t="shared" ref="BA210" si="536">ROUND((((AU210))/30*AY210/12+(AU210))/30*AZ210,2)</f>
        <v>1218.75</v>
      </c>
      <c r="BB210" s="1150">
        <f t="shared" si="381"/>
        <v>0</v>
      </c>
      <c r="BC210" s="1028">
        <v>0</v>
      </c>
      <c r="BD210" s="1150" t="str">
        <f t="shared" ref="BD210" si="537">IF(BC210&gt;0,((((((V210+AA210+AB210+AC210+AD210)/30)/8)*50%)+((((V210+AA210+AB210+AC210+AD210)/30)/8)))*30%+(((((V210+AA210+AB210+AC210+AD210)/30)/8)*50%)+((((V210+AA210+AB210+AC210+AD210)/30)/8))))*BC210,"0")</f>
        <v>0</v>
      </c>
      <c r="BE210" s="1028">
        <v>3</v>
      </c>
      <c r="BF210" s="1150">
        <f t="shared" si="458"/>
        <v>58.5</v>
      </c>
      <c r="BG210" s="1151">
        <v>300</v>
      </c>
      <c r="BH210" s="1151">
        <f t="shared" si="382"/>
        <v>0</v>
      </c>
      <c r="BI210" s="1180">
        <v>0</v>
      </c>
      <c r="BJ210" s="1180">
        <f t="shared" si="372"/>
        <v>0</v>
      </c>
      <c r="BK210" s="1151">
        <v>0</v>
      </c>
      <c r="BL210" s="1150">
        <f t="shared" si="450"/>
        <v>14.4</v>
      </c>
      <c r="BM210" s="1150">
        <f t="shared" si="451"/>
        <v>1.8</v>
      </c>
      <c r="BN210" s="1150">
        <f t="shared" si="514"/>
        <v>3.9</v>
      </c>
      <c r="BO210" s="1150">
        <v>0</v>
      </c>
      <c r="BP210" s="1150">
        <v>0</v>
      </c>
      <c r="BQ210" s="1396">
        <f t="shared" ref="BQ210" si="538">ROUND(SUM(BL210:BP210),2)</f>
        <v>20.100000000000001</v>
      </c>
      <c r="BR210" s="1150">
        <f t="shared" si="453"/>
        <v>32.4</v>
      </c>
      <c r="BS210" s="1150">
        <f t="shared" si="454"/>
        <v>7.2</v>
      </c>
      <c r="BT210" s="1150">
        <f t="shared" si="383"/>
        <v>7.8</v>
      </c>
      <c r="BU210" s="1150">
        <v>0</v>
      </c>
      <c r="BV210" s="1151">
        <f t="shared" si="374"/>
        <v>47.4</v>
      </c>
      <c r="BW210" s="1155">
        <f t="shared" si="375"/>
        <v>67.5</v>
      </c>
      <c r="BX210" s="1155">
        <f t="shared" si="457"/>
        <v>304.69</v>
      </c>
      <c r="BY210" s="1151">
        <v>0</v>
      </c>
      <c r="BZ210" s="1151">
        <f t="shared" si="371"/>
        <v>304.69</v>
      </c>
      <c r="CA210" s="1397">
        <f>'CONCEPTOS Y PARAMETROS'!$A$102</f>
        <v>2120</v>
      </c>
      <c r="CB210" s="1155">
        <f t="shared" si="384"/>
        <v>136.15</v>
      </c>
      <c r="CC210" s="1156">
        <f t="shared" si="385"/>
        <v>604.75</v>
      </c>
      <c r="CD210" s="514"/>
      <c r="CE210" s="514"/>
      <c r="CG210" s="511">
        <f t="shared" si="386"/>
        <v>136.15</v>
      </c>
      <c r="CH210" s="1712">
        <f t="shared" si="387"/>
        <v>300</v>
      </c>
      <c r="CI210" s="511">
        <f t="shared" si="388"/>
        <v>443.75</v>
      </c>
      <c r="CJ210" s="511">
        <f t="shared" si="389"/>
        <v>443.75</v>
      </c>
      <c r="CK210" s="511">
        <f t="shared" si="390"/>
        <v>0</v>
      </c>
      <c r="CL210" s="511">
        <f t="shared" si="391"/>
        <v>0</v>
      </c>
      <c r="CM210" s="511">
        <f t="shared" si="392"/>
        <v>0</v>
      </c>
      <c r="CN210" s="512">
        <f t="shared" si="393"/>
        <v>58.5</v>
      </c>
      <c r="CO210" s="513">
        <v>0</v>
      </c>
      <c r="CP210" s="512">
        <f t="shared" si="394"/>
        <v>90</v>
      </c>
      <c r="CQ210" s="500">
        <f t="shared" si="395"/>
        <v>12.5</v>
      </c>
      <c r="CR210" s="512">
        <f t="shared" si="396"/>
        <v>0</v>
      </c>
      <c r="CS210" s="512">
        <f t="shared" si="397"/>
        <v>161</v>
      </c>
      <c r="CT210" s="512">
        <f t="shared" si="398"/>
        <v>67.5</v>
      </c>
      <c r="CU210" s="512">
        <f t="shared" si="399"/>
        <v>2120</v>
      </c>
      <c r="CV210" s="1556"/>
      <c r="CW210" s="1195" t="s">
        <v>6188</v>
      </c>
      <c r="CX210" s="1195" t="s">
        <v>7055</v>
      </c>
      <c r="CY210" s="514"/>
      <c r="CZ210" s="1199" t="s">
        <v>6744</v>
      </c>
      <c r="DA210" s="1200" t="s">
        <v>6173</v>
      </c>
      <c r="DB210" s="1199" t="s">
        <v>6202</v>
      </c>
      <c r="DC210" s="1199" t="s">
        <v>6312</v>
      </c>
      <c r="DD210" s="514"/>
      <c r="DE210" s="514"/>
      <c r="DF210" s="514"/>
      <c r="DG210" s="514"/>
      <c r="DH210" s="514"/>
      <c r="DJ210" s="478" t="str">
        <f>VLOOKUP(X210,Hoja1!$A$4:$B$10,2,0)</f>
        <v>BACHILLER</v>
      </c>
      <c r="DK210" s="478" t="str">
        <f>VLOOKUP(S210,Hoja1!$D$4:$F$77,3,0)</f>
        <v>BII - II</v>
      </c>
      <c r="DL210" s="1218" t="str">
        <f t="shared" si="400"/>
        <v>SI</v>
      </c>
      <c r="DM210" s="1743" t="str">
        <f t="shared" si="401"/>
        <v>M</v>
      </c>
      <c r="DN210" s="1743"/>
    </row>
    <row r="211" spans="1:118" s="1654" customFormat="1" ht="21.95" customHeight="1">
      <c r="A211" s="1624" t="s">
        <v>2846</v>
      </c>
      <c r="B211" s="1625">
        <f t="shared" ca="1" si="479"/>
        <v>169</v>
      </c>
      <c r="C211" s="1626">
        <v>17831231</v>
      </c>
      <c r="D211" s="1627" t="s">
        <v>4848</v>
      </c>
      <c r="E211" s="1628" t="s">
        <v>4622</v>
      </c>
      <c r="F211" s="1629">
        <v>31676</v>
      </c>
      <c r="G211" s="1628" t="s">
        <v>4620</v>
      </c>
      <c r="H211" s="1629">
        <v>44200</v>
      </c>
      <c r="I211" s="1630">
        <f t="shared" si="379"/>
        <v>4</v>
      </c>
      <c r="J211" s="1631">
        <v>7</v>
      </c>
      <c r="K211" s="1630">
        <f t="shared" si="380"/>
        <v>11</v>
      </c>
      <c r="L211" s="1632" t="s">
        <v>5532</v>
      </c>
      <c r="M211" s="1631"/>
      <c r="N211" s="1631"/>
      <c r="O211" s="1633" t="s">
        <v>7433</v>
      </c>
      <c r="P211" s="1631" t="s">
        <v>5407</v>
      </c>
      <c r="Q211" s="1634" t="str">
        <f>IFERROR(VLOOKUP(O211,CARGOS!A:E,2,0),"")</f>
        <v>35123</v>
      </c>
      <c r="R211" s="1635" t="s">
        <v>7433</v>
      </c>
      <c r="S211" s="1636" t="s">
        <v>5486</v>
      </c>
      <c r="T211" s="1637">
        <f>IFERROR(VLOOKUP(S211,'TAB EMP'!A:B,2,0),0)</f>
        <v>281</v>
      </c>
      <c r="U211" s="1638">
        <v>0</v>
      </c>
      <c r="V211" s="1637">
        <f t="shared" si="402"/>
        <v>281</v>
      </c>
      <c r="W211" s="1638">
        <f t="shared" si="403"/>
        <v>140.5</v>
      </c>
      <c r="X211" s="1628" t="s">
        <v>2885</v>
      </c>
      <c r="Y211" s="1628"/>
      <c r="Z211" s="1628">
        <v>1</v>
      </c>
      <c r="AA211" s="1637">
        <f>ROUND(IF(H211&lt;&gt;"",VLOOKUP(SUM(I211+J211),'CONCEPTOS Y PARAMETROS'!F:G,2,0)*V211,0),2)</f>
        <v>34.840000000000003</v>
      </c>
      <c r="AB211" s="1637">
        <f>IF(S211&lt;&gt;"",IF(M211="",'CONCEPTOS Y PARAMETROS'!$C$4,0),0)</f>
        <v>130</v>
      </c>
      <c r="AC211" s="1637">
        <f>IF(S211&lt;&gt;"",IF(M211="",'CONCEPTOS Y PARAMETROS'!$C$7*Z211,0),0)</f>
        <v>12.5</v>
      </c>
      <c r="AD211" s="1637">
        <f>IFERROR(ROUND(VLOOKUP($X211,'CONCEPTOS Y PARAMETROS'!H:I,2,0)*($V211+AA211+AB211+AC211),2),0)</f>
        <v>114.59</v>
      </c>
      <c r="AE211" s="1637">
        <f t="shared" si="376"/>
        <v>291.93</v>
      </c>
      <c r="AF211" s="1637">
        <f t="shared" si="404"/>
        <v>17.420000000000002</v>
      </c>
      <c r="AG211" s="1637">
        <f t="shared" si="405"/>
        <v>17.420000000000002</v>
      </c>
      <c r="AH211" s="1637">
        <f t="shared" si="406"/>
        <v>65</v>
      </c>
      <c r="AI211" s="1637">
        <f t="shared" si="407"/>
        <v>65</v>
      </c>
      <c r="AJ211" s="1637">
        <f t="shared" si="408"/>
        <v>57.3</v>
      </c>
      <c r="AK211" s="1637">
        <f t="shared" si="409"/>
        <v>57.29</v>
      </c>
      <c r="AL211" s="1638">
        <f t="shared" si="410"/>
        <v>152.22</v>
      </c>
      <c r="AM211" s="1638">
        <f t="shared" si="411"/>
        <v>139.71</v>
      </c>
      <c r="AN211" s="1639">
        <v>1</v>
      </c>
      <c r="AO211" s="1640">
        <f>'CONCEPTOS Y PARAMETROS'!$C$18*AN211</f>
        <v>12.5</v>
      </c>
      <c r="AP211" s="1639">
        <v>1</v>
      </c>
      <c r="AQ211" s="1640">
        <f>'CONCEPTOS Y PARAMETROS'!$C$21*AP211</f>
        <v>12.5</v>
      </c>
      <c r="AR211" s="1641">
        <v>0</v>
      </c>
      <c r="AS211" s="1641">
        <v>0</v>
      </c>
      <c r="AT211" s="1641">
        <f t="shared" si="480"/>
        <v>25</v>
      </c>
      <c r="AU211" s="1638">
        <f t="shared" si="412"/>
        <v>572.93000000000006</v>
      </c>
      <c r="AV211" s="1642">
        <v>0</v>
      </c>
      <c r="AW211" s="1638">
        <f t="shared" si="499"/>
        <v>0</v>
      </c>
      <c r="AX211" s="1637">
        <f>IF(T211&lt;&gt;"0",(ROUND(IF(A211="EMPLEADO",eval_formula('CONCEPTOS Y PARAMETROS'!$C$8,NOMINA!V211,NOMINA!$AU211,NOMINA!I211+NOMINA!J211),eval_formula('CONCEPTOS Y PARAMETROS'!$D$8,NOMINA!V211,NOMINA!$AU211,NOMINA!I211+NOMINA!J211)),2))*IF(H211&lt;&gt;"",IF(MONTH(H211)=$BR$8,IF(YEAR(H211)&lt;$BT$7,1,0),0)))</f>
        <v>4583.4399999999996</v>
      </c>
      <c r="AY211" s="1638">
        <v>180</v>
      </c>
      <c r="AZ211" s="1637">
        <f>IFERROR(VLOOKUP(AY211,'CONCEPTOS Y PARAMETROS'!Y:Z,2,0),0)</f>
        <v>150</v>
      </c>
      <c r="BA211" s="1637">
        <f t="shared" si="413"/>
        <v>4296.9799999999996</v>
      </c>
      <c r="BB211" s="1637">
        <f t="shared" si="381"/>
        <v>0</v>
      </c>
      <c r="BC211" s="1639">
        <v>0</v>
      </c>
      <c r="BD211" s="1637" t="str">
        <f t="shared" si="414"/>
        <v>0</v>
      </c>
      <c r="BE211" s="1639">
        <v>0</v>
      </c>
      <c r="BF211" s="1637">
        <f t="shared" si="458"/>
        <v>0</v>
      </c>
      <c r="BG211" s="1638">
        <v>300</v>
      </c>
      <c r="BH211" s="1638">
        <f t="shared" si="382"/>
        <v>0</v>
      </c>
      <c r="BI211" s="1628">
        <v>0</v>
      </c>
      <c r="BJ211" s="1628">
        <f t="shared" si="372"/>
        <v>0</v>
      </c>
      <c r="BK211" s="1638">
        <v>0</v>
      </c>
      <c r="BL211" s="1637">
        <f t="shared" si="450"/>
        <v>21.15</v>
      </c>
      <c r="BM211" s="1637">
        <f t="shared" si="451"/>
        <v>2.64</v>
      </c>
      <c r="BN211" s="1637">
        <f t="shared" si="514"/>
        <v>5.73</v>
      </c>
      <c r="BO211" s="1637">
        <v>0</v>
      </c>
      <c r="BP211" s="1637">
        <v>0</v>
      </c>
      <c r="BQ211" s="1643">
        <f t="shared" si="373"/>
        <v>29.52</v>
      </c>
      <c r="BR211" s="1637">
        <f t="shared" si="453"/>
        <v>47.6</v>
      </c>
      <c r="BS211" s="1637">
        <f t="shared" si="454"/>
        <v>10.58</v>
      </c>
      <c r="BT211" s="1637">
        <f t="shared" si="383"/>
        <v>11.46</v>
      </c>
      <c r="BU211" s="1637">
        <v>0</v>
      </c>
      <c r="BV211" s="1638">
        <f t="shared" si="374"/>
        <v>69.64</v>
      </c>
      <c r="BW211" s="1644">
        <f t="shared" si="375"/>
        <v>99.16</v>
      </c>
      <c r="BX211" s="1644">
        <f t="shared" si="457"/>
        <v>1074.25</v>
      </c>
      <c r="BY211" s="1638">
        <v>0</v>
      </c>
      <c r="BZ211" s="1638">
        <f t="shared" si="371"/>
        <v>1074.25</v>
      </c>
      <c r="CA211" s="1645">
        <f>'CONCEPTOS Y PARAMETROS'!$A$102</f>
        <v>2120</v>
      </c>
      <c r="CB211" s="1644">
        <f t="shared" si="384"/>
        <v>263.20000000000005</v>
      </c>
      <c r="CC211" s="1646">
        <f t="shared" si="385"/>
        <v>5188.6499999999996</v>
      </c>
      <c r="CD211" s="1647"/>
      <c r="CE211" s="1647"/>
      <c r="CF211" s="1648"/>
      <c r="CG211" s="1649">
        <f t="shared" si="386"/>
        <v>263.20000000000005</v>
      </c>
      <c r="CH211" s="1713">
        <f t="shared" si="387"/>
        <v>300</v>
      </c>
      <c r="CI211" s="1649">
        <f t="shared" si="388"/>
        <v>580.21</v>
      </c>
      <c r="CJ211" s="1649">
        <f t="shared" si="389"/>
        <v>278.5</v>
      </c>
      <c r="CK211" s="1649">
        <f t="shared" si="390"/>
        <v>301.71000000000004</v>
      </c>
      <c r="CL211" s="1649">
        <f t="shared" si="391"/>
        <v>0</v>
      </c>
      <c r="CM211" s="1649">
        <f t="shared" si="392"/>
        <v>0</v>
      </c>
      <c r="CN211" s="1650">
        <f t="shared" si="393"/>
        <v>0</v>
      </c>
      <c r="CO211" s="1651">
        <v>0</v>
      </c>
      <c r="CP211" s="1650">
        <f t="shared" si="394"/>
        <v>0</v>
      </c>
      <c r="CQ211" s="1652">
        <f t="shared" si="395"/>
        <v>25</v>
      </c>
      <c r="CR211" s="1650">
        <f t="shared" si="396"/>
        <v>4583.4399999999996</v>
      </c>
      <c r="CS211" s="1650">
        <f t="shared" si="397"/>
        <v>4608.4399999999996</v>
      </c>
      <c r="CT211" s="1650">
        <f t="shared" si="398"/>
        <v>99.16</v>
      </c>
      <c r="CU211" s="1650">
        <f t="shared" si="399"/>
        <v>2120</v>
      </c>
      <c r="CV211" s="1653"/>
      <c r="CW211" s="1627" t="s">
        <v>7056</v>
      </c>
      <c r="CX211" s="1627" t="s">
        <v>7057</v>
      </c>
      <c r="CY211" s="1647"/>
      <c r="CZ211" s="1647" t="s">
        <v>6489</v>
      </c>
      <c r="DA211" s="1647" t="s">
        <v>6173</v>
      </c>
      <c r="DB211" s="1647" t="s">
        <v>6213</v>
      </c>
      <c r="DC211" s="1657" t="s">
        <v>6612</v>
      </c>
      <c r="DD211" s="1647"/>
      <c r="DE211" s="1647"/>
      <c r="DF211" s="1647"/>
      <c r="DG211" s="1647"/>
      <c r="DH211" s="1647"/>
      <c r="DJ211" s="1654" t="str">
        <f>VLOOKUP(X211,Hoja1!$A$4:$B$10,2,0)</f>
        <v>PROFESIONAL</v>
      </c>
      <c r="DK211" s="1654" t="str">
        <f>VLOOKUP(S211,Hoja1!$D$4:$F$77,3,0)</f>
        <v>PII - IV</v>
      </c>
      <c r="DL211" s="1663" t="str">
        <f t="shared" si="400"/>
        <v>0</v>
      </c>
      <c r="DM211" s="1742" t="str">
        <f t="shared" si="401"/>
        <v>F</v>
      </c>
      <c r="DN211" s="1742"/>
    </row>
    <row r="212" spans="1:118" s="473" customFormat="1" ht="21.95" customHeight="1">
      <c r="A212" s="510" t="s">
        <v>2846</v>
      </c>
      <c r="B212" s="1390">
        <f t="shared" ca="1" si="479"/>
        <v>170</v>
      </c>
      <c r="C212" s="1194">
        <v>17831384</v>
      </c>
      <c r="D212" s="1195" t="s">
        <v>4849</v>
      </c>
      <c r="E212" s="1180" t="s">
        <v>4622</v>
      </c>
      <c r="F212" s="1196">
        <v>31587</v>
      </c>
      <c r="G212" s="1180" t="s">
        <v>4620</v>
      </c>
      <c r="H212" s="1196">
        <v>42339</v>
      </c>
      <c r="I212" s="1185">
        <f t="shared" si="379"/>
        <v>9</v>
      </c>
      <c r="J212" s="1177">
        <v>0</v>
      </c>
      <c r="K212" s="1185">
        <f t="shared" si="380"/>
        <v>9</v>
      </c>
      <c r="L212" s="1191" t="s">
        <v>6145</v>
      </c>
      <c r="M212" s="1177"/>
      <c r="N212" s="1177"/>
      <c r="O212" s="1040" t="s">
        <v>5221</v>
      </c>
      <c r="P212" s="1177" t="s">
        <v>5408</v>
      </c>
      <c r="Q212" s="1391" t="str">
        <f>IFERROR(VLOOKUP(O212,CARGOS!A:E,2,0),"")</f>
        <v>79512</v>
      </c>
      <c r="R212" s="1403" t="s">
        <v>5221</v>
      </c>
      <c r="S212" s="1192" t="s">
        <v>5486</v>
      </c>
      <c r="T212" s="1150">
        <f>IFERROR(VLOOKUP(S212,'TAB EMP'!A:B,2,0),0)</f>
        <v>281</v>
      </c>
      <c r="U212" s="1151">
        <v>0</v>
      </c>
      <c r="V212" s="1150">
        <f t="shared" si="402"/>
        <v>281</v>
      </c>
      <c r="W212" s="1151">
        <f t="shared" si="403"/>
        <v>140.5</v>
      </c>
      <c r="X212" s="1180" t="s">
        <v>2885</v>
      </c>
      <c r="Y212" s="1180"/>
      <c r="Z212" s="1180">
        <v>1</v>
      </c>
      <c r="AA212" s="1150">
        <f>ROUND(IF(H212&lt;&gt;"",VLOOKUP(SUM(I212+J212),'CONCEPTOS Y PARAMETROS'!F:G,2,0)*V212,0),2)</f>
        <v>27.54</v>
      </c>
      <c r="AB212" s="1150">
        <f>IF(S212&lt;&gt;"",IF(M212="",'CONCEPTOS Y PARAMETROS'!$C$4,0),0)</f>
        <v>130</v>
      </c>
      <c r="AC212" s="1150">
        <f>IF(S212&lt;&gt;"",IF(M212="",'CONCEPTOS Y PARAMETROS'!$C$7*Z212,0),0)</f>
        <v>12.5</v>
      </c>
      <c r="AD212" s="1150">
        <f>IFERROR(ROUND(VLOOKUP($X212,'CONCEPTOS Y PARAMETROS'!H:I,2,0)*($V212+AA212+AB212+AC212),2),0)</f>
        <v>112.76</v>
      </c>
      <c r="AE212" s="1150">
        <f t="shared" si="376"/>
        <v>282.8</v>
      </c>
      <c r="AF212" s="1150">
        <f t="shared" si="404"/>
        <v>13.77</v>
      </c>
      <c r="AG212" s="1150">
        <f t="shared" si="405"/>
        <v>13.77</v>
      </c>
      <c r="AH212" s="1150">
        <f t="shared" si="406"/>
        <v>65</v>
      </c>
      <c r="AI212" s="1150">
        <f t="shared" si="407"/>
        <v>65</v>
      </c>
      <c r="AJ212" s="1150">
        <f t="shared" si="408"/>
        <v>56.38</v>
      </c>
      <c r="AK212" s="1150">
        <f t="shared" si="409"/>
        <v>56.38</v>
      </c>
      <c r="AL212" s="1151">
        <f t="shared" si="410"/>
        <v>147.65</v>
      </c>
      <c r="AM212" s="1151">
        <f t="shared" si="411"/>
        <v>135.15</v>
      </c>
      <c r="AN212" s="1028">
        <v>0</v>
      </c>
      <c r="AO212" s="1193">
        <f>'CONCEPTOS Y PARAMETROS'!$C$18*AN212</f>
        <v>0</v>
      </c>
      <c r="AP212" s="1028">
        <v>0</v>
      </c>
      <c r="AQ212" s="1193">
        <f>'CONCEPTOS Y PARAMETROS'!$C$21*AP212</f>
        <v>0</v>
      </c>
      <c r="AR212" s="1394">
        <v>0</v>
      </c>
      <c r="AS212" s="1394">
        <v>0</v>
      </c>
      <c r="AT212" s="1394">
        <f t="shared" si="480"/>
        <v>0</v>
      </c>
      <c r="AU212" s="1151">
        <f t="shared" si="412"/>
        <v>732.93999999999994</v>
      </c>
      <c r="AV212" s="1178" t="s">
        <v>5080</v>
      </c>
      <c r="AW212" s="1151">
        <f t="shared" si="499"/>
        <v>169.14</v>
      </c>
      <c r="AX212" s="1150">
        <f>IF(T212&lt;&gt;"0",(ROUND(IF(A212="EMPLEADO",eval_formula('CONCEPTOS Y PARAMETROS'!$C$8,NOMINA!V212,NOMINA!$AU212,NOMINA!I212+NOMINA!J212),eval_formula('CONCEPTOS Y PARAMETROS'!$D$8,NOMINA!V212,NOMINA!$AU212,NOMINA!I212+NOMINA!J212)),2))*IF(H212&lt;&gt;"",IF(MONTH(H212)=$BR$8,IF(YEAR(H212)&lt;$BT$7,1,0),0)))</f>
        <v>0</v>
      </c>
      <c r="AY212" s="1151">
        <v>180</v>
      </c>
      <c r="AZ212" s="1150">
        <f>IFERROR(VLOOKUP(AY212,'CONCEPTOS Y PARAMETROS'!Y:Z,2,0),0)</f>
        <v>150</v>
      </c>
      <c r="BA212" s="1150">
        <f t="shared" si="413"/>
        <v>5497.05</v>
      </c>
      <c r="BB212" s="1150">
        <f t="shared" si="381"/>
        <v>0</v>
      </c>
      <c r="BC212" s="1028">
        <v>0</v>
      </c>
      <c r="BD212" s="1150" t="str">
        <f t="shared" si="414"/>
        <v>0</v>
      </c>
      <c r="BE212" s="1028">
        <v>0</v>
      </c>
      <c r="BF212" s="1150">
        <f t="shared" si="458"/>
        <v>0</v>
      </c>
      <c r="BG212" s="1151">
        <v>300</v>
      </c>
      <c r="BH212" s="1151">
        <f t="shared" si="382"/>
        <v>0</v>
      </c>
      <c r="BI212" s="1180">
        <v>0</v>
      </c>
      <c r="BJ212" s="1180">
        <f t="shared" si="372"/>
        <v>0</v>
      </c>
      <c r="BK212" s="1151">
        <v>0</v>
      </c>
      <c r="BL212" s="1150">
        <f t="shared" si="450"/>
        <v>27.06</v>
      </c>
      <c r="BM212" s="1150">
        <f t="shared" si="451"/>
        <v>3.38</v>
      </c>
      <c r="BN212" s="1150">
        <f t="shared" si="514"/>
        <v>7.33</v>
      </c>
      <c r="BO212" s="1150">
        <v>0</v>
      </c>
      <c r="BP212" s="1150">
        <v>0</v>
      </c>
      <c r="BQ212" s="1396">
        <f t="shared" si="373"/>
        <v>37.770000000000003</v>
      </c>
      <c r="BR212" s="1150">
        <f t="shared" si="453"/>
        <v>60.89</v>
      </c>
      <c r="BS212" s="1150">
        <f t="shared" si="454"/>
        <v>13.53</v>
      </c>
      <c r="BT212" s="1150">
        <f t="shared" si="383"/>
        <v>14.66</v>
      </c>
      <c r="BU212" s="1150">
        <v>0</v>
      </c>
      <c r="BV212" s="1151">
        <f t="shared" si="374"/>
        <v>89.08</v>
      </c>
      <c r="BW212" s="1155">
        <f t="shared" si="375"/>
        <v>126.85</v>
      </c>
      <c r="BX212" s="1155">
        <f t="shared" si="457"/>
        <v>1374.26</v>
      </c>
      <c r="BY212" s="1151">
        <v>0</v>
      </c>
      <c r="BZ212" s="1151">
        <f t="shared" si="371"/>
        <v>1374.26</v>
      </c>
      <c r="CA212" s="1397">
        <f>'CONCEPTOS Y PARAMETROS'!$A$102</f>
        <v>2120</v>
      </c>
      <c r="CB212" s="1155">
        <f t="shared" si="384"/>
        <v>250.37999999999997</v>
      </c>
      <c r="CC212" s="1156">
        <f t="shared" si="385"/>
        <v>744.79</v>
      </c>
      <c r="CD212" s="514"/>
      <c r="CE212" s="514"/>
      <c r="CF212" s="520"/>
      <c r="CG212" s="497">
        <f t="shared" si="386"/>
        <v>250.37999999999997</v>
      </c>
      <c r="CH212" s="1711">
        <f t="shared" si="387"/>
        <v>300</v>
      </c>
      <c r="CI212" s="497">
        <f t="shared" si="388"/>
        <v>575.65</v>
      </c>
      <c r="CJ212" s="497">
        <f t="shared" si="389"/>
        <v>276.31</v>
      </c>
      <c r="CK212" s="497">
        <f t="shared" si="390"/>
        <v>299.33999999999997</v>
      </c>
      <c r="CL212" s="497">
        <f t="shared" si="391"/>
        <v>0</v>
      </c>
      <c r="CM212" s="497">
        <f t="shared" si="392"/>
        <v>0</v>
      </c>
      <c r="CN212" s="498">
        <f t="shared" si="393"/>
        <v>0</v>
      </c>
      <c r="CO212" s="499">
        <v>0</v>
      </c>
      <c r="CP212" s="498">
        <f t="shared" si="394"/>
        <v>169.14</v>
      </c>
      <c r="CQ212" s="500">
        <f t="shared" si="395"/>
        <v>0</v>
      </c>
      <c r="CR212" s="498">
        <f t="shared" si="396"/>
        <v>0</v>
      </c>
      <c r="CS212" s="498">
        <f t="shared" si="397"/>
        <v>169.14</v>
      </c>
      <c r="CT212" s="498">
        <f t="shared" si="398"/>
        <v>126.85</v>
      </c>
      <c r="CU212" s="498">
        <f t="shared" si="399"/>
        <v>2120</v>
      </c>
      <c r="CV212" s="1554"/>
      <c r="CW212" s="1195" t="s">
        <v>7058</v>
      </c>
      <c r="CX212" s="1195" t="s">
        <v>7059</v>
      </c>
      <c r="CY212" s="472"/>
      <c r="CZ212" s="1199" t="s">
        <v>6678</v>
      </c>
      <c r="DA212" s="514" t="s">
        <v>6198</v>
      </c>
      <c r="DB212" s="514" t="s">
        <v>6199</v>
      </c>
      <c r="DC212" s="514" t="s">
        <v>6277</v>
      </c>
      <c r="DD212" s="514"/>
      <c r="DE212" s="514"/>
      <c r="DF212" s="472"/>
      <c r="DG212" s="472"/>
      <c r="DH212" s="472"/>
      <c r="DJ212" s="473" t="str">
        <f>VLOOKUP(X212,Hoja1!$A$4:$B$10,2,0)</f>
        <v>PROFESIONAL</v>
      </c>
      <c r="DK212" s="473" t="str">
        <f>VLOOKUP(S212,Hoja1!$D$4:$F$77,3,0)</f>
        <v>PII - IV</v>
      </c>
      <c r="DL212" s="1216" t="str">
        <f t="shared" si="400"/>
        <v>SI</v>
      </c>
      <c r="DM212" s="1741" t="str">
        <f t="shared" si="401"/>
        <v>F</v>
      </c>
      <c r="DN212" s="1741"/>
    </row>
    <row r="213" spans="1:118" s="473" customFormat="1" ht="21.95" customHeight="1">
      <c r="A213" s="510" t="s">
        <v>2846</v>
      </c>
      <c r="B213" s="1390">
        <f t="shared" ca="1" si="479"/>
        <v>171</v>
      </c>
      <c r="C213" s="1194">
        <v>17832396</v>
      </c>
      <c r="D213" s="1195" t="s">
        <v>4850</v>
      </c>
      <c r="E213" s="1180" t="s">
        <v>4622</v>
      </c>
      <c r="F213" s="1196">
        <v>31969</v>
      </c>
      <c r="G213" s="1180" t="s">
        <v>4620</v>
      </c>
      <c r="H213" s="1196">
        <v>43191</v>
      </c>
      <c r="I213" s="1185">
        <f t="shared" si="379"/>
        <v>6</v>
      </c>
      <c r="J213" s="1177">
        <v>0</v>
      </c>
      <c r="K213" s="1185">
        <f t="shared" si="380"/>
        <v>6</v>
      </c>
      <c r="L213" s="1191" t="s">
        <v>5542</v>
      </c>
      <c r="M213" s="1177"/>
      <c r="N213" s="1177"/>
      <c r="O213" s="1040" t="s">
        <v>5243</v>
      </c>
      <c r="P213" s="1177" t="s">
        <v>5409</v>
      </c>
      <c r="Q213" s="1391" t="str">
        <f>IFERROR(VLOOKUP(O213,CARGOS!A:E,2,0),"")</f>
        <v>71341</v>
      </c>
      <c r="R213" s="1403" t="s">
        <v>5243</v>
      </c>
      <c r="S213" s="1192" t="s">
        <v>5481</v>
      </c>
      <c r="T213" s="1150">
        <f>IFERROR(VLOOKUP(S213,'TAB EMP'!A:B,2,0),0)</f>
        <v>219</v>
      </c>
      <c r="U213" s="1151">
        <v>0</v>
      </c>
      <c r="V213" s="1150">
        <f t="shared" si="402"/>
        <v>219</v>
      </c>
      <c r="W213" s="1151">
        <f t="shared" si="403"/>
        <v>109.5</v>
      </c>
      <c r="X213" s="1180" t="s">
        <v>2844</v>
      </c>
      <c r="Y213" s="1180"/>
      <c r="Z213" s="1180">
        <v>2</v>
      </c>
      <c r="AA213" s="1150">
        <f>ROUND(IF(H213&lt;&gt;"",VLOOKUP(SUM(I213+J213),'CONCEPTOS Y PARAMETROS'!F:G,2,0)*V213,0),2)</f>
        <v>13.58</v>
      </c>
      <c r="AB213" s="1150">
        <f>IF(S213&lt;&gt;"",IF(M213="",'CONCEPTOS Y PARAMETROS'!$C$4,0),0)</f>
        <v>130</v>
      </c>
      <c r="AC213" s="1150">
        <f>IF(S213&lt;&gt;"",IF(M213="",'CONCEPTOS Y PARAMETROS'!$C$7*Z213,0),0)</f>
        <v>25</v>
      </c>
      <c r="AD213" s="1150">
        <f>IFERROR(ROUND(VLOOKUP($X213,'CONCEPTOS Y PARAMETROS'!H:I,2,0)*($V213+AA213+AB213+AC213),2),0)</f>
        <v>77.52</v>
      </c>
      <c r="AE213" s="1150">
        <f t="shared" si="376"/>
        <v>246.10000000000002</v>
      </c>
      <c r="AF213" s="1150">
        <f t="shared" si="404"/>
        <v>6.79</v>
      </c>
      <c r="AG213" s="1150">
        <f t="shared" si="405"/>
        <v>6.79</v>
      </c>
      <c r="AH213" s="1150">
        <f t="shared" si="406"/>
        <v>65</v>
      </c>
      <c r="AI213" s="1150">
        <f t="shared" si="407"/>
        <v>65</v>
      </c>
      <c r="AJ213" s="1150">
        <f t="shared" si="408"/>
        <v>38.76</v>
      </c>
      <c r="AK213" s="1150">
        <f t="shared" si="409"/>
        <v>38.76</v>
      </c>
      <c r="AL213" s="1151">
        <f t="shared" si="410"/>
        <v>135.55000000000001</v>
      </c>
      <c r="AM213" s="1151">
        <f t="shared" si="411"/>
        <v>110.55</v>
      </c>
      <c r="AN213" s="1028">
        <v>0</v>
      </c>
      <c r="AO213" s="1193">
        <f>'CONCEPTOS Y PARAMETROS'!$C$18*AN213</f>
        <v>0</v>
      </c>
      <c r="AP213" s="1028">
        <v>0</v>
      </c>
      <c r="AQ213" s="1193">
        <f>'CONCEPTOS Y PARAMETROS'!$C$21*AP213</f>
        <v>0</v>
      </c>
      <c r="AR213" s="1394">
        <v>0</v>
      </c>
      <c r="AS213" s="1394">
        <v>0</v>
      </c>
      <c r="AT213" s="1394">
        <f t="shared" si="480"/>
        <v>0</v>
      </c>
      <c r="AU213" s="1151">
        <f t="shared" si="412"/>
        <v>465.1</v>
      </c>
      <c r="AV213" s="1178">
        <v>0</v>
      </c>
      <c r="AW213" s="1151">
        <f t="shared" si="499"/>
        <v>0</v>
      </c>
      <c r="AX213" s="1150">
        <f>IF(T213&lt;&gt;"0",(ROUND(IF(A213="EMPLEADO",eval_formula('CONCEPTOS Y PARAMETROS'!$C$8,NOMINA!V213,NOMINA!$AU213,NOMINA!I213+NOMINA!J213),eval_formula('CONCEPTOS Y PARAMETROS'!$D$8,NOMINA!V213,NOMINA!$AU213,NOMINA!I213+NOMINA!J213)),2))*IF(H213&lt;&gt;"",IF(MONTH(H213)=$BR$8,IF(YEAR(H213)&lt;$BT$7,1,0),0)))</f>
        <v>0</v>
      </c>
      <c r="AY213" s="1151">
        <v>180</v>
      </c>
      <c r="AZ213" s="1150">
        <f>IFERROR(VLOOKUP(AY213,'CONCEPTOS Y PARAMETROS'!Y:Z,2,0),0)</f>
        <v>150</v>
      </c>
      <c r="BA213" s="1150">
        <f t="shared" si="413"/>
        <v>3488.25</v>
      </c>
      <c r="BB213" s="1150">
        <f t="shared" si="381"/>
        <v>0</v>
      </c>
      <c r="BC213" s="1028">
        <v>0</v>
      </c>
      <c r="BD213" s="1150" t="str">
        <f t="shared" si="414"/>
        <v>0</v>
      </c>
      <c r="BE213" s="1028">
        <v>0</v>
      </c>
      <c r="BF213" s="1150">
        <f t="shared" si="458"/>
        <v>0</v>
      </c>
      <c r="BG213" s="1151">
        <v>300</v>
      </c>
      <c r="BH213" s="1151">
        <f t="shared" si="382"/>
        <v>0</v>
      </c>
      <c r="BI213" s="1180">
        <v>0</v>
      </c>
      <c r="BJ213" s="1180">
        <f t="shared" si="372"/>
        <v>0</v>
      </c>
      <c r="BK213" s="1151">
        <v>0</v>
      </c>
      <c r="BL213" s="1150">
        <f t="shared" si="450"/>
        <v>17.170000000000002</v>
      </c>
      <c r="BM213" s="1150">
        <f t="shared" si="451"/>
        <v>2.15</v>
      </c>
      <c r="BN213" s="1150">
        <f t="shared" si="514"/>
        <v>4.6500000000000004</v>
      </c>
      <c r="BO213" s="1150">
        <v>0</v>
      </c>
      <c r="BP213" s="1150">
        <v>0</v>
      </c>
      <c r="BQ213" s="1396">
        <f t="shared" si="373"/>
        <v>23.97</v>
      </c>
      <c r="BR213" s="1150">
        <f t="shared" si="453"/>
        <v>38.64</v>
      </c>
      <c r="BS213" s="1150">
        <f t="shared" si="454"/>
        <v>8.59</v>
      </c>
      <c r="BT213" s="1150">
        <f t="shared" si="383"/>
        <v>9.3000000000000007</v>
      </c>
      <c r="BU213" s="1150">
        <v>0</v>
      </c>
      <c r="BV213" s="1151">
        <f t="shared" si="374"/>
        <v>56.53</v>
      </c>
      <c r="BW213" s="1155">
        <f t="shared" si="375"/>
        <v>80.5</v>
      </c>
      <c r="BX213" s="1155">
        <f t="shared" si="457"/>
        <v>872.06</v>
      </c>
      <c r="BY213" s="1151">
        <v>0</v>
      </c>
      <c r="BZ213" s="1151">
        <f t="shared" si="371"/>
        <v>872.06</v>
      </c>
      <c r="CA213" s="1397">
        <f>'CONCEPTOS Y PARAMETROS'!$A$102</f>
        <v>2120</v>
      </c>
      <c r="CB213" s="1155">
        <f t="shared" si="384"/>
        <v>221.08</v>
      </c>
      <c r="CC213" s="1156">
        <f t="shared" si="385"/>
        <v>520.04999999999995</v>
      </c>
      <c r="CD213" s="514"/>
      <c r="CE213" s="514"/>
      <c r="CF213" s="520"/>
      <c r="CG213" s="497">
        <f t="shared" si="386"/>
        <v>221.08</v>
      </c>
      <c r="CH213" s="1711">
        <f t="shared" si="387"/>
        <v>300</v>
      </c>
      <c r="CI213" s="497">
        <f t="shared" si="388"/>
        <v>520.04999999999995</v>
      </c>
      <c r="CJ213" s="497">
        <f t="shared" si="389"/>
        <v>520.04999999999995</v>
      </c>
      <c r="CK213" s="497">
        <f t="shared" si="390"/>
        <v>0</v>
      </c>
      <c r="CL213" s="497">
        <f t="shared" si="391"/>
        <v>0</v>
      </c>
      <c r="CM213" s="497">
        <f t="shared" si="392"/>
        <v>0</v>
      </c>
      <c r="CN213" s="498">
        <f t="shared" si="393"/>
        <v>0</v>
      </c>
      <c r="CO213" s="499">
        <v>0</v>
      </c>
      <c r="CP213" s="498">
        <f t="shared" si="394"/>
        <v>0</v>
      </c>
      <c r="CQ213" s="500">
        <f t="shared" si="395"/>
        <v>0</v>
      </c>
      <c r="CR213" s="498">
        <f t="shared" si="396"/>
        <v>0</v>
      </c>
      <c r="CS213" s="498">
        <f t="shared" si="397"/>
        <v>0</v>
      </c>
      <c r="CT213" s="498">
        <f t="shared" si="398"/>
        <v>80.5</v>
      </c>
      <c r="CU213" s="498">
        <f t="shared" si="399"/>
        <v>2120</v>
      </c>
      <c r="CV213" s="1554"/>
      <c r="CW213" s="1195" t="s">
        <v>7060</v>
      </c>
      <c r="CX213" s="1195" t="s">
        <v>7061</v>
      </c>
      <c r="CY213" s="472"/>
      <c r="CZ213" s="514" t="s">
        <v>6323</v>
      </c>
      <c r="DA213" s="1199" t="s">
        <v>6173</v>
      </c>
      <c r="DB213" s="1199" t="s">
        <v>6291</v>
      </c>
      <c r="DC213" s="514" t="s">
        <v>6381</v>
      </c>
      <c r="DD213" s="514"/>
      <c r="DE213" s="514"/>
      <c r="DF213" s="472"/>
      <c r="DG213" s="472"/>
      <c r="DH213" s="472"/>
      <c r="DJ213" s="473" t="str">
        <f>VLOOKUP(X213,Hoja1!$A$4:$B$10,2,0)</f>
        <v>TÉCNICO SUPERIOR UNIVERSITARIO</v>
      </c>
      <c r="DK213" s="473" t="str">
        <f>VLOOKUP(S213,Hoja1!$D$4:$F$77,3,0)</f>
        <v>TII - II</v>
      </c>
      <c r="DL213" s="1216" t="str">
        <f t="shared" si="400"/>
        <v>0</v>
      </c>
      <c r="DM213" s="1741" t="str">
        <f t="shared" si="401"/>
        <v>F</v>
      </c>
      <c r="DN213" s="1741"/>
    </row>
    <row r="214" spans="1:118" s="473" customFormat="1" ht="21.95" customHeight="1">
      <c r="A214" s="510" t="s">
        <v>2846</v>
      </c>
      <c r="B214" s="1390">
        <f t="shared" ca="1" si="479"/>
        <v>172</v>
      </c>
      <c r="C214" s="1194">
        <v>17865154</v>
      </c>
      <c r="D214" s="1195" t="s">
        <v>4851</v>
      </c>
      <c r="E214" s="1180" t="s">
        <v>4622</v>
      </c>
      <c r="F214" s="1196">
        <v>29154</v>
      </c>
      <c r="G214" s="1180" t="s">
        <v>4620</v>
      </c>
      <c r="H214" s="1196">
        <v>43846</v>
      </c>
      <c r="I214" s="1185">
        <f t="shared" si="379"/>
        <v>5</v>
      </c>
      <c r="J214" s="1177">
        <v>0</v>
      </c>
      <c r="K214" s="1185">
        <f t="shared" si="380"/>
        <v>5</v>
      </c>
      <c r="L214" s="1191" t="s">
        <v>5539</v>
      </c>
      <c r="M214" s="1177"/>
      <c r="N214" s="1177"/>
      <c r="O214" s="1040" t="s">
        <v>5222</v>
      </c>
      <c r="P214" s="1177" t="s">
        <v>5410</v>
      </c>
      <c r="Q214" s="1391" t="str">
        <f>IFERROR(VLOOKUP(O214,CARGOS!A:E,2,0),"")</f>
        <v>79511</v>
      </c>
      <c r="R214" s="1403" t="s">
        <v>5222</v>
      </c>
      <c r="S214" s="1192" t="s">
        <v>5490</v>
      </c>
      <c r="T214" s="1150">
        <f>IFERROR(VLOOKUP(S214,'TAB EMP'!A:B,2,0),0)</f>
        <v>150</v>
      </c>
      <c r="U214" s="1151">
        <v>0</v>
      </c>
      <c r="V214" s="1150">
        <f t="shared" si="402"/>
        <v>150</v>
      </c>
      <c r="W214" s="1151">
        <f t="shared" si="403"/>
        <v>75</v>
      </c>
      <c r="X214" s="1180" t="s">
        <v>2884</v>
      </c>
      <c r="Y214" s="1180"/>
      <c r="Z214" s="1180">
        <v>0</v>
      </c>
      <c r="AA214" s="1150">
        <f>ROUND(IF(H214&lt;&gt;"",VLOOKUP(SUM(I214+J214),'CONCEPTOS Y PARAMETROS'!F:G,2,0)*V214,0),2)</f>
        <v>7.5</v>
      </c>
      <c r="AB214" s="1150">
        <f>IF(S214&lt;&gt;"",IF(M214="",'CONCEPTOS Y PARAMETROS'!$C$4,0),0)</f>
        <v>130</v>
      </c>
      <c r="AC214" s="1150">
        <f>IF(S214&lt;&gt;"",IF(M214="",'CONCEPTOS Y PARAMETROS'!$C$7*Z214,0),0)</f>
        <v>0</v>
      </c>
      <c r="AD214" s="1150">
        <f>IFERROR(ROUND(VLOOKUP($X214,'CONCEPTOS Y PARAMETROS'!H:I,2,0)*($V214+AA214+AB214+AC214),2),0)</f>
        <v>0</v>
      </c>
      <c r="AE214" s="1150">
        <f t="shared" si="376"/>
        <v>137.5</v>
      </c>
      <c r="AF214" s="1150">
        <f t="shared" si="404"/>
        <v>3.75</v>
      </c>
      <c r="AG214" s="1150">
        <f t="shared" si="405"/>
        <v>3.75</v>
      </c>
      <c r="AH214" s="1150">
        <f t="shared" si="406"/>
        <v>65</v>
      </c>
      <c r="AI214" s="1150">
        <f t="shared" si="407"/>
        <v>65</v>
      </c>
      <c r="AJ214" s="1150">
        <f t="shared" si="408"/>
        <v>0</v>
      </c>
      <c r="AK214" s="1150">
        <f t="shared" si="409"/>
        <v>0</v>
      </c>
      <c r="AL214" s="1151">
        <f t="shared" si="410"/>
        <v>68.75</v>
      </c>
      <c r="AM214" s="1151">
        <f t="shared" si="411"/>
        <v>68.75</v>
      </c>
      <c r="AN214" s="1028">
        <v>0</v>
      </c>
      <c r="AO214" s="1193">
        <f>'CONCEPTOS Y PARAMETROS'!$C$18*AN214</f>
        <v>0</v>
      </c>
      <c r="AP214" s="1028">
        <v>0</v>
      </c>
      <c r="AQ214" s="1193">
        <f>'CONCEPTOS Y PARAMETROS'!$C$21*AP214</f>
        <v>0</v>
      </c>
      <c r="AR214" s="1394">
        <v>0</v>
      </c>
      <c r="AS214" s="1394">
        <v>0</v>
      </c>
      <c r="AT214" s="1394">
        <f t="shared" si="480"/>
        <v>0</v>
      </c>
      <c r="AU214" s="1151">
        <f t="shared" si="412"/>
        <v>373.75</v>
      </c>
      <c r="AV214" s="1178" t="s">
        <v>5080</v>
      </c>
      <c r="AW214" s="1151">
        <f t="shared" si="499"/>
        <v>86.25</v>
      </c>
      <c r="AX214" s="1150">
        <f>IF(T214&lt;&gt;"0",(ROUND(IF(A214="EMPLEADO",eval_formula('CONCEPTOS Y PARAMETROS'!$C$8,NOMINA!V214,NOMINA!$AU214,NOMINA!I214+NOMINA!J214),eval_formula('CONCEPTOS Y PARAMETROS'!$D$8,NOMINA!V214,NOMINA!$AU214,NOMINA!I214+NOMINA!J214)),2))*IF(H214&lt;&gt;"",IF(MONTH(H214)=$BR$8,IF(YEAR(H214)&lt;$BT$7,1,0),0)))</f>
        <v>2990</v>
      </c>
      <c r="AY214" s="1151">
        <v>180</v>
      </c>
      <c r="AZ214" s="1150">
        <f>IFERROR(VLOOKUP(AY214,'CONCEPTOS Y PARAMETROS'!Y:Z,2,0),0)</f>
        <v>150</v>
      </c>
      <c r="BA214" s="1150">
        <f t="shared" si="413"/>
        <v>2803.13</v>
      </c>
      <c r="BB214" s="1150">
        <f t="shared" si="381"/>
        <v>0</v>
      </c>
      <c r="BC214" s="1028">
        <v>0</v>
      </c>
      <c r="BD214" s="1150" t="str">
        <f t="shared" si="414"/>
        <v>0</v>
      </c>
      <c r="BE214" s="1028">
        <v>4</v>
      </c>
      <c r="BF214" s="1150">
        <f t="shared" si="458"/>
        <v>74.75</v>
      </c>
      <c r="BG214" s="1151">
        <v>300</v>
      </c>
      <c r="BH214" s="1151">
        <f t="shared" si="382"/>
        <v>0</v>
      </c>
      <c r="BI214" s="1180">
        <v>0</v>
      </c>
      <c r="BJ214" s="1180">
        <f t="shared" si="372"/>
        <v>0</v>
      </c>
      <c r="BK214" s="1151">
        <v>0</v>
      </c>
      <c r="BL214" s="1150">
        <f t="shared" si="450"/>
        <v>13.8</v>
      </c>
      <c r="BM214" s="1150">
        <f t="shared" si="451"/>
        <v>1.73</v>
      </c>
      <c r="BN214" s="1150">
        <f t="shared" si="514"/>
        <v>3.74</v>
      </c>
      <c r="BO214" s="1150">
        <v>0</v>
      </c>
      <c r="BP214" s="1150">
        <v>0</v>
      </c>
      <c r="BQ214" s="1396">
        <f t="shared" si="373"/>
        <v>19.27</v>
      </c>
      <c r="BR214" s="1150">
        <f t="shared" si="453"/>
        <v>31.05</v>
      </c>
      <c r="BS214" s="1150">
        <f t="shared" si="454"/>
        <v>6.9</v>
      </c>
      <c r="BT214" s="1150">
        <f t="shared" si="383"/>
        <v>7.48</v>
      </c>
      <c r="BU214" s="1150">
        <v>0</v>
      </c>
      <c r="BV214" s="1151">
        <f t="shared" si="374"/>
        <v>45.43</v>
      </c>
      <c r="BW214" s="1155">
        <f t="shared" si="375"/>
        <v>64.7</v>
      </c>
      <c r="BX214" s="1155">
        <f t="shared" si="457"/>
        <v>700.78</v>
      </c>
      <c r="BY214" s="1151">
        <v>0</v>
      </c>
      <c r="BZ214" s="1151">
        <f t="shared" si="371"/>
        <v>700.78</v>
      </c>
      <c r="CA214" s="1397">
        <f>'CONCEPTOS Y PARAMETROS'!$A$102</f>
        <v>2120</v>
      </c>
      <c r="CB214" s="1155">
        <f t="shared" si="384"/>
        <v>124.48</v>
      </c>
      <c r="CC214" s="1156">
        <f t="shared" si="385"/>
        <v>3594.75</v>
      </c>
      <c r="CD214" s="514"/>
      <c r="CE214" s="514"/>
      <c r="CF214" s="520"/>
      <c r="CG214" s="497">
        <f t="shared" si="386"/>
        <v>124.48</v>
      </c>
      <c r="CH214" s="1711">
        <f t="shared" si="387"/>
        <v>300</v>
      </c>
      <c r="CI214" s="497">
        <f t="shared" si="388"/>
        <v>443.75</v>
      </c>
      <c r="CJ214" s="497">
        <f t="shared" si="389"/>
        <v>443.75</v>
      </c>
      <c r="CK214" s="497">
        <f t="shared" si="390"/>
        <v>0</v>
      </c>
      <c r="CL214" s="497">
        <f t="shared" si="391"/>
        <v>0</v>
      </c>
      <c r="CM214" s="497">
        <f t="shared" si="392"/>
        <v>0</v>
      </c>
      <c r="CN214" s="498">
        <f t="shared" si="393"/>
        <v>74.75</v>
      </c>
      <c r="CO214" s="499">
        <v>0</v>
      </c>
      <c r="CP214" s="498">
        <f t="shared" si="394"/>
        <v>86.25</v>
      </c>
      <c r="CQ214" s="500">
        <f t="shared" si="395"/>
        <v>0</v>
      </c>
      <c r="CR214" s="498">
        <f t="shared" si="396"/>
        <v>2990</v>
      </c>
      <c r="CS214" s="498">
        <f t="shared" si="397"/>
        <v>3151</v>
      </c>
      <c r="CT214" s="498">
        <f t="shared" si="398"/>
        <v>64.7</v>
      </c>
      <c r="CU214" s="498">
        <f t="shared" si="399"/>
        <v>2120</v>
      </c>
      <c r="CV214" s="1554"/>
      <c r="CW214" s="1195" t="s">
        <v>7062</v>
      </c>
      <c r="CX214" s="1195" t="s">
        <v>7063</v>
      </c>
      <c r="CY214" s="472"/>
      <c r="CZ214" s="514" t="s">
        <v>6324</v>
      </c>
      <c r="DA214" s="514" t="s">
        <v>6198</v>
      </c>
      <c r="DB214" s="514" t="s">
        <v>6185</v>
      </c>
      <c r="DC214" s="514" t="s">
        <v>6322</v>
      </c>
      <c r="DD214" s="514"/>
      <c r="DE214" s="514"/>
      <c r="DF214" s="472"/>
      <c r="DG214" s="472"/>
      <c r="DH214" s="472"/>
      <c r="DJ214" s="473" t="str">
        <f>VLOOKUP(X214,Hoja1!$A$4:$B$10,2,0)</f>
        <v>BACHILLER</v>
      </c>
      <c r="DK214" s="473" t="str">
        <f>VLOOKUP(S214,Hoja1!$D$4:$F$77,3,0)</f>
        <v>BII - II</v>
      </c>
      <c r="DL214" s="1216" t="str">
        <f t="shared" si="400"/>
        <v>SI</v>
      </c>
      <c r="DM214" s="1741" t="str">
        <f t="shared" si="401"/>
        <v>F</v>
      </c>
      <c r="DN214" s="1741"/>
    </row>
    <row r="215" spans="1:118" s="478" customFormat="1" ht="21.95" customHeight="1">
      <c r="A215" s="510" t="s">
        <v>2846</v>
      </c>
      <c r="B215" s="1390">
        <f t="shared" ca="1" si="479"/>
        <v>173</v>
      </c>
      <c r="C215" s="1194">
        <v>18036203</v>
      </c>
      <c r="D215" s="1195" t="s">
        <v>6800</v>
      </c>
      <c r="E215" s="1180" t="s">
        <v>4622</v>
      </c>
      <c r="F215" s="1196">
        <v>31456</v>
      </c>
      <c r="G215" s="1180" t="s">
        <v>4621</v>
      </c>
      <c r="H215" s="1196">
        <v>45505</v>
      </c>
      <c r="I215" s="1185">
        <f t="shared" si="379"/>
        <v>0</v>
      </c>
      <c r="J215" s="1177">
        <v>0</v>
      </c>
      <c r="K215" s="1185">
        <f t="shared" si="380"/>
        <v>0</v>
      </c>
      <c r="L215" s="1447" t="s">
        <v>5561</v>
      </c>
      <c r="M215" s="1177"/>
      <c r="N215" s="1177"/>
      <c r="O215" s="1040" t="s">
        <v>5222</v>
      </c>
      <c r="P215" s="1197" t="s">
        <v>6801</v>
      </c>
      <c r="Q215" s="1391" t="str">
        <f>IFERROR(VLOOKUP(O215,CARGOS!A:E,2,0),"")</f>
        <v>79511</v>
      </c>
      <c r="R215" s="1403" t="s">
        <v>5222</v>
      </c>
      <c r="S215" s="1192" t="s">
        <v>5483</v>
      </c>
      <c r="T215" s="1150">
        <f>IFERROR(VLOOKUP(S215,'TAB EMP'!A:B,2,0),0)</f>
        <v>130</v>
      </c>
      <c r="U215" s="1151">
        <v>0</v>
      </c>
      <c r="V215" s="1150">
        <f t="shared" si="402"/>
        <v>130</v>
      </c>
      <c r="W215" s="1151">
        <f t="shared" si="403"/>
        <v>65</v>
      </c>
      <c r="X215" s="1180" t="s">
        <v>2884</v>
      </c>
      <c r="Y215" s="1180"/>
      <c r="Z215" s="1180">
        <v>2</v>
      </c>
      <c r="AA215" s="1150">
        <f>ROUND(IF(H215&lt;&gt;"",VLOOKUP(SUM(I215+J215),'CONCEPTOS Y PARAMETROS'!F:G,2,0)*V215,0),2)</f>
        <v>0</v>
      </c>
      <c r="AB215" s="1150">
        <f>IF(S215&lt;&gt;"",IF(M215="",'CONCEPTOS Y PARAMETROS'!$C$4,0),0)</f>
        <v>130</v>
      </c>
      <c r="AC215" s="1150">
        <f>IF(S215&lt;&gt;"",IF(M215="",'CONCEPTOS Y PARAMETROS'!$C$7*Z215,0),0)</f>
        <v>25</v>
      </c>
      <c r="AD215" s="1150">
        <f>IFERROR(ROUND(VLOOKUP($X215,'CONCEPTOS Y PARAMETROS'!H:I,2,0)*($V215+AA215+AB215+AC215),2),0)</f>
        <v>0</v>
      </c>
      <c r="AE215" s="1150">
        <f t="shared" si="376"/>
        <v>155</v>
      </c>
      <c r="AF215" s="1150">
        <f t="shared" si="404"/>
        <v>0</v>
      </c>
      <c r="AG215" s="1150">
        <f t="shared" si="405"/>
        <v>0</v>
      </c>
      <c r="AH215" s="1150">
        <f t="shared" si="406"/>
        <v>65</v>
      </c>
      <c r="AI215" s="1150">
        <f t="shared" si="407"/>
        <v>65</v>
      </c>
      <c r="AJ215" s="1150">
        <f t="shared" si="408"/>
        <v>0</v>
      </c>
      <c r="AK215" s="1150">
        <f t="shared" si="409"/>
        <v>0</v>
      </c>
      <c r="AL215" s="1151">
        <f t="shared" si="410"/>
        <v>90</v>
      </c>
      <c r="AM215" s="1151">
        <f t="shared" si="411"/>
        <v>65</v>
      </c>
      <c r="AN215" s="1583">
        <v>1</v>
      </c>
      <c r="AO215" s="1193">
        <f>'CONCEPTOS Y PARAMETROS'!$C$18*AN215</f>
        <v>12.5</v>
      </c>
      <c r="AP215" s="1028">
        <v>0</v>
      </c>
      <c r="AQ215" s="1193">
        <f>'CONCEPTOS Y PARAMETROS'!$C$21*AP215</f>
        <v>0</v>
      </c>
      <c r="AR215" s="1394">
        <v>0</v>
      </c>
      <c r="AS215" s="1394">
        <v>0</v>
      </c>
      <c r="AT215" s="1394">
        <f t="shared" si="480"/>
        <v>12.5</v>
      </c>
      <c r="AU215" s="1151">
        <f t="shared" si="412"/>
        <v>370.5</v>
      </c>
      <c r="AV215" s="1178" t="s">
        <v>5080</v>
      </c>
      <c r="AW215" s="1151">
        <f t="shared" si="499"/>
        <v>85.5</v>
      </c>
      <c r="AX215" s="1150">
        <f>IF(T215&lt;&gt;"0",(ROUND(IF(A215="EMPLEADO",eval_formula('CONCEPTOS Y PARAMETROS'!$C$8,NOMINA!V215,NOMINA!$AU215,NOMINA!I215+NOMINA!J215),eval_formula('CONCEPTOS Y PARAMETROS'!$D$8,NOMINA!V215,NOMINA!$AU215,NOMINA!I215+NOMINA!J215)),2))*IF(H215&lt;&gt;"",IF(MONTH(H215)=$BR$8,IF(YEAR(H215)&lt;$BT$7,1,0),0)))</f>
        <v>0</v>
      </c>
      <c r="AY215" s="1151">
        <v>75</v>
      </c>
      <c r="AZ215" s="1150">
        <f>IFERROR(VLOOKUP(AY215,'CONCEPTOS Y PARAMETROS'!Y:Z,2,0),0)</f>
        <v>62.5</v>
      </c>
      <c r="BA215" s="1150">
        <f t="shared" si="413"/>
        <v>932.68</v>
      </c>
      <c r="BB215" s="1150">
        <f t="shared" si="381"/>
        <v>0</v>
      </c>
      <c r="BC215" s="1028">
        <v>0</v>
      </c>
      <c r="BD215" s="1150" t="str">
        <f t="shared" si="414"/>
        <v>0</v>
      </c>
      <c r="BE215" s="1028">
        <v>3</v>
      </c>
      <c r="BF215" s="1150">
        <f t="shared" si="458"/>
        <v>55.58</v>
      </c>
      <c r="BG215" s="1151">
        <v>300</v>
      </c>
      <c r="BH215" s="1151">
        <f t="shared" si="382"/>
        <v>0</v>
      </c>
      <c r="BI215" s="1180">
        <v>0</v>
      </c>
      <c r="BJ215" s="1180">
        <f t="shared" si="372"/>
        <v>0</v>
      </c>
      <c r="BK215" s="1151">
        <v>0</v>
      </c>
      <c r="BL215" s="1150">
        <f t="shared" si="450"/>
        <v>13.68</v>
      </c>
      <c r="BM215" s="1150">
        <f t="shared" si="451"/>
        <v>1.71</v>
      </c>
      <c r="BN215" s="1150">
        <f t="shared" si="514"/>
        <v>3.71</v>
      </c>
      <c r="BO215" s="1150">
        <v>0</v>
      </c>
      <c r="BP215" s="1150">
        <v>0</v>
      </c>
      <c r="BQ215" s="1396">
        <f t="shared" si="373"/>
        <v>19.100000000000001</v>
      </c>
      <c r="BR215" s="1150">
        <f t="shared" si="453"/>
        <v>30.78</v>
      </c>
      <c r="BS215" s="1150">
        <f t="shared" si="454"/>
        <v>6.84</v>
      </c>
      <c r="BT215" s="1150">
        <f t="shared" si="383"/>
        <v>7.42</v>
      </c>
      <c r="BU215" s="1150">
        <v>0</v>
      </c>
      <c r="BV215" s="1151">
        <f t="shared" si="374"/>
        <v>45.04</v>
      </c>
      <c r="BW215" s="1155">
        <f t="shared" si="375"/>
        <v>64.14</v>
      </c>
      <c r="BX215" s="1155">
        <f t="shared" si="457"/>
        <v>233.17</v>
      </c>
      <c r="BY215" s="1151">
        <v>0</v>
      </c>
      <c r="BZ215" s="1151">
        <f t="shared" si="371"/>
        <v>233.17</v>
      </c>
      <c r="CA215" s="1397">
        <f>'CONCEPTOS Y PARAMETROS'!$A$102</f>
        <v>2120</v>
      </c>
      <c r="CB215" s="1155">
        <f t="shared" si="384"/>
        <v>135.9</v>
      </c>
      <c r="CC215" s="1156">
        <f t="shared" si="385"/>
        <v>583.58000000000004</v>
      </c>
      <c r="CD215" s="514"/>
      <c r="CE215" s="514"/>
      <c r="CF215" s="521"/>
      <c r="CG215" s="511">
        <f t="shared" si="386"/>
        <v>135.9</v>
      </c>
      <c r="CH215" s="1712">
        <f t="shared" si="387"/>
        <v>300</v>
      </c>
      <c r="CI215" s="511">
        <f t="shared" si="388"/>
        <v>430</v>
      </c>
      <c r="CJ215" s="511">
        <f t="shared" si="389"/>
        <v>430</v>
      </c>
      <c r="CK215" s="511">
        <f t="shared" si="390"/>
        <v>0</v>
      </c>
      <c r="CL215" s="511">
        <f t="shared" si="391"/>
        <v>0</v>
      </c>
      <c r="CM215" s="511">
        <f t="shared" si="392"/>
        <v>0</v>
      </c>
      <c r="CN215" s="512">
        <f t="shared" si="393"/>
        <v>55.58</v>
      </c>
      <c r="CO215" s="513">
        <v>0</v>
      </c>
      <c r="CP215" s="512">
        <f t="shared" si="394"/>
        <v>85.5</v>
      </c>
      <c r="CQ215" s="500">
        <f t="shared" si="395"/>
        <v>12.5</v>
      </c>
      <c r="CR215" s="512">
        <f t="shared" si="396"/>
        <v>0</v>
      </c>
      <c r="CS215" s="512">
        <f t="shared" si="397"/>
        <v>153.57999999999998</v>
      </c>
      <c r="CT215" s="512">
        <f t="shared" si="398"/>
        <v>64.14</v>
      </c>
      <c r="CU215" s="512">
        <f t="shared" si="399"/>
        <v>2120</v>
      </c>
      <c r="CV215" s="1556"/>
      <c r="CW215" s="1195" t="s">
        <v>7064</v>
      </c>
      <c r="CX215" s="1195" t="s">
        <v>7065</v>
      </c>
      <c r="CY215" s="514"/>
      <c r="CZ215" s="1199" t="s">
        <v>6806</v>
      </c>
      <c r="DA215" s="1199" t="s">
        <v>6216</v>
      </c>
      <c r="DB215" s="1199" t="s">
        <v>6289</v>
      </c>
      <c r="DC215" s="514" t="s">
        <v>6807</v>
      </c>
      <c r="DD215" s="514"/>
      <c r="DE215" s="514"/>
      <c r="DF215" s="514"/>
      <c r="DG215" s="514"/>
      <c r="DH215" s="514"/>
      <c r="DJ215" s="478" t="str">
        <f>VLOOKUP(X215,Hoja1!$A$4:$B$10,2,0)</f>
        <v>BACHILLER</v>
      </c>
      <c r="DK215" s="478" t="str">
        <f>VLOOKUP(S215,Hoja1!$D$4:$F$77,3,0)</f>
        <v>BI</v>
      </c>
      <c r="DL215" s="1225" t="str">
        <f t="shared" si="400"/>
        <v>SI</v>
      </c>
      <c r="DM215" s="1743" t="str">
        <f t="shared" si="401"/>
        <v>M</v>
      </c>
      <c r="DN215" s="1743"/>
    </row>
    <row r="216" spans="1:118" s="478" customFormat="1" ht="21.95" customHeight="1">
      <c r="A216" s="510" t="s">
        <v>2846</v>
      </c>
      <c r="B216" s="1390">
        <f t="shared" ca="1" si="479"/>
        <v>174</v>
      </c>
      <c r="C216" s="1194">
        <v>18036156</v>
      </c>
      <c r="D216" s="1195" t="s">
        <v>6902</v>
      </c>
      <c r="E216" s="1180" t="s">
        <v>4622</v>
      </c>
      <c r="F216" s="1196">
        <v>31909</v>
      </c>
      <c r="G216" s="1180" t="s">
        <v>4621</v>
      </c>
      <c r="H216" s="1196">
        <v>45597</v>
      </c>
      <c r="I216" s="1185">
        <f t="shared" si="379"/>
        <v>0</v>
      </c>
      <c r="J216" s="1177">
        <v>0</v>
      </c>
      <c r="K216" s="1185">
        <f t="shared" si="380"/>
        <v>0</v>
      </c>
      <c r="L216" s="1447" t="s">
        <v>5561</v>
      </c>
      <c r="M216" s="1177"/>
      <c r="N216" s="1177"/>
      <c r="O216" s="1040" t="s">
        <v>5222</v>
      </c>
      <c r="P216" s="1197" t="s">
        <v>6903</v>
      </c>
      <c r="Q216" s="1391" t="str">
        <f>IFERROR(VLOOKUP(O216,CARGOS!A:E,2,0),"")</f>
        <v>79511</v>
      </c>
      <c r="R216" s="1403" t="s">
        <v>5222</v>
      </c>
      <c r="S216" s="1192" t="s">
        <v>5483</v>
      </c>
      <c r="T216" s="1150">
        <f>IFERROR(VLOOKUP(S216,'TAB EMP'!A:B,2,0),0)</f>
        <v>130</v>
      </c>
      <c r="U216" s="1151">
        <v>0</v>
      </c>
      <c r="V216" s="1150">
        <f t="shared" ref="V216" si="539">T216-U216</f>
        <v>130</v>
      </c>
      <c r="W216" s="1151">
        <f t="shared" ref="W216" si="540">ROUND(V216/2,2)</f>
        <v>65</v>
      </c>
      <c r="X216" s="1180" t="s">
        <v>2884</v>
      </c>
      <c r="Y216" s="1180"/>
      <c r="Z216" s="1180">
        <v>0</v>
      </c>
      <c r="AA216" s="1150">
        <f>ROUND(IF(H216&lt;&gt;"",VLOOKUP(SUM(I216+J216),'CONCEPTOS Y PARAMETROS'!F:G,2,0)*V216,0),2)</f>
        <v>0</v>
      </c>
      <c r="AB216" s="1150">
        <f>IF(S216&lt;&gt;"",IF(M216="",'CONCEPTOS Y PARAMETROS'!$C$4,0),0)</f>
        <v>130</v>
      </c>
      <c r="AC216" s="1150">
        <f>IF(S216&lt;&gt;"",IF(M216="",'CONCEPTOS Y PARAMETROS'!$C$7*Z216,0),0)</f>
        <v>0</v>
      </c>
      <c r="AD216" s="1150">
        <f>IFERROR(ROUND(VLOOKUP($X216,'CONCEPTOS Y PARAMETROS'!H:I,2,0)*($V216+AA216+AB216+AC216),2),0)</f>
        <v>0</v>
      </c>
      <c r="AE216" s="1150">
        <f t="shared" ref="AE216" si="541">SUM(AA216:AD216)</f>
        <v>130</v>
      </c>
      <c r="AF216" s="1150">
        <f t="shared" ref="AF216" si="542">ROUND(AA216/2,2)</f>
        <v>0</v>
      </c>
      <c r="AG216" s="1150">
        <f t="shared" ref="AG216" si="543">ROUND(AA216-AF216,2)</f>
        <v>0</v>
      </c>
      <c r="AH216" s="1150">
        <f t="shared" ref="AH216" si="544">ROUND(AB216/2,2)</f>
        <v>65</v>
      </c>
      <c r="AI216" s="1150">
        <f t="shared" ref="AI216" si="545">ROUND(AB216-AH216,2)</f>
        <v>65</v>
      </c>
      <c r="AJ216" s="1150">
        <f t="shared" ref="AJ216" si="546">ROUND(AD216/2,2)</f>
        <v>0</v>
      </c>
      <c r="AK216" s="1150">
        <f t="shared" ref="AK216" si="547">ROUND(AD216-AJ216,2)</f>
        <v>0</v>
      </c>
      <c r="AL216" s="1151">
        <f t="shared" ref="AL216" si="548">ROUND(AF216+AH216+AJ216+AC216,2)</f>
        <v>65</v>
      </c>
      <c r="AM216" s="1151">
        <f t="shared" ref="AM216" si="549">ROUND(AG216+AI216+AK216,2)</f>
        <v>65</v>
      </c>
      <c r="AN216" s="1028">
        <v>0</v>
      </c>
      <c r="AO216" s="1193">
        <f>'CONCEPTOS Y PARAMETROS'!$C$18*AN216</f>
        <v>0</v>
      </c>
      <c r="AP216" s="1028">
        <v>0</v>
      </c>
      <c r="AQ216" s="1193">
        <f>'CONCEPTOS Y PARAMETROS'!$C$21*AP216</f>
        <v>0</v>
      </c>
      <c r="AR216" s="1394">
        <v>0</v>
      </c>
      <c r="AS216" s="1394">
        <v>0</v>
      </c>
      <c r="AT216" s="1394">
        <f t="shared" ref="AT216" si="550">+AO216+AQ216+AR216+AS216</f>
        <v>0</v>
      </c>
      <c r="AU216" s="1151">
        <f t="shared" ref="AU216" si="551">V216+AE216+AW216</f>
        <v>338</v>
      </c>
      <c r="AV216" s="1178" t="s">
        <v>5080</v>
      </c>
      <c r="AW216" s="1151">
        <f t="shared" ref="AW216" si="552">ROUND(IF(AV216="NOCTURN",(V216+AE216)*30%,0),2)</f>
        <v>78</v>
      </c>
      <c r="AX216" s="1150">
        <f>IF(T216&lt;&gt;"0",(ROUND(IF(A216="EMPLEADO",eval_formula('CONCEPTOS Y PARAMETROS'!$C$8,NOMINA!V216,NOMINA!$AU216,NOMINA!I216+NOMINA!J216),eval_formula('CONCEPTOS Y PARAMETROS'!$D$8,NOMINA!V216,NOMINA!$AU216,NOMINA!I216+NOMINA!J216)),2))*IF(H216&lt;&gt;"",IF(MONTH(H216)=$BR$8,IF(YEAR(H216)&lt;$BT$7,1,0),0)))</f>
        <v>0</v>
      </c>
      <c r="AY216" s="1151">
        <v>30</v>
      </c>
      <c r="AZ216" s="1150">
        <f>IFERROR(VLOOKUP(AY216,'CONCEPTOS Y PARAMETROS'!Y:Z,2,0),0)</f>
        <v>25</v>
      </c>
      <c r="BA216" s="1150">
        <f t="shared" ref="BA216" si="553">ROUND((((AU216))/30*AY216/12+(AU216))/30*AZ216,2)</f>
        <v>305.14</v>
      </c>
      <c r="BB216" s="1150">
        <f t="shared" ref="BB216" si="554">ROUND(AU216/30*$BB$10,2)</f>
        <v>0</v>
      </c>
      <c r="BC216" s="1028">
        <v>0</v>
      </c>
      <c r="BD216" s="1150" t="str">
        <f t="shared" ref="BD216" si="555">IF(BC216&gt;0,((((((V216+AA216+AB216+AC216+AD216)/30)/8)*50%)+((((V216+AA216+AB216+AC216+AD216)/30)/8)))*30%+(((((V216+AA216+AB216+AC216+AD216)/30)/8)*50%)+((((V216+AA216+AB216+AC216+AD216)/30)/8))))*BC216,"0")</f>
        <v>0</v>
      </c>
      <c r="BE216" s="1028">
        <v>3</v>
      </c>
      <c r="BF216" s="1150">
        <f t="shared" ref="BF216:BF247" si="556">ROUND(IF(BE216&gt;0,(((V216+AA216+AB216+AC216+AD216+AW216)/30)*50%+((V216+AA216+AB216+AC216+AD216+AW216)/30))*BE216,"0"),2)</f>
        <v>50.7</v>
      </c>
      <c r="BG216" s="1151">
        <v>300</v>
      </c>
      <c r="BH216" s="1151">
        <f t="shared" si="382"/>
        <v>0</v>
      </c>
      <c r="BI216" s="1180">
        <v>0</v>
      </c>
      <c r="BJ216" s="1180">
        <f t="shared" si="372"/>
        <v>0</v>
      </c>
      <c r="BK216" s="1151">
        <v>0</v>
      </c>
      <c r="BL216" s="1150">
        <f t="shared" si="450"/>
        <v>12.48</v>
      </c>
      <c r="BM216" s="1150">
        <f t="shared" si="451"/>
        <v>1.56</v>
      </c>
      <c r="BN216" s="1150">
        <f t="shared" si="514"/>
        <v>3.38</v>
      </c>
      <c r="BO216" s="1150">
        <v>0</v>
      </c>
      <c r="BP216" s="1150">
        <v>0</v>
      </c>
      <c r="BQ216" s="1396">
        <f t="shared" ref="BQ216" si="557">ROUND(SUM(BL216:BP216),2)</f>
        <v>17.420000000000002</v>
      </c>
      <c r="BR216" s="1150">
        <f t="shared" si="453"/>
        <v>28.08</v>
      </c>
      <c r="BS216" s="1150">
        <f t="shared" si="454"/>
        <v>6.24</v>
      </c>
      <c r="BT216" s="1150">
        <f t="shared" si="383"/>
        <v>6.76</v>
      </c>
      <c r="BU216" s="1150">
        <v>0</v>
      </c>
      <c r="BV216" s="1151">
        <f t="shared" ref="BV216" si="558">ROUND(SUM(BR216:BT216),2)</f>
        <v>41.08</v>
      </c>
      <c r="BW216" s="1155">
        <f t="shared" ref="BW216" si="559">BQ216+BV216</f>
        <v>58.5</v>
      </c>
      <c r="BX216" s="1155">
        <f>ROUND(BA216/3,2)</f>
        <v>101.71</v>
      </c>
      <c r="BY216" s="1151">
        <v>0</v>
      </c>
      <c r="BZ216" s="1151">
        <f t="shared" si="371"/>
        <v>101.71</v>
      </c>
      <c r="CA216" s="1397">
        <f>'CONCEPTOS Y PARAMETROS'!$A$102</f>
        <v>2120</v>
      </c>
      <c r="CB216" s="1155">
        <f t="shared" si="384"/>
        <v>112.58</v>
      </c>
      <c r="CC216" s="1156">
        <f t="shared" si="385"/>
        <v>558.70000000000005</v>
      </c>
      <c r="CD216" s="1582"/>
      <c r="CE216" s="514"/>
      <c r="CF216" s="521"/>
      <c r="CG216" s="511">
        <f t="shared" si="386"/>
        <v>112.58</v>
      </c>
      <c r="CH216" s="1712">
        <f t="shared" si="387"/>
        <v>300</v>
      </c>
      <c r="CI216" s="511">
        <f t="shared" si="388"/>
        <v>430</v>
      </c>
      <c r="CJ216" s="511">
        <f t="shared" si="389"/>
        <v>430</v>
      </c>
      <c r="CK216" s="511">
        <f t="shared" si="390"/>
        <v>0</v>
      </c>
      <c r="CL216" s="511">
        <f t="shared" si="391"/>
        <v>0</v>
      </c>
      <c r="CM216" s="511">
        <f t="shared" si="392"/>
        <v>0</v>
      </c>
      <c r="CN216" s="512">
        <f t="shared" si="393"/>
        <v>50.7</v>
      </c>
      <c r="CO216" s="513">
        <v>0</v>
      </c>
      <c r="CP216" s="512">
        <f t="shared" si="394"/>
        <v>78</v>
      </c>
      <c r="CQ216" s="500">
        <f t="shared" si="395"/>
        <v>0</v>
      </c>
      <c r="CR216" s="512">
        <f t="shared" si="396"/>
        <v>0</v>
      </c>
      <c r="CS216" s="512">
        <f t="shared" si="397"/>
        <v>128.69999999999999</v>
      </c>
      <c r="CT216" s="512">
        <f t="shared" si="398"/>
        <v>58.5</v>
      </c>
      <c r="CU216" s="512">
        <f t="shared" si="399"/>
        <v>2120</v>
      </c>
      <c r="CV216" s="1556"/>
      <c r="CW216" s="1195" t="s">
        <v>6959</v>
      </c>
      <c r="CX216" s="1195" t="s">
        <v>7066</v>
      </c>
      <c r="CY216" s="514"/>
      <c r="CZ216" s="1199" t="s">
        <v>6904</v>
      </c>
      <c r="DA216" s="1199" t="s">
        <v>6216</v>
      </c>
      <c r="DB216" s="1199" t="s">
        <v>6289</v>
      </c>
      <c r="DC216" s="514"/>
      <c r="DD216" s="514"/>
      <c r="DE216" s="514"/>
      <c r="DF216" s="514"/>
      <c r="DG216" s="514"/>
      <c r="DH216" s="514"/>
      <c r="DJ216" s="478" t="str">
        <f>VLOOKUP(X216,Hoja1!$A$4:$B$10,2,0)</f>
        <v>BACHILLER</v>
      </c>
      <c r="DK216" s="478" t="str">
        <f>VLOOKUP(S216,Hoja1!$D$4:$F$77,3,0)</f>
        <v>BI</v>
      </c>
      <c r="DL216" s="1581" t="str">
        <f t="shared" si="400"/>
        <v>SI</v>
      </c>
      <c r="DM216" s="1743" t="str">
        <f t="shared" si="401"/>
        <v>M</v>
      </c>
      <c r="DN216" s="1743"/>
    </row>
    <row r="217" spans="1:118" s="473" customFormat="1" ht="21.95" customHeight="1">
      <c r="A217" s="510" t="s">
        <v>2846</v>
      </c>
      <c r="B217" s="1390">
        <f t="shared" ca="1" si="479"/>
        <v>175</v>
      </c>
      <c r="C217" s="1194">
        <v>18095603</v>
      </c>
      <c r="D217" s="1195" t="s">
        <v>4853</v>
      </c>
      <c r="E217" s="1180" t="s">
        <v>4622</v>
      </c>
      <c r="F217" s="1196">
        <v>32081</v>
      </c>
      <c r="G217" s="1180" t="s">
        <v>4620</v>
      </c>
      <c r="H217" s="1196">
        <v>42963</v>
      </c>
      <c r="I217" s="1185">
        <f t="shared" si="379"/>
        <v>7</v>
      </c>
      <c r="J217" s="1177">
        <v>0</v>
      </c>
      <c r="K217" s="1185">
        <f t="shared" si="380"/>
        <v>7</v>
      </c>
      <c r="L217" s="1191" t="s">
        <v>5551</v>
      </c>
      <c r="M217" s="1177"/>
      <c r="N217" s="1177"/>
      <c r="O217" s="1040" t="s">
        <v>5254</v>
      </c>
      <c r="P217" s="1177" t="s">
        <v>5411</v>
      </c>
      <c r="Q217" s="1391" t="str">
        <f>IFERROR(VLOOKUP(O217,CARGOS!A:E,2,0),"")</f>
        <v>79342</v>
      </c>
      <c r="R217" s="1403" t="s">
        <v>5254</v>
      </c>
      <c r="S217" s="1192" t="s">
        <v>5491</v>
      </c>
      <c r="T217" s="1150">
        <f>IFERROR(VLOOKUP(S217,'TAB EMP'!A:B,2,0),0)</f>
        <v>221</v>
      </c>
      <c r="U217" s="1151">
        <v>0</v>
      </c>
      <c r="V217" s="1150">
        <f t="shared" si="402"/>
        <v>221</v>
      </c>
      <c r="W217" s="1151">
        <f t="shared" si="403"/>
        <v>110.5</v>
      </c>
      <c r="X217" s="1180" t="s">
        <v>2885</v>
      </c>
      <c r="Y217" s="1180"/>
      <c r="Z217" s="1180">
        <v>1</v>
      </c>
      <c r="AA217" s="1150">
        <f>ROUND(IF(H217&lt;&gt;"",VLOOKUP(SUM(I217+J217),'CONCEPTOS Y PARAMETROS'!F:G,2,0)*V217,0),2)</f>
        <v>16.350000000000001</v>
      </c>
      <c r="AB217" s="1150">
        <f>IF(S217&lt;&gt;"",IF(M217="",'CONCEPTOS Y PARAMETROS'!$C$4,0),0)</f>
        <v>130</v>
      </c>
      <c r="AC217" s="1150">
        <f>IF(S217&lt;&gt;"",IF(M217="",'CONCEPTOS Y PARAMETROS'!$C$7*Z217,0),0)</f>
        <v>12.5</v>
      </c>
      <c r="AD217" s="1150">
        <f>IFERROR(ROUND(VLOOKUP($X217,'CONCEPTOS Y PARAMETROS'!H:I,2,0)*($V217+AA217+AB217+AC217),2),0)</f>
        <v>94.96</v>
      </c>
      <c r="AE217" s="1150">
        <f t="shared" si="376"/>
        <v>253.81</v>
      </c>
      <c r="AF217" s="1150">
        <f t="shared" si="404"/>
        <v>8.18</v>
      </c>
      <c r="AG217" s="1150">
        <f t="shared" si="405"/>
        <v>8.17</v>
      </c>
      <c r="AH217" s="1150">
        <f t="shared" si="406"/>
        <v>65</v>
      </c>
      <c r="AI217" s="1150">
        <f t="shared" si="407"/>
        <v>65</v>
      </c>
      <c r="AJ217" s="1150">
        <f t="shared" si="408"/>
        <v>47.48</v>
      </c>
      <c r="AK217" s="1150">
        <f t="shared" si="409"/>
        <v>47.48</v>
      </c>
      <c r="AL217" s="1151">
        <f t="shared" si="410"/>
        <v>133.16</v>
      </c>
      <c r="AM217" s="1151">
        <f t="shared" si="411"/>
        <v>120.65</v>
      </c>
      <c r="AN217" s="1028">
        <v>0</v>
      </c>
      <c r="AO217" s="1193">
        <f>'CONCEPTOS Y PARAMETROS'!$C$18*AN217</f>
        <v>0</v>
      </c>
      <c r="AP217" s="1028">
        <v>0</v>
      </c>
      <c r="AQ217" s="1193">
        <f>'CONCEPTOS Y PARAMETROS'!$C$21*AP217</f>
        <v>0</v>
      </c>
      <c r="AR217" s="1394">
        <v>0</v>
      </c>
      <c r="AS217" s="1394">
        <v>0</v>
      </c>
      <c r="AT217" s="1394">
        <f t="shared" si="480"/>
        <v>0</v>
      </c>
      <c r="AU217" s="1151">
        <f t="shared" si="412"/>
        <v>474.81</v>
      </c>
      <c r="AV217" s="1178">
        <v>0</v>
      </c>
      <c r="AW217" s="1151">
        <f t="shared" si="499"/>
        <v>0</v>
      </c>
      <c r="AX217" s="1150">
        <f>IF(T217&lt;&gt;"0",(ROUND(IF(A217="EMPLEADO",eval_formula('CONCEPTOS Y PARAMETROS'!$C$8,NOMINA!V217,NOMINA!$AU217,NOMINA!I217+NOMINA!J217),eval_formula('CONCEPTOS Y PARAMETROS'!$D$8,NOMINA!V217,NOMINA!$AU217,NOMINA!I217+NOMINA!J217)),2))*IF(H217&lt;&gt;"",IF(MONTH(H217)=$BR$8,IF(YEAR(H217)&lt;$BT$7,1,0),0)))</f>
        <v>0</v>
      </c>
      <c r="AY217" s="1151">
        <v>180</v>
      </c>
      <c r="AZ217" s="1150">
        <f>IFERROR(VLOOKUP(AY217,'CONCEPTOS Y PARAMETROS'!Y:Z,2,0),0)</f>
        <v>150</v>
      </c>
      <c r="BA217" s="1150">
        <f t="shared" si="413"/>
        <v>3561.08</v>
      </c>
      <c r="BB217" s="1150">
        <f t="shared" si="381"/>
        <v>0</v>
      </c>
      <c r="BC217" s="1028">
        <v>0</v>
      </c>
      <c r="BD217" s="1150" t="str">
        <f t="shared" si="414"/>
        <v>0</v>
      </c>
      <c r="BE217" s="1028">
        <v>0</v>
      </c>
      <c r="BF217" s="1150">
        <f t="shared" si="556"/>
        <v>0</v>
      </c>
      <c r="BG217" s="1151">
        <v>300</v>
      </c>
      <c r="BH217" s="1151">
        <f t="shared" si="382"/>
        <v>0</v>
      </c>
      <c r="BI217" s="1180">
        <v>0</v>
      </c>
      <c r="BJ217" s="1180">
        <f t="shared" si="372"/>
        <v>0</v>
      </c>
      <c r="BK217" s="1151">
        <v>0</v>
      </c>
      <c r="BL217" s="1150">
        <f t="shared" si="450"/>
        <v>17.53</v>
      </c>
      <c r="BM217" s="1150">
        <f t="shared" si="451"/>
        <v>2.19</v>
      </c>
      <c r="BN217" s="1150">
        <f t="shared" si="514"/>
        <v>4.75</v>
      </c>
      <c r="BO217" s="1150">
        <v>0</v>
      </c>
      <c r="BP217" s="1150">
        <v>0</v>
      </c>
      <c r="BQ217" s="1396">
        <f t="shared" si="373"/>
        <v>24.47</v>
      </c>
      <c r="BR217" s="1150">
        <f t="shared" si="453"/>
        <v>39.450000000000003</v>
      </c>
      <c r="BS217" s="1150">
        <f t="shared" si="454"/>
        <v>8.77</v>
      </c>
      <c r="BT217" s="1150">
        <f t="shared" si="383"/>
        <v>9.5</v>
      </c>
      <c r="BU217" s="1150">
        <v>0</v>
      </c>
      <c r="BV217" s="1151">
        <f t="shared" si="374"/>
        <v>57.72</v>
      </c>
      <c r="BW217" s="1155">
        <f t="shared" si="375"/>
        <v>82.19</v>
      </c>
      <c r="BX217" s="1155">
        <f t="shared" ref="BX217:BX223" si="560">ROUND(BA217/4,2)</f>
        <v>890.27</v>
      </c>
      <c r="BY217" s="1151">
        <v>0</v>
      </c>
      <c r="BZ217" s="1151">
        <f t="shared" si="371"/>
        <v>890.27</v>
      </c>
      <c r="CA217" s="1397">
        <f>'CONCEPTOS Y PARAMETROS'!$A$102</f>
        <v>2120</v>
      </c>
      <c r="CB217" s="1155">
        <f t="shared" si="384"/>
        <v>219.19</v>
      </c>
      <c r="CC217" s="1156">
        <f t="shared" si="385"/>
        <v>531.15</v>
      </c>
      <c r="CD217" s="514"/>
      <c r="CE217" s="514"/>
      <c r="CF217" s="520"/>
      <c r="CG217" s="497">
        <f t="shared" si="386"/>
        <v>219.19</v>
      </c>
      <c r="CH217" s="1711">
        <f t="shared" si="387"/>
        <v>300</v>
      </c>
      <c r="CI217" s="497">
        <f t="shared" si="388"/>
        <v>531.15</v>
      </c>
      <c r="CJ217" s="497">
        <f t="shared" si="389"/>
        <v>531.15</v>
      </c>
      <c r="CK217" s="497">
        <f t="shared" si="390"/>
        <v>0</v>
      </c>
      <c r="CL217" s="497">
        <f t="shared" si="391"/>
        <v>0</v>
      </c>
      <c r="CM217" s="497">
        <f t="shared" si="392"/>
        <v>0</v>
      </c>
      <c r="CN217" s="498">
        <f t="shared" si="393"/>
        <v>0</v>
      </c>
      <c r="CO217" s="499">
        <v>0</v>
      </c>
      <c r="CP217" s="498">
        <f t="shared" si="394"/>
        <v>0</v>
      </c>
      <c r="CQ217" s="500">
        <f t="shared" si="395"/>
        <v>0</v>
      </c>
      <c r="CR217" s="498">
        <f t="shared" si="396"/>
        <v>0</v>
      </c>
      <c r="CS217" s="498">
        <f t="shared" si="397"/>
        <v>0</v>
      </c>
      <c r="CT217" s="498">
        <f t="shared" si="398"/>
        <v>82.19</v>
      </c>
      <c r="CU217" s="498">
        <f t="shared" si="399"/>
        <v>2120</v>
      </c>
      <c r="CV217" s="1554"/>
      <c r="CW217" s="1195" t="s">
        <v>7067</v>
      </c>
      <c r="CX217" s="1195" t="s">
        <v>7068</v>
      </c>
      <c r="CY217" s="472"/>
      <c r="CZ217" s="514" t="s">
        <v>6295</v>
      </c>
      <c r="DA217" s="1199" t="s">
        <v>6241</v>
      </c>
      <c r="DB217" s="514" t="s">
        <v>6237</v>
      </c>
      <c r="DC217" s="514" t="s">
        <v>6709</v>
      </c>
      <c r="DD217" s="514"/>
      <c r="DE217" s="514"/>
      <c r="DF217" s="472"/>
      <c r="DG217" s="472"/>
      <c r="DH217" s="472"/>
      <c r="DJ217" s="473" t="str">
        <f>VLOOKUP(X217,Hoja1!$A$4:$B$10,2,0)</f>
        <v>PROFESIONAL</v>
      </c>
      <c r="DK217" s="473" t="str">
        <f>VLOOKUP(S217,Hoja1!$D$4:$F$77,3,0)</f>
        <v>TII - III</v>
      </c>
      <c r="DL217" s="1216" t="str">
        <f t="shared" si="400"/>
        <v>0</v>
      </c>
      <c r="DM217" s="1741" t="str">
        <f t="shared" si="401"/>
        <v>F</v>
      </c>
      <c r="DN217" s="1741"/>
    </row>
    <row r="218" spans="1:118" s="478" customFormat="1" ht="21.95" customHeight="1">
      <c r="A218" s="510" t="s">
        <v>2846</v>
      </c>
      <c r="B218" s="1390">
        <f t="shared" ref="B218" ca="1" si="561">OFFSET(B218,-1,0)+1</f>
        <v>176</v>
      </c>
      <c r="C218" s="1194">
        <v>18096996</v>
      </c>
      <c r="D218" s="1195" t="s">
        <v>4680</v>
      </c>
      <c r="E218" s="1180" t="s">
        <v>4622</v>
      </c>
      <c r="F218" s="1161">
        <v>32032</v>
      </c>
      <c r="G218" s="1180" t="s">
        <v>4620</v>
      </c>
      <c r="H218" s="1161">
        <v>44743</v>
      </c>
      <c r="I218" s="1185">
        <f t="shared" si="379"/>
        <v>2</v>
      </c>
      <c r="J218" s="1177">
        <v>0</v>
      </c>
      <c r="K218" s="1185">
        <f t="shared" si="380"/>
        <v>2</v>
      </c>
      <c r="L218" s="1191" t="s">
        <v>5538</v>
      </c>
      <c r="M218" s="1177"/>
      <c r="N218" s="1177"/>
      <c r="O218" s="1040" t="s">
        <v>694</v>
      </c>
      <c r="P218" s="1177" t="s">
        <v>5203</v>
      </c>
      <c r="Q218" s="1391" t="str">
        <f>IFERROR(VLOOKUP(O218,CARGOS!A:E,2,0),"")</f>
        <v>21113</v>
      </c>
      <c r="R218" s="1403" t="s">
        <v>6829</v>
      </c>
      <c r="S218" s="1192" t="s">
        <v>5475</v>
      </c>
      <c r="T218" s="1150">
        <f>IFERROR(VLOOKUP(S218,'TAB EMP'!A:B,2,0),0)</f>
        <v>192</v>
      </c>
      <c r="U218" s="1151">
        <v>0</v>
      </c>
      <c r="V218" s="1150">
        <f t="shared" si="402"/>
        <v>192</v>
      </c>
      <c r="W218" s="1151">
        <f t="shared" si="403"/>
        <v>96</v>
      </c>
      <c r="X218" s="1180" t="s">
        <v>2844</v>
      </c>
      <c r="Y218" s="1180"/>
      <c r="Z218" s="1180">
        <v>1</v>
      </c>
      <c r="AA218" s="1150">
        <f>ROUND(IF(H218&lt;&gt;"",VLOOKUP(SUM(I218+J218),'CONCEPTOS Y PARAMETROS'!F:G,2,0)*V218,0),2)</f>
        <v>3.84</v>
      </c>
      <c r="AB218" s="1150">
        <f>IF(S218&lt;&gt;"",IF(M218="",'CONCEPTOS Y PARAMETROS'!$C$4,0),0)</f>
        <v>130</v>
      </c>
      <c r="AC218" s="1150">
        <f>IF(S218&lt;&gt;"",IF(M218="",'CONCEPTOS Y PARAMETROS'!$C$7*Z218,0),0)</f>
        <v>12.5</v>
      </c>
      <c r="AD218" s="1150">
        <f>IFERROR(ROUND(VLOOKUP($X218,'CONCEPTOS Y PARAMETROS'!H:I,2,0)*($V218+AA218+AB218+AC218),2),0)</f>
        <v>67.67</v>
      </c>
      <c r="AE218" s="1150">
        <f t="shared" si="376"/>
        <v>214.01</v>
      </c>
      <c r="AF218" s="1150">
        <f t="shared" si="404"/>
        <v>1.92</v>
      </c>
      <c r="AG218" s="1150">
        <f t="shared" si="405"/>
        <v>1.92</v>
      </c>
      <c r="AH218" s="1150">
        <f t="shared" si="406"/>
        <v>65</v>
      </c>
      <c r="AI218" s="1150">
        <f t="shared" si="407"/>
        <v>65</v>
      </c>
      <c r="AJ218" s="1150">
        <f t="shared" si="408"/>
        <v>33.840000000000003</v>
      </c>
      <c r="AK218" s="1150">
        <f t="shared" si="409"/>
        <v>33.83</v>
      </c>
      <c r="AL218" s="1151">
        <f t="shared" si="410"/>
        <v>113.26</v>
      </c>
      <c r="AM218" s="1151">
        <f t="shared" si="411"/>
        <v>100.75</v>
      </c>
      <c r="AN218" s="1583">
        <v>1</v>
      </c>
      <c r="AO218" s="1193">
        <f>'CONCEPTOS Y PARAMETROS'!$C$18*AN218</f>
        <v>12.5</v>
      </c>
      <c r="AP218" s="1028">
        <v>0</v>
      </c>
      <c r="AQ218" s="1193">
        <f>'CONCEPTOS Y PARAMETROS'!$C$21*AP218</f>
        <v>0</v>
      </c>
      <c r="AR218" s="1394">
        <v>0</v>
      </c>
      <c r="AS218" s="1394">
        <v>0</v>
      </c>
      <c r="AT218" s="1394">
        <f t="shared" ref="AT218:AT219" si="562">+AO218+AQ218+AR218+AS218</f>
        <v>12.5</v>
      </c>
      <c r="AU218" s="1151">
        <f t="shared" si="412"/>
        <v>406.01</v>
      </c>
      <c r="AV218" s="1178">
        <v>0</v>
      </c>
      <c r="AW218" s="1151">
        <f t="shared" ref="AW218" si="563">ROUND(IF(O218="VIGILANTE",(V218+AE218)*30%,0),2)</f>
        <v>0</v>
      </c>
      <c r="AX218" s="1150">
        <f>IF(T218&lt;&gt;"0",(ROUND(IF(A218="EMPLEADO",eval_formula('CONCEPTOS Y PARAMETROS'!$C$8,NOMINA!V218,NOMINA!$AU218,NOMINA!I218+NOMINA!J218),eval_formula('CONCEPTOS Y PARAMETROS'!$D$8,NOMINA!V218,NOMINA!$AU218,NOMINA!I218+NOMINA!J218)),2))*IF(H218&lt;&gt;"",IF(MONTH(H218)=$BR$8,IF(YEAR(H218)&lt;$BT$7,1,0),0)))</f>
        <v>0</v>
      </c>
      <c r="AY218" s="1151">
        <v>180</v>
      </c>
      <c r="AZ218" s="1150">
        <f>IFERROR(VLOOKUP(AY218,'CONCEPTOS Y PARAMETROS'!Y:Z,2,0),0)</f>
        <v>150</v>
      </c>
      <c r="BA218" s="1150">
        <f t="shared" si="413"/>
        <v>3045.08</v>
      </c>
      <c r="BB218" s="1150">
        <f t="shared" si="381"/>
        <v>0</v>
      </c>
      <c r="BC218" s="1028">
        <v>0</v>
      </c>
      <c r="BD218" s="1150" t="str">
        <f t="shared" si="414"/>
        <v>0</v>
      </c>
      <c r="BE218" s="1028">
        <v>0</v>
      </c>
      <c r="BF218" s="1150">
        <f t="shared" si="556"/>
        <v>0</v>
      </c>
      <c r="BG218" s="1151">
        <v>300</v>
      </c>
      <c r="BH218" s="1151">
        <f t="shared" si="382"/>
        <v>0</v>
      </c>
      <c r="BI218" s="1180">
        <v>0</v>
      </c>
      <c r="BJ218" s="1151">
        <f t="shared" si="372"/>
        <v>0</v>
      </c>
      <c r="BK218" s="1151">
        <v>0</v>
      </c>
      <c r="BL218" s="1150">
        <f t="shared" si="450"/>
        <v>14.99</v>
      </c>
      <c r="BM218" s="1150">
        <f t="shared" si="451"/>
        <v>1.87</v>
      </c>
      <c r="BN218" s="1150">
        <f t="shared" si="514"/>
        <v>4.0599999999999996</v>
      </c>
      <c r="BO218" s="1150">
        <v>0</v>
      </c>
      <c r="BP218" s="1150">
        <v>0</v>
      </c>
      <c r="BQ218" s="1396">
        <f t="shared" ref="BQ218" si="564">ROUND(SUM(BL218:BP218),2)</f>
        <v>20.92</v>
      </c>
      <c r="BR218" s="1150">
        <f t="shared" si="453"/>
        <v>33.729999999999997</v>
      </c>
      <c r="BS218" s="1150">
        <f t="shared" si="454"/>
        <v>7.5</v>
      </c>
      <c r="BT218" s="1150">
        <f t="shared" si="383"/>
        <v>8.1199999999999992</v>
      </c>
      <c r="BU218" s="1150">
        <v>0</v>
      </c>
      <c r="BV218" s="1151">
        <f t="shared" ref="BV218:BV219" si="565">ROUND(SUM(BR218:BT218),2)</f>
        <v>49.35</v>
      </c>
      <c r="BW218" s="1155">
        <f t="shared" ref="BW218:BW219" si="566">BQ218+BV218</f>
        <v>70.27000000000001</v>
      </c>
      <c r="BX218" s="1155">
        <f t="shared" si="560"/>
        <v>761.27</v>
      </c>
      <c r="BY218" s="1151">
        <v>0</v>
      </c>
      <c r="BZ218" s="1151">
        <f t="shared" si="371"/>
        <v>761.27</v>
      </c>
      <c r="CA218" s="1397">
        <f>'CONCEPTOS Y PARAMETROS'!$A$102</f>
        <v>2120</v>
      </c>
      <c r="CB218" s="1155">
        <f t="shared" si="384"/>
        <v>188.33999999999997</v>
      </c>
      <c r="CC218" s="1156">
        <f t="shared" si="385"/>
        <v>509.25</v>
      </c>
      <c r="CD218" s="514"/>
      <c r="CE218" s="514"/>
      <c r="CG218" s="511">
        <f t="shared" si="386"/>
        <v>188.33999999999997</v>
      </c>
      <c r="CH218" s="1712">
        <f t="shared" si="387"/>
        <v>300</v>
      </c>
      <c r="CI218" s="511">
        <f t="shared" si="388"/>
        <v>496.75</v>
      </c>
      <c r="CJ218" s="511">
        <f t="shared" si="389"/>
        <v>496.75</v>
      </c>
      <c r="CK218" s="511">
        <f t="shared" si="390"/>
        <v>0</v>
      </c>
      <c r="CL218" s="511">
        <f t="shared" si="391"/>
        <v>0</v>
      </c>
      <c r="CM218" s="511">
        <f t="shared" si="392"/>
        <v>0</v>
      </c>
      <c r="CN218" s="512">
        <f t="shared" si="393"/>
        <v>0</v>
      </c>
      <c r="CO218" s="513">
        <v>0</v>
      </c>
      <c r="CP218" s="512">
        <f t="shared" si="394"/>
        <v>0</v>
      </c>
      <c r="CQ218" s="500">
        <f t="shared" si="395"/>
        <v>12.5</v>
      </c>
      <c r="CR218" s="512">
        <f t="shared" si="396"/>
        <v>0</v>
      </c>
      <c r="CS218" s="512">
        <f t="shared" si="397"/>
        <v>12.5</v>
      </c>
      <c r="CT218" s="512">
        <f t="shared" si="398"/>
        <v>70.27000000000001</v>
      </c>
      <c r="CU218" s="512">
        <f t="shared" si="399"/>
        <v>2120</v>
      </c>
      <c r="CV218" s="1556"/>
      <c r="CW218" s="1195" t="s">
        <v>6979</v>
      </c>
      <c r="CX218" s="1195" t="s">
        <v>7069</v>
      </c>
      <c r="CY218" s="514"/>
      <c r="CZ218" s="514" t="s">
        <v>6197</v>
      </c>
      <c r="DA218" s="514" t="s">
        <v>6198</v>
      </c>
      <c r="DB218" s="514" t="s">
        <v>6199</v>
      </c>
      <c r="DC218" s="514" t="s">
        <v>6200</v>
      </c>
      <c r="DD218" s="514"/>
      <c r="DE218" s="514"/>
      <c r="DF218" s="514"/>
      <c r="DG218" s="514"/>
      <c r="DH218" s="514"/>
      <c r="DJ218" s="478" t="str">
        <f>VLOOKUP(X218,Hoja1!$A$4:$B$10,2,0)</f>
        <v>TÉCNICO SUPERIOR UNIVERSITARIO</v>
      </c>
      <c r="DK218" s="478" t="str">
        <f>VLOOKUP(S218,Hoja1!$D$4:$F$77,3,0)</f>
        <v>TI</v>
      </c>
      <c r="DL218" s="1323" t="str">
        <f t="shared" si="400"/>
        <v>0</v>
      </c>
      <c r="DM218" s="1743" t="str">
        <f t="shared" si="401"/>
        <v>F</v>
      </c>
      <c r="DN218" s="1743"/>
    </row>
    <row r="219" spans="1:118" s="478" customFormat="1" ht="21.95" customHeight="1">
      <c r="A219" s="510" t="s">
        <v>2846</v>
      </c>
      <c r="B219" s="1390">
        <f t="shared" ca="1" si="479"/>
        <v>177</v>
      </c>
      <c r="C219" s="1194">
        <v>18097528</v>
      </c>
      <c r="D219" s="1195" t="s">
        <v>6813</v>
      </c>
      <c r="E219" s="1180" t="s">
        <v>4622</v>
      </c>
      <c r="F219" s="1196">
        <v>31404</v>
      </c>
      <c r="G219" s="1180" t="s">
        <v>4621</v>
      </c>
      <c r="H219" s="1196">
        <v>45536</v>
      </c>
      <c r="I219" s="1185">
        <f t="shared" si="379"/>
        <v>0</v>
      </c>
      <c r="J219" s="1177">
        <v>0</v>
      </c>
      <c r="K219" s="1185">
        <f t="shared" si="380"/>
        <v>0</v>
      </c>
      <c r="L219" s="1447" t="s">
        <v>5561</v>
      </c>
      <c r="M219" s="1177"/>
      <c r="N219" s="1177"/>
      <c r="O219" s="1040" t="s">
        <v>5222</v>
      </c>
      <c r="P219" s="1197" t="s">
        <v>6814</v>
      </c>
      <c r="Q219" s="1391" t="str">
        <f>IFERROR(VLOOKUP(O219,CARGOS!A:E,2,0),"")</f>
        <v>79511</v>
      </c>
      <c r="R219" s="1403" t="s">
        <v>5222</v>
      </c>
      <c r="S219" s="1192" t="s">
        <v>5483</v>
      </c>
      <c r="T219" s="1150">
        <f>IFERROR(VLOOKUP(S219,'TAB EMP'!A:B,2,0),0)</f>
        <v>130</v>
      </c>
      <c r="U219" s="1151">
        <v>0</v>
      </c>
      <c r="V219" s="1150">
        <f t="shared" ref="V219" si="567">T219-U219</f>
        <v>130</v>
      </c>
      <c r="W219" s="1151">
        <f t="shared" ref="W219" si="568">ROUND(V219/2,2)</f>
        <v>65</v>
      </c>
      <c r="X219" s="1180" t="s">
        <v>2884</v>
      </c>
      <c r="Y219" s="1180"/>
      <c r="Z219" s="1180">
        <v>2</v>
      </c>
      <c r="AA219" s="1150">
        <f>ROUND(IF(H219&lt;&gt;"",VLOOKUP(SUM(I219+J219),'CONCEPTOS Y PARAMETROS'!F:G,2,0)*V219,0),2)</f>
        <v>0</v>
      </c>
      <c r="AB219" s="1150">
        <f>IF(S219&lt;&gt;"",IF(M219="",'CONCEPTOS Y PARAMETROS'!$C$4,0),0)</f>
        <v>130</v>
      </c>
      <c r="AC219" s="1150">
        <f>IF(S219&lt;&gt;"",IF(M219="",'CONCEPTOS Y PARAMETROS'!$C$7*Z219,0),0)</f>
        <v>25</v>
      </c>
      <c r="AD219" s="1150">
        <f>IFERROR(ROUND(VLOOKUP($X219,'CONCEPTOS Y PARAMETROS'!H:I,2,0)*($V219+AA219+AB219+AC219),2),0)</f>
        <v>0</v>
      </c>
      <c r="AE219" s="1150">
        <f t="shared" ref="AE219" si="569">SUM(AA219:AD219)</f>
        <v>155</v>
      </c>
      <c r="AF219" s="1150">
        <f t="shared" ref="AF219" si="570">ROUND(AA219/2,2)</f>
        <v>0</v>
      </c>
      <c r="AG219" s="1150">
        <f t="shared" ref="AG219" si="571">ROUND(AA219-AF219,2)</f>
        <v>0</v>
      </c>
      <c r="AH219" s="1150">
        <f t="shared" ref="AH219" si="572">ROUND(AB219/2,2)</f>
        <v>65</v>
      </c>
      <c r="AI219" s="1150">
        <f t="shared" ref="AI219" si="573">ROUND(AB219-AH219,2)</f>
        <v>65</v>
      </c>
      <c r="AJ219" s="1150">
        <f t="shared" ref="AJ219" si="574">ROUND(AD219/2,2)</f>
        <v>0</v>
      </c>
      <c r="AK219" s="1150">
        <f t="shared" ref="AK219" si="575">ROUND(AD219-AJ219,2)</f>
        <v>0</v>
      </c>
      <c r="AL219" s="1151">
        <f t="shared" ref="AL219" si="576">ROUND(AF219+AH219+AJ219+AC219,2)</f>
        <v>90</v>
      </c>
      <c r="AM219" s="1151">
        <f t="shared" ref="AM219" si="577">ROUND(AG219+AI219+AK219,2)</f>
        <v>65</v>
      </c>
      <c r="AN219" s="1028">
        <v>0</v>
      </c>
      <c r="AO219" s="1193">
        <f>'CONCEPTOS Y PARAMETROS'!$C$18*AN219</f>
        <v>0</v>
      </c>
      <c r="AP219" s="1028">
        <v>0</v>
      </c>
      <c r="AQ219" s="1193">
        <f>'CONCEPTOS Y PARAMETROS'!$C$21*AP219</f>
        <v>0</v>
      </c>
      <c r="AR219" s="1394">
        <v>0</v>
      </c>
      <c r="AS219" s="1394">
        <v>0</v>
      </c>
      <c r="AT219" s="1394">
        <f t="shared" si="562"/>
        <v>0</v>
      </c>
      <c r="AU219" s="1151">
        <f t="shared" ref="AU219" si="578">V219+AE219+AW219</f>
        <v>370.5</v>
      </c>
      <c r="AV219" s="1178" t="s">
        <v>5080</v>
      </c>
      <c r="AW219" s="1151">
        <f t="shared" ref="AW219" si="579">ROUND(IF(AV219="NOCTURN",(V219+AE219)*30%,0),2)</f>
        <v>85.5</v>
      </c>
      <c r="AX219" s="1150">
        <f>IF(T219&lt;&gt;"0",(ROUND(IF(A219="EMPLEADO",eval_formula('CONCEPTOS Y PARAMETROS'!$C$8,NOMINA!V219,NOMINA!$AU219,NOMINA!I219+NOMINA!J219),eval_formula('CONCEPTOS Y PARAMETROS'!$D$8,NOMINA!V219,NOMINA!$AU219,NOMINA!I219+NOMINA!J219)),2))*IF(H219&lt;&gt;"",IF(MONTH(H219)=$BR$8,IF(YEAR(H219)&lt;$BT$7,1,0),0)))</f>
        <v>0</v>
      </c>
      <c r="AY219" s="1151">
        <v>60</v>
      </c>
      <c r="AZ219" s="1150">
        <f>IFERROR(VLOOKUP(AY219,'CONCEPTOS Y PARAMETROS'!Y:Z,2,0),0)</f>
        <v>50</v>
      </c>
      <c r="BA219" s="1150">
        <f t="shared" ref="BA219" si="580">ROUND((((AU219))/30*AY219/12+(AU219))/30*AZ219,2)</f>
        <v>720.42</v>
      </c>
      <c r="BB219" s="1150">
        <f t="shared" si="381"/>
        <v>0</v>
      </c>
      <c r="BC219" s="1028">
        <v>0</v>
      </c>
      <c r="BD219" s="1150" t="str">
        <f t="shared" ref="BD219" si="581">IF(BC219&gt;0,((((((V219+AA219+AB219+AC219+AD219)/30)/8)*50%)+((((V219+AA219+AB219+AC219+AD219)/30)/8)))*30%+(((((V219+AA219+AB219+AC219+AD219)/30)/8)*50%)+((((V219+AA219+AB219+AC219+AD219)/30)/8))))*BC219,"0")</f>
        <v>0</v>
      </c>
      <c r="BE219" s="1028">
        <v>3</v>
      </c>
      <c r="BF219" s="1150">
        <f t="shared" si="556"/>
        <v>55.58</v>
      </c>
      <c r="BG219" s="1151">
        <v>300</v>
      </c>
      <c r="BH219" s="1151">
        <f t="shared" si="382"/>
        <v>0</v>
      </c>
      <c r="BI219" s="1180">
        <v>0</v>
      </c>
      <c r="BJ219" s="1180">
        <f t="shared" si="372"/>
        <v>0</v>
      </c>
      <c r="BK219" s="1151">
        <v>0</v>
      </c>
      <c r="BL219" s="1150">
        <f t="shared" si="450"/>
        <v>13.68</v>
      </c>
      <c r="BM219" s="1150">
        <f t="shared" si="451"/>
        <v>1.71</v>
      </c>
      <c r="BN219" s="1150">
        <f t="shared" si="514"/>
        <v>3.71</v>
      </c>
      <c r="BO219" s="1150">
        <v>0</v>
      </c>
      <c r="BP219" s="1150">
        <v>0</v>
      </c>
      <c r="BQ219" s="1396">
        <f t="shared" ref="BQ219" si="582">ROUND(SUM(BL219:BP219),2)</f>
        <v>19.100000000000001</v>
      </c>
      <c r="BR219" s="1150">
        <f t="shared" si="453"/>
        <v>30.78</v>
      </c>
      <c r="BS219" s="1150">
        <f t="shared" si="454"/>
        <v>6.84</v>
      </c>
      <c r="BT219" s="1150">
        <f t="shared" si="383"/>
        <v>7.42</v>
      </c>
      <c r="BU219" s="1150">
        <v>0</v>
      </c>
      <c r="BV219" s="1151">
        <f t="shared" si="565"/>
        <v>45.04</v>
      </c>
      <c r="BW219" s="1155">
        <f t="shared" si="566"/>
        <v>64.14</v>
      </c>
      <c r="BX219" s="1155">
        <f t="shared" si="560"/>
        <v>180.11</v>
      </c>
      <c r="BY219" s="1151">
        <v>0</v>
      </c>
      <c r="BZ219" s="1151">
        <f t="shared" si="371"/>
        <v>180.11</v>
      </c>
      <c r="CA219" s="1397">
        <f>'CONCEPTOS Y PARAMETROS'!$A$102</f>
        <v>2120</v>
      </c>
      <c r="CB219" s="1155">
        <f t="shared" si="384"/>
        <v>135.9</v>
      </c>
      <c r="CC219" s="1156">
        <f t="shared" si="385"/>
        <v>571.08000000000004</v>
      </c>
      <c r="CD219" s="514"/>
      <c r="CE219" s="514"/>
      <c r="CF219" s="521"/>
      <c r="CG219" s="511">
        <f t="shared" si="386"/>
        <v>135.9</v>
      </c>
      <c r="CH219" s="1712">
        <f t="shared" si="387"/>
        <v>300</v>
      </c>
      <c r="CI219" s="511">
        <f t="shared" si="388"/>
        <v>430</v>
      </c>
      <c r="CJ219" s="511">
        <f t="shared" si="389"/>
        <v>430</v>
      </c>
      <c r="CK219" s="511">
        <f t="shared" si="390"/>
        <v>0</v>
      </c>
      <c r="CL219" s="511">
        <f t="shared" si="391"/>
        <v>0</v>
      </c>
      <c r="CM219" s="511">
        <f t="shared" si="392"/>
        <v>0</v>
      </c>
      <c r="CN219" s="512">
        <f t="shared" si="393"/>
        <v>55.58</v>
      </c>
      <c r="CO219" s="513">
        <v>0</v>
      </c>
      <c r="CP219" s="512">
        <f t="shared" si="394"/>
        <v>85.5</v>
      </c>
      <c r="CQ219" s="500">
        <f t="shared" si="395"/>
        <v>0</v>
      </c>
      <c r="CR219" s="512">
        <f t="shared" si="396"/>
        <v>0</v>
      </c>
      <c r="CS219" s="512">
        <f t="shared" si="397"/>
        <v>141.07999999999998</v>
      </c>
      <c r="CT219" s="512">
        <f t="shared" si="398"/>
        <v>64.14</v>
      </c>
      <c r="CU219" s="512">
        <f t="shared" si="399"/>
        <v>2120</v>
      </c>
      <c r="CV219" s="1556"/>
      <c r="CW219" s="1195" t="s">
        <v>7042</v>
      </c>
      <c r="CX219" s="1195" t="s">
        <v>7070</v>
      </c>
      <c r="CY219" s="514"/>
      <c r="CZ219" s="1199" t="s">
        <v>6815</v>
      </c>
      <c r="DA219" s="1199"/>
      <c r="DB219" s="1199"/>
      <c r="DC219" s="1226"/>
      <c r="DD219" s="514"/>
      <c r="DE219" s="514"/>
      <c r="DF219" s="514"/>
      <c r="DG219" s="514"/>
      <c r="DH219" s="514"/>
      <c r="DJ219" s="478" t="str">
        <f>VLOOKUP(X219,Hoja1!$A$4:$B$10,2,0)</f>
        <v>BACHILLER</v>
      </c>
      <c r="DK219" s="478" t="str">
        <f>VLOOKUP(S219,Hoja1!$D$4:$F$77,3,0)</f>
        <v>BI</v>
      </c>
      <c r="DL219" s="1239" t="str">
        <f t="shared" si="400"/>
        <v>SI</v>
      </c>
      <c r="DM219" s="1743" t="str">
        <f t="shared" si="401"/>
        <v>M</v>
      </c>
      <c r="DN219" s="1743"/>
    </row>
    <row r="220" spans="1:118" s="473" customFormat="1" ht="21.95" customHeight="1">
      <c r="A220" s="510" t="s">
        <v>2846</v>
      </c>
      <c r="B220" s="1390">
        <f t="shared" ca="1" si="479"/>
        <v>178</v>
      </c>
      <c r="C220" s="1194">
        <v>18097873</v>
      </c>
      <c r="D220" s="1195" t="s">
        <v>4855</v>
      </c>
      <c r="E220" s="1180" t="s">
        <v>4622</v>
      </c>
      <c r="F220" s="1196">
        <v>31760</v>
      </c>
      <c r="G220" s="1180" t="s">
        <v>4620</v>
      </c>
      <c r="H220" s="1196">
        <v>44531</v>
      </c>
      <c r="I220" s="1185">
        <f t="shared" si="379"/>
        <v>3</v>
      </c>
      <c r="J220" s="1177">
        <v>0</v>
      </c>
      <c r="K220" s="1185">
        <f t="shared" si="380"/>
        <v>3</v>
      </c>
      <c r="L220" s="1191" t="s">
        <v>5551</v>
      </c>
      <c r="M220" s="1177"/>
      <c r="N220" s="1177"/>
      <c r="O220" s="1040" t="s">
        <v>5222</v>
      </c>
      <c r="P220" s="1177" t="s">
        <v>5412</v>
      </c>
      <c r="Q220" s="1391" t="str">
        <f>IFERROR(VLOOKUP(O220,CARGOS!A:E,2,0),"")</f>
        <v>79511</v>
      </c>
      <c r="R220" s="1403" t="s">
        <v>5222</v>
      </c>
      <c r="S220" s="1192" t="s">
        <v>5490</v>
      </c>
      <c r="T220" s="1150">
        <f>IFERROR(VLOOKUP(S220,'TAB EMP'!A:B,2,0),0)</f>
        <v>150</v>
      </c>
      <c r="U220" s="1151">
        <v>0</v>
      </c>
      <c r="V220" s="1150">
        <f t="shared" si="402"/>
        <v>150</v>
      </c>
      <c r="W220" s="1151">
        <f t="shared" si="403"/>
        <v>75</v>
      </c>
      <c r="X220" s="1180" t="s">
        <v>2884</v>
      </c>
      <c r="Y220" s="1180"/>
      <c r="Z220" s="1180">
        <v>2</v>
      </c>
      <c r="AA220" s="1150">
        <f>ROUND(IF(H220&lt;&gt;"",VLOOKUP(SUM(I220+J220),'CONCEPTOS Y PARAMETROS'!F:G,2,0)*V220,0),2)</f>
        <v>4.5</v>
      </c>
      <c r="AB220" s="1150">
        <f>IF(S220&lt;&gt;"",IF(M220="",'CONCEPTOS Y PARAMETROS'!$C$4,0),0)</f>
        <v>130</v>
      </c>
      <c r="AC220" s="1150">
        <f>IF(S220&lt;&gt;"",IF(M220="",'CONCEPTOS Y PARAMETROS'!$C$7*Z220,0),0)</f>
        <v>25</v>
      </c>
      <c r="AD220" s="1150">
        <f>IFERROR(ROUND(VLOOKUP($X220,'CONCEPTOS Y PARAMETROS'!H:I,2,0)*($V220+AA220+AB220+AC220),2),0)</f>
        <v>0</v>
      </c>
      <c r="AE220" s="1150">
        <f t="shared" si="376"/>
        <v>159.5</v>
      </c>
      <c r="AF220" s="1150">
        <f t="shared" si="404"/>
        <v>2.25</v>
      </c>
      <c r="AG220" s="1150">
        <f t="shared" si="405"/>
        <v>2.25</v>
      </c>
      <c r="AH220" s="1150">
        <f t="shared" si="406"/>
        <v>65</v>
      </c>
      <c r="AI220" s="1150">
        <f t="shared" si="407"/>
        <v>65</v>
      </c>
      <c r="AJ220" s="1150">
        <f t="shared" si="408"/>
        <v>0</v>
      </c>
      <c r="AK220" s="1150">
        <f t="shared" si="409"/>
        <v>0</v>
      </c>
      <c r="AL220" s="1151">
        <f t="shared" si="410"/>
        <v>92.25</v>
      </c>
      <c r="AM220" s="1151">
        <f t="shared" si="411"/>
        <v>67.25</v>
      </c>
      <c r="AN220" s="1583">
        <v>2</v>
      </c>
      <c r="AO220" s="1193">
        <f>'CONCEPTOS Y PARAMETROS'!$C$18*AN220</f>
        <v>25</v>
      </c>
      <c r="AP220" s="1028">
        <v>0</v>
      </c>
      <c r="AQ220" s="1193">
        <f>'CONCEPTOS Y PARAMETROS'!$C$21*AP220</f>
        <v>0</v>
      </c>
      <c r="AR220" s="1394">
        <v>0</v>
      </c>
      <c r="AS220" s="1394">
        <v>0</v>
      </c>
      <c r="AT220" s="1394">
        <f t="shared" si="480"/>
        <v>25</v>
      </c>
      <c r="AU220" s="1151">
        <f t="shared" si="412"/>
        <v>402.35</v>
      </c>
      <c r="AV220" s="1178" t="s">
        <v>5080</v>
      </c>
      <c r="AW220" s="1151">
        <f t="shared" si="499"/>
        <v>92.85</v>
      </c>
      <c r="AX220" s="1150">
        <f>IF(T220&lt;&gt;"0",(ROUND(IF(A220="EMPLEADO",eval_formula('CONCEPTOS Y PARAMETROS'!$C$8,NOMINA!V220,NOMINA!$AU220,NOMINA!I220+NOMINA!J220),eval_formula('CONCEPTOS Y PARAMETROS'!$D$8,NOMINA!V220,NOMINA!$AU220,NOMINA!I220+NOMINA!J220)),2))*IF(H220&lt;&gt;"",IF(MONTH(H220)=$BR$8,IF(YEAR(H220)&lt;$BT$7,1,0),0)))</f>
        <v>0</v>
      </c>
      <c r="AY220" s="1151">
        <v>180</v>
      </c>
      <c r="AZ220" s="1150">
        <f>IFERROR(VLOOKUP(AY220,'CONCEPTOS Y PARAMETROS'!Y:Z,2,0),0)</f>
        <v>150</v>
      </c>
      <c r="BA220" s="1150">
        <f t="shared" si="413"/>
        <v>3017.63</v>
      </c>
      <c r="BB220" s="1150">
        <f t="shared" si="381"/>
        <v>0</v>
      </c>
      <c r="BC220" s="1028">
        <v>0</v>
      </c>
      <c r="BD220" s="1150" t="str">
        <f t="shared" si="414"/>
        <v>0</v>
      </c>
      <c r="BE220" s="1028">
        <v>4</v>
      </c>
      <c r="BF220" s="1150">
        <f t="shared" si="556"/>
        <v>80.47</v>
      </c>
      <c r="BG220" s="1151">
        <v>300</v>
      </c>
      <c r="BH220" s="1151">
        <f t="shared" si="382"/>
        <v>0</v>
      </c>
      <c r="BI220" s="1180">
        <v>0</v>
      </c>
      <c r="BJ220" s="1180">
        <f t="shared" si="372"/>
        <v>0</v>
      </c>
      <c r="BK220" s="1151">
        <v>0</v>
      </c>
      <c r="BL220" s="1150">
        <f t="shared" si="450"/>
        <v>14.86</v>
      </c>
      <c r="BM220" s="1150">
        <f t="shared" si="451"/>
        <v>1.86</v>
      </c>
      <c r="BN220" s="1150">
        <f t="shared" si="514"/>
        <v>4.0199999999999996</v>
      </c>
      <c r="BO220" s="1150">
        <v>0</v>
      </c>
      <c r="BP220" s="1150">
        <v>0</v>
      </c>
      <c r="BQ220" s="1396">
        <f t="shared" si="373"/>
        <v>20.74</v>
      </c>
      <c r="BR220" s="1150">
        <f t="shared" si="453"/>
        <v>33.43</v>
      </c>
      <c r="BS220" s="1150">
        <f t="shared" si="454"/>
        <v>7.43</v>
      </c>
      <c r="BT220" s="1150">
        <f t="shared" si="383"/>
        <v>8.0399999999999991</v>
      </c>
      <c r="BU220" s="1150">
        <v>0</v>
      </c>
      <c r="BV220" s="1151">
        <f t="shared" si="374"/>
        <v>48.9</v>
      </c>
      <c r="BW220" s="1155">
        <f t="shared" si="375"/>
        <v>69.64</v>
      </c>
      <c r="BX220" s="1155">
        <f t="shared" si="560"/>
        <v>754.41</v>
      </c>
      <c r="BY220" s="1151">
        <v>0</v>
      </c>
      <c r="BZ220" s="1151">
        <f t="shared" si="371"/>
        <v>754.41</v>
      </c>
      <c r="CA220" s="1397">
        <f>'CONCEPTOS Y PARAMETROS'!$A$102</f>
        <v>2120</v>
      </c>
      <c r="CB220" s="1155">
        <f t="shared" si="384"/>
        <v>146.51</v>
      </c>
      <c r="CC220" s="1156">
        <f t="shared" si="385"/>
        <v>640.57000000000005</v>
      </c>
      <c r="CD220" s="514"/>
      <c r="CE220" s="514"/>
      <c r="CF220" s="520"/>
      <c r="CG220" s="497">
        <f t="shared" si="386"/>
        <v>146.51</v>
      </c>
      <c r="CH220" s="1711">
        <f t="shared" si="387"/>
        <v>300</v>
      </c>
      <c r="CI220" s="497">
        <f t="shared" si="388"/>
        <v>442.25</v>
      </c>
      <c r="CJ220" s="497">
        <f t="shared" si="389"/>
        <v>442.25</v>
      </c>
      <c r="CK220" s="497">
        <f t="shared" si="390"/>
        <v>0</v>
      </c>
      <c r="CL220" s="497">
        <f t="shared" si="391"/>
        <v>0</v>
      </c>
      <c r="CM220" s="497">
        <f t="shared" si="392"/>
        <v>0</v>
      </c>
      <c r="CN220" s="498">
        <f t="shared" si="393"/>
        <v>80.47</v>
      </c>
      <c r="CO220" s="499">
        <v>0</v>
      </c>
      <c r="CP220" s="498">
        <f t="shared" si="394"/>
        <v>92.85</v>
      </c>
      <c r="CQ220" s="500">
        <f t="shared" si="395"/>
        <v>25</v>
      </c>
      <c r="CR220" s="498">
        <f t="shared" si="396"/>
        <v>0</v>
      </c>
      <c r="CS220" s="498">
        <f t="shared" si="397"/>
        <v>198.32</v>
      </c>
      <c r="CT220" s="498">
        <f t="shared" si="398"/>
        <v>69.64</v>
      </c>
      <c r="CU220" s="498">
        <f t="shared" si="399"/>
        <v>2120</v>
      </c>
      <c r="CV220" s="1554"/>
      <c r="CW220" s="1195" t="s">
        <v>7071</v>
      </c>
      <c r="CX220" s="1195" t="s">
        <v>7072</v>
      </c>
      <c r="CY220" s="472"/>
      <c r="CZ220" s="514" t="s">
        <v>6348</v>
      </c>
      <c r="DA220" s="514" t="s">
        <v>6188</v>
      </c>
      <c r="DB220" s="514" t="s">
        <v>6170</v>
      </c>
      <c r="DC220" s="514" t="s">
        <v>6349</v>
      </c>
      <c r="DD220" s="514"/>
      <c r="DE220" s="514"/>
      <c r="DF220" s="472"/>
      <c r="DG220" s="472"/>
      <c r="DH220" s="472"/>
      <c r="DJ220" s="473" t="str">
        <f>VLOOKUP(X220,Hoja1!$A$4:$B$10,2,0)</f>
        <v>BACHILLER</v>
      </c>
      <c r="DK220" s="473" t="str">
        <f>VLOOKUP(S220,Hoja1!$D$4:$F$77,3,0)</f>
        <v>BII - II</v>
      </c>
      <c r="DL220" s="1216" t="str">
        <f t="shared" si="400"/>
        <v>SI</v>
      </c>
      <c r="DM220" s="1741" t="str">
        <f t="shared" si="401"/>
        <v>F</v>
      </c>
      <c r="DN220" s="1741"/>
    </row>
    <row r="221" spans="1:118" s="1654" customFormat="1" ht="21.95" customHeight="1">
      <c r="A221" s="1624" t="s">
        <v>2846</v>
      </c>
      <c r="B221" s="1625">
        <f t="shared" ca="1" si="479"/>
        <v>179</v>
      </c>
      <c r="C221" s="1626">
        <v>18348317</v>
      </c>
      <c r="D221" s="1627" t="s">
        <v>4856</v>
      </c>
      <c r="E221" s="1628" t="s">
        <v>4622</v>
      </c>
      <c r="F221" s="1629">
        <v>32424</v>
      </c>
      <c r="G221" s="1628" t="s">
        <v>4621</v>
      </c>
      <c r="H221" s="1629">
        <v>43160</v>
      </c>
      <c r="I221" s="1630">
        <f t="shared" si="379"/>
        <v>6</v>
      </c>
      <c r="J221" s="1631">
        <v>0</v>
      </c>
      <c r="K221" s="1630">
        <f t="shared" si="380"/>
        <v>6</v>
      </c>
      <c r="L221" s="1632" t="s">
        <v>5551</v>
      </c>
      <c r="M221" s="1631"/>
      <c r="N221" s="1631"/>
      <c r="O221" s="1633" t="s">
        <v>5237</v>
      </c>
      <c r="P221" s="1631" t="s">
        <v>5413</v>
      </c>
      <c r="Q221" s="1634" t="str">
        <f>IFERROR(VLOOKUP(O221,CARGOS!A:E,2,0),"")</f>
        <v>79523</v>
      </c>
      <c r="R221" s="1635" t="s">
        <v>5237</v>
      </c>
      <c r="S221" s="1636" t="s">
        <v>5488</v>
      </c>
      <c r="T221" s="1637">
        <f>IFERROR(VLOOKUP(S221,'TAB EMP'!A:B,2,0),0)</f>
        <v>279</v>
      </c>
      <c r="U221" s="1638">
        <v>0</v>
      </c>
      <c r="V221" s="1637">
        <f t="shared" si="402"/>
        <v>279</v>
      </c>
      <c r="W221" s="1638">
        <f t="shared" si="403"/>
        <v>139.5</v>
      </c>
      <c r="X221" s="1628" t="s">
        <v>2886</v>
      </c>
      <c r="Y221" s="1628"/>
      <c r="Z221" s="1628">
        <v>1</v>
      </c>
      <c r="AA221" s="1637">
        <f>ROUND(IF(H221&lt;&gt;"",VLOOKUP(SUM(I221+J221),'CONCEPTOS Y PARAMETROS'!F:G,2,0)*V221,0),2)</f>
        <v>17.3</v>
      </c>
      <c r="AB221" s="1637">
        <f>IF(S221&lt;&gt;"",IF(M221="",'CONCEPTOS Y PARAMETROS'!$C$4,0),0)</f>
        <v>130</v>
      </c>
      <c r="AC221" s="1637">
        <f>IF(S221&lt;&gt;"",IF(M221="",'CONCEPTOS Y PARAMETROS'!$C$7*Z221,0),0)</f>
        <v>12.5</v>
      </c>
      <c r="AD221" s="1637">
        <f>IFERROR(ROUND(VLOOKUP($X221,'CONCEPTOS Y PARAMETROS'!H:I,2,0)*($V221+AA221+AB221+AC221),2),0)</f>
        <v>131.63999999999999</v>
      </c>
      <c r="AE221" s="1637">
        <f t="shared" si="376"/>
        <v>291.44</v>
      </c>
      <c r="AF221" s="1637">
        <f t="shared" si="404"/>
        <v>8.65</v>
      </c>
      <c r="AG221" s="1637">
        <f t="shared" si="405"/>
        <v>8.65</v>
      </c>
      <c r="AH221" s="1637">
        <f t="shared" si="406"/>
        <v>65</v>
      </c>
      <c r="AI221" s="1637">
        <f t="shared" si="407"/>
        <v>65</v>
      </c>
      <c r="AJ221" s="1637">
        <f t="shared" si="408"/>
        <v>65.819999999999993</v>
      </c>
      <c r="AK221" s="1637">
        <f t="shared" si="409"/>
        <v>65.819999999999993</v>
      </c>
      <c r="AL221" s="1638">
        <f t="shared" si="410"/>
        <v>151.97</v>
      </c>
      <c r="AM221" s="1638">
        <f t="shared" si="411"/>
        <v>139.47</v>
      </c>
      <c r="AN221" s="1639">
        <v>1</v>
      </c>
      <c r="AO221" s="1640">
        <f>'CONCEPTOS Y PARAMETROS'!$C$18*AN221</f>
        <v>12.5</v>
      </c>
      <c r="AP221" s="1639">
        <v>0</v>
      </c>
      <c r="AQ221" s="1640">
        <f>'CONCEPTOS Y PARAMETROS'!$C$21*AP221</f>
        <v>0</v>
      </c>
      <c r="AR221" s="1641">
        <v>0</v>
      </c>
      <c r="AS221" s="1641">
        <v>0</v>
      </c>
      <c r="AT221" s="1641">
        <f t="shared" si="480"/>
        <v>12.5</v>
      </c>
      <c r="AU221" s="1638">
        <f t="shared" si="412"/>
        <v>570.44000000000005</v>
      </c>
      <c r="AV221" s="1642">
        <v>0</v>
      </c>
      <c r="AW221" s="1638">
        <f t="shared" si="499"/>
        <v>0</v>
      </c>
      <c r="AX221" s="1637">
        <f>IF(T221&lt;&gt;"0",(ROUND(IF(A221="EMPLEADO",eval_formula('CONCEPTOS Y PARAMETROS'!$C$8,NOMINA!V221,NOMINA!$AU221,NOMINA!I221+NOMINA!J221),eval_formula('CONCEPTOS Y PARAMETROS'!$D$8,NOMINA!V221,NOMINA!$AU221,NOMINA!I221+NOMINA!J221)),2))*IF(H221&lt;&gt;"",IF(MONTH(H221)=$BR$8,IF(YEAR(H221)&lt;$BT$7,1,0),0)))</f>
        <v>0</v>
      </c>
      <c r="AY221" s="1638">
        <v>180</v>
      </c>
      <c r="AZ221" s="1637">
        <f>IFERROR(VLOOKUP(AY221,'CONCEPTOS Y PARAMETROS'!Y:Z,2,0),0)</f>
        <v>150</v>
      </c>
      <c r="BA221" s="1637">
        <f t="shared" si="413"/>
        <v>4278.3</v>
      </c>
      <c r="BB221" s="1637">
        <f t="shared" si="381"/>
        <v>0</v>
      </c>
      <c r="BC221" s="1639">
        <v>0</v>
      </c>
      <c r="BD221" s="1637" t="str">
        <f t="shared" si="414"/>
        <v>0</v>
      </c>
      <c r="BE221" s="1639">
        <v>0</v>
      </c>
      <c r="BF221" s="1637">
        <f t="shared" si="556"/>
        <v>0</v>
      </c>
      <c r="BG221" s="1638">
        <v>300</v>
      </c>
      <c r="BH221" s="1638">
        <f t="shared" si="382"/>
        <v>0</v>
      </c>
      <c r="BI221" s="1628">
        <v>0</v>
      </c>
      <c r="BJ221" s="1628">
        <f t="shared" si="372"/>
        <v>0</v>
      </c>
      <c r="BK221" s="1638">
        <v>0</v>
      </c>
      <c r="BL221" s="1637">
        <f t="shared" si="450"/>
        <v>21.06</v>
      </c>
      <c r="BM221" s="1637">
        <f t="shared" si="451"/>
        <v>2.63</v>
      </c>
      <c r="BN221" s="1637">
        <f t="shared" si="514"/>
        <v>5.7</v>
      </c>
      <c r="BO221" s="1637">
        <v>0</v>
      </c>
      <c r="BP221" s="1637">
        <v>0</v>
      </c>
      <c r="BQ221" s="1643">
        <f t="shared" si="373"/>
        <v>29.39</v>
      </c>
      <c r="BR221" s="1637">
        <f t="shared" si="453"/>
        <v>47.39</v>
      </c>
      <c r="BS221" s="1637">
        <f t="shared" si="454"/>
        <v>10.53</v>
      </c>
      <c r="BT221" s="1637">
        <f t="shared" si="383"/>
        <v>11.4</v>
      </c>
      <c r="BU221" s="1637">
        <v>0</v>
      </c>
      <c r="BV221" s="1638">
        <f t="shared" si="374"/>
        <v>69.319999999999993</v>
      </c>
      <c r="BW221" s="1644">
        <f t="shared" si="375"/>
        <v>98.71</v>
      </c>
      <c r="BX221" s="1644">
        <f t="shared" si="560"/>
        <v>1069.58</v>
      </c>
      <c r="BY221" s="1638">
        <v>0</v>
      </c>
      <c r="BZ221" s="1638">
        <f t="shared" si="371"/>
        <v>1069.58</v>
      </c>
      <c r="CA221" s="1645">
        <f>'CONCEPTOS Y PARAMETROS'!$A$102</f>
        <v>2120</v>
      </c>
      <c r="CB221" s="1644">
        <f t="shared" si="384"/>
        <v>262.08000000000004</v>
      </c>
      <c r="CC221" s="1646">
        <f t="shared" si="385"/>
        <v>591.47</v>
      </c>
      <c r="CD221" s="1647"/>
      <c r="CE221" s="1647"/>
      <c r="CF221" s="1648"/>
      <c r="CG221" s="1649">
        <f t="shared" si="386"/>
        <v>262.08000000000004</v>
      </c>
      <c r="CH221" s="1713">
        <f t="shared" si="387"/>
        <v>300</v>
      </c>
      <c r="CI221" s="1649">
        <f t="shared" si="388"/>
        <v>578.97</v>
      </c>
      <c r="CJ221" s="1649">
        <f t="shared" si="389"/>
        <v>277.91000000000003</v>
      </c>
      <c r="CK221" s="1649">
        <f t="shared" si="390"/>
        <v>301.06</v>
      </c>
      <c r="CL221" s="1649">
        <f t="shared" si="391"/>
        <v>0</v>
      </c>
      <c r="CM221" s="1649">
        <f t="shared" si="392"/>
        <v>0</v>
      </c>
      <c r="CN221" s="1650">
        <f t="shared" si="393"/>
        <v>0</v>
      </c>
      <c r="CO221" s="1651">
        <v>0</v>
      </c>
      <c r="CP221" s="1650">
        <f t="shared" si="394"/>
        <v>0</v>
      </c>
      <c r="CQ221" s="1652">
        <f t="shared" si="395"/>
        <v>12.5</v>
      </c>
      <c r="CR221" s="1650">
        <f t="shared" si="396"/>
        <v>0</v>
      </c>
      <c r="CS221" s="1650">
        <f t="shared" si="397"/>
        <v>12.5</v>
      </c>
      <c r="CT221" s="1650">
        <f t="shared" si="398"/>
        <v>98.71</v>
      </c>
      <c r="CU221" s="1650">
        <f t="shared" si="399"/>
        <v>2120</v>
      </c>
      <c r="CV221" s="1653"/>
      <c r="CW221" s="1627" t="s">
        <v>7073</v>
      </c>
      <c r="CX221" s="1627" t="s">
        <v>7074</v>
      </c>
      <c r="CY221" s="1647"/>
      <c r="CZ221" s="1647" t="s">
        <v>6392</v>
      </c>
      <c r="DA221" s="1647" t="s">
        <v>6188</v>
      </c>
      <c r="DB221" s="1657" t="s">
        <v>6202</v>
      </c>
      <c r="DC221" s="1647" t="s">
        <v>6712</v>
      </c>
      <c r="DD221" s="1647"/>
      <c r="DE221" s="1647"/>
      <c r="DF221" s="1647"/>
      <c r="DG221" s="1647"/>
      <c r="DH221" s="1647"/>
      <c r="DJ221" s="1654" t="str">
        <f>VLOOKUP(X221,Hoja1!$A$4:$B$10,2,0)</f>
        <v>ESPECIALISTA</v>
      </c>
      <c r="DK221" s="1654" t="str">
        <f>VLOOKUP(S221,Hoja1!$D$4:$F$77,3,0)</f>
        <v>PII - III</v>
      </c>
      <c r="DL221" s="1663" t="str">
        <f t="shared" si="400"/>
        <v>0</v>
      </c>
      <c r="DM221" s="1742" t="str">
        <f t="shared" si="401"/>
        <v>M</v>
      </c>
      <c r="DN221" s="1742"/>
    </row>
    <row r="222" spans="1:118" s="473" customFormat="1" ht="21.95" customHeight="1">
      <c r="A222" s="510" t="s">
        <v>2846</v>
      </c>
      <c r="B222" s="1390">
        <f t="shared" ca="1" si="479"/>
        <v>180</v>
      </c>
      <c r="C222" s="1194">
        <v>18348721</v>
      </c>
      <c r="D222" s="1195" t="s">
        <v>4857</v>
      </c>
      <c r="E222" s="1180" t="s">
        <v>4622</v>
      </c>
      <c r="F222" s="1196">
        <v>31657</v>
      </c>
      <c r="G222" s="1180" t="s">
        <v>4620</v>
      </c>
      <c r="H222" s="1196">
        <v>42948</v>
      </c>
      <c r="I222" s="1185">
        <f t="shared" si="379"/>
        <v>7</v>
      </c>
      <c r="J222" s="1177">
        <v>0</v>
      </c>
      <c r="K222" s="1185">
        <f t="shared" si="380"/>
        <v>7</v>
      </c>
      <c r="L222" s="1191" t="s">
        <v>5542</v>
      </c>
      <c r="M222" s="1177"/>
      <c r="N222" s="1177"/>
      <c r="O222" s="1040" t="s">
        <v>5254</v>
      </c>
      <c r="P222" s="1177" t="s">
        <v>5414</v>
      </c>
      <c r="Q222" s="1391" t="str">
        <f>IFERROR(VLOOKUP(O222,CARGOS!A:E,2,0),"")</f>
        <v>79342</v>
      </c>
      <c r="R222" s="1403" t="s">
        <v>5254</v>
      </c>
      <c r="S222" s="1192" t="s">
        <v>5491</v>
      </c>
      <c r="T222" s="1150">
        <f>IFERROR(VLOOKUP(S222,'TAB EMP'!A:B,2,0),0)</f>
        <v>221</v>
      </c>
      <c r="U222" s="1151">
        <v>0</v>
      </c>
      <c r="V222" s="1150">
        <f t="shared" si="402"/>
        <v>221</v>
      </c>
      <c r="W222" s="1151">
        <f t="shared" si="403"/>
        <v>110.5</v>
      </c>
      <c r="X222" s="1180" t="s">
        <v>2844</v>
      </c>
      <c r="Y222" s="1180"/>
      <c r="Z222" s="1180">
        <v>2</v>
      </c>
      <c r="AA222" s="1150">
        <f>ROUND(IF(H222&lt;&gt;"",VLOOKUP(SUM(I222+J222),'CONCEPTOS Y PARAMETROS'!F:G,2,0)*V222,0),2)</f>
        <v>16.350000000000001</v>
      </c>
      <c r="AB222" s="1150">
        <f>IF(S222&lt;&gt;"",IF(M222="",'CONCEPTOS Y PARAMETROS'!$C$4,0),0)</f>
        <v>130</v>
      </c>
      <c r="AC222" s="1150">
        <f>IF(S222&lt;&gt;"",IF(M222="",'CONCEPTOS Y PARAMETROS'!$C$7*Z222,0),0)</f>
        <v>25</v>
      </c>
      <c r="AD222" s="1150">
        <f>IFERROR(ROUND(VLOOKUP($X222,'CONCEPTOS Y PARAMETROS'!H:I,2,0)*($V222+AA222+AB222+AC222),2),0)</f>
        <v>78.47</v>
      </c>
      <c r="AE222" s="1150">
        <f t="shared" si="376"/>
        <v>249.82</v>
      </c>
      <c r="AF222" s="1150">
        <f t="shared" si="404"/>
        <v>8.18</v>
      </c>
      <c r="AG222" s="1150">
        <f t="shared" si="405"/>
        <v>8.17</v>
      </c>
      <c r="AH222" s="1150">
        <f t="shared" si="406"/>
        <v>65</v>
      </c>
      <c r="AI222" s="1150">
        <f t="shared" si="407"/>
        <v>65</v>
      </c>
      <c r="AJ222" s="1150">
        <f t="shared" si="408"/>
        <v>39.24</v>
      </c>
      <c r="AK222" s="1150">
        <f t="shared" si="409"/>
        <v>39.229999999999997</v>
      </c>
      <c r="AL222" s="1151">
        <f t="shared" si="410"/>
        <v>137.41999999999999</v>
      </c>
      <c r="AM222" s="1151">
        <f t="shared" si="411"/>
        <v>112.4</v>
      </c>
      <c r="AN222" s="1583">
        <v>2</v>
      </c>
      <c r="AO222" s="1193">
        <f>'CONCEPTOS Y PARAMETROS'!$C$18*AN222</f>
        <v>25</v>
      </c>
      <c r="AP222" s="1028">
        <v>0</v>
      </c>
      <c r="AQ222" s="1193">
        <f>'CONCEPTOS Y PARAMETROS'!$C$21*AP222</f>
        <v>0</v>
      </c>
      <c r="AR222" s="1394">
        <v>0</v>
      </c>
      <c r="AS222" s="1394">
        <v>0</v>
      </c>
      <c r="AT222" s="1394">
        <f t="shared" si="480"/>
        <v>25</v>
      </c>
      <c r="AU222" s="1151">
        <f t="shared" si="412"/>
        <v>470.82</v>
      </c>
      <c r="AV222" s="1178">
        <v>0</v>
      </c>
      <c r="AW222" s="1151">
        <f t="shared" si="499"/>
        <v>0</v>
      </c>
      <c r="AX222" s="1150">
        <f>IF(T222&lt;&gt;"0",(ROUND(IF(A222="EMPLEADO",eval_formula('CONCEPTOS Y PARAMETROS'!$C$8,NOMINA!V222,NOMINA!$AU222,NOMINA!I222+NOMINA!J222),eval_formula('CONCEPTOS Y PARAMETROS'!$D$8,NOMINA!V222,NOMINA!$AU222,NOMINA!I222+NOMINA!J222)),2))*IF(H222&lt;&gt;"",IF(MONTH(H222)=$BR$8,IF(YEAR(H222)&lt;$BT$7,1,0),0)))</f>
        <v>0</v>
      </c>
      <c r="AY222" s="1151">
        <v>180</v>
      </c>
      <c r="AZ222" s="1150">
        <f>IFERROR(VLOOKUP(AY222,'CONCEPTOS Y PARAMETROS'!Y:Z,2,0),0)</f>
        <v>150</v>
      </c>
      <c r="BA222" s="1150">
        <f t="shared" si="413"/>
        <v>3531.15</v>
      </c>
      <c r="BB222" s="1150">
        <f t="shared" si="381"/>
        <v>0</v>
      </c>
      <c r="BC222" s="1028">
        <v>0</v>
      </c>
      <c r="BD222" s="1150" t="str">
        <f t="shared" si="414"/>
        <v>0</v>
      </c>
      <c r="BE222" s="1028">
        <v>0</v>
      </c>
      <c r="BF222" s="1150">
        <f t="shared" si="556"/>
        <v>0</v>
      </c>
      <c r="BG222" s="1151">
        <v>300</v>
      </c>
      <c r="BH222" s="1151">
        <f t="shared" si="382"/>
        <v>0</v>
      </c>
      <c r="BI222" s="1180">
        <v>0</v>
      </c>
      <c r="BJ222" s="1180">
        <f t="shared" si="372"/>
        <v>0</v>
      </c>
      <c r="BK222" s="1151">
        <v>0</v>
      </c>
      <c r="BL222" s="1150">
        <f t="shared" si="450"/>
        <v>17.38</v>
      </c>
      <c r="BM222" s="1150">
        <f t="shared" si="451"/>
        <v>2.17</v>
      </c>
      <c r="BN222" s="1150">
        <f t="shared" si="514"/>
        <v>4.71</v>
      </c>
      <c r="BO222" s="1150">
        <v>0</v>
      </c>
      <c r="BP222" s="1150">
        <v>0</v>
      </c>
      <c r="BQ222" s="1396">
        <f t="shared" si="373"/>
        <v>24.26</v>
      </c>
      <c r="BR222" s="1150">
        <f t="shared" si="453"/>
        <v>39.11</v>
      </c>
      <c r="BS222" s="1150">
        <f t="shared" si="454"/>
        <v>8.69</v>
      </c>
      <c r="BT222" s="1150">
        <f t="shared" si="383"/>
        <v>9.42</v>
      </c>
      <c r="BU222" s="1150">
        <v>0</v>
      </c>
      <c r="BV222" s="1151">
        <f t="shared" si="374"/>
        <v>57.22</v>
      </c>
      <c r="BW222" s="1155">
        <f t="shared" si="375"/>
        <v>81.48</v>
      </c>
      <c r="BX222" s="1155">
        <f t="shared" si="560"/>
        <v>882.79</v>
      </c>
      <c r="BY222" s="1151">
        <v>0</v>
      </c>
      <c r="BZ222" s="1151">
        <f t="shared" si="371"/>
        <v>882.79</v>
      </c>
      <c r="CA222" s="1397">
        <f>'CONCEPTOS Y PARAMETROS'!$A$102</f>
        <v>2120</v>
      </c>
      <c r="CB222" s="1155">
        <f t="shared" si="384"/>
        <v>223.66</v>
      </c>
      <c r="CC222" s="1156">
        <f t="shared" si="385"/>
        <v>547.9</v>
      </c>
      <c r="CD222" s="514"/>
      <c r="CE222" s="514"/>
      <c r="CF222" s="520"/>
      <c r="CG222" s="497">
        <f t="shared" si="386"/>
        <v>223.66</v>
      </c>
      <c r="CH222" s="1711">
        <f t="shared" si="387"/>
        <v>300</v>
      </c>
      <c r="CI222" s="497">
        <f t="shared" si="388"/>
        <v>522.9</v>
      </c>
      <c r="CJ222" s="497">
        <f t="shared" si="389"/>
        <v>522.9</v>
      </c>
      <c r="CK222" s="497">
        <f t="shared" si="390"/>
        <v>0</v>
      </c>
      <c r="CL222" s="497">
        <f t="shared" si="391"/>
        <v>0</v>
      </c>
      <c r="CM222" s="497">
        <f t="shared" si="392"/>
        <v>0</v>
      </c>
      <c r="CN222" s="498">
        <f t="shared" si="393"/>
        <v>0</v>
      </c>
      <c r="CO222" s="499">
        <v>0</v>
      </c>
      <c r="CP222" s="498">
        <f t="shared" si="394"/>
        <v>0</v>
      </c>
      <c r="CQ222" s="500">
        <f t="shared" si="395"/>
        <v>25</v>
      </c>
      <c r="CR222" s="498">
        <f t="shared" si="396"/>
        <v>0</v>
      </c>
      <c r="CS222" s="498">
        <f t="shared" si="397"/>
        <v>25</v>
      </c>
      <c r="CT222" s="498">
        <f t="shared" si="398"/>
        <v>81.48</v>
      </c>
      <c r="CU222" s="498">
        <f t="shared" si="399"/>
        <v>2120</v>
      </c>
      <c r="CV222" s="1554"/>
      <c r="CW222" s="1195" t="s">
        <v>7071</v>
      </c>
      <c r="CX222" s="1195" t="s">
        <v>7075</v>
      </c>
      <c r="CY222" s="472"/>
      <c r="CZ222" s="514" t="s">
        <v>6325</v>
      </c>
      <c r="DA222" s="1199" t="s">
        <v>6241</v>
      </c>
      <c r="DB222" s="514" t="s">
        <v>6206</v>
      </c>
      <c r="DC222" s="514" t="s">
        <v>6326</v>
      </c>
      <c r="DD222" s="514"/>
      <c r="DE222" s="514"/>
      <c r="DF222" s="472"/>
      <c r="DG222" s="472"/>
      <c r="DH222" s="472"/>
      <c r="DJ222" s="473" t="str">
        <f>VLOOKUP(X222,Hoja1!$A$4:$B$10,2,0)</f>
        <v>TÉCNICO SUPERIOR UNIVERSITARIO</v>
      </c>
      <c r="DK222" s="473" t="str">
        <f>VLOOKUP(S222,Hoja1!$D$4:$F$77,3,0)</f>
        <v>TII - III</v>
      </c>
      <c r="DL222" s="1216" t="str">
        <f t="shared" si="400"/>
        <v>0</v>
      </c>
      <c r="DM222" s="1741" t="str">
        <f t="shared" si="401"/>
        <v>F</v>
      </c>
      <c r="DN222" s="1741"/>
    </row>
    <row r="223" spans="1:118" s="473" customFormat="1" ht="21.95" customHeight="1">
      <c r="A223" s="510" t="s">
        <v>2846</v>
      </c>
      <c r="B223" s="1390">
        <f t="shared" ca="1" si="479"/>
        <v>181</v>
      </c>
      <c r="C223" s="1194">
        <v>18349021</v>
      </c>
      <c r="D223" s="1195" t="s">
        <v>4858</v>
      </c>
      <c r="E223" s="1180" t="s">
        <v>4622</v>
      </c>
      <c r="F223" s="1196">
        <v>32519</v>
      </c>
      <c r="G223" s="1180" t="s">
        <v>4620</v>
      </c>
      <c r="H223" s="1196">
        <v>44683</v>
      </c>
      <c r="I223" s="1185">
        <f t="shared" si="379"/>
        <v>2</v>
      </c>
      <c r="J223" s="1177">
        <v>0</v>
      </c>
      <c r="K223" s="1185">
        <f t="shared" si="380"/>
        <v>2</v>
      </c>
      <c r="L223" s="1191" t="s">
        <v>5542</v>
      </c>
      <c r="M223" s="1177"/>
      <c r="N223" s="1177"/>
      <c r="O223" s="1040" t="s">
        <v>5222</v>
      </c>
      <c r="P223" s="1177" t="s">
        <v>5415</v>
      </c>
      <c r="Q223" s="1391" t="str">
        <f>IFERROR(VLOOKUP(O223,CARGOS!A:E,2,0),"")</f>
        <v>79511</v>
      </c>
      <c r="R223" s="1403" t="s">
        <v>5222</v>
      </c>
      <c r="S223" s="1192" t="s">
        <v>5475</v>
      </c>
      <c r="T223" s="1150">
        <f>IFERROR(VLOOKUP(S223,'TAB EMP'!A:B,2,0),0)</f>
        <v>192</v>
      </c>
      <c r="U223" s="1151">
        <v>0</v>
      </c>
      <c r="V223" s="1150">
        <f t="shared" si="402"/>
        <v>192</v>
      </c>
      <c r="W223" s="1151">
        <f t="shared" si="403"/>
        <v>96</v>
      </c>
      <c r="X223" s="1180" t="s">
        <v>2885</v>
      </c>
      <c r="Y223" s="1180"/>
      <c r="Z223" s="1180">
        <v>1</v>
      </c>
      <c r="AA223" s="1150">
        <f>ROUND(IF(H223&lt;&gt;"",VLOOKUP(SUM(I223+J223),'CONCEPTOS Y PARAMETROS'!F:G,2,0)*V223,0),2)</f>
        <v>3.84</v>
      </c>
      <c r="AB223" s="1150">
        <f>IF(S223&lt;&gt;"",IF(M223="",'CONCEPTOS Y PARAMETROS'!$C$4,0),0)</f>
        <v>130</v>
      </c>
      <c r="AC223" s="1150">
        <f>IF(S223&lt;&gt;"",IF(M223="",'CONCEPTOS Y PARAMETROS'!$C$7*Z223,0),0)</f>
        <v>12.5</v>
      </c>
      <c r="AD223" s="1150">
        <f>IFERROR(ROUND(VLOOKUP($X223,'CONCEPTOS Y PARAMETROS'!H:I,2,0)*($V223+AA223+AB223+AC223),2),0)</f>
        <v>84.59</v>
      </c>
      <c r="AE223" s="1150">
        <f t="shared" si="376"/>
        <v>230.93</v>
      </c>
      <c r="AF223" s="1150">
        <f t="shared" si="404"/>
        <v>1.92</v>
      </c>
      <c r="AG223" s="1150">
        <f t="shared" si="405"/>
        <v>1.92</v>
      </c>
      <c r="AH223" s="1150">
        <f t="shared" si="406"/>
        <v>65</v>
      </c>
      <c r="AI223" s="1150">
        <f t="shared" si="407"/>
        <v>65</v>
      </c>
      <c r="AJ223" s="1150">
        <f t="shared" si="408"/>
        <v>42.3</v>
      </c>
      <c r="AK223" s="1150">
        <f t="shared" si="409"/>
        <v>42.29</v>
      </c>
      <c r="AL223" s="1151">
        <f t="shared" si="410"/>
        <v>121.72</v>
      </c>
      <c r="AM223" s="1151">
        <f t="shared" si="411"/>
        <v>109.21</v>
      </c>
      <c r="AN223" s="1583">
        <v>1</v>
      </c>
      <c r="AO223" s="1193">
        <f>'CONCEPTOS Y PARAMETROS'!$C$18*AN223</f>
        <v>12.5</v>
      </c>
      <c r="AP223" s="1028">
        <v>0</v>
      </c>
      <c r="AQ223" s="1193">
        <f>'CONCEPTOS Y PARAMETROS'!$C$21*AP223</f>
        <v>0</v>
      </c>
      <c r="AR223" s="1394">
        <v>0</v>
      </c>
      <c r="AS223" s="1394">
        <v>0</v>
      </c>
      <c r="AT223" s="1394">
        <f t="shared" si="480"/>
        <v>12.5</v>
      </c>
      <c r="AU223" s="1151">
        <f t="shared" si="412"/>
        <v>549.80999999999995</v>
      </c>
      <c r="AV223" s="1178" t="s">
        <v>5080</v>
      </c>
      <c r="AW223" s="1151">
        <f t="shared" si="499"/>
        <v>126.88</v>
      </c>
      <c r="AX223" s="1150">
        <f>IF(T223&lt;&gt;"0",(ROUND(IF(A223="EMPLEADO",eval_formula('CONCEPTOS Y PARAMETROS'!$C$8,NOMINA!V223,NOMINA!$AU223,NOMINA!I223+NOMINA!J223),eval_formula('CONCEPTOS Y PARAMETROS'!$D$8,NOMINA!V223,NOMINA!$AU223,NOMINA!I223+NOMINA!J223)),2))*IF(H223&lt;&gt;"",IF(MONTH(H223)=$BR$8,IF(YEAR(H223)&lt;$BT$7,1,0),0)))</f>
        <v>0</v>
      </c>
      <c r="AY223" s="1151">
        <v>180</v>
      </c>
      <c r="AZ223" s="1150">
        <f>IFERROR(VLOOKUP(AY223,'CONCEPTOS Y PARAMETROS'!Y:Z,2,0),0)</f>
        <v>150</v>
      </c>
      <c r="BA223" s="1150">
        <f t="shared" si="413"/>
        <v>4123.58</v>
      </c>
      <c r="BB223" s="1150">
        <f t="shared" si="381"/>
        <v>0</v>
      </c>
      <c r="BC223" s="1028">
        <v>0</v>
      </c>
      <c r="BD223" s="1150" t="str">
        <f t="shared" si="414"/>
        <v>0</v>
      </c>
      <c r="BE223" s="1028">
        <v>5</v>
      </c>
      <c r="BF223" s="1150">
        <f t="shared" si="556"/>
        <v>137.44999999999999</v>
      </c>
      <c r="BG223" s="1151">
        <v>300</v>
      </c>
      <c r="BH223" s="1151">
        <f t="shared" si="382"/>
        <v>0</v>
      </c>
      <c r="BI223" s="1180">
        <v>0</v>
      </c>
      <c r="BJ223" s="1180">
        <f t="shared" si="372"/>
        <v>0</v>
      </c>
      <c r="BK223" s="1151">
        <v>0</v>
      </c>
      <c r="BL223" s="1150">
        <f t="shared" si="450"/>
        <v>20.3</v>
      </c>
      <c r="BM223" s="1150">
        <f t="shared" si="451"/>
        <v>2.54</v>
      </c>
      <c r="BN223" s="1150">
        <f t="shared" si="514"/>
        <v>5.5</v>
      </c>
      <c r="BO223" s="1150">
        <v>0</v>
      </c>
      <c r="BP223" s="1150">
        <v>0</v>
      </c>
      <c r="BQ223" s="1396">
        <f t="shared" si="373"/>
        <v>28.34</v>
      </c>
      <c r="BR223" s="1150">
        <f t="shared" si="453"/>
        <v>45.68</v>
      </c>
      <c r="BS223" s="1150">
        <f t="shared" si="454"/>
        <v>10.15</v>
      </c>
      <c r="BT223" s="1150">
        <f t="shared" si="383"/>
        <v>11</v>
      </c>
      <c r="BU223" s="1150">
        <v>0</v>
      </c>
      <c r="BV223" s="1151">
        <f t="shared" si="374"/>
        <v>66.83</v>
      </c>
      <c r="BW223" s="1155">
        <f t="shared" si="375"/>
        <v>95.17</v>
      </c>
      <c r="BX223" s="1155">
        <f t="shared" si="560"/>
        <v>1030.9000000000001</v>
      </c>
      <c r="BY223" s="1151">
        <v>0</v>
      </c>
      <c r="BZ223" s="1151">
        <f t="shared" si="371"/>
        <v>1030.9000000000001</v>
      </c>
      <c r="CA223" s="1397">
        <f>'CONCEPTOS Y PARAMETROS'!$A$102</f>
        <v>2120</v>
      </c>
      <c r="CB223" s="1155">
        <f t="shared" si="384"/>
        <v>189.38</v>
      </c>
      <c r="CC223" s="1156">
        <f t="shared" si="385"/>
        <v>782.04</v>
      </c>
      <c r="CD223" s="514"/>
      <c r="CE223" s="514"/>
      <c r="CF223" s="520"/>
      <c r="CG223" s="497">
        <f t="shared" si="386"/>
        <v>189.38</v>
      </c>
      <c r="CH223" s="1711">
        <f t="shared" si="387"/>
        <v>300</v>
      </c>
      <c r="CI223" s="497">
        <f t="shared" si="388"/>
        <v>505.21</v>
      </c>
      <c r="CJ223" s="497">
        <f t="shared" si="389"/>
        <v>505.21</v>
      </c>
      <c r="CK223" s="497">
        <f t="shared" si="390"/>
        <v>0</v>
      </c>
      <c r="CL223" s="497">
        <f t="shared" si="391"/>
        <v>0</v>
      </c>
      <c r="CM223" s="497">
        <f t="shared" si="392"/>
        <v>0</v>
      </c>
      <c r="CN223" s="498">
        <f t="shared" si="393"/>
        <v>137.44999999999999</v>
      </c>
      <c r="CO223" s="499">
        <v>0</v>
      </c>
      <c r="CP223" s="498">
        <f t="shared" si="394"/>
        <v>126.88</v>
      </c>
      <c r="CQ223" s="500">
        <f t="shared" si="395"/>
        <v>12.5</v>
      </c>
      <c r="CR223" s="498">
        <f t="shared" si="396"/>
        <v>0</v>
      </c>
      <c r="CS223" s="498">
        <f t="shared" si="397"/>
        <v>276.83</v>
      </c>
      <c r="CT223" s="498">
        <f t="shared" si="398"/>
        <v>95.17</v>
      </c>
      <c r="CU223" s="498">
        <f t="shared" si="399"/>
        <v>2120</v>
      </c>
      <c r="CV223" s="1554"/>
      <c r="CW223" s="1195" t="s">
        <v>7042</v>
      </c>
      <c r="CX223" s="1195" t="s">
        <v>7076</v>
      </c>
      <c r="CY223" s="472"/>
      <c r="CZ223" s="514" t="s">
        <v>6327</v>
      </c>
      <c r="DA223" s="514" t="s">
        <v>6713</v>
      </c>
      <c r="DB223" s="514" t="s">
        <v>6328</v>
      </c>
      <c r="DC223" s="514" t="s">
        <v>6714</v>
      </c>
      <c r="DD223" s="514"/>
      <c r="DE223" s="514"/>
      <c r="DF223" s="472"/>
      <c r="DG223" s="472"/>
      <c r="DH223" s="472"/>
      <c r="DJ223" s="473" t="str">
        <f>VLOOKUP(X223,Hoja1!$A$4:$B$10,2,0)</f>
        <v>PROFESIONAL</v>
      </c>
      <c r="DK223" s="473" t="str">
        <f>VLOOKUP(S223,Hoja1!$D$4:$F$77,3,0)</f>
        <v>TI</v>
      </c>
      <c r="DL223" s="1216" t="str">
        <f t="shared" si="400"/>
        <v>SI</v>
      </c>
      <c r="DM223" s="1741" t="str">
        <f t="shared" si="401"/>
        <v>F</v>
      </c>
      <c r="DN223" s="1741"/>
    </row>
    <row r="224" spans="1:118" s="473" customFormat="1" ht="21.95" customHeight="1">
      <c r="A224" s="510" t="s">
        <v>2846</v>
      </c>
      <c r="B224" s="1390">
        <f t="shared" ca="1" si="479"/>
        <v>182</v>
      </c>
      <c r="C224" s="1194">
        <v>18349553</v>
      </c>
      <c r="D224" s="1195" t="s">
        <v>6896</v>
      </c>
      <c r="E224" s="1180" t="s">
        <v>4622</v>
      </c>
      <c r="F224" s="1196">
        <v>32114</v>
      </c>
      <c r="G224" s="1180" t="s">
        <v>4620</v>
      </c>
      <c r="H224" s="1196">
        <v>45566</v>
      </c>
      <c r="I224" s="1185">
        <f t="shared" si="379"/>
        <v>0</v>
      </c>
      <c r="J224" s="1177">
        <v>0</v>
      </c>
      <c r="K224" s="1185">
        <f t="shared" si="380"/>
        <v>0</v>
      </c>
      <c r="L224" s="1191" t="s">
        <v>5539</v>
      </c>
      <c r="M224" s="1177"/>
      <c r="N224" s="1177"/>
      <c r="O224" s="1040" t="s">
        <v>5222</v>
      </c>
      <c r="P224" s="1177" t="s">
        <v>6897</v>
      </c>
      <c r="Q224" s="1391" t="str">
        <f>IFERROR(VLOOKUP(O224,CARGOS!A:E,2,0),"")</f>
        <v>79511</v>
      </c>
      <c r="R224" s="1403" t="s">
        <v>5222</v>
      </c>
      <c r="S224" s="1192" t="s">
        <v>5469</v>
      </c>
      <c r="T224" s="1150">
        <f>IFERROR(VLOOKUP(S224,'TAB EMP'!A:B,2,0),0)</f>
        <v>246</v>
      </c>
      <c r="U224" s="1151">
        <v>0</v>
      </c>
      <c r="V224" s="1150">
        <f t="shared" ref="V224" si="583">T224-U224</f>
        <v>246</v>
      </c>
      <c r="W224" s="1151">
        <f t="shared" ref="W224" si="584">ROUND(V224/2,2)</f>
        <v>123</v>
      </c>
      <c r="X224" s="1180" t="s">
        <v>2885</v>
      </c>
      <c r="Y224" s="1180"/>
      <c r="Z224" s="1180">
        <v>0</v>
      </c>
      <c r="AA224" s="1150">
        <f>ROUND(IF(H224&lt;&gt;"",VLOOKUP(SUM(I224+J224),'CONCEPTOS Y PARAMETROS'!F:G,2,0)*V224,0),2)</f>
        <v>0</v>
      </c>
      <c r="AB224" s="1150">
        <f>IF(S224&lt;&gt;"",IF(M224="",'CONCEPTOS Y PARAMETROS'!$C$4,0),0)</f>
        <v>130</v>
      </c>
      <c r="AC224" s="1150">
        <f>IF(S224&lt;&gt;"",IF(M224="",'CONCEPTOS Y PARAMETROS'!$C$7*Z224,0),0)</f>
        <v>0</v>
      </c>
      <c r="AD224" s="1150">
        <f>IFERROR(ROUND(VLOOKUP($X224,'CONCEPTOS Y PARAMETROS'!H:I,2,0)*($V224+AA224+AB224+AC224),2),0)</f>
        <v>94</v>
      </c>
      <c r="AE224" s="1150">
        <f t="shared" ref="AE224" si="585">SUM(AA224:AD224)</f>
        <v>224</v>
      </c>
      <c r="AF224" s="1150">
        <f t="shared" ref="AF224" si="586">ROUND(AA224/2,2)</f>
        <v>0</v>
      </c>
      <c r="AG224" s="1150">
        <f t="shared" ref="AG224" si="587">ROUND(AA224-AF224,2)</f>
        <v>0</v>
      </c>
      <c r="AH224" s="1150">
        <f t="shared" ref="AH224" si="588">ROUND(AB224/2,2)</f>
        <v>65</v>
      </c>
      <c r="AI224" s="1150">
        <f t="shared" ref="AI224" si="589">ROUND(AB224-AH224,2)</f>
        <v>65</v>
      </c>
      <c r="AJ224" s="1150">
        <f t="shared" ref="AJ224" si="590">ROUND(AD224/2,2)</f>
        <v>47</v>
      </c>
      <c r="AK224" s="1150">
        <f t="shared" ref="AK224" si="591">ROUND(AD224-AJ224,2)</f>
        <v>47</v>
      </c>
      <c r="AL224" s="1151">
        <f t="shared" ref="AL224" si="592">ROUND(AF224+AH224+AJ224+AC224,2)</f>
        <v>112</v>
      </c>
      <c r="AM224" s="1151">
        <f t="shared" ref="AM224" si="593">ROUND(AG224+AI224+AK224,2)</f>
        <v>112</v>
      </c>
      <c r="AN224" s="1028">
        <v>0</v>
      </c>
      <c r="AO224" s="1193">
        <f>'CONCEPTOS Y PARAMETROS'!$C$18*AN224</f>
        <v>0</v>
      </c>
      <c r="AP224" s="1028">
        <v>0</v>
      </c>
      <c r="AQ224" s="1193">
        <f>'CONCEPTOS Y PARAMETROS'!$C$21*AP224</f>
        <v>0</v>
      </c>
      <c r="AR224" s="1394">
        <v>0</v>
      </c>
      <c r="AS224" s="1394">
        <v>0</v>
      </c>
      <c r="AT224" s="1394">
        <f t="shared" ref="AT224" si="594">+AO224+AQ224+AR224+AS224</f>
        <v>0</v>
      </c>
      <c r="AU224" s="1151">
        <f t="shared" ref="AU224" si="595">V224+AE224+AW224</f>
        <v>611</v>
      </c>
      <c r="AV224" s="1178" t="s">
        <v>5080</v>
      </c>
      <c r="AW224" s="1151">
        <f t="shared" ref="AW224" si="596">ROUND(IF(AV224="NOCTURN",(V224+AE224)*30%,0),2)</f>
        <v>141</v>
      </c>
      <c r="AX224" s="1150">
        <f>IF(T224&lt;&gt;"0",(ROUND(IF(A224="EMPLEADO",eval_formula('CONCEPTOS Y PARAMETROS'!$C$8,NOMINA!V224,NOMINA!$AU224,NOMINA!I224+NOMINA!J224),eval_formula('CONCEPTOS Y PARAMETROS'!$D$8,NOMINA!V224,NOMINA!$AU224,NOMINA!I224+NOMINA!J224)),2))*IF(H224&lt;&gt;"",IF(MONTH(H224)=$BR$8,IF(YEAR(H224)&lt;$BT$7,1,0),0)))</f>
        <v>0</v>
      </c>
      <c r="AY224" s="1151">
        <v>180</v>
      </c>
      <c r="AZ224" s="1150">
        <f>IFERROR(VLOOKUP(AY224,'CONCEPTOS Y PARAMETROS'!Y:Z,2,0),0)</f>
        <v>150</v>
      </c>
      <c r="BA224" s="1150">
        <f t="shared" ref="BA224" si="597">ROUND((((AU224))/30*AY224/12+(AU224))/30*AZ224,2)</f>
        <v>4582.5</v>
      </c>
      <c r="BB224" s="1150">
        <f t="shared" ref="BB224" si="598">ROUND(AU224/30*$BB$10,2)</f>
        <v>0</v>
      </c>
      <c r="BC224" s="1028">
        <v>0</v>
      </c>
      <c r="BD224" s="1150" t="str">
        <f t="shared" ref="BD224" si="599">IF(BC224&gt;0,((((((V224+AA224+AB224+AC224+AD224)/30)/8)*50%)+((((V224+AA224+AB224+AC224+AD224)/30)/8)))*30%+(((((V224+AA224+AB224+AC224+AD224)/30)/8)*50%)+((((V224+AA224+AB224+AC224+AD224)/30)/8))))*BC224,"0")</f>
        <v>0</v>
      </c>
      <c r="BE224" s="1028">
        <v>0</v>
      </c>
      <c r="BF224" s="1150">
        <f t="shared" ref="BF224" si="600">ROUND(IF(BE224&gt;0,(((V224+AA224+AB224+AC224+AD224+AW224)/30)*50%+((V224+AA224+AB224+AC224+AD224+AW224)/30))*BE224,"0"),2)</f>
        <v>0</v>
      </c>
      <c r="BG224" s="1151">
        <v>300</v>
      </c>
      <c r="BH224" s="1151">
        <f t="shared" si="382"/>
        <v>0</v>
      </c>
      <c r="BI224" s="1180">
        <v>0</v>
      </c>
      <c r="BJ224" s="1180">
        <f t="shared" ref="BJ224" si="601">+IF(BI224&lt;&gt;0,(BI224*12.5),0)</f>
        <v>0</v>
      </c>
      <c r="BK224" s="1151">
        <v>0</v>
      </c>
      <c r="BL224" s="1150">
        <f t="shared" ref="BL224" si="602">ROUND(IF(M224="", (((AU224*12)/52)*4%)*$BS$8,0),2)</f>
        <v>22.56</v>
      </c>
      <c r="BM224" s="1150">
        <f t="shared" ref="BM224" si="603">ROUND(IF(M224="",(((AU224*12)/52)*0.5%)*$BS$8,0),2)</f>
        <v>2.82</v>
      </c>
      <c r="BN224" s="1150">
        <f t="shared" ref="BN224" si="604">ROUND(IF(M224="",(AU224*1%),0),2)</f>
        <v>6.11</v>
      </c>
      <c r="BO224" s="1150">
        <v>0</v>
      </c>
      <c r="BP224" s="1150">
        <v>0</v>
      </c>
      <c r="BQ224" s="1396">
        <f t="shared" ref="BQ224" si="605">ROUND(SUM(BL224:BP224),2)</f>
        <v>31.49</v>
      </c>
      <c r="BR224" s="1150">
        <f t="shared" ref="BR224" si="606">ROUND(IF(M224="", (((AU224*12)/52)*9%)*$BS$8,0),2)</f>
        <v>50.76</v>
      </c>
      <c r="BS224" s="1150">
        <f t="shared" ref="BS224" si="607">ROUND(IF(M224="",(((AU224*12)/52)*2%)*$BS$8,0),2)</f>
        <v>11.28</v>
      </c>
      <c r="BT224" s="1150">
        <f t="shared" si="383"/>
        <v>12.22</v>
      </c>
      <c r="BU224" s="1150">
        <v>0</v>
      </c>
      <c r="BV224" s="1151">
        <f t="shared" ref="BV224" si="608">ROUND(SUM(BR224:BT224),2)</f>
        <v>74.260000000000005</v>
      </c>
      <c r="BW224" s="1155">
        <f t="shared" ref="BW224" si="609">BQ224+BV224</f>
        <v>105.75</v>
      </c>
      <c r="BX224" s="1155">
        <f t="shared" ref="BX224" si="610">ROUND(BA224/4,2)</f>
        <v>1145.6300000000001</v>
      </c>
      <c r="BY224" s="1151">
        <v>0</v>
      </c>
      <c r="BZ224" s="1151">
        <f t="shared" ref="BZ224" si="611">+BX224+BY224</f>
        <v>1145.6300000000001</v>
      </c>
      <c r="CA224" s="1397">
        <f>'CONCEPTOS Y PARAMETROS'!$A$102</f>
        <v>2120</v>
      </c>
      <c r="CB224" s="1155">
        <f t="shared" si="384"/>
        <v>203.51</v>
      </c>
      <c r="CC224" s="1156">
        <f t="shared" si="385"/>
        <v>676</v>
      </c>
      <c r="CD224" s="514"/>
      <c r="CE224" s="514"/>
      <c r="CF224" s="520"/>
      <c r="CG224" s="497">
        <f t="shared" si="386"/>
        <v>203.51</v>
      </c>
      <c r="CH224" s="1711">
        <f t="shared" si="387"/>
        <v>300</v>
      </c>
      <c r="CI224" s="497">
        <f t="shared" si="388"/>
        <v>535</v>
      </c>
      <c r="CJ224" s="497">
        <f t="shared" si="389"/>
        <v>535</v>
      </c>
      <c r="CK224" s="497">
        <f t="shared" si="390"/>
        <v>0</v>
      </c>
      <c r="CL224" s="497">
        <f t="shared" si="391"/>
        <v>0</v>
      </c>
      <c r="CM224" s="497">
        <f t="shared" si="392"/>
        <v>0</v>
      </c>
      <c r="CN224" s="498">
        <f t="shared" si="393"/>
        <v>0</v>
      </c>
      <c r="CO224" s="499">
        <v>0</v>
      </c>
      <c r="CP224" s="498">
        <f t="shared" si="394"/>
        <v>141</v>
      </c>
      <c r="CQ224" s="500">
        <f t="shared" si="395"/>
        <v>0</v>
      </c>
      <c r="CR224" s="498">
        <f t="shared" si="396"/>
        <v>0</v>
      </c>
      <c r="CS224" s="498">
        <f t="shared" si="397"/>
        <v>141</v>
      </c>
      <c r="CT224" s="498">
        <f t="shared" si="398"/>
        <v>105.75</v>
      </c>
      <c r="CU224" s="498">
        <f t="shared" si="399"/>
        <v>2120</v>
      </c>
      <c r="CV224" s="1554"/>
      <c r="CW224" s="1195" t="s">
        <v>7077</v>
      </c>
      <c r="CX224" s="1195" t="s">
        <v>7078</v>
      </c>
      <c r="CY224" s="472"/>
      <c r="CZ224" s="514" t="s">
        <v>6898</v>
      </c>
      <c r="DA224" s="514"/>
      <c r="DB224" s="514"/>
      <c r="DC224" s="514"/>
      <c r="DD224" s="514"/>
      <c r="DE224" s="514"/>
      <c r="DF224" s="472"/>
      <c r="DG224" s="472"/>
      <c r="DH224" s="472"/>
      <c r="DJ224" s="473" t="str">
        <f>VLOOKUP(X224,Hoja1!$A$4:$B$10,2,0)</f>
        <v>PROFESIONAL</v>
      </c>
      <c r="DK224" s="473" t="str">
        <f>VLOOKUP(S224,Hoja1!$D$4:$F$77,3,0)</f>
        <v>PI</v>
      </c>
      <c r="DL224" s="1672" t="str">
        <f t="shared" si="400"/>
        <v>SI</v>
      </c>
      <c r="DM224" s="1741" t="str">
        <f t="shared" si="401"/>
        <v>F</v>
      </c>
      <c r="DN224" s="1741"/>
    </row>
    <row r="225" spans="1:118" s="478" customFormat="1" ht="21.95" customHeight="1">
      <c r="A225" s="510" t="s">
        <v>2846</v>
      </c>
      <c r="B225" s="1390">
        <f t="shared" ca="1" si="479"/>
        <v>183</v>
      </c>
      <c r="C225" s="1194">
        <v>18349653</v>
      </c>
      <c r="D225" s="1195" t="s">
        <v>7386</v>
      </c>
      <c r="E225" s="1180" t="s">
        <v>4622</v>
      </c>
      <c r="F225" s="1161">
        <v>31987</v>
      </c>
      <c r="G225" s="1180" t="s">
        <v>4620</v>
      </c>
      <c r="H225" s="1161">
        <v>45627</v>
      </c>
      <c r="I225" s="1185">
        <f t="shared" si="379"/>
        <v>0</v>
      </c>
      <c r="J225" s="1177">
        <v>0</v>
      </c>
      <c r="K225" s="1185">
        <f t="shared" si="380"/>
        <v>0</v>
      </c>
      <c r="L225" s="1191" t="s">
        <v>5550</v>
      </c>
      <c r="M225" s="1177"/>
      <c r="N225" s="1177"/>
      <c r="O225" s="1040" t="s">
        <v>5222</v>
      </c>
      <c r="P225" s="1197" t="s">
        <v>7387</v>
      </c>
      <c r="Q225" s="1391" t="str">
        <f>IFERROR(VLOOKUP(O225,CARGOS!A:E,2,0),"")</f>
        <v>79511</v>
      </c>
      <c r="R225" s="1392" t="s">
        <v>5222</v>
      </c>
      <c r="S225" s="1192" t="s">
        <v>5475</v>
      </c>
      <c r="T225" s="1150">
        <f>IFERROR(VLOOKUP(S225,'TAB EMP'!A:B,2,0),0)</f>
        <v>192</v>
      </c>
      <c r="U225" s="1151">
        <v>0</v>
      </c>
      <c r="V225" s="1150">
        <f t="shared" ref="V225" si="612">T225-U225</f>
        <v>192</v>
      </c>
      <c r="W225" s="1151">
        <f t="shared" ref="W225" si="613">ROUND(V225/2,2)</f>
        <v>96</v>
      </c>
      <c r="X225" s="1180" t="s">
        <v>2885</v>
      </c>
      <c r="Y225" s="1180"/>
      <c r="Z225" s="1180">
        <v>2</v>
      </c>
      <c r="AA225" s="1150">
        <f>ROUND(IF(H225&lt;&gt;"",VLOOKUP(SUM(I225+J225),'CONCEPTOS Y PARAMETROS'!F:G,2,0)*V225,0),2)</f>
        <v>0</v>
      </c>
      <c r="AB225" s="1150">
        <f>IF(S225&lt;&gt;"",IF(M225="",'CONCEPTOS Y PARAMETROS'!$C$4,0),0)</f>
        <v>130</v>
      </c>
      <c r="AC225" s="1150">
        <f>IF(S225&lt;&gt;"",IF(M225="",'CONCEPTOS Y PARAMETROS'!$C$7*Z225,0),0)</f>
        <v>25</v>
      </c>
      <c r="AD225" s="1150">
        <f>IFERROR(ROUND(VLOOKUP($X225,'CONCEPTOS Y PARAMETROS'!H:I,2,0)*($V225+AA225+AB225+AC225),2),0)</f>
        <v>86.75</v>
      </c>
      <c r="AE225" s="1150">
        <f t="shared" ref="AE225" si="614">SUM(AA225:AD225)</f>
        <v>241.75</v>
      </c>
      <c r="AF225" s="1150">
        <f t="shared" ref="AF225" si="615">ROUND(AA225/2,2)</f>
        <v>0</v>
      </c>
      <c r="AG225" s="1150">
        <f t="shared" ref="AG225" si="616">ROUND(AA225-AF225,2)</f>
        <v>0</v>
      </c>
      <c r="AH225" s="1150">
        <f t="shared" ref="AH225" si="617">ROUND(AB225/2,2)</f>
        <v>65</v>
      </c>
      <c r="AI225" s="1150">
        <f t="shared" ref="AI225" si="618">ROUND(AB225-AH225,2)</f>
        <v>65</v>
      </c>
      <c r="AJ225" s="1150">
        <f t="shared" ref="AJ225" si="619">ROUND(AD225/2,2)</f>
        <v>43.38</v>
      </c>
      <c r="AK225" s="1150">
        <f t="shared" ref="AK225" si="620">ROUND(AD225-AJ225,2)</f>
        <v>43.37</v>
      </c>
      <c r="AL225" s="1151">
        <f t="shared" ref="AL225" si="621">ROUND(AF225+AH225+AJ225+AC225,2)</f>
        <v>133.38</v>
      </c>
      <c r="AM225" s="1151">
        <f t="shared" ref="AM225" si="622">ROUND(AG225+AI225+AK225,2)</f>
        <v>108.37</v>
      </c>
      <c r="AN225" s="1583">
        <v>2</v>
      </c>
      <c r="AO225" s="1193">
        <f>'CONCEPTOS Y PARAMETROS'!$C$18*AN225</f>
        <v>25</v>
      </c>
      <c r="AP225" s="1028">
        <v>0</v>
      </c>
      <c r="AQ225" s="1193">
        <f>'CONCEPTOS Y PARAMETROS'!$C$21*AP225</f>
        <v>0</v>
      </c>
      <c r="AR225" s="1394">
        <v>0</v>
      </c>
      <c r="AS225" s="1394">
        <v>0</v>
      </c>
      <c r="AT225" s="1394">
        <f t="shared" ref="AT225" si="623">+AO225+AQ225+AR225+AS225</f>
        <v>25</v>
      </c>
      <c r="AU225" s="1151">
        <f t="shared" ref="AU225" si="624">V225+AE225+AW225</f>
        <v>563.88</v>
      </c>
      <c r="AV225" s="1178" t="s">
        <v>5080</v>
      </c>
      <c r="AW225" s="1151">
        <f t="shared" ref="AW225" si="625">ROUND(IF(AV225="NOCTURN",(V225+AE225)*30%,0),2)</f>
        <v>130.13</v>
      </c>
      <c r="AX225" s="1150">
        <f>IF(T225&lt;&gt;"0",(ROUND(IF(A225="EMPLEADO",eval_formula('CONCEPTOS Y PARAMETROS'!$C$8,NOMINA!V225,NOMINA!$AU225,NOMINA!I225+NOMINA!J225),eval_formula('CONCEPTOS Y PARAMETROS'!$D$8,NOMINA!V225,NOMINA!$AU225,NOMINA!I225+NOMINA!J225)),2))*IF(H225&lt;&gt;"",IF(MONTH(H225)=$BR$8,IF(YEAR(H225)&lt;$BT$7,1,0),0)))</f>
        <v>0</v>
      </c>
      <c r="AY225" s="1151">
        <v>15</v>
      </c>
      <c r="AZ225" s="1150">
        <f>IFERROR(VLOOKUP(AY225,'CONCEPTOS Y PARAMETROS'!Y:Z,2,0),0)</f>
        <v>12.5</v>
      </c>
      <c r="BA225" s="1150">
        <f t="shared" ref="BA225" si="626">ROUND((((AU225))/30*AY225/12+(AU225))/30*AZ225,2)</f>
        <v>244.74</v>
      </c>
      <c r="BB225" s="1150">
        <f t="shared" ref="BB225" si="627">ROUND(AU225/30*$BB$10,2)</f>
        <v>0</v>
      </c>
      <c r="BC225" s="1028">
        <v>0</v>
      </c>
      <c r="BD225" s="1150" t="str">
        <f t="shared" ref="BD225" si="628">IF(BC225&gt;0,((((((V225+AA225+AB225+AC225+AD225)/30)/8)*50%)+((((V225+AA225+AB225+AC225+AD225)/30)/8)))*30%+(((((V225+AA225+AB225+AC225+AD225)/30)/8)*50%)+((((V225+AA225+AB225+AC225+AD225)/30)/8))))*BC225,"0")</f>
        <v>0</v>
      </c>
      <c r="BE225" s="1028">
        <v>5</v>
      </c>
      <c r="BF225" s="1150">
        <f t="shared" si="556"/>
        <v>140.97</v>
      </c>
      <c r="BG225" s="1151">
        <v>300</v>
      </c>
      <c r="BH225" s="1151">
        <f t="shared" si="382"/>
        <v>0</v>
      </c>
      <c r="BI225" s="1180">
        <v>0</v>
      </c>
      <c r="BJ225" s="1180">
        <f t="shared" ref="BJ225" si="629">+IF(BI225&lt;&gt;0,(BI225*12.5),0)</f>
        <v>0</v>
      </c>
      <c r="BK225" s="1151">
        <v>0</v>
      </c>
      <c r="BL225" s="1150">
        <f t="shared" ref="BL225:BL246" si="630">ROUND(IF(M225="", (((AU225*12)/52)*4%)*$BS$8,0),2)</f>
        <v>20.82</v>
      </c>
      <c r="BM225" s="1150">
        <f t="shared" ref="BM225:BM246" si="631">ROUND(IF(M225="",(((AU225*12)/52)*0.5%)*$BS$8,0),2)</f>
        <v>2.6</v>
      </c>
      <c r="BN225" s="1150">
        <f t="shared" ref="BN225:BN233" si="632">ROUND(IF(M225="",(AU225*1%),0),2)</f>
        <v>5.64</v>
      </c>
      <c r="BO225" s="1150">
        <v>0</v>
      </c>
      <c r="BP225" s="1150">
        <v>0</v>
      </c>
      <c r="BQ225" s="1396">
        <f t="shared" ref="BQ225" si="633">ROUND(SUM(BL225:BP225),2)</f>
        <v>29.06</v>
      </c>
      <c r="BR225" s="1150">
        <f t="shared" ref="BR225:BR246" si="634">ROUND(IF(M225="", (((AU225*12)/52)*9%)*$BS$8,0),2)</f>
        <v>46.85</v>
      </c>
      <c r="BS225" s="1150">
        <f t="shared" ref="BS225:BS246" si="635">ROUND(IF(M225="",(((AU225*12)/52)*2%)*$BS$8,0),2)</f>
        <v>10.41</v>
      </c>
      <c r="BT225" s="1150">
        <f t="shared" si="383"/>
        <v>11.28</v>
      </c>
      <c r="BU225" s="1150">
        <v>0</v>
      </c>
      <c r="BV225" s="1151">
        <f t="shared" ref="BV225" si="636">ROUND(SUM(BR225:BT225),2)</f>
        <v>68.540000000000006</v>
      </c>
      <c r="BW225" s="1155">
        <f t="shared" ref="BW225" si="637">BQ225+BV225</f>
        <v>97.600000000000009</v>
      </c>
      <c r="BX225" s="1155">
        <f>ROUND(BA225/1,2)</f>
        <v>244.74</v>
      </c>
      <c r="BY225" s="1151">
        <v>0</v>
      </c>
      <c r="BZ225" s="1151">
        <f t="shared" ref="BZ225" si="638">+BX225+BY225</f>
        <v>244.74</v>
      </c>
      <c r="CA225" s="1397">
        <f>'CONCEPTOS Y PARAMETROS'!$A$102</f>
        <v>2120</v>
      </c>
      <c r="CB225" s="1155">
        <f t="shared" si="384"/>
        <v>200.32</v>
      </c>
      <c r="CC225" s="1156">
        <f t="shared" si="385"/>
        <v>800.47</v>
      </c>
      <c r="CD225" s="1582"/>
      <c r="CE225" s="514"/>
      <c r="CG225" s="511">
        <f t="shared" si="386"/>
        <v>200.32</v>
      </c>
      <c r="CH225" s="1712">
        <f t="shared" si="387"/>
        <v>300</v>
      </c>
      <c r="CI225" s="511">
        <f t="shared" si="388"/>
        <v>504.37</v>
      </c>
      <c r="CJ225" s="511">
        <f t="shared" si="389"/>
        <v>504.37</v>
      </c>
      <c r="CK225" s="511">
        <f t="shared" si="390"/>
        <v>0</v>
      </c>
      <c r="CL225" s="511">
        <f t="shared" si="391"/>
        <v>0</v>
      </c>
      <c r="CM225" s="511">
        <f t="shared" si="392"/>
        <v>0</v>
      </c>
      <c r="CN225" s="512">
        <f t="shared" si="393"/>
        <v>140.97</v>
      </c>
      <c r="CO225" s="513">
        <v>0</v>
      </c>
      <c r="CP225" s="512">
        <f t="shared" si="394"/>
        <v>130.13</v>
      </c>
      <c r="CQ225" s="1616">
        <f t="shared" si="395"/>
        <v>25</v>
      </c>
      <c r="CR225" s="512">
        <f t="shared" si="396"/>
        <v>0</v>
      </c>
      <c r="CS225" s="512">
        <f t="shared" si="397"/>
        <v>296.10000000000002</v>
      </c>
      <c r="CT225" s="512">
        <f t="shared" si="398"/>
        <v>97.600000000000009</v>
      </c>
      <c r="CU225" s="512">
        <f t="shared" si="399"/>
        <v>2120</v>
      </c>
      <c r="CV225" s="1556"/>
      <c r="CW225" s="1195" t="s">
        <v>7077</v>
      </c>
      <c r="CX225" s="1195" t="s">
        <v>7078</v>
      </c>
      <c r="CY225" s="514"/>
      <c r="CZ225" s="514" t="s">
        <v>6898</v>
      </c>
      <c r="DA225" s="514"/>
      <c r="DB225" s="514"/>
      <c r="DC225" s="514"/>
      <c r="DD225" s="514"/>
      <c r="DE225" s="514"/>
      <c r="DF225" s="514"/>
      <c r="DG225" s="514"/>
      <c r="DH225" s="514"/>
      <c r="DJ225" s="478" t="str">
        <f>VLOOKUP(X225,Hoja1!$A$4:$B$10,2,0)</f>
        <v>PROFESIONAL</v>
      </c>
      <c r="DK225" s="478" t="str">
        <f>VLOOKUP(S225,Hoja1!$D$4:$F$77,3,0)</f>
        <v>TI</v>
      </c>
      <c r="DL225" s="1614" t="str">
        <f t="shared" si="400"/>
        <v>SI</v>
      </c>
      <c r="DM225" s="1743" t="str">
        <f t="shared" si="401"/>
        <v>F</v>
      </c>
      <c r="DN225" s="1743"/>
    </row>
    <row r="226" spans="1:118" s="478" customFormat="1" ht="21.95" customHeight="1">
      <c r="A226" s="510" t="s">
        <v>2846</v>
      </c>
      <c r="B226" s="1390">
        <f t="shared" ca="1" si="479"/>
        <v>184</v>
      </c>
      <c r="C226" s="1194">
        <v>18350884</v>
      </c>
      <c r="D226" s="1195" t="s">
        <v>6762</v>
      </c>
      <c r="E226" s="1180" t="s">
        <v>4622</v>
      </c>
      <c r="F226" s="1196">
        <v>32057</v>
      </c>
      <c r="G226" s="1180" t="s">
        <v>4620</v>
      </c>
      <c r="H226" s="1196">
        <v>45474</v>
      </c>
      <c r="I226" s="1185">
        <f t="shared" si="379"/>
        <v>0</v>
      </c>
      <c r="J226" s="1177">
        <v>0</v>
      </c>
      <c r="K226" s="1185">
        <f t="shared" si="380"/>
        <v>0</v>
      </c>
      <c r="L226" s="1191" t="s">
        <v>5551</v>
      </c>
      <c r="M226" s="1177"/>
      <c r="N226" s="1177"/>
      <c r="O226" s="1040" t="s">
        <v>5222</v>
      </c>
      <c r="P226" s="1197" t="s">
        <v>6763</v>
      </c>
      <c r="Q226" s="1391" t="str">
        <f>IFERROR(VLOOKUP(O226,CARGOS!A:E,2,0),"")</f>
        <v>79511</v>
      </c>
      <c r="R226" s="1403" t="s">
        <v>5222</v>
      </c>
      <c r="S226" s="1192" t="s">
        <v>5483</v>
      </c>
      <c r="T226" s="1150">
        <f>IFERROR(VLOOKUP(S226,'TAB EMP'!A:B,2,0),0)</f>
        <v>130</v>
      </c>
      <c r="U226" s="1151">
        <v>0</v>
      </c>
      <c r="V226" s="1150">
        <f t="shared" si="402"/>
        <v>130</v>
      </c>
      <c r="W226" s="1151">
        <f t="shared" si="403"/>
        <v>65</v>
      </c>
      <c r="X226" s="1180" t="s">
        <v>2884</v>
      </c>
      <c r="Y226" s="1180"/>
      <c r="Z226" s="1180">
        <v>1</v>
      </c>
      <c r="AA226" s="1150">
        <f>ROUND(IF(H226&lt;&gt;"",VLOOKUP(SUM(I226+J226),'CONCEPTOS Y PARAMETROS'!F:G,2,0)*V226,0),2)</f>
        <v>0</v>
      </c>
      <c r="AB226" s="1150">
        <f>IF(S226&lt;&gt;"",IF(M226="",'CONCEPTOS Y PARAMETROS'!$C$4,0),0)</f>
        <v>130</v>
      </c>
      <c r="AC226" s="1150">
        <f>IF(S226&lt;&gt;"",IF(M226="",'CONCEPTOS Y PARAMETROS'!$C$7*Z226,0),0)</f>
        <v>12.5</v>
      </c>
      <c r="AD226" s="1150">
        <f>IFERROR(ROUND(VLOOKUP($X226,'CONCEPTOS Y PARAMETROS'!H:I,2,0)*($V226+AA226+AB226+AC226),2),0)</f>
        <v>0</v>
      </c>
      <c r="AE226" s="1150">
        <f t="shared" si="376"/>
        <v>142.5</v>
      </c>
      <c r="AF226" s="1150">
        <f t="shared" si="404"/>
        <v>0</v>
      </c>
      <c r="AG226" s="1150">
        <f t="shared" si="405"/>
        <v>0</v>
      </c>
      <c r="AH226" s="1150">
        <f t="shared" si="406"/>
        <v>65</v>
      </c>
      <c r="AI226" s="1150">
        <f t="shared" si="407"/>
        <v>65</v>
      </c>
      <c r="AJ226" s="1150">
        <f t="shared" si="408"/>
        <v>0</v>
      </c>
      <c r="AK226" s="1150">
        <f t="shared" si="409"/>
        <v>0</v>
      </c>
      <c r="AL226" s="1151">
        <f t="shared" si="410"/>
        <v>77.5</v>
      </c>
      <c r="AM226" s="1151">
        <f t="shared" si="411"/>
        <v>65</v>
      </c>
      <c r="AN226" s="1583">
        <v>1</v>
      </c>
      <c r="AO226" s="1193">
        <f>'CONCEPTOS Y PARAMETROS'!$C$18*AN226</f>
        <v>12.5</v>
      </c>
      <c r="AP226" s="1028">
        <v>0</v>
      </c>
      <c r="AQ226" s="1193">
        <f>'CONCEPTOS Y PARAMETROS'!$C$21*AP226</f>
        <v>0</v>
      </c>
      <c r="AR226" s="1394">
        <v>0</v>
      </c>
      <c r="AS226" s="1394">
        <v>0</v>
      </c>
      <c r="AT226" s="1394">
        <f t="shared" si="480"/>
        <v>12.5</v>
      </c>
      <c r="AU226" s="1151">
        <f t="shared" si="412"/>
        <v>354.25</v>
      </c>
      <c r="AV226" s="1178" t="s">
        <v>5080</v>
      </c>
      <c r="AW226" s="1151">
        <f t="shared" si="499"/>
        <v>81.75</v>
      </c>
      <c r="AX226" s="1150">
        <f>IF(T226&lt;&gt;"0",(ROUND(IF(A226="EMPLEADO",eval_formula('CONCEPTOS Y PARAMETROS'!$C$8,NOMINA!V226,NOMINA!$AU226,NOMINA!I226+NOMINA!J226),eval_formula('CONCEPTOS Y PARAMETROS'!$D$8,NOMINA!V226,NOMINA!$AU226,NOMINA!I226+NOMINA!J226)),2))*IF(H226&lt;&gt;"",IF(MONTH(H226)=$BR$8,IF(YEAR(H226)&lt;$BT$7,1,0),0)))</f>
        <v>0</v>
      </c>
      <c r="AY226" s="1151">
        <v>90</v>
      </c>
      <c r="AZ226" s="1150">
        <f>IFERROR(VLOOKUP(AY226,'CONCEPTOS Y PARAMETROS'!Y:Z,2,0),0)</f>
        <v>75</v>
      </c>
      <c r="BA226" s="1150">
        <f t="shared" si="413"/>
        <v>1107.03</v>
      </c>
      <c r="BB226" s="1150">
        <f t="shared" si="381"/>
        <v>0</v>
      </c>
      <c r="BC226" s="1028">
        <v>0</v>
      </c>
      <c r="BD226" s="1150" t="str">
        <f t="shared" si="414"/>
        <v>0</v>
      </c>
      <c r="BE226" s="1028">
        <v>3</v>
      </c>
      <c r="BF226" s="1150">
        <f t="shared" si="556"/>
        <v>53.14</v>
      </c>
      <c r="BG226" s="1151">
        <v>300</v>
      </c>
      <c r="BH226" s="1151">
        <f t="shared" si="382"/>
        <v>0</v>
      </c>
      <c r="BI226" s="1180">
        <v>0</v>
      </c>
      <c r="BJ226" s="1180">
        <f t="shared" si="372"/>
        <v>0</v>
      </c>
      <c r="BK226" s="1151">
        <v>0</v>
      </c>
      <c r="BL226" s="1150">
        <f t="shared" si="630"/>
        <v>13.08</v>
      </c>
      <c r="BM226" s="1150">
        <f t="shared" si="631"/>
        <v>1.64</v>
      </c>
      <c r="BN226" s="1150">
        <f t="shared" si="632"/>
        <v>3.54</v>
      </c>
      <c r="BO226" s="1150">
        <v>0</v>
      </c>
      <c r="BP226" s="1150">
        <v>0</v>
      </c>
      <c r="BQ226" s="1396">
        <f t="shared" ref="BQ226" si="639">ROUND(SUM(BL226:BP226),2)</f>
        <v>18.260000000000002</v>
      </c>
      <c r="BR226" s="1150">
        <f t="shared" si="634"/>
        <v>29.43</v>
      </c>
      <c r="BS226" s="1150">
        <f t="shared" si="635"/>
        <v>6.54</v>
      </c>
      <c r="BT226" s="1150">
        <f t="shared" si="383"/>
        <v>7.08</v>
      </c>
      <c r="BU226" s="1150">
        <v>0</v>
      </c>
      <c r="BV226" s="1151">
        <f t="shared" si="374"/>
        <v>43.05</v>
      </c>
      <c r="BW226" s="1155">
        <f t="shared" si="375"/>
        <v>61.31</v>
      </c>
      <c r="BX226" s="1155">
        <f t="shared" ref="BX226:BX242" si="640">ROUND(BA226/4,2)</f>
        <v>276.76</v>
      </c>
      <c r="BY226" s="1151">
        <v>0</v>
      </c>
      <c r="BZ226" s="1151">
        <f t="shared" si="371"/>
        <v>276.76</v>
      </c>
      <c r="CA226" s="1397">
        <f>'CONCEPTOS Y PARAMETROS'!$A$102</f>
        <v>2120</v>
      </c>
      <c r="CB226" s="1155">
        <f t="shared" si="384"/>
        <v>124.24</v>
      </c>
      <c r="CC226" s="1156">
        <f t="shared" si="385"/>
        <v>577.39</v>
      </c>
      <c r="CD226" s="514"/>
      <c r="CE226" s="514"/>
      <c r="CF226" s="521"/>
      <c r="CG226" s="511">
        <f t="shared" si="386"/>
        <v>124.24</v>
      </c>
      <c r="CH226" s="1712">
        <f t="shared" si="387"/>
        <v>300</v>
      </c>
      <c r="CI226" s="511">
        <f t="shared" si="388"/>
        <v>430</v>
      </c>
      <c r="CJ226" s="511">
        <f t="shared" si="389"/>
        <v>430</v>
      </c>
      <c r="CK226" s="511">
        <f t="shared" si="390"/>
        <v>0</v>
      </c>
      <c r="CL226" s="511">
        <f t="shared" si="391"/>
        <v>0</v>
      </c>
      <c r="CM226" s="511">
        <f t="shared" si="392"/>
        <v>0</v>
      </c>
      <c r="CN226" s="512">
        <f t="shared" si="393"/>
        <v>53.14</v>
      </c>
      <c r="CO226" s="513">
        <v>0</v>
      </c>
      <c r="CP226" s="512">
        <f t="shared" si="394"/>
        <v>81.75</v>
      </c>
      <c r="CQ226" s="500">
        <f t="shared" si="395"/>
        <v>12.5</v>
      </c>
      <c r="CR226" s="512">
        <f t="shared" si="396"/>
        <v>0</v>
      </c>
      <c r="CS226" s="512">
        <f t="shared" si="397"/>
        <v>147.38999999999999</v>
      </c>
      <c r="CT226" s="512">
        <f t="shared" si="398"/>
        <v>61.31</v>
      </c>
      <c r="CU226" s="512">
        <f t="shared" si="399"/>
        <v>2120</v>
      </c>
      <c r="CV226" s="1556"/>
      <c r="CW226" s="1195" t="s">
        <v>7079</v>
      </c>
      <c r="CX226" s="1195" t="s">
        <v>7080</v>
      </c>
      <c r="CY226" s="514"/>
      <c r="CZ226" s="1199" t="s">
        <v>6764</v>
      </c>
      <c r="DA226" s="1199" t="s">
        <v>6173</v>
      </c>
      <c r="DB226" s="1199" t="s">
        <v>6291</v>
      </c>
      <c r="DC226" s="1199" t="s">
        <v>6779</v>
      </c>
      <c r="DD226" s="514"/>
      <c r="DE226" s="514"/>
      <c r="DF226" s="514"/>
      <c r="DG226" s="514"/>
      <c r="DH226" s="514"/>
      <c r="DJ226" s="478" t="str">
        <f>VLOOKUP(X226,Hoja1!$A$4:$B$10,2,0)</f>
        <v>BACHILLER</v>
      </c>
      <c r="DK226" s="478" t="str">
        <f>VLOOKUP(S226,Hoja1!$D$4:$F$77,3,0)</f>
        <v>BI</v>
      </c>
      <c r="DL226" s="1218" t="str">
        <f t="shared" si="400"/>
        <v>SI</v>
      </c>
      <c r="DM226" s="1743" t="str">
        <f t="shared" si="401"/>
        <v>F</v>
      </c>
      <c r="DN226" s="1743"/>
    </row>
    <row r="227" spans="1:118" s="1654" customFormat="1" ht="21.95" customHeight="1">
      <c r="A227" s="1624" t="s">
        <v>2846</v>
      </c>
      <c r="B227" s="1625">
        <f t="shared" ca="1" si="479"/>
        <v>185</v>
      </c>
      <c r="C227" s="1626">
        <v>18378985</v>
      </c>
      <c r="D227" s="1627" t="s">
        <v>4860</v>
      </c>
      <c r="E227" s="1628" t="s">
        <v>4622</v>
      </c>
      <c r="F227" s="1629">
        <v>32733</v>
      </c>
      <c r="G227" s="1628" t="s">
        <v>4620</v>
      </c>
      <c r="H227" s="1629">
        <v>43147</v>
      </c>
      <c r="I227" s="1630">
        <f t="shared" si="379"/>
        <v>6</v>
      </c>
      <c r="J227" s="1631">
        <v>0</v>
      </c>
      <c r="K227" s="1630">
        <f t="shared" si="380"/>
        <v>6</v>
      </c>
      <c r="L227" s="1632" t="s">
        <v>5538</v>
      </c>
      <c r="M227" s="1631"/>
      <c r="N227" s="1631"/>
      <c r="O227" s="1633" t="s">
        <v>7434</v>
      </c>
      <c r="P227" s="1631" t="s">
        <v>5416</v>
      </c>
      <c r="Q227" s="1634" t="str">
        <f>IFERROR(VLOOKUP(O227,CARGOS!A:E,2,0),"")</f>
        <v>23452</v>
      </c>
      <c r="R227" s="1635" t="s">
        <v>7434</v>
      </c>
      <c r="S227" s="1636" t="s">
        <v>5488</v>
      </c>
      <c r="T227" s="1637">
        <f>IFERROR(VLOOKUP(S227,'TAB EMP'!A:B,2,0),0)</f>
        <v>279</v>
      </c>
      <c r="U227" s="1638">
        <v>0</v>
      </c>
      <c r="V227" s="1637">
        <f t="shared" si="402"/>
        <v>279</v>
      </c>
      <c r="W227" s="1638">
        <f t="shared" si="403"/>
        <v>139.5</v>
      </c>
      <c r="X227" s="1628" t="s">
        <v>2885</v>
      </c>
      <c r="Y227" s="1628"/>
      <c r="Z227" s="1628">
        <v>1</v>
      </c>
      <c r="AA227" s="1637">
        <f>ROUND(IF(H227&lt;&gt;"",VLOOKUP(SUM(I227+J227),'CONCEPTOS Y PARAMETROS'!F:G,2,0)*V227,0),2)</f>
        <v>17.3</v>
      </c>
      <c r="AB227" s="1637">
        <f>IF(S227&lt;&gt;"",IF(M227="",'CONCEPTOS Y PARAMETROS'!$C$4,0),0)</f>
        <v>130</v>
      </c>
      <c r="AC227" s="1637">
        <f>IF(S227&lt;&gt;"",IF(M227="",'CONCEPTOS Y PARAMETROS'!$C$7*Z227,0),0)</f>
        <v>12.5</v>
      </c>
      <c r="AD227" s="1637">
        <f>IFERROR(ROUND(VLOOKUP($X227,'CONCEPTOS Y PARAMETROS'!H:I,2,0)*($V227+AA227+AB227+AC227),2),0)</f>
        <v>109.7</v>
      </c>
      <c r="AE227" s="1637">
        <f t="shared" si="376"/>
        <v>269.5</v>
      </c>
      <c r="AF227" s="1637">
        <f t="shared" si="404"/>
        <v>8.65</v>
      </c>
      <c r="AG227" s="1637">
        <f t="shared" si="405"/>
        <v>8.65</v>
      </c>
      <c r="AH227" s="1637">
        <f t="shared" si="406"/>
        <v>65</v>
      </c>
      <c r="AI227" s="1637">
        <f t="shared" si="407"/>
        <v>65</v>
      </c>
      <c r="AJ227" s="1637">
        <f t="shared" si="408"/>
        <v>54.85</v>
      </c>
      <c r="AK227" s="1637">
        <f t="shared" si="409"/>
        <v>54.85</v>
      </c>
      <c r="AL227" s="1638">
        <f t="shared" si="410"/>
        <v>141</v>
      </c>
      <c r="AM227" s="1638">
        <f t="shared" si="411"/>
        <v>128.5</v>
      </c>
      <c r="AN227" s="1639">
        <v>1</v>
      </c>
      <c r="AO227" s="1640">
        <f>'CONCEPTOS Y PARAMETROS'!$C$18*AN227</f>
        <v>12.5</v>
      </c>
      <c r="AP227" s="1639">
        <v>0</v>
      </c>
      <c r="AQ227" s="1640">
        <f>'CONCEPTOS Y PARAMETROS'!$C$21*AP227</f>
        <v>0</v>
      </c>
      <c r="AR227" s="1641">
        <v>0</v>
      </c>
      <c r="AS227" s="1641">
        <v>0</v>
      </c>
      <c r="AT227" s="1641">
        <f t="shared" si="480"/>
        <v>12.5</v>
      </c>
      <c r="AU227" s="1638">
        <f t="shared" si="412"/>
        <v>548.5</v>
      </c>
      <c r="AV227" s="1642">
        <v>0</v>
      </c>
      <c r="AW227" s="1638">
        <f t="shared" si="499"/>
        <v>0</v>
      </c>
      <c r="AX227" s="1637">
        <f>IF(T227&lt;&gt;"0",(ROUND(IF(A227="EMPLEADO",eval_formula('CONCEPTOS Y PARAMETROS'!$C$8,NOMINA!V227,NOMINA!$AU227,NOMINA!I227+NOMINA!J227),eval_formula('CONCEPTOS Y PARAMETROS'!$D$8,NOMINA!V227,NOMINA!$AU227,NOMINA!I227+NOMINA!J227)),2))*IF(H227&lt;&gt;"",IF(MONTH(H227)=$BR$8,IF(YEAR(H227)&lt;$BT$7,1,0),0)))</f>
        <v>0</v>
      </c>
      <c r="AY227" s="1638">
        <v>180</v>
      </c>
      <c r="AZ227" s="1637">
        <f>IFERROR(VLOOKUP(AY227,'CONCEPTOS Y PARAMETROS'!Y:Z,2,0),0)</f>
        <v>150</v>
      </c>
      <c r="BA227" s="1637">
        <f t="shared" si="413"/>
        <v>4113.75</v>
      </c>
      <c r="BB227" s="1637">
        <f t="shared" si="381"/>
        <v>0</v>
      </c>
      <c r="BC227" s="1639">
        <v>0</v>
      </c>
      <c r="BD227" s="1637" t="str">
        <f t="shared" si="414"/>
        <v>0</v>
      </c>
      <c r="BE227" s="1639">
        <v>0</v>
      </c>
      <c r="BF227" s="1637">
        <f t="shared" si="556"/>
        <v>0</v>
      </c>
      <c r="BG227" s="1638">
        <v>300</v>
      </c>
      <c r="BH227" s="1638">
        <f t="shared" si="382"/>
        <v>0</v>
      </c>
      <c r="BI227" s="1628">
        <v>0</v>
      </c>
      <c r="BJ227" s="1628">
        <f t="shared" si="372"/>
        <v>0</v>
      </c>
      <c r="BK227" s="1638">
        <v>0</v>
      </c>
      <c r="BL227" s="1637">
        <f t="shared" si="630"/>
        <v>20.25</v>
      </c>
      <c r="BM227" s="1637">
        <f t="shared" si="631"/>
        <v>2.5299999999999998</v>
      </c>
      <c r="BN227" s="1637">
        <f t="shared" si="632"/>
        <v>5.49</v>
      </c>
      <c r="BO227" s="1637">
        <v>0</v>
      </c>
      <c r="BP227" s="1637">
        <v>0</v>
      </c>
      <c r="BQ227" s="1643">
        <f t="shared" si="373"/>
        <v>28.27</v>
      </c>
      <c r="BR227" s="1637">
        <f t="shared" si="634"/>
        <v>45.57</v>
      </c>
      <c r="BS227" s="1637">
        <f t="shared" si="635"/>
        <v>10.130000000000001</v>
      </c>
      <c r="BT227" s="1637">
        <f t="shared" si="383"/>
        <v>10.98</v>
      </c>
      <c r="BU227" s="1637">
        <v>0</v>
      </c>
      <c r="BV227" s="1638">
        <f t="shared" si="374"/>
        <v>66.680000000000007</v>
      </c>
      <c r="BW227" s="1644">
        <f t="shared" si="375"/>
        <v>94.95</v>
      </c>
      <c r="BX227" s="1644">
        <f t="shared" si="640"/>
        <v>1028.44</v>
      </c>
      <c r="BY227" s="1638">
        <v>0</v>
      </c>
      <c r="BZ227" s="1638">
        <f t="shared" si="371"/>
        <v>1028.44</v>
      </c>
      <c r="CA227" s="1645">
        <f>'CONCEPTOS Y PARAMETROS'!$A$102</f>
        <v>2120</v>
      </c>
      <c r="CB227" s="1644">
        <f t="shared" si="384"/>
        <v>252.23</v>
      </c>
      <c r="CC227" s="1646">
        <f t="shared" si="385"/>
        <v>580.5</v>
      </c>
      <c r="CD227" s="1647"/>
      <c r="CE227" s="1647"/>
      <c r="CF227" s="1648"/>
      <c r="CG227" s="1649">
        <f t="shared" si="386"/>
        <v>252.23</v>
      </c>
      <c r="CH227" s="1713">
        <f t="shared" si="387"/>
        <v>300</v>
      </c>
      <c r="CI227" s="1649">
        <f t="shared" si="388"/>
        <v>568</v>
      </c>
      <c r="CJ227" s="1649">
        <f t="shared" si="389"/>
        <v>272.64</v>
      </c>
      <c r="CK227" s="1649">
        <f t="shared" si="390"/>
        <v>295.36</v>
      </c>
      <c r="CL227" s="1649">
        <f t="shared" si="391"/>
        <v>0</v>
      </c>
      <c r="CM227" s="1649">
        <f t="shared" si="392"/>
        <v>0</v>
      </c>
      <c r="CN227" s="1650">
        <f t="shared" si="393"/>
        <v>0</v>
      </c>
      <c r="CO227" s="1651">
        <v>0</v>
      </c>
      <c r="CP227" s="1650">
        <f t="shared" si="394"/>
        <v>0</v>
      </c>
      <c r="CQ227" s="1652">
        <f t="shared" si="395"/>
        <v>12.5</v>
      </c>
      <c r="CR227" s="1650">
        <f t="shared" si="396"/>
        <v>0</v>
      </c>
      <c r="CS227" s="1650">
        <f t="shared" si="397"/>
        <v>12.5</v>
      </c>
      <c r="CT227" s="1650">
        <f t="shared" si="398"/>
        <v>94.95</v>
      </c>
      <c r="CU227" s="1650">
        <f t="shared" si="399"/>
        <v>2120</v>
      </c>
      <c r="CV227" s="1653"/>
      <c r="CW227" s="1627" t="s">
        <v>7081</v>
      </c>
      <c r="CX227" s="1627" t="s">
        <v>7082</v>
      </c>
      <c r="CY227" s="1647"/>
      <c r="CZ227" s="1647" t="s">
        <v>6451</v>
      </c>
      <c r="DA227" s="1647" t="s">
        <v>6173</v>
      </c>
      <c r="DB227" s="1657" t="s">
        <v>6291</v>
      </c>
      <c r="DC227" s="1647" t="s">
        <v>6452</v>
      </c>
      <c r="DD227" s="1647"/>
      <c r="DE227" s="1647"/>
      <c r="DF227" s="1647"/>
      <c r="DG227" s="1647"/>
      <c r="DH227" s="1647"/>
      <c r="DJ227" s="1654" t="str">
        <f>VLOOKUP(X227,Hoja1!$A$4:$B$10,2,0)</f>
        <v>PROFESIONAL</v>
      </c>
      <c r="DK227" s="1654" t="str">
        <f>VLOOKUP(S227,Hoja1!$D$4:$F$77,3,0)</f>
        <v>PII - III</v>
      </c>
      <c r="DL227" s="1663" t="str">
        <f t="shared" si="400"/>
        <v>0</v>
      </c>
      <c r="DM227" s="1742" t="str">
        <f t="shared" si="401"/>
        <v>F</v>
      </c>
      <c r="DN227" s="1742"/>
    </row>
    <row r="228" spans="1:118" s="1654" customFormat="1" ht="21.95" customHeight="1">
      <c r="A228" s="1624" t="s">
        <v>2846</v>
      </c>
      <c r="B228" s="1625">
        <f t="shared" ca="1" si="479"/>
        <v>186</v>
      </c>
      <c r="C228" s="1626">
        <v>18456345</v>
      </c>
      <c r="D228" s="1627" t="s">
        <v>4861</v>
      </c>
      <c r="E228" s="1628" t="s">
        <v>4622</v>
      </c>
      <c r="F228" s="1629">
        <v>32274</v>
      </c>
      <c r="G228" s="1628" t="s">
        <v>4621</v>
      </c>
      <c r="H228" s="1629">
        <v>44774</v>
      </c>
      <c r="I228" s="1630">
        <f t="shared" si="379"/>
        <v>2</v>
      </c>
      <c r="J228" s="1631">
        <v>0</v>
      </c>
      <c r="K228" s="1630">
        <f t="shared" si="380"/>
        <v>2</v>
      </c>
      <c r="L228" s="1632" t="s">
        <v>5538</v>
      </c>
      <c r="M228" s="1631"/>
      <c r="N228" s="1631"/>
      <c r="O228" s="1633" t="s">
        <v>1010</v>
      </c>
      <c r="P228" s="1631" t="s">
        <v>5417</v>
      </c>
      <c r="Q228" s="1634" t="str">
        <f>IFERROR(VLOOKUP(O228,CARGOS!A:E,2,0),"")</f>
        <v>23471</v>
      </c>
      <c r="R228" s="1635" t="s">
        <v>5244</v>
      </c>
      <c r="S228" s="1636" t="s">
        <v>5469</v>
      </c>
      <c r="T228" s="1637">
        <f>IFERROR(VLOOKUP(S228,'TAB EMP'!A:B,2,0),0)</f>
        <v>246</v>
      </c>
      <c r="U228" s="1638">
        <v>0</v>
      </c>
      <c r="V228" s="1637">
        <f t="shared" si="402"/>
        <v>246</v>
      </c>
      <c r="W228" s="1638">
        <f t="shared" si="403"/>
        <v>123</v>
      </c>
      <c r="X228" s="1628" t="s">
        <v>2885</v>
      </c>
      <c r="Y228" s="1628"/>
      <c r="Z228" s="1628">
        <v>0</v>
      </c>
      <c r="AA228" s="1637">
        <f>ROUND(IF(H228&lt;&gt;"",VLOOKUP(SUM(I228+J228),'CONCEPTOS Y PARAMETROS'!F:G,2,0)*V228,0),2)</f>
        <v>4.92</v>
      </c>
      <c r="AB228" s="1637">
        <f>IF(S228&lt;&gt;"",IF(M228="",'CONCEPTOS Y PARAMETROS'!$C$4,0),0)</f>
        <v>130</v>
      </c>
      <c r="AC228" s="1637">
        <f>IF(S228&lt;&gt;"",IF(M228="",'CONCEPTOS Y PARAMETROS'!$C$7*Z228,0),0)</f>
        <v>0</v>
      </c>
      <c r="AD228" s="1637">
        <f>IFERROR(ROUND(VLOOKUP($X228,'CONCEPTOS Y PARAMETROS'!H:I,2,0)*($V228+AA228+AB228+AC228),2),0)</f>
        <v>95.23</v>
      </c>
      <c r="AE228" s="1637">
        <f t="shared" si="376"/>
        <v>230.14999999999998</v>
      </c>
      <c r="AF228" s="1637">
        <f t="shared" si="404"/>
        <v>2.46</v>
      </c>
      <c r="AG228" s="1637">
        <f t="shared" si="405"/>
        <v>2.46</v>
      </c>
      <c r="AH228" s="1637">
        <f t="shared" si="406"/>
        <v>65</v>
      </c>
      <c r="AI228" s="1637">
        <f t="shared" si="407"/>
        <v>65</v>
      </c>
      <c r="AJ228" s="1637">
        <f t="shared" si="408"/>
        <v>47.62</v>
      </c>
      <c r="AK228" s="1637">
        <f t="shared" si="409"/>
        <v>47.61</v>
      </c>
      <c r="AL228" s="1638">
        <f t="shared" si="410"/>
        <v>115.08</v>
      </c>
      <c r="AM228" s="1638">
        <f t="shared" si="411"/>
        <v>115.07</v>
      </c>
      <c r="AN228" s="1639">
        <v>0</v>
      </c>
      <c r="AO228" s="1640">
        <f>'CONCEPTOS Y PARAMETROS'!$C$18*AN228</f>
        <v>0</v>
      </c>
      <c r="AP228" s="1639">
        <v>0</v>
      </c>
      <c r="AQ228" s="1640">
        <f>'CONCEPTOS Y PARAMETROS'!$C$21*AP228</f>
        <v>0</v>
      </c>
      <c r="AR228" s="1641">
        <v>0</v>
      </c>
      <c r="AS228" s="1641">
        <v>0</v>
      </c>
      <c r="AT228" s="1641">
        <f t="shared" si="480"/>
        <v>0</v>
      </c>
      <c r="AU228" s="1638">
        <f t="shared" si="412"/>
        <v>476.15</v>
      </c>
      <c r="AV228" s="1642">
        <v>0</v>
      </c>
      <c r="AW228" s="1638">
        <f t="shared" si="499"/>
        <v>0</v>
      </c>
      <c r="AX228" s="1637">
        <f>IF(T228&lt;&gt;"0",(ROUND(IF(A228="EMPLEADO",eval_formula('CONCEPTOS Y PARAMETROS'!$C$8,NOMINA!V228,NOMINA!$AU228,NOMINA!I228+NOMINA!J228),eval_formula('CONCEPTOS Y PARAMETROS'!$D$8,NOMINA!V228,NOMINA!$AU228,NOMINA!I228+NOMINA!J228)),2))*IF(H228&lt;&gt;"",IF(MONTH(H228)=$BR$8,IF(YEAR(H228)&lt;$BT$7,1,0),0)))</f>
        <v>0</v>
      </c>
      <c r="AY228" s="1638">
        <v>180</v>
      </c>
      <c r="AZ228" s="1637">
        <f>IFERROR(VLOOKUP(AY228,'CONCEPTOS Y PARAMETROS'!Y:Z,2,0),0)</f>
        <v>150</v>
      </c>
      <c r="BA228" s="1637">
        <f t="shared" si="413"/>
        <v>3571.13</v>
      </c>
      <c r="BB228" s="1637">
        <f t="shared" si="381"/>
        <v>0</v>
      </c>
      <c r="BC228" s="1639">
        <v>0</v>
      </c>
      <c r="BD228" s="1637" t="str">
        <f t="shared" si="414"/>
        <v>0</v>
      </c>
      <c r="BE228" s="1639">
        <v>0</v>
      </c>
      <c r="BF228" s="1637">
        <f t="shared" si="556"/>
        <v>0</v>
      </c>
      <c r="BG228" s="1638">
        <v>300</v>
      </c>
      <c r="BH228" s="1638">
        <f t="shared" si="382"/>
        <v>0</v>
      </c>
      <c r="BI228" s="1628">
        <v>0</v>
      </c>
      <c r="BJ228" s="1628">
        <f t="shared" si="372"/>
        <v>0</v>
      </c>
      <c r="BK228" s="1638">
        <v>0</v>
      </c>
      <c r="BL228" s="1637">
        <f t="shared" si="630"/>
        <v>17.579999999999998</v>
      </c>
      <c r="BM228" s="1637">
        <f t="shared" si="631"/>
        <v>2.2000000000000002</v>
      </c>
      <c r="BN228" s="1637">
        <f t="shared" si="632"/>
        <v>4.76</v>
      </c>
      <c r="BO228" s="1637">
        <v>0</v>
      </c>
      <c r="BP228" s="1637">
        <v>0</v>
      </c>
      <c r="BQ228" s="1643">
        <f t="shared" si="373"/>
        <v>24.54</v>
      </c>
      <c r="BR228" s="1637">
        <f t="shared" si="634"/>
        <v>39.56</v>
      </c>
      <c r="BS228" s="1637">
        <f t="shared" si="635"/>
        <v>8.7899999999999991</v>
      </c>
      <c r="BT228" s="1637">
        <f t="shared" si="383"/>
        <v>9.52</v>
      </c>
      <c r="BU228" s="1637">
        <v>0</v>
      </c>
      <c r="BV228" s="1638">
        <f t="shared" si="374"/>
        <v>57.87</v>
      </c>
      <c r="BW228" s="1644">
        <f t="shared" si="375"/>
        <v>82.41</v>
      </c>
      <c r="BX228" s="1644">
        <f t="shared" si="640"/>
        <v>892.78</v>
      </c>
      <c r="BY228" s="1638">
        <v>0</v>
      </c>
      <c r="BZ228" s="1638">
        <f t="shared" si="371"/>
        <v>892.78</v>
      </c>
      <c r="CA228" s="1645">
        <f>'CONCEPTOS Y PARAMETROS'!$A$102</f>
        <v>2120</v>
      </c>
      <c r="CB228" s="1644">
        <f t="shared" si="384"/>
        <v>213.54</v>
      </c>
      <c r="CC228" s="1646">
        <f t="shared" si="385"/>
        <v>538.07000000000005</v>
      </c>
      <c r="CD228" s="1647"/>
      <c r="CE228" s="1647"/>
      <c r="CF228" s="1648"/>
      <c r="CG228" s="1649">
        <f t="shared" si="386"/>
        <v>213.54</v>
      </c>
      <c r="CH228" s="1713">
        <f t="shared" si="387"/>
        <v>300</v>
      </c>
      <c r="CI228" s="1649">
        <f t="shared" si="388"/>
        <v>538.06999999999994</v>
      </c>
      <c r="CJ228" s="1649">
        <f t="shared" si="389"/>
        <v>538.07000000000005</v>
      </c>
      <c r="CK228" s="1649">
        <f t="shared" si="390"/>
        <v>0</v>
      </c>
      <c r="CL228" s="1649">
        <f t="shared" si="391"/>
        <v>0</v>
      </c>
      <c r="CM228" s="1649">
        <f t="shared" si="392"/>
        <v>0</v>
      </c>
      <c r="CN228" s="1650">
        <f t="shared" si="393"/>
        <v>0</v>
      </c>
      <c r="CO228" s="1651">
        <v>0</v>
      </c>
      <c r="CP228" s="1650">
        <f t="shared" si="394"/>
        <v>0</v>
      </c>
      <c r="CQ228" s="1652">
        <f t="shared" si="395"/>
        <v>0</v>
      </c>
      <c r="CR228" s="1650">
        <f t="shared" si="396"/>
        <v>0</v>
      </c>
      <c r="CS228" s="1650">
        <f t="shared" si="397"/>
        <v>0</v>
      </c>
      <c r="CT228" s="1650">
        <f t="shared" si="398"/>
        <v>82.41</v>
      </c>
      <c r="CU228" s="1650">
        <f t="shared" si="399"/>
        <v>2120</v>
      </c>
      <c r="CV228" s="1653"/>
      <c r="CW228" s="1627" t="s">
        <v>7083</v>
      </c>
      <c r="CX228" s="1627" t="s">
        <v>7084</v>
      </c>
      <c r="CY228" s="1647"/>
      <c r="CZ228" s="1647" t="s">
        <v>6463</v>
      </c>
      <c r="DA228" s="1657" t="s">
        <v>6181</v>
      </c>
      <c r="DB228" s="1647" t="s">
        <v>6180</v>
      </c>
      <c r="DC228" s="1647" t="s">
        <v>6458</v>
      </c>
      <c r="DD228" s="1647"/>
      <c r="DE228" s="1647"/>
      <c r="DF228" s="1647"/>
      <c r="DG228" s="1647"/>
      <c r="DH228" s="1647"/>
      <c r="DJ228" s="1654" t="str">
        <f>VLOOKUP(X228,Hoja1!$A$4:$B$10,2,0)</f>
        <v>PROFESIONAL</v>
      </c>
      <c r="DK228" s="1654" t="str">
        <f>VLOOKUP(S228,Hoja1!$D$4:$F$77,3,0)</f>
        <v>PI</v>
      </c>
      <c r="DL228" s="1663" t="str">
        <f t="shared" si="400"/>
        <v>0</v>
      </c>
      <c r="DM228" s="1742" t="str">
        <f t="shared" si="401"/>
        <v>M</v>
      </c>
      <c r="DN228" s="1742"/>
    </row>
    <row r="229" spans="1:118" s="930" customFormat="1" ht="21.95" customHeight="1">
      <c r="A229" s="929" t="s">
        <v>2846</v>
      </c>
      <c r="B229" s="1404">
        <f ca="1">OFFSET(B229,-1,0)+1</f>
        <v>187</v>
      </c>
      <c r="C229" s="1405">
        <v>18457406</v>
      </c>
      <c r="D229" s="1627" t="s">
        <v>4676</v>
      </c>
      <c r="E229" s="1407" t="s">
        <v>4622</v>
      </c>
      <c r="F229" s="1408">
        <v>32354</v>
      </c>
      <c r="G229" s="1407" t="s">
        <v>4621</v>
      </c>
      <c r="H229" s="1408">
        <v>41548</v>
      </c>
      <c r="I229" s="1409">
        <f t="shared" si="379"/>
        <v>11</v>
      </c>
      <c r="J229" s="1410">
        <v>0</v>
      </c>
      <c r="K229" s="1409">
        <f t="shared" si="380"/>
        <v>11</v>
      </c>
      <c r="L229" s="1411" t="s">
        <v>5538</v>
      </c>
      <c r="M229" s="1410"/>
      <c r="N229" s="1410"/>
      <c r="O229" s="1412" t="s">
        <v>7436</v>
      </c>
      <c r="P229" s="1410" t="s">
        <v>5196</v>
      </c>
      <c r="Q229" s="1413" t="str">
        <f>IFERROR(VLOOKUP(O229,CARGOS!A:E,2,0),"")</f>
        <v>41154</v>
      </c>
      <c r="R229" s="1412" t="s">
        <v>7436</v>
      </c>
      <c r="S229" s="1414" t="s">
        <v>5486</v>
      </c>
      <c r="T229" s="1415">
        <v>0</v>
      </c>
      <c r="U229" s="1382">
        <v>0</v>
      </c>
      <c r="V229" s="1415">
        <f>T229-U229</f>
        <v>0</v>
      </c>
      <c r="W229" s="1382">
        <f>ROUND(V229/2,2)</f>
        <v>0</v>
      </c>
      <c r="X229" s="1407" t="s">
        <v>2885</v>
      </c>
      <c r="Y229" s="1407"/>
      <c r="Z229" s="1407">
        <v>0</v>
      </c>
      <c r="AA229" s="1415">
        <f>ROUND(IF(H229&lt;&gt;"",VLOOKUP(SUM(I229+J229),'CONCEPTOS Y PARAMETROS'!F:G,2,0)*V229,0),2)</f>
        <v>0</v>
      </c>
      <c r="AB229" s="1415">
        <v>0</v>
      </c>
      <c r="AC229" s="1415">
        <v>0</v>
      </c>
      <c r="AD229" s="1415">
        <f>IFERROR(ROUND(VLOOKUP($X229,'CONCEPTOS Y PARAMETROS'!H:I,2,0)*($V229+AA229+AB229+AC229),2),0)</f>
        <v>0</v>
      </c>
      <c r="AE229" s="1415">
        <f>SUM(AA229:AD229)</f>
        <v>0</v>
      </c>
      <c r="AF229" s="1415">
        <f>ROUND(AA229/2,2)</f>
        <v>0</v>
      </c>
      <c r="AG229" s="1415">
        <f>ROUND(AA229-AF229,2)</f>
        <v>0</v>
      </c>
      <c r="AH229" s="1415">
        <f>ROUND(AB229/2,2)</f>
        <v>0</v>
      </c>
      <c r="AI229" s="1415">
        <f>ROUND(AB229-AH229,2)</f>
        <v>0</v>
      </c>
      <c r="AJ229" s="1415">
        <f>ROUND(AD229/2,2)</f>
        <v>0</v>
      </c>
      <c r="AK229" s="1415">
        <f>ROUND(AD229-AJ229,2)</f>
        <v>0</v>
      </c>
      <c r="AL229" s="1382">
        <f>ROUND(AF229+AH229+AJ229+AC229,2)</f>
        <v>0</v>
      </c>
      <c r="AM229" s="1382">
        <f>ROUND(AG229+AI229+AK229,2)</f>
        <v>0</v>
      </c>
      <c r="AN229" s="1416">
        <v>0</v>
      </c>
      <c r="AO229" s="1417">
        <v>0</v>
      </c>
      <c r="AP229" s="1416">
        <v>0</v>
      </c>
      <c r="AQ229" s="1417">
        <f>'CONCEPTOS Y PARAMETROS'!$C$21*AP229</f>
        <v>0</v>
      </c>
      <c r="AR229" s="1418">
        <v>0</v>
      </c>
      <c r="AS229" s="1418">
        <v>0</v>
      </c>
      <c r="AT229" s="1418">
        <f>+AO229+AQ229+AR229+AS229</f>
        <v>0</v>
      </c>
      <c r="AU229" s="1382">
        <f>V229+AE229+AW229</f>
        <v>0</v>
      </c>
      <c r="AV229" s="1419">
        <v>0</v>
      </c>
      <c r="AW229" s="1382">
        <f>ROUND(IF(O229="VIGILANTE",(V229+AE229)*30%,0),2)</f>
        <v>0</v>
      </c>
      <c r="AX229" s="1415">
        <f>IF(T229&lt;&gt;"0",(ROUND(IF(A229="EMPLEADO",eval_formula('CONCEPTOS Y PARAMETROS'!$C$8,NOMINA!V229,NOMINA!$AU229,NOMINA!I229+NOMINA!J229),eval_formula('CONCEPTOS Y PARAMETROS'!$D$8,NOMINA!V229,NOMINA!$AU229,NOMINA!I229+NOMINA!J229)),2))*IF(H229&lt;&gt;"",IF(MONTH(H229)=$BR$8,IF(YEAR(H229)&lt;$BT$7,1,0),0)))</f>
        <v>0</v>
      </c>
      <c r="AY229" s="1382">
        <v>180</v>
      </c>
      <c r="AZ229" s="1415">
        <f>IFERROR(VLOOKUP(AY229,'CONCEPTOS Y PARAMETROS'!Y:Z,2,0),0)</f>
        <v>150</v>
      </c>
      <c r="BA229" s="1415">
        <f>ROUND((((AU229))/30*AY229/12+(AU229))/30*AZ229,2)</f>
        <v>0</v>
      </c>
      <c r="BB229" s="1415">
        <f t="shared" si="381"/>
        <v>0</v>
      </c>
      <c r="BC229" s="1416">
        <v>0</v>
      </c>
      <c r="BD229" s="1415" t="str">
        <f>IF(BC229&gt;0,((((((V229+AA229+AB229+AC229+AD229)/30)/8)*50%)+((((V229+AA229+AB229+AC229+AD229)/30)/8)))*30%+(((((V229+AA229+AB229+AC229+AD229)/30)/8)*50%)+((((V229+AA229+AB229+AC229+AD229)/30)/8))))*BC229,"0")</f>
        <v>0</v>
      </c>
      <c r="BE229" s="1416">
        <v>0</v>
      </c>
      <c r="BF229" s="1415">
        <f t="shared" si="556"/>
        <v>0</v>
      </c>
      <c r="BG229" s="1382">
        <v>0</v>
      </c>
      <c r="BH229" s="1382">
        <f t="shared" si="382"/>
        <v>0</v>
      </c>
      <c r="BI229" s="1382">
        <v>0</v>
      </c>
      <c r="BJ229" s="1382">
        <f t="shared" si="372"/>
        <v>0</v>
      </c>
      <c r="BK229" s="1382">
        <v>0</v>
      </c>
      <c r="BL229" s="1415">
        <f t="shared" si="630"/>
        <v>0</v>
      </c>
      <c r="BM229" s="1415">
        <f t="shared" si="631"/>
        <v>0</v>
      </c>
      <c r="BN229" s="1415">
        <f t="shared" si="632"/>
        <v>0</v>
      </c>
      <c r="BO229" s="1415">
        <v>0</v>
      </c>
      <c r="BP229" s="1415">
        <v>0</v>
      </c>
      <c r="BQ229" s="1420">
        <f>ROUND(SUM(BL229:BP229),2)</f>
        <v>0</v>
      </c>
      <c r="BR229" s="1415">
        <f t="shared" si="634"/>
        <v>0</v>
      </c>
      <c r="BS229" s="1415">
        <f t="shared" si="635"/>
        <v>0</v>
      </c>
      <c r="BT229" s="1415">
        <f t="shared" si="383"/>
        <v>0</v>
      </c>
      <c r="BU229" s="1415">
        <v>0</v>
      </c>
      <c r="BV229" s="1382">
        <f>ROUND(SUM(BR229:BT229),2)</f>
        <v>0</v>
      </c>
      <c r="BW229" s="1379">
        <f>BQ229+BV229</f>
        <v>0</v>
      </c>
      <c r="BX229" s="1379">
        <f t="shared" si="640"/>
        <v>0</v>
      </c>
      <c r="BY229" s="1382">
        <v>0</v>
      </c>
      <c r="BZ229" s="1382">
        <f t="shared" ref="BZ229:BZ296" si="641">+BX229+BY229</f>
        <v>0</v>
      </c>
      <c r="CA229" s="1421">
        <v>0</v>
      </c>
      <c r="CB229" s="1379">
        <f t="shared" si="384"/>
        <v>0</v>
      </c>
      <c r="CC229" s="1422">
        <f t="shared" si="385"/>
        <v>0</v>
      </c>
      <c r="CD229" s="514"/>
      <c r="CE229" s="514"/>
      <c r="CG229" s="931">
        <f t="shared" si="386"/>
        <v>0</v>
      </c>
      <c r="CH229" s="1714">
        <f t="shared" si="387"/>
        <v>0</v>
      </c>
      <c r="CI229" s="931">
        <f t="shared" si="388"/>
        <v>0</v>
      </c>
      <c r="CJ229" s="931">
        <f t="shared" si="389"/>
        <v>0</v>
      </c>
      <c r="CK229" s="931">
        <f t="shared" si="390"/>
        <v>0</v>
      </c>
      <c r="CL229" s="931">
        <f t="shared" si="391"/>
        <v>0</v>
      </c>
      <c r="CM229" s="931">
        <f t="shared" si="392"/>
        <v>0</v>
      </c>
      <c r="CN229" s="932">
        <f t="shared" si="393"/>
        <v>0</v>
      </c>
      <c r="CO229" s="933">
        <v>0</v>
      </c>
      <c r="CP229" s="932">
        <f t="shared" si="394"/>
        <v>0</v>
      </c>
      <c r="CQ229" s="934">
        <f t="shared" si="395"/>
        <v>0</v>
      </c>
      <c r="CR229" s="932">
        <f t="shared" si="396"/>
        <v>0</v>
      </c>
      <c r="CS229" s="932">
        <f t="shared" si="397"/>
        <v>0</v>
      </c>
      <c r="CT229" s="932">
        <f t="shared" si="398"/>
        <v>0</v>
      </c>
      <c r="CU229" s="932">
        <f t="shared" si="399"/>
        <v>0</v>
      </c>
      <c r="CV229" s="1557"/>
      <c r="CW229" s="1406" t="s">
        <v>6937</v>
      </c>
      <c r="CX229" s="1406" t="s">
        <v>7086</v>
      </c>
      <c r="CY229" s="935"/>
      <c r="CZ229" s="478"/>
      <c r="DA229" s="478"/>
      <c r="DB229" s="478"/>
      <c r="DC229" s="478"/>
      <c r="DD229" s="514"/>
      <c r="DE229" s="514"/>
      <c r="DF229" s="935"/>
      <c r="DG229" s="935"/>
      <c r="DH229" s="935"/>
      <c r="DJ229" s="930" t="str">
        <f>VLOOKUP(X229,Hoja1!$A$4:$B$10,2,0)</f>
        <v>PROFESIONAL</v>
      </c>
      <c r="DK229" s="930" t="str">
        <f>VLOOKUP(S229,Hoja1!$D$4:$F$77,3,0)</f>
        <v>PII - IV</v>
      </c>
      <c r="DL229" s="1217" t="str">
        <f t="shared" si="400"/>
        <v>0</v>
      </c>
      <c r="DM229" s="1745" t="str">
        <f t="shared" si="401"/>
        <v>M</v>
      </c>
      <c r="DN229" s="1745"/>
    </row>
    <row r="230" spans="1:118" s="478" customFormat="1" ht="21.95" customHeight="1">
      <c r="A230" s="510" t="s">
        <v>2846</v>
      </c>
      <c r="B230" s="1390">
        <f t="shared" ca="1" si="479"/>
        <v>188</v>
      </c>
      <c r="C230" s="1194">
        <v>18458012</v>
      </c>
      <c r="D230" s="1195" t="s">
        <v>4863</v>
      </c>
      <c r="E230" s="1180" t="s">
        <v>4622</v>
      </c>
      <c r="F230" s="1196">
        <v>32062</v>
      </c>
      <c r="G230" s="1180" t="s">
        <v>4620</v>
      </c>
      <c r="H230" s="1196">
        <v>44636</v>
      </c>
      <c r="I230" s="1185">
        <f t="shared" si="379"/>
        <v>2</v>
      </c>
      <c r="J230" s="1177">
        <v>0</v>
      </c>
      <c r="K230" s="1185">
        <f t="shared" si="380"/>
        <v>2</v>
      </c>
      <c r="L230" s="1191" t="s">
        <v>5538</v>
      </c>
      <c r="M230" s="1177"/>
      <c r="N230" s="1177"/>
      <c r="O230" s="1040" t="s">
        <v>5219</v>
      </c>
      <c r="P230" s="1177" t="s">
        <v>5419</v>
      </c>
      <c r="Q230" s="1391" t="str">
        <f>IFERROR(VLOOKUP(O230,CARGOS!A:E,2,0),"")</f>
        <v>12113</v>
      </c>
      <c r="R230" s="1403" t="s">
        <v>5219</v>
      </c>
      <c r="S230" s="1192" t="s">
        <v>5475</v>
      </c>
      <c r="T230" s="1150">
        <f>IFERROR(VLOOKUP(S230,'TAB EMP'!A:B,2,0),0)</f>
        <v>192</v>
      </c>
      <c r="U230" s="1151">
        <v>0</v>
      </c>
      <c r="V230" s="1150">
        <f t="shared" si="402"/>
        <v>192</v>
      </c>
      <c r="W230" s="1151">
        <f t="shared" si="403"/>
        <v>96</v>
      </c>
      <c r="X230" s="1180" t="s">
        <v>2844</v>
      </c>
      <c r="Y230" s="1180"/>
      <c r="Z230" s="1180">
        <v>2</v>
      </c>
      <c r="AA230" s="1150">
        <f>ROUND(IF(H230&lt;&gt;"",VLOOKUP(SUM(I230+J230),'CONCEPTOS Y PARAMETROS'!F:G,2,0)*V230,0),2)</f>
        <v>3.84</v>
      </c>
      <c r="AB230" s="1150">
        <f>IF(S230&lt;&gt;"",IF(M230="",'CONCEPTOS Y PARAMETROS'!$C$4,0),0)</f>
        <v>130</v>
      </c>
      <c r="AC230" s="1150">
        <f>IF(S230&lt;&gt;"",IF(M230="",'CONCEPTOS Y PARAMETROS'!$C$7*Z230,0),0)</f>
        <v>25</v>
      </c>
      <c r="AD230" s="1150">
        <f>IFERROR(ROUND(VLOOKUP($X230,'CONCEPTOS Y PARAMETROS'!H:I,2,0)*($V230+AA230+AB230+AC230),2),0)</f>
        <v>70.17</v>
      </c>
      <c r="AE230" s="1150">
        <f t="shared" si="376"/>
        <v>229.01</v>
      </c>
      <c r="AF230" s="1150">
        <f t="shared" si="404"/>
        <v>1.92</v>
      </c>
      <c r="AG230" s="1150">
        <f t="shared" si="405"/>
        <v>1.92</v>
      </c>
      <c r="AH230" s="1150">
        <f t="shared" si="406"/>
        <v>65</v>
      </c>
      <c r="AI230" s="1150">
        <f t="shared" si="407"/>
        <v>65</v>
      </c>
      <c r="AJ230" s="1150">
        <f t="shared" si="408"/>
        <v>35.090000000000003</v>
      </c>
      <c r="AK230" s="1150">
        <f t="shared" si="409"/>
        <v>35.08</v>
      </c>
      <c r="AL230" s="1151">
        <f t="shared" si="410"/>
        <v>127.01</v>
      </c>
      <c r="AM230" s="1151">
        <f t="shared" si="411"/>
        <v>102</v>
      </c>
      <c r="AN230" s="1583">
        <v>2</v>
      </c>
      <c r="AO230" s="1193">
        <f>'CONCEPTOS Y PARAMETROS'!$C$18*AN230</f>
        <v>25</v>
      </c>
      <c r="AP230" s="1028">
        <v>0</v>
      </c>
      <c r="AQ230" s="1193">
        <f>'CONCEPTOS Y PARAMETROS'!$C$21*AP230</f>
        <v>0</v>
      </c>
      <c r="AR230" s="1394">
        <v>0</v>
      </c>
      <c r="AS230" s="1394">
        <v>0</v>
      </c>
      <c r="AT230" s="1394">
        <f t="shared" si="480"/>
        <v>25</v>
      </c>
      <c r="AU230" s="1151">
        <f t="shared" si="412"/>
        <v>421.01</v>
      </c>
      <c r="AV230" s="1178">
        <v>0</v>
      </c>
      <c r="AW230" s="1151">
        <f t="shared" si="499"/>
        <v>0</v>
      </c>
      <c r="AX230" s="1150">
        <f>IF(T230&lt;&gt;"0",(ROUND(IF(A230="EMPLEADO",eval_formula('CONCEPTOS Y PARAMETROS'!$C$8,NOMINA!V230,NOMINA!$AU230,NOMINA!I230+NOMINA!J230),eval_formula('CONCEPTOS Y PARAMETROS'!$D$8,NOMINA!V230,NOMINA!$AU230,NOMINA!I230+NOMINA!J230)),2))*IF(H230&lt;&gt;"",IF(MONTH(H230)=$BR$8,IF(YEAR(H230)&lt;$BT$7,1,0),0)))</f>
        <v>0</v>
      </c>
      <c r="AY230" s="1151">
        <v>180</v>
      </c>
      <c r="AZ230" s="1150">
        <f>IFERROR(VLOOKUP(AY230,'CONCEPTOS Y PARAMETROS'!Y:Z,2,0),0)</f>
        <v>150</v>
      </c>
      <c r="BA230" s="1150">
        <f t="shared" si="413"/>
        <v>3157.58</v>
      </c>
      <c r="BB230" s="1150">
        <f t="shared" si="381"/>
        <v>0</v>
      </c>
      <c r="BC230" s="1028">
        <v>0</v>
      </c>
      <c r="BD230" s="1150" t="str">
        <f t="shared" si="414"/>
        <v>0</v>
      </c>
      <c r="BE230" s="1028">
        <v>0</v>
      </c>
      <c r="BF230" s="1150">
        <f t="shared" si="556"/>
        <v>0</v>
      </c>
      <c r="BG230" s="1151">
        <v>300</v>
      </c>
      <c r="BH230" s="1151">
        <f t="shared" si="382"/>
        <v>0</v>
      </c>
      <c r="BI230" s="1180">
        <v>0</v>
      </c>
      <c r="BJ230" s="1180">
        <f t="shared" si="372"/>
        <v>0</v>
      </c>
      <c r="BK230" s="1151">
        <v>0</v>
      </c>
      <c r="BL230" s="1150">
        <f t="shared" si="630"/>
        <v>15.54</v>
      </c>
      <c r="BM230" s="1150">
        <f t="shared" si="631"/>
        <v>1.94</v>
      </c>
      <c r="BN230" s="1150">
        <f t="shared" si="632"/>
        <v>4.21</v>
      </c>
      <c r="BO230" s="1150">
        <v>0</v>
      </c>
      <c r="BP230" s="1150">
        <v>0</v>
      </c>
      <c r="BQ230" s="1396">
        <f t="shared" si="373"/>
        <v>21.69</v>
      </c>
      <c r="BR230" s="1150">
        <f t="shared" si="634"/>
        <v>34.979999999999997</v>
      </c>
      <c r="BS230" s="1150">
        <f t="shared" si="635"/>
        <v>7.77</v>
      </c>
      <c r="BT230" s="1150">
        <f t="shared" si="383"/>
        <v>8.42</v>
      </c>
      <c r="BU230" s="1150">
        <v>0</v>
      </c>
      <c r="BV230" s="1151">
        <f t="shared" si="374"/>
        <v>51.17</v>
      </c>
      <c r="BW230" s="1155">
        <f t="shared" si="375"/>
        <v>72.86</v>
      </c>
      <c r="BX230" s="1155">
        <f t="shared" si="640"/>
        <v>789.4</v>
      </c>
      <c r="BY230" s="1151">
        <v>0</v>
      </c>
      <c r="BZ230" s="1151">
        <f t="shared" si="641"/>
        <v>789.4</v>
      </c>
      <c r="CA230" s="1397">
        <f>'CONCEPTOS Y PARAMETROS'!$A$102</f>
        <v>2120</v>
      </c>
      <c r="CB230" s="1155">
        <f t="shared" si="384"/>
        <v>201.32</v>
      </c>
      <c r="CC230" s="1156">
        <f t="shared" si="385"/>
        <v>523</v>
      </c>
      <c r="CD230" s="514"/>
      <c r="CE230" s="514"/>
      <c r="CF230" s="520"/>
      <c r="CG230" s="497">
        <f t="shared" si="386"/>
        <v>201.32</v>
      </c>
      <c r="CH230" s="1711">
        <f t="shared" si="387"/>
        <v>300</v>
      </c>
      <c r="CI230" s="497">
        <f t="shared" si="388"/>
        <v>498</v>
      </c>
      <c r="CJ230" s="497">
        <f t="shared" si="389"/>
        <v>498</v>
      </c>
      <c r="CK230" s="497">
        <f t="shared" si="390"/>
        <v>0</v>
      </c>
      <c r="CL230" s="497">
        <f t="shared" si="391"/>
        <v>0</v>
      </c>
      <c r="CM230" s="497">
        <f t="shared" si="392"/>
        <v>0</v>
      </c>
      <c r="CN230" s="498">
        <f t="shared" si="393"/>
        <v>0</v>
      </c>
      <c r="CO230" s="499">
        <v>0</v>
      </c>
      <c r="CP230" s="498">
        <f t="shared" si="394"/>
        <v>0</v>
      </c>
      <c r="CQ230" s="500">
        <f t="shared" si="395"/>
        <v>25</v>
      </c>
      <c r="CR230" s="498">
        <f t="shared" si="396"/>
        <v>0</v>
      </c>
      <c r="CS230" s="498">
        <f t="shared" si="397"/>
        <v>25</v>
      </c>
      <c r="CT230" s="498">
        <f t="shared" si="398"/>
        <v>72.86</v>
      </c>
      <c r="CU230" s="498">
        <f t="shared" si="399"/>
        <v>2120</v>
      </c>
      <c r="CV230" s="1554"/>
      <c r="CW230" s="1195" t="s">
        <v>6960</v>
      </c>
      <c r="CX230" s="1195" t="s">
        <v>6935</v>
      </c>
      <c r="CY230" s="472"/>
      <c r="CZ230" s="514" t="s">
        <v>6453</v>
      </c>
      <c r="DA230" s="514" t="s">
        <v>6173</v>
      </c>
      <c r="DB230" s="514" t="s">
        <v>6234</v>
      </c>
      <c r="DC230" s="514" t="s">
        <v>6454</v>
      </c>
      <c r="DD230" s="514"/>
      <c r="DE230" s="514"/>
      <c r="DF230" s="472"/>
      <c r="DG230" s="472"/>
      <c r="DH230" s="472"/>
      <c r="DI230" s="473"/>
      <c r="DJ230" s="473" t="str">
        <f>VLOOKUP(X230,Hoja1!$A$4:$B$10,2,0)</f>
        <v>TÉCNICO SUPERIOR UNIVERSITARIO</v>
      </c>
      <c r="DK230" s="473" t="str">
        <f>VLOOKUP(S230,Hoja1!$D$4:$F$77,3,0)</f>
        <v>TI</v>
      </c>
      <c r="DL230" s="1216" t="str">
        <f t="shared" si="400"/>
        <v>0</v>
      </c>
      <c r="DM230" s="1741" t="str">
        <f t="shared" si="401"/>
        <v>F</v>
      </c>
      <c r="DN230" s="1741"/>
    </row>
    <row r="231" spans="1:118" s="473" customFormat="1" ht="21.95" customHeight="1">
      <c r="A231" s="510" t="s">
        <v>2846</v>
      </c>
      <c r="B231" s="1390">
        <f t="shared" ca="1" si="479"/>
        <v>189</v>
      </c>
      <c r="C231" s="1194">
        <v>18670458</v>
      </c>
      <c r="D231" s="1195" t="s">
        <v>7411</v>
      </c>
      <c r="E231" s="1180" t="s">
        <v>4622</v>
      </c>
      <c r="F231" s="1196">
        <v>31864</v>
      </c>
      <c r="G231" s="1180" t="s">
        <v>4620</v>
      </c>
      <c r="H231" s="1196">
        <v>42741</v>
      </c>
      <c r="I231" s="1185">
        <f t="shared" si="379"/>
        <v>8</v>
      </c>
      <c r="J231" s="1177">
        <v>0</v>
      </c>
      <c r="K231" s="1185">
        <f t="shared" si="380"/>
        <v>8</v>
      </c>
      <c r="L231" s="1191" t="s">
        <v>5543</v>
      </c>
      <c r="M231" s="1177"/>
      <c r="N231" s="1177"/>
      <c r="O231" s="1040" t="s">
        <v>5247</v>
      </c>
      <c r="P231" s="1177" t="s">
        <v>5420</v>
      </c>
      <c r="Q231" s="1391" t="str">
        <f>IFERROR(VLOOKUP(O231,CARGOS!A:E,2,0),"")</f>
        <v>34234</v>
      </c>
      <c r="R231" s="1403" t="s">
        <v>5247</v>
      </c>
      <c r="S231" s="1192" t="s">
        <v>5488</v>
      </c>
      <c r="T231" s="1150">
        <f>IFERROR(VLOOKUP(S231,'TAB EMP'!A:B,2,0),0)</f>
        <v>279</v>
      </c>
      <c r="U231" s="1151">
        <v>0</v>
      </c>
      <c r="V231" s="1150">
        <f t="shared" si="402"/>
        <v>279</v>
      </c>
      <c r="W231" s="1151">
        <f t="shared" si="403"/>
        <v>139.5</v>
      </c>
      <c r="X231" s="1180" t="s">
        <v>2885</v>
      </c>
      <c r="Y231" s="1180"/>
      <c r="Z231" s="1180">
        <v>2</v>
      </c>
      <c r="AA231" s="1150">
        <f>ROUND(IF(H231&lt;&gt;"",VLOOKUP(SUM(I231+J231),'CONCEPTOS Y PARAMETROS'!F:G,2,0)*V231,0),2)</f>
        <v>23.99</v>
      </c>
      <c r="AB231" s="1150">
        <f>IF(S231&lt;&gt;"",IF(M231="",'CONCEPTOS Y PARAMETROS'!$C$4,0),0)</f>
        <v>130</v>
      </c>
      <c r="AC231" s="1150">
        <f>IF(S231&lt;&gt;"",IF(M231="",'CONCEPTOS Y PARAMETROS'!$C$7*Z231,0),0)</f>
        <v>25</v>
      </c>
      <c r="AD231" s="1150">
        <f>IFERROR(ROUND(VLOOKUP($X231,'CONCEPTOS Y PARAMETROS'!H:I,2,0)*($V231+AA231+AB231+AC231),2),0)</f>
        <v>114.5</v>
      </c>
      <c r="AE231" s="1150">
        <f t="shared" si="376"/>
        <v>293.49</v>
      </c>
      <c r="AF231" s="1150">
        <f t="shared" si="404"/>
        <v>12</v>
      </c>
      <c r="AG231" s="1150">
        <f t="shared" si="405"/>
        <v>11.99</v>
      </c>
      <c r="AH231" s="1150">
        <f t="shared" si="406"/>
        <v>65</v>
      </c>
      <c r="AI231" s="1150">
        <f t="shared" si="407"/>
        <v>65</v>
      </c>
      <c r="AJ231" s="1150">
        <f t="shared" si="408"/>
        <v>57.25</v>
      </c>
      <c r="AK231" s="1150">
        <f t="shared" si="409"/>
        <v>57.25</v>
      </c>
      <c r="AL231" s="1151">
        <f t="shared" si="410"/>
        <v>159.25</v>
      </c>
      <c r="AM231" s="1151">
        <f t="shared" si="411"/>
        <v>134.24</v>
      </c>
      <c r="AN231" s="1583">
        <v>2</v>
      </c>
      <c r="AO231" s="1193">
        <f>'CONCEPTOS Y PARAMETROS'!$C$18*AN231</f>
        <v>25</v>
      </c>
      <c r="AP231" s="1028">
        <v>0</v>
      </c>
      <c r="AQ231" s="1193">
        <f>'CONCEPTOS Y PARAMETROS'!$C$21*AP231</f>
        <v>0</v>
      </c>
      <c r="AR231" s="1394">
        <v>0</v>
      </c>
      <c r="AS231" s="1394">
        <v>0</v>
      </c>
      <c r="AT231" s="1394">
        <f t="shared" si="480"/>
        <v>25</v>
      </c>
      <c r="AU231" s="1151">
        <f t="shared" si="412"/>
        <v>572.49</v>
      </c>
      <c r="AV231" s="1178">
        <v>0</v>
      </c>
      <c r="AW231" s="1151">
        <f t="shared" si="499"/>
        <v>0</v>
      </c>
      <c r="AX231" s="1150">
        <f>IF(T231&lt;&gt;"0",(ROUND(IF(A231="EMPLEADO",eval_formula('CONCEPTOS Y PARAMETROS'!$C$8,NOMINA!V231,NOMINA!$AU231,NOMINA!I231+NOMINA!J231),eval_formula('CONCEPTOS Y PARAMETROS'!$D$8,NOMINA!V231,NOMINA!$AU231,NOMINA!I231+NOMINA!J231)),2))*IF(H231&lt;&gt;"",IF(MONTH(H231)=$BR$8,IF(YEAR(H231)&lt;$BT$7,1,0),0)))</f>
        <v>4579.92</v>
      </c>
      <c r="AY231" s="1151">
        <v>180</v>
      </c>
      <c r="AZ231" s="1150">
        <f>IFERROR(VLOOKUP(AY231,'CONCEPTOS Y PARAMETROS'!Y:Z,2,0),0)</f>
        <v>150</v>
      </c>
      <c r="BA231" s="1150">
        <f t="shared" si="413"/>
        <v>4293.68</v>
      </c>
      <c r="BB231" s="1150">
        <f t="shared" si="381"/>
        <v>0</v>
      </c>
      <c r="BC231" s="1028">
        <v>0</v>
      </c>
      <c r="BD231" s="1150" t="str">
        <f t="shared" si="414"/>
        <v>0</v>
      </c>
      <c r="BE231" s="1028">
        <v>0</v>
      </c>
      <c r="BF231" s="1150">
        <f t="shared" si="556"/>
        <v>0</v>
      </c>
      <c r="BG231" s="1151">
        <v>300</v>
      </c>
      <c r="BH231" s="1151">
        <f t="shared" si="382"/>
        <v>0</v>
      </c>
      <c r="BI231" s="1180">
        <v>0</v>
      </c>
      <c r="BJ231" s="1180">
        <f t="shared" si="372"/>
        <v>0</v>
      </c>
      <c r="BK231" s="1151">
        <v>0</v>
      </c>
      <c r="BL231" s="1150">
        <f t="shared" si="630"/>
        <v>21.14</v>
      </c>
      <c r="BM231" s="1150">
        <f t="shared" si="631"/>
        <v>2.64</v>
      </c>
      <c r="BN231" s="1150">
        <f t="shared" si="632"/>
        <v>5.72</v>
      </c>
      <c r="BO231" s="1150">
        <v>0</v>
      </c>
      <c r="BP231" s="1150">
        <v>0</v>
      </c>
      <c r="BQ231" s="1396">
        <f t="shared" si="373"/>
        <v>29.5</v>
      </c>
      <c r="BR231" s="1150">
        <f t="shared" si="634"/>
        <v>47.56</v>
      </c>
      <c r="BS231" s="1150">
        <f t="shared" si="635"/>
        <v>10.57</v>
      </c>
      <c r="BT231" s="1150">
        <f t="shared" si="383"/>
        <v>11.44</v>
      </c>
      <c r="BU231" s="1150">
        <v>0</v>
      </c>
      <c r="BV231" s="1151">
        <f t="shared" si="374"/>
        <v>69.569999999999993</v>
      </c>
      <c r="BW231" s="1155">
        <f t="shared" si="375"/>
        <v>99.07</v>
      </c>
      <c r="BX231" s="1155">
        <f t="shared" si="640"/>
        <v>1073.42</v>
      </c>
      <c r="BY231" s="1151">
        <v>0</v>
      </c>
      <c r="BZ231" s="1151">
        <f t="shared" si="641"/>
        <v>1073.42</v>
      </c>
      <c r="CA231" s="1397">
        <f>'CONCEPTOS Y PARAMETROS'!$A$102</f>
        <v>2120</v>
      </c>
      <c r="CB231" s="1155">
        <f t="shared" si="384"/>
        <v>269.25</v>
      </c>
      <c r="CC231" s="1156">
        <f t="shared" si="385"/>
        <v>5178.66</v>
      </c>
      <c r="CD231" s="514"/>
      <c r="CE231" s="514"/>
      <c r="CF231" s="520"/>
      <c r="CG231" s="497">
        <f t="shared" si="386"/>
        <v>269.25</v>
      </c>
      <c r="CH231" s="1711">
        <f t="shared" si="387"/>
        <v>300</v>
      </c>
      <c r="CI231" s="497">
        <f t="shared" si="388"/>
        <v>573.74</v>
      </c>
      <c r="CJ231" s="497">
        <f t="shared" si="389"/>
        <v>275.39999999999998</v>
      </c>
      <c r="CK231" s="497">
        <f t="shared" si="390"/>
        <v>298.34000000000003</v>
      </c>
      <c r="CL231" s="497">
        <f t="shared" si="391"/>
        <v>0</v>
      </c>
      <c r="CM231" s="497">
        <f t="shared" si="392"/>
        <v>0</v>
      </c>
      <c r="CN231" s="498">
        <f t="shared" si="393"/>
        <v>0</v>
      </c>
      <c r="CO231" s="499">
        <v>0</v>
      </c>
      <c r="CP231" s="498">
        <f t="shared" si="394"/>
        <v>0</v>
      </c>
      <c r="CQ231" s="500">
        <f t="shared" si="395"/>
        <v>25</v>
      </c>
      <c r="CR231" s="498">
        <f t="shared" si="396"/>
        <v>4579.92</v>
      </c>
      <c r="CS231" s="498">
        <f t="shared" si="397"/>
        <v>4604.92</v>
      </c>
      <c r="CT231" s="498">
        <f t="shared" si="398"/>
        <v>99.07</v>
      </c>
      <c r="CU231" s="498">
        <f t="shared" si="399"/>
        <v>2120</v>
      </c>
      <c r="CV231" s="1554"/>
      <c r="CW231" s="1195" t="s">
        <v>7087</v>
      </c>
      <c r="CX231" s="1195" t="s">
        <v>7088</v>
      </c>
      <c r="CY231" s="472"/>
      <c r="CZ231" s="514" t="s">
        <v>6427</v>
      </c>
      <c r="DA231" s="514" t="s">
        <v>6423</v>
      </c>
      <c r="DB231" s="514" t="s">
        <v>6423</v>
      </c>
      <c r="DC231" s="514" t="s">
        <v>6715</v>
      </c>
      <c r="DD231" s="514"/>
      <c r="DE231" s="514"/>
      <c r="DF231" s="472"/>
      <c r="DG231" s="472"/>
      <c r="DH231" s="472"/>
      <c r="DJ231" s="473" t="str">
        <f>VLOOKUP(X231,Hoja1!$A$4:$B$10,2,0)</f>
        <v>PROFESIONAL</v>
      </c>
      <c r="DK231" s="473" t="str">
        <f>VLOOKUP(S231,Hoja1!$D$4:$F$77,3,0)</f>
        <v>PII - III</v>
      </c>
      <c r="DL231" s="1216" t="str">
        <f t="shared" si="400"/>
        <v>0</v>
      </c>
      <c r="DM231" s="1741" t="str">
        <f t="shared" si="401"/>
        <v>F</v>
      </c>
      <c r="DN231" s="1741"/>
    </row>
    <row r="232" spans="1:118" s="478" customFormat="1" ht="21.95" customHeight="1">
      <c r="A232" s="510" t="s">
        <v>2846</v>
      </c>
      <c r="B232" s="1390">
        <f t="shared" ca="1" si="479"/>
        <v>190</v>
      </c>
      <c r="C232" s="1194">
        <v>18733682</v>
      </c>
      <c r="D232" s="1195" t="s">
        <v>6757</v>
      </c>
      <c r="E232" s="1180" t="s">
        <v>4622</v>
      </c>
      <c r="F232" s="1196">
        <v>32189</v>
      </c>
      <c r="G232" s="1180" t="s">
        <v>4620</v>
      </c>
      <c r="H232" s="1196">
        <v>45474</v>
      </c>
      <c r="I232" s="1185">
        <f t="shared" si="379"/>
        <v>0</v>
      </c>
      <c r="J232" s="1177">
        <v>0</v>
      </c>
      <c r="K232" s="1185">
        <f t="shared" si="380"/>
        <v>0</v>
      </c>
      <c r="L232" s="1191" t="s">
        <v>5550</v>
      </c>
      <c r="M232" s="1177"/>
      <c r="N232" s="1177"/>
      <c r="O232" s="1040" t="s">
        <v>5222</v>
      </c>
      <c r="P232" s="1197" t="s">
        <v>6758</v>
      </c>
      <c r="Q232" s="1391" t="str">
        <f>IFERROR(VLOOKUP(O232,CARGOS!A:E,2,0),"")</f>
        <v>79511</v>
      </c>
      <c r="R232" s="1403" t="s">
        <v>5222</v>
      </c>
      <c r="S232" s="1192" t="s">
        <v>5483</v>
      </c>
      <c r="T232" s="1150">
        <f>IFERROR(VLOOKUP(S232,'TAB EMP'!A:B,2,0),0)</f>
        <v>130</v>
      </c>
      <c r="U232" s="1151">
        <v>0</v>
      </c>
      <c r="V232" s="1150">
        <f t="shared" si="402"/>
        <v>130</v>
      </c>
      <c r="W232" s="1151">
        <f t="shared" si="403"/>
        <v>65</v>
      </c>
      <c r="X232" s="1180" t="s">
        <v>2884</v>
      </c>
      <c r="Y232" s="1180"/>
      <c r="Z232" s="1180">
        <v>1</v>
      </c>
      <c r="AA232" s="1150">
        <f>ROUND(IF(H232&lt;&gt;"",VLOOKUP(SUM(I232+J232),'CONCEPTOS Y PARAMETROS'!F:G,2,0)*V232,0),2)</f>
        <v>0</v>
      </c>
      <c r="AB232" s="1150">
        <f>IF(S232&lt;&gt;"",IF(M232="",'CONCEPTOS Y PARAMETROS'!$C$4,0),0)</f>
        <v>130</v>
      </c>
      <c r="AC232" s="1150">
        <f>IF(S232&lt;&gt;"",IF(M232="",'CONCEPTOS Y PARAMETROS'!$C$7*Z232,0),0)</f>
        <v>12.5</v>
      </c>
      <c r="AD232" s="1150">
        <f>IFERROR(ROUND(VLOOKUP($X232,'CONCEPTOS Y PARAMETROS'!H:I,2,0)*($V232+AA232+AB232+AC232),2),0)</f>
        <v>0</v>
      </c>
      <c r="AE232" s="1150">
        <f t="shared" si="376"/>
        <v>142.5</v>
      </c>
      <c r="AF232" s="1150">
        <f t="shared" si="404"/>
        <v>0</v>
      </c>
      <c r="AG232" s="1150">
        <f t="shared" si="405"/>
        <v>0</v>
      </c>
      <c r="AH232" s="1150">
        <f t="shared" si="406"/>
        <v>65</v>
      </c>
      <c r="AI232" s="1150">
        <f t="shared" si="407"/>
        <v>65</v>
      </c>
      <c r="AJ232" s="1150">
        <f t="shared" si="408"/>
        <v>0</v>
      </c>
      <c r="AK232" s="1150">
        <f t="shared" si="409"/>
        <v>0</v>
      </c>
      <c r="AL232" s="1151">
        <f t="shared" si="410"/>
        <v>77.5</v>
      </c>
      <c r="AM232" s="1151">
        <f t="shared" si="411"/>
        <v>65</v>
      </c>
      <c r="AN232" s="1583">
        <v>1</v>
      </c>
      <c r="AO232" s="1193">
        <f>'CONCEPTOS Y PARAMETROS'!$C$18*AN232</f>
        <v>12.5</v>
      </c>
      <c r="AP232" s="1028">
        <v>0</v>
      </c>
      <c r="AQ232" s="1193">
        <f>'CONCEPTOS Y PARAMETROS'!$C$21*AP232</f>
        <v>0</v>
      </c>
      <c r="AR232" s="1394">
        <v>0</v>
      </c>
      <c r="AS232" s="1394">
        <v>0</v>
      </c>
      <c r="AT232" s="1394">
        <f t="shared" si="480"/>
        <v>12.5</v>
      </c>
      <c r="AU232" s="1151">
        <f t="shared" si="412"/>
        <v>354.25</v>
      </c>
      <c r="AV232" s="1178" t="s">
        <v>5080</v>
      </c>
      <c r="AW232" s="1151">
        <f t="shared" si="499"/>
        <v>81.75</v>
      </c>
      <c r="AX232" s="1150">
        <f>IF(T232&lt;&gt;"0",(ROUND(IF(A232="EMPLEADO",eval_formula('CONCEPTOS Y PARAMETROS'!$C$8,NOMINA!V232,NOMINA!$AU232,NOMINA!I232+NOMINA!J232),eval_formula('CONCEPTOS Y PARAMETROS'!$D$8,NOMINA!V232,NOMINA!$AU232,NOMINA!I232+NOMINA!J232)),2))*IF(H232&lt;&gt;"",IF(MONTH(H232)=$BR$8,IF(YEAR(H232)&lt;$BT$7,1,0),0)))</f>
        <v>0</v>
      </c>
      <c r="AY232" s="1151">
        <v>90</v>
      </c>
      <c r="AZ232" s="1150">
        <f>IFERROR(VLOOKUP(AY232,'CONCEPTOS Y PARAMETROS'!Y:Z,2,0),0)</f>
        <v>75</v>
      </c>
      <c r="BA232" s="1150">
        <f t="shared" si="413"/>
        <v>1107.03</v>
      </c>
      <c r="BB232" s="1150">
        <f t="shared" si="381"/>
        <v>0</v>
      </c>
      <c r="BC232" s="1028">
        <v>0</v>
      </c>
      <c r="BD232" s="1150" t="str">
        <f t="shared" si="414"/>
        <v>0</v>
      </c>
      <c r="BE232" s="1028">
        <v>3</v>
      </c>
      <c r="BF232" s="1150">
        <f t="shared" si="556"/>
        <v>53.14</v>
      </c>
      <c r="BG232" s="1151">
        <v>300</v>
      </c>
      <c r="BH232" s="1151">
        <f t="shared" si="382"/>
        <v>0</v>
      </c>
      <c r="BI232" s="1180">
        <v>0</v>
      </c>
      <c r="BJ232" s="1180">
        <f t="shared" ref="BJ232:BJ298" si="642">+IF(BI232&lt;&gt;0,(BI232*12.5),0)</f>
        <v>0</v>
      </c>
      <c r="BK232" s="1151">
        <v>0</v>
      </c>
      <c r="BL232" s="1150">
        <f t="shared" si="630"/>
        <v>13.08</v>
      </c>
      <c r="BM232" s="1150">
        <f t="shared" si="631"/>
        <v>1.64</v>
      </c>
      <c r="BN232" s="1150">
        <f t="shared" si="632"/>
        <v>3.54</v>
      </c>
      <c r="BO232" s="1150">
        <v>0</v>
      </c>
      <c r="BP232" s="1150">
        <v>0</v>
      </c>
      <c r="BQ232" s="1396">
        <f t="shared" si="373"/>
        <v>18.260000000000002</v>
      </c>
      <c r="BR232" s="1150">
        <f t="shared" si="634"/>
        <v>29.43</v>
      </c>
      <c r="BS232" s="1150">
        <f t="shared" si="635"/>
        <v>6.54</v>
      </c>
      <c r="BT232" s="1150">
        <f t="shared" si="383"/>
        <v>7.08</v>
      </c>
      <c r="BU232" s="1150">
        <v>0</v>
      </c>
      <c r="BV232" s="1151">
        <f t="shared" si="374"/>
        <v>43.05</v>
      </c>
      <c r="BW232" s="1155">
        <f t="shared" si="375"/>
        <v>61.31</v>
      </c>
      <c r="BX232" s="1155">
        <f t="shared" si="640"/>
        <v>276.76</v>
      </c>
      <c r="BY232" s="1151">
        <v>0</v>
      </c>
      <c r="BZ232" s="1151">
        <f t="shared" si="641"/>
        <v>276.76</v>
      </c>
      <c r="CA232" s="1397">
        <f>'CONCEPTOS Y PARAMETROS'!$A$102</f>
        <v>2120</v>
      </c>
      <c r="CB232" s="1155">
        <f t="shared" si="384"/>
        <v>124.24</v>
      </c>
      <c r="CC232" s="1156">
        <f t="shared" si="385"/>
        <v>577.39</v>
      </c>
      <c r="CD232" s="514"/>
      <c r="CE232" s="514"/>
      <c r="CF232" s="521"/>
      <c r="CG232" s="511">
        <f t="shared" si="386"/>
        <v>124.24</v>
      </c>
      <c r="CH232" s="1712">
        <f t="shared" si="387"/>
        <v>300</v>
      </c>
      <c r="CI232" s="511">
        <f t="shared" si="388"/>
        <v>430</v>
      </c>
      <c r="CJ232" s="511">
        <f t="shared" si="389"/>
        <v>430</v>
      </c>
      <c r="CK232" s="511">
        <f t="shared" si="390"/>
        <v>0</v>
      </c>
      <c r="CL232" s="511">
        <f t="shared" si="391"/>
        <v>0</v>
      </c>
      <c r="CM232" s="511">
        <f t="shared" si="392"/>
        <v>0</v>
      </c>
      <c r="CN232" s="512">
        <f t="shared" si="393"/>
        <v>53.14</v>
      </c>
      <c r="CO232" s="513">
        <v>0</v>
      </c>
      <c r="CP232" s="512">
        <f t="shared" si="394"/>
        <v>81.75</v>
      </c>
      <c r="CQ232" s="500">
        <f t="shared" si="395"/>
        <v>12.5</v>
      </c>
      <c r="CR232" s="512">
        <f t="shared" si="396"/>
        <v>0</v>
      </c>
      <c r="CS232" s="512">
        <f t="shared" si="397"/>
        <v>147.38999999999999</v>
      </c>
      <c r="CT232" s="512">
        <f t="shared" si="398"/>
        <v>61.31</v>
      </c>
      <c r="CU232" s="512">
        <f t="shared" si="399"/>
        <v>2120</v>
      </c>
      <c r="CV232" s="1556"/>
      <c r="CW232" s="1195" t="s">
        <v>7089</v>
      </c>
      <c r="CX232" s="1195" t="s">
        <v>6935</v>
      </c>
      <c r="CY232" s="514"/>
      <c r="CZ232" s="1199" t="s">
        <v>6759</v>
      </c>
      <c r="DA232" s="1199" t="s">
        <v>6173</v>
      </c>
      <c r="DB232" s="1199" t="s">
        <v>6291</v>
      </c>
      <c r="DC232" s="1199" t="s">
        <v>6572</v>
      </c>
      <c r="DD232" s="514"/>
      <c r="DE232" s="514"/>
      <c r="DF232" s="514"/>
      <c r="DG232" s="514"/>
      <c r="DH232" s="514"/>
      <c r="DJ232" s="478" t="str">
        <f>VLOOKUP(X232,Hoja1!$A$4:$B$10,2,0)</f>
        <v>BACHILLER</v>
      </c>
      <c r="DK232" s="478" t="str">
        <f>VLOOKUP(S232,Hoja1!$D$4:$F$77,3,0)</f>
        <v>BI</v>
      </c>
      <c r="DL232" s="1218" t="str">
        <f t="shared" si="400"/>
        <v>SI</v>
      </c>
      <c r="DM232" s="1743" t="str">
        <f t="shared" si="401"/>
        <v>F</v>
      </c>
      <c r="DN232" s="1743"/>
    </row>
    <row r="233" spans="1:118" s="1654" customFormat="1" ht="21.95" customHeight="1">
      <c r="A233" s="1624" t="s">
        <v>2846</v>
      </c>
      <c r="B233" s="1625">
        <f t="shared" ca="1" si="479"/>
        <v>191</v>
      </c>
      <c r="C233" s="1626">
        <v>18801597</v>
      </c>
      <c r="D233" s="1627" t="s">
        <v>4865</v>
      </c>
      <c r="E233" s="1628" t="s">
        <v>4622</v>
      </c>
      <c r="F233" s="1629">
        <v>32036</v>
      </c>
      <c r="G233" s="1628" t="s">
        <v>4620</v>
      </c>
      <c r="H233" s="1629">
        <v>43359</v>
      </c>
      <c r="I233" s="1630">
        <f t="shared" si="379"/>
        <v>6</v>
      </c>
      <c r="J233" s="1631">
        <v>0</v>
      </c>
      <c r="K233" s="1630">
        <f t="shared" si="380"/>
        <v>6</v>
      </c>
      <c r="L233" s="1632" t="s">
        <v>5540</v>
      </c>
      <c r="M233" s="1631"/>
      <c r="N233" s="1631"/>
      <c r="O233" s="1633" t="s">
        <v>5237</v>
      </c>
      <c r="P233" s="1631" t="s">
        <v>5421</v>
      </c>
      <c r="Q233" s="1634" t="str">
        <f>IFERROR(VLOOKUP(O233,CARGOS!A:E,2,0),"")</f>
        <v>79523</v>
      </c>
      <c r="R233" s="1635" t="s">
        <v>5237</v>
      </c>
      <c r="S233" s="1636" t="s">
        <v>5488</v>
      </c>
      <c r="T233" s="1637">
        <f>IFERROR(VLOOKUP(S233,'TAB EMP'!A:B,2,0),0)</f>
        <v>279</v>
      </c>
      <c r="U233" s="1638">
        <v>0</v>
      </c>
      <c r="V233" s="1637">
        <f t="shared" si="402"/>
        <v>279</v>
      </c>
      <c r="W233" s="1638">
        <f t="shared" si="403"/>
        <v>139.5</v>
      </c>
      <c r="X233" s="1628" t="s">
        <v>2885</v>
      </c>
      <c r="Y233" s="1628"/>
      <c r="Z233" s="1628">
        <v>2</v>
      </c>
      <c r="AA233" s="1637">
        <f>ROUND(IF(H233&lt;&gt;"",VLOOKUP(SUM(I233+J233),'CONCEPTOS Y PARAMETROS'!F:G,2,0)*V233,0),2)</f>
        <v>17.3</v>
      </c>
      <c r="AB233" s="1637">
        <f>IF(S233&lt;&gt;"",IF(M233="",'CONCEPTOS Y PARAMETROS'!$C$4,0),0)</f>
        <v>130</v>
      </c>
      <c r="AC233" s="1637">
        <f>IF(S233&lt;&gt;"",IF(M233="",'CONCEPTOS Y PARAMETROS'!$C$7*Z233,0),0)</f>
        <v>25</v>
      </c>
      <c r="AD233" s="1637">
        <f>IFERROR(ROUND(VLOOKUP($X233,'CONCEPTOS Y PARAMETROS'!H:I,2,0)*($V233+AA233+AB233+AC233),2),0)</f>
        <v>112.83</v>
      </c>
      <c r="AE233" s="1637">
        <f t="shared" si="376"/>
        <v>285.13</v>
      </c>
      <c r="AF233" s="1637">
        <f t="shared" si="404"/>
        <v>8.65</v>
      </c>
      <c r="AG233" s="1637">
        <f t="shared" si="405"/>
        <v>8.65</v>
      </c>
      <c r="AH233" s="1637">
        <f t="shared" si="406"/>
        <v>65</v>
      </c>
      <c r="AI233" s="1637">
        <f t="shared" si="407"/>
        <v>65</v>
      </c>
      <c r="AJ233" s="1637">
        <f t="shared" si="408"/>
        <v>56.42</v>
      </c>
      <c r="AK233" s="1637">
        <f t="shared" si="409"/>
        <v>56.41</v>
      </c>
      <c r="AL233" s="1638">
        <f t="shared" si="410"/>
        <v>155.07</v>
      </c>
      <c r="AM233" s="1638">
        <f t="shared" si="411"/>
        <v>130.06</v>
      </c>
      <c r="AN233" s="1639">
        <v>2</v>
      </c>
      <c r="AO233" s="1640">
        <f>'CONCEPTOS Y PARAMETROS'!$C$18*AN233</f>
        <v>25</v>
      </c>
      <c r="AP233" s="1639">
        <v>0</v>
      </c>
      <c r="AQ233" s="1640">
        <f>'CONCEPTOS Y PARAMETROS'!$C$21*AP233</f>
        <v>0</v>
      </c>
      <c r="AR233" s="1641">
        <v>0</v>
      </c>
      <c r="AS233" s="1641">
        <v>0</v>
      </c>
      <c r="AT233" s="1641">
        <f t="shared" si="480"/>
        <v>25</v>
      </c>
      <c r="AU233" s="1638">
        <f t="shared" si="412"/>
        <v>564.13</v>
      </c>
      <c r="AV233" s="1642">
        <v>0</v>
      </c>
      <c r="AW233" s="1638">
        <f t="shared" si="499"/>
        <v>0</v>
      </c>
      <c r="AX233" s="1637">
        <f>IF(T233&lt;&gt;"0",(ROUND(IF(A233="EMPLEADO",eval_formula('CONCEPTOS Y PARAMETROS'!$C$8,NOMINA!V233,NOMINA!$AU233,NOMINA!I233+NOMINA!J233),eval_formula('CONCEPTOS Y PARAMETROS'!$D$8,NOMINA!V233,NOMINA!$AU233,NOMINA!I233+NOMINA!J233)),2))*IF(H233&lt;&gt;"",IF(MONTH(H233)=$BR$8,IF(YEAR(H233)&lt;$BT$7,1,0),0)))</f>
        <v>0</v>
      </c>
      <c r="AY233" s="1638">
        <v>180</v>
      </c>
      <c r="AZ233" s="1637">
        <f>IFERROR(VLOOKUP(AY233,'CONCEPTOS Y PARAMETROS'!Y:Z,2,0),0)</f>
        <v>150</v>
      </c>
      <c r="BA233" s="1637">
        <f t="shared" si="413"/>
        <v>4230.9799999999996</v>
      </c>
      <c r="BB233" s="1637">
        <f t="shared" si="381"/>
        <v>0</v>
      </c>
      <c r="BC233" s="1639">
        <v>0</v>
      </c>
      <c r="BD233" s="1637" t="str">
        <f t="shared" si="414"/>
        <v>0</v>
      </c>
      <c r="BE233" s="1639">
        <v>0</v>
      </c>
      <c r="BF233" s="1637">
        <f t="shared" si="556"/>
        <v>0</v>
      </c>
      <c r="BG233" s="1638">
        <v>300</v>
      </c>
      <c r="BH233" s="1638">
        <f t="shared" si="382"/>
        <v>0</v>
      </c>
      <c r="BI233" s="1628">
        <v>0</v>
      </c>
      <c r="BJ233" s="1628">
        <f t="shared" si="642"/>
        <v>0</v>
      </c>
      <c r="BK233" s="1638">
        <v>0</v>
      </c>
      <c r="BL233" s="1637">
        <f t="shared" si="630"/>
        <v>20.83</v>
      </c>
      <c r="BM233" s="1637">
        <f t="shared" si="631"/>
        <v>2.6</v>
      </c>
      <c r="BN233" s="1637">
        <f t="shared" si="632"/>
        <v>5.64</v>
      </c>
      <c r="BO233" s="1637">
        <v>0</v>
      </c>
      <c r="BP233" s="1637">
        <v>0</v>
      </c>
      <c r="BQ233" s="1643">
        <f t="shared" si="373"/>
        <v>29.07</v>
      </c>
      <c r="BR233" s="1637">
        <f t="shared" si="634"/>
        <v>46.87</v>
      </c>
      <c r="BS233" s="1637">
        <f t="shared" si="635"/>
        <v>10.41</v>
      </c>
      <c r="BT233" s="1637">
        <f t="shared" si="383"/>
        <v>11.28</v>
      </c>
      <c r="BU233" s="1637">
        <v>0</v>
      </c>
      <c r="BV233" s="1638">
        <f t="shared" si="374"/>
        <v>68.56</v>
      </c>
      <c r="BW233" s="1644">
        <f t="shared" si="375"/>
        <v>97.63</v>
      </c>
      <c r="BX233" s="1644">
        <f t="shared" si="640"/>
        <v>1057.75</v>
      </c>
      <c r="BY233" s="1638">
        <v>0</v>
      </c>
      <c r="BZ233" s="1638">
        <f t="shared" si="641"/>
        <v>1057.75</v>
      </c>
      <c r="CA233" s="1645">
        <f>'CONCEPTOS Y PARAMETROS'!$A$102</f>
        <v>2120</v>
      </c>
      <c r="CB233" s="1644">
        <f t="shared" si="384"/>
        <v>265.5</v>
      </c>
      <c r="CC233" s="1646">
        <f t="shared" si="385"/>
        <v>594.55999999999995</v>
      </c>
      <c r="CD233" s="1647"/>
      <c r="CE233" s="1647"/>
      <c r="CF233" s="1648"/>
      <c r="CG233" s="1649">
        <f t="shared" si="386"/>
        <v>265.5</v>
      </c>
      <c r="CH233" s="1713">
        <f t="shared" si="387"/>
        <v>300</v>
      </c>
      <c r="CI233" s="1649">
        <f t="shared" si="388"/>
        <v>569.55999999999995</v>
      </c>
      <c r="CJ233" s="1649">
        <f t="shared" si="389"/>
        <v>273.39</v>
      </c>
      <c r="CK233" s="1649">
        <f t="shared" si="390"/>
        <v>296.16999999999996</v>
      </c>
      <c r="CL233" s="1649">
        <f t="shared" si="391"/>
        <v>0</v>
      </c>
      <c r="CM233" s="1649">
        <f t="shared" si="392"/>
        <v>0</v>
      </c>
      <c r="CN233" s="1650">
        <f t="shared" si="393"/>
        <v>0</v>
      </c>
      <c r="CO233" s="1651">
        <v>0</v>
      </c>
      <c r="CP233" s="1650">
        <f t="shared" si="394"/>
        <v>0</v>
      </c>
      <c r="CQ233" s="1652">
        <f t="shared" si="395"/>
        <v>25</v>
      </c>
      <c r="CR233" s="1650">
        <f t="shared" si="396"/>
        <v>0</v>
      </c>
      <c r="CS233" s="1650">
        <f t="shared" si="397"/>
        <v>25</v>
      </c>
      <c r="CT233" s="1650">
        <f t="shared" si="398"/>
        <v>97.63</v>
      </c>
      <c r="CU233" s="1650">
        <f t="shared" si="399"/>
        <v>2120</v>
      </c>
      <c r="CV233" s="1653"/>
      <c r="CW233" s="1627" t="s">
        <v>7090</v>
      </c>
      <c r="CX233" s="1627" t="s">
        <v>7038</v>
      </c>
      <c r="CY233" s="1647"/>
      <c r="CZ233" s="1647" t="s">
        <v>6393</v>
      </c>
      <c r="DA233" s="1647" t="s">
        <v>6188</v>
      </c>
      <c r="DB233" s="1647" t="s">
        <v>6287</v>
      </c>
      <c r="DC233" s="1647" t="s">
        <v>6614</v>
      </c>
      <c r="DD233" s="1647"/>
      <c r="DE233" s="1647"/>
      <c r="DF233" s="1647"/>
      <c r="DG233" s="1647"/>
      <c r="DH233" s="1647"/>
      <c r="DJ233" s="1654" t="str">
        <f>VLOOKUP(X233,Hoja1!$A$4:$B$10,2,0)</f>
        <v>PROFESIONAL</v>
      </c>
      <c r="DK233" s="1654" t="str">
        <f>VLOOKUP(S233,Hoja1!$D$4:$F$77,3,0)</f>
        <v>PII - III</v>
      </c>
      <c r="DL233" s="1663" t="str">
        <f t="shared" si="400"/>
        <v>0</v>
      </c>
      <c r="DM233" s="1742" t="str">
        <f t="shared" si="401"/>
        <v>F</v>
      </c>
      <c r="DN233" s="1742"/>
    </row>
    <row r="234" spans="1:118" s="478" customFormat="1" ht="21.95" customHeight="1">
      <c r="A234" s="510" t="s">
        <v>2846</v>
      </c>
      <c r="B234" s="1390">
        <f t="shared" ca="1" si="479"/>
        <v>192</v>
      </c>
      <c r="C234" s="1194">
        <v>18802405</v>
      </c>
      <c r="D234" s="1195" t="s">
        <v>4866</v>
      </c>
      <c r="E234" s="1180" t="s">
        <v>4622</v>
      </c>
      <c r="F234" s="1196">
        <v>32424</v>
      </c>
      <c r="G234" s="1180" t="s">
        <v>4620</v>
      </c>
      <c r="H234" s="1196">
        <v>44332</v>
      </c>
      <c r="I234" s="1185">
        <f t="shared" si="379"/>
        <v>3</v>
      </c>
      <c r="J234" s="1177">
        <v>0</v>
      </c>
      <c r="K234" s="1185">
        <f t="shared" si="380"/>
        <v>3</v>
      </c>
      <c r="L234" s="1191" t="s">
        <v>5544</v>
      </c>
      <c r="M234" s="1177"/>
      <c r="N234" s="1177"/>
      <c r="O234" s="1040" t="s">
        <v>5228</v>
      </c>
      <c r="P234" s="1177" t="s">
        <v>5422</v>
      </c>
      <c r="Q234" s="1391" t="str">
        <f>IFERROR(VLOOKUP(O234,CARGOS!A:E,2,0),"")</f>
        <v>79521</v>
      </c>
      <c r="R234" s="1403" t="s">
        <v>5228</v>
      </c>
      <c r="S234" s="1192" t="s">
        <v>5481</v>
      </c>
      <c r="T234" s="1150">
        <f>IFERROR(VLOOKUP(S234,'TAB EMP'!A:B,2,0),0)</f>
        <v>219</v>
      </c>
      <c r="U234" s="1151">
        <v>0</v>
      </c>
      <c r="V234" s="1150">
        <f t="shared" si="402"/>
        <v>219</v>
      </c>
      <c r="W234" s="1151">
        <f t="shared" si="403"/>
        <v>109.5</v>
      </c>
      <c r="X234" s="1180" t="s">
        <v>2885</v>
      </c>
      <c r="Y234" s="1180"/>
      <c r="Z234" s="1180">
        <f>1+1</f>
        <v>2</v>
      </c>
      <c r="AA234" s="1150">
        <f>ROUND(IF(H234&lt;&gt;"",VLOOKUP(SUM(I234+J234),'CONCEPTOS Y PARAMETROS'!F:G,2,0)*V234,0),2)</f>
        <v>6.57</v>
      </c>
      <c r="AB234" s="1150">
        <f>IF(S234&lt;&gt;"",IF(M234="",'CONCEPTOS Y PARAMETROS'!$C$4,0),0)</f>
        <v>130</v>
      </c>
      <c r="AC234" s="1150">
        <f>IF(S234&lt;&gt;"",IF(M234="",'CONCEPTOS Y PARAMETROS'!$C$7*Z234,0),0)</f>
        <v>25</v>
      </c>
      <c r="AD234" s="1150">
        <f>IFERROR(ROUND(VLOOKUP($X234,'CONCEPTOS Y PARAMETROS'!H:I,2,0)*($V234+AA234+AB234+AC234),2),0)</f>
        <v>95.14</v>
      </c>
      <c r="AE234" s="1150">
        <f t="shared" si="376"/>
        <v>256.70999999999998</v>
      </c>
      <c r="AF234" s="1150">
        <f t="shared" si="404"/>
        <v>3.29</v>
      </c>
      <c r="AG234" s="1150">
        <f t="shared" si="405"/>
        <v>3.28</v>
      </c>
      <c r="AH234" s="1150">
        <f t="shared" si="406"/>
        <v>65</v>
      </c>
      <c r="AI234" s="1150">
        <f t="shared" si="407"/>
        <v>65</v>
      </c>
      <c r="AJ234" s="1150">
        <f t="shared" si="408"/>
        <v>47.57</v>
      </c>
      <c r="AK234" s="1150">
        <f t="shared" si="409"/>
        <v>47.57</v>
      </c>
      <c r="AL234" s="1151">
        <f t="shared" si="410"/>
        <v>140.86000000000001</v>
      </c>
      <c r="AM234" s="1151">
        <f t="shared" si="411"/>
        <v>115.85</v>
      </c>
      <c r="AN234" s="1583">
        <v>1</v>
      </c>
      <c r="AO234" s="1193">
        <f>'CONCEPTOS Y PARAMETROS'!$C$18*AN234</f>
        <v>12.5</v>
      </c>
      <c r="AP234" s="1028">
        <v>0</v>
      </c>
      <c r="AQ234" s="1193">
        <f>'CONCEPTOS Y PARAMETROS'!$C$21*AP234</f>
        <v>0</v>
      </c>
      <c r="AR234" s="1394">
        <v>0</v>
      </c>
      <c r="AS234" s="1394">
        <v>0</v>
      </c>
      <c r="AT234" s="1394">
        <f t="shared" si="480"/>
        <v>12.5</v>
      </c>
      <c r="AU234" s="1151">
        <f t="shared" si="412"/>
        <v>475.71</v>
      </c>
      <c r="AV234" s="1178">
        <v>0</v>
      </c>
      <c r="AW234" s="1151">
        <f t="shared" si="499"/>
        <v>0</v>
      </c>
      <c r="AX234" s="1150">
        <f>IF(T234&lt;&gt;"0",(ROUND(IF(A234="EMPLEADO",eval_formula('CONCEPTOS Y PARAMETROS'!$C$8,NOMINA!V234,NOMINA!$AU234,NOMINA!I234+NOMINA!J234),eval_formula('CONCEPTOS Y PARAMETROS'!$D$8,NOMINA!V234,NOMINA!$AU234,NOMINA!I234+NOMINA!J234)),2))*IF(H234&lt;&gt;"",IF(MONTH(H234)=$BR$8,IF(YEAR(H234)&lt;$BT$7,1,0),0)))</f>
        <v>0</v>
      </c>
      <c r="AY234" s="1151">
        <v>180</v>
      </c>
      <c r="AZ234" s="1150">
        <f>IFERROR(VLOOKUP(AY234,'CONCEPTOS Y PARAMETROS'!Y:Z,2,0),0)</f>
        <v>150</v>
      </c>
      <c r="BA234" s="1150">
        <f t="shared" si="413"/>
        <v>3567.83</v>
      </c>
      <c r="BB234" s="1150">
        <f t="shared" ref="BB234:BB301" si="643">ROUND(AU234/30*$BB$10,2)</f>
        <v>0</v>
      </c>
      <c r="BC234" s="1028">
        <v>0</v>
      </c>
      <c r="BD234" s="1150" t="str">
        <f t="shared" si="414"/>
        <v>0</v>
      </c>
      <c r="BE234" s="1028">
        <v>0</v>
      </c>
      <c r="BF234" s="1150">
        <f t="shared" si="556"/>
        <v>0</v>
      </c>
      <c r="BG234" s="1151">
        <v>300</v>
      </c>
      <c r="BH234" s="1151">
        <f t="shared" si="382"/>
        <v>0</v>
      </c>
      <c r="BI234" s="1180">
        <v>0</v>
      </c>
      <c r="BJ234" s="1180">
        <f t="shared" si="642"/>
        <v>0</v>
      </c>
      <c r="BK234" s="1151">
        <v>0</v>
      </c>
      <c r="BL234" s="1150">
        <f t="shared" si="630"/>
        <v>17.559999999999999</v>
      </c>
      <c r="BM234" s="1150">
        <f t="shared" si="631"/>
        <v>2.2000000000000002</v>
      </c>
      <c r="BN234" s="1150">
        <f t="shared" ref="BN234:BN298" si="644">ROUND(IF(M234="",(AU234*1%),0),2)</f>
        <v>4.76</v>
      </c>
      <c r="BO234" s="1150">
        <v>0</v>
      </c>
      <c r="BP234" s="1150">
        <v>0</v>
      </c>
      <c r="BQ234" s="1396">
        <f t="shared" si="373"/>
        <v>24.52</v>
      </c>
      <c r="BR234" s="1150">
        <f t="shared" si="634"/>
        <v>39.520000000000003</v>
      </c>
      <c r="BS234" s="1150">
        <f t="shared" si="635"/>
        <v>8.7799999999999994</v>
      </c>
      <c r="BT234" s="1150">
        <f t="shared" si="383"/>
        <v>9.52</v>
      </c>
      <c r="BU234" s="1150">
        <v>0</v>
      </c>
      <c r="BV234" s="1151">
        <f t="shared" si="374"/>
        <v>57.82</v>
      </c>
      <c r="BW234" s="1155">
        <f t="shared" si="375"/>
        <v>82.34</v>
      </c>
      <c r="BX234" s="1155">
        <f t="shared" si="640"/>
        <v>891.96</v>
      </c>
      <c r="BY234" s="1151">
        <v>0</v>
      </c>
      <c r="BZ234" s="1151">
        <f t="shared" si="641"/>
        <v>891.96</v>
      </c>
      <c r="CA234" s="1397">
        <f>'CONCEPTOS Y PARAMETROS'!$A$102</f>
        <v>2120</v>
      </c>
      <c r="CB234" s="1155">
        <f t="shared" si="384"/>
        <v>225.84</v>
      </c>
      <c r="CC234" s="1156">
        <f t="shared" si="385"/>
        <v>537.85</v>
      </c>
      <c r="CD234" s="514"/>
      <c r="CE234" s="514"/>
      <c r="CF234" s="521"/>
      <c r="CG234" s="511">
        <f t="shared" si="386"/>
        <v>225.84</v>
      </c>
      <c r="CH234" s="1712">
        <f t="shared" si="387"/>
        <v>300</v>
      </c>
      <c r="CI234" s="511">
        <f t="shared" si="388"/>
        <v>525.35</v>
      </c>
      <c r="CJ234" s="511">
        <f t="shared" si="389"/>
        <v>525.35</v>
      </c>
      <c r="CK234" s="511">
        <f t="shared" si="390"/>
        <v>0</v>
      </c>
      <c r="CL234" s="511">
        <f t="shared" si="391"/>
        <v>0</v>
      </c>
      <c r="CM234" s="511">
        <f t="shared" si="392"/>
        <v>0</v>
      </c>
      <c r="CN234" s="512">
        <f t="shared" si="393"/>
        <v>0</v>
      </c>
      <c r="CO234" s="513">
        <v>0</v>
      </c>
      <c r="CP234" s="512">
        <f t="shared" si="394"/>
        <v>0</v>
      </c>
      <c r="CQ234" s="500">
        <f t="shared" si="395"/>
        <v>12.5</v>
      </c>
      <c r="CR234" s="512">
        <f t="shared" si="396"/>
        <v>0</v>
      </c>
      <c r="CS234" s="512">
        <f t="shared" si="397"/>
        <v>12.5</v>
      </c>
      <c r="CT234" s="512">
        <f t="shared" si="398"/>
        <v>82.34</v>
      </c>
      <c r="CU234" s="512">
        <f t="shared" si="399"/>
        <v>2120</v>
      </c>
      <c r="CV234" s="1556"/>
      <c r="CW234" s="1195" t="s">
        <v>7091</v>
      </c>
      <c r="CX234" s="1195" t="s">
        <v>7092</v>
      </c>
      <c r="CY234" s="514"/>
      <c r="CZ234" s="1199" t="s">
        <v>6621</v>
      </c>
      <c r="DA234" s="514" t="s">
        <v>6173</v>
      </c>
      <c r="DB234" s="514" t="s">
        <v>6249</v>
      </c>
      <c r="DC234" s="1199" t="s">
        <v>6716</v>
      </c>
      <c r="DD234" s="514"/>
      <c r="DE234" s="514"/>
      <c r="DF234" s="514"/>
      <c r="DG234" s="514"/>
      <c r="DH234" s="514"/>
      <c r="DJ234" s="478" t="str">
        <f>VLOOKUP(X234,Hoja1!$A$4:$B$10,2,0)</f>
        <v>PROFESIONAL</v>
      </c>
      <c r="DK234" s="478" t="str">
        <f>VLOOKUP(S234,Hoja1!$D$4:$F$77,3,0)</f>
        <v>TII - II</v>
      </c>
      <c r="DL234" s="1218" t="str">
        <f t="shared" si="400"/>
        <v>0</v>
      </c>
      <c r="DM234" s="1743" t="str">
        <f t="shared" si="401"/>
        <v>F</v>
      </c>
      <c r="DN234" s="1743"/>
    </row>
    <row r="235" spans="1:118" s="473" customFormat="1" ht="21.95" customHeight="1">
      <c r="A235" s="510" t="s">
        <v>2846</v>
      </c>
      <c r="B235" s="1390">
        <f t="shared" ca="1" si="479"/>
        <v>193</v>
      </c>
      <c r="C235" s="1194">
        <v>18984406</v>
      </c>
      <c r="D235" s="1195" t="s">
        <v>5809</v>
      </c>
      <c r="E235" s="1180" t="s">
        <v>4622</v>
      </c>
      <c r="F235" s="1196">
        <v>33021</v>
      </c>
      <c r="G235" s="1180" t="s">
        <v>4621</v>
      </c>
      <c r="H235" s="1196">
        <v>45200</v>
      </c>
      <c r="I235" s="1185">
        <f t="shared" ref="I235:I298" si="645">IF(AND(YEAR(H235)&lt;YEAR($H$10),MONTH(H235)&gt;$BR$8),YEAR($H$10)-YEAR(H235)-1,IF(OR(H235="",YEAR(H235)&gt;YEAR($H$10)),0,YEAR($H$10)-YEAR(H235)))</f>
        <v>1</v>
      </c>
      <c r="J235" s="1177">
        <v>0</v>
      </c>
      <c r="K235" s="1185">
        <f t="shared" ref="K235:K298" si="646">I235+J235</f>
        <v>1</v>
      </c>
      <c r="L235" s="1191" t="s">
        <v>5561</v>
      </c>
      <c r="M235" s="1177"/>
      <c r="N235" s="1177"/>
      <c r="O235" s="1040" t="s">
        <v>5222</v>
      </c>
      <c r="P235" s="1197" t="s">
        <v>5814</v>
      </c>
      <c r="Q235" s="1391" t="s">
        <v>1161</v>
      </c>
      <c r="R235" s="1403" t="s">
        <v>5222</v>
      </c>
      <c r="S235" s="1192" t="s">
        <v>5483</v>
      </c>
      <c r="T235" s="1150">
        <f>IFERROR(VLOOKUP(S235,'TAB EMP'!A:B,2,0),0)</f>
        <v>130</v>
      </c>
      <c r="U235" s="1151">
        <v>0</v>
      </c>
      <c r="V235" s="1150">
        <f t="shared" si="402"/>
        <v>130</v>
      </c>
      <c r="W235" s="1151">
        <f t="shared" si="403"/>
        <v>65</v>
      </c>
      <c r="X235" s="1180" t="s">
        <v>2884</v>
      </c>
      <c r="Y235" s="1180"/>
      <c r="Z235" s="1180">
        <v>0</v>
      </c>
      <c r="AA235" s="1150">
        <f>ROUND(IF(H235&lt;&gt;"",VLOOKUP(SUM(I235+J235),'CONCEPTOS Y PARAMETROS'!F:G,2,0)*V235,0),2)</f>
        <v>1.3</v>
      </c>
      <c r="AB235" s="1150">
        <f>IF(S235&lt;&gt;"",IF(M235="",'CONCEPTOS Y PARAMETROS'!$C$4,0),0)</f>
        <v>130</v>
      </c>
      <c r="AC235" s="1150">
        <f>IF(S235&lt;&gt;"",IF(M235="",'CONCEPTOS Y PARAMETROS'!$C$7*Z235,0),0)</f>
        <v>0</v>
      </c>
      <c r="AD235" s="1150">
        <f>IFERROR(ROUND(VLOOKUP($X235,'CONCEPTOS Y PARAMETROS'!H:I,2,0)*($V235+AA235+AB235+AC235),2),0)</f>
        <v>0</v>
      </c>
      <c r="AE235" s="1150">
        <f t="shared" si="376"/>
        <v>131.30000000000001</v>
      </c>
      <c r="AF235" s="1150">
        <f t="shared" si="404"/>
        <v>0.65</v>
      </c>
      <c r="AG235" s="1150">
        <f t="shared" si="405"/>
        <v>0.65</v>
      </c>
      <c r="AH235" s="1150">
        <f t="shared" si="406"/>
        <v>65</v>
      </c>
      <c r="AI235" s="1150">
        <f t="shared" si="407"/>
        <v>65</v>
      </c>
      <c r="AJ235" s="1150">
        <f t="shared" si="408"/>
        <v>0</v>
      </c>
      <c r="AK235" s="1150">
        <f t="shared" si="409"/>
        <v>0</v>
      </c>
      <c r="AL235" s="1151">
        <f t="shared" si="410"/>
        <v>65.650000000000006</v>
      </c>
      <c r="AM235" s="1151">
        <f t="shared" si="411"/>
        <v>65.650000000000006</v>
      </c>
      <c r="AN235" s="1028">
        <v>0</v>
      </c>
      <c r="AO235" s="1193">
        <f>'CONCEPTOS Y PARAMETROS'!$C$18*AN235</f>
        <v>0</v>
      </c>
      <c r="AP235" s="1028">
        <v>0</v>
      </c>
      <c r="AQ235" s="1193">
        <f>'CONCEPTOS Y PARAMETROS'!$C$21*AP235</f>
        <v>0</v>
      </c>
      <c r="AR235" s="1394">
        <v>0</v>
      </c>
      <c r="AS235" s="1394">
        <v>0</v>
      </c>
      <c r="AT235" s="1394">
        <f t="shared" si="480"/>
        <v>0</v>
      </c>
      <c r="AU235" s="1151">
        <f t="shared" si="412"/>
        <v>339.69</v>
      </c>
      <c r="AV235" s="1178" t="s">
        <v>5080</v>
      </c>
      <c r="AW235" s="1151">
        <f t="shared" si="499"/>
        <v>78.39</v>
      </c>
      <c r="AX235" s="1150">
        <f>IF(T235&lt;&gt;"0",(ROUND(IF(A235="EMPLEADO",eval_formula('CONCEPTOS Y PARAMETROS'!$C$8,NOMINA!V235,NOMINA!$AU235,NOMINA!I235+NOMINA!J235),eval_formula('CONCEPTOS Y PARAMETROS'!$D$8,NOMINA!V235,NOMINA!$AU235,NOMINA!I235+NOMINA!J235)),2))*IF(H235&lt;&gt;"",IF(MONTH(H235)=$BR$8,IF(YEAR(H235)&lt;$BT$7,1,0),0)))</f>
        <v>0</v>
      </c>
      <c r="AY235" s="1151">
        <v>180</v>
      </c>
      <c r="AZ235" s="1150">
        <f>IFERROR(VLOOKUP(AY235,'CONCEPTOS Y PARAMETROS'!Y:Z,2,0),0)</f>
        <v>150</v>
      </c>
      <c r="BA235" s="1150">
        <f t="shared" si="413"/>
        <v>2547.6799999999998</v>
      </c>
      <c r="BB235" s="1150">
        <f t="shared" si="643"/>
        <v>0</v>
      </c>
      <c r="BC235" s="1028">
        <v>0</v>
      </c>
      <c r="BD235" s="1150" t="str">
        <f t="shared" si="414"/>
        <v>0</v>
      </c>
      <c r="BE235" s="1028">
        <v>3</v>
      </c>
      <c r="BF235" s="1150">
        <f t="shared" si="556"/>
        <v>50.95</v>
      </c>
      <c r="BG235" s="1151">
        <v>300</v>
      </c>
      <c r="BH235" s="1151">
        <f t="shared" ref="BH235:BH298" si="647">+IF(AND(Z235&gt;0,G235="M"),12.5,0)*0</f>
        <v>0</v>
      </c>
      <c r="BI235" s="1180">
        <v>0</v>
      </c>
      <c r="BJ235" s="1180">
        <f t="shared" si="642"/>
        <v>0</v>
      </c>
      <c r="BK235" s="1151">
        <v>0</v>
      </c>
      <c r="BL235" s="1150">
        <f t="shared" si="630"/>
        <v>12.54</v>
      </c>
      <c r="BM235" s="1150">
        <f t="shared" si="631"/>
        <v>1.57</v>
      </c>
      <c r="BN235" s="1150">
        <f t="shared" si="644"/>
        <v>3.4</v>
      </c>
      <c r="BO235" s="1150">
        <v>0</v>
      </c>
      <c r="BP235" s="1150">
        <v>0</v>
      </c>
      <c r="BQ235" s="1396">
        <f t="shared" ref="BQ235" si="648">ROUND(SUM(BL235:BP235),2)</f>
        <v>17.510000000000002</v>
      </c>
      <c r="BR235" s="1150">
        <f t="shared" si="634"/>
        <v>28.22</v>
      </c>
      <c r="BS235" s="1150">
        <f t="shared" si="635"/>
        <v>6.27</v>
      </c>
      <c r="BT235" s="1150">
        <f t="shared" ref="BT235:BT298" si="649">ROUND(IF(M235="",(BN235*2),0),2)</f>
        <v>6.8</v>
      </c>
      <c r="BU235" s="1150">
        <v>0</v>
      </c>
      <c r="BV235" s="1151">
        <f t="shared" ref="BV235" si="650">ROUND(SUM(BR235:BT235),2)</f>
        <v>41.29</v>
      </c>
      <c r="BW235" s="1155">
        <f t="shared" ref="BW235" si="651">BQ235+BV235</f>
        <v>58.8</v>
      </c>
      <c r="BX235" s="1155">
        <f t="shared" si="640"/>
        <v>636.91999999999996</v>
      </c>
      <c r="BY235" s="1151">
        <v>0</v>
      </c>
      <c r="BZ235" s="1151">
        <f t="shared" si="641"/>
        <v>636.91999999999996</v>
      </c>
      <c r="CA235" s="1397">
        <f>'CONCEPTOS Y PARAMETROS'!$A$102</f>
        <v>2120</v>
      </c>
      <c r="CB235" s="1155">
        <f t="shared" ref="CB235:CB298" si="652">W235+AL235-BQ235</f>
        <v>113.14</v>
      </c>
      <c r="CC235" s="1156">
        <f t="shared" ref="CC235:CC298" si="653">ROUND((W235+AM235+AT235+AW235+AX235+BB235+BD235+BF235+BJ235+BK235+BG235),2)</f>
        <v>559.99</v>
      </c>
      <c r="CD235" s="514"/>
      <c r="CE235" s="514"/>
      <c r="CF235" s="521"/>
      <c r="CG235" s="511">
        <f t="shared" ref="CG235:CG298" si="654">W235+AL235-BQ235</f>
        <v>113.14</v>
      </c>
      <c r="CH235" s="1712">
        <f t="shared" ref="CH235:CH298" si="655">BG235</f>
        <v>300</v>
      </c>
      <c r="CI235" s="511">
        <f t="shared" ref="CI235:CI298" si="656">W235+AM235+BG235</f>
        <v>430.65</v>
      </c>
      <c r="CJ235" s="511">
        <f t="shared" ref="CJ235:CJ298" si="657">ROUND(IF(CI235&gt;560,CI235*48%,CI235),2)</f>
        <v>430.65</v>
      </c>
      <c r="CK235" s="511">
        <f t="shared" ref="CK235:CK298" si="658">+CI235-CJ235</f>
        <v>0</v>
      </c>
      <c r="CL235" s="497">
        <f t="shared" ref="CL235:CL298" si="659">+BJ235</f>
        <v>0</v>
      </c>
      <c r="CM235" s="497">
        <f t="shared" ref="CM235:CM298" si="660">+BK235</f>
        <v>0</v>
      </c>
      <c r="CN235" s="512">
        <f t="shared" ref="CN235:CN298" si="661">BF235+BB235</f>
        <v>50.95</v>
      </c>
      <c r="CO235" s="513">
        <v>0</v>
      </c>
      <c r="CP235" s="512">
        <f t="shared" ref="CP235:CP298" si="662">AW235</f>
        <v>78.39</v>
      </c>
      <c r="CQ235" s="500">
        <f t="shared" ref="CQ235:CQ298" si="663">AT235+CL235+CM235</f>
        <v>0</v>
      </c>
      <c r="CR235" s="512">
        <f t="shared" ref="CR235:CR298" si="664">AX235</f>
        <v>0</v>
      </c>
      <c r="CS235" s="512">
        <f t="shared" ref="CS235:CS298" si="665">SUM(CL235:CR235)</f>
        <v>129.34</v>
      </c>
      <c r="CT235" s="512">
        <f t="shared" ref="CT235:CT298" si="666">BQ235+BV235</f>
        <v>58.8</v>
      </c>
      <c r="CU235" s="512">
        <f t="shared" ref="CU235:CU298" si="667">CA235</f>
        <v>2120</v>
      </c>
      <c r="CV235" s="1556"/>
      <c r="CW235" s="1195" t="s">
        <v>6958</v>
      </c>
      <c r="CX235" s="1195" t="s">
        <v>7084</v>
      </c>
      <c r="CY235" s="514"/>
      <c r="CZ235" s="1199" t="s">
        <v>6593</v>
      </c>
      <c r="DA235" s="1198" t="s">
        <v>6173</v>
      </c>
      <c r="DB235" s="1198" t="s">
        <v>6202</v>
      </c>
      <c r="DC235" s="514" t="s">
        <v>6495</v>
      </c>
      <c r="DD235" s="514"/>
      <c r="DE235" s="514"/>
      <c r="DF235" s="514"/>
      <c r="DG235" s="514"/>
      <c r="DH235" s="514"/>
      <c r="DI235" s="478"/>
      <c r="DJ235" s="473" t="str">
        <f>VLOOKUP(X235,Hoja1!$A$4:$B$10,2,0)</f>
        <v>BACHILLER</v>
      </c>
      <c r="DK235" s="473" t="str">
        <f>VLOOKUP(S235,Hoja1!$D$4:$F$77,3,0)</f>
        <v>BI</v>
      </c>
      <c r="DL235" s="1216" t="str">
        <f t="shared" ref="DL235:DL298" si="668">IF(AV235="NOCTURN","SI","0")</f>
        <v>SI</v>
      </c>
      <c r="DM235" s="1741" t="str">
        <f t="shared" ref="DM235:DM298" si="669">+G235</f>
        <v>M</v>
      </c>
      <c r="DN235" s="1741"/>
    </row>
    <row r="236" spans="1:118" s="473" customFormat="1" ht="21.95" customHeight="1">
      <c r="A236" s="510" t="s">
        <v>2846</v>
      </c>
      <c r="B236" s="1390">
        <f t="shared" ca="1" si="479"/>
        <v>194</v>
      </c>
      <c r="C236" s="1194">
        <v>19101647</v>
      </c>
      <c r="D236" s="1195" t="s">
        <v>4867</v>
      </c>
      <c r="E236" s="1180" t="s">
        <v>4622</v>
      </c>
      <c r="F236" s="1196">
        <v>32617</v>
      </c>
      <c r="G236" s="1180" t="s">
        <v>4620</v>
      </c>
      <c r="H236" s="1196">
        <v>43845</v>
      </c>
      <c r="I236" s="1185">
        <f t="shared" si="645"/>
        <v>5</v>
      </c>
      <c r="J236" s="1177">
        <v>0</v>
      </c>
      <c r="K236" s="1185">
        <f t="shared" si="646"/>
        <v>5</v>
      </c>
      <c r="L236" s="1191" t="s">
        <v>5539</v>
      </c>
      <c r="M236" s="1177"/>
      <c r="N236" s="1177"/>
      <c r="O236" s="1040" t="s">
        <v>5222</v>
      </c>
      <c r="P236" s="1177" t="s">
        <v>5423</v>
      </c>
      <c r="Q236" s="1391" t="str">
        <f>IFERROR(VLOOKUP(O236,CARGOS!A:E,2,0),"")</f>
        <v>79511</v>
      </c>
      <c r="R236" s="1403" t="s">
        <v>5222</v>
      </c>
      <c r="S236" s="1192" t="s">
        <v>5490</v>
      </c>
      <c r="T236" s="1150">
        <f>IFERROR(VLOOKUP(S236,'TAB EMP'!A:B,2,0),0)</f>
        <v>150</v>
      </c>
      <c r="U236" s="1151">
        <v>0</v>
      </c>
      <c r="V236" s="1150">
        <f t="shared" si="402"/>
        <v>150</v>
      </c>
      <c r="W236" s="1151">
        <f t="shared" si="403"/>
        <v>75</v>
      </c>
      <c r="X236" s="1180" t="s">
        <v>2884</v>
      </c>
      <c r="Y236" s="1180"/>
      <c r="Z236" s="1180">
        <v>2</v>
      </c>
      <c r="AA236" s="1150">
        <f>ROUND(IF(H236&lt;&gt;"",VLOOKUP(SUM(I236+J236),'CONCEPTOS Y PARAMETROS'!F:G,2,0)*V236,0),2)</f>
        <v>7.5</v>
      </c>
      <c r="AB236" s="1150">
        <f>IF(S236&lt;&gt;"",IF(M236="",'CONCEPTOS Y PARAMETROS'!$C$4,0),0)</f>
        <v>130</v>
      </c>
      <c r="AC236" s="1150">
        <f>IF(S236&lt;&gt;"",IF(M236="",'CONCEPTOS Y PARAMETROS'!$C$7*Z236,0),0)</f>
        <v>25</v>
      </c>
      <c r="AD236" s="1150">
        <f>IFERROR(ROUND(VLOOKUP($X236,'CONCEPTOS Y PARAMETROS'!H:I,2,0)*($V236+AA236+AB236+AC236),2),0)</f>
        <v>0</v>
      </c>
      <c r="AE236" s="1150">
        <f t="shared" si="376"/>
        <v>162.5</v>
      </c>
      <c r="AF236" s="1150">
        <f t="shared" si="404"/>
        <v>3.75</v>
      </c>
      <c r="AG236" s="1150">
        <f t="shared" si="405"/>
        <v>3.75</v>
      </c>
      <c r="AH236" s="1150">
        <f t="shared" si="406"/>
        <v>65</v>
      </c>
      <c r="AI236" s="1150">
        <f t="shared" si="407"/>
        <v>65</v>
      </c>
      <c r="AJ236" s="1150">
        <f t="shared" si="408"/>
        <v>0</v>
      </c>
      <c r="AK236" s="1150">
        <f t="shared" si="409"/>
        <v>0</v>
      </c>
      <c r="AL236" s="1151">
        <f t="shared" si="410"/>
        <v>93.75</v>
      </c>
      <c r="AM236" s="1151">
        <f t="shared" si="411"/>
        <v>68.75</v>
      </c>
      <c r="AN236" s="1028">
        <v>0</v>
      </c>
      <c r="AO236" s="1193">
        <f>'CONCEPTOS Y PARAMETROS'!$C$18*AN236</f>
        <v>0</v>
      </c>
      <c r="AP236" s="1028">
        <v>0</v>
      </c>
      <c r="AQ236" s="1193">
        <f>'CONCEPTOS Y PARAMETROS'!$C$21*AP236</f>
        <v>0</v>
      </c>
      <c r="AR236" s="1394">
        <v>0</v>
      </c>
      <c r="AS236" s="1394">
        <v>0</v>
      </c>
      <c r="AT236" s="1394">
        <f t="shared" si="480"/>
        <v>0</v>
      </c>
      <c r="AU236" s="1151">
        <f t="shared" si="412"/>
        <v>406.25</v>
      </c>
      <c r="AV236" s="1178" t="s">
        <v>5080</v>
      </c>
      <c r="AW236" s="1151">
        <f t="shared" si="499"/>
        <v>93.75</v>
      </c>
      <c r="AX236" s="1150">
        <f>IF(T236&lt;&gt;"0",(ROUND(IF(A236="EMPLEADO",eval_formula('CONCEPTOS Y PARAMETROS'!$C$8,NOMINA!V236,NOMINA!$AU236,NOMINA!I236+NOMINA!J236),eval_formula('CONCEPTOS Y PARAMETROS'!$D$8,NOMINA!V236,NOMINA!$AU236,NOMINA!I236+NOMINA!J236)),2))*IF(H236&lt;&gt;"",IF(MONTH(H236)=$BR$8,IF(YEAR(H236)&lt;$BT$7,1,0),0)))</f>
        <v>3250</v>
      </c>
      <c r="AY236" s="1151">
        <v>180</v>
      </c>
      <c r="AZ236" s="1150">
        <f>IFERROR(VLOOKUP(AY236,'CONCEPTOS Y PARAMETROS'!Y:Z,2,0),0)</f>
        <v>150</v>
      </c>
      <c r="BA236" s="1150">
        <f t="shared" si="413"/>
        <v>3046.88</v>
      </c>
      <c r="BB236" s="1150">
        <f t="shared" si="643"/>
        <v>0</v>
      </c>
      <c r="BC236" s="1028">
        <v>0</v>
      </c>
      <c r="BD236" s="1150" t="str">
        <f t="shared" si="414"/>
        <v>0</v>
      </c>
      <c r="BE236" s="1028">
        <v>3</v>
      </c>
      <c r="BF236" s="1150">
        <f t="shared" si="556"/>
        <v>60.94</v>
      </c>
      <c r="BG236" s="1151">
        <v>300</v>
      </c>
      <c r="BH236" s="1151">
        <f t="shared" si="647"/>
        <v>0</v>
      </c>
      <c r="BI236" s="1180">
        <v>0</v>
      </c>
      <c r="BJ236" s="1180">
        <f t="shared" si="642"/>
        <v>0</v>
      </c>
      <c r="BK236" s="1151">
        <v>0</v>
      </c>
      <c r="BL236" s="1150">
        <f t="shared" si="630"/>
        <v>15</v>
      </c>
      <c r="BM236" s="1150">
        <f t="shared" si="631"/>
        <v>1.88</v>
      </c>
      <c r="BN236" s="1150">
        <f t="shared" si="644"/>
        <v>4.0599999999999996</v>
      </c>
      <c r="BO236" s="1150">
        <v>0</v>
      </c>
      <c r="BP236" s="1150">
        <v>0</v>
      </c>
      <c r="BQ236" s="1396">
        <f t="shared" si="373"/>
        <v>20.94</v>
      </c>
      <c r="BR236" s="1150">
        <f t="shared" si="634"/>
        <v>33.75</v>
      </c>
      <c r="BS236" s="1150">
        <f t="shared" si="635"/>
        <v>7.5</v>
      </c>
      <c r="BT236" s="1150">
        <f t="shared" si="649"/>
        <v>8.1199999999999992</v>
      </c>
      <c r="BU236" s="1150">
        <v>0</v>
      </c>
      <c r="BV236" s="1151">
        <f t="shared" si="374"/>
        <v>49.37</v>
      </c>
      <c r="BW236" s="1155">
        <f t="shared" si="375"/>
        <v>70.31</v>
      </c>
      <c r="BX236" s="1155">
        <f t="shared" si="640"/>
        <v>761.72</v>
      </c>
      <c r="BY236" s="1151">
        <v>0</v>
      </c>
      <c r="BZ236" s="1151">
        <f t="shared" si="641"/>
        <v>761.72</v>
      </c>
      <c r="CA236" s="1397">
        <f>'CONCEPTOS Y PARAMETROS'!$A$102</f>
        <v>2120</v>
      </c>
      <c r="CB236" s="1155">
        <f t="shared" si="652"/>
        <v>147.81</v>
      </c>
      <c r="CC236" s="1156">
        <f t="shared" si="653"/>
        <v>3848.44</v>
      </c>
      <c r="CD236" s="514"/>
      <c r="CE236" s="514"/>
      <c r="CF236" s="521"/>
      <c r="CG236" s="511">
        <f t="shared" si="654"/>
        <v>147.81</v>
      </c>
      <c r="CH236" s="1712">
        <f t="shared" si="655"/>
        <v>300</v>
      </c>
      <c r="CI236" s="511">
        <f t="shared" si="656"/>
        <v>443.75</v>
      </c>
      <c r="CJ236" s="511">
        <f t="shared" si="657"/>
        <v>443.75</v>
      </c>
      <c r="CK236" s="511">
        <f t="shared" si="658"/>
        <v>0</v>
      </c>
      <c r="CL236" s="497">
        <f t="shared" si="659"/>
        <v>0</v>
      </c>
      <c r="CM236" s="497">
        <f t="shared" si="660"/>
        <v>0</v>
      </c>
      <c r="CN236" s="512">
        <f t="shared" si="661"/>
        <v>60.94</v>
      </c>
      <c r="CO236" s="513">
        <v>0</v>
      </c>
      <c r="CP236" s="512">
        <f t="shared" si="662"/>
        <v>93.75</v>
      </c>
      <c r="CQ236" s="500">
        <f t="shared" si="663"/>
        <v>0</v>
      </c>
      <c r="CR236" s="512">
        <f t="shared" si="664"/>
        <v>3250</v>
      </c>
      <c r="CS236" s="512">
        <f t="shared" si="665"/>
        <v>3404.69</v>
      </c>
      <c r="CT236" s="512">
        <f t="shared" si="666"/>
        <v>70.31</v>
      </c>
      <c r="CU236" s="512">
        <f t="shared" si="667"/>
        <v>2120</v>
      </c>
      <c r="CV236" s="1556"/>
      <c r="CW236" s="1195" t="s">
        <v>7093</v>
      </c>
      <c r="CX236" s="1195" t="s">
        <v>7094</v>
      </c>
      <c r="CY236" s="514"/>
      <c r="CZ236" s="514" t="s">
        <v>6350</v>
      </c>
      <c r="DA236" s="514" t="s">
        <v>6351</v>
      </c>
      <c r="DB236" s="514" t="s">
        <v>6352</v>
      </c>
      <c r="DC236" s="514" t="s">
        <v>6429</v>
      </c>
      <c r="DD236" s="514"/>
      <c r="DE236" s="514"/>
      <c r="DF236" s="514"/>
      <c r="DG236" s="514"/>
      <c r="DH236" s="514"/>
      <c r="DI236" s="478"/>
      <c r="DJ236" s="473" t="str">
        <f>VLOOKUP(X236,Hoja1!$A$4:$B$10,2,0)</f>
        <v>BACHILLER</v>
      </c>
      <c r="DK236" s="473" t="str">
        <f>VLOOKUP(S236,Hoja1!$D$4:$F$77,3,0)</f>
        <v>BII - II</v>
      </c>
      <c r="DL236" s="1216" t="str">
        <f t="shared" si="668"/>
        <v>SI</v>
      </c>
      <c r="DM236" s="1741" t="str">
        <f t="shared" si="669"/>
        <v>F</v>
      </c>
      <c r="DN236" s="1741"/>
    </row>
    <row r="237" spans="1:118" s="473" customFormat="1" ht="21.95" customHeight="1">
      <c r="A237" s="510" t="s">
        <v>2846</v>
      </c>
      <c r="B237" s="1390">
        <f t="shared" ca="1" si="479"/>
        <v>195</v>
      </c>
      <c r="C237" s="1194">
        <v>19101773</v>
      </c>
      <c r="D237" s="1195" t="s">
        <v>5810</v>
      </c>
      <c r="E237" s="1180" t="s">
        <v>4622</v>
      </c>
      <c r="F237" s="1196">
        <v>32294</v>
      </c>
      <c r="G237" s="1180" t="s">
        <v>4620</v>
      </c>
      <c r="H237" s="1196">
        <v>45200</v>
      </c>
      <c r="I237" s="1185">
        <f t="shared" si="645"/>
        <v>1</v>
      </c>
      <c r="J237" s="1177">
        <v>0</v>
      </c>
      <c r="K237" s="1185">
        <f t="shared" si="646"/>
        <v>1</v>
      </c>
      <c r="L237" s="1191" t="s">
        <v>5551</v>
      </c>
      <c r="M237" s="1177"/>
      <c r="N237" s="1177"/>
      <c r="O237" s="1040" t="s">
        <v>5222</v>
      </c>
      <c r="P237" s="1197" t="s">
        <v>5811</v>
      </c>
      <c r="Q237" s="1391" t="s">
        <v>1161</v>
      </c>
      <c r="R237" s="1403" t="s">
        <v>5222</v>
      </c>
      <c r="S237" s="1192" t="s">
        <v>5475</v>
      </c>
      <c r="T237" s="1150">
        <f>IFERROR(VLOOKUP(S237,'TAB EMP'!A:B,2,0),0)</f>
        <v>192</v>
      </c>
      <c r="U237" s="1151">
        <v>0</v>
      </c>
      <c r="V237" s="1150">
        <f t="shared" si="402"/>
        <v>192</v>
      </c>
      <c r="W237" s="1151">
        <f t="shared" si="403"/>
        <v>96</v>
      </c>
      <c r="X237" s="1180" t="s">
        <v>2844</v>
      </c>
      <c r="Y237" s="1180"/>
      <c r="Z237" s="1180">
        <v>1</v>
      </c>
      <c r="AA237" s="1150">
        <f>ROUND(IF(H237&lt;&gt;"",VLOOKUP(SUM(I237+J237),'CONCEPTOS Y PARAMETROS'!F:G,2,0)*V237,0),2)</f>
        <v>1.92</v>
      </c>
      <c r="AB237" s="1150">
        <f>IF(S237&lt;&gt;"",IF(M237="",'CONCEPTOS Y PARAMETROS'!$C$4,0),0)</f>
        <v>130</v>
      </c>
      <c r="AC237" s="1150">
        <f>IF(S237&lt;&gt;"",IF(M237="",'CONCEPTOS Y PARAMETROS'!$C$7*Z237,0),0)</f>
        <v>12.5</v>
      </c>
      <c r="AD237" s="1150">
        <f>IFERROR(ROUND(VLOOKUP($X237,'CONCEPTOS Y PARAMETROS'!H:I,2,0)*($V237+AA237+AB237+AC237),2),0)</f>
        <v>67.28</v>
      </c>
      <c r="AE237" s="1150">
        <f t="shared" ref="AE237" si="670">SUM(AA237:AD237)</f>
        <v>211.7</v>
      </c>
      <c r="AF237" s="1150">
        <f t="shared" si="404"/>
        <v>0.96</v>
      </c>
      <c r="AG237" s="1150">
        <f t="shared" si="405"/>
        <v>0.96</v>
      </c>
      <c r="AH237" s="1150">
        <f t="shared" si="406"/>
        <v>65</v>
      </c>
      <c r="AI237" s="1150">
        <f t="shared" si="407"/>
        <v>65</v>
      </c>
      <c r="AJ237" s="1150">
        <f t="shared" si="408"/>
        <v>33.64</v>
      </c>
      <c r="AK237" s="1150">
        <f t="shared" si="409"/>
        <v>33.64</v>
      </c>
      <c r="AL237" s="1151">
        <f t="shared" si="410"/>
        <v>112.1</v>
      </c>
      <c r="AM237" s="1151">
        <f t="shared" si="411"/>
        <v>99.6</v>
      </c>
      <c r="AN237" s="1028">
        <v>0</v>
      </c>
      <c r="AO237" s="1193">
        <f>'CONCEPTOS Y PARAMETROS'!$C$18*AN237</f>
        <v>0</v>
      </c>
      <c r="AP237" s="1028">
        <v>0</v>
      </c>
      <c r="AQ237" s="1193">
        <f>'CONCEPTOS Y PARAMETROS'!$C$21*AP237</f>
        <v>0</v>
      </c>
      <c r="AR237" s="1394">
        <v>0</v>
      </c>
      <c r="AS237" s="1394">
        <v>0</v>
      </c>
      <c r="AT237" s="1394">
        <f t="shared" ref="AT237" si="671">+AO237+AQ237+AR237+AS237</f>
        <v>0</v>
      </c>
      <c r="AU237" s="1151">
        <f t="shared" si="412"/>
        <v>524.80999999999995</v>
      </c>
      <c r="AV237" s="1178" t="s">
        <v>5080</v>
      </c>
      <c r="AW237" s="1151">
        <f t="shared" si="499"/>
        <v>121.11</v>
      </c>
      <c r="AX237" s="1150">
        <f>IF(T237&lt;&gt;"0",(ROUND(IF(A237="EMPLEADO",eval_formula('CONCEPTOS Y PARAMETROS'!$C$8,NOMINA!V237,NOMINA!$AU237,NOMINA!I237+NOMINA!J237),eval_formula('CONCEPTOS Y PARAMETROS'!$D$8,NOMINA!V237,NOMINA!$AU237,NOMINA!I237+NOMINA!J237)),2))*IF(H237&lt;&gt;"",IF(MONTH(H237)=$BR$8,IF(YEAR(H237)&lt;$BT$7,1,0),0)))</f>
        <v>0</v>
      </c>
      <c r="AY237" s="1151">
        <v>180</v>
      </c>
      <c r="AZ237" s="1150">
        <f>IFERROR(VLOOKUP(AY237,'CONCEPTOS Y PARAMETROS'!Y:Z,2,0),0)</f>
        <v>150</v>
      </c>
      <c r="BA237" s="1150">
        <f t="shared" si="413"/>
        <v>3936.08</v>
      </c>
      <c r="BB237" s="1150">
        <f t="shared" si="643"/>
        <v>0</v>
      </c>
      <c r="BC237" s="1028">
        <v>0</v>
      </c>
      <c r="BD237" s="1150" t="str">
        <f t="shared" si="414"/>
        <v>0</v>
      </c>
      <c r="BE237" s="1028">
        <v>3</v>
      </c>
      <c r="BF237" s="1150">
        <f t="shared" si="556"/>
        <v>78.72</v>
      </c>
      <c r="BG237" s="1151">
        <v>300</v>
      </c>
      <c r="BH237" s="1151">
        <f t="shared" si="647"/>
        <v>0</v>
      </c>
      <c r="BI237" s="1180">
        <v>0</v>
      </c>
      <c r="BJ237" s="1180">
        <f t="shared" si="642"/>
        <v>0</v>
      </c>
      <c r="BK237" s="1151">
        <v>0</v>
      </c>
      <c r="BL237" s="1150">
        <f t="shared" si="630"/>
        <v>19.38</v>
      </c>
      <c r="BM237" s="1150">
        <f t="shared" si="631"/>
        <v>2.42</v>
      </c>
      <c r="BN237" s="1150">
        <f t="shared" si="644"/>
        <v>5.25</v>
      </c>
      <c r="BO237" s="1150">
        <v>0</v>
      </c>
      <c r="BP237" s="1150">
        <v>0</v>
      </c>
      <c r="BQ237" s="1396">
        <f t="shared" si="373"/>
        <v>27.05</v>
      </c>
      <c r="BR237" s="1150">
        <f t="shared" si="634"/>
        <v>43.6</v>
      </c>
      <c r="BS237" s="1150">
        <f t="shared" si="635"/>
        <v>9.69</v>
      </c>
      <c r="BT237" s="1150">
        <f t="shared" si="649"/>
        <v>10.5</v>
      </c>
      <c r="BU237" s="1150">
        <v>0</v>
      </c>
      <c r="BV237" s="1151">
        <f t="shared" si="374"/>
        <v>63.79</v>
      </c>
      <c r="BW237" s="1155">
        <f t="shared" si="375"/>
        <v>90.84</v>
      </c>
      <c r="BX237" s="1155">
        <f t="shared" si="640"/>
        <v>984.02</v>
      </c>
      <c r="BY237" s="1151">
        <v>0</v>
      </c>
      <c r="BZ237" s="1151">
        <f t="shared" si="641"/>
        <v>984.02</v>
      </c>
      <c r="CA237" s="1397">
        <f>'CONCEPTOS Y PARAMETROS'!$A$102</f>
        <v>2120</v>
      </c>
      <c r="CB237" s="1155">
        <f t="shared" si="652"/>
        <v>181.04999999999998</v>
      </c>
      <c r="CC237" s="1156">
        <f t="shared" si="653"/>
        <v>695.43</v>
      </c>
      <c r="CD237" s="514"/>
      <c r="CE237" s="514"/>
      <c r="CF237" s="521"/>
      <c r="CG237" s="511">
        <f t="shared" si="654"/>
        <v>181.04999999999998</v>
      </c>
      <c r="CH237" s="1712">
        <f t="shared" si="655"/>
        <v>300</v>
      </c>
      <c r="CI237" s="511">
        <f t="shared" si="656"/>
        <v>495.6</v>
      </c>
      <c r="CJ237" s="511">
        <f t="shared" si="657"/>
        <v>495.6</v>
      </c>
      <c r="CK237" s="511">
        <f t="shared" si="658"/>
        <v>0</v>
      </c>
      <c r="CL237" s="497">
        <f t="shared" si="659"/>
        <v>0</v>
      </c>
      <c r="CM237" s="497">
        <f t="shared" si="660"/>
        <v>0</v>
      </c>
      <c r="CN237" s="512">
        <f t="shared" si="661"/>
        <v>78.72</v>
      </c>
      <c r="CO237" s="513">
        <v>0</v>
      </c>
      <c r="CP237" s="512">
        <f t="shared" si="662"/>
        <v>121.11</v>
      </c>
      <c r="CQ237" s="500">
        <f t="shared" si="663"/>
        <v>0</v>
      </c>
      <c r="CR237" s="512">
        <f t="shared" si="664"/>
        <v>0</v>
      </c>
      <c r="CS237" s="512">
        <f t="shared" si="665"/>
        <v>199.82999999999998</v>
      </c>
      <c r="CT237" s="512">
        <f t="shared" si="666"/>
        <v>90.84</v>
      </c>
      <c r="CU237" s="512">
        <f t="shared" si="667"/>
        <v>2120</v>
      </c>
      <c r="CV237" s="1556"/>
      <c r="CW237" s="1195" t="s">
        <v>7095</v>
      </c>
      <c r="CX237" s="1195" t="s">
        <v>7096</v>
      </c>
      <c r="CY237" s="514"/>
      <c r="CZ237" s="1199" t="s">
        <v>6594</v>
      </c>
      <c r="DA237" s="1199" t="s">
        <v>6173</v>
      </c>
      <c r="DB237" s="1199" t="s">
        <v>6185</v>
      </c>
      <c r="DC237" s="514" t="s">
        <v>6613</v>
      </c>
      <c r="DD237" s="514"/>
      <c r="DE237" s="514"/>
      <c r="DF237" s="514"/>
      <c r="DG237" s="514"/>
      <c r="DH237" s="514"/>
      <c r="DI237" s="478"/>
      <c r="DJ237" s="473" t="str">
        <f>VLOOKUP(X237,Hoja1!$A$4:$B$10,2,0)</f>
        <v>TÉCNICO SUPERIOR UNIVERSITARIO</v>
      </c>
      <c r="DK237" s="473" t="str">
        <f>VLOOKUP(S237,Hoja1!$D$4:$F$77,3,0)</f>
        <v>TI</v>
      </c>
      <c r="DL237" s="1216" t="str">
        <f t="shared" si="668"/>
        <v>SI</v>
      </c>
      <c r="DM237" s="1741" t="str">
        <f t="shared" si="669"/>
        <v>F</v>
      </c>
      <c r="DN237" s="1741"/>
    </row>
    <row r="238" spans="1:118" s="1654" customFormat="1" ht="21.95" customHeight="1">
      <c r="A238" s="1624" t="s">
        <v>2846</v>
      </c>
      <c r="B238" s="1625">
        <f t="shared" ca="1" si="479"/>
        <v>196</v>
      </c>
      <c r="C238" s="1626">
        <v>19103118</v>
      </c>
      <c r="D238" s="1627" t="s">
        <v>4869</v>
      </c>
      <c r="E238" s="1628" t="s">
        <v>4622</v>
      </c>
      <c r="F238" s="1629">
        <v>32241</v>
      </c>
      <c r="G238" s="1628" t="s">
        <v>4620</v>
      </c>
      <c r="H238" s="1629">
        <v>43724</v>
      </c>
      <c r="I238" s="1630">
        <f t="shared" si="645"/>
        <v>5</v>
      </c>
      <c r="J238" s="1631">
        <v>0</v>
      </c>
      <c r="K238" s="1630">
        <f t="shared" si="646"/>
        <v>5</v>
      </c>
      <c r="L238" s="1632" t="s">
        <v>5539</v>
      </c>
      <c r="M238" s="1631"/>
      <c r="N238" s="1631"/>
      <c r="O238" s="1633" t="s">
        <v>5254</v>
      </c>
      <c r="P238" s="1631" t="s">
        <v>5424</v>
      </c>
      <c r="Q238" s="1634" t="str">
        <f>IFERROR(VLOOKUP(O238,CARGOS!A:E,2,0),"")</f>
        <v>79342</v>
      </c>
      <c r="R238" s="1635" t="s">
        <v>5254</v>
      </c>
      <c r="S238" s="1636" t="s">
        <v>5481</v>
      </c>
      <c r="T238" s="1637">
        <f>IFERROR(VLOOKUP(S238,'TAB EMP'!A:B,2,0),0)</f>
        <v>219</v>
      </c>
      <c r="U238" s="1638">
        <v>0</v>
      </c>
      <c r="V238" s="1637">
        <f t="shared" si="402"/>
        <v>219</v>
      </c>
      <c r="W238" s="1638">
        <f t="shared" si="403"/>
        <v>109.5</v>
      </c>
      <c r="X238" s="1628" t="s">
        <v>2844</v>
      </c>
      <c r="Y238" s="1628"/>
      <c r="Z238" s="1628">
        <v>2</v>
      </c>
      <c r="AA238" s="1637">
        <f>ROUND(IF(H238&lt;&gt;"",VLOOKUP(SUM(I238+J238),'CONCEPTOS Y PARAMETROS'!F:G,2,0)*V238,0),2)</f>
        <v>10.95</v>
      </c>
      <c r="AB238" s="1637">
        <f>IF(S238&lt;&gt;"",IF(M238="",'CONCEPTOS Y PARAMETROS'!$C$4,0),0)</f>
        <v>130</v>
      </c>
      <c r="AC238" s="1637">
        <f>IF(S238&lt;&gt;"",IF(M238="",'CONCEPTOS Y PARAMETROS'!$C$7*Z238,0),0)</f>
        <v>25</v>
      </c>
      <c r="AD238" s="1637">
        <f>IFERROR(ROUND(VLOOKUP($X238,'CONCEPTOS Y PARAMETROS'!H:I,2,0)*($V238+AA238+AB238+AC238),2),0)</f>
        <v>76.989999999999995</v>
      </c>
      <c r="AE238" s="1637">
        <f t="shared" si="376"/>
        <v>242.94</v>
      </c>
      <c r="AF238" s="1637">
        <f t="shared" si="404"/>
        <v>5.48</v>
      </c>
      <c r="AG238" s="1637">
        <f t="shared" si="405"/>
        <v>5.47</v>
      </c>
      <c r="AH238" s="1637">
        <f t="shared" si="406"/>
        <v>65</v>
      </c>
      <c r="AI238" s="1637">
        <f t="shared" si="407"/>
        <v>65</v>
      </c>
      <c r="AJ238" s="1637">
        <f t="shared" si="408"/>
        <v>38.5</v>
      </c>
      <c r="AK238" s="1637">
        <f t="shared" si="409"/>
        <v>38.49</v>
      </c>
      <c r="AL238" s="1638">
        <f t="shared" si="410"/>
        <v>133.97999999999999</v>
      </c>
      <c r="AM238" s="1638">
        <f t="shared" si="411"/>
        <v>108.96</v>
      </c>
      <c r="AN238" s="1639">
        <v>0</v>
      </c>
      <c r="AO238" s="1640">
        <f>'CONCEPTOS Y PARAMETROS'!$C$18*AN238</f>
        <v>0</v>
      </c>
      <c r="AP238" s="1639">
        <v>0</v>
      </c>
      <c r="AQ238" s="1640">
        <f>'CONCEPTOS Y PARAMETROS'!$C$21*AP238</f>
        <v>0</v>
      </c>
      <c r="AR238" s="1641">
        <v>0</v>
      </c>
      <c r="AS238" s="1641">
        <v>0</v>
      </c>
      <c r="AT238" s="1641">
        <f t="shared" si="480"/>
        <v>0</v>
      </c>
      <c r="AU238" s="1638">
        <f t="shared" si="412"/>
        <v>461.94</v>
      </c>
      <c r="AV238" s="1642">
        <v>0</v>
      </c>
      <c r="AW238" s="1638">
        <f t="shared" si="499"/>
        <v>0</v>
      </c>
      <c r="AX238" s="1637">
        <f>IF(T238&lt;&gt;"0",(ROUND(IF(A238="EMPLEADO",eval_formula('CONCEPTOS Y PARAMETROS'!$C$8,NOMINA!V238,NOMINA!$AU238,NOMINA!I238+NOMINA!J238),eval_formula('CONCEPTOS Y PARAMETROS'!$D$8,NOMINA!V238,NOMINA!$AU238,NOMINA!I238+NOMINA!J238)),2))*IF(H238&lt;&gt;"",IF(MONTH(H238)=$BR$8,IF(YEAR(H238)&lt;$BT$7,1,0),0)))</f>
        <v>0</v>
      </c>
      <c r="AY238" s="1638">
        <v>180</v>
      </c>
      <c r="AZ238" s="1637">
        <f>IFERROR(VLOOKUP(AY238,'CONCEPTOS Y PARAMETROS'!Y:Z,2,0),0)</f>
        <v>150</v>
      </c>
      <c r="BA238" s="1637">
        <f t="shared" si="413"/>
        <v>3464.55</v>
      </c>
      <c r="BB238" s="1637">
        <f t="shared" si="643"/>
        <v>0</v>
      </c>
      <c r="BC238" s="1639">
        <v>0</v>
      </c>
      <c r="BD238" s="1637" t="str">
        <f t="shared" si="414"/>
        <v>0</v>
      </c>
      <c r="BE238" s="1639">
        <v>0</v>
      </c>
      <c r="BF238" s="1637">
        <f t="shared" si="556"/>
        <v>0</v>
      </c>
      <c r="BG238" s="1638">
        <v>300</v>
      </c>
      <c r="BH238" s="1638">
        <f t="shared" si="647"/>
        <v>0</v>
      </c>
      <c r="BI238" s="1628">
        <v>0</v>
      </c>
      <c r="BJ238" s="1628">
        <f t="shared" si="642"/>
        <v>0</v>
      </c>
      <c r="BK238" s="1638">
        <v>0</v>
      </c>
      <c r="BL238" s="1637">
        <f t="shared" si="630"/>
        <v>17.059999999999999</v>
      </c>
      <c r="BM238" s="1637">
        <f t="shared" si="631"/>
        <v>2.13</v>
      </c>
      <c r="BN238" s="1637">
        <f t="shared" si="644"/>
        <v>4.62</v>
      </c>
      <c r="BO238" s="1637">
        <v>0</v>
      </c>
      <c r="BP238" s="1637">
        <v>0</v>
      </c>
      <c r="BQ238" s="1643">
        <f t="shared" si="373"/>
        <v>23.81</v>
      </c>
      <c r="BR238" s="1637">
        <f t="shared" si="634"/>
        <v>38.380000000000003</v>
      </c>
      <c r="BS238" s="1637">
        <f t="shared" si="635"/>
        <v>8.5299999999999994</v>
      </c>
      <c r="BT238" s="1637">
        <f t="shared" si="649"/>
        <v>9.24</v>
      </c>
      <c r="BU238" s="1637">
        <v>0</v>
      </c>
      <c r="BV238" s="1638">
        <f t="shared" si="374"/>
        <v>56.15</v>
      </c>
      <c r="BW238" s="1644">
        <f t="shared" si="375"/>
        <v>79.959999999999994</v>
      </c>
      <c r="BX238" s="1644">
        <f t="shared" si="640"/>
        <v>866.14</v>
      </c>
      <c r="BY238" s="1638">
        <v>0</v>
      </c>
      <c r="BZ238" s="1638">
        <f t="shared" si="641"/>
        <v>866.14</v>
      </c>
      <c r="CA238" s="1645">
        <f>'CONCEPTOS Y PARAMETROS'!$A$102</f>
        <v>2120</v>
      </c>
      <c r="CB238" s="1644">
        <f t="shared" si="652"/>
        <v>219.67</v>
      </c>
      <c r="CC238" s="1646">
        <f t="shared" si="653"/>
        <v>518.46</v>
      </c>
      <c r="CD238" s="1647"/>
      <c r="CE238" s="1647"/>
      <c r="CF238" s="1648"/>
      <c r="CG238" s="1649">
        <f t="shared" si="654"/>
        <v>219.67</v>
      </c>
      <c r="CH238" s="1713">
        <f t="shared" si="655"/>
        <v>300</v>
      </c>
      <c r="CI238" s="1649">
        <f t="shared" si="656"/>
        <v>518.46</v>
      </c>
      <c r="CJ238" s="1649">
        <f t="shared" si="657"/>
        <v>518.46</v>
      </c>
      <c r="CK238" s="1649">
        <f t="shared" si="658"/>
        <v>0</v>
      </c>
      <c r="CL238" s="1649">
        <f t="shared" si="659"/>
        <v>0</v>
      </c>
      <c r="CM238" s="1649">
        <f t="shared" si="660"/>
        <v>0</v>
      </c>
      <c r="CN238" s="1650">
        <f t="shared" si="661"/>
        <v>0</v>
      </c>
      <c r="CO238" s="1651">
        <v>0</v>
      </c>
      <c r="CP238" s="1650">
        <f t="shared" si="662"/>
        <v>0</v>
      </c>
      <c r="CQ238" s="1652">
        <f t="shared" si="663"/>
        <v>0</v>
      </c>
      <c r="CR238" s="1650">
        <f t="shared" si="664"/>
        <v>0</v>
      </c>
      <c r="CS238" s="1650">
        <f t="shared" si="665"/>
        <v>0</v>
      </c>
      <c r="CT238" s="1650">
        <f t="shared" si="666"/>
        <v>79.959999999999994</v>
      </c>
      <c r="CU238" s="1650">
        <f t="shared" si="667"/>
        <v>2120</v>
      </c>
      <c r="CV238" s="1653"/>
      <c r="CW238" s="1627" t="s">
        <v>7098</v>
      </c>
      <c r="CX238" s="1627" t="s">
        <v>7099</v>
      </c>
      <c r="CY238" s="1647"/>
      <c r="CZ238" s="1647" t="s">
        <v>6353</v>
      </c>
      <c r="DA238" s="1657" t="s">
        <v>6173</v>
      </c>
      <c r="DB238" s="1657" t="s">
        <v>6291</v>
      </c>
      <c r="DC238" s="1647" t="s">
        <v>6627</v>
      </c>
      <c r="DD238" s="1647"/>
      <c r="DE238" s="1647"/>
      <c r="DF238" s="1647"/>
      <c r="DG238" s="1647"/>
      <c r="DH238" s="1647"/>
      <c r="DJ238" s="1654" t="str">
        <f>VLOOKUP(X238,Hoja1!$A$4:$B$10,2,0)</f>
        <v>TÉCNICO SUPERIOR UNIVERSITARIO</v>
      </c>
      <c r="DK238" s="1654" t="str">
        <f>VLOOKUP(S238,Hoja1!$D$4:$F$77,3,0)</f>
        <v>TII - II</v>
      </c>
      <c r="DL238" s="1663" t="str">
        <f t="shared" si="668"/>
        <v>0</v>
      </c>
      <c r="DM238" s="1742" t="str">
        <f t="shared" si="669"/>
        <v>F</v>
      </c>
      <c r="DN238" s="1742"/>
    </row>
    <row r="239" spans="1:118" s="473" customFormat="1" ht="21.95" customHeight="1">
      <c r="A239" s="510" t="s">
        <v>2846</v>
      </c>
      <c r="B239" s="1390">
        <f t="shared" ca="1" si="479"/>
        <v>197</v>
      </c>
      <c r="C239" s="1194">
        <v>19103604</v>
      </c>
      <c r="D239" s="1195" t="s">
        <v>4870</v>
      </c>
      <c r="E239" s="1180" t="s">
        <v>4622</v>
      </c>
      <c r="F239" s="1196">
        <v>32788</v>
      </c>
      <c r="G239" s="1180" t="s">
        <v>4620</v>
      </c>
      <c r="H239" s="1196">
        <v>44600</v>
      </c>
      <c r="I239" s="1185">
        <f t="shared" si="645"/>
        <v>2</v>
      </c>
      <c r="J239" s="1177">
        <v>0</v>
      </c>
      <c r="K239" s="1185">
        <f t="shared" si="646"/>
        <v>2</v>
      </c>
      <c r="L239" s="1191" t="s">
        <v>5547</v>
      </c>
      <c r="M239" s="1177"/>
      <c r="N239" s="1177"/>
      <c r="O239" s="1040" t="s">
        <v>5219</v>
      </c>
      <c r="P239" s="1177" t="s">
        <v>5425</v>
      </c>
      <c r="Q239" s="1391" t="str">
        <f>IFERROR(VLOOKUP(O239,CARGOS!A:E,2,0),"")</f>
        <v>12113</v>
      </c>
      <c r="R239" s="1403" t="s">
        <v>5219</v>
      </c>
      <c r="S239" s="1192" t="s">
        <v>5475</v>
      </c>
      <c r="T239" s="1150">
        <f>IFERROR(VLOOKUP(S239,'TAB EMP'!A:B,2,0),0)</f>
        <v>192</v>
      </c>
      <c r="U239" s="1151">
        <v>0</v>
      </c>
      <c r="V239" s="1150">
        <f t="shared" si="402"/>
        <v>192</v>
      </c>
      <c r="W239" s="1151">
        <f t="shared" si="403"/>
        <v>96</v>
      </c>
      <c r="X239" s="1180" t="s">
        <v>2844</v>
      </c>
      <c r="Y239" s="1180"/>
      <c r="Z239" s="1180">
        <v>2</v>
      </c>
      <c r="AA239" s="1150">
        <f>ROUND(IF(H239&lt;&gt;"",VLOOKUP(SUM(I239+J239),'CONCEPTOS Y PARAMETROS'!F:G,2,0)*V239,0),2)</f>
        <v>3.84</v>
      </c>
      <c r="AB239" s="1150">
        <f>IF(S239&lt;&gt;"",IF(M239="",'CONCEPTOS Y PARAMETROS'!$C$4,0),0)</f>
        <v>130</v>
      </c>
      <c r="AC239" s="1150">
        <f>IF(S239&lt;&gt;"",IF(M239="",'CONCEPTOS Y PARAMETROS'!$C$7*Z239,0),0)</f>
        <v>25</v>
      </c>
      <c r="AD239" s="1150">
        <f>IFERROR(ROUND(VLOOKUP($X239,'CONCEPTOS Y PARAMETROS'!H:I,2,0)*($V239+AA239+AB239+AC239),2),0)</f>
        <v>70.17</v>
      </c>
      <c r="AE239" s="1150">
        <f t="shared" si="376"/>
        <v>229.01</v>
      </c>
      <c r="AF239" s="1150">
        <f t="shared" si="404"/>
        <v>1.92</v>
      </c>
      <c r="AG239" s="1150">
        <f t="shared" si="405"/>
        <v>1.92</v>
      </c>
      <c r="AH239" s="1150">
        <f t="shared" si="406"/>
        <v>65</v>
      </c>
      <c r="AI239" s="1150">
        <f t="shared" si="407"/>
        <v>65</v>
      </c>
      <c r="AJ239" s="1150">
        <f t="shared" si="408"/>
        <v>35.090000000000003</v>
      </c>
      <c r="AK239" s="1150">
        <f t="shared" si="409"/>
        <v>35.08</v>
      </c>
      <c r="AL239" s="1151">
        <f t="shared" si="410"/>
        <v>127.01</v>
      </c>
      <c r="AM239" s="1151">
        <f t="shared" si="411"/>
        <v>102</v>
      </c>
      <c r="AN239" s="1584">
        <v>2</v>
      </c>
      <c r="AO239" s="1193">
        <f>'CONCEPTOS Y PARAMETROS'!$C$18*AN239</f>
        <v>25</v>
      </c>
      <c r="AP239" s="1028">
        <v>0</v>
      </c>
      <c r="AQ239" s="1193">
        <f>'CONCEPTOS Y PARAMETROS'!$C$21*AP239</f>
        <v>0</v>
      </c>
      <c r="AR239" s="1394">
        <v>0</v>
      </c>
      <c r="AS239" s="1394">
        <v>0</v>
      </c>
      <c r="AT239" s="1394">
        <f t="shared" si="480"/>
        <v>25</v>
      </c>
      <c r="AU239" s="1151">
        <f t="shared" si="412"/>
        <v>421.01</v>
      </c>
      <c r="AV239" s="1178">
        <v>0</v>
      </c>
      <c r="AW239" s="1151">
        <f t="shared" si="499"/>
        <v>0</v>
      </c>
      <c r="AX239" s="1150">
        <f>IF(T239&lt;&gt;"0",(ROUND(IF(A239="EMPLEADO",eval_formula('CONCEPTOS Y PARAMETROS'!$C$8,NOMINA!V239,NOMINA!$AU239,NOMINA!I239+NOMINA!J239),eval_formula('CONCEPTOS Y PARAMETROS'!$D$8,NOMINA!V239,NOMINA!$AU239,NOMINA!I239+NOMINA!J239)),2))*IF(H239&lt;&gt;"",IF(MONTH(H239)=$BR$8,IF(YEAR(H239)&lt;$BT$7,1,0),0)))</f>
        <v>0</v>
      </c>
      <c r="AY239" s="1151">
        <v>180</v>
      </c>
      <c r="AZ239" s="1150">
        <f>IFERROR(VLOOKUP(AY239,'CONCEPTOS Y PARAMETROS'!Y:Z,2,0),0)</f>
        <v>150</v>
      </c>
      <c r="BA239" s="1150">
        <f t="shared" si="413"/>
        <v>3157.58</v>
      </c>
      <c r="BB239" s="1150">
        <f t="shared" si="643"/>
        <v>0</v>
      </c>
      <c r="BC239" s="1028">
        <v>0</v>
      </c>
      <c r="BD239" s="1150" t="str">
        <f t="shared" si="414"/>
        <v>0</v>
      </c>
      <c r="BE239" s="1028">
        <v>0</v>
      </c>
      <c r="BF239" s="1150">
        <f t="shared" si="556"/>
        <v>0</v>
      </c>
      <c r="BG239" s="1151">
        <v>300</v>
      </c>
      <c r="BH239" s="1151">
        <f t="shared" si="647"/>
        <v>0</v>
      </c>
      <c r="BI239" s="1180">
        <v>0</v>
      </c>
      <c r="BJ239" s="1180">
        <f t="shared" si="642"/>
        <v>0</v>
      </c>
      <c r="BK239" s="1151">
        <v>0</v>
      </c>
      <c r="BL239" s="1150">
        <f t="shared" si="630"/>
        <v>15.54</v>
      </c>
      <c r="BM239" s="1150">
        <f t="shared" si="631"/>
        <v>1.94</v>
      </c>
      <c r="BN239" s="1150">
        <f t="shared" si="644"/>
        <v>4.21</v>
      </c>
      <c r="BO239" s="1150">
        <v>0</v>
      </c>
      <c r="BP239" s="1150">
        <v>0</v>
      </c>
      <c r="BQ239" s="1396">
        <f t="shared" si="373"/>
        <v>21.69</v>
      </c>
      <c r="BR239" s="1150">
        <f t="shared" si="634"/>
        <v>34.979999999999997</v>
      </c>
      <c r="BS239" s="1150">
        <f t="shared" si="635"/>
        <v>7.77</v>
      </c>
      <c r="BT239" s="1150">
        <f t="shared" si="649"/>
        <v>8.42</v>
      </c>
      <c r="BU239" s="1150">
        <v>0</v>
      </c>
      <c r="BV239" s="1151">
        <f t="shared" si="374"/>
        <v>51.17</v>
      </c>
      <c r="BW239" s="1155">
        <f t="shared" si="375"/>
        <v>72.86</v>
      </c>
      <c r="BX239" s="1155">
        <f t="shared" si="640"/>
        <v>789.4</v>
      </c>
      <c r="BY239" s="1151">
        <v>0</v>
      </c>
      <c r="BZ239" s="1151">
        <f t="shared" si="641"/>
        <v>789.4</v>
      </c>
      <c r="CA239" s="1397">
        <f>'CONCEPTOS Y PARAMETROS'!$A$102</f>
        <v>2120</v>
      </c>
      <c r="CB239" s="1155">
        <f t="shared" si="652"/>
        <v>201.32</v>
      </c>
      <c r="CC239" s="1156">
        <f t="shared" si="653"/>
        <v>523</v>
      </c>
      <c r="CD239" s="514"/>
      <c r="CE239" s="514"/>
      <c r="CF239" s="520"/>
      <c r="CG239" s="497">
        <f t="shared" si="654"/>
        <v>201.32</v>
      </c>
      <c r="CH239" s="1711">
        <f t="shared" si="655"/>
        <v>300</v>
      </c>
      <c r="CI239" s="497">
        <f t="shared" si="656"/>
        <v>498</v>
      </c>
      <c r="CJ239" s="497">
        <f t="shared" si="657"/>
        <v>498</v>
      </c>
      <c r="CK239" s="497">
        <f t="shared" si="658"/>
        <v>0</v>
      </c>
      <c r="CL239" s="497">
        <f t="shared" si="659"/>
        <v>0</v>
      </c>
      <c r="CM239" s="497">
        <f t="shared" si="660"/>
        <v>0</v>
      </c>
      <c r="CN239" s="498">
        <f t="shared" si="661"/>
        <v>0</v>
      </c>
      <c r="CO239" s="499">
        <v>0</v>
      </c>
      <c r="CP239" s="498">
        <f t="shared" si="662"/>
        <v>0</v>
      </c>
      <c r="CQ239" s="500">
        <f t="shared" si="663"/>
        <v>25</v>
      </c>
      <c r="CR239" s="498">
        <f t="shared" si="664"/>
        <v>0</v>
      </c>
      <c r="CS239" s="498">
        <f t="shared" si="665"/>
        <v>25</v>
      </c>
      <c r="CT239" s="498">
        <f t="shared" si="666"/>
        <v>72.86</v>
      </c>
      <c r="CU239" s="498">
        <f t="shared" si="667"/>
        <v>2120</v>
      </c>
      <c r="CV239" s="1554"/>
      <c r="CW239" s="1195" t="s">
        <v>7100</v>
      </c>
      <c r="CX239" s="1195" t="s">
        <v>7101</v>
      </c>
      <c r="CY239" s="472"/>
      <c r="CZ239" s="514" t="s">
        <v>6377</v>
      </c>
      <c r="DA239" s="1199" t="s">
        <v>6241</v>
      </c>
      <c r="DB239" s="514" t="s">
        <v>6378</v>
      </c>
      <c r="DC239" s="514" t="s">
        <v>6587</v>
      </c>
      <c r="DD239" s="514"/>
      <c r="DE239" s="514"/>
      <c r="DF239" s="472"/>
      <c r="DG239" s="472"/>
      <c r="DH239" s="472"/>
      <c r="DJ239" s="473" t="str">
        <f>VLOOKUP(X239,Hoja1!$A$4:$B$10,2,0)</f>
        <v>TÉCNICO SUPERIOR UNIVERSITARIO</v>
      </c>
      <c r="DK239" s="473" t="str">
        <f>VLOOKUP(S239,Hoja1!$D$4:$F$77,3,0)</f>
        <v>TI</v>
      </c>
      <c r="DL239" s="1216" t="str">
        <f t="shared" si="668"/>
        <v>0</v>
      </c>
      <c r="DM239" s="1741" t="str">
        <f t="shared" si="669"/>
        <v>F</v>
      </c>
      <c r="DN239" s="1741"/>
    </row>
    <row r="240" spans="1:118" s="1654" customFormat="1" ht="21.95" customHeight="1">
      <c r="A240" s="1624" t="s">
        <v>2846</v>
      </c>
      <c r="B240" s="1625">
        <f t="shared" ca="1" si="479"/>
        <v>198</v>
      </c>
      <c r="C240" s="1626">
        <v>19103823</v>
      </c>
      <c r="D240" s="1627" t="s">
        <v>7437</v>
      </c>
      <c r="E240" s="1628" t="s">
        <v>4622</v>
      </c>
      <c r="F240" s="1629">
        <v>31758</v>
      </c>
      <c r="G240" s="1628" t="s">
        <v>4620</v>
      </c>
      <c r="H240" s="1629">
        <v>42795</v>
      </c>
      <c r="I240" s="1630">
        <f t="shared" si="645"/>
        <v>7</v>
      </c>
      <c r="J240" s="1631">
        <v>0</v>
      </c>
      <c r="K240" s="1630">
        <f t="shared" si="646"/>
        <v>7</v>
      </c>
      <c r="L240" s="1632" t="s">
        <v>5542</v>
      </c>
      <c r="M240" s="1631"/>
      <c r="N240" s="1631"/>
      <c r="O240" s="1633" t="s">
        <v>5237</v>
      </c>
      <c r="P240" s="1631" t="s">
        <v>5426</v>
      </c>
      <c r="Q240" s="1634" t="str">
        <f>IFERROR(VLOOKUP(O240,CARGOS!A:E,2,0),"")</f>
        <v>79523</v>
      </c>
      <c r="R240" s="1635" t="s">
        <v>5237</v>
      </c>
      <c r="S240" s="1636" t="s">
        <v>5494</v>
      </c>
      <c r="T240" s="1637">
        <f>IFERROR(VLOOKUP(S240,'TAB EMP'!A:B,2,0),0)</f>
        <v>308</v>
      </c>
      <c r="U240" s="1638">
        <v>0</v>
      </c>
      <c r="V240" s="1637">
        <f t="shared" si="402"/>
        <v>308</v>
      </c>
      <c r="W240" s="1638">
        <f t="shared" si="403"/>
        <v>154</v>
      </c>
      <c r="X240" s="1628" t="s">
        <v>2887</v>
      </c>
      <c r="Y240" s="1628"/>
      <c r="Z240" s="1628">
        <v>1</v>
      </c>
      <c r="AA240" s="1637">
        <f>ROUND(IF(H240&lt;&gt;"",VLOOKUP(SUM(I240+J240),'CONCEPTOS Y PARAMETROS'!F:G,2,0)*V240,0),2)</f>
        <v>22.79</v>
      </c>
      <c r="AB240" s="1637">
        <f>IF(S240&lt;&gt;"",IF(M240="",'CONCEPTOS Y PARAMETROS'!$C$4,0),0)</f>
        <v>130</v>
      </c>
      <c r="AC240" s="1637">
        <f>IF(S240&lt;&gt;"",IF(M240="",'CONCEPTOS Y PARAMETROS'!$C$7*Z240,0),0)</f>
        <v>12.5</v>
      </c>
      <c r="AD240" s="1637">
        <f>IFERROR(ROUND(VLOOKUP($X240,'CONCEPTOS Y PARAMETROS'!H:I,2,0)*($V240+AA240+AB240+AC240),2),0)</f>
        <v>165.65</v>
      </c>
      <c r="AE240" s="1637">
        <f t="shared" si="376"/>
        <v>330.94</v>
      </c>
      <c r="AF240" s="1637">
        <f t="shared" si="404"/>
        <v>11.4</v>
      </c>
      <c r="AG240" s="1637">
        <f t="shared" si="405"/>
        <v>11.39</v>
      </c>
      <c r="AH240" s="1637">
        <f t="shared" si="406"/>
        <v>65</v>
      </c>
      <c r="AI240" s="1637">
        <f t="shared" si="407"/>
        <v>65</v>
      </c>
      <c r="AJ240" s="1637">
        <f t="shared" si="408"/>
        <v>82.83</v>
      </c>
      <c r="AK240" s="1637">
        <f t="shared" si="409"/>
        <v>82.82</v>
      </c>
      <c r="AL240" s="1638">
        <f t="shared" si="410"/>
        <v>171.73</v>
      </c>
      <c r="AM240" s="1638">
        <f t="shared" si="411"/>
        <v>159.21</v>
      </c>
      <c r="AN240" s="1639">
        <v>0</v>
      </c>
      <c r="AO240" s="1640">
        <f>'CONCEPTOS Y PARAMETROS'!$C$18*AN240</f>
        <v>0</v>
      </c>
      <c r="AP240" s="1639">
        <v>0</v>
      </c>
      <c r="AQ240" s="1640">
        <f>'CONCEPTOS Y PARAMETROS'!$C$21*AP240</f>
        <v>0</v>
      </c>
      <c r="AR240" s="1641">
        <v>0</v>
      </c>
      <c r="AS240" s="1641">
        <v>0</v>
      </c>
      <c r="AT240" s="1641">
        <f t="shared" ref="AT240:AT273" si="672">+AO240+AQ240+AR240+AS240</f>
        <v>0</v>
      </c>
      <c r="AU240" s="1638">
        <f t="shared" si="412"/>
        <v>638.94000000000005</v>
      </c>
      <c r="AV240" s="1642">
        <v>0</v>
      </c>
      <c r="AW240" s="1638">
        <f t="shared" ref="AW240:AW275" si="673">ROUND(IF(AV240="NOCTURN",(V240+AE240)*30%,0),2)</f>
        <v>0</v>
      </c>
      <c r="AX240" s="1637">
        <f>IF(T240&lt;&gt;"0",(ROUND(IF(A240="EMPLEADO",eval_formula('CONCEPTOS Y PARAMETROS'!$C$8,NOMINA!V240,NOMINA!$AU240,NOMINA!I240+NOMINA!J240),eval_formula('CONCEPTOS Y PARAMETROS'!$D$8,NOMINA!V240,NOMINA!$AU240,NOMINA!I240+NOMINA!J240)),2))*IF(H240&lt;&gt;"",IF(MONTH(H240)=$BR$8,IF(YEAR(H240)&lt;$BT$7,1,0),0)))</f>
        <v>0</v>
      </c>
      <c r="AY240" s="1638">
        <v>180</v>
      </c>
      <c r="AZ240" s="1637">
        <f>IFERROR(VLOOKUP(AY240,'CONCEPTOS Y PARAMETROS'!Y:Z,2,0),0)</f>
        <v>150</v>
      </c>
      <c r="BA240" s="1637">
        <f t="shared" si="413"/>
        <v>4792.05</v>
      </c>
      <c r="BB240" s="1637">
        <f t="shared" si="643"/>
        <v>0</v>
      </c>
      <c r="BC240" s="1639">
        <v>0</v>
      </c>
      <c r="BD240" s="1637" t="str">
        <f t="shared" si="414"/>
        <v>0</v>
      </c>
      <c r="BE240" s="1639">
        <v>0</v>
      </c>
      <c r="BF240" s="1637">
        <f t="shared" si="556"/>
        <v>0</v>
      </c>
      <c r="BG240" s="1638">
        <v>300</v>
      </c>
      <c r="BH240" s="1638">
        <f t="shared" si="647"/>
        <v>0</v>
      </c>
      <c r="BI240" s="1628">
        <v>0</v>
      </c>
      <c r="BJ240" s="1628">
        <f t="shared" si="642"/>
        <v>0</v>
      </c>
      <c r="BK240" s="1638">
        <v>0</v>
      </c>
      <c r="BL240" s="1637">
        <f t="shared" si="630"/>
        <v>23.59</v>
      </c>
      <c r="BM240" s="1637">
        <f t="shared" si="631"/>
        <v>2.95</v>
      </c>
      <c r="BN240" s="1637">
        <f t="shared" si="644"/>
        <v>6.39</v>
      </c>
      <c r="BO240" s="1637">
        <v>0</v>
      </c>
      <c r="BP240" s="1637">
        <v>0</v>
      </c>
      <c r="BQ240" s="1643">
        <f t="shared" si="373"/>
        <v>32.93</v>
      </c>
      <c r="BR240" s="1637">
        <f t="shared" si="634"/>
        <v>53.08</v>
      </c>
      <c r="BS240" s="1637">
        <f t="shared" si="635"/>
        <v>11.8</v>
      </c>
      <c r="BT240" s="1637">
        <f t="shared" si="649"/>
        <v>12.78</v>
      </c>
      <c r="BU240" s="1637">
        <v>0</v>
      </c>
      <c r="BV240" s="1638">
        <f t="shared" si="374"/>
        <v>77.66</v>
      </c>
      <c r="BW240" s="1644">
        <f t="shared" si="375"/>
        <v>110.59</v>
      </c>
      <c r="BX240" s="1644">
        <f t="shared" si="640"/>
        <v>1198.01</v>
      </c>
      <c r="BY240" s="1638">
        <v>0</v>
      </c>
      <c r="BZ240" s="1638">
        <f t="shared" si="641"/>
        <v>1198.01</v>
      </c>
      <c r="CA240" s="1645">
        <f>'CONCEPTOS Y PARAMETROS'!$A$102</f>
        <v>2120</v>
      </c>
      <c r="CB240" s="1644">
        <f t="shared" si="652"/>
        <v>292.8</v>
      </c>
      <c r="CC240" s="1646">
        <f t="shared" si="653"/>
        <v>613.21</v>
      </c>
      <c r="CD240" s="1647"/>
      <c r="CE240" s="1647"/>
      <c r="CF240" s="1648"/>
      <c r="CG240" s="1649">
        <f t="shared" si="654"/>
        <v>292.8</v>
      </c>
      <c r="CH240" s="1713">
        <f t="shared" si="655"/>
        <v>300</v>
      </c>
      <c r="CI240" s="1649">
        <f t="shared" si="656"/>
        <v>613.21</v>
      </c>
      <c r="CJ240" s="1649">
        <f t="shared" si="657"/>
        <v>294.33999999999997</v>
      </c>
      <c r="CK240" s="1649">
        <f t="shared" si="658"/>
        <v>318.87000000000006</v>
      </c>
      <c r="CL240" s="1649">
        <f t="shared" si="659"/>
        <v>0</v>
      </c>
      <c r="CM240" s="1649">
        <f t="shared" si="660"/>
        <v>0</v>
      </c>
      <c r="CN240" s="1650">
        <f t="shared" si="661"/>
        <v>0</v>
      </c>
      <c r="CO240" s="1651">
        <v>0</v>
      </c>
      <c r="CP240" s="1650">
        <f t="shared" si="662"/>
        <v>0</v>
      </c>
      <c r="CQ240" s="1652">
        <f t="shared" si="663"/>
        <v>0</v>
      </c>
      <c r="CR240" s="1650">
        <f t="shared" si="664"/>
        <v>0</v>
      </c>
      <c r="CS240" s="1650">
        <f t="shared" si="665"/>
        <v>0</v>
      </c>
      <c r="CT240" s="1650">
        <f t="shared" si="666"/>
        <v>110.59</v>
      </c>
      <c r="CU240" s="1650">
        <f t="shared" si="667"/>
        <v>2120</v>
      </c>
      <c r="CV240" s="1653"/>
      <c r="CW240" s="1627" t="s">
        <v>7017</v>
      </c>
      <c r="CX240" s="1627" t="s">
        <v>7102</v>
      </c>
      <c r="CY240" s="1647"/>
      <c r="CZ240" s="1657" t="s">
        <v>6680</v>
      </c>
      <c r="DA240" s="1657" t="s">
        <v>6660</v>
      </c>
      <c r="DB240" s="1647" t="s">
        <v>6237</v>
      </c>
      <c r="DC240" s="1647" t="s">
        <v>6253</v>
      </c>
      <c r="DD240" s="1647"/>
      <c r="DE240" s="1647"/>
      <c r="DF240" s="1647"/>
      <c r="DG240" s="1647"/>
      <c r="DH240" s="1647"/>
      <c r="DJ240" s="1654" t="str">
        <f>VLOOKUP(X240,Hoja1!$A$4:$B$10,2,0)</f>
        <v>MAGISTER</v>
      </c>
      <c r="DK240" s="1654" t="str">
        <f>VLOOKUP(S240,Hoja1!$D$4:$F$77,3,0)</f>
        <v>PIII - III</v>
      </c>
      <c r="DL240" s="1663" t="str">
        <f t="shared" si="668"/>
        <v>0</v>
      </c>
      <c r="DM240" s="1742" t="str">
        <f t="shared" si="669"/>
        <v>F</v>
      </c>
      <c r="DN240" s="1742"/>
    </row>
    <row r="241" spans="1:118" s="473" customFormat="1" ht="21.95" customHeight="1">
      <c r="A241" s="510" t="s">
        <v>2846</v>
      </c>
      <c r="B241" s="1390">
        <f t="shared" ca="1" si="479"/>
        <v>199</v>
      </c>
      <c r="C241" s="1194">
        <v>19286780</v>
      </c>
      <c r="D241" s="1195" t="s">
        <v>4874</v>
      </c>
      <c r="E241" s="1180" t="s">
        <v>4622</v>
      </c>
      <c r="F241" s="1196">
        <v>31522</v>
      </c>
      <c r="G241" s="1180" t="s">
        <v>4620</v>
      </c>
      <c r="H241" s="1196">
        <v>42492</v>
      </c>
      <c r="I241" s="1185">
        <f t="shared" si="645"/>
        <v>8</v>
      </c>
      <c r="J241" s="1177">
        <v>0</v>
      </c>
      <c r="K241" s="1185">
        <f t="shared" si="646"/>
        <v>8</v>
      </c>
      <c r="L241" s="1191" t="s">
        <v>5549</v>
      </c>
      <c r="M241" s="1177"/>
      <c r="N241" s="1177"/>
      <c r="O241" s="1040" t="s">
        <v>5219</v>
      </c>
      <c r="P241" s="1177" t="s">
        <v>5427</v>
      </c>
      <c r="Q241" s="1391" t="str">
        <f>IFERROR(VLOOKUP(O241,CARGOS!A:E,2,0),"")</f>
        <v>12113</v>
      </c>
      <c r="R241" s="1403" t="s">
        <v>5219</v>
      </c>
      <c r="S241" s="1192" t="s">
        <v>5491</v>
      </c>
      <c r="T241" s="1150">
        <f>IFERROR(VLOOKUP(S241,'TAB EMP'!A:B,2,0),0)</f>
        <v>221</v>
      </c>
      <c r="U241" s="1151">
        <v>0</v>
      </c>
      <c r="V241" s="1150">
        <f t="shared" si="402"/>
        <v>221</v>
      </c>
      <c r="W241" s="1151">
        <f t="shared" si="403"/>
        <v>110.5</v>
      </c>
      <c r="X241" s="1180" t="s">
        <v>2844</v>
      </c>
      <c r="Y241" s="1180"/>
      <c r="Z241" s="1180">
        <v>2</v>
      </c>
      <c r="AA241" s="1150">
        <f>ROUND(IF(H241&lt;&gt;"",VLOOKUP(SUM(I241+J241),'CONCEPTOS Y PARAMETROS'!F:G,2,0)*V241,0),2)</f>
        <v>19.010000000000002</v>
      </c>
      <c r="AB241" s="1150">
        <f>IF(S241&lt;&gt;"",IF(M241="",'CONCEPTOS Y PARAMETROS'!$C$4,0),0)</f>
        <v>130</v>
      </c>
      <c r="AC241" s="1150">
        <f>IF(S241&lt;&gt;"",IF(M241="",'CONCEPTOS Y PARAMETROS'!$C$7*Z241,0),0)</f>
        <v>25</v>
      </c>
      <c r="AD241" s="1150">
        <f>IFERROR(ROUND(VLOOKUP($X241,'CONCEPTOS Y PARAMETROS'!H:I,2,0)*($V241+AA241+AB241+AC241),2),0)</f>
        <v>79</v>
      </c>
      <c r="AE241" s="1150">
        <f t="shared" si="376"/>
        <v>253.01</v>
      </c>
      <c r="AF241" s="1150">
        <f t="shared" si="404"/>
        <v>9.51</v>
      </c>
      <c r="AG241" s="1150">
        <f t="shared" si="405"/>
        <v>9.5</v>
      </c>
      <c r="AH241" s="1150">
        <f t="shared" si="406"/>
        <v>65</v>
      </c>
      <c r="AI241" s="1150">
        <f t="shared" si="407"/>
        <v>65</v>
      </c>
      <c r="AJ241" s="1150">
        <f t="shared" si="408"/>
        <v>39.5</v>
      </c>
      <c r="AK241" s="1150">
        <f t="shared" si="409"/>
        <v>39.5</v>
      </c>
      <c r="AL241" s="1151">
        <f t="shared" si="410"/>
        <v>139.01</v>
      </c>
      <c r="AM241" s="1151">
        <f t="shared" si="411"/>
        <v>114</v>
      </c>
      <c r="AN241" s="1028">
        <v>0</v>
      </c>
      <c r="AO241" s="1193">
        <f>'CONCEPTOS Y PARAMETROS'!$C$18*AN241</f>
        <v>0</v>
      </c>
      <c r="AP241" s="1028">
        <v>0</v>
      </c>
      <c r="AQ241" s="1193">
        <f>'CONCEPTOS Y PARAMETROS'!$C$21*AP241</f>
        <v>0</v>
      </c>
      <c r="AR241" s="1394">
        <v>0</v>
      </c>
      <c r="AS241" s="1394">
        <v>0</v>
      </c>
      <c r="AT241" s="1394">
        <f t="shared" si="672"/>
        <v>0</v>
      </c>
      <c r="AU241" s="1151">
        <f t="shared" si="412"/>
        <v>474.01</v>
      </c>
      <c r="AV241" s="1178">
        <v>0</v>
      </c>
      <c r="AW241" s="1151">
        <f t="shared" si="673"/>
        <v>0</v>
      </c>
      <c r="AX241" s="1150">
        <f>IF(T241&lt;&gt;"0",(ROUND(IF(A241="EMPLEADO",eval_formula('CONCEPTOS Y PARAMETROS'!$C$8,NOMINA!V241,NOMINA!$AU241,NOMINA!I241+NOMINA!J241),eval_formula('CONCEPTOS Y PARAMETROS'!$D$8,NOMINA!V241,NOMINA!$AU241,NOMINA!I241+NOMINA!J241)),2))*IF(H241&lt;&gt;"",IF(MONTH(H241)=$BR$8,IF(YEAR(H241)&lt;$BT$7,1,0),0)))</f>
        <v>0</v>
      </c>
      <c r="AY241" s="1151">
        <v>180</v>
      </c>
      <c r="AZ241" s="1150">
        <f>IFERROR(VLOOKUP(AY241,'CONCEPTOS Y PARAMETROS'!Y:Z,2,0),0)</f>
        <v>150</v>
      </c>
      <c r="BA241" s="1150">
        <f t="shared" si="413"/>
        <v>3555.08</v>
      </c>
      <c r="BB241" s="1150">
        <f t="shared" si="643"/>
        <v>0</v>
      </c>
      <c r="BC241" s="1028">
        <v>0</v>
      </c>
      <c r="BD241" s="1150" t="str">
        <f t="shared" si="414"/>
        <v>0</v>
      </c>
      <c r="BE241" s="1028">
        <v>0</v>
      </c>
      <c r="BF241" s="1150">
        <f t="shared" si="556"/>
        <v>0</v>
      </c>
      <c r="BG241" s="1151">
        <v>300</v>
      </c>
      <c r="BH241" s="1151">
        <f t="shared" si="647"/>
        <v>0</v>
      </c>
      <c r="BI241" s="1180">
        <v>0</v>
      </c>
      <c r="BJ241" s="1180">
        <f t="shared" si="642"/>
        <v>0</v>
      </c>
      <c r="BK241" s="1151">
        <v>0</v>
      </c>
      <c r="BL241" s="1150">
        <f t="shared" si="630"/>
        <v>17.5</v>
      </c>
      <c r="BM241" s="1150">
        <f t="shared" si="631"/>
        <v>2.19</v>
      </c>
      <c r="BN241" s="1150">
        <f t="shared" si="644"/>
        <v>4.74</v>
      </c>
      <c r="BO241" s="1150">
        <v>0</v>
      </c>
      <c r="BP241" s="1150">
        <v>0</v>
      </c>
      <c r="BQ241" s="1396">
        <f t="shared" si="373"/>
        <v>24.43</v>
      </c>
      <c r="BR241" s="1150">
        <f t="shared" si="634"/>
        <v>39.380000000000003</v>
      </c>
      <c r="BS241" s="1150">
        <f t="shared" si="635"/>
        <v>8.75</v>
      </c>
      <c r="BT241" s="1150">
        <f t="shared" si="649"/>
        <v>9.48</v>
      </c>
      <c r="BU241" s="1150">
        <v>0</v>
      </c>
      <c r="BV241" s="1151">
        <f t="shared" si="374"/>
        <v>57.61</v>
      </c>
      <c r="BW241" s="1155">
        <f t="shared" si="375"/>
        <v>82.039999999999992</v>
      </c>
      <c r="BX241" s="1155">
        <f t="shared" si="640"/>
        <v>888.77</v>
      </c>
      <c r="BY241" s="1151">
        <v>0</v>
      </c>
      <c r="BZ241" s="1151">
        <f t="shared" si="641"/>
        <v>888.77</v>
      </c>
      <c r="CA241" s="1397">
        <f>'CONCEPTOS Y PARAMETROS'!$A$102</f>
        <v>2120</v>
      </c>
      <c r="CB241" s="1155">
        <f t="shared" si="652"/>
        <v>225.07999999999998</v>
      </c>
      <c r="CC241" s="1156">
        <f t="shared" si="653"/>
        <v>524.5</v>
      </c>
      <c r="CD241" s="514"/>
      <c r="CE241" s="514"/>
      <c r="CF241" s="520"/>
      <c r="CG241" s="497">
        <f t="shared" si="654"/>
        <v>225.07999999999998</v>
      </c>
      <c r="CH241" s="1711">
        <f t="shared" si="655"/>
        <v>300</v>
      </c>
      <c r="CI241" s="497">
        <f t="shared" si="656"/>
        <v>524.5</v>
      </c>
      <c r="CJ241" s="497">
        <f t="shared" si="657"/>
        <v>524.5</v>
      </c>
      <c r="CK241" s="497">
        <f t="shared" si="658"/>
        <v>0</v>
      </c>
      <c r="CL241" s="497">
        <f t="shared" si="659"/>
        <v>0</v>
      </c>
      <c r="CM241" s="497">
        <f t="shared" si="660"/>
        <v>0</v>
      </c>
      <c r="CN241" s="498">
        <f t="shared" si="661"/>
        <v>0</v>
      </c>
      <c r="CO241" s="499">
        <v>0</v>
      </c>
      <c r="CP241" s="498">
        <f t="shared" si="662"/>
        <v>0</v>
      </c>
      <c r="CQ241" s="500">
        <f t="shared" si="663"/>
        <v>0</v>
      </c>
      <c r="CR241" s="498">
        <f t="shared" si="664"/>
        <v>0</v>
      </c>
      <c r="CS241" s="498">
        <f t="shared" si="665"/>
        <v>0</v>
      </c>
      <c r="CT241" s="498">
        <f t="shared" si="666"/>
        <v>82.039999999999992</v>
      </c>
      <c r="CU241" s="498">
        <f t="shared" si="667"/>
        <v>2120</v>
      </c>
      <c r="CV241" s="1554"/>
      <c r="CW241" s="1195" t="s">
        <v>6950</v>
      </c>
      <c r="CX241" s="1195" t="s">
        <v>7103</v>
      </c>
      <c r="CY241" s="472"/>
      <c r="CZ241" s="514" t="s">
        <v>6296</v>
      </c>
      <c r="DA241" s="1199" t="s">
        <v>6660</v>
      </c>
      <c r="DB241" s="514" t="s">
        <v>6298</v>
      </c>
      <c r="DC241" s="514" t="s">
        <v>6717</v>
      </c>
      <c r="DD241" s="514"/>
      <c r="DE241" s="514"/>
      <c r="DF241" s="472"/>
      <c r="DG241" s="472"/>
      <c r="DH241" s="472"/>
      <c r="DJ241" s="473" t="str">
        <f>VLOOKUP(X241,Hoja1!$A$4:$B$10,2,0)</f>
        <v>TÉCNICO SUPERIOR UNIVERSITARIO</v>
      </c>
      <c r="DK241" s="473" t="str">
        <f>VLOOKUP(S241,Hoja1!$D$4:$F$77,3,0)</f>
        <v>TII - III</v>
      </c>
      <c r="DL241" s="1216" t="str">
        <f t="shared" si="668"/>
        <v>0</v>
      </c>
      <c r="DM241" s="1741" t="str">
        <f t="shared" si="669"/>
        <v>F</v>
      </c>
      <c r="DN241" s="1741"/>
    </row>
    <row r="242" spans="1:118" s="1654" customFormat="1" ht="21.95" customHeight="1">
      <c r="A242" s="1624" t="s">
        <v>2846</v>
      </c>
      <c r="B242" s="1625">
        <f t="shared" ca="1" si="479"/>
        <v>200</v>
      </c>
      <c r="C242" s="1626">
        <v>19287100</v>
      </c>
      <c r="D242" s="1627" t="s">
        <v>4875</v>
      </c>
      <c r="E242" s="1628" t="s">
        <v>4622</v>
      </c>
      <c r="F242" s="1629">
        <v>32718</v>
      </c>
      <c r="G242" s="1628" t="s">
        <v>4620</v>
      </c>
      <c r="H242" s="1629">
        <v>44713</v>
      </c>
      <c r="I242" s="1630">
        <f t="shared" si="645"/>
        <v>2</v>
      </c>
      <c r="J242" s="1631">
        <v>0</v>
      </c>
      <c r="K242" s="1630">
        <f t="shared" si="646"/>
        <v>2</v>
      </c>
      <c r="L242" s="1632" t="s">
        <v>6834</v>
      </c>
      <c r="M242" s="1631"/>
      <c r="N242" s="1631"/>
      <c r="O242" s="1633" t="s">
        <v>5254</v>
      </c>
      <c r="P242" s="1631" t="s">
        <v>5428</v>
      </c>
      <c r="Q242" s="1634" t="str">
        <f>IFERROR(VLOOKUP(O242,CARGOS!A:E,2,0),"")</f>
        <v>79342</v>
      </c>
      <c r="R242" s="1635" t="s">
        <v>5254</v>
      </c>
      <c r="S242" s="1636" t="s">
        <v>5475</v>
      </c>
      <c r="T242" s="1637">
        <f>IFERROR(VLOOKUP(S242,'TAB EMP'!A:B,2,0),0)</f>
        <v>192</v>
      </c>
      <c r="U242" s="1638">
        <v>0</v>
      </c>
      <c r="V242" s="1637">
        <f t="shared" si="402"/>
        <v>192</v>
      </c>
      <c r="W242" s="1638">
        <f t="shared" si="403"/>
        <v>96</v>
      </c>
      <c r="X242" s="1628" t="s">
        <v>2844</v>
      </c>
      <c r="Y242" s="1628"/>
      <c r="Z242" s="1628">
        <v>2</v>
      </c>
      <c r="AA242" s="1637">
        <f>ROUND(IF(H242&lt;&gt;"",VLOOKUP(SUM(I242+J242),'CONCEPTOS Y PARAMETROS'!F:G,2,0)*V242,0),2)</f>
        <v>3.84</v>
      </c>
      <c r="AB242" s="1637">
        <f>IF(S242&lt;&gt;"",IF(M242="",'CONCEPTOS Y PARAMETROS'!$C$4,0),0)</f>
        <v>130</v>
      </c>
      <c r="AC242" s="1637">
        <f>IF(S242&lt;&gt;"",IF(M242="",'CONCEPTOS Y PARAMETROS'!$C$7*Z242,0),0)</f>
        <v>25</v>
      </c>
      <c r="AD242" s="1637">
        <f>IFERROR(ROUND(VLOOKUP($X242,'CONCEPTOS Y PARAMETROS'!H:I,2,0)*($V242+AA242+AB242+AC242),2),0)</f>
        <v>70.17</v>
      </c>
      <c r="AE242" s="1637">
        <f t="shared" si="376"/>
        <v>229.01</v>
      </c>
      <c r="AF242" s="1637">
        <f t="shared" si="404"/>
        <v>1.92</v>
      </c>
      <c r="AG242" s="1637">
        <f t="shared" si="405"/>
        <v>1.92</v>
      </c>
      <c r="AH242" s="1637">
        <f t="shared" si="406"/>
        <v>65</v>
      </c>
      <c r="AI242" s="1637">
        <f t="shared" si="407"/>
        <v>65</v>
      </c>
      <c r="AJ242" s="1637">
        <f t="shared" si="408"/>
        <v>35.090000000000003</v>
      </c>
      <c r="AK242" s="1637">
        <f t="shared" si="409"/>
        <v>35.08</v>
      </c>
      <c r="AL242" s="1638">
        <f t="shared" si="410"/>
        <v>127.01</v>
      </c>
      <c r="AM242" s="1638">
        <f t="shared" si="411"/>
        <v>102</v>
      </c>
      <c r="AN242" s="1639">
        <v>2</v>
      </c>
      <c r="AO242" s="1640">
        <f>'CONCEPTOS Y PARAMETROS'!$C$18*AN242</f>
        <v>25</v>
      </c>
      <c r="AP242" s="1639">
        <v>0</v>
      </c>
      <c r="AQ242" s="1640">
        <f>'CONCEPTOS Y PARAMETROS'!$C$21*AP242</f>
        <v>0</v>
      </c>
      <c r="AR242" s="1641">
        <v>0</v>
      </c>
      <c r="AS242" s="1641">
        <v>0</v>
      </c>
      <c r="AT242" s="1641">
        <f t="shared" si="672"/>
        <v>25</v>
      </c>
      <c r="AU242" s="1638">
        <f t="shared" si="412"/>
        <v>421.01</v>
      </c>
      <c r="AV242" s="1642">
        <v>0</v>
      </c>
      <c r="AW242" s="1638">
        <f t="shared" si="673"/>
        <v>0</v>
      </c>
      <c r="AX242" s="1637">
        <f>IF(T242&lt;&gt;"0",(ROUND(IF(A242="EMPLEADO",eval_formula('CONCEPTOS Y PARAMETROS'!$C$8,NOMINA!V242,NOMINA!$AU242,NOMINA!I242+NOMINA!J242),eval_formula('CONCEPTOS Y PARAMETROS'!$D$8,NOMINA!V242,NOMINA!$AU242,NOMINA!I242+NOMINA!J242)),2))*IF(H242&lt;&gt;"",IF(MONTH(H242)=$BR$8,IF(YEAR(H242)&lt;$BT$7,1,0),0)))</f>
        <v>0</v>
      </c>
      <c r="AY242" s="1638">
        <v>180</v>
      </c>
      <c r="AZ242" s="1637">
        <f>IFERROR(VLOOKUP(AY242,'CONCEPTOS Y PARAMETROS'!Y:Z,2,0),0)</f>
        <v>150</v>
      </c>
      <c r="BA242" s="1637">
        <f t="shared" si="413"/>
        <v>3157.58</v>
      </c>
      <c r="BB242" s="1637">
        <f t="shared" si="643"/>
        <v>0</v>
      </c>
      <c r="BC242" s="1639">
        <v>0</v>
      </c>
      <c r="BD242" s="1637" t="str">
        <f t="shared" si="414"/>
        <v>0</v>
      </c>
      <c r="BE242" s="1639">
        <v>0</v>
      </c>
      <c r="BF242" s="1637">
        <f t="shared" si="556"/>
        <v>0</v>
      </c>
      <c r="BG242" s="1638">
        <v>300</v>
      </c>
      <c r="BH242" s="1638">
        <f t="shared" si="647"/>
        <v>0</v>
      </c>
      <c r="BI242" s="1628">
        <v>0</v>
      </c>
      <c r="BJ242" s="1628">
        <f t="shared" si="642"/>
        <v>0</v>
      </c>
      <c r="BK242" s="1638">
        <v>0</v>
      </c>
      <c r="BL242" s="1637">
        <f t="shared" si="630"/>
        <v>15.54</v>
      </c>
      <c r="BM242" s="1637">
        <f t="shared" si="631"/>
        <v>1.94</v>
      </c>
      <c r="BN242" s="1637">
        <f t="shared" si="644"/>
        <v>4.21</v>
      </c>
      <c r="BO242" s="1637">
        <v>0</v>
      </c>
      <c r="BP242" s="1637">
        <v>0</v>
      </c>
      <c r="BQ242" s="1643">
        <f t="shared" si="373"/>
        <v>21.69</v>
      </c>
      <c r="BR242" s="1637">
        <f t="shared" si="634"/>
        <v>34.979999999999997</v>
      </c>
      <c r="BS242" s="1637">
        <f t="shared" si="635"/>
        <v>7.77</v>
      </c>
      <c r="BT242" s="1637">
        <f t="shared" si="649"/>
        <v>8.42</v>
      </c>
      <c r="BU242" s="1637">
        <v>0</v>
      </c>
      <c r="BV242" s="1638">
        <f t="shared" si="374"/>
        <v>51.17</v>
      </c>
      <c r="BW242" s="1644">
        <f t="shared" si="375"/>
        <v>72.86</v>
      </c>
      <c r="BX242" s="1644">
        <f t="shared" si="640"/>
        <v>789.4</v>
      </c>
      <c r="BY242" s="1638">
        <v>0</v>
      </c>
      <c r="BZ242" s="1638">
        <f t="shared" si="641"/>
        <v>789.4</v>
      </c>
      <c r="CA242" s="1645">
        <f>'CONCEPTOS Y PARAMETROS'!$A$102</f>
        <v>2120</v>
      </c>
      <c r="CB242" s="1644">
        <f t="shared" si="652"/>
        <v>201.32</v>
      </c>
      <c r="CC242" s="1646">
        <f t="shared" si="653"/>
        <v>523</v>
      </c>
      <c r="CD242" s="1647"/>
      <c r="CE242" s="1647"/>
      <c r="CF242" s="1648"/>
      <c r="CG242" s="1649">
        <f t="shared" si="654"/>
        <v>201.32</v>
      </c>
      <c r="CH242" s="1713">
        <f t="shared" si="655"/>
        <v>300</v>
      </c>
      <c r="CI242" s="1649">
        <f t="shared" si="656"/>
        <v>498</v>
      </c>
      <c r="CJ242" s="1649">
        <f t="shared" si="657"/>
        <v>498</v>
      </c>
      <c r="CK242" s="1649">
        <f t="shared" si="658"/>
        <v>0</v>
      </c>
      <c r="CL242" s="1649">
        <f t="shared" si="659"/>
        <v>0</v>
      </c>
      <c r="CM242" s="1649">
        <f t="shared" si="660"/>
        <v>0</v>
      </c>
      <c r="CN242" s="1650">
        <f t="shared" si="661"/>
        <v>0</v>
      </c>
      <c r="CO242" s="1651">
        <v>0</v>
      </c>
      <c r="CP242" s="1650">
        <f t="shared" si="662"/>
        <v>0</v>
      </c>
      <c r="CQ242" s="1652">
        <f t="shared" si="663"/>
        <v>25</v>
      </c>
      <c r="CR242" s="1650">
        <f t="shared" si="664"/>
        <v>0</v>
      </c>
      <c r="CS242" s="1650">
        <f t="shared" si="665"/>
        <v>25</v>
      </c>
      <c r="CT242" s="1650">
        <f t="shared" si="666"/>
        <v>72.86</v>
      </c>
      <c r="CU242" s="1650">
        <f t="shared" si="667"/>
        <v>2120</v>
      </c>
      <c r="CV242" s="1653"/>
      <c r="CW242" s="1627" t="s">
        <v>7104</v>
      </c>
      <c r="CX242" s="1627" t="s">
        <v>7105</v>
      </c>
      <c r="CY242" s="1647"/>
      <c r="CZ242" s="1647" t="s">
        <v>6247</v>
      </c>
      <c r="DA242" s="1647" t="s">
        <v>6173</v>
      </c>
      <c r="DB242" s="1647" t="s">
        <v>6213</v>
      </c>
      <c r="DC242" s="1647" t="s">
        <v>6625</v>
      </c>
      <c r="DD242" s="1647"/>
      <c r="DE242" s="1647"/>
      <c r="DF242" s="1647"/>
      <c r="DG242" s="1647"/>
      <c r="DH242" s="1647"/>
      <c r="DJ242" s="1654" t="str">
        <f>VLOOKUP(X242,Hoja1!$A$4:$B$10,2,0)</f>
        <v>TÉCNICO SUPERIOR UNIVERSITARIO</v>
      </c>
      <c r="DK242" s="1654" t="str">
        <f>VLOOKUP(S242,Hoja1!$D$4:$F$77,3,0)</f>
        <v>TI</v>
      </c>
      <c r="DL242" s="1663" t="str">
        <f t="shared" si="668"/>
        <v>0</v>
      </c>
      <c r="DM242" s="1742" t="str">
        <f t="shared" si="669"/>
        <v>F</v>
      </c>
      <c r="DN242" s="1742"/>
    </row>
    <row r="243" spans="1:118" s="478" customFormat="1" ht="21.95" customHeight="1">
      <c r="A243" s="510" t="s">
        <v>2846</v>
      </c>
      <c r="B243" s="1390">
        <f t="shared" ca="1" si="479"/>
        <v>201</v>
      </c>
      <c r="C243" s="1194">
        <v>19372791</v>
      </c>
      <c r="D243" s="1195" t="s">
        <v>7400</v>
      </c>
      <c r="E243" s="1180" t="s">
        <v>4622</v>
      </c>
      <c r="F243" s="1196">
        <v>36151</v>
      </c>
      <c r="G243" s="1180" t="s">
        <v>4620</v>
      </c>
      <c r="H243" s="1196">
        <v>45627</v>
      </c>
      <c r="I243" s="1185">
        <f t="shared" si="645"/>
        <v>0</v>
      </c>
      <c r="J243" s="1177">
        <v>0</v>
      </c>
      <c r="K243" s="1185">
        <f t="shared" si="646"/>
        <v>0</v>
      </c>
      <c r="L243" s="1448" t="s">
        <v>5542</v>
      </c>
      <c r="M243" s="1177"/>
      <c r="N243" s="1177"/>
      <c r="O243" s="1040" t="s">
        <v>5222</v>
      </c>
      <c r="P243" s="1197" t="s">
        <v>7401</v>
      </c>
      <c r="Q243" s="1391" t="str">
        <f>IFERROR(VLOOKUP(O243,CARGOS!A:E,2,0),"")</f>
        <v>79511</v>
      </c>
      <c r="R243" s="1403" t="s">
        <v>5222</v>
      </c>
      <c r="S243" s="1192" t="s">
        <v>5475</v>
      </c>
      <c r="T243" s="1150">
        <f>IFERROR(VLOOKUP(S243,'TAB EMP'!A:B,2,0),0)</f>
        <v>192</v>
      </c>
      <c r="U243" s="1151">
        <v>0</v>
      </c>
      <c r="V243" s="1150">
        <f t="shared" si="402"/>
        <v>192</v>
      </c>
      <c r="W243" s="1151">
        <f t="shared" si="403"/>
        <v>96</v>
      </c>
      <c r="X243" s="1180" t="s">
        <v>2885</v>
      </c>
      <c r="Y243" s="1180" t="s">
        <v>7412</v>
      </c>
      <c r="Z243" s="1180">
        <v>1</v>
      </c>
      <c r="AA243" s="1150">
        <f>ROUND(IF(H243&lt;&gt;"",VLOOKUP(SUM(I243+J243),'CONCEPTOS Y PARAMETROS'!F:G,2,0)*V243,0),2)</f>
        <v>0</v>
      </c>
      <c r="AB243" s="1150">
        <f>IF(S243&lt;&gt;"",IF(M243="",'CONCEPTOS Y PARAMETROS'!$C$4,0),0)</f>
        <v>130</v>
      </c>
      <c r="AC243" s="1150">
        <f>IF(S243&lt;&gt;"",IF(M243="",'CONCEPTOS Y PARAMETROS'!$C$7*Z243,0),0)</f>
        <v>12.5</v>
      </c>
      <c r="AD243" s="1150">
        <f>IFERROR(ROUND(VLOOKUP($X243,'CONCEPTOS Y PARAMETROS'!H:I,2,0)*($V243+AA243+AB243+AC243),2),0)</f>
        <v>83.63</v>
      </c>
      <c r="AE243" s="1150">
        <f t="shared" si="376"/>
        <v>226.13</v>
      </c>
      <c r="AF243" s="1150">
        <f t="shared" si="404"/>
        <v>0</v>
      </c>
      <c r="AG243" s="1150">
        <f t="shared" si="405"/>
        <v>0</v>
      </c>
      <c r="AH243" s="1150">
        <f t="shared" si="406"/>
        <v>65</v>
      </c>
      <c r="AI243" s="1150">
        <f t="shared" si="407"/>
        <v>65</v>
      </c>
      <c r="AJ243" s="1150">
        <f t="shared" si="408"/>
        <v>41.82</v>
      </c>
      <c r="AK243" s="1150">
        <f t="shared" si="409"/>
        <v>41.81</v>
      </c>
      <c r="AL243" s="1151">
        <f t="shared" si="410"/>
        <v>119.32</v>
      </c>
      <c r="AM243" s="1151">
        <f t="shared" si="411"/>
        <v>106.81</v>
      </c>
      <c r="AN243" s="1028">
        <v>0</v>
      </c>
      <c r="AO243" s="1193">
        <f>'CONCEPTOS Y PARAMETROS'!$C$18*AN243</f>
        <v>0</v>
      </c>
      <c r="AP243" s="1028">
        <v>0</v>
      </c>
      <c r="AQ243" s="1193">
        <f>'CONCEPTOS Y PARAMETROS'!$C$21*AP243</f>
        <v>0</v>
      </c>
      <c r="AR243" s="1394">
        <v>0</v>
      </c>
      <c r="AS243" s="1394">
        <v>0</v>
      </c>
      <c r="AT243" s="1394">
        <f t="shared" si="672"/>
        <v>0</v>
      </c>
      <c r="AU243" s="1151">
        <f t="shared" si="412"/>
        <v>543.56999999999994</v>
      </c>
      <c r="AV243" s="1178" t="s">
        <v>5080</v>
      </c>
      <c r="AW243" s="1151">
        <f t="shared" si="673"/>
        <v>125.44</v>
      </c>
      <c r="AX243" s="1150">
        <f>IF(T243&lt;&gt;"0",(ROUND(IF(A243="EMPLEADO",eval_formula('CONCEPTOS Y PARAMETROS'!$C$8,NOMINA!V243,NOMINA!$AU243,NOMINA!I243+NOMINA!J243),eval_formula('CONCEPTOS Y PARAMETROS'!$D$8,NOMINA!V243,NOMINA!$AU243,NOMINA!I243+NOMINA!J243)),2))*IF(H243&lt;&gt;"",IF(MONTH(H243)=$BR$8,IF(YEAR(H243)&lt;$BT$7,1,0),0)))</f>
        <v>0</v>
      </c>
      <c r="AY243" s="1151">
        <v>15</v>
      </c>
      <c r="AZ243" s="1150">
        <f>IFERROR(VLOOKUP(AY243,'CONCEPTOS Y PARAMETROS'!Y:Z,2,0),0)</f>
        <v>12.5</v>
      </c>
      <c r="BA243" s="1150">
        <f t="shared" si="413"/>
        <v>235.92</v>
      </c>
      <c r="BB243" s="1150">
        <f t="shared" si="643"/>
        <v>0</v>
      </c>
      <c r="BC243" s="1028">
        <v>0</v>
      </c>
      <c r="BD243" s="1150" t="str">
        <f t="shared" si="414"/>
        <v>0</v>
      </c>
      <c r="BE243" s="1028">
        <v>4</v>
      </c>
      <c r="BF243" s="1150">
        <f t="shared" si="556"/>
        <v>108.71</v>
      </c>
      <c r="BG243" s="1151">
        <v>300</v>
      </c>
      <c r="BH243" s="1151">
        <f t="shared" si="647"/>
        <v>0</v>
      </c>
      <c r="BI243" s="1180">
        <v>0</v>
      </c>
      <c r="BJ243" s="1180">
        <f t="shared" si="642"/>
        <v>0</v>
      </c>
      <c r="BK243" s="1151">
        <v>0</v>
      </c>
      <c r="BL243" s="1150">
        <f t="shared" si="630"/>
        <v>20.07</v>
      </c>
      <c r="BM243" s="1150">
        <f t="shared" si="631"/>
        <v>2.5099999999999998</v>
      </c>
      <c r="BN243" s="1150">
        <f t="shared" si="644"/>
        <v>5.44</v>
      </c>
      <c r="BO243" s="1150">
        <v>0</v>
      </c>
      <c r="BP243" s="1150">
        <v>0</v>
      </c>
      <c r="BQ243" s="1396">
        <f t="shared" ref="BQ243" si="674">ROUND(SUM(BL243:BP243),2)</f>
        <v>28.02</v>
      </c>
      <c r="BR243" s="1150">
        <f t="shared" si="634"/>
        <v>45.16</v>
      </c>
      <c r="BS243" s="1150">
        <f t="shared" si="635"/>
        <v>10.039999999999999</v>
      </c>
      <c r="BT243" s="1150">
        <f t="shared" si="649"/>
        <v>10.88</v>
      </c>
      <c r="BU243" s="1150">
        <v>0</v>
      </c>
      <c r="BV243" s="1151">
        <f t="shared" ref="BV243" si="675">ROUND(SUM(BR243:BT243),2)</f>
        <v>66.08</v>
      </c>
      <c r="BW243" s="1155">
        <f t="shared" si="375"/>
        <v>94.1</v>
      </c>
      <c r="BX243" s="1155">
        <f>ROUND(BA243/1,2)</f>
        <v>235.92</v>
      </c>
      <c r="BY243" s="1151">
        <v>0</v>
      </c>
      <c r="BZ243" s="1151">
        <f t="shared" si="641"/>
        <v>235.92</v>
      </c>
      <c r="CA243" s="1397">
        <f>'CONCEPTOS Y PARAMETROS'!$A$102</f>
        <v>2120</v>
      </c>
      <c r="CB243" s="1155">
        <f t="shared" si="652"/>
        <v>187.29999999999998</v>
      </c>
      <c r="CC243" s="1156">
        <f t="shared" si="653"/>
        <v>736.96</v>
      </c>
      <c r="CD243" s="1582"/>
      <c r="CE243" s="514"/>
      <c r="CF243" s="521"/>
      <c r="CG243" s="511">
        <f t="shared" si="654"/>
        <v>187.29999999999998</v>
      </c>
      <c r="CH243" s="1712">
        <f t="shared" si="655"/>
        <v>300</v>
      </c>
      <c r="CI243" s="511">
        <f t="shared" si="656"/>
        <v>502.81</v>
      </c>
      <c r="CJ243" s="511">
        <f t="shared" si="657"/>
        <v>502.81</v>
      </c>
      <c r="CK243" s="511">
        <f t="shared" si="658"/>
        <v>0</v>
      </c>
      <c r="CL243" s="511">
        <f t="shared" si="659"/>
        <v>0</v>
      </c>
      <c r="CM243" s="511">
        <f t="shared" si="660"/>
        <v>0</v>
      </c>
      <c r="CN243" s="512">
        <f t="shared" si="661"/>
        <v>108.71</v>
      </c>
      <c r="CO243" s="513">
        <v>0</v>
      </c>
      <c r="CP243" s="512">
        <f t="shared" si="662"/>
        <v>125.44</v>
      </c>
      <c r="CQ243" s="1616">
        <f t="shared" si="663"/>
        <v>0</v>
      </c>
      <c r="CR243" s="512">
        <f t="shared" si="664"/>
        <v>0</v>
      </c>
      <c r="CS243" s="512">
        <f t="shared" si="665"/>
        <v>234.14999999999998</v>
      </c>
      <c r="CT243" s="512">
        <f t="shared" si="666"/>
        <v>94.1</v>
      </c>
      <c r="CU243" s="512">
        <f t="shared" si="667"/>
        <v>2120</v>
      </c>
      <c r="CV243" s="1556"/>
      <c r="CW243" s="1195" t="s">
        <v>7402</v>
      </c>
      <c r="CX243" s="1195" t="s">
        <v>7172</v>
      </c>
      <c r="CY243" s="514"/>
      <c r="CZ243" s="1199" t="s">
        <v>7403</v>
      </c>
      <c r="DA243" s="514"/>
      <c r="DB243" s="514"/>
      <c r="DC243" s="514"/>
      <c r="DD243" s="514"/>
      <c r="DE243" s="514"/>
      <c r="DF243" s="514"/>
      <c r="DG243" s="514"/>
      <c r="DH243" s="514"/>
      <c r="DJ243" s="478" t="str">
        <f>VLOOKUP(X243,Hoja1!$A$4:$B$10,2,0)</f>
        <v>PROFESIONAL</v>
      </c>
      <c r="DK243" s="478" t="str">
        <f>VLOOKUP(S243,Hoja1!$D$4:$F$77,3,0)</f>
        <v>TI</v>
      </c>
      <c r="DL243" s="1614" t="str">
        <f t="shared" si="668"/>
        <v>SI</v>
      </c>
      <c r="DM243" s="1743" t="str">
        <f t="shared" si="669"/>
        <v>F</v>
      </c>
      <c r="DN243" s="1743"/>
    </row>
    <row r="244" spans="1:118" s="473" customFormat="1" ht="21.95" customHeight="1">
      <c r="A244" s="510" t="s">
        <v>2846</v>
      </c>
      <c r="B244" s="1390">
        <f t="shared" ca="1" si="479"/>
        <v>202</v>
      </c>
      <c r="C244" s="1194">
        <v>19610534</v>
      </c>
      <c r="D244" s="1195" t="s">
        <v>4876</v>
      </c>
      <c r="E244" s="1180" t="s">
        <v>4622</v>
      </c>
      <c r="F244" s="1196">
        <v>32912</v>
      </c>
      <c r="G244" s="1180" t="s">
        <v>4621</v>
      </c>
      <c r="H244" s="1196">
        <v>44713</v>
      </c>
      <c r="I244" s="1185">
        <f t="shared" si="645"/>
        <v>2</v>
      </c>
      <c r="J244" s="1177">
        <v>0</v>
      </c>
      <c r="K244" s="1185">
        <f t="shared" si="646"/>
        <v>2</v>
      </c>
      <c r="L244" s="1191" t="s">
        <v>5543</v>
      </c>
      <c r="M244" s="1177"/>
      <c r="N244" s="1177"/>
      <c r="O244" s="1040" t="s">
        <v>5222</v>
      </c>
      <c r="P244" s="1177" t="s">
        <v>5429</v>
      </c>
      <c r="Q244" s="1391" t="str">
        <f>IFERROR(VLOOKUP(O244,CARGOS!A:E,2,0),"")</f>
        <v>79511</v>
      </c>
      <c r="R244" s="1403" t="s">
        <v>5222</v>
      </c>
      <c r="S244" s="1192" t="s">
        <v>5475</v>
      </c>
      <c r="T244" s="1150">
        <f>IFERROR(VLOOKUP(S244,'TAB EMP'!A:B,2,0),0)</f>
        <v>192</v>
      </c>
      <c r="U244" s="1151">
        <v>0</v>
      </c>
      <c r="V244" s="1150">
        <f t="shared" si="402"/>
        <v>192</v>
      </c>
      <c r="W244" s="1151">
        <f t="shared" si="403"/>
        <v>96</v>
      </c>
      <c r="X244" s="1180" t="s">
        <v>2844</v>
      </c>
      <c r="Y244" s="1180"/>
      <c r="Z244" s="1180">
        <v>1</v>
      </c>
      <c r="AA244" s="1150">
        <f>ROUND(IF(H244&lt;&gt;"",VLOOKUP(SUM(I244+J244),'CONCEPTOS Y PARAMETROS'!F:G,2,0)*V244,0),2)</f>
        <v>3.84</v>
      </c>
      <c r="AB244" s="1150">
        <f>IF(S244&lt;&gt;"",IF(M244="",'CONCEPTOS Y PARAMETROS'!$C$4,0),0)</f>
        <v>130</v>
      </c>
      <c r="AC244" s="1150">
        <f>IF(S244&lt;&gt;"",IF(M244="",'CONCEPTOS Y PARAMETROS'!$C$7*Z244,0),0)</f>
        <v>12.5</v>
      </c>
      <c r="AD244" s="1150">
        <f>IFERROR(ROUND(VLOOKUP($X244,'CONCEPTOS Y PARAMETROS'!H:I,2,0)*($V244+AA244+AB244+AC244),2),0)</f>
        <v>67.67</v>
      </c>
      <c r="AE244" s="1150">
        <f t="shared" si="376"/>
        <v>214.01</v>
      </c>
      <c r="AF244" s="1150">
        <f t="shared" si="404"/>
        <v>1.92</v>
      </c>
      <c r="AG244" s="1150">
        <f t="shared" si="405"/>
        <v>1.92</v>
      </c>
      <c r="AH244" s="1150">
        <f t="shared" si="406"/>
        <v>65</v>
      </c>
      <c r="AI244" s="1150">
        <f t="shared" si="407"/>
        <v>65</v>
      </c>
      <c r="AJ244" s="1150">
        <f t="shared" si="408"/>
        <v>33.840000000000003</v>
      </c>
      <c r="AK244" s="1150">
        <f t="shared" si="409"/>
        <v>33.83</v>
      </c>
      <c r="AL244" s="1151">
        <f t="shared" si="410"/>
        <v>113.26</v>
      </c>
      <c r="AM244" s="1151">
        <f t="shared" si="411"/>
        <v>100.75</v>
      </c>
      <c r="AN244" s="1028">
        <v>0</v>
      </c>
      <c r="AO244" s="1193">
        <f>'CONCEPTOS Y PARAMETROS'!$C$18*AN244</f>
        <v>0</v>
      </c>
      <c r="AP244" s="1028">
        <v>0</v>
      </c>
      <c r="AQ244" s="1193">
        <f>'CONCEPTOS Y PARAMETROS'!$C$21*AP244</f>
        <v>0</v>
      </c>
      <c r="AR244" s="1394">
        <v>0</v>
      </c>
      <c r="AS244" s="1394">
        <v>0</v>
      </c>
      <c r="AT244" s="1394">
        <f t="shared" si="672"/>
        <v>0</v>
      </c>
      <c r="AU244" s="1151">
        <f t="shared" si="412"/>
        <v>527.80999999999995</v>
      </c>
      <c r="AV244" s="1178" t="s">
        <v>5080</v>
      </c>
      <c r="AW244" s="1151">
        <f t="shared" si="673"/>
        <v>121.8</v>
      </c>
      <c r="AX244" s="1150">
        <f>IF(T244&lt;&gt;"0",(ROUND(IF(A244="EMPLEADO",eval_formula('CONCEPTOS Y PARAMETROS'!$C$8,NOMINA!V244,NOMINA!$AU244,NOMINA!I244+NOMINA!J244),eval_formula('CONCEPTOS Y PARAMETROS'!$D$8,NOMINA!V244,NOMINA!$AU244,NOMINA!I244+NOMINA!J244)),2))*IF(H244&lt;&gt;"",IF(MONTH(H244)=$BR$8,IF(YEAR(H244)&lt;$BT$7,1,0),0)))</f>
        <v>0</v>
      </c>
      <c r="AY244" s="1151">
        <v>180</v>
      </c>
      <c r="AZ244" s="1150">
        <f>IFERROR(VLOOKUP(AY244,'CONCEPTOS Y PARAMETROS'!Y:Z,2,0),0)</f>
        <v>150</v>
      </c>
      <c r="BA244" s="1150">
        <f t="shared" si="413"/>
        <v>3958.58</v>
      </c>
      <c r="BB244" s="1150">
        <f t="shared" si="643"/>
        <v>0</v>
      </c>
      <c r="BC244" s="1028">
        <v>0</v>
      </c>
      <c r="BD244" s="1150" t="str">
        <f t="shared" si="414"/>
        <v>0</v>
      </c>
      <c r="BE244" s="1028">
        <v>0</v>
      </c>
      <c r="BF244" s="1150">
        <f t="shared" si="556"/>
        <v>0</v>
      </c>
      <c r="BG244" s="1151">
        <v>300</v>
      </c>
      <c r="BH244" s="1151">
        <f t="shared" si="647"/>
        <v>0</v>
      </c>
      <c r="BI244" s="1180">
        <v>0</v>
      </c>
      <c r="BJ244" s="1180">
        <f t="shared" si="642"/>
        <v>0</v>
      </c>
      <c r="BK244" s="1151">
        <v>0</v>
      </c>
      <c r="BL244" s="1150">
        <f t="shared" si="630"/>
        <v>19.489999999999998</v>
      </c>
      <c r="BM244" s="1150">
        <f t="shared" si="631"/>
        <v>2.44</v>
      </c>
      <c r="BN244" s="1150">
        <f t="shared" si="644"/>
        <v>5.28</v>
      </c>
      <c r="BO244" s="1150">
        <v>0</v>
      </c>
      <c r="BP244" s="1150">
        <v>0</v>
      </c>
      <c r="BQ244" s="1396">
        <f t="shared" si="373"/>
        <v>27.21</v>
      </c>
      <c r="BR244" s="1150">
        <f t="shared" si="634"/>
        <v>43.85</v>
      </c>
      <c r="BS244" s="1150">
        <f t="shared" si="635"/>
        <v>9.74</v>
      </c>
      <c r="BT244" s="1150">
        <f t="shared" si="649"/>
        <v>10.56</v>
      </c>
      <c r="BU244" s="1150">
        <v>0</v>
      </c>
      <c r="BV244" s="1151">
        <f t="shared" si="374"/>
        <v>64.150000000000006</v>
      </c>
      <c r="BW244" s="1155">
        <f t="shared" si="375"/>
        <v>91.360000000000014</v>
      </c>
      <c r="BX244" s="1155">
        <f t="shared" ref="BX244:BX250" si="676">ROUND(BA244/4,2)</f>
        <v>989.65</v>
      </c>
      <c r="BY244" s="1151">
        <v>0</v>
      </c>
      <c r="BZ244" s="1151">
        <f t="shared" si="641"/>
        <v>989.65</v>
      </c>
      <c r="CA244" s="1397">
        <f>'CONCEPTOS Y PARAMETROS'!$A$102</f>
        <v>2120</v>
      </c>
      <c r="CB244" s="1155">
        <f t="shared" si="652"/>
        <v>182.04999999999998</v>
      </c>
      <c r="CC244" s="1156">
        <f t="shared" si="653"/>
        <v>618.54999999999995</v>
      </c>
      <c r="CD244" s="514"/>
      <c r="CE244" s="514"/>
      <c r="CF244" s="520"/>
      <c r="CG244" s="497">
        <f t="shared" si="654"/>
        <v>182.04999999999998</v>
      </c>
      <c r="CH244" s="1711">
        <f t="shared" si="655"/>
        <v>300</v>
      </c>
      <c r="CI244" s="497">
        <f t="shared" si="656"/>
        <v>496.75</v>
      </c>
      <c r="CJ244" s="497">
        <f t="shared" si="657"/>
        <v>496.75</v>
      </c>
      <c r="CK244" s="497">
        <f t="shared" si="658"/>
        <v>0</v>
      </c>
      <c r="CL244" s="497">
        <f t="shared" si="659"/>
        <v>0</v>
      </c>
      <c r="CM244" s="497">
        <f t="shared" si="660"/>
        <v>0</v>
      </c>
      <c r="CN244" s="498">
        <f t="shared" si="661"/>
        <v>0</v>
      </c>
      <c r="CO244" s="499">
        <v>0</v>
      </c>
      <c r="CP244" s="498">
        <f t="shared" si="662"/>
        <v>121.8</v>
      </c>
      <c r="CQ244" s="500">
        <f t="shared" si="663"/>
        <v>0</v>
      </c>
      <c r="CR244" s="498">
        <f t="shared" si="664"/>
        <v>0</v>
      </c>
      <c r="CS244" s="498">
        <f t="shared" si="665"/>
        <v>121.8</v>
      </c>
      <c r="CT244" s="498">
        <f t="shared" si="666"/>
        <v>91.360000000000014</v>
      </c>
      <c r="CU244" s="498">
        <f t="shared" si="667"/>
        <v>2120</v>
      </c>
      <c r="CV244" s="1554"/>
      <c r="CW244" s="1195" t="s">
        <v>7106</v>
      </c>
      <c r="CX244" s="1195" t="s">
        <v>7107</v>
      </c>
      <c r="CY244" s="472"/>
      <c r="CZ244" s="514" t="s">
        <v>6370</v>
      </c>
      <c r="DA244" s="514" t="s">
        <v>6216</v>
      </c>
      <c r="DB244" s="1199" t="s">
        <v>6289</v>
      </c>
      <c r="DC244" s="514" t="s">
        <v>6644</v>
      </c>
      <c r="DD244" s="514"/>
      <c r="DE244" s="514"/>
      <c r="DF244" s="472"/>
      <c r="DG244" s="472"/>
      <c r="DH244" s="472"/>
      <c r="DJ244" s="473" t="str">
        <f>VLOOKUP(X244,Hoja1!$A$4:$B$10,2,0)</f>
        <v>TÉCNICO SUPERIOR UNIVERSITARIO</v>
      </c>
      <c r="DK244" s="473" t="str">
        <f>VLOOKUP(S244,Hoja1!$D$4:$F$77,3,0)</f>
        <v>TI</v>
      </c>
      <c r="DL244" s="1216" t="str">
        <f t="shared" si="668"/>
        <v>SI</v>
      </c>
      <c r="DM244" s="1741" t="str">
        <f t="shared" si="669"/>
        <v>M</v>
      </c>
      <c r="DN244" s="1741"/>
    </row>
    <row r="245" spans="1:118" s="473" customFormat="1" ht="21.95" customHeight="1">
      <c r="A245" s="510" t="s">
        <v>2846</v>
      </c>
      <c r="B245" s="1390">
        <f t="shared" ca="1" si="479"/>
        <v>203</v>
      </c>
      <c r="C245" s="1194">
        <v>19610565</v>
      </c>
      <c r="D245" s="1195" t="s">
        <v>4877</v>
      </c>
      <c r="E245" s="1180" t="s">
        <v>4622</v>
      </c>
      <c r="F245" s="1196">
        <v>33411</v>
      </c>
      <c r="G245" s="1180" t="s">
        <v>4620</v>
      </c>
      <c r="H245" s="1196">
        <v>44713</v>
      </c>
      <c r="I245" s="1185">
        <f t="shared" si="645"/>
        <v>2</v>
      </c>
      <c r="J245" s="1177">
        <v>0</v>
      </c>
      <c r="K245" s="1185">
        <f t="shared" si="646"/>
        <v>2</v>
      </c>
      <c r="L245" s="1191" t="s">
        <v>5539</v>
      </c>
      <c r="M245" s="1177"/>
      <c r="N245" s="1177"/>
      <c r="O245" s="1040" t="s">
        <v>5222</v>
      </c>
      <c r="P245" s="1177" t="s">
        <v>5430</v>
      </c>
      <c r="Q245" s="1391" t="str">
        <f>IFERROR(VLOOKUP(O245,CARGOS!A:E,2,0),"")</f>
        <v>79511</v>
      </c>
      <c r="R245" s="1403" t="s">
        <v>5222</v>
      </c>
      <c r="S245" s="1192" t="s">
        <v>5475</v>
      </c>
      <c r="T245" s="1150">
        <f>IFERROR(VLOOKUP(S245,'TAB EMP'!A:B,2,0),0)</f>
        <v>192</v>
      </c>
      <c r="U245" s="1151">
        <v>0</v>
      </c>
      <c r="V245" s="1150">
        <f t="shared" si="402"/>
        <v>192</v>
      </c>
      <c r="W245" s="1151">
        <f t="shared" si="403"/>
        <v>96</v>
      </c>
      <c r="X245" s="1180" t="s">
        <v>2885</v>
      </c>
      <c r="Y245" s="1180"/>
      <c r="Z245" s="1180">
        <v>2</v>
      </c>
      <c r="AA245" s="1150">
        <f>ROUND(IF(H245&lt;&gt;"",VLOOKUP(SUM(I245+J245),'CONCEPTOS Y PARAMETROS'!F:G,2,0)*V245,0),2)</f>
        <v>3.84</v>
      </c>
      <c r="AB245" s="1150">
        <f>IF(S245&lt;&gt;"",IF(M245="",'CONCEPTOS Y PARAMETROS'!$C$4,0),0)</f>
        <v>130</v>
      </c>
      <c r="AC245" s="1150">
        <f>IF(S245&lt;&gt;"",IF(M245="",'CONCEPTOS Y PARAMETROS'!$C$7*Z245,0),0)</f>
        <v>25</v>
      </c>
      <c r="AD245" s="1150">
        <f>IFERROR(ROUND(VLOOKUP($X245,'CONCEPTOS Y PARAMETROS'!H:I,2,0)*($V245+AA245+AB245+AC245),2),0)</f>
        <v>87.71</v>
      </c>
      <c r="AE245" s="1150">
        <f t="shared" si="376"/>
        <v>246.55</v>
      </c>
      <c r="AF245" s="1150">
        <f t="shared" si="404"/>
        <v>1.92</v>
      </c>
      <c r="AG245" s="1150">
        <f t="shared" si="405"/>
        <v>1.92</v>
      </c>
      <c r="AH245" s="1150">
        <f t="shared" si="406"/>
        <v>65</v>
      </c>
      <c r="AI245" s="1150">
        <f t="shared" si="407"/>
        <v>65</v>
      </c>
      <c r="AJ245" s="1150">
        <f t="shared" si="408"/>
        <v>43.86</v>
      </c>
      <c r="AK245" s="1150">
        <f t="shared" si="409"/>
        <v>43.85</v>
      </c>
      <c r="AL245" s="1151">
        <f t="shared" si="410"/>
        <v>135.78</v>
      </c>
      <c r="AM245" s="1151">
        <f t="shared" si="411"/>
        <v>110.77</v>
      </c>
      <c r="AN245" s="1583">
        <v>1</v>
      </c>
      <c r="AO245" s="1193">
        <f>'CONCEPTOS Y PARAMETROS'!$C$18*AN245</f>
        <v>12.5</v>
      </c>
      <c r="AP245" s="1028">
        <v>0</v>
      </c>
      <c r="AQ245" s="1193">
        <f>'CONCEPTOS Y PARAMETROS'!$C$21*AP245</f>
        <v>0</v>
      </c>
      <c r="AR245" s="1394">
        <v>0</v>
      </c>
      <c r="AS245" s="1394">
        <v>0</v>
      </c>
      <c r="AT245" s="1394">
        <f t="shared" si="672"/>
        <v>12.5</v>
      </c>
      <c r="AU245" s="1151">
        <f t="shared" si="412"/>
        <v>570.12</v>
      </c>
      <c r="AV245" s="1178" t="s">
        <v>5080</v>
      </c>
      <c r="AW245" s="1151">
        <f t="shared" si="673"/>
        <v>131.57</v>
      </c>
      <c r="AX245" s="1150">
        <f>IF(T245&lt;&gt;"0",(ROUND(IF(A245="EMPLEADO",eval_formula('CONCEPTOS Y PARAMETROS'!$C$8,NOMINA!V245,NOMINA!$AU245,NOMINA!I245+NOMINA!J245),eval_formula('CONCEPTOS Y PARAMETROS'!$D$8,NOMINA!V245,NOMINA!$AU245,NOMINA!I245+NOMINA!J245)),2))*IF(H245&lt;&gt;"",IF(MONTH(H245)=$BR$8,IF(YEAR(H245)&lt;$BT$7,1,0),0)))</f>
        <v>0</v>
      </c>
      <c r="AY245" s="1151">
        <v>180</v>
      </c>
      <c r="AZ245" s="1150">
        <f>IFERROR(VLOOKUP(AY245,'CONCEPTOS Y PARAMETROS'!Y:Z,2,0),0)</f>
        <v>150</v>
      </c>
      <c r="BA245" s="1150">
        <f t="shared" si="413"/>
        <v>4275.8999999999996</v>
      </c>
      <c r="BB245" s="1150">
        <f t="shared" si="643"/>
        <v>0</v>
      </c>
      <c r="BC245" s="1028">
        <v>0</v>
      </c>
      <c r="BD245" s="1150" t="str">
        <f t="shared" si="414"/>
        <v>0</v>
      </c>
      <c r="BE245" s="1028">
        <v>4</v>
      </c>
      <c r="BF245" s="1150">
        <f t="shared" si="556"/>
        <v>114.02</v>
      </c>
      <c r="BG245" s="1151">
        <v>300</v>
      </c>
      <c r="BH245" s="1151">
        <f t="shared" si="647"/>
        <v>0</v>
      </c>
      <c r="BI245" s="1180">
        <v>0</v>
      </c>
      <c r="BJ245" s="1180">
        <f t="shared" si="642"/>
        <v>0</v>
      </c>
      <c r="BK245" s="1151">
        <v>0</v>
      </c>
      <c r="BL245" s="1150">
        <f t="shared" si="630"/>
        <v>21.05</v>
      </c>
      <c r="BM245" s="1150">
        <f t="shared" si="631"/>
        <v>2.63</v>
      </c>
      <c r="BN245" s="1150">
        <f t="shared" si="644"/>
        <v>5.7</v>
      </c>
      <c r="BO245" s="1150">
        <v>0</v>
      </c>
      <c r="BP245" s="1150">
        <v>0</v>
      </c>
      <c r="BQ245" s="1396">
        <f t="shared" ref="BQ245:BQ306" si="677">ROUND(SUM(BL245:BP245),2)</f>
        <v>29.38</v>
      </c>
      <c r="BR245" s="1150">
        <f t="shared" si="634"/>
        <v>47.36</v>
      </c>
      <c r="BS245" s="1150">
        <f t="shared" si="635"/>
        <v>10.53</v>
      </c>
      <c r="BT245" s="1150">
        <f t="shared" si="649"/>
        <v>11.4</v>
      </c>
      <c r="BU245" s="1150">
        <v>0</v>
      </c>
      <c r="BV245" s="1151">
        <f t="shared" ref="BV245:BV306" si="678">ROUND(SUM(BR245:BT245),2)</f>
        <v>69.290000000000006</v>
      </c>
      <c r="BW245" s="1155">
        <f t="shared" ref="BW245:BW306" si="679">BQ245+BV245</f>
        <v>98.67</v>
      </c>
      <c r="BX245" s="1155">
        <f t="shared" si="676"/>
        <v>1068.98</v>
      </c>
      <c r="BY245" s="1151">
        <v>0</v>
      </c>
      <c r="BZ245" s="1151">
        <f t="shared" si="641"/>
        <v>1068.98</v>
      </c>
      <c r="CA245" s="1397">
        <f>'CONCEPTOS Y PARAMETROS'!$A$102</f>
        <v>2120</v>
      </c>
      <c r="CB245" s="1155">
        <f t="shared" si="652"/>
        <v>202.4</v>
      </c>
      <c r="CC245" s="1156">
        <f t="shared" si="653"/>
        <v>764.86</v>
      </c>
      <c r="CD245" s="514"/>
      <c r="CE245" s="514"/>
      <c r="CF245" s="520"/>
      <c r="CG245" s="497">
        <f t="shared" si="654"/>
        <v>202.4</v>
      </c>
      <c r="CH245" s="1711">
        <f t="shared" si="655"/>
        <v>300</v>
      </c>
      <c r="CI245" s="497">
        <f t="shared" si="656"/>
        <v>506.77</v>
      </c>
      <c r="CJ245" s="497">
        <f t="shared" si="657"/>
        <v>506.77</v>
      </c>
      <c r="CK245" s="497">
        <f t="shared" si="658"/>
        <v>0</v>
      </c>
      <c r="CL245" s="497">
        <f t="shared" si="659"/>
        <v>0</v>
      </c>
      <c r="CM245" s="497">
        <f t="shared" si="660"/>
        <v>0</v>
      </c>
      <c r="CN245" s="498">
        <f t="shared" si="661"/>
        <v>114.02</v>
      </c>
      <c r="CO245" s="499">
        <v>0</v>
      </c>
      <c r="CP245" s="498">
        <f t="shared" si="662"/>
        <v>131.57</v>
      </c>
      <c r="CQ245" s="500">
        <f t="shared" si="663"/>
        <v>12.5</v>
      </c>
      <c r="CR245" s="498">
        <f t="shared" si="664"/>
        <v>0</v>
      </c>
      <c r="CS245" s="498">
        <f t="shared" si="665"/>
        <v>258.08999999999997</v>
      </c>
      <c r="CT245" s="498">
        <f t="shared" si="666"/>
        <v>98.67</v>
      </c>
      <c r="CU245" s="498">
        <f t="shared" si="667"/>
        <v>2120</v>
      </c>
      <c r="CV245" s="1554"/>
      <c r="CW245" s="1195" t="s">
        <v>7093</v>
      </c>
      <c r="CX245" s="1195" t="s">
        <v>7108</v>
      </c>
      <c r="CY245" s="472"/>
      <c r="CZ245" s="514" t="s">
        <v>6278</v>
      </c>
      <c r="DA245" s="514" t="s">
        <v>6279</v>
      </c>
      <c r="DB245" s="514" t="s">
        <v>6280</v>
      </c>
      <c r="DC245" s="514" t="s">
        <v>6644</v>
      </c>
      <c r="DD245" s="514"/>
      <c r="DE245" s="514"/>
      <c r="DF245" s="472"/>
      <c r="DG245" s="472"/>
      <c r="DH245" s="472"/>
      <c r="DJ245" s="473" t="str">
        <f>VLOOKUP(X245,Hoja1!$A$4:$B$10,2,0)</f>
        <v>PROFESIONAL</v>
      </c>
      <c r="DK245" s="473" t="str">
        <f>VLOOKUP(S245,Hoja1!$D$4:$F$77,3,0)</f>
        <v>TI</v>
      </c>
      <c r="DL245" s="1216" t="str">
        <f t="shared" si="668"/>
        <v>SI</v>
      </c>
      <c r="DM245" s="1741" t="str">
        <f t="shared" si="669"/>
        <v>F</v>
      </c>
      <c r="DN245" s="1741"/>
    </row>
    <row r="246" spans="1:118" s="478" customFormat="1" ht="21.95" customHeight="1">
      <c r="A246" s="510" t="s">
        <v>2846</v>
      </c>
      <c r="B246" s="1390">
        <f t="shared" ca="1" si="479"/>
        <v>204</v>
      </c>
      <c r="C246" s="1194">
        <v>19643405</v>
      </c>
      <c r="D246" s="1195" t="s">
        <v>4879</v>
      </c>
      <c r="E246" s="1180" t="s">
        <v>4622</v>
      </c>
      <c r="F246" s="1196">
        <v>32515</v>
      </c>
      <c r="G246" s="1180" t="s">
        <v>4620</v>
      </c>
      <c r="H246" s="1196">
        <v>43221</v>
      </c>
      <c r="I246" s="1185">
        <f t="shared" si="645"/>
        <v>6</v>
      </c>
      <c r="J246" s="1177">
        <v>0</v>
      </c>
      <c r="K246" s="1185">
        <f t="shared" si="646"/>
        <v>6</v>
      </c>
      <c r="L246" s="1191" t="s">
        <v>5542</v>
      </c>
      <c r="M246" s="1177"/>
      <c r="N246" s="1177"/>
      <c r="O246" s="1040" t="s">
        <v>5221</v>
      </c>
      <c r="P246" s="1177" t="s">
        <v>5431</v>
      </c>
      <c r="Q246" s="1391" t="str">
        <f>IFERROR(VLOOKUP(O246,CARGOS!A:E,2,0),"")</f>
        <v>79512</v>
      </c>
      <c r="R246" s="1403" t="s">
        <v>5221</v>
      </c>
      <c r="S246" s="1192" t="s">
        <v>5491</v>
      </c>
      <c r="T246" s="1150">
        <f>IFERROR(VLOOKUP(S246,'TAB EMP'!A:B,2,0),0)</f>
        <v>221</v>
      </c>
      <c r="U246" s="1151">
        <v>0</v>
      </c>
      <c r="V246" s="1150">
        <f t="shared" si="402"/>
        <v>221</v>
      </c>
      <c r="W246" s="1151">
        <f t="shared" si="403"/>
        <v>110.5</v>
      </c>
      <c r="X246" s="1180" t="s">
        <v>2844</v>
      </c>
      <c r="Y246" s="1180"/>
      <c r="Z246" s="1180">
        <v>1</v>
      </c>
      <c r="AA246" s="1150">
        <f>ROUND(IF(H246&lt;&gt;"",VLOOKUP(SUM(I246+J246),'CONCEPTOS Y PARAMETROS'!F:G,2,0)*V246,0),2)</f>
        <v>13.7</v>
      </c>
      <c r="AB246" s="1150">
        <f>IF(S246&lt;&gt;"",IF(M246="",'CONCEPTOS Y PARAMETROS'!$C$4,0),0)</f>
        <v>130</v>
      </c>
      <c r="AC246" s="1150">
        <f>IF(S246&lt;&gt;"",IF(M246="",'CONCEPTOS Y PARAMETROS'!$C$7*Z246,0),0)</f>
        <v>12.5</v>
      </c>
      <c r="AD246" s="1150">
        <f>IFERROR(ROUND(VLOOKUP($X246,'CONCEPTOS Y PARAMETROS'!H:I,2,0)*($V246+AA246+AB246+AC246),2),0)</f>
        <v>75.44</v>
      </c>
      <c r="AE246" s="1150">
        <f t="shared" si="376"/>
        <v>231.64</v>
      </c>
      <c r="AF246" s="1150">
        <f t="shared" si="404"/>
        <v>6.85</v>
      </c>
      <c r="AG246" s="1150">
        <f t="shared" si="405"/>
        <v>6.85</v>
      </c>
      <c r="AH246" s="1150">
        <f t="shared" si="406"/>
        <v>65</v>
      </c>
      <c r="AI246" s="1150">
        <f t="shared" si="407"/>
        <v>65</v>
      </c>
      <c r="AJ246" s="1150">
        <f t="shared" si="408"/>
        <v>37.72</v>
      </c>
      <c r="AK246" s="1150">
        <f t="shared" si="409"/>
        <v>37.72</v>
      </c>
      <c r="AL246" s="1151">
        <f t="shared" si="410"/>
        <v>122.07</v>
      </c>
      <c r="AM246" s="1151">
        <f t="shared" si="411"/>
        <v>109.57</v>
      </c>
      <c r="AN246" s="1028">
        <v>0</v>
      </c>
      <c r="AO246" s="1193">
        <f>'CONCEPTOS Y PARAMETROS'!$C$18*AN246</f>
        <v>0</v>
      </c>
      <c r="AP246" s="1028">
        <v>0</v>
      </c>
      <c r="AQ246" s="1193">
        <f>'CONCEPTOS Y PARAMETROS'!$C$21*AP246</f>
        <v>0</v>
      </c>
      <c r="AR246" s="1394">
        <v>0</v>
      </c>
      <c r="AS246" s="1394">
        <v>0</v>
      </c>
      <c r="AT246" s="1394">
        <f t="shared" si="672"/>
        <v>0</v>
      </c>
      <c r="AU246" s="1151">
        <f t="shared" si="412"/>
        <v>588.42999999999995</v>
      </c>
      <c r="AV246" s="1178" t="s">
        <v>5080</v>
      </c>
      <c r="AW246" s="1151">
        <f t="shared" si="673"/>
        <v>135.79</v>
      </c>
      <c r="AX246" s="1150">
        <f>IF(T246&lt;&gt;"0",(ROUND(IF(A246="EMPLEADO",eval_formula('CONCEPTOS Y PARAMETROS'!$C$8,NOMINA!V246,NOMINA!$AU246,NOMINA!I246+NOMINA!J246),eval_formula('CONCEPTOS Y PARAMETROS'!$D$8,NOMINA!V246,NOMINA!$AU246,NOMINA!I246+NOMINA!J246)),2))*IF(H246&lt;&gt;"",IF(MONTH(H246)=$BR$8,IF(YEAR(H246)&lt;$BT$7,1,0),0)))</f>
        <v>0</v>
      </c>
      <c r="AY246" s="1151">
        <v>180</v>
      </c>
      <c r="AZ246" s="1150">
        <f>IFERROR(VLOOKUP(AY246,'CONCEPTOS Y PARAMETROS'!Y:Z,2,0),0)</f>
        <v>150</v>
      </c>
      <c r="BA246" s="1150">
        <f t="shared" si="413"/>
        <v>4413.2299999999996</v>
      </c>
      <c r="BB246" s="1150">
        <f t="shared" si="643"/>
        <v>0</v>
      </c>
      <c r="BC246" s="1028">
        <v>0</v>
      </c>
      <c r="BD246" s="1150" t="str">
        <f t="shared" si="414"/>
        <v>0</v>
      </c>
      <c r="BE246" s="1028">
        <v>3</v>
      </c>
      <c r="BF246" s="1150">
        <f t="shared" si="556"/>
        <v>88.26</v>
      </c>
      <c r="BG246" s="1151">
        <v>300</v>
      </c>
      <c r="BH246" s="1151">
        <f t="shared" si="647"/>
        <v>0</v>
      </c>
      <c r="BI246" s="1180">
        <v>0</v>
      </c>
      <c r="BJ246" s="1180">
        <f t="shared" si="642"/>
        <v>0</v>
      </c>
      <c r="BK246" s="1151">
        <v>0</v>
      </c>
      <c r="BL246" s="1150">
        <f t="shared" si="630"/>
        <v>21.73</v>
      </c>
      <c r="BM246" s="1150">
        <f t="shared" si="631"/>
        <v>2.72</v>
      </c>
      <c r="BN246" s="1150">
        <f t="shared" si="644"/>
        <v>5.88</v>
      </c>
      <c r="BO246" s="1150">
        <v>0</v>
      </c>
      <c r="BP246" s="1150">
        <v>0</v>
      </c>
      <c r="BQ246" s="1396">
        <f t="shared" si="677"/>
        <v>30.33</v>
      </c>
      <c r="BR246" s="1150">
        <f t="shared" si="634"/>
        <v>48.88</v>
      </c>
      <c r="BS246" s="1150">
        <f t="shared" si="635"/>
        <v>10.86</v>
      </c>
      <c r="BT246" s="1150">
        <f t="shared" si="649"/>
        <v>11.76</v>
      </c>
      <c r="BU246" s="1150">
        <v>0</v>
      </c>
      <c r="BV246" s="1151">
        <f t="shared" si="678"/>
        <v>71.5</v>
      </c>
      <c r="BW246" s="1155">
        <f t="shared" si="679"/>
        <v>101.83</v>
      </c>
      <c r="BX246" s="1155">
        <f t="shared" si="676"/>
        <v>1103.31</v>
      </c>
      <c r="BY246" s="1151">
        <v>0</v>
      </c>
      <c r="BZ246" s="1151">
        <f t="shared" si="641"/>
        <v>1103.31</v>
      </c>
      <c r="CA246" s="1397">
        <f>'CONCEPTOS Y PARAMETROS'!$A$102</f>
        <v>2120</v>
      </c>
      <c r="CB246" s="1155">
        <f t="shared" si="652"/>
        <v>202.24</v>
      </c>
      <c r="CC246" s="1156">
        <f t="shared" si="653"/>
        <v>744.12</v>
      </c>
      <c r="CD246" s="514"/>
      <c r="CE246" s="514"/>
      <c r="CF246" s="520"/>
      <c r="CG246" s="497">
        <f t="shared" si="654"/>
        <v>202.24</v>
      </c>
      <c r="CH246" s="1711">
        <f t="shared" si="655"/>
        <v>300</v>
      </c>
      <c r="CI246" s="497">
        <f t="shared" si="656"/>
        <v>520.06999999999994</v>
      </c>
      <c r="CJ246" s="497">
        <f t="shared" si="657"/>
        <v>520.07000000000005</v>
      </c>
      <c r="CK246" s="497">
        <f t="shared" si="658"/>
        <v>0</v>
      </c>
      <c r="CL246" s="497">
        <f t="shared" si="659"/>
        <v>0</v>
      </c>
      <c r="CM246" s="497">
        <f t="shared" si="660"/>
        <v>0</v>
      </c>
      <c r="CN246" s="498">
        <f t="shared" si="661"/>
        <v>88.26</v>
      </c>
      <c r="CO246" s="499">
        <v>0</v>
      </c>
      <c r="CP246" s="498">
        <f t="shared" si="662"/>
        <v>135.79</v>
      </c>
      <c r="CQ246" s="500">
        <f t="shared" si="663"/>
        <v>0</v>
      </c>
      <c r="CR246" s="498">
        <f t="shared" si="664"/>
        <v>0</v>
      </c>
      <c r="CS246" s="498">
        <f t="shared" si="665"/>
        <v>224.05</v>
      </c>
      <c r="CT246" s="498">
        <f t="shared" si="666"/>
        <v>101.83</v>
      </c>
      <c r="CU246" s="498">
        <f t="shared" si="667"/>
        <v>2120</v>
      </c>
      <c r="CV246" s="1554"/>
      <c r="CW246" s="1195" t="s">
        <v>7017</v>
      </c>
      <c r="CX246" s="1195" t="s">
        <v>7109</v>
      </c>
      <c r="CY246" s="472"/>
      <c r="CZ246" s="514" t="s">
        <v>6329</v>
      </c>
      <c r="DA246" s="514" t="s">
        <v>6198</v>
      </c>
      <c r="DB246" s="1199" t="s">
        <v>6291</v>
      </c>
      <c r="DC246" s="514" t="s">
        <v>6330</v>
      </c>
      <c r="DD246" s="514"/>
      <c r="DE246" s="514"/>
      <c r="DF246" s="472"/>
      <c r="DG246" s="472"/>
      <c r="DH246" s="472"/>
      <c r="DI246" s="473"/>
      <c r="DJ246" s="473" t="str">
        <f>VLOOKUP(X246,Hoja1!$A$4:$B$10,2,0)</f>
        <v>TÉCNICO SUPERIOR UNIVERSITARIO</v>
      </c>
      <c r="DK246" s="473" t="str">
        <f>VLOOKUP(S246,Hoja1!$D$4:$F$77,3,0)</f>
        <v>TII - III</v>
      </c>
      <c r="DL246" s="1216" t="str">
        <f t="shared" si="668"/>
        <v>SI</v>
      </c>
      <c r="DM246" s="1741" t="str">
        <f t="shared" si="669"/>
        <v>F</v>
      </c>
      <c r="DN246" s="1741"/>
    </row>
    <row r="247" spans="1:118" s="478" customFormat="1" ht="21.95" customHeight="1">
      <c r="A247" s="510" t="s">
        <v>2846</v>
      </c>
      <c r="B247" s="1390">
        <f t="shared" ca="1" si="479"/>
        <v>205</v>
      </c>
      <c r="C247" s="1194">
        <v>19643806</v>
      </c>
      <c r="D247" s="1195" t="s">
        <v>6790</v>
      </c>
      <c r="E247" s="1180" t="s">
        <v>4622</v>
      </c>
      <c r="F247" s="1196">
        <v>32234</v>
      </c>
      <c r="G247" s="1180" t="s">
        <v>4620</v>
      </c>
      <c r="H247" s="1196">
        <v>45505</v>
      </c>
      <c r="I247" s="1185">
        <f t="shared" si="645"/>
        <v>0</v>
      </c>
      <c r="J247" s="1177">
        <v>0</v>
      </c>
      <c r="K247" s="1185">
        <f t="shared" si="646"/>
        <v>0</v>
      </c>
      <c r="L247" s="1191" t="s">
        <v>5552</v>
      </c>
      <c r="M247" s="1177"/>
      <c r="N247" s="1177"/>
      <c r="O247" s="1040" t="s">
        <v>5219</v>
      </c>
      <c r="P247" s="1197" t="s">
        <v>6791</v>
      </c>
      <c r="Q247" s="1391" t="str">
        <f>IFERROR(VLOOKUP(O247,CARGOS!A:E,2,0),"")</f>
        <v>12113</v>
      </c>
      <c r="R247" s="1403" t="s">
        <v>5219</v>
      </c>
      <c r="S247" s="1192" t="s">
        <v>5475</v>
      </c>
      <c r="T247" s="1150">
        <f>IFERROR(VLOOKUP(S247,'TAB EMP'!A:B,2,0),0)</f>
        <v>192</v>
      </c>
      <c r="U247" s="1151">
        <v>0</v>
      </c>
      <c r="V247" s="1150">
        <f t="shared" ref="V247" si="680">T247-U247</f>
        <v>192</v>
      </c>
      <c r="W247" s="1151">
        <f t="shared" ref="W247" si="681">ROUND(V247/2,2)</f>
        <v>96</v>
      </c>
      <c r="X247" s="1180" t="s">
        <v>2885</v>
      </c>
      <c r="Y247" s="1180"/>
      <c r="Z247" s="1180">
        <v>2</v>
      </c>
      <c r="AA247" s="1150">
        <f>ROUND(IF(H247&lt;&gt;"",VLOOKUP(SUM(I247+J247),'CONCEPTOS Y PARAMETROS'!F:G,2,0)*V247,0),2)</f>
        <v>0</v>
      </c>
      <c r="AB247" s="1150">
        <f>IF(S247&lt;&gt;"",IF(M247="",'CONCEPTOS Y PARAMETROS'!$C$4,0),0)</f>
        <v>130</v>
      </c>
      <c r="AC247" s="1150">
        <f>IF(S247&lt;&gt;"",IF(M247="",'CONCEPTOS Y PARAMETROS'!$C$7*Z247,0),0)</f>
        <v>25</v>
      </c>
      <c r="AD247" s="1150">
        <f>IFERROR(ROUND(VLOOKUP($X247,'CONCEPTOS Y PARAMETROS'!H:I,2,0)*($V247+AA247+AB247+AC247),2),0)</f>
        <v>86.75</v>
      </c>
      <c r="AE247" s="1150">
        <f t="shared" ref="AE247" si="682">SUM(AA247:AD247)</f>
        <v>241.75</v>
      </c>
      <c r="AF247" s="1150">
        <f t="shared" ref="AF247" si="683">ROUND(AA247/2,2)</f>
        <v>0</v>
      </c>
      <c r="AG247" s="1150">
        <f t="shared" ref="AG247" si="684">ROUND(AA247-AF247,2)</f>
        <v>0</v>
      </c>
      <c r="AH247" s="1150">
        <f t="shared" ref="AH247" si="685">ROUND(AB247/2,2)</f>
        <v>65</v>
      </c>
      <c r="AI247" s="1150">
        <f t="shared" ref="AI247" si="686">ROUND(AB247-AH247,2)</f>
        <v>65</v>
      </c>
      <c r="AJ247" s="1150">
        <f t="shared" ref="AJ247" si="687">ROUND(AD247/2,2)</f>
        <v>43.38</v>
      </c>
      <c r="AK247" s="1150">
        <f t="shared" ref="AK247" si="688">ROUND(AD247-AJ247,2)</f>
        <v>43.37</v>
      </c>
      <c r="AL247" s="1151">
        <f t="shared" ref="AL247" si="689">ROUND(AF247+AH247+AJ247+AC247,2)</f>
        <v>133.38</v>
      </c>
      <c r="AM247" s="1151">
        <f t="shared" ref="AM247" si="690">ROUND(AG247+AI247+AK247,2)</f>
        <v>108.37</v>
      </c>
      <c r="AN247" s="1583">
        <v>2</v>
      </c>
      <c r="AO247" s="1193">
        <f>'CONCEPTOS Y PARAMETROS'!$C$18*AN247</f>
        <v>25</v>
      </c>
      <c r="AP247" s="1028">
        <v>0</v>
      </c>
      <c r="AQ247" s="1193">
        <f>'CONCEPTOS Y PARAMETROS'!$C$21*AP247</f>
        <v>0</v>
      </c>
      <c r="AR247" s="1394">
        <v>0</v>
      </c>
      <c r="AS247" s="1394">
        <v>0</v>
      </c>
      <c r="AT247" s="1394">
        <f t="shared" ref="AT247" si="691">+AO247+AQ247+AR247+AS247</f>
        <v>25</v>
      </c>
      <c r="AU247" s="1151">
        <f t="shared" ref="AU247" si="692">V247+AE247+AW247</f>
        <v>433.75</v>
      </c>
      <c r="AV247" s="1178">
        <v>0</v>
      </c>
      <c r="AW247" s="1151">
        <f t="shared" ref="AW247" si="693">ROUND(IF(AV247="NOCTURN",(V247+AE247)*30%,0),2)</f>
        <v>0</v>
      </c>
      <c r="AX247" s="1150">
        <f>IF(T247&lt;&gt;"0",(ROUND(IF(A247="EMPLEADO",eval_formula('CONCEPTOS Y PARAMETROS'!$C$8,NOMINA!V247,NOMINA!$AU247,NOMINA!I247+NOMINA!J247),eval_formula('CONCEPTOS Y PARAMETROS'!$D$8,NOMINA!V247,NOMINA!$AU247,NOMINA!I247+NOMINA!J247)),2))*IF(H247&lt;&gt;"",IF(MONTH(H247)=$BR$8,IF(YEAR(H247)&lt;$BT$7,1,0),0)))</f>
        <v>0</v>
      </c>
      <c r="AY247" s="1151">
        <v>75</v>
      </c>
      <c r="AZ247" s="1150">
        <f>IFERROR(VLOOKUP(AY247,'CONCEPTOS Y PARAMETROS'!Y:Z,2,0),0)</f>
        <v>62.5</v>
      </c>
      <c r="BA247" s="1150">
        <f t="shared" ref="BA247" si="694">ROUND((((AU247))/30*AY247/12+(AU247))/30*AZ247,2)</f>
        <v>1091.9100000000001</v>
      </c>
      <c r="BB247" s="1150">
        <f t="shared" si="643"/>
        <v>0</v>
      </c>
      <c r="BC247" s="1028">
        <v>0</v>
      </c>
      <c r="BD247" s="1150" t="str">
        <f t="shared" ref="BD247" si="695">IF(BC247&gt;0,((((((V247+AA247+AB247+AC247+AD247)/30)/8)*50%)+((((V247+AA247+AB247+AC247+AD247)/30)/8)))*30%+(((((V247+AA247+AB247+AC247+AD247)/30)/8)*50%)+((((V247+AA247+AB247+AC247+AD247)/30)/8))))*BC247,"0")</f>
        <v>0</v>
      </c>
      <c r="BE247" s="1028">
        <v>0</v>
      </c>
      <c r="BF247" s="1150">
        <f t="shared" si="556"/>
        <v>0</v>
      </c>
      <c r="BG247" s="1151">
        <v>300</v>
      </c>
      <c r="BH247" s="1151">
        <f t="shared" si="647"/>
        <v>0</v>
      </c>
      <c r="BI247" s="1180">
        <v>0</v>
      </c>
      <c r="BJ247" s="1180">
        <f t="shared" si="642"/>
        <v>0</v>
      </c>
      <c r="BK247" s="1151">
        <v>0</v>
      </c>
      <c r="BL247" s="1150">
        <f t="shared" ref="BL247:BL309" si="696">ROUND(IF(M247="", (((AU247*12)/52)*4%)*$BS$8,0),2)</f>
        <v>16.02</v>
      </c>
      <c r="BM247" s="1150">
        <f t="shared" ref="BM247:BM309" si="697">ROUND(IF(M247="",(((AU247*12)/52)*0.5%)*$BS$8,0),2)</f>
        <v>2</v>
      </c>
      <c r="BN247" s="1150">
        <f t="shared" si="644"/>
        <v>4.34</v>
      </c>
      <c r="BO247" s="1150">
        <v>0</v>
      </c>
      <c r="BP247" s="1150">
        <v>0</v>
      </c>
      <c r="BQ247" s="1396">
        <f t="shared" ref="BQ247" si="698">ROUND(SUM(BL247:BP247),2)</f>
        <v>22.36</v>
      </c>
      <c r="BR247" s="1150">
        <f t="shared" ref="BR247:BR309" si="699">ROUND(IF(M247="", (((AU247*12)/52)*9%)*$BS$8,0),2)</f>
        <v>36.03</v>
      </c>
      <c r="BS247" s="1150">
        <f t="shared" ref="BS247:BS309" si="700">ROUND(IF(M247="",(((AU247*12)/52)*2%)*$BS$8,0),2)</f>
        <v>8.01</v>
      </c>
      <c r="BT247" s="1150">
        <f t="shared" si="649"/>
        <v>8.68</v>
      </c>
      <c r="BU247" s="1150">
        <v>0</v>
      </c>
      <c r="BV247" s="1151">
        <f t="shared" si="678"/>
        <v>52.72</v>
      </c>
      <c r="BW247" s="1155">
        <f t="shared" si="679"/>
        <v>75.08</v>
      </c>
      <c r="BX247" s="1155">
        <f t="shared" si="676"/>
        <v>272.98</v>
      </c>
      <c r="BY247" s="1151">
        <v>0</v>
      </c>
      <c r="BZ247" s="1151">
        <f t="shared" si="641"/>
        <v>272.98</v>
      </c>
      <c r="CA247" s="1397">
        <f>'CONCEPTOS Y PARAMETROS'!$A$102</f>
        <v>2120</v>
      </c>
      <c r="CB247" s="1155">
        <f t="shared" si="652"/>
        <v>207.01999999999998</v>
      </c>
      <c r="CC247" s="1156">
        <f t="shared" si="653"/>
        <v>529.37</v>
      </c>
      <c r="CD247" s="514"/>
      <c r="CE247" s="514"/>
      <c r="CF247" s="521"/>
      <c r="CG247" s="511">
        <f t="shared" si="654"/>
        <v>207.01999999999998</v>
      </c>
      <c r="CH247" s="1712">
        <f t="shared" si="655"/>
        <v>300</v>
      </c>
      <c r="CI247" s="511">
        <f t="shared" si="656"/>
        <v>504.37</v>
      </c>
      <c r="CJ247" s="511">
        <f t="shared" si="657"/>
        <v>504.37</v>
      </c>
      <c r="CK247" s="511">
        <f t="shared" si="658"/>
        <v>0</v>
      </c>
      <c r="CL247" s="511">
        <f t="shared" si="659"/>
        <v>0</v>
      </c>
      <c r="CM247" s="511">
        <f t="shared" si="660"/>
        <v>0</v>
      </c>
      <c r="CN247" s="512">
        <f t="shared" si="661"/>
        <v>0</v>
      </c>
      <c r="CO247" s="513">
        <v>0</v>
      </c>
      <c r="CP247" s="512">
        <f t="shared" si="662"/>
        <v>0</v>
      </c>
      <c r="CQ247" s="500">
        <f t="shared" si="663"/>
        <v>25</v>
      </c>
      <c r="CR247" s="512">
        <f t="shared" si="664"/>
        <v>0</v>
      </c>
      <c r="CS247" s="512">
        <f t="shared" si="665"/>
        <v>25</v>
      </c>
      <c r="CT247" s="512">
        <f t="shared" si="666"/>
        <v>75.08</v>
      </c>
      <c r="CU247" s="512">
        <f t="shared" si="667"/>
        <v>2120</v>
      </c>
      <c r="CV247" s="1556"/>
      <c r="CW247" s="1195" t="s">
        <v>7110</v>
      </c>
      <c r="CX247" s="1195" t="s">
        <v>7000</v>
      </c>
      <c r="CY247" s="514"/>
      <c r="CZ247" s="1199" t="s">
        <v>6808</v>
      </c>
      <c r="DA247" s="1199" t="s">
        <v>6173</v>
      </c>
      <c r="DB247" s="1199" t="s">
        <v>6202</v>
      </c>
      <c r="DC247" s="514" t="s">
        <v>6303</v>
      </c>
      <c r="DD247" s="514"/>
      <c r="DE247" s="514"/>
      <c r="DF247" s="514"/>
      <c r="DG247" s="514"/>
      <c r="DH247" s="514"/>
      <c r="DJ247" s="478" t="str">
        <f>VLOOKUP(X247,Hoja1!$A$4:$B$10,2,0)</f>
        <v>PROFESIONAL</v>
      </c>
      <c r="DK247" s="478" t="str">
        <f>VLOOKUP(S247,Hoja1!$D$4:$F$77,3,0)</f>
        <v>TI</v>
      </c>
      <c r="DL247" s="1225" t="str">
        <f t="shared" si="668"/>
        <v>0</v>
      </c>
      <c r="DM247" s="1743" t="str">
        <f t="shared" si="669"/>
        <v>F</v>
      </c>
      <c r="DN247" s="1743"/>
    </row>
    <row r="248" spans="1:118" s="1654" customFormat="1" ht="21.95" customHeight="1">
      <c r="A248" s="1624" t="s">
        <v>2846</v>
      </c>
      <c r="B248" s="1625">
        <f t="shared" ca="1" si="479"/>
        <v>206</v>
      </c>
      <c r="C248" s="1626">
        <v>19644743</v>
      </c>
      <c r="D248" s="1627" t="s">
        <v>4880</v>
      </c>
      <c r="E248" s="1628" t="s">
        <v>4622</v>
      </c>
      <c r="F248" s="1629">
        <v>33078</v>
      </c>
      <c r="G248" s="1628" t="s">
        <v>4620</v>
      </c>
      <c r="H248" s="1629">
        <v>43967</v>
      </c>
      <c r="I248" s="1630">
        <f t="shared" si="645"/>
        <v>4</v>
      </c>
      <c r="J248" s="1631">
        <v>0</v>
      </c>
      <c r="K248" s="1630">
        <f t="shared" si="646"/>
        <v>4</v>
      </c>
      <c r="L248" s="1632" t="s">
        <v>5538</v>
      </c>
      <c r="M248" s="1631"/>
      <c r="N248" s="1631"/>
      <c r="O248" s="1633" t="s">
        <v>7434</v>
      </c>
      <c r="P248" s="1631" t="s">
        <v>5432</v>
      </c>
      <c r="Q248" s="1634" t="str">
        <f>IFERROR(VLOOKUP(O248,CARGOS!A:E,2,0),"")</f>
        <v>23452</v>
      </c>
      <c r="R248" s="1635" t="s">
        <v>7434</v>
      </c>
      <c r="S248" s="1636" t="s">
        <v>5480</v>
      </c>
      <c r="T248" s="1637">
        <f>IFERROR(VLOOKUP(S248,'TAB EMP'!A:B,2,0),0)</f>
        <v>277</v>
      </c>
      <c r="U248" s="1638">
        <v>0</v>
      </c>
      <c r="V248" s="1637">
        <f t="shared" si="402"/>
        <v>277</v>
      </c>
      <c r="W248" s="1638">
        <f t="shared" si="403"/>
        <v>138.5</v>
      </c>
      <c r="X248" s="1628" t="s">
        <v>2885</v>
      </c>
      <c r="Y248" s="1628"/>
      <c r="Z248" s="1628">
        <v>2</v>
      </c>
      <c r="AA248" s="1637">
        <f>ROUND(IF(H248&lt;&gt;"",VLOOKUP(SUM(I248+J248),'CONCEPTOS Y PARAMETROS'!F:G,2,0)*V248,0),2)</f>
        <v>11.08</v>
      </c>
      <c r="AB248" s="1637">
        <f>IF(S248&lt;&gt;"",IF(M248="",'CONCEPTOS Y PARAMETROS'!$C$4,0),0)</f>
        <v>130</v>
      </c>
      <c r="AC248" s="1637">
        <f>IF(S248&lt;&gt;"",IF(M248="",'CONCEPTOS Y PARAMETROS'!$C$7*Z248,0),0)</f>
        <v>25</v>
      </c>
      <c r="AD248" s="1637">
        <f>IFERROR(ROUND(VLOOKUP($X248,'CONCEPTOS Y PARAMETROS'!H:I,2,0)*($V248+AA248+AB248+AC248),2),0)</f>
        <v>110.77</v>
      </c>
      <c r="AE248" s="1637">
        <f t="shared" ref="AE248:AE308" si="701">SUM(AA248:AD248)</f>
        <v>276.85000000000002</v>
      </c>
      <c r="AF248" s="1637">
        <f t="shared" si="404"/>
        <v>5.54</v>
      </c>
      <c r="AG248" s="1637">
        <f t="shared" si="405"/>
        <v>5.54</v>
      </c>
      <c r="AH248" s="1637">
        <f t="shared" si="406"/>
        <v>65</v>
      </c>
      <c r="AI248" s="1637">
        <f t="shared" si="407"/>
        <v>65</v>
      </c>
      <c r="AJ248" s="1637">
        <f t="shared" si="408"/>
        <v>55.39</v>
      </c>
      <c r="AK248" s="1637">
        <f t="shared" si="409"/>
        <v>55.38</v>
      </c>
      <c r="AL248" s="1638">
        <f t="shared" si="410"/>
        <v>150.93</v>
      </c>
      <c r="AM248" s="1638">
        <f t="shared" si="411"/>
        <v>125.92</v>
      </c>
      <c r="AN248" s="1639">
        <v>1</v>
      </c>
      <c r="AO248" s="1640">
        <f>'CONCEPTOS Y PARAMETROS'!$C$18*AN248</f>
        <v>12.5</v>
      </c>
      <c r="AP248" s="1639">
        <v>0</v>
      </c>
      <c r="AQ248" s="1640">
        <f>'CONCEPTOS Y PARAMETROS'!$C$21*AP248</f>
        <v>0</v>
      </c>
      <c r="AR248" s="1641">
        <v>0</v>
      </c>
      <c r="AS248" s="1641">
        <v>0</v>
      </c>
      <c r="AT248" s="1641">
        <f t="shared" si="672"/>
        <v>12.5</v>
      </c>
      <c r="AU248" s="1638">
        <f t="shared" si="412"/>
        <v>553.85</v>
      </c>
      <c r="AV248" s="1642">
        <v>0</v>
      </c>
      <c r="AW248" s="1638">
        <f t="shared" si="673"/>
        <v>0</v>
      </c>
      <c r="AX248" s="1637">
        <f>IF(T248&lt;&gt;"0",(ROUND(IF(A248="EMPLEADO",eval_formula('CONCEPTOS Y PARAMETROS'!$C$8,NOMINA!V248,NOMINA!$AU248,NOMINA!I248+NOMINA!J248),eval_formula('CONCEPTOS Y PARAMETROS'!$D$8,NOMINA!V248,NOMINA!$AU248,NOMINA!I248+NOMINA!J248)),2))*IF(H248&lt;&gt;"",IF(MONTH(H248)=$BR$8,IF(YEAR(H248)&lt;$BT$7,1,0),0)))</f>
        <v>0</v>
      </c>
      <c r="AY248" s="1638">
        <v>180</v>
      </c>
      <c r="AZ248" s="1637">
        <f>IFERROR(VLOOKUP(AY248,'CONCEPTOS Y PARAMETROS'!Y:Z,2,0),0)</f>
        <v>150</v>
      </c>
      <c r="BA248" s="1637">
        <f t="shared" si="413"/>
        <v>4153.88</v>
      </c>
      <c r="BB248" s="1637">
        <f t="shared" si="643"/>
        <v>0</v>
      </c>
      <c r="BC248" s="1639">
        <v>0</v>
      </c>
      <c r="BD248" s="1637" t="str">
        <f t="shared" si="414"/>
        <v>0</v>
      </c>
      <c r="BE248" s="1639">
        <v>0</v>
      </c>
      <c r="BF248" s="1637">
        <f t="shared" ref="BF248:BF279" si="702">ROUND(IF(BE248&gt;0,(((V248+AA248+AB248+AC248+AD248+AW248)/30)*50%+((V248+AA248+AB248+AC248+AD248+AW248)/30))*BE248,"0"),2)</f>
        <v>0</v>
      </c>
      <c r="BG248" s="1638">
        <v>300</v>
      </c>
      <c r="BH248" s="1638">
        <f t="shared" si="647"/>
        <v>0</v>
      </c>
      <c r="BI248" s="1628">
        <v>0</v>
      </c>
      <c r="BJ248" s="1628">
        <f t="shared" si="642"/>
        <v>0</v>
      </c>
      <c r="BK248" s="1638">
        <v>0</v>
      </c>
      <c r="BL248" s="1637">
        <f t="shared" si="696"/>
        <v>20.45</v>
      </c>
      <c r="BM248" s="1637">
        <f t="shared" si="697"/>
        <v>2.56</v>
      </c>
      <c r="BN248" s="1637">
        <f t="shared" si="644"/>
        <v>5.54</v>
      </c>
      <c r="BO248" s="1637">
        <v>0</v>
      </c>
      <c r="BP248" s="1637">
        <v>0</v>
      </c>
      <c r="BQ248" s="1643">
        <f t="shared" si="677"/>
        <v>28.55</v>
      </c>
      <c r="BR248" s="1637">
        <f t="shared" si="699"/>
        <v>46.01</v>
      </c>
      <c r="BS248" s="1637">
        <f t="shared" si="700"/>
        <v>10.220000000000001</v>
      </c>
      <c r="BT248" s="1637">
        <f t="shared" si="649"/>
        <v>11.08</v>
      </c>
      <c r="BU248" s="1637">
        <v>0</v>
      </c>
      <c r="BV248" s="1638">
        <f t="shared" si="678"/>
        <v>67.31</v>
      </c>
      <c r="BW248" s="1644">
        <f t="shared" si="679"/>
        <v>95.86</v>
      </c>
      <c r="BX248" s="1644">
        <f t="shared" si="676"/>
        <v>1038.47</v>
      </c>
      <c r="BY248" s="1638">
        <v>0</v>
      </c>
      <c r="BZ248" s="1638">
        <f t="shared" si="641"/>
        <v>1038.47</v>
      </c>
      <c r="CA248" s="1645">
        <f>'CONCEPTOS Y PARAMETROS'!$A$102</f>
        <v>2120</v>
      </c>
      <c r="CB248" s="1644">
        <f t="shared" si="652"/>
        <v>260.88</v>
      </c>
      <c r="CC248" s="1646">
        <f t="shared" si="653"/>
        <v>576.91999999999996</v>
      </c>
      <c r="CD248" s="1647"/>
      <c r="CE248" s="1647"/>
      <c r="CF248" s="1648"/>
      <c r="CG248" s="1649">
        <f t="shared" si="654"/>
        <v>260.88</v>
      </c>
      <c r="CH248" s="1713">
        <f t="shared" si="655"/>
        <v>300</v>
      </c>
      <c r="CI248" s="1649">
        <f t="shared" si="656"/>
        <v>564.42000000000007</v>
      </c>
      <c r="CJ248" s="1649">
        <f t="shared" si="657"/>
        <v>270.92</v>
      </c>
      <c r="CK248" s="1649">
        <f t="shared" si="658"/>
        <v>293.50000000000006</v>
      </c>
      <c r="CL248" s="1649">
        <f t="shared" si="659"/>
        <v>0</v>
      </c>
      <c r="CM248" s="1649">
        <f t="shared" si="660"/>
        <v>0</v>
      </c>
      <c r="CN248" s="1650">
        <f t="shared" si="661"/>
        <v>0</v>
      </c>
      <c r="CO248" s="1651">
        <v>0</v>
      </c>
      <c r="CP248" s="1650">
        <f t="shared" si="662"/>
        <v>0</v>
      </c>
      <c r="CQ248" s="1652">
        <f t="shared" si="663"/>
        <v>12.5</v>
      </c>
      <c r="CR248" s="1650">
        <f t="shared" si="664"/>
        <v>0</v>
      </c>
      <c r="CS248" s="1650">
        <f t="shared" si="665"/>
        <v>12.5</v>
      </c>
      <c r="CT248" s="1650">
        <f t="shared" si="666"/>
        <v>95.86</v>
      </c>
      <c r="CU248" s="1650">
        <f t="shared" si="667"/>
        <v>2120</v>
      </c>
      <c r="CV248" s="1653"/>
      <c r="CW248" s="1627" t="s">
        <v>7111</v>
      </c>
      <c r="CX248" s="1627" t="s">
        <v>7068</v>
      </c>
      <c r="CY248" s="1647"/>
      <c r="CZ248" s="1657" t="s">
        <v>6681</v>
      </c>
      <c r="DA248" s="1657" t="s">
        <v>6241</v>
      </c>
      <c r="DB248" s="1657" t="s">
        <v>6258</v>
      </c>
      <c r="DC248" s="1647" t="s">
        <v>6718</v>
      </c>
      <c r="DD248" s="1647"/>
      <c r="DE248" s="1647"/>
      <c r="DF248" s="1647"/>
      <c r="DG248" s="1647"/>
      <c r="DH248" s="1647"/>
      <c r="DJ248" s="1654" t="str">
        <f>VLOOKUP(X248,Hoja1!$A$4:$B$10,2,0)</f>
        <v>PROFESIONAL</v>
      </c>
      <c r="DK248" s="1654" t="str">
        <f>VLOOKUP(S248,Hoja1!$D$4:$F$77,3,0)</f>
        <v>PII - II</v>
      </c>
      <c r="DL248" s="1663" t="str">
        <f t="shared" si="668"/>
        <v>0</v>
      </c>
      <c r="DM248" s="1742" t="str">
        <f t="shared" si="669"/>
        <v>F</v>
      </c>
      <c r="DN248" s="1742"/>
    </row>
    <row r="249" spans="1:118" s="1654" customFormat="1" ht="21.95" customHeight="1">
      <c r="A249" s="1624" t="s">
        <v>2846</v>
      </c>
      <c r="B249" s="1625">
        <f t="shared" ca="1" si="479"/>
        <v>207</v>
      </c>
      <c r="C249" s="1626">
        <v>19644756</v>
      </c>
      <c r="D249" s="1627" t="s">
        <v>4881</v>
      </c>
      <c r="E249" s="1628" t="s">
        <v>4622</v>
      </c>
      <c r="F249" s="1629">
        <v>32587</v>
      </c>
      <c r="G249" s="1628" t="s">
        <v>4620</v>
      </c>
      <c r="H249" s="1629">
        <v>44470</v>
      </c>
      <c r="I249" s="1630">
        <f t="shared" si="645"/>
        <v>3</v>
      </c>
      <c r="J249" s="1631">
        <v>0</v>
      </c>
      <c r="K249" s="1630">
        <f t="shared" si="646"/>
        <v>3</v>
      </c>
      <c r="L249" s="1632" t="s">
        <v>5558</v>
      </c>
      <c r="M249" s="1631"/>
      <c r="N249" s="1631"/>
      <c r="O249" s="1633" t="s">
        <v>7439</v>
      </c>
      <c r="P249" s="1631" t="s">
        <v>5433</v>
      </c>
      <c r="Q249" s="1634" t="str">
        <f>IFERROR(VLOOKUP(O249,CARGOS!A:E,2,0),"")</f>
        <v>77142</v>
      </c>
      <c r="R249" s="1635" t="s">
        <v>7438</v>
      </c>
      <c r="S249" s="1636" t="s">
        <v>5490</v>
      </c>
      <c r="T249" s="1637">
        <f>IFERROR(VLOOKUP(S249,'TAB EMP'!A:B,2,0),0)</f>
        <v>150</v>
      </c>
      <c r="U249" s="1638">
        <v>0</v>
      </c>
      <c r="V249" s="1637">
        <f t="shared" si="402"/>
        <v>150</v>
      </c>
      <c r="W249" s="1638">
        <f t="shared" si="403"/>
        <v>75</v>
      </c>
      <c r="X249" s="1628" t="s">
        <v>2884</v>
      </c>
      <c r="Y249" s="1628"/>
      <c r="Z249" s="1628">
        <v>2</v>
      </c>
      <c r="AA249" s="1637">
        <f>ROUND(IF(H249&lt;&gt;"",VLOOKUP(SUM(I249+J249),'CONCEPTOS Y PARAMETROS'!F:G,2,0)*V249,0),2)</f>
        <v>4.5</v>
      </c>
      <c r="AB249" s="1637">
        <f>IF(S249&lt;&gt;"",IF(M249="",'CONCEPTOS Y PARAMETROS'!$C$4,0),0)</f>
        <v>130</v>
      </c>
      <c r="AC249" s="1637">
        <f>IF(S249&lt;&gt;"",IF(M249="",'CONCEPTOS Y PARAMETROS'!$C$7*Z249,0),0)</f>
        <v>25</v>
      </c>
      <c r="AD249" s="1637">
        <f>IFERROR(ROUND(VLOOKUP($X249,'CONCEPTOS Y PARAMETROS'!H:I,2,0)*($V249+AA249+AB249+AC249),2),0)</f>
        <v>0</v>
      </c>
      <c r="AE249" s="1637">
        <f t="shared" si="701"/>
        <v>159.5</v>
      </c>
      <c r="AF249" s="1637">
        <f t="shared" si="404"/>
        <v>2.25</v>
      </c>
      <c r="AG249" s="1637">
        <f t="shared" si="405"/>
        <v>2.25</v>
      </c>
      <c r="AH249" s="1637">
        <f t="shared" si="406"/>
        <v>65</v>
      </c>
      <c r="AI249" s="1637">
        <f t="shared" si="407"/>
        <v>65</v>
      </c>
      <c r="AJ249" s="1637">
        <f t="shared" si="408"/>
        <v>0</v>
      </c>
      <c r="AK249" s="1637">
        <f t="shared" si="409"/>
        <v>0</v>
      </c>
      <c r="AL249" s="1638">
        <f t="shared" si="410"/>
        <v>92.25</v>
      </c>
      <c r="AM249" s="1638">
        <f t="shared" si="411"/>
        <v>67.25</v>
      </c>
      <c r="AN249" s="1639">
        <v>2</v>
      </c>
      <c r="AO249" s="1640">
        <f>'CONCEPTOS Y PARAMETROS'!$C$18*AN249</f>
        <v>25</v>
      </c>
      <c r="AP249" s="1639">
        <v>0</v>
      </c>
      <c r="AQ249" s="1640">
        <f>'CONCEPTOS Y PARAMETROS'!$C$21*AP249</f>
        <v>0</v>
      </c>
      <c r="AR249" s="1641">
        <v>0</v>
      </c>
      <c r="AS249" s="1641">
        <v>0</v>
      </c>
      <c r="AT249" s="1641">
        <f t="shared" si="672"/>
        <v>25</v>
      </c>
      <c r="AU249" s="1638">
        <f t="shared" si="412"/>
        <v>309.5</v>
      </c>
      <c r="AV249" s="1642">
        <v>0</v>
      </c>
      <c r="AW249" s="1638">
        <f t="shared" si="673"/>
        <v>0</v>
      </c>
      <c r="AX249" s="1637">
        <f>IF(T249&lt;&gt;"0",(ROUND(IF(A249="EMPLEADO",eval_formula('CONCEPTOS Y PARAMETROS'!$C$8,NOMINA!V249,NOMINA!$AU249,NOMINA!I249+NOMINA!J249),eval_formula('CONCEPTOS Y PARAMETROS'!$D$8,NOMINA!V249,NOMINA!$AU249,NOMINA!I249+NOMINA!J249)),2))*IF(H249&lt;&gt;"",IF(MONTH(H249)=$BR$8,IF(YEAR(H249)&lt;$BT$7,1,0),0)))</f>
        <v>0</v>
      </c>
      <c r="AY249" s="1638">
        <v>180</v>
      </c>
      <c r="AZ249" s="1637">
        <f>IFERROR(VLOOKUP(AY249,'CONCEPTOS Y PARAMETROS'!Y:Z,2,0),0)</f>
        <v>150</v>
      </c>
      <c r="BA249" s="1637">
        <f t="shared" si="413"/>
        <v>2321.25</v>
      </c>
      <c r="BB249" s="1637">
        <f t="shared" si="643"/>
        <v>0</v>
      </c>
      <c r="BC249" s="1639">
        <v>0</v>
      </c>
      <c r="BD249" s="1637" t="str">
        <f t="shared" si="414"/>
        <v>0</v>
      </c>
      <c r="BE249" s="1639">
        <v>4</v>
      </c>
      <c r="BF249" s="1637">
        <f t="shared" si="702"/>
        <v>61.9</v>
      </c>
      <c r="BG249" s="1638">
        <v>300</v>
      </c>
      <c r="BH249" s="1638">
        <f t="shared" si="647"/>
        <v>0</v>
      </c>
      <c r="BI249" s="1628">
        <v>0</v>
      </c>
      <c r="BJ249" s="1628">
        <f t="shared" si="642"/>
        <v>0</v>
      </c>
      <c r="BK249" s="1638">
        <v>0</v>
      </c>
      <c r="BL249" s="1637">
        <f t="shared" si="696"/>
        <v>11.43</v>
      </c>
      <c r="BM249" s="1637">
        <f t="shared" si="697"/>
        <v>1.43</v>
      </c>
      <c r="BN249" s="1637">
        <f t="shared" si="644"/>
        <v>3.1</v>
      </c>
      <c r="BO249" s="1637">
        <v>0</v>
      </c>
      <c r="BP249" s="1637">
        <v>0</v>
      </c>
      <c r="BQ249" s="1643">
        <f t="shared" si="677"/>
        <v>15.96</v>
      </c>
      <c r="BR249" s="1637">
        <f t="shared" si="699"/>
        <v>25.71</v>
      </c>
      <c r="BS249" s="1637">
        <f t="shared" si="700"/>
        <v>5.71</v>
      </c>
      <c r="BT249" s="1637">
        <f t="shared" si="649"/>
        <v>6.2</v>
      </c>
      <c r="BU249" s="1637">
        <v>0</v>
      </c>
      <c r="BV249" s="1638">
        <f t="shared" si="678"/>
        <v>37.619999999999997</v>
      </c>
      <c r="BW249" s="1644">
        <f t="shared" si="679"/>
        <v>53.58</v>
      </c>
      <c r="BX249" s="1644">
        <f t="shared" si="676"/>
        <v>580.30999999999995</v>
      </c>
      <c r="BY249" s="1638">
        <v>0</v>
      </c>
      <c r="BZ249" s="1638">
        <f t="shared" si="641"/>
        <v>580.30999999999995</v>
      </c>
      <c r="CA249" s="1645">
        <f>'CONCEPTOS Y PARAMETROS'!$A$102</f>
        <v>2120</v>
      </c>
      <c r="CB249" s="1644">
        <f t="shared" si="652"/>
        <v>151.29</v>
      </c>
      <c r="CC249" s="1646">
        <f t="shared" si="653"/>
        <v>529.15</v>
      </c>
      <c r="CD249" s="1647"/>
      <c r="CE249" s="1647"/>
      <c r="CF249" s="1648"/>
      <c r="CG249" s="1649">
        <f t="shared" si="654"/>
        <v>151.29</v>
      </c>
      <c r="CH249" s="1713">
        <f t="shared" si="655"/>
        <v>300</v>
      </c>
      <c r="CI249" s="1649">
        <f t="shared" si="656"/>
        <v>442.25</v>
      </c>
      <c r="CJ249" s="1649">
        <f t="shared" si="657"/>
        <v>442.25</v>
      </c>
      <c r="CK249" s="1649">
        <f t="shared" si="658"/>
        <v>0</v>
      </c>
      <c r="CL249" s="1649">
        <f t="shared" si="659"/>
        <v>0</v>
      </c>
      <c r="CM249" s="1649">
        <f t="shared" si="660"/>
        <v>0</v>
      </c>
      <c r="CN249" s="1650">
        <f t="shared" si="661"/>
        <v>61.9</v>
      </c>
      <c r="CO249" s="1651">
        <v>0</v>
      </c>
      <c r="CP249" s="1650">
        <f t="shared" si="662"/>
        <v>0</v>
      </c>
      <c r="CQ249" s="1652">
        <f t="shared" si="663"/>
        <v>25</v>
      </c>
      <c r="CR249" s="1650">
        <f t="shared" si="664"/>
        <v>0</v>
      </c>
      <c r="CS249" s="1650">
        <f t="shared" si="665"/>
        <v>86.9</v>
      </c>
      <c r="CT249" s="1650">
        <f t="shared" si="666"/>
        <v>53.58</v>
      </c>
      <c r="CU249" s="1650">
        <f t="shared" si="667"/>
        <v>2120</v>
      </c>
      <c r="CV249" s="1653"/>
      <c r="CW249" s="1627" t="s">
        <v>6950</v>
      </c>
      <c r="CX249" s="1627" t="s">
        <v>7112</v>
      </c>
      <c r="CY249" s="1647"/>
      <c r="CZ249" s="1647" t="s">
        <v>6400</v>
      </c>
      <c r="DA249" s="1647" t="s">
        <v>6188</v>
      </c>
      <c r="DB249" s="1647" t="s">
        <v>6401</v>
      </c>
      <c r="DC249" s="1647" t="s">
        <v>6330</v>
      </c>
      <c r="DD249" s="1647"/>
      <c r="DE249" s="1647"/>
      <c r="DF249" s="1647"/>
      <c r="DG249" s="1647"/>
      <c r="DH249" s="1647"/>
      <c r="DJ249" s="1654" t="str">
        <f>VLOOKUP(X249,Hoja1!$A$4:$B$10,2,0)</f>
        <v>BACHILLER</v>
      </c>
      <c r="DK249" s="1654" t="str">
        <f>VLOOKUP(S249,Hoja1!$D$4:$F$77,3,0)</f>
        <v>BII - II</v>
      </c>
      <c r="DL249" s="1663" t="str">
        <f t="shared" si="668"/>
        <v>0</v>
      </c>
      <c r="DM249" s="1742" t="str">
        <f t="shared" si="669"/>
        <v>F</v>
      </c>
      <c r="DN249" s="1742"/>
    </row>
    <row r="250" spans="1:118" s="473" customFormat="1" ht="21.95" customHeight="1">
      <c r="A250" s="510" t="s">
        <v>2846</v>
      </c>
      <c r="B250" s="1390">
        <f t="shared" ca="1" si="479"/>
        <v>208</v>
      </c>
      <c r="C250" s="1194">
        <v>19794217</v>
      </c>
      <c r="D250" s="1195" t="s">
        <v>4882</v>
      </c>
      <c r="E250" s="1180" t="s">
        <v>4622</v>
      </c>
      <c r="F250" s="1196">
        <v>33157</v>
      </c>
      <c r="G250" s="1180" t="s">
        <v>4620</v>
      </c>
      <c r="H250" s="1196">
        <v>44683</v>
      </c>
      <c r="I250" s="1185">
        <f t="shared" si="645"/>
        <v>2</v>
      </c>
      <c r="J250" s="1177">
        <v>0</v>
      </c>
      <c r="K250" s="1185">
        <f t="shared" si="646"/>
        <v>2</v>
      </c>
      <c r="L250" s="1191" t="s">
        <v>5542</v>
      </c>
      <c r="M250" s="1177"/>
      <c r="N250" s="1177"/>
      <c r="O250" s="1040" t="s">
        <v>5222</v>
      </c>
      <c r="P250" s="1177" t="s">
        <v>5434</v>
      </c>
      <c r="Q250" s="1391" t="str">
        <f>IFERROR(VLOOKUP(O250,CARGOS!A:E,2,0),"")</f>
        <v>79511</v>
      </c>
      <c r="R250" s="1403" t="s">
        <v>5222</v>
      </c>
      <c r="S250" s="1192" t="s">
        <v>5475</v>
      </c>
      <c r="T250" s="1150">
        <f>IFERROR(VLOOKUP(S250,'TAB EMP'!A:B,2,0),0)</f>
        <v>192</v>
      </c>
      <c r="U250" s="1151">
        <v>0</v>
      </c>
      <c r="V250" s="1150">
        <f t="shared" si="402"/>
        <v>192</v>
      </c>
      <c r="W250" s="1151">
        <f t="shared" si="403"/>
        <v>96</v>
      </c>
      <c r="X250" s="1180" t="s">
        <v>2844</v>
      </c>
      <c r="Y250" s="1180"/>
      <c r="Z250" s="1180">
        <v>1</v>
      </c>
      <c r="AA250" s="1150">
        <f>ROUND(IF(H250&lt;&gt;"",VLOOKUP(SUM(I250+J250),'CONCEPTOS Y PARAMETROS'!F:G,2,0)*V250,0),2)</f>
        <v>3.84</v>
      </c>
      <c r="AB250" s="1150">
        <f>IF(S250&lt;&gt;"",IF(M250="",'CONCEPTOS Y PARAMETROS'!$C$4,0),0)</f>
        <v>130</v>
      </c>
      <c r="AC250" s="1150">
        <f>IF(S250&lt;&gt;"",IF(M250="",'CONCEPTOS Y PARAMETROS'!$C$7*Z250,0),0)</f>
        <v>12.5</v>
      </c>
      <c r="AD250" s="1150">
        <f>IFERROR(ROUND(VLOOKUP($X250,'CONCEPTOS Y PARAMETROS'!H:I,2,0)*($V250+AA250+AB250+AC250),2),0)</f>
        <v>67.67</v>
      </c>
      <c r="AE250" s="1150">
        <f t="shared" si="701"/>
        <v>214.01</v>
      </c>
      <c r="AF250" s="1150">
        <f t="shared" si="404"/>
        <v>1.92</v>
      </c>
      <c r="AG250" s="1150">
        <f t="shared" si="405"/>
        <v>1.92</v>
      </c>
      <c r="AH250" s="1150">
        <f t="shared" si="406"/>
        <v>65</v>
      </c>
      <c r="AI250" s="1150">
        <f t="shared" si="407"/>
        <v>65</v>
      </c>
      <c r="AJ250" s="1150">
        <f t="shared" si="408"/>
        <v>33.840000000000003</v>
      </c>
      <c r="AK250" s="1150">
        <f t="shared" si="409"/>
        <v>33.83</v>
      </c>
      <c r="AL250" s="1151">
        <f t="shared" si="410"/>
        <v>113.26</v>
      </c>
      <c r="AM250" s="1151">
        <f t="shared" si="411"/>
        <v>100.75</v>
      </c>
      <c r="AN250" s="1583">
        <v>1</v>
      </c>
      <c r="AO250" s="1193">
        <f>'CONCEPTOS Y PARAMETROS'!$C$18*AN250</f>
        <v>12.5</v>
      </c>
      <c r="AP250" s="1028">
        <v>0</v>
      </c>
      <c r="AQ250" s="1193">
        <f>'CONCEPTOS Y PARAMETROS'!$C$21*AP250</f>
        <v>0</v>
      </c>
      <c r="AR250" s="1394">
        <v>0</v>
      </c>
      <c r="AS250" s="1394">
        <v>0</v>
      </c>
      <c r="AT250" s="1394">
        <f t="shared" si="672"/>
        <v>12.5</v>
      </c>
      <c r="AU250" s="1151">
        <f t="shared" si="412"/>
        <v>527.80999999999995</v>
      </c>
      <c r="AV250" s="1178" t="s">
        <v>5080</v>
      </c>
      <c r="AW250" s="1151">
        <f t="shared" si="673"/>
        <v>121.8</v>
      </c>
      <c r="AX250" s="1150">
        <f>IF(T250&lt;&gt;"0",(ROUND(IF(A250="EMPLEADO",eval_formula('CONCEPTOS Y PARAMETROS'!$C$8,NOMINA!V250,NOMINA!$AU250,NOMINA!I250+NOMINA!J250),eval_formula('CONCEPTOS Y PARAMETROS'!$D$8,NOMINA!V250,NOMINA!$AU250,NOMINA!I250+NOMINA!J250)),2))*IF(H250&lt;&gt;"",IF(MONTH(H250)=$BR$8,IF(YEAR(H250)&lt;$BT$7,1,0),0)))</f>
        <v>0</v>
      </c>
      <c r="AY250" s="1151">
        <v>180</v>
      </c>
      <c r="AZ250" s="1150">
        <f>IFERROR(VLOOKUP(AY250,'CONCEPTOS Y PARAMETROS'!Y:Z,2,0),0)</f>
        <v>150</v>
      </c>
      <c r="BA250" s="1150">
        <f t="shared" si="413"/>
        <v>3958.58</v>
      </c>
      <c r="BB250" s="1150">
        <f t="shared" si="643"/>
        <v>0</v>
      </c>
      <c r="BC250" s="1028">
        <v>0</v>
      </c>
      <c r="BD250" s="1150" t="str">
        <f t="shared" si="414"/>
        <v>0</v>
      </c>
      <c r="BE250" s="1028">
        <v>3</v>
      </c>
      <c r="BF250" s="1150">
        <f t="shared" si="702"/>
        <v>79.17</v>
      </c>
      <c r="BG250" s="1151">
        <v>300</v>
      </c>
      <c r="BH250" s="1151">
        <f t="shared" si="647"/>
        <v>0</v>
      </c>
      <c r="BI250" s="1180">
        <v>0</v>
      </c>
      <c r="BJ250" s="1180">
        <f t="shared" si="642"/>
        <v>0</v>
      </c>
      <c r="BK250" s="1151">
        <v>0</v>
      </c>
      <c r="BL250" s="1150">
        <f t="shared" si="696"/>
        <v>19.489999999999998</v>
      </c>
      <c r="BM250" s="1150">
        <f t="shared" si="697"/>
        <v>2.44</v>
      </c>
      <c r="BN250" s="1150">
        <f t="shared" si="644"/>
        <v>5.28</v>
      </c>
      <c r="BO250" s="1150">
        <v>0</v>
      </c>
      <c r="BP250" s="1150">
        <v>0</v>
      </c>
      <c r="BQ250" s="1396">
        <f t="shared" si="677"/>
        <v>27.21</v>
      </c>
      <c r="BR250" s="1150">
        <f t="shared" si="699"/>
        <v>43.85</v>
      </c>
      <c r="BS250" s="1150">
        <f t="shared" si="700"/>
        <v>9.74</v>
      </c>
      <c r="BT250" s="1150">
        <f t="shared" si="649"/>
        <v>10.56</v>
      </c>
      <c r="BU250" s="1150">
        <v>0</v>
      </c>
      <c r="BV250" s="1151">
        <f t="shared" si="678"/>
        <v>64.150000000000006</v>
      </c>
      <c r="BW250" s="1155">
        <f t="shared" si="679"/>
        <v>91.360000000000014</v>
      </c>
      <c r="BX250" s="1155">
        <f t="shared" si="676"/>
        <v>989.65</v>
      </c>
      <c r="BY250" s="1151">
        <v>0</v>
      </c>
      <c r="BZ250" s="1151">
        <f t="shared" si="641"/>
        <v>989.65</v>
      </c>
      <c r="CA250" s="1397">
        <f>'CONCEPTOS Y PARAMETROS'!$A$102</f>
        <v>2120</v>
      </c>
      <c r="CB250" s="1155">
        <f t="shared" si="652"/>
        <v>182.04999999999998</v>
      </c>
      <c r="CC250" s="1156">
        <f t="shared" si="653"/>
        <v>710.22</v>
      </c>
      <c r="CD250" s="514"/>
      <c r="CE250" s="514"/>
      <c r="CF250" s="520"/>
      <c r="CG250" s="497">
        <f t="shared" si="654"/>
        <v>182.04999999999998</v>
      </c>
      <c r="CH250" s="1711">
        <f t="shared" si="655"/>
        <v>300</v>
      </c>
      <c r="CI250" s="497">
        <f t="shared" si="656"/>
        <v>496.75</v>
      </c>
      <c r="CJ250" s="497">
        <f t="shared" si="657"/>
        <v>496.75</v>
      </c>
      <c r="CK250" s="497">
        <f t="shared" si="658"/>
        <v>0</v>
      </c>
      <c r="CL250" s="497">
        <f t="shared" si="659"/>
        <v>0</v>
      </c>
      <c r="CM250" s="497">
        <f t="shared" si="660"/>
        <v>0</v>
      </c>
      <c r="CN250" s="498">
        <f t="shared" si="661"/>
        <v>79.17</v>
      </c>
      <c r="CO250" s="499">
        <v>0</v>
      </c>
      <c r="CP250" s="498">
        <f t="shared" si="662"/>
        <v>121.8</v>
      </c>
      <c r="CQ250" s="500">
        <f t="shared" si="663"/>
        <v>12.5</v>
      </c>
      <c r="CR250" s="498">
        <f t="shared" si="664"/>
        <v>0</v>
      </c>
      <c r="CS250" s="498">
        <f t="shared" si="665"/>
        <v>213.47</v>
      </c>
      <c r="CT250" s="498">
        <f t="shared" si="666"/>
        <v>91.360000000000014</v>
      </c>
      <c r="CU250" s="498">
        <f t="shared" si="667"/>
        <v>2120</v>
      </c>
      <c r="CV250" s="1554"/>
      <c r="CW250" s="1195" t="s">
        <v>7113</v>
      </c>
      <c r="CX250" s="1195" t="s">
        <v>7114</v>
      </c>
      <c r="CY250" s="472"/>
      <c r="CZ250" s="514" t="s">
        <v>6331</v>
      </c>
      <c r="DA250" s="514" t="s">
        <v>6198</v>
      </c>
      <c r="DB250" s="1199" t="s">
        <v>6650</v>
      </c>
      <c r="DC250" s="514" t="s">
        <v>6332</v>
      </c>
      <c r="DD250" s="514"/>
      <c r="DE250" s="514"/>
      <c r="DF250" s="472"/>
      <c r="DG250" s="472"/>
      <c r="DH250" s="472"/>
      <c r="DJ250" s="473" t="str">
        <f>VLOOKUP(X250,Hoja1!$A$4:$B$10,2,0)</f>
        <v>TÉCNICO SUPERIOR UNIVERSITARIO</v>
      </c>
      <c r="DK250" s="473" t="str">
        <f>VLOOKUP(S250,Hoja1!$D$4:$F$77,3,0)</f>
        <v>TI</v>
      </c>
      <c r="DL250" s="1216" t="str">
        <f t="shared" si="668"/>
        <v>SI</v>
      </c>
      <c r="DM250" s="1741" t="str">
        <f t="shared" si="669"/>
        <v>F</v>
      </c>
      <c r="DN250" s="1741"/>
    </row>
    <row r="251" spans="1:118" s="478" customFormat="1" ht="21.95" customHeight="1">
      <c r="A251" s="510" t="s">
        <v>2846</v>
      </c>
      <c r="B251" s="1390">
        <f t="shared" ca="1" si="479"/>
        <v>209</v>
      </c>
      <c r="C251" s="1194">
        <v>20038162</v>
      </c>
      <c r="D251" s="1195" t="s">
        <v>6926</v>
      </c>
      <c r="E251" s="1180" t="s">
        <v>4622</v>
      </c>
      <c r="F251" s="1196">
        <v>33039</v>
      </c>
      <c r="G251" s="1180" t="s">
        <v>4620</v>
      </c>
      <c r="H251" s="1196">
        <v>45597</v>
      </c>
      <c r="I251" s="1185">
        <f t="shared" si="645"/>
        <v>0</v>
      </c>
      <c r="J251" s="1177">
        <v>0</v>
      </c>
      <c r="K251" s="1185">
        <f t="shared" si="646"/>
        <v>0</v>
      </c>
      <c r="L251" s="1191" t="s">
        <v>5550</v>
      </c>
      <c r="M251" s="1177"/>
      <c r="N251" s="1177"/>
      <c r="O251" s="1040" t="s">
        <v>5222</v>
      </c>
      <c r="P251" s="1197" t="s">
        <v>7363</v>
      </c>
      <c r="Q251" s="1391" t="str">
        <f>IFERROR(VLOOKUP(O251,CARGOS!A:E,2,0),"")</f>
        <v>79511</v>
      </c>
      <c r="R251" s="1040" t="s">
        <v>5222</v>
      </c>
      <c r="S251" s="1192" t="s">
        <v>5475</v>
      </c>
      <c r="T251" s="1150">
        <f>IFERROR(VLOOKUP(S251,'TAB EMP'!A:B,2,0),0)</f>
        <v>192</v>
      </c>
      <c r="U251" s="1151">
        <v>0</v>
      </c>
      <c r="V251" s="1150">
        <f t="shared" ref="V251" si="703">T251-U251</f>
        <v>192</v>
      </c>
      <c r="W251" s="1151">
        <f t="shared" ref="W251" si="704">ROUND(V251/2,2)</f>
        <v>96</v>
      </c>
      <c r="X251" s="1180" t="s">
        <v>2885</v>
      </c>
      <c r="Y251" s="1180" t="s">
        <v>7367</v>
      </c>
      <c r="Z251" s="1180">
        <v>2</v>
      </c>
      <c r="AA251" s="1150">
        <f>ROUND(IF(H251&lt;&gt;"",VLOOKUP(SUM(I251+J251),'CONCEPTOS Y PARAMETROS'!F:G,2,0)*V251,0),2)</f>
        <v>0</v>
      </c>
      <c r="AB251" s="1150">
        <f>IF(S251&lt;&gt;"",IF(M251="",'CONCEPTOS Y PARAMETROS'!$C$4,0),0)</f>
        <v>130</v>
      </c>
      <c r="AC251" s="1150">
        <f>IF(S251&lt;&gt;"",IF(M251="",'CONCEPTOS Y PARAMETROS'!$C$7*Z251,0),0)</f>
        <v>25</v>
      </c>
      <c r="AD251" s="1150">
        <f>IFERROR(ROUND(VLOOKUP($X251,'CONCEPTOS Y PARAMETROS'!H:I,2,0)*($V251+AA251+AB251+AC251),2),0)</f>
        <v>86.75</v>
      </c>
      <c r="AE251" s="1150">
        <f t="shared" si="701"/>
        <v>241.75</v>
      </c>
      <c r="AF251" s="1150">
        <f t="shared" ref="AF251" si="705">ROUND(AA251/2,2)</f>
        <v>0</v>
      </c>
      <c r="AG251" s="1150">
        <f t="shared" ref="AG251" si="706">ROUND(AA251-AF251,2)</f>
        <v>0</v>
      </c>
      <c r="AH251" s="1150">
        <f t="shared" ref="AH251" si="707">ROUND(AB251/2,2)</f>
        <v>65</v>
      </c>
      <c r="AI251" s="1150">
        <f t="shared" ref="AI251" si="708">ROUND(AB251-AH251,2)</f>
        <v>65</v>
      </c>
      <c r="AJ251" s="1150">
        <f t="shared" ref="AJ251" si="709">ROUND(AD251/2,2)</f>
        <v>43.38</v>
      </c>
      <c r="AK251" s="1150">
        <f t="shared" ref="AK251" si="710">ROUND(AD251-AJ251,2)</f>
        <v>43.37</v>
      </c>
      <c r="AL251" s="1151">
        <f t="shared" ref="AL251" si="711">ROUND(AF251+AH251+AJ251+AC251,2)</f>
        <v>133.38</v>
      </c>
      <c r="AM251" s="1151">
        <f t="shared" ref="AM251" si="712">ROUND(AG251+AI251+AK251,2)</f>
        <v>108.37</v>
      </c>
      <c r="AN251" s="1583">
        <v>1</v>
      </c>
      <c r="AO251" s="1193">
        <f>'CONCEPTOS Y PARAMETROS'!$C$18*AN251</f>
        <v>12.5</v>
      </c>
      <c r="AP251" s="1028">
        <v>0</v>
      </c>
      <c r="AQ251" s="1193">
        <f>'CONCEPTOS Y PARAMETROS'!$C$21*AP251</f>
        <v>0</v>
      </c>
      <c r="AR251" s="1394">
        <v>0</v>
      </c>
      <c r="AS251" s="1394">
        <v>0</v>
      </c>
      <c r="AT251" s="1394">
        <f t="shared" si="672"/>
        <v>12.5</v>
      </c>
      <c r="AU251" s="1151">
        <f t="shared" ref="AU251" si="713">V251+AE251+AW251</f>
        <v>563.88</v>
      </c>
      <c r="AV251" s="1178" t="s">
        <v>5080</v>
      </c>
      <c r="AW251" s="1151">
        <f t="shared" si="673"/>
        <v>130.13</v>
      </c>
      <c r="AX251" s="1150">
        <f>IF(T251&lt;&gt;"0",(ROUND(IF(A251="EMPLEADO",eval_formula('CONCEPTOS Y PARAMETROS'!$C$8,NOMINA!V251,NOMINA!$AU251,NOMINA!I251+NOMINA!J251),eval_formula('CONCEPTOS Y PARAMETROS'!$D$8,NOMINA!V251,NOMINA!$AU251,NOMINA!I251+NOMINA!J251)),2))*IF(H251&lt;&gt;"",IF(MONTH(H251)=$BR$8,IF(YEAR(H251)&lt;$BT$7,1,0),0)))</f>
        <v>0</v>
      </c>
      <c r="AY251" s="1151">
        <v>30</v>
      </c>
      <c r="AZ251" s="1150">
        <f>IFERROR(VLOOKUP(AY251,'CONCEPTOS Y PARAMETROS'!Y:Z,2,0),0)</f>
        <v>25</v>
      </c>
      <c r="BA251" s="1150">
        <f t="shared" ref="BA251" si="714">ROUND((((AU251))/30*AY251/12+(AU251))/30*AZ251,2)</f>
        <v>509.06</v>
      </c>
      <c r="BB251" s="1150">
        <f t="shared" ref="BB251" si="715">ROUND(AU251/30*$BB$10,2)</f>
        <v>0</v>
      </c>
      <c r="BC251" s="1028">
        <v>0</v>
      </c>
      <c r="BD251" s="1150" t="str">
        <f t="shared" ref="BD251" si="716">IF(BC251&gt;0,((((((V251+AA251+AB251+AC251+AD251)/30)/8)*50%)+((((V251+AA251+AB251+AC251+AD251)/30)/8)))*30%+(((((V251+AA251+AB251+AC251+AD251)/30)/8)*50%)+((((V251+AA251+AB251+AC251+AD251)/30)/8))))*BC251,"0")</f>
        <v>0</v>
      </c>
      <c r="BE251" s="1028">
        <v>3</v>
      </c>
      <c r="BF251" s="1150">
        <f t="shared" si="702"/>
        <v>84.58</v>
      </c>
      <c r="BG251" s="1151">
        <v>300</v>
      </c>
      <c r="BH251" s="1151">
        <f t="shared" si="647"/>
        <v>0</v>
      </c>
      <c r="BI251" s="1180">
        <v>0</v>
      </c>
      <c r="BJ251" s="1180">
        <f t="shared" si="642"/>
        <v>0</v>
      </c>
      <c r="BK251" s="1151">
        <v>0</v>
      </c>
      <c r="BL251" s="1150">
        <f t="shared" si="696"/>
        <v>20.82</v>
      </c>
      <c r="BM251" s="1150">
        <f t="shared" si="697"/>
        <v>2.6</v>
      </c>
      <c r="BN251" s="1150">
        <f t="shared" si="644"/>
        <v>5.64</v>
      </c>
      <c r="BO251" s="1150">
        <v>0</v>
      </c>
      <c r="BP251" s="1150">
        <v>0</v>
      </c>
      <c r="BQ251" s="1396">
        <f t="shared" ref="BQ251" si="717">ROUND(SUM(BL251:BP251),2)</f>
        <v>29.06</v>
      </c>
      <c r="BR251" s="1150">
        <f t="shared" si="699"/>
        <v>46.85</v>
      </c>
      <c r="BS251" s="1150">
        <f t="shared" si="700"/>
        <v>10.41</v>
      </c>
      <c r="BT251" s="1150">
        <f t="shared" si="649"/>
        <v>11.28</v>
      </c>
      <c r="BU251" s="1150">
        <v>0</v>
      </c>
      <c r="BV251" s="1151">
        <f t="shared" si="678"/>
        <v>68.540000000000006</v>
      </c>
      <c r="BW251" s="1155">
        <f t="shared" si="679"/>
        <v>97.600000000000009</v>
      </c>
      <c r="BX251" s="1155">
        <f>ROUND(BA251/2,2)</f>
        <v>254.53</v>
      </c>
      <c r="BY251" s="1151">
        <v>0</v>
      </c>
      <c r="BZ251" s="1151">
        <f t="shared" ref="BZ251" si="718">+BX251+BY251</f>
        <v>254.53</v>
      </c>
      <c r="CA251" s="1397">
        <f>'CONCEPTOS Y PARAMETROS'!$A$102</f>
        <v>2120</v>
      </c>
      <c r="CB251" s="1155">
        <f t="shared" si="652"/>
        <v>200.32</v>
      </c>
      <c r="CC251" s="1156">
        <f t="shared" si="653"/>
        <v>731.58</v>
      </c>
      <c r="CD251" s="1582"/>
      <c r="CE251" s="514"/>
      <c r="CF251" s="521"/>
      <c r="CG251" s="511">
        <f t="shared" si="654"/>
        <v>200.32</v>
      </c>
      <c r="CH251" s="1712">
        <f t="shared" si="655"/>
        <v>300</v>
      </c>
      <c r="CI251" s="511">
        <f t="shared" si="656"/>
        <v>504.37</v>
      </c>
      <c r="CJ251" s="511">
        <f t="shared" si="657"/>
        <v>504.37</v>
      </c>
      <c r="CK251" s="511">
        <f t="shared" si="658"/>
        <v>0</v>
      </c>
      <c r="CL251" s="511">
        <f t="shared" si="659"/>
        <v>0</v>
      </c>
      <c r="CM251" s="511">
        <f t="shared" si="660"/>
        <v>0</v>
      </c>
      <c r="CN251" s="512">
        <f t="shared" si="661"/>
        <v>84.58</v>
      </c>
      <c r="CO251" s="513">
        <v>0</v>
      </c>
      <c r="CP251" s="512">
        <f t="shared" si="662"/>
        <v>130.13</v>
      </c>
      <c r="CQ251" s="500">
        <f t="shared" si="663"/>
        <v>12.5</v>
      </c>
      <c r="CR251" s="512">
        <f t="shared" si="664"/>
        <v>0</v>
      </c>
      <c r="CS251" s="512">
        <f t="shared" si="665"/>
        <v>227.20999999999998</v>
      </c>
      <c r="CT251" s="512">
        <f t="shared" si="666"/>
        <v>97.600000000000009</v>
      </c>
      <c r="CU251" s="512">
        <f t="shared" si="667"/>
        <v>2120</v>
      </c>
      <c r="CV251" s="1556"/>
      <c r="CW251" s="1195" t="s">
        <v>7364</v>
      </c>
      <c r="CX251" s="1195" t="s">
        <v>7365</v>
      </c>
      <c r="CY251" s="514"/>
      <c r="CZ251" s="1199" t="s">
        <v>7366</v>
      </c>
      <c r="DA251" s="1199"/>
      <c r="DB251" s="1199"/>
      <c r="DC251" s="514"/>
      <c r="DD251" s="514"/>
      <c r="DE251" s="514"/>
      <c r="DF251" s="514"/>
      <c r="DG251" s="514"/>
      <c r="DH251" s="514"/>
      <c r="DJ251" s="478" t="str">
        <f>VLOOKUP(X251,Hoja1!$A$4:$B$10,2,0)</f>
        <v>PROFESIONAL</v>
      </c>
      <c r="DK251" s="478" t="str">
        <f>VLOOKUP(S251,Hoja1!$D$4:$F$77,3,0)</f>
        <v>TI</v>
      </c>
      <c r="DL251" s="1581" t="str">
        <f t="shared" si="668"/>
        <v>SI</v>
      </c>
      <c r="DM251" s="1743" t="str">
        <f t="shared" si="669"/>
        <v>F</v>
      </c>
      <c r="DN251" s="1743"/>
    </row>
    <row r="252" spans="1:118" s="478" customFormat="1" ht="21.95" customHeight="1">
      <c r="A252" s="510" t="s">
        <v>2846</v>
      </c>
      <c r="B252" s="1390">
        <f t="shared" ca="1" si="479"/>
        <v>210</v>
      </c>
      <c r="C252" s="1194">
        <v>20655363</v>
      </c>
      <c r="D252" s="1195" t="s">
        <v>5996</v>
      </c>
      <c r="E252" s="1180" t="s">
        <v>4622</v>
      </c>
      <c r="F252" s="1196">
        <v>33672</v>
      </c>
      <c r="G252" s="1180" t="s">
        <v>4620</v>
      </c>
      <c r="H252" s="1196">
        <v>45323</v>
      </c>
      <c r="I252" s="1185">
        <f t="shared" si="645"/>
        <v>0</v>
      </c>
      <c r="J252" s="1177">
        <v>0</v>
      </c>
      <c r="K252" s="1185">
        <f t="shared" si="646"/>
        <v>0</v>
      </c>
      <c r="L252" s="1191" t="s">
        <v>5550</v>
      </c>
      <c r="M252" s="1177"/>
      <c r="N252" s="1177"/>
      <c r="O252" s="1040" t="s">
        <v>5222</v>
      </c>
      <c r="P252" s="1197" t="s">
        <v>6007</v>
      </c>
      <c r="Q252" s="1391" t="str">
        <f>IFERROR(VLOOKUP(O252,CARGOS!A:E,2,0),"")</f>
        <v>79511</v>
      </c>
      <c r="R252" s="1040" t="s">
        <v>5222</v>
      </c>
      <c r="S252" s="1192" t="s">
        <v>5475</v>
      </c>
      <c r="T252" s="1150">
        <f>IFERROR(VLOOKUP(S252,'TAB EMP'!A:B,2,0),0)</f>
        <v>192</v>
      </c>
      <c r="U252" s="1151">
        <v>0</v>
      </c>
      <c r="V252" s="1150">
        <f t="shared" ref="V252" si="719">T252-U252</f>
        <v>192</v>
      </c>
      <c r="W252" s="1151">
        <f t="shared" ref="W252" si="720">ROUND(V252/2,2)</f>
        <v>96</v>
      </c>
      <c r="X252" s="1180" t="s">
        <v>2885</v>
      </c>
      <c r="Y252" s="1180"/>
      <c r="Z252" s="1180">
        <v>2</v>
      </c>
      <c r="AA252" s="1150">
        <f>ROUND(IF(H252&lt;&gt;"",VLOOKUP(SUM(I252+J252),'CONCEPTOS Y PARAMETROS'!F:G,2,0)*V252,0),2)</f>
        <v>0</v>
      </c>
      <c r="AB252" s="1150">
        <f>IF(S252&lt;&gt;"",IF(M252="",'CONCEPTOS Y PARAMETROS'!$C$4,0),0)</f>
        <v>130</v>
      </c>
      <c r="AC252" s="1150">
        <f>IF(S252&lt;&gt;"",IF(M252="",'CONCEPTOS Y PARAMETROS'!$C$7*Z252,0),0)</f>
        <v>25</v>
      </c>
      <c r="AD252" s="1150">
        <f>IFERROR(ROUND(VLOOKUP($X252,'CONCEPTOS Y PARAMETROS'!H:I,2,0)*($V252+AA252+AB252+AC252),2),0)</f>
        <v>86.75</v>
      </c>
      <c r="AE252" s="1150">
        <f t="shared" ref="AE252" si="721">SUM(AA252:AD252)</f>
        <v>241.75</v>
      </c>
      <c r="AF252" s="1150">
        <f t="shared" ref="AF252" si="722">ROUND(AA252/2,2)</f>
        <v>0</v>
      </c>
      <c r="AG252" s="1150">
        <f t="shared" ref="AG252" si="723">ROUND(AA252-AF252,2)</f>
        <v>0</v>
      </c>
      <c r="AH252" s="1150">
        <f t="shared" ref="AH252" si="724">ROUND(AB252/2,2)</f>
        <v>65</v>
      </c>
      <c r="AI252" s="1150">
        <f t="shared" ref="AI252" si="725">ROUND(AB252-AH252,2)</f>
        <v>65</v>
      </c>
      <c r="AJ252" s="1150">
        <f t="shared" ref="AJ252" si="726">ROUND(AD252/2,2)</f>
        <v>43.38</v>
      </c>
      <c r="AK252" s="1150">
        <f t="shared" ref="AK252" si="727">ROUND(AD252-AJ252,2)</f>
        <v>43.37</v>
      </c>
      <c r="AL252" s="1151">
        <f t="shared" ref="AL252" si="728">ROUND(AF252+AH252+AJ252+AC252,2)</f>
        <v>133.38</v>
      </c>
      <c r="AM252" s="1151">
        <f t="shared" ref="AM252" si="729">ROUND(AG252+AI252+AK252,2)</f>
        <v>108.37</v>
      </c>
      <c r="AN252" s="1583">
        <v>2</v>
      </c>
      <c r="AO252" s="1193">
        <f>'CONCEPTOS Y PARAMETROS'!$C$18*AN252</f>
        <v>25</v>
      </c>
      <c r="AP252" s="1028">
        <v>0</v>
      </c>
      <c r="AQ252" s="1193">
        <f>'CONCEPTOS Y PARAMETROS'!$C$21*AP252</f>
        <v>0</v>
      </c>
      <c r="AR252" s="1394">
        <v>0</v>
      </c>
      <c r="AS252" s="1394">
        <v>0</v>
      </c>
      <c r="AT252" s="1394">
        <f t="shared" ref="AT252" si="730">+AO252+AQ252+AR252+AS252</f>
        <v>25</v>
      </c>
      <c r="AU252" s="1151">
        <f t="shared" ref="AU252" si="731">V252+AE252+AW252</f>
        <v>563.88</v>
      </c>
      <c r="AV252" s="1178" t="s">
        <v>5080</v>
      </c>
      <c r="AW252" s="1151">
        <f t="shared" ref="AW252" si="732">ROUND(IF(AV252="NOCTURN",(V252+AE252)*30%,0),2)</f>
        <v>130.13</v>
      </c>
      <c r="AX252" s="1150">
        <f>IF(T252&lt;&gt;"0",(ROUND(IF(A252="EMPLEADO",eval_formula('CONCEPTOS Y PARAMETROS'!$C$8,NOMINA!V252,NOMINA!$AU252,NOMINA!I252+NOMINA!J252),eval_formula('CONCEPTOS Y PARAMETROS'!$D$8,NOMINA!V252,NOMINA!$AU252,NOMINA!I252+NOMINA!J252)),2))*IF(H252&lt;&gt;"",IF(MONTH(H252)=$BR$8,IF(YEAR(H252)&lt;$BT$7,1,0),0)))</f>
        <v>0</v>
      </c>
      <c r="AY252" s="1151">
        <v>165</v>
      </c>
      <c r="AZ252" s="1150">
        <f>IFERROR(VLOOKUP(AY252,'CONCEPTOS Y PARAMETROS'!Y:Z,2,0),0)</f>
        <v>137.5</v>
      </c>
      <c r="BA252" s="1150">
        <f t="shared" ref="BA252" si="733">ROUND((((AU252))/30*AY252/12+(AU252))/30*AZ252,2)</f>
        <v>3768.99</v>
      </c>
      <c r="BB252" s="1150">
        <f t="shared" si="643"/>
        <v>0</v>
      </c>
      <c r="BC252" s="1028">
        <v>0</v>
      </c>
      <c r="BD252" s="1150" t="str">
        <f t="shared" ref="BD252" si="734">IF(BC252&gt;0,((((((V252+AA252+AB252+AC252+AD252)/30)/8)*50%)+((((V252+AA252+AB252+AC252+AD252)/30)/8)))*30%+(((((V252+AA252+AB252+AC252+AD252)/30)/8)*50%)+((((V252+AA252+AB252+AC252+AD252)/30)/8))))*BC252,"0")</f>
        <v>0</v>
      </c>
      <c r="BE252" s="1028">
        <v>4</v>
      </c>
      <c r="BF252" s="1150">
        <f t="shared" si="702"/>
        <v>112.78</v>
      </c>
      <c r="BG252" s="1151">
        <v>300</v>
      </c>
      <c r="BH252" s="1151">
        <f t="shared" si="647"/>
        <v>0</v>
      </c>
      <c r="BI252" s="1180">
        <v>0</v>
      </c>
      <c r="BJ252" s="1180">
        <f t="shared" si="642"/>
        <v>0</v>
      </c>
      <c r="BK252" s="1151">
        <v>0</v>
      </c>
      <c r="BL252" s="1150">
        <f t="shared" si="696"/>
        <v>20.82</v>
      </c>
      <c r="BM252" s="1150">
        <f t="shared" si="697"/>
        <v>2.6</v>
      </c>
      <c r="BN252" s="1150">
        <f t="shared" si="644"/>
        <v>5.64</v>
      </c>
      <c r="BO252" s="1150">
        <v>0</v>
      </c>
      <c r="BP252" s="1150">
        <v>0</v>
      </c>
      <c r="BQ252" s="1396">
        <f t="shared" ref="BQ252" si="735">ROUND(SUM(BL252:BP252),2)</f>
        <v>29.06</v>
      </c>
      <c r="BR252" s="1150">
        <f t="shared" si="699"/>
        <v>46.85</v>
      </c>
      <c r="BS252" s="1150">
        <f t="shared" si="700"/>
        <v>10.41</v>
      </c>
      <c r="BT252" s="1150">
        <f t="shared" si="649"/>
        <v>11.28</v>
      </c>
      <c r="BU252" s="1150">
        <v>0</v>
      </c>
      <c r="BV252" s="1151">
        <f t="shared" ref="BV252" si="736">ROUND(SUM(BR252:BT252),2)</f>
        <v>68.540000000000006</v>
      </c>
      <c r="BW252" s="1155">
        <f t="shared" ref="BW252" si="737">BQ252+BV252</f>
        <v>97.600000000000009</v>
      </c>
      <c r="BX252" s="1155">
        <f t="shared" ref="BX252:BX268" si="738">ROUND(BA252/4,2)</f>
        <v>942.25</v>
      </c>
      <c r="BY252" s="1151">
        <v>0</v>
      </c>
      <c r="BZ252" s="1151">
        <f t="shared" si="641"/>
        <v>942.25</v>
      </c>
      <c r="CA252" s="1397">
        <f>'CONCEPTOS Y PARAMETROS'!$A$102</f>
        <v>2120</v>
      </c>
      <c r="CB252" s="1155">
        <f t="shared" si="652"/>
        <v>200.32</v>
      </c>
      <c r="CC252" s="1156">
        <f t="shared" si="653"/>
        <v>772.28</v>
      </c>
      <c r="CD252" s="514"/>
      <c r="CE252" s="514"/>
      <c r="CF252" s="521"/>
      <c r="CG252" s="511">
        <f t="shared" si="654"/>
        <v>200.32</v>
      </c>
      <c r="CH252" s="1712">
        <f t="shared" si="655"/>
        <v>300</v>
      </c>
      <c r="CI252" s="511">
        <f t="shared" si="656"/>
        <v>504.37</v>
      </c>
      <c r="CJ252" s="511">
        <f t="shared" si="657"/>
        <v>504.37</v>
      </c>
      <c r="CK252" s="511">
        <f t="shared" si="658"/>
        <v>0</v>
      </c>
      <c r="CL252" s="511">
        <f t="shared" si="659"/>
        <v>0</v>
      </c>
      <c r="CM252" s="511">
        <f t="shared" si="660"/>
        <v>0</v>
      </c>
      <c r="CN252" s="512">
        <f t="shared" si="661"/>
        <v>112.78</v>
      </c>
      <c r="CO252" s="513">
        <v>0</v>
      </c>
      <c r="CP252" s="512">
        <f t="shared" si="662"/>
        <v>130.13</v>
      </c>
      <c r="CQ252" s="500">
        <f t="shared" si="663"/>
        <v>25</v>
      </c>
      <c r="CR252" s="512">
        <f t="shared" si="664"/>
        <v>0</v>
      </c>
      <c r="CS252" s="512">
        <f t="shared" si="665"/>
        <v>267.90999999999997</v>
      </c>
      <c r="CT252" s="512">
        <f t="shared" si="666"/>
        <v>97.600000000000009</v>
      </c>
      <c r="CU252" s="512">
        <f t="shared" si="667"/>
        <v>2120</v>
      </c>
      <c r="CV252" s="1556"/>
      <c r="CW252" s="1195" t="s">
        <v>7115</v>
      </c>
      <c r="CX252" s="1195" t="s">
        <v>7116</v>
      </c>
      <c r="CY252" s="514"/>
      <c r="CZ252" s="1199" t="s">
        <v>6595</v>
      </c>
      <c r="DA252" s="1199" t="s">
        <v>6171</v>
      </c>
      <c r="DB252" s="1199" t="s">
        <v>6171</v>
      </c>
      <c r="DC252" s="514" t="s">
        <v>6581</v>
      </c>
      <c r="DD252" s="514"/>
      <c r="DE252" s="514"/>
      <c r="DF252" s="514"/>
      <c r="DG252" s="514"/>
      <c r="DH252" s="514"/>
      <c r="DJ252" s="478" t="str">
        <f>VLOOKUP(X252,Hoja1!$A$4:$B$10,2,0)</f>
        <v>PROFESIONAL</v>
      </c>
      <c r="DK252" s="478" t="str">
        <f>VLOOKUP(S252,Hoja1!$D$4:$F$77,3,0)</f>
        <v>TI</v>
      </c>
      <c r="DL252" s="1218" t="str">
        <f t="shared" si="668"/>
        <v>SI</v>
      </c>
      <c r="DM252" s="1743" t="str">
        <f t="shared" si="669"/>
        <v>F</v>
      </c>
      <c r="DN252" s="1743"/>
    </row>
    <row r="253" spans="1:118" s="478" customFormat="1" ht="21.95" customHeight="1">
      <c r="A253" s="510" t="s">
        <v>2846</v>
      </c>
      <c r="B253" s="1390">
        <f t="shared" ca="1" si="479"/>
        <v>211</v>
      </c>
      <c r="C253" s="1194">
        <v>20401711</v>
      </c>
      <c r="D253" s="1195" t="s">
        <v>4887</v>
      </c>
      <c r="E253" s="1180" t="s">
        <v>4622</v>
      </c>
      <c r="F253" s="1196">
        <v>33888</v>
      </c>
      <c r="G253" s="1180" t="s">
        <v>4620</v>
      </c>
      <c r="H253" s="1196">
        <v>44363</v>
      </c>
      <c r="I253" s="1185">
        <f t="shared" si="645"/>
        <v>3</v>
      </c>
      <c r="J253" s="1177">
        <v>2</v>
      </c>
      <c r="K253" s="1185">
        <f t="shared" si="646"/>
        <v>5</v>
      </c>
      <c r="L253" s="1191" t="s">
        <v>5539</v>
      </c>
      <c r="M253" s="1177"/>
      <c r="N253" s="1177"/>
      <c r="O253" s="1040" t="s">
        <v>5221</v>
      </c>
      <c r="P253" s="1177" t="s">
        <v>5435</v>
      </c>
      <c r="Q253" s="1391" t="str">
        <f>IFERROR(VLOOKUP(O253,CARGOS!A:E,2,0),"")</f>
        <v>79512</v>
      </c>
      <c r="R253" s="1403" t="s">
        <v>5221</v>
      </c>
      <c r="S253" s="1192" t="s">
        <v>5481</v>
      </c>
      <c r="T253" s="1150">
        <f>IFERROR(VLOOKUP(S253,'TAB EMP'!A:B,2,0),0)</f>
        <v>219</v>
      </c>
      <c r="U253" s="1151">
        <v>0</v>
      </c>
      <c r="V253" s="1150">
        <f t="shared" ref="V253:V308" si="739">T253-U253</f>
        <v>219</v>
      </c>
      <c r="W253" s="1151">
        <f t="shared" ref="W253:W308" si="740">ROUND(V253/2,2)</f>
        <v>109.5</v>
      </c>
      <c r="X253" s="1180" t="s">
        <v>2844</v>
      </c>
      <c r="Y253" s="1180"/>
      <c r="Z253" s="1180">
        <v>2</v>
      </c>
      <c r="AA253" s="1150">
        <f>ROUND(IF(H253&lt;&gt;"",VLOOKUP(SUM(I253+J253),'CONCEPTOS Y PARAMETROS'!F:G,2,0)*V253,0),2)</f>
        <v>10.95</v>
      </c>
      <c r="AB253" s="1150">
        <f>IF(S253&lt;&gt;"",IF(M253="",'CONCEPTOS Y PARAMETROS'!$C$4,0),0)</f>
        <v>130</v>
      </c>
      <c r="AC253" s="1150">
        <f>IF(S253&lt;&gt;"",IF(M253="",'CONCEPTOS Y PARAMETROS'!$C$7*Z253,0),0)</f>
        <v>25</v>
      </c>
      <c r="AD253" s="1150">
        <f>IFERROR(ROUND(VLOOKUP($X253,'CONCEPTOS Y PARAMETROS'!H:I,2,0)*($V253+AA253+AB253+AC253),2),0)</f>
        <v>76.989999999999995</v>
      </c>
      <c r="AE253" s="1150">
        <f t="shared" si="701"/>
        <v>242.94</v>
      </c>
      <c r="AF253" s="1150">
        <f t="shared" ref="AF253:AF308" si="741">ROUND(AA253/2,2)</f>
        <v>5.48</v>
      </c>
      <c r="AG253" s="1150">
        <f t="shared" ref="AG253:AG308" si="742">ROUND(AA253-AF253,2)</f>
        <v>5.47</v>
      </c>
      <c r="AH253" s="1150">
        <f t="shared" ref="AH253:AH308" si="743">ROUND(AB253/2,2)</f>
        <v>65</v>
      </c>
      <c r="AI253" s="1150">
        <f t="shared" ref="AI253:AI308" si="744">ROUND(AB253-AH253,2)</f>
        <v>65</v>
      </c>
      <c r="AJ253" s="1150">
        <f t="shared" ref="AJ253:AJ308" si="745">ROUND(AD253/2,2)</f>
        <v>38.5</v>
      </c>
      <c r="AK253" s="1150">
        <f t="shared" ref="AK253:AK308" si="746">ROUND(AD253-AJ253,2)</f>
        <v>38.49</v>
      </c>
      <c r="AL253" s="1151">
        <f t="shared" ref="AL253:AL308" si="747">ROUND(AF253+AH253+AJ253+AC253,2)</f>
        <v>133.97999999999999</v>
      </c>
      <c r="AM253" s="1151">
        <f t="shared" ref="AM253:AM308" si="748">ROUND(AG253+AI253+AK253,2)</f>
        <v>108.96</v>
      </c>
      <c r="AN253" s="1583">
        <v>1</v>
      </c>
      <c r="AO253" s="1193">
        <f>'CONCEPTOS Y PARAMETROS'!$C$18*AN253</f>
        <v>12.5</v>
      </c>
      <c r="AP253" s="1028">
        <v>0</v>
      </c>
      <c r="AQ253" s="1193">
        <f>'CONCEPTOS Y PARAMETROS'!$C$21*AP253</f>
        <v>0</v>
      </c>
      <c r="AR253" s="1394">
        <v>0</v>
      </c>
      <c r="AS253" s="1394">
        <v>0</v>
      </c>
      <c r="AT253" s="1394">
        <f t="shared" si="672"/>
        <v>12.5</v>
      </c>
      <c r="AU253" s="1151">
        <f t="shared" ref="AU253:AU308" si="749">V253+AE253+AW253</f>
        <v>600.52</v>
      </c>
      <c r="AV253" s="1178" t="s">
        <v>5080</v>
      </c>
      <c r="AW253" s="1151">
        <f t="shared" si="673"/>
        <v>138.58000000000001</v>
      </c>
      <c r="AX253" s="1150">
        <f>IF(T253&lt;&gt;"0",(ROUND(IF(A253="EMPLEADO",eval_formula('CONCEPTOS Y PARAMETROS'!$C$8,NOMINA!V253,NOMINA!$AU253,NOMINA!I253+NOMINA!J253),eval_formula('CONCEPTOS Y PARAMETROS'!$D$8,NOMINA!V253,NOMINA!$AU253,NOMINA!I253+NOMINA!J253)),2))*IF(H253&lt;&gt;"",IF(MONTH(H253)=$BR$8,IF(YEAR(H253)&lt;$BT$7,1,0),0)))</f>
        <v>0</v>
      </c>
      <c r="AY253" s="1151">
        <v>180</v>
      </c>
      <c r="AZ253" s="1150">
        <f>IFERROR(VLOOKUP(AY253,'CONCEPTOS Y PARAMETROS'!Y:Z,2,0),0)</f>
        <v>150</v>
      </c>
      <c r="BA253" s="1150">
        <f t="shared" ref="BA253:BA308" si="750">ROUND((((AU253))/30*AY253/12+(AU253))/30*AZ253,2)</f>
        <v>4503.8999999999996</v>
      </c>
      <c r="BB253" s="1150">
        <f t="shared" si="643"/>
        <v>0</v>
      </c>
      <c r="BC253" s="1028">
        <v>0</v>
      </c>
      <c r="BD253" s="1150" t="str">
        <f t="shared" ref="BD253:BD308" si="751">IF(BC253&gt;0,((((((V253+AA253+AB253+AC253+AD253)/30)/8)*50%)+((((V253+AA253+AB253+AC253+AD253)/30)/8)))*30%+(((((V253+AA253+AB253+AC253+AD253)/30)/8)*50%)+((((V253+AA253+AB253+AC253+AD253)/30)/8))))*BC253,"0")</f>
        <v>0</v>
      </c>
      <c r="BE253" s="1028">
        <v>1</v>
      </c>
      <c r="BF253" s="1150">
        <f t="shared" si="702"/>
        <v>30.03</v>
      </c>
      <c r="BG253" s="1151">
        <v>300</v>
      </c>
      <c r="BH253" s="1151">
        <f t="shared" si="647"/>
        <v>0</v>
      </c>
      <c r="BI253" s="1180">
        <v>0</v>
      </c>
      <c r="BJ253" s="1180">
        <f t="shared" si="642"/>
        <v>0</v>
      </c>
      <c r="BK253" s="1151">
        <v>0</v>
      </c>
      <c r="BL253" s="1150">
        <f t="shared" si="696"/>
        <v>22.17</v>
      </c>
      <c r="BM253" s="1150">
        <f t="shared" si="697"/>
        <v>2.77</v>
      </c>
      <c r="BN253" s="1150">
        <f t="shared" si="644"/>
        <v>6.01</v>
      </c>
      <c r="BO253" s="1150">
        <v>0</v>
      </c>
      <c r="BP253" s="1150">
        <v>0</v>
      </c>
      <c r="BQ253" s="1396">
        <f t="shared" si="677"/>
        <v>30.95</v>
      </c>
      <c r="BR253" s="1150">
        <f t="shared" si="699"/>
        <v>49.89</v>
      </c>
      <c r="BS253" s="1150">
        <f t="shared" si="700"/>
        <v>11.09</v>
      </c>
      <c r="BT253" s="1150">
        <f t="shared" si="649"/>
        <v>12.02</v>
      </c>
      <c r="BU253" s="1150">
        <v>0</v>
      </c>
      <c r="BV253" s="1151">
        <f t="shared" si="678"/>
        <v>73</v>
      </c>
      <c r="BW253" s="1155">
        <f t="shared" si="679"/>
        <v>103.95</v>
      </c>
      <c r="BX253" s="1155">
        <f t="shared" si="738"/>
        <v>1125.98</v>
      </c>
      <c r="BY253" s="1151">
        <v>0</v>
      </c>
      <c r="BZ253" s="1151">
        <f t="shared" si="641"/>
        <v>1125.98</v>
      </c>
      <c r="CA253" s="1397">
        <f>'CONCEPTOS Y PARAMETROS'!$A$102</f>
        <v>2120</v>
      </c>
      <c r="CB253" s="1155">
        <f t="shared" si="652"/>
        <v>212.53</v>
      </c>
      <c r="CC253" s="1156">
        <f t="shared" si="653"/>
        <v>699.57</v>
      </c>
      <c r="CD253" s="514"/>
      <c r="CE253" s="514"/>
      <c r="CF253" s="520"/>
      <c r="CG253" s="497">
        <f t="shared" si="654"/>
        <v>212.53</v>
      </c>
      <c r="CH253" s="1711">
        <f t="shared" si="655"/>
        <v>300</v>
      </c>
      <c r="CI253" s="497">
        <f t="shared" si="656"/>
        <v>518.46</v>
      </c>
      <c r="CJ253" s="497">
        <f t="shared" si="657"/>
        <v>518.46</v>
      </c>
      <c r="CK253" s="497">
        <f t="shared" si="658"/>
        <v>0</v>
      </c>
      <c r="CL253" s="497">
        <f t="shared" si="659"/>
        <v>0</v>
      </c>
      <c r="CM253" s="497">
        <f t="shared" si="660"/>
        <v>0</v>
      </c>
      <c r="CN253" s="498">
        <f t="shared" si="661"/>
        <v>30.03</v>
      </c>
      <c r="CO253" s="499">
        <v>0</v>
      </c>
      <c r="CP253" s="498">
        <f t="shared" si="662"/>
        <v>138.58000000000001</v>
      </c>
      <c r="CQ253" s="500">
        <f t="shared" si="663"/>
        <v>12.5</v>
      </c>
      <c r="CR253" s="498">
        <f t="shared" si="664"/>
        <v>0</v>
      </c>
      <c r="CS253" s="498">
        <f t="shared" si="665"/>
        <v>181.11</v>
      </c>
      <c r="CT253" s="498">
        <f t="shared" si="666"/>
        <v>103.95</v>
      </c>
      <c r="CU253" s="498">
        <f t="shared" si="667"/>
        <v>2120</v>
      </c>
      <c r="CV253" s="1554"/>
      <c r="CW253" s="1195" t="s">
        <v>7117</v>
      </c>
      <c r="CX253" s="1195" t="s">
        <v>7118</v>
      </c>
      <c r="CY253" s="472"/>
      <c r="CZ253" s="514" t="s">
        <v>6354</v>
      </c>
      <c r="DA253" s="514" t="s">
        <v>6297</v>
      </c>
      <c r="DB253" s="514" t="s">
        <v>6298</v>
      </c>
      <c r="DC253" s="514" t="s">
        <v>6700</v>
      </c>
      <c r="DD253" s="514"/>
      <c r="DE253" s="514"/>
      <c r="DF253" s="472"/>
      <c r="DG253" s="472"/>
      <c r="DH253" s="472"/>
      <c r="DI253" s="473"/>
      <c r="DJ253" s="473" t="str">
        <f>VLOOKUP(X253,Hoja1!$A$4:$B$10,2,0)</f>
        <v>TÉCNICO SUPERIOR UNIVERSITARIO</v>
      </c>
      <c r="DK253" s="473" t="str">
        <f>VLOOKUP(S253,Hoja1!$D$4:$F$77,3,0)</f>
        <v>TII - II</v>
      </c>
      <c r="DL253" s="1216" t="str">
        <f t="shared" si="668"/>
        <v>SI</v>
      </c>
      <c r="DM253" s="1741" t="str">
        <f t="shared" si="669"/>
        <v>F</v>
      </c>
      <c r="DN253" s="1741"/>
    </row>
    <row r="254" spans="1:118" s="478" customFormat="1" ht="21.95" customHeight="1">
      <c r="A254" s="510" t="s">
        <v>2846</v>
      </c>
      <c r="B254" s="1390">
        <f t="shared" ca="1" si="479"/>
        <v>212</v>
      </c>
      <c r="C254" s="1194">
        <v>20428039</v>
      </c>
      <c r="D254" s="1195" t="s">
        <v>6886</v>
      </c>
      <c r="E254" s="1180" t="s">
        <v>4622</v>
      </c>
      <c r="F254" s="1196">
        <v>33242</v>
      </c>
      <c r="G254" s="1180" t="s">
        <v>4621</v>
      </c>
      <c r="H254" s="1196">
        <v>45566</v>
      </c>
      <c r="I254" s="1185">
        <f t="shared" si="645"/>
        <v>0</v>
      </c>
      <c r="J254" s="1177">
        <v>0</v>
      </c>
      <c r="K254" s="1185">
        <f t="shared" si="646"/>
        <v>0</v>
      </c>
      <c r="L254" s="1191" t="s">
        <v>5551</v>
      </c>
      <c r="M254" s="1177"/>
      <c r="N254" s="1177"/>
      <c r="O254" s="1040" t="s">
        <v>5222</v>
      </c>
      <c r="P254" s="1197" t="s">
        <v>6887</v>
      </c>
      <c r="Q254" s="1469" t="str">
        <f>IFERROR(VLOOKUP(O254,CARGOS!A:E,2,0),"")</f>
        <v>79511</v>
      </c>
      <c r="R254" s="1403" t="s">
        <v>5222</v>
      </c>
      <c r="S254" s="1192" t="s">
        <v>5483</v>
      </c>
      <c r="T254" s="1150">
        <f>IFERROR(VLOOKUP(S254,'TAB EMP'!A:B,2,0),0)</f>
        <v>130</v>
      </c>
      <c r="U254" s="1151">
        <v>0</v>
      </c>
      <c r="V254" s="1150">
        <f t="shared" ref="V254" si="752">T254-U254</f>
        <v>130</v>
      </c>
      <c r="W254" s="1151">
        <f t="shared" ref="W254" si="753">ROUND(V254/2,2)</f>
        <v>65</v>
      </c>
      <c r="X254" s="1180" t="s">
        <v>2884</v>
      </c>
      <c r="Y254" s="1180"/>
      <c r="Z254" s="1180">
        <v>2</v>
      </c>
      <c r="AA254" s="1150">
        <f>ROUND(IF(H254&lt;&gt;"",VLOOKUP(SUM(I254+J254),'CONCEPTOS Y PARAMETROS'!F:G,2,0)*V254,0),2)</f>
        <v>0</v>
      </c>
      <c r="AB254" s="1150">
        <f>IF(S254&lt;&gt;"",IF(M254="",'CONCEPTOS Y PARAMETROS'!$C$4,0),0)</f>
        <v>130</v>
      </c>
      <c r="AC254" s="1150">
        <f>IF(S254&lt;&gt;"",IF(M254="",'CONCEPTOS Y PARAMETROS'!$C$7*Z254,0),0)</f>
        <v>25</v>
      </c>
      <c r="AD254" s="1150">
        <f>IFERROR(ROUND(VLOOKUP($X254,'CONCEPTOS Y PARAMETROS'!H:I,2,0)*($V254+AA254+AB254+AC254),2),0)</f>
        <v>0</v>
      </c>
      <c r="AE254" s="1150">
        <f t="shared" ref="AE254" si="754">SUM(AA254:AD254)</f>
        <v>155</v>
      </c>
      <c r="AF254" s="1150">
        <f t="shared" ref="AF254" si="755">ROUND(AA254/2,2)</f>
        <v>0</v>
      </c>
      <c r="AG254" s="1150">
        <f t="shared" ref="AG254" si="756">ROUND(AA254-AF254,2)</f>
        <v>0</v>
      </c>
      <c r="AH254" s="1150">
        <f t="shared" ref="AH254" si="757">ROUND(AB254/2,2)</f>
        <v>65</v>
      </c>
      <c r="AI254" s="1150">
        <f t="shared" ref="AI254" si="758">ROUND(AB254-AH254,2)</f>
        <v>65</v>
      </c>
      <c r="AJ254" s="1150">
        <f t="shared" ref="AJ254" si="759">ROUND(AD254/2,2)</f>
        <v>0</v>
      </c>
      <c r="AK254" s="1150">
        <f t="shared" ref="AK254" si="760">ROUND(AD254-AJ254,2)</f>
        <v>0</v>
      </c>
      <c r="AL254" s="1151">
        <f t="shared" ref="AL254" si="761">ROUND(AF254+AH254+AJ254+AC254,2)</f>
        <v>90</v>
      </c>
      <c r="AM254" s="1151">
        <f t="shared" ref="AM254" si="762">ROUND(AG254+AI254+AK254,2)</f>
        <v>65</v>
      </c>
      <c r="AN254" s="1583">
        <v>2</v>
      </c>
      <c r="AO254" s="1193">
        <f>'CONCEPTOS Y PARAMETROS'!$C$18*AN254</f>
        <v>25</v>
      </c>
      <c r="AP254" s="1028">
        <v>0</v>
      </c>
      <c r="AQ254" s="1193">
        <f>'CONCEPTOS Y PARAMETROS'!$C$21*AP254</f>
        <v>0</v>
      </c>
      <c r="AR254" s="1394">
        <v>0</v>
      </c>
      <c r="AS254" s="1394">
        <v>0</v>
      </c>
      <c r="AT254" s="1394">
        <f t="shared" si="672"/>
        <v>25</v>
      </c>
      <c r="AU254" s="1151">
        <f t="shared" ref="AU254" si="763">V254+AE254+AW254</f>
        <v>370.5</v>
      </c>
      <c r="AV254" s="1178" t="s">
        <v>5080</v>
      </c>
      <c r="AW254" s="1151">
        <f t="shared" ref="AW254" si="764">ROUND(IF(AV254="NOCTURN",(V254+AE254)*30%,0),2)</f>
        <v>85.5</v>
      </c>
      <c r="AX254" s="1151">
        <f>IF(T254&lt;&gt;"0",(ROUND(IF(A254="EMPLEADO",eval_formula('CONCEPTOS Y PARAMETROS'!$C$8,NOMINA!V254,NOMINA!$AU254,NOMINA!I254+NOMINA!J254),eval_formula('CONCEPTOS Y PARAMETROS'!$D$8,NOMINA!V254,NOMINA!$AU254,NOMINA!I254+NOMINA!J254)),2))*IF(H254&lt;&gt;"",IF(MONTH(H254)=$BR$8,IF(YEAR(H254)&lt;$BT$7,1,0),0)))</f>
        <v>0</v>
      </c>
      <c r="AY254" s="1151">
        <v>45</v>
      </c>
      <c r="AZ254" s="1150">
        <f>IFERROR(VLOOKUP(AY254,'CONCEPTOS Y PARAMETROS'!Y:Z,2,0),0)</f>
        <v>37.5</v>
      </c>
      <c r="BA254" s="1150">
        <f t="shared" ref="BA254" si="765">ROUND((((AU254))/30*AY254/12+(AU254))/30*AZ254,2)</f>
        <v>521.02</v>
      </c>
      <c r="BB254" s="1150">
        <f t="shared" si="643"/>
        <v>0</v>
      </c>
      <c r="BC254" s="1028">
        <v>0</v>
      </c>
      <c r="BD254" s="1150" t="str">
        <f t="shared" ref="BD254" si="766">IF(BC254&gt;0,((((((V254+AA254+AB254+AC254+AD254)/30)/8)*50%)+((((V254+AA254+AB254+AC254+AD254)/30)/8)))*30%+(((((V254+AA254+AB254+AC254+AD254)/30)/8)*50%)+((((V254+AA254+AB254+AC254+AD254)/30)/8))))*BC254,"0")</f>
        <v>0</v>
      </c>
      <c r="BE254" s="1028">
        <v>3</v>
      </c>
      <c r="BF254" s="1150">
        <f t="shared" si="702"/>
        <v>55.58</v>
      </c>
      <c r="BG254" s="1151">
        <v>300</v>
      </c>
      <c r="BH254" s="1151">
        <f t="shared" si="647"/>
        <v>0</v>
      </c>
      <c r="BI254" s="1180">
        <v>0</v>
      </c>
      <c r="BJ254" s="1180">
        <f t="shared" si="642"/>
        <v>0</v>
      </c>
      <c r="BK254" s="1151">
        <v>0</v>
      </c>
      <c r="BL254" s="1150">
        <f t="shared" si="696"/>
        <v>13.68</v>
      </c>
      <c r="BM254" s="1150">
        <f t="shared" si="697"/>
        <v>1.71</v>
      </c>
      <c r="BN254" s="1150">
        <f t="shared" si="644"/>
        <v>3.71</v>
      </c>
      <c r="BO254" s="1150">
        <v>0</v>
      </c>
      <c r="BP254" s="1150">
        <v>0</v>
      </c>
      <c r="BQ254" s="1396">
        <f t="shared" ref="BQ254" si="767">ROUND(SUM(BL254:BP254),2)</f>
        <v>19.100000000000001</v>
      </c>
      <c r="BR254" s="1150">
        <f t="shared" si="699"/>
        <v>30.78</v>
      </c>
      <c r="BS254" s="1150">
        <f t="shared" si="700"/>
        <v>6.84</v>
      </c>
      <c r="BT254" s="1150">
        <f t="shared" si="649"/>
        <v>7.42</v>
      </c>
      <c r="BU254" s="1150">
        <v>0</v>
      </c>
      <c r="BV254" s="1151">
        <f t="shared" si="678"/>
        <v>45.04</v>
      </c>
      <c r="BW254" s="1155">
        <f t="shared" si="679"/>
        <v>64.14</v>
      </c>
      <c r="BX254" s="1155">
        <f t="shared" si="738"/>
        <v>130.26</v>
      </c>
      <c r="BY254" s="1151">
        <v>0</v>
      </c>
      <c r="BZ254" s="1151">
        <f t="shared" si="641"/>
        <v>130.26</v>
      </c>
      <c r="CA254" s="1397">
        <f>'CONCEPTOS Y PARAMETROS'!$A$102</f>
        <v>2120</v>
      </c>
      <c r="CB254" s="1155">
        <f t="shared" si="652"/>
        <v>135.9</v>
      </c>
      <c r="CC254" s="1156">
        <f t="shared" si="653"/>
        <v>596.08000000000004</v>
      </c>
      <c r="CD254" s="514"/>
      <c r="CE254" s="514"/>
      <c r="CF254" s="521"/>
      <c r="CG254" s="511">
        <f t="shared" si="654"/>
        <v>135.9</v>
      </c>
      <c r="CH254" s="1712">
        <f t="shared" si="655"/>
        <v>300</v>
      </c>
      <c r="CI254" s="511">
        <f t="shared" si="656"/>
        <v>430</v>
      </c>
      <c r="CJ254" s="511">
        <f t="shared" si="657"/>
        <v>430</v>
      </c>
      <c r="CK254" s="511">
        <f t="shared" si="658"/>
        <v>0</v>
      </c>
      <c r="CL254" s="511">
        <f t="shared" si="659"/>
        <v>0</v>
      </c>
      <c r="CM254" s="511">
        <f t="shared" si="660"/>
        <v>0</v>
      </c>
      <c r="CN254" s="512">
        <f t="shared" si="661"/>
        <v>55.58</v>
      </c>
      <c r="CO254" s="513">
        <v>0</v>
      </c>
      <c r="CP254" s="512">
        <f t="shared" si="662"/>
        <v>85.5</v>
      </c>
      <c r="CQ254" s="500">
        <f t="shared" si="663"/>
        <v>25</v>
      </c>
      <c r="CR254" s="512">
        <f t="shared" si="664"/>
        <v>0</v>
      </c>
      <c r="CS254" s="512">
        <f t="shared" si="665"/>
        <v>166.07999999999998</v>
      </c>
      <c r="CT254" s="512">
        <f t="shared" si="666"/>
        <v>64.14</v>
      </c>
      <c r="CU254" s="512">
        <f t="shared" si="667"/>
        <v>2120</v>
      </c>
      <c r="CV254" s="1556"/>
      <c r="CW254" s="1195" t="s">
        <v>7031</v>
      </c>
      <c r="CX254" s="1195" t="s">
        <v>7119</v>
      </c>
      <c r="CY254" s="514"/>
      <c r="CZ254" s="1199" t="s">
        <v>6888</v>
      </c>
      <c r="DA254" s="1199"/>
      <c r="DB254" s="1200"/>
      <c r="DC254" s="514"/>
      <c r="DD254" s="514"/>
      <c r="DE254" s="514"/>
      <c r="DF254" s="514"/>
      <c r="DG254" s="514"/>
      <c r="DH254" s="514"/>
      <c r="DJ254" s="478" t="str">
        <f>VLOOKUP(X254,Hoja1!$A$4:$B$10,2,0)</f>
        <v>BACHILLER</v>
      </c>
      <c r="DK254" s="478" t="str">
        <f>VLOOKUP(S254,Hoja1!$D$4:$F$77,3,0)</f>
        <v>BI</v>
      </c>
      <c r="DL254" s="1377" t="str">
        <f t="shared" si="668"/>
        <v>SI</v>
      </c>
      <c r="DM254" s="1743" t="str">
        <f t="shared" si="669"/>
        <v>M</v>
      </c>
      <c r="DN254" s="1743"/>
    </row>
    <row r="255" spans="1:118" s="478" customFormat="1" ht="21.95" customHeight="1">
      <c r="A255" s="510" t="s">
        <v>2846</v>
      </c>
      <c r="B255" s="1390">
        <f t="shared" ca="1" si="479"/>
        <v>213</v>
      </c>
      <c r="C255" s="1194">
        <v>20430884</v>
      </c>
      <c r="D255" s="1195" t="s">
        <v>5991</v>
      </c>
      <c r="E255" s="1180" t="s">
        <v>4622</v>
      </c>
      <c r="F255" s="1196">
        <v>32850</v>
      </c>
      <c r="G255" s="1180" t="s">
        <v>4620</v>
      </c>
      <c r="H255" s="1196">
        <v>45292</v>
      </c>
      <c r="I255" s="1185">
        <f t="shared" si="645"/>
        <v>1</v>
      </c>
      <c r="J255" s="1177">
        <v>0</v>
      </c>
      <c r="K255" s="1185">
        <f t="shared" si="646"/>
        <v>1</v>
      </c>
      <c r="L255" s="1191" t="s">
        <v>5542</v>
      </c>
      <c r="M255" s="1177"/>
      <c r="N255" s="1177"/>
      <c r="O255" s="1040" t="s">
        <v>5222</v>
      </c>
      <c r="P255" s="1197" t="s">
        <v>5992</v>
      </c>
      <c r="Q255" s="1391" t="str">
        <f>IFERROR(VLOOKUP(O255,CARGOS!A:E,2,0),"")</f>
        <v>79511</v>
      </c>
      <c r="R255" s="1403" t="s">
        <v>5222</v>
      </c>
      <c r="S255" s="1192" t="s">
        <v>5475</v>
      </c>
      <c r="T255" s="1150">
        <f>IFERROR(VLOOKUP(S255,'TAB EMP'!A:B,2,0),0)</f>
        <v>192</v>
      </c>
      <c r="U255" s="1151">
        <v>0</v>
      </c>
      <c r="V255" s="1150">
        <f t="shared" si="739"/>
        <v>192</v>
      </c>
      <c r="W255" s="1151">
        <f t="shared" si="740"/>
        <v>96</v>
      </c>
      <c r="X255" s="1180" t="s">
        <v>2844</v>
      </c>
      <c r="Y255" s="1180"/>
      <c r="Z255" s="1180">
        <v>0</v>
      </c>
      <c r="AA255" s="1150">
        <f>ROUND(IF(H255&lt;&gt;"",VLOOKUP(SUM(I255+J255),'CONCEPTOS Y PARAMETROS'!F:G,2,0)*V255,0),2)</f>
        <v>1.92</v>
      </c>
      <c r="AB255" s="1150">
        <f>IF(S255&lt;&gt;"",IF(M255="",'CONCEPTOS Y PARAMETROS'!$C$4,0),0)</f>
        <v>130</v>
      </c>
      <c r="AC255" s="1150">
        <f>IF(S255&lt;&gt;"",IF(M255="",'CONCEPTOS Y PARAMETROS'!$C$7*Z255,0),0)</f>
        <v>0</v>
      </c>
      <c r="AD255" s="1150">
        <f>IFERROR(ROUND(VLOOKUP($X255,'CONCEPTOS Y PARAMETROS'!H:I,2,0)*($V255+AA255+AB255+AC255),2),0)</f>
        <v>64.78</v>
      </c>
      <c r="AE255" s="1150">
        <f t="shared" ref="AE255" si="768">SUM(AA255:AD255)</f>
        <v>196.7</v>
      </c>
      <c r="AF255" s="1150">
        <f t="shared" si="741"/>
        <v>0.96</v>
      </c>
      <c r="AG255" s="1150">
        <f t="shared" si="742"/>
        <v>0.96</v>
      </c>
      <c r="AH255" s="1150">
        <f t="shared" si="743"/>
        <v>65</v>
      </c>
      <c r="AI255" s="1150">
        <f t="shared" si="744"/>
        <v>65</v>
      </c>
      <c r="AJ255" s="1150">
        <f t="shared" si="745"/>
        <v>32.39</v>
      </c>
      <c r="AK255" s="1150">
        <f t="shared" si="746"/>
        <v>32.39</v>
      </c>
      <c r="AL255" s="1151">
        <f t="shared" si="747"/>
        <v>98.35</v>
      </c>
      <c r="AM255" s="1151">
        <f t="shared" si="748"/>
        <v>98.35</v>
      </c>
      <c r="AN255" s="1028">
        <v>0</v>
      </c>
      <c r="AO255" s="1193">
        <f>'CONCEPTOS Y PARAMETROS'!$C$18*AN255</f>
        <v>0</v>
      </c>
      <c r="AP255" s="1028">
        <v>0</v>
      </c>
      <c r="AQ255" s="1193">
        <f>'CONCEPTOS Y PARAMETROS'!$C$21*AP255</f>
        <v>0</v>
      </c>
      <c r="AR255" s="1394">
        <v>0</v>
      </c>
      <c r="AS255" s="1394">
        <v>0</v>
      </c>
      <c r="AT255" s="1394">
        <f t="shared" ref="AT255" si="769">+AO255+AQ255+AR255+AS255</f>
        <v>0</v>
      </c>
      <c r="AU255" s="1151">
        <f t="shared" si="749"/>
        <v>505.31</v>
      </c>
      <c r="AV255" s="1178" t="s">
        <v>5080</v>
      </c>
      <c r="AW255" s="1151">
        <f t="shared" ref="AW255" si="770">ROUND(IF(AV255="NOCTURN",(V255+AE255)*30%,0),2)</f>
        <v>116.61</v>
      </c>
      <c r="AX255" s="1150">
        <f>IF(T255&lt;&gt;"0",(ROUND(IF(A255="EMPLEADO",eval_formula('CONCEPTOS Y PARAMETROS'!$C$8,NOMINA!V255,NOMINA!$AU255,NOMINA!I255+NOMINA!J255),eval_formula('CONCEPTOS Y PARAMETROS'!$D$8,NOMINA!V255,NOMINA!$AU255,NOMINA!I255+NOMINA!J255)),2))*IF(H255&lt;&gt;"",IF(MONTH(H255)=$BR$8,IF(YEAR(H255)&lt;$BT$7,1,0),0)))</f>
        <v>4042.48</v>
      </c>
      <c r="AY255" s="1151">
        <v>180</v>
      </c>
      <c r="AZ255" s="1150">
        <f>IFERROR(VLOOKUP(AY255,'CONCEPTOS Y PARAMETROS'!Y:Z,2,0),0)</f>
        <v>150</v>
      </c>
      <c r="BA255" s="1150">
        <f t="shared" si="750"/>
        <v>3789.83</v>
      </c>
      <c r="BB255" s="1150">
        <f t="shared" si="643"/>
        <v>0</v>
      </c>
      <c r="BC255" s="1028">
        <v>0</v>
      </c>
      <c r="BD255" s="1150" t="str">
        <f t="shared" si="751"/>
        <v>0</v>
      </c>
      <c r="BE255" s="1028">
        <v>3</v>
      </c>
      <c r="BF255" s="1150">
        <f t="shared" si="702"/>
        <v>75.8</v>
      </c>
      <c r="BG255" s="1151">
        <v>300</v>
      </c>
      <c r="BH255" s="1151">
        <f t="shared" si="647"/>
        <v>0</v>
      </c>
      <c r="BI255" s="1180">
        <v>0</v>
      </c>
      <c r="BJ255" s="1180">
        <f t="shared" si="642"/>
        <v>0</v>
      </c>
      <c r="BK255" s="1151">
        <v>0</v>
      </c>
      <c r="BL255" s="1150">
        <f t="shared" si="696"/>
        <v>18.66</v>
      </c>
      <c r="BM255" s="1150">
        <f t="shared" si="697"/>
        <v>2.33</v>
      </c>
      <c r="BN255" s="1150">
        <f t="shared" si="644"/>
        <v>5.05</v>
      </c>
      <c r="BO255" s="1150">
        <v>0</v>
      </c>
      <c r="BP255" s="1150">
        <v>0</v>
      </c>
      <c r="BQ255" s="1396">
        <f t="shared" ref="BQ255" si="771">ROUND(SUM(BL255:BP255),2)</f>
        <v>26.04</v>
      </c>
      <c r="BR255" s="1150">
        <f t="shared" si="699"/>
        <v>41.98</v>
      </c>
      <c r="BS255" s="1150">
        <f t="shared" si="700"/>
        <v>9.33</v>
      </c>
      <c r="BT255" s="1150">
        <f t="shared" si="649"/>
        <v>10.1</v>
      </c>
      <c r="BU255" s="1150">
        <v>0</v>
      </c>
      <c r="BV255" s="1151">
        <f t="shared" ref="BV255" si="772">ROUND(SUM(BR255:BT255),2)</f>
        <v>61.41</v>
      </c>
      <c r="BW255" s="1155">
        <f t="shared" ref="BW255" si="773">BQ255+BV255</f>
        <v>87.449999999999989</v>
      </c>
      <c r="BX255" s="1155">
        <f t="shared" si="738"/>
        <v>947.46</v>
      </c>
      <c r="BY255" s="1151">
        <v>0</v>
      </c>
      <c r="BZ255" s="1151">
        <f t="shared" si="641"/>
        <v>947.46</v>
      </c>
      <c r="CA255" s="1397">
        <f>'CONCEPTOS Y PARAMETROS'!$A$102</f>
        <v>2120</v>
      </c>
      <c r="CB255" s="1155">
        <f t="shared" si="652"/>
        <v>168.31</v>
      </c>
      <c r="CC255" s="1156">
        <f t="shared" si="653"/>
        <v>4729.24</v>
      </c>
      <c r="CD255" s="514"/>
      <c r="CE255" s="514"/>
      <c r="CF255" s="521"/>
      <c r="CG255" s="511">
        <f t="shared" si="654"/>
        <v>168.31</v>
      </c>
      <c r="CH255" s="1712">
        <f t="shared" si="655"/>
        <v>300</v>
      </c>
      <c r="CI255" s="511">
        <f t="shared" si="656"/>
        <v>494.35</v>
      </c>
      <c r="CJ255" s="511">
        <f t="shared" si="657"/>
        <v>494.35</v>
      </c>
      <c r="CK255" s="511">
        <f t="shared" si="658"/>
        <v>0</v>
      </c>
      <c r="CL255" s="511">
        <f t="shared" si="659"/>
        <v>0</v>
      </c>
      <c r="CM255" s="511">
        <f t="shared" si="660"/>
        <v>0</v>
      </c>
      <c r="CN255" s="512">
        <f t="shared" si="661"/>
        <v>75.8</v>
      </c>
      <c r="CO255" s="513">
        <v>0</v>
      </c>
      <c r="CP255" s="512">
        <f t="shared" si="662"/>
        <v>116.61</v>
      </c>
      <c r="CQ255" s="500">
        <f t="shared" si="663"/>
        <v>0</v>
      </c>
      <c r="CR255" s="512">
        <f t="shared" si="664"/>
        <v>4042.48</v>
      </c>
      <c r="CS255" s="512">
        <f t="shared" si="665"/>
        <v>4234.8900000000003</v>
      </c>
      <c r="CT255" s="512">
        <f t="shared" si="666"/>
        <v>87.449999999999989</v>
      </c>
      <c r="CU255" s="512">
        <f t="shared" si="667"/>
        <v>2120</v>
      </c>
      <c r="CV255" s="1556"/>
      <c r="CW255" s="1195" t="s">
        <v>6959</v>
      </c>
      <c r="CX255" s="1195" t="s">
        <v>7120</v>
      </c>
      <c r="CY255" s="514"/>
      <c r="CZ255" s="1188" t="s">
        <v>6596</v>
      </c>
      <c r="DA255" s="1188" t="s">
        <v>6367</v>
      </c>
      <c r="DB255" s="1188" t="s">
        <v>6582</v>
      </c>
      <c r="DC255" s="514" t="s">
        <v>6583</v>
      </c>
      <c r="DD255" s="514"/>
      <c r="DE255" s="514"/>
      <c r="DF255" s="514"/>
      <c r="DG255" s="514"/>
      <c r="DH255" s="514"/>
      <c r="DJ255" s="478" t="str">
        <f>VLOOKUP(X255,Hoja1!$A$4:$B$10,2,0)</f>
        <v>TÉCNICO SUPERIOR UNIVERSITARIO</v>
      </c>
      <c r="DK255" s="478" t="str">
        <f>VLOOKUP(S255,Hoja1!$D$4:$F$77,3,0)</f>
        <v>TI</v>
      </c>
      <c r="DL255" s="1218" t="str">
        <f t="shared" si="668"/>
        <v>SI</v>
      </c>
      <c r="DM255" s="1743" t="str">
        <f t="shared" si="669"/>
        <v>F</v>
      </c>
      <c r="DN255" s="1743"/>
    </row>
    <row r="256" spans="1:118" s="1654" customFormat="1" ht="21.95" customHeight="1">
      <c r="A256" s="1624" t="s">
        <v>2846</v>
      </c>
      <c r="B256" s="1625">
        <f t="shared" ca="1" si="479"/>
        <v>214</v>
      </c>
      <c r="C256" s="1626">
        <v>20603227</v>
      </c>
      <c r="D256" s="1627" t="s">
        <v>4888</v>
      </c>
      <c r="E256" s="1628" t="s">
        <v>4622</v>
      </c>
      <c r="F256" s="1629">
        <v>33456</v>
      </c>
      <c r="G256" s="1628" t="s">
        <v>4620</v>
      </c>
      <c r="H256" s="1629">
        <v>44470</v>
      </c>
      <c r="I256" s="1630">
        <f t="shared" si="645"/>
        <v>3</v>
      </c>
      <c r="J256" s="1631">
        <v>0</v>
      </c>
      <c r="K256" s="1630">
        <f t="shared" si="646"/>
        <v>3</v>
      </c>
      <c r="L256" s="1632" t="s">
        <v>5545</v>
      </c>
      <c r="M256" s="1631"/>
      <c r="N256" s="1631"/>
      <c r="O256" s="1633" t="s">
        <v>5254</v>
      </c>
      <c r="P256" s="1631" t="s">
        <v>5436</v>
      </c>
      <c r="Q256" s="1634" t="str">
        <f>IFERROR(VLOOKUP(O256,CARGOS!A:E,2,0),"")</f>
        <v>79342</v>
      </c>
      <c r="R256" s="1635" t="s">
        <v>5254</v>
      </c>
      <c r="S256" s="1636" t="s">
        <v>5481</v>
      </c>
      <c r="T256" s="1637">
        <f>IFERROR(VLOOKUP(S256,'TAB EMP'!A:B,2,0),0)</f>
        <v>219</v>
      </c>
      <c r="U256" s="1638">
        <v>0</v>
      </c>
      <c r="V256" s="1637">
        <f t="shared" si="739"/>
        <v>219</v>
      </c>
      <c r="W256" s="1638">
        <f t="shared" si="740"/>
        <v>109.5</v>
      </c>
      <c r="X256" s="1628" t="s">
        <v>2844</v>
      </c>
      <c r="Y256" s="1628"/>
      <c r="Z256" s="1628">
        <v>2</v>
      </c>
      <c r="AA256" s="1637">
        <f>ROUND(IF(H256&lt;&gt;"",VLOOKUP(SUM(I256+J256),'CONCEPTOS Y PARAMETROS'!F:G,2,0)*V256,0),2)</f>
        <v>6.57</v>
      </c>
      <c r="AB256" s="1637">
        <f>IF(S256&lt;&gt;"",IF(M256="",'CONCEPTOS Y PARAMETROS'!$C$4,0),0)</f>
        <v>130</v>
      </c>
      <c r="AC256" s="1637">
        <f>IF(S256&lt;&gt;"",IF(M256="",'CONCEPTOS Y PARAMETROS'!$C$7*Z256,0),0)</f>
        <v>25</v>
      </c>
      <c r="AD256" s="1637">
        <f>IFERROR(ROUND(VLOOKUP($X256,'CONCEPTOS Y PARAMETROS'!H:I,2,0)*($V256+AA256+AB256+AC256),2),0)</f>
        <v>76.11</v>
      </c>
      <c r="AE256" s="1637">
        <f t="shared" si="701"/>
        <v>237.68</v>
      </c>
      <c r="AF256" s="1637">
        <f t="shared" si="741"/>
        <v>3.29</v>
      </c>
      <c r="AG256" s="1637">
        <f t="shared" si="742"/>
        <v>3.28</v>
      </c>
      <c r="AH256" s="1637">
        <f t="shared" si="743"/>
        <v>65</v>
      </c>
      <c r="AI256" s="1637">
        <f t="shared" si="744"/>
        <v>65</v>
      </c>
      <c r="AJ256" s="1637">
        <f t="shared" si="745"/>
        <v>38.06</v>
      </c>
      <c r="AK256" s="1637">
        <f t="shared" si="746"/>
        <v>38.049999999999997</v>
      </c>
      <c r="AL256" s="1638">
        <f t="shared" si="747"/>
        <v>131.35</v>
      </c>
      <c r="AM256" s="1638">
        <f t="shared" si="748"/>
        <v>106.33</v>
      </c>
      <c r="AN256" s="1639">
        <v>2</v>
      </c>
      <c r="AO256" s="1640">
        <f>'CONCEPTOS Y PARAMETROS'!$C$18*AN256</f>
        <v>25</v>
      </c>
      <c r="AP256" s="1639">
        <v>0</v>
      </c>
      <c r="AQ256" s="1640">
        <f>'CONCEPTOS Y PARAMETROS'!$C$21*AP256</f>
        <v>0</v>
      </c>
      <c r="AR256" s="1641">
        <v>0</v>
      </c>
      <c r="AS256" s="1641">
        <v>0</v>
      </c>
      <c r="AT256" s="1641">
        <f t="shared" si="672"/>
        <v>25</v>
      </c>
      <c r="AU256" s="1638">
        <f t="shared" si="749"/>
        <v>456.68</v>
      </c>
      <c r="AV256" s="1642">
        <v>0</v>
      </c>
      <c r="AW256" s="1638">
        <f t="shared" si="673"/>
        <v>0</v>
      </c>
      <c r="AX256" s="1637">
        <f>IF(T256&lt;&gt;"0",(ROUND(IF(A256="EMPLEADO",eval_formula('CONCEPTOS Y PARAMETROS'!$C$8,NOMINA!V256,NOMINA!$AU256,NOMINA!I256+NOMINA!J256),eval_formula('CONCEPTOS Y PARAMETROS'!$D$8,NOMINA!V256,NOMINA!$AU256,NOMINA!I256+NOMINA!J256)),2))*IF(H256&lt;&gt;"",IF(MONTH(H256)=$BR$8,IF(YEAR(H256)&lt;$BT$7,1,0),0)))</f>
        <v>0</v>
      </c>
      <c r="AY256" s="1638">
        <v>180</v>
      </c>
      <c r="AZ256" s="1637">
        <f>IFERROR(VLOOKUP(AY256,'CONCEPTOS Y PARAMETROS'!Y:Z,2,0),0)</f>
        <v>150</v>
      </c>
      <c r="BA256" s="1637">
        <f t="shared" si="750"/>
        <v>3425.1</v>
      </c>
      <c r="BB256" s="1637">
        <f t="shared" si="643"/>
        <v>0</v>
      </c>
      <c r="BC256" s="1639">
        <v>0</v>
      </c>
      <c r="BD256" s="1637" t="str">
        <f t="shared" si="751"/>
        <v>0</v>
      </c>
      <c r="BE256" s="1639">
        <v>0</v>
      </c>
      <c r="BF256" s="1637">
        <f t="shared" si="702"/>
        <v>0</v>
      </c>
      <c r="BG256" s="1638">
        <v>300</v>
      </c>
      <c r="BH256" s="1638">
        <f t="shared" si="647"/>
        <v>0</v>
      </c>
      <c r="BI256" s="1628">
        <v>0</v>
      </c>
      <c r="BJ256" s="1628">
        <f t="shared" si="642"/>
        <v>0</v>
      </c>
      <c r="BK256" s="1638">
        <v>0</v>
      </c>
      <c r="BL256" s="1637">
        <f t="shared" si="696"/>
        <v>16.86</v>
      </c>
      <c r="BM256" s="1637">
        <f t="shared" si="697"/>
        <v>2.11</v>
      </c>
      <c r="BN256" s="1637">
        <f t="shared" si="644"/>
        <v>4.57</v>
      </c>
      <c r="BO256" s="1637">
        <v>0</v>
      </c>
      <c r="BP256" s="1637">
        <v>0</v>
      </c>
      <c r="BQ256" s="1643">
        <f t="shared" si="677"/>
        <v>23.54</v>
      </c>
      <c r="BR256" s="1637">
        <f t="shared" si="699"/>
        <v>37.94</v>
      </c>
      <c r="BS256" s="1637">
        <f t="shared" si="700"/>
        <v>8.43</v>
      </c>
      <c r="BT256" s="1637">
        <f t="shared" si="649"/>
        <v>9.14</v>
      </c>
      <c r="BU256" s="1637">
        <v>0</v>
      </c>
      <c r="BV256" s="1638">
        <f t="shared" si="678"/>
        <v>55.51</v>
      </c>
      <c r="BW256" s="1644">
        <f t="shared" si="679"/>
        <v>79.05</v>
      </c>
      <c r="BX256" s="1644">
        <f t="shared" si="738"/>
        <v>856.28</v>
      </c>
      <c r="BY256" s="1638">
        <v>0</v>
      </c>
      <c r="BZ256" s="1638">
        <f t="shared" si="641"/>
        <v>856.28</v>
      </c>
      <c r="CA256" s="1645">
        <f>'CONCEPTOS Y PARAMETROS'!$A$102</f>
        <v>2120</v>
      </c>
      <c r="CB256" s="1644">
        <f t="shared" si="652"/>
        <v>217.31</v>
      </c>
      <c r="CC256" s="1646">
        <f t="shared" si="653"/>
        <v>540.83000000000004</v>
      </c>
      <c r="CD256" s="1647"/>
      <c r="CE256" s="1647"/>
      <c r="CF256" s="1648"/>
      <c r="CG256" s="1649">
        <f t="shared" si="654"/>
        <v>217.31</v>
      </c>
      <c r="CH256" s="1713">
        <f t="shared" si="655"/>
        <v>300</v>
      </c>
      <c r="CI256" s="1649">
        <f t="shared" si="656"/>
        <v>515.82999999999993</v>
      </c>
      <c r="CJ256" s="1649">
        <f t="shared" si="657"/>
        <v>515.83000000000004</v>
      </c>
      <c r="CK256" s="1649">
        <f t="shared" si="658"/>
        <v>0</v>
      </c>
      <c r="CL256" s="1649">
        <f t="shared" si="659"/>
        <v>0</v>
      </c>
      <c r="CM256" s="1649">
        <f t="shared" si="660"/>
        <v>0</v>
      </c>
      <c r="CN256" s="1650">
        <f t="shared" si="661"/>
        <v>0</v>
      </c>
      <c r="CO256" s="1651">
        <v>0</v>
      </c>
      <c r="CP256" s="1650">
        <f t="shared" si="662"/>
        <v>0</v>
      </c>
      <c r="CQ256" s="1652">
        <f t="shared" si="663"/>
        <v>25</v>
      </c>
      <c r="CR256" s="1650">
        <f t="shared" si="664"/>
        <v>0</v>
      </c>
      <c r="CS256" s="1650">
        <f t="shared" si="665"/>
        <v>25</v>
      </c>
      <c r="CT256" s="1650">
        <f t="shared" si="666"/>
        <v>79.05</v>
      </c>
      <c r="CU256" s="1650">
        <f t="shared" si="667"/>
        <v>2120</v>
      </c>
      <c r="CV256" s="1653"/>
      <c r="CW256" s="1627" t="s">
        <v>7097</v>
      </c>
      <c r="CX256" s="1627" t="s">
        <v>7121</v>
      </c>
      <c r="CY256" s="1647"/>
      <c r="CZ256" s="1647" t="s">
        <v>6248</v>
      </c>
      <c r="DA256" s="1647" t="s">
        <v>6173</v>
      </c>
      <c r="DB256" s="1647" t="s">
        <v>6249</v>
      </c>
      <c r="DC256" s="1647" t="s">
        <v>6569</v>
      </c>
      <c r="DD256" s="1647"/>
      <c r="DE256" s="1647"/>
      <c r="DF256" s="1647"/>
      <c r="DG256" s="1647"/>
      <c r="DH256" s="1647"/>
      <c r="DJ256" s="1654" t="str">
        <f>VLOOKUP(X256,Hoja1!$A$4:$B$10,2,0)</f>
        <v>TÉCNICO SUPERIOR UNIVERSITARIO</v>
      </c>
      <c r="DK256" s="1654" t="str">
        <f>VLOOKUP(S256,Hoja1!$D$4:$F$77,3,0)</f>
        <v>TII - II</v>
      </c>
      <c r="DL256" s="1663" t="str">
        <f t="shared" si="668"/>
        <v>0</v>
      </c>
      <c r="DM256" s="1742" t="str">
        <f t="shared" si="669"/>
        <v>F</v>
      </c>
      <c r="DN256" s="1742"/>
    </row>
    <row r="257" spans="1:118" s="1654" customFormat="1" ht="21.95" customHeight="1">
      <c r="A257" s="1624" t="s">
        <v>2846</v>
      </c>
      <c r="B257" s="1625">
        <f t="shared" ca="1" si="479"/>
        <v>215</v>
      </c>
      <c r="C257" s="1626">
        <v>20707490</v>
      </c>
      <c r="D257" s="1627" t="s">
        <v>4890</v>
      </c>
      <c r="E257" s="1628" t="s">
        <v>4622</v>
      </c>
      <c r="F257" s="1629">
        <v>33504</v>
      </c>
      <c r="G257" s="1628" t="s">
        <v>4620</v>
      </c>
      <c r="H257" s="1629">
        <v>42751</v>
      </c>
      <c r="I257" s="1630">
        <f t="shared" si="645"/>
        <v>8</v>
      </c>
      <c r="J257" s="1631">
        <v>0</v>
      </c>
      <c r="K257" s="1630">
        <f t="shared" si="646"/>
        <v>8</v>
      </c>
      <c r="L257" s="1632" t="s">
        <v>5543</v>
      </c>
      <c r="M257" s="1631"/>
      <c r="N257" s="1631"/>
      <c r="O257" s="1633" t="s">
        <v>5237</v>
      </c>
      <c r="P257" s="1631" t="s">
        <v>5437</v>
      </c>
      <c r="Q257" s="1634" t="str">
        <f>IFERROR(VLOOKUP(O257,CARGOS!A:E,2,0),"")</f>
        <v>79523</v>
      </c>
      <c r="R257" s="1635" t="s">
        <v>5237</v>
      </c>
      <c r="S257" s="1636" t="s">
        <v>5488</v>
      </c>
      <c r="T257" s="1637">
        <f>IFERROR(VLOOKUP(S257,'TAB EMP'!A:B,2,0),0)</f>
        <v>279</v>
      </c>
      <c r="U257" s="1638">
        <v>0</v>
      </c>
      <c r="V257" s="1637">
        <f t="shared" si="739"/>
        <v>279</v>
      </c>
      <c r="W257" s="1638">
        <f t="shared" si="740"/>
        <v>139.5</v>
      </c>
      <c r="X257" s="1628" t="s">
        <v>2884</v>
      </c>
      <c r="Y257" s="1628"/>
      <c r="Z257" s="1628">
        <v>2</v>
      </c>
      <c r="AA257" s="1637">
        <f>ROUND(IF(H257&lt;&gt;"",VLOOKUP(SUM(I257+J257),'CONCEPTOS Y PARAMETROS'!F:G,2,0)*V257,0),2)</f>
        <v>23.99</v>
      </c>
      <c r="AB257" s="1637">
        <f>IF(S257&lt;&gt;"",IF(M257="",'CONCEPTOS Y PARAMETROS'!$C$4,0),0)</f>
        <v>130</v>
      </c>
      <c r="AC257" s="1637">
        <f>IF(S257&lt;&gt;"",IF(M257="",'CONCEPTOS Y PARAMETROS'!$C$7*Z257,0),0)</f>
        <v>25</v>
      </c>
      <c r="AD257" s="1637">
        <f>IFERROR(ROUND(VLOOKUP($X257,'CONCEPTOS Y PARAMETROS'!H:I,2,0)*($V257+AA257+AB257+AC257),2),0)</f>
        <v>0</v>
      </c>
      <c r="AE257" s="1637">
        <f t="shared" si="701"/>
        <v>178.99</v>
      </c>
      <c r="AF257" s="1637">
        <f t="shared" si="741"/>
        <v>12</v>
      </c>
      <c r="AG257" s="1637">
        <f t="shared" si="742"/>
        <v>11.99</v>
      </c>
      <c r="AH257" s="1637">
        <f t="shared" si="743"/>
        <v>65</v>
      </c>
      <c r="AI257" s="1637">
        <f t="shared" si="744"/>
        <v>65</v>
      </c>
      <c r="AJ257" s="1637">
        <f t="shared" si="745"/>
        <v>0</v>
      </c>
      <c r="AK257" s="1637">
        <f t="shared" si="746"/>
        <v>0</v>
      </c>
      <c r="AL257" s="1638">
        <f t="shared" si="747"/>
        <v>102</v>
      </c>
      <c r="AM257" s="1638">
        <f t="shared" si="748"/>
        <v>76.989999999999995</v>
      </c>
      <c r="AN257" s="1639">
        <v>0</v>
      </c>
      <c r="AO257" s="1640">
        <f>'CONCEPTOS Y PARAMETROS'!$C$18*AN257</f>
        <v>0</v>
      </c>
      <c r="AP257" s="1639">
        <v>0</v>
      </c>
      <c r="AQ257" s="1640">
        <f>'CONCEPTOS Y PARAMETROS'!$C$21*AP257</f>
        <v>0</v>
      </c>
      <c r="AR257" s="1641">
        <v>0</v>
      </c>
      <c r="AS257" s="1641">
        <v>0</v>
      </c>
      <c r="AT257" s="1641">
        <f t="shared" si="672"/>
        <v>0</v>
      </c>
      <c r="AU257" s="1638">
        <f t="shared" si="749"/>
        <v>457.99</v>
      </c>
      <c r="AV257" s="1642">
        <v>0</v>
      </c>
      <c r="AW257" s="1638">
        <f t="shared" si="673"/>
        <v>0</v>
      </c>
      <c r="AX257" s="1637">
        <f>IF(T257&lt;&gt;"0",(ROUND(IF(A257="EMPLEADO",eval_formula('CONCEPTOS Y PARAMETROS'!$C$8,NOMINA!V257,NOMINA!$AU257,NOMINA!I257+NOMINA!J257),eval_formula('CONCEPTOS Y PARAMETROS'!$D$8,NOMINA!V257,NOMINA!$AU257,NOMINA!I257+NOMINA!J257)),2))*IF(H257&lt;&gt;"",IF(MONTH(H257)=$BR$8,IF(YEAR(H257)&lt;$BT$7,1,0),0)))</f>
        <v>3663.92</v>
      </c>
      <c r="AY257" s="1638">
        <v>180</v>
      </c>
      <c r="AZ257" s="1637">
        <f>IFERROR(VLOOKUP(AY257,'CONCEPTOS Y PARAMETROS'!Y:Z,2,0),0)</f>
        <v>150</v>
      </c>
      <c r="BA257" s="1637">
        <f t="shared" si="750"/>
        <v>3434.93</v>
      </c>
      <c r="BB257" s="1637">
        <f t="shared" si="643"/>
        <v>0</v>
      </c>
      <c r="BC257" s="1639">
        <v>0</v>
      </c>
      <c r="BD257" s="1637" t="str">
        <f t="shared" si="751"/>
        <v>0</v>
      </c>
      <c r="BE257" s="1639">
        <v>0</v>
      </c>
      <c r="BF257" s="1637">
        <f t="shared" si="702"/>
        <v>0</v>
      </c>
      <c r="BG257" s="1638">
        <v>300</v>
      </c>
      <c r="BH257" s="1638">
        <f t="shared" si="647"/>
        <v>0</v>
      </c>
      <c r="BI257" s="1628">
        <v>0</v>
      </c>
      <c r="BJ257" s="1628">
        <f t="shared" si="642"/>
        <v>0</v>
      </c>
      <c r="BK257" s="1638">
        <v>0</v>
      </c>
      <c r="BL257" s="1637">
        <f t="shared" si="696"/>
        <v>16.91</v>
      </c>
      <c r="BM257" s="1637">
        <f t="shared" si="697"/>
        <v>2.11</v>
      </c>
      <c r="BN257" s="1637">
        <f t="shared" si="644"/>
        <v>4.58</v>
      </c>
      <c r="BO257" s="1637">
        <v>0</v>
      </c>
      <c r="BP257" s="1637">
        <v>0</v>
      </c>
      <c r="BQ257" s="1643">
        <f t="shared" si="677"/>
        <v>23.6</v>
      </c>
      <c r="BR257" s="1637">
        <f t="shared" si="699"/>
        <v>38.049999999999997</v>
      </c>
      <c r="BS257" s="1637">
        <f t="shared" si="700"/>
        <v>8.4600000000000009</v>
      </c>
      <c r="BT257" s="1637">
        <f t="shared" si="649"/>
        <v>9.16</v>
      </c>
      <c r="BU257" s="1637">
        <v>0</v>
      </c>
      <c r="BV257" s="1638">
        <f t="shared" si="678"/>
        <v>55.67</v>
      </c>
      <c r="BW257" s="1644">
        <f t="shared" si="679"/>
        <v>79.27000000000001</v>
      </c>
      <c r="BX257" s="1644">
        <f t="shared" si="738"/>
        <v>858.73</v>
      </c>
      <c r="BY257" s="1638">
        <v>0</v>
      </c>
      <c r="BZ257" s="1638">
        <f t="shared" si="641"/>
        <v>858.73</v>
      </c>
      <c r="CA257" s="1645">
        <f>'CONCEPTOS Y PARAMETROS'!$A$102</f>
        <v>2120</v>
      </c>
      <c r="CB257" s="1644">
        <f t="shared" si="652"/>
        <v>217.9</v>
      </c>
      <c r="CC257" s="1646">
        <f t="shared" si="653"/>
        <v>4180.41</v>
      </c>
      <c r="CD257" s="1647"/>
      <c r="CE257" s="1647"/>
      <c r="CF257" s="1648"/>
      <c r="CG257" s="1649">
        <f t="shared" si="654"/>
        <v>217.9</v>
      </c>
      <c r="CH257" s="1713">
        <f t="shared" si="655"/>
        <v>300</v>
      </c>
      <c r="CI257" s="1649">
        <f t="shared" si="656"/>
        <v>516.49</v>
      </c>
      <c r="CJ257" s="1649">
        <f t="shared" si="657"/>
        <v>516.49</v>
      </c>
      <c r="CK257" s="1649">
        <f t="shared" si="658"/>
        <v>0</v>
      </c>
      <c r="CL257" s="1649">
        <f t="shared" si="659"/>
        <v>0</v>
      </c>
      <c r="CM257" s="1649">
        <f t="shared" si="660"/>
        <v>0</v>
      </c>
      <c r="CN257" s="1650">
        <f t="shared" si="661"/>
        <v>0</v>
      </c>
      <c r="CO257" s="1651">
        <v>0</v>
      </c>
      <c r="CP257" s="1650">
        <f t="shared" si="662"/>
        <v>0</v>
      </c>
      <c r="CQ257" s="1652">
        <f t="shared" si="663"/>
        <v>0</v>
      </c>
      <c r="CR257" s="1650">
        <f t="shared" si="664"/>
        <v>3663.92</v>
      </c>
      <c r="CS257" s="1650">
        <f t="shared" si="665"/>
        <v>3663.92</v>
      </c>
      <c r="CT257" s="1650">
        <f t="shared" si="666"/>
        <v>79.27000000000001</v>
      </c>
      <c r="CU257" s="1650">
        <f t="shared" si="667"/>
        <v>2120</v>
      </c>
      <c r="CV257" s="1653"/>
      <c r="CW257" s="1627" t="s">
        <v>6955</v>
      </c>
      <c r="CX257" s="1627" t="s">
        <v>7122</v>
      </c>
      <c r="CY257" s="1647"/>
      <c r="CZ257" s="1647" t="s">
        <v>6428</v>
      </c>
      <c r="DA257" s="1647" t="s">
        <v>6216</v>
      </c>
      <c r="DB257" s="1647" t="s">
        <v>6289</v>
      </c>
      <c r="DC257" s="1647" t="s">
        <v>6429</v>
      </c>
      <c r="DD257" s="1647"/>
      <c r="DE257" s="1647"/>
      <c r="DF257" s="1647"/>
      <c r="DG257" s="1647"/>
      <c r="DH257" s="1647"/>
      <c r="DJ257" s="1654" t="str">
        <f>VLOOKUP(X257,Hoja1!$A$4:$B$10,2,0)</f>
        <v>BACHILLER</v>
      </c>
      <c r="DK257" s="1654" t="str">
        <f>VLOOKUP(S257,Hoja1!$D$4:$F$77,3,0)</f>
        <v>PII - III</v>
      </c>
      <c r="DL257" s="1663" t="str">
        <f t="shared" si="668"/>
        <v>0</v>
      </c>
      <c r="DM257" s="1742" t="str">
        <f t="shared" si="669"/>
        <v>F</v>
      </c>
      <c r="DN257" s="1742"/>
    </row>
    <row r="258" spans="1:118" s="478" customFormat="1" ht="21.95" customHeight="1">
      <c r="A258" s="510" t="s">
        <v>2846</v>
      </c>
      <c r="B258" s="1390">
        <f t="shared" ca="1" si="479"/>
        <v>216</v>
      </c>
      <c r="C258" s="1194">
        <v>20789286</v>
      </c>
      <c r="D258" s="1195" t="s">
        <v>4891</v>
      </c>
      <c r="E258" s="1180" t="s">
        <v>4622</v>
      </c>
      <c r="F258" s="1196">
        <v>32459</v>
      </c>
      <c r="G258" s="1180" t="s">
        <v>4620</v>
      </c>
      <c r="H258" s="1196">
        <v>44713</v>
      </c>
      <c r="I258" s="1185">
        <f t="shared" si="645"/>
        <v>2</v>
      </c>
      <c r="J258" s="1177">
        <v>0</v>
      </c>
      <c r="K258" s="1185">
        <f t="shared" si="646"/>
        <v>2</v>
      </c>
      <c r="L258" s="1191" t="s">
        <v>5554</v>
      </c>
      <c r="M258" s="1177"/>
      <c r="N258" s="1177"/>
      <c r="O258" s="1040" t="s">
        <v>5223</v>
      </c>
      <c r="P258" s="1177" t="s">
        <v>5438</v>
      </c>
      <c r="Q258" s="1391" t="str">
        <f>IFERROR(VLOOKUP(O258,CARGOS!A:E,2,0),"")</f>
        <v>12114</v>
      </c>
      <c r="R258" s="1403" t="s">
        <v>5223</v>
      </c>
      <c r="S258" s="1192" t="s">
        <v>5469</v>
      </c>
      <c r="T258" s="1150">
        <f>IFERROR(VLOOKUP(S258,'TAB EMP'!A:B,2,0),0)</f>
        <v>246</v>
      </c>
      <c r="U258" s="1151">
        <v>0</v>
      </c>
      <c r="V258" s="1150">
        <f t="shared" si="739"/>
        <v>246</v>
      </c>
      <c r="W258" s="1151">
        <f t="shared" si="740"/>
        <v>123</v>
      </c>
      <c r="X258" s="1180" t="s">
        <v>2885</v>
      </c>
      <c r="Y258" s="1180"/>
      <c r="Z258" s="1180">
        <v>1</v>
      </c>
      <c r="AA258" s="1150">
        <f>ROUND(IF(H258&lt;&gt;"",VLOOKUP(SUM(I258+J258),'CONCEPTOS Y PARAMETROS'!F:G,2,0)*V258,0),2)</f>
        <v>4.92</v>
      </c>
      <c r="AB258" s="1150">
        <f>IF(S258&lt;&gt;"",IF(M258="",'CONCEPTOS Y PARAMETROS'!$C$4,0),0)</f>
        <v>130</v>
      </c>
      <c r="AC258" s="1150">
        <f>IF(S258&lt;&gt;"",IF(M258="",'CONCEPTOS Y PARAMETROS'!$C$7*Z258,0),0)</f>
        <v>12.5</v>
      </c>
      <c r="AD258" s="1150">
        <f>IFERROR(ROUND(VLOOKUP($X258,'CONCEPTOS Y PARAMETROS'!H:I,2,0)*($V258+AA258+AB258+AC258),2),0)</f>
        <v>98.36</v>
      </c>
      <c r="AE258" s="1150">
        <f t="shared" si="701"/>
        <v>245.77999999999997</v>
      </c>
      <c r="AF258" s="1150">
        <f t="shared" si="741"/>
        <v>2.46</v>
      </c>
      <c r="AG258" s="1150">
        <f t="shared" si="742"/>
        <v>2.46</v>
      </c>
      <c r="AH258" s="1150">
        <f t="shared" si="743"/>
        <v>65</v>
      </c>
      <c r="AI258" s="1150">
        <f t="shared" si="744"/>
        <v>65</v>
      </c>
      <c r="AJ258" s="1150">
        <f t="shared" si="745"/>
        <v>49.18</v>
      </c>
      <c r="AK258" s="1150">
        <f t="shared" si="746"/>
        <v>49.18</v>
      </c>
      <c r="AL258" s="1151">
        <f t="shared" si="747"/>
        <v>129.13999999999999</v>
      </c>
      <c r="AM258" s="1151">
        <f t="shared" si="748"/>
        <v>116.64</v>
      </c>
      <c r="AN258" s="1028">
        <v>0</v>
      </c>
      <c r="AO258" s="1193">
        <f>'CONCEPTOS Y PARAMETROS'!$C$18*AN258</f>
        <v>0</v>
      </c>
      <c r="AP258" s="1028">
        <v>0</v>
      </c>
      <c r="AQ258" s="1193">
        <f>'CONCEPTOS Y PARAMETROS'!$C$21*AP258</f>
        <v>0</v>
      </c>
      <c r="AR258" s="1394">
        <v>0</v>
      </c>
      <c r="AS258" s="1394">
        <v>0</v>
      </c>
      <c r="AT258" s="1394">
        <f t="shared" si="672"/>
        <v>0</v>
      </c>
      <c r="AU258" s="1151">
        <f t="shared" si="749"/>
        <v>491.78</v>
      </c>
      <c r="AV258" s="1178">
        <v>0</v>
      </c>
      <c r="AW258" s="1151">
        <f t="shared" si="673"/>
        <v>0</v>
      </c>
      <c r="AX258" s="1150">
        <f>IF(T258&lt;&gt;"0",(ROUND(IF(A258="EMPLEADO",eval_formula('CONCEPTOS Y PARAMETROS'!$C$8,NOMINA!V258,NOMINA!$AU258,NOMINA!I258+NOMINA!J258),eval_formula('CONCEPTOS Y PARAMETROS'!$D$8,NOMINA!V258,NOMINA!$AU258,NOMINA!I258+NOMINA!J258)),2))*IF(H258&lt;&gt;"",IF(MONTH(H258)=$BR$8,IF(YEAR(H258)&lt;$BT$7,1,0),0)))</f>
        <v>0</v>
      </c>
      <c r="AY258" s="1151">
        <v>180</v>
      </c>
      <c r="AZ258" s="1150">
        <f>IFERROR(VLOOKUP(AY258,'CONCEPTOS Y PARAMETROS'!Y:Z,2,0),0)</f>
        <v>150</v>
      </c>
      <c r="BA258" s="1150">
        <f t="shared" si="750"/>
        <v>3688.35</v>
      </c>
      <c r="BB258" s="1150">
        <f t="shared" si="643"/>
        <v>0</v>
      </c>
      <c r="BC258" s="1028">
        <v>0</v>
      </c>
      <c r="BD258" s="1150" t="str">
        <f t="shared" si="751"/>
        <v>0</v>
      </c>
      <c r="BE258" s="1028">
        <v>0</v>
      </c>
      <c r="BF258" s="1150">
        <f t="shared" si="702"/>
        <v>0</v>
      </c>
      <c r="BG258" s="1151">
        <v>300</v>
      </c>
      <c r="BH258" s="1151">
        <f t="shared" si="647"/>
        <v>0</v>
      </c>
      <c r="BI258" s="1180">
        <v>0</v>
      </c>
      <c r="BJ258" s="1180">
        <f t="shared" si="642"/>
        <v>0</v>
      </c>
      <c r="BK258" s="1151">
        <v>0</v>
      </c>
      <c r="BL258" s="1150">
        <f t="shared" si="696"/>
        <v>18.16</v>
      </c>
      <c r="BM258" s="1150">
        <f t="shared" si="697"/>
        <v>2.27</v>
      </c>
      <c r="BN258" s="1150">
        <f t="shared" si="644"/>
        <v>4.92</v>
      </c>
      <c r="BO258" s="1150">
        <v>0</v>
      </c>
      <c r="BP258" s="1150">
        <v>0</v>
      </c>
      <c r="BQ258" s="1396">
        <f t="shared" si="677"/>
        <v>25.35</v>
      </c>
      <c r="BR258" s="1150">
        <f t="shared" si="699"/>
        <v>40.86</v>
      </c>
      <c r="BS258" s="1150">
        <f t="shared" si="700"/>
        <v>9.08</v>
      </c>
      <c r="BT258" s="1150">
        <f t="shared" si="649"/>
        <v>9.84</v>
      </c>
      <c r="BU258" s="1150">
        <v>0</v>
      </c>
      <c r="BV258" s="1151">
        <f t="shared" si="678"/>
        <v>59.78</v>
      </c>
      <c r="BW258" s="1155">
        <f t="shared" si="679"/>
        <v>85.13</v>
      </c>
      <c r="BX258" s="1155">
        <f t="shared" si="738"/>
        <v>922.09</v>
      </c>
      <c r="BY258" s="1151">
        <v>0</v>
      </c>
      <c r="BZ258" s="1151">
        <f t="shared" si="641"/>
        <v>922.09</v>
      </c>
      <c r="CA258" s="1397">
        <f>'CONCEPTOS Y PARAMETROS'!$A$102</f>
        <v>2120</v>
      </c>
      <c r="CB258" s="1155">
        <f t="shared" si="652"/>
        <v>226.79</v>
      </c>
      <c r="CC258" s="1156">
        <f t="shared" si="653"/>
        <v>539.64</v>
      </c>
      <c r="CD258" s="514"/>
      <c r="CE258" s="514"/>
      <c r="CF258" s="520"/>
      <c r="CG258" s="497">
        <f t="shared" si="654"/>
        <v>226.79</v>
      </c>
      <c r="CH258" s="1711">
        <f t="shared" si="655"/>
        <v>300</v>
      </c>
      <c r="CI258" s="497">
        <f t="shared" si="656"/>
        <v>539.64</v>
      </c>
      <c r="CJ258" s="497">
        <f t="shared" si="657"/>
        <v>539.64</v>
      </c>
      <c r="CK258" s="497">
        <f t="shared" si="658"/>
        <v>0</v>
      </c>
      <c r="CL258" s="497">
        <f t="shared" si="659"/>
        <v>0</v>
      </c>
      <c r="CM258" s="497">
        <f t="shared" si="660"/>
        <v>0</v>
      </c>
      <c r="CN258" s="498">
        <f t="shared" si="661"/>
        <v>0</v>
      </c>
      <c r="CO258" s="499">
        <v>0</v>
      </c>
      <c r="CP258" s="498">
        <f t="shared" si="662"/>
        <v>0</v>
      </c>
      <c r="CQ258" s="500">
        <f t="shared" si="663"/>
        <v>0</v>
      </c>
      <c r="CR258" s="498">
        <f t="shared" si="664"/>
        <v>0</v>
      </c>
      <c r="CS258" s="498">
        <f t="shared" si="665"/>
        <v>0</v>
      </c>
      <c r="CT258" s="498">
        <f t="shared" si="666"/>
        <v>85.13</v>
      </c>
      <c r="CU258" s="498">
        <f t="shared" si="667"/>
        <v>2120</v>
      </c>
      <c r="CV258" s="1554"/>
      <c r="CW258" s="1195" t="s">
        <v>7020</v>
      </c>
      <c r="CX258" s="1195" t="s">
        <v>7123</v>
      </c>
      <c r="CY258" s="472"/>
      <c r="CZ258" s="514" t="s">
        <v>6409</v>
      </c>
      <c r="DA258" s="514" t="s">
        <v>6196</v>
      </c>
      <c r="DB258" s="514" t="s">
        <v>6407</v>
      </c>
      <c r="DC258" s="514" t="s">
        <v>6648</v>
      </c>
      <c r="DD258" s="514"/>
      <c r="DE258" s="514"/>
      <c r="DF258" s="472"/>
      <c r="DG258" s="472"/>
      <c r="DH258" s="472"/>
      <c r="DI258" s="473"/>
      <c r="DJ258" s="473" t="str">
        <f>VLOOKUP(X258,Hoja1!$A$4:$B$10,2,0)</f>
        <v>PROFESIONAL</v>
      </c>
      <c r="DK258" s="473" t="str">
        <f>VLOOKUP(S258,Hoja1!$D$4:$F$77,3,0)</f>
        <v>PI</v>
      </c>
      <c r="DL258" s="1216" t="str">
        <f t="shared" si="668"/>
        <v>0</v>
      </c>
      <c r="DM258" s="1741" t="str">
        <f t="shared" si="669"/>
        <v>F</v>
      </c>
      <c r="DN258" s="1741"/>
    </row>
    <row r="259" spans="1:118" s="930" customFormat="1" ht="21.95" customHeight="1">
      <c r="A259" s="929" t="s">
        <v>2846</v>
      </c>
      <c r="B259" s="1404">
        <f ca="1">OFFSET(B259,-1,0)+1</f>
        <v>217</v>
      </c>
      <c r="C259" s="1405">
        <v>20790947</v>
      </c>
      <c r="D259" s="1627" t="s">
        <v>4686</v>
      </c>
      <c r="E259" s="1407" t="s">
        <v>4622</v>
      </c>
      <c r="F259" s="1408">
        <v>33464</v>
      </c>
      <c r="G259" s="1407" t="s">
        <v>4620</v>
      </c>
      <c r="H259" s="1408">
        <v>43967</v>
      </c>
      <c r="I259" s="1409">
        <f t="shared" si="645"/>
        <v>4</v>
      </c>
      <c r="J259" s="1410">
        <v>0</v>
      </c>
      <c r="K259" s="1409">
        <f t="shared" si="646"/>
        <v>4</v>
      </c>
      <c r="L259" s="1411" t="s">
        <v>5544</v>
      </c>
      <c r="M259" s="1410"/>
      <c r="N259" s="1410"/>
      <c r="O259" s="1412" t="s">
        <v>5223</v>
      </c>
      <c r="P259" s="1410" t="s">
        <v>5207</v>
      </c>
      <c r="Q259" s="1413" t="str">
        <f>IFERROR(VLOOKUP(O259,CARGOS!A:E,2,0),"")</f>
        <v>12114</v>
      </c>
      <c r="R259" s="1412" t="s">
        <v>5223</v>
      </c>
      <c r="S259" s="1414" t="s">
        <v>5480</v>
      </c>
      <c r="T259" s="1415">
        <v>0</v>
      </c>
      <c r="U259" s="1382">
        <v>0</v>
      </c>
      <c r="V259" s="1415">
        <f>T259-U259</f>
        <v>0</v>
      </c>
      <c r="W259" s="1382">
        <f>ROUND(V259/2,2)</f>
        <v>0</v>
      </c>
      <c r="X259" s="1407" t="s">
        <v>2885</v>
      </c>
      <c r="Y259" s="1407"/>
      <c r="Z259" s="1407">
        <v>0</v>
      </c>
      <c r="AA259" s="1415">
        <f>ROUND(IF(H259&lt;&gt;"",VLOOKUP(SUM(I259+J259),'CONCEPTOS Y PARAMETROS'!F:G,2,0)*V259,0),2)</f>
        <v>0</v>
      </c>
      <c r="AB259" s="1415">
        <v>0</v>
      </c>
      <c r="AC259" s="1415">
        <v>0</v>
      </c>
      <c r="AD259" s="1415">
        <f>IFERROR(ROUND(VLOOKUP($X259,'CONCEPTOS Y PARAMETROS'!H:I,2,0)*($V259+AA259+AB259+AC259),2),0)</f>
        <v>0</v>
      </c>
      <c r="AE259" s="1415">
        <f>SUM(AA259:AD259)</f>
        <v>0</v>
      </c>
      <c r="AF259" s="1415">
        <f>ROUND(AA259/2,2)</f>
        <v>0</v>
      </c>
      <c r="AG259" s="1415">
        <f>ROUND(AA259-AF259,2)</f>
        <v>0</v>
      </c>
      <c r="AH259" s="1415">
        <f>ROUND(AB259/2,2)</f>
        <v>0</v>
      </c>
      <c r="AI259" s="1415">
        <f>ROUND(AB259-AH259,2)</f>
        <v>0</v>
      </c>
      <c r="AJ259" s="1415">
        <f>ROUND(AD259/2,2)</f>
        <v>0</v>
      </c>
      <c r="AK259" s="1415">
        <f>ROUND(AD259-AJ259,2)</f>
        <v>0</v>
      </c>
      <c r="AL259" s="1382">
        <f>ROUND(AF259+AH259+AJ259+AC259,2)</f>
        <v>0</v>
      </c>
      <c r="AM259" s="1382">
        <f>ROUND(AG259+AI259+AK259,2)</f>
        <v>0</v>
      </c>
      <c r="AN259" s="1409">
        <f>1*0</f>
        <v>0</v>
      </c>
      <c r="AO259" s="1417">
        <v>0</v>
      </c>
      <c r="AP259" s="1416">
        <v>0</v>
      </c>
      <c r="AQ259" s="1417">
        <f>'CONCEPTOS Y PARAMETROS'!$C$21*AP259</f>
        <v>0</v>
      </c>
      <c r="AR259" s="1418">
        <v>0</v>
      </c>
      <c r="AS259" s="1418">
        <v>0</v>
      </c>
      <c r="AT259" s="1418">
        <f>+AO259+AQ259+AR259+AS259</f>
        <v>0</v>
      </c>
      <c r="AU259" s="1382">
        <f>V259+AE259+AW259</f>
        <v>0</v>
      </c>
      <c r="AV259" s="1419">
        <v>0</v>
      </c>
      <c r="AW259" s="1382">
        <f>ROUND(IF(O259="VIGILANTE",(V259+AE259)*30%,0),2)</f>
        <v>0</v>
      </c>
      <c r="AX259" s="1415">
        <f>IF(T259&lt;&gt;"0",(ROUND(IF(A259="EMPLEADO",eval_formula('CONCEPTOS Y PARAMETROS'!$C$8,NOMINA!V259,NOMINA!$AU259,NOMINA!I259+NOMINA!J259),eval_formula('CONCEPTOS Y PARAMETROS'!$D$8,NOMINA!V259,NOMINA!$AU259,NOMINA!I259+NOMINA!J259)),2))*IF(H259&lt;&gt;"",IF(MONTH(H259)=$BR$8,IF(YEAR(H259)&lt;$BT$7,1,0),0)))</f>
        <v>0</v>
      </c>
      <c r="AY259" s="1382">
        <v>180</v>
      </c>
      <c r="AZ259" s="1415">
        <f>IFERROR(VLOOKUP(AY259,'CONCEPTOS Y PARAMETROS'!Y:Z,2,0),0)</f>
        <v>150</v>
      </c>
      <c r="BA259" s="1415">
        <f>ROUND((((AU259))/30*AY259/12+(AU259))/30*AZ259,2)</f>
        <v>0</v>
      </c>
      <c r="BB259" s="1415">
        <f t="shared" si="643"/>
        <v>0</v>
      </c>
      <c r="BC259" s="1416">
        <v>0</v>
      </c>
      <c r="BD259" s="1415" t="str">
        <f>IF(BC259&gt;0,((((((V259+AA259+AB259+AC259+AD259)/30)/8)*50%)+((((V259+AA259+AB259+AC259+AD259)/30)/8)))*30%+(((((V259+AA259+AB259+AC259+AD259)/30)/8)*50%)+((((V259+AA259+AB259+AC259+AD259)/30)/8))))*BC259,"0")</f>
        <v>0</v>
      </c>
      <c r="BE259" s="1416">
        <v>0</v>
      </c>
      <c r="BF259" s="1415">
        <f t="shared" si="702"/>
        <v>0</v>
      </c>
      <c r="BG259" s="1382">
        <v>0</v>
      </c>
      <c r="BH259" s="1382">
        <f t="shared" si="647"/>
        <v>0</v>
      </c>
      <c r="BI259" s="1382">
        <v>0</v>
      </c>
      <c r="BJ259" s="1382">
        <f t="shared" si="642"/>
        <v>0</v>
      </c>
      <c r="BK259" s="1382">
        <v>0</v>
      </c>
      <c r="BL259" s="1415">
        <f t="shared" si="696"/>
        <v>0</v>
      </c>
      <c r="BM259" s="1415">
        <f t="shared" si="697"/>
        <v>0</v>
      </c>
      <c r="BN259" s="1415">
        <f t="shared" si="644"/>
        <v>0</v>
      </c>
      <c r="BO259" s="1415">
        <v>0</v>
      </c>
      <c r="BP259" s="1415">
        <v>0</v>
      </c>
      <c r="BQ259" s="1420">
        <f t="shared" ref="BQ259" si="774">ROUND(SUM(BL259:BP259),2)</f>
        <v>0</v>
      </c>
      <c r="BR259" s="1415">
        <f t="shared" si="699"/>
        <v>0</v>
      </c>
      <c r="BS259" s="1415">
        <f t="shared" si="700"/>
        <v>0</v>
      </c>
      <c r="BT259" s="1415">
        <f t="shared" si="649"/>
        <v>0</v>
      </c>
      <c r="BU259" s="1415">
        <v>0</v>
      </c>
      <c r="BV259" s="1382">
        <f t="shared" ref="BV259" si="775">ROUND(SUM(BR259:BT259),2)</f>
        <v>0</v>
      </c>
      <c r="BW259" s="1379">
        <f>BQ259+BV259</f>
        <v>0</v>
      </c>
      <c r="BX259" s="1379">
        <f t="shared" si="738"/>
        <v>0</v>
      </c>
      <c r="BY259" s="1382">
        <v>0</v>
      </c>
      <c r="BZ259" s="1382">
        <f t="shared" si="641"/>
        <v>0</v>
      </c>
      <c r="CA259" s="1421">
        <v>0</v>
      </c>
      <c r="CB259" s="1379">
        <f t="shared" si="652"/>
        <v>0</v>
      </c>
      <c r="CC259" s="1422">
        <f t="shared" si="653"/>
        <v>0</v>
      </c>
      <c r="CD259" s="935"/>
      <c r="CE259" s="935"/>
      <c r="CG259" s="931">
        <f t="shared" si="654"/>
        <v>0</v>
      </c>
      <c r="CH259" s="1714">
        <f t="shared" si="655"/>
        <v>0</v>
      </c>
      <c r="CI259" s="931">
        <f t="shared" si="656"/>
        <v>0</v>
      </c>
      <c r="CJ259" s="931">
        <f t="shared" si="657"/>
        <v>0</v>
      </c>
      <c r="CK259" s="931">
        <f t="shared" si="658"/>
        <v>0</v>
      </c>
      <c r="CL259" s="931">
        <f t="shared" si="659"/>
        <v>0</v>
      </c>
      <c r="CM259" s="931">
        <f t="shared" si="660"/>
        <v>0</v>
      </c>
      <c r="CN259" s="932">
        <f t="shared" si="661"/>
        <v>0</v>
      </c>
      <c r="CO259" s="933">
        <v>0</v>
      </c>
      <c r="CP259" s="932">
        <f t="shared" si="662"/>
        <v>0</v>
      </c>
      <c r="CQ259" s="934">
        <f t="shared" si="663"/>
        <v>0</v>
      </c>
      <c r="CR259" s="932">
        <f t="shared" si="664"/>
        <v>0</v>
      </c>
      <c r="CS259" s="932">
        <f t="shared" si="665"/>
        <v>0</v>
      </c>
      <c r="CT259" s="932">
        <f t="shared" si="666"/>
        <v>0</v>
      </c>
      <c r="CU259" s="932">
        <f t="shared" si="667"/>
        <v>0</v>
      </c>
      <c r="CV259" s="1557"/>
      <c r="CW259" s="1406" t="s">
        <v>7124</v>
      </c>
      <c r="CX259" s="1406" t="s">
        <v>7125</v>
      </c>
      <c r="CY259" s="935"/>
      <c r="CZ259" s="478"/>
      <c r="DA259" s="478"/>
      <c r="DB259" s="478"/>
      <c r="DC259" s="478"/>
      <c r="DD259" s="514"/>
      <c r="DE259" s="514"/>
      <c r="DF259" s="935"/>
      <c r="DG259" s="935"/>
      <c r="DH259" s="935"/>
      <c r="DJ259" s="930" t="str">
        <f>VLOOKUP(X259,Hoja1!$A$4:$B$10,2,0)</f>
        <v>PROFESIONAL</v>
      </c>
      <c r="DK259" s="930" t="str">
        <f>VLOOKUP(S259,Hoja1!$D$4:$F$77,3,0)</f>
        <v>PII - II</v>
      </c>
      <c r="DL259" s="1217" t="str">
        <f t="shared" si="668"/>
        <v>0</v>
      </c>
      <c r="DM259" s="1745" t="str">
        <f t="shared" si="669"/>
        <v>F</v>
      </c>
      <c r="DN259" s="1745"/>
    </row>
    <row r="260" spans="1:118" s="473" customFormat="1" ht="21.95" customHeight="1">
      <c r="A260" s="510" t="s">
        <v>2846</v>
      </c>
      <c r="B260" s="1390">
        <f t="shared" ca="1" si="479"/>
        <v>218</v>
      </c>
      <c r="C260" s="1194">
        <v>21061126</v>
      </c>
      <c r="D260" s="1195" t="s">
        <v>5747</v>
      </c>
      <c r="E260" s="1180" t="s">
        <v>4622</v>
      </c>
      <c r="F260" s="1196">
        <v>33430</v>
      </c>
      <c r="G260" s="1180" t="s">
        <v>4621</v>
      </c>
      <c r="H260" s="1196">
        <v>45047</v>
      </c>
      <c r="I260" s="1185">
        <f t="shared" si="645"/>
        <v>1</v>
      </c>
      <c r="J260" s="1177">
        <v>0</v>
      </c>
      <c r="K260" s="1185">
        <f t="shared" si="646"/>
        <v>1</v>
      </c>
      <c r="L260" s="1191" t="s">
        <v>5561</v>
      </c>
      <c r="M260" s="1177"/>
      <c r="N260" s="1177"/>
      <c r="O260" s="1040" t="s">
        <v>5222</v>
      </c>
      <c r="P260" s="1197" t="s">
        <v>5750</v>
      </c>
      <c r="Q260" s="1469" t="str">
        <f>IFERROR(VLOOKUP(O260,CARGOS!A:E,2,0),"")</f>
        <v>79511</v>
      </c>
      <c r="R260" s="1403" t="s">
        <v>5222</v>
      </c>
      <c r="S260" s="1192" t="s">
        <v>5475</v>
      </c>
      <c r="T260" s="1150">
        <f>IFERROR(VLOOKUP(S260,'TAB EMP'!A:B,2,0),0)</f>
        <v>192</v>
      </c>
      <c r="U260" s="1151">
        <v>0</v>
      </c>
      <c r="V260" s="1150">
        <f t="shared" si="739"/>
        <v>192</v>
      </c>
      <c r="W260" s="1151">
        <f t="shared" si="740"/>
        <v>96</v>
      </c>
      <c r="X260" s="1180" t="s">
        <v>2885</v>
      </c>
      <c r="Y260" s="1180"/>
      <c r="Z260" s="1180">
        <v>0</v>
      </c>
      <c r="AA260" s="1150">
        <f>ROUND(IF(H260&lt;&gt;"",VLOOKUP(SUM(I260+J260),'CONCEPTOS Y PARAMETROS'!F:G,2,0)*V260,0),2)</f>
        <v>1.92</v>
      </c>
      <c r="AB260" s="1150">
        <f>IF(S260&lt;&gt;"",IF(M260="",'CONCEPTOS Y PARAMETROS'!$C$4,0),0)</f>
        <v>130</v>
      </c>
      <c r="AC260" s="1150">
        <f>IF(S260&lt;&gt;"",IF(M260="",'CONCEPTOS Y PARAMETROS'!$C$7*Z260,0),0)</f>
        <v>0</v>
      </c>
      <c r="AD260" s="1150">
        <f>IFERROR(ROUND(VLOOKUP($X260,'CONCEPTOS Y PARAMETROS'!H:I,2,0)*($V260+AA260+AB260+AC260),2),0)</f>
        <v>80.98</v>
      </c>
      <c r="AE260" s="1150">
        <f t="shared" si="701"/>
        <v>212.89999999999998</v>
      </c>
      <c r="AF260" s="1150">
        <f t="shared" si="741"/>
        <v>0.96</v>
      </c>
      <c r="AG260" s="1150">
        <f t="shared" si="742"/>
        <v>0.96</v>
      </c>
      <c r="AH260" s="1150">
        <f t="shared" si="743"/>
        <v>65</v>
      </c>
      <c r="AI260" s="1150">
        <f t="shared" si="744"/>
        <v>65</v>
      </c>
      <c r="AJ260" s="1150">
        <f t="shared" si="745"/>
        <v>40.49</v>
      </c>
      <c r="AK260" s="1150">
        <f t="shared" si="746"/>
        <v>40.49</v>
      </c>
      <c r="AL260" s="1151">
        <f t="shared" si="747"/>
        <v>106.45</v>
      </c>
      <c r="AM260" s="1151">
        <f t="shared" si="748"/>
        <v>106.45</v>
      </c>
      <c r="AN260" s="1028">
        <v>0</v>
      </c>
      <c r="AO260" s="1193">
        <f>'CONCEPTOS Y PARAMETROS'!$C$18*AN260</f>
        <v>0</v>
      </c>
      <c r="AP260" s="1028">
        <v>0</v>
      </c>
      <c r="AQ260" s="1193">
        <f>'CONCEPTOS Y PARAMETROS'!$C$21*AP260</f>
        <v>0</v>
      </c>
      <c r="AR260" s="1394">
        <v>0</v>
      </c>
      <c r="AS260" s="1394">
        <v>0</v>
      </c>
      <c r="AT260" s="1394">
        <f t="shared" ref="AT260" si="776">+AO260+AQ260+AR260+AS260</f>
        <v>0</v>
      </c>
      <c r="AU260" s="1151">
        <f t="shared" si="749"/>
        <v>526.37</v>
      </c>
      <c r="AV260" s="1178" t="s">
        <v>5080</v>
      </c>
      <c r="AW260" s="1151">
        <f t="shared" si="673"/>
        <v>121.47</v>
      </c>
      <c r="AX260" s="1151">
        <f>IF(T260&lt;&gt;"0",(ROUND(IF(A260="EMPLEADO",eval_formula('CONCEPTOS Y PARAMETROS'!$C$8,NOMINA!V260,NOMINA!$AU260,NOMINA!I260+NOMINA!J260),eval_formula('CONCEPTOS Y PARAMETROS'!$D$8,NOMINA!V260,NOMINA!$AU260,NOMINA!I260+NOMINA!J260)),2))*IF(H260&lt;&gt;"",IF(MONTH(H260)=$BR$8,IF(YEAR(H260)&lt;$BT$7,1,0),0)))</f>
        <v>0</v>
      </c>
      <c r="AY260" s="1151">
        <v>180</v>
      </c>
      <c r="AZ260" s="1150">
        <f>IFERROR(VLOOKUP(AY260,'CONCEPTOS Y PARAMETROS'!Y:Z,2,0),0)</f>
        <v>150</v>
      </c>
      <c r="BA260" s="1150">
        <f t="shared" si="750"/>
        <v>3947.78</v>
      </c>
      <c r="BB260" s="1150">
        <f t="shared" si="643"/>
        <v>0</v>
      </c>
      <c r="BC260" s="1028">
        <v>0</v>
      </c>
      <c r="BD260" s="1150" t="str">
        <f t="shared" si="751"/>
        <v>0</v>
      </c>
      <c r="BE260" s="1028">
        <v>5</v>
      </c>
      <c r="BF260" s="1150">
        <f t="shared" si="702"/>
        <v>131.59</v>
      </c>
      <c r="BG260" s="1151">
        <v>300</v>
      </c>
      <c r="BH260" s="1151">
        <f t="shared" si="647"/>
        <v>0</v>
      </c>
      <c r="BI260" s="1180">
        <v>0</v>
      </c>
      <c r="BJ260" s="1180">
        <f t="shared" si="642"/>
        <v>0</v>
      </c>
      <c r="BK260" s="1151">
        <v>0</v>
      </c>
      <c r="BL260" s="1150">
        <f t="shared" si="696"/>
        <v>19.440000000000001</v>
      </c>
      <c r="BM260" s="1150">
        <f t="shared" si="697"/>
        <v>2.4300000000000002</v>
      </c>
      <c r="BN260" s="1150">
        <f t="shared" si="644"/>
        <v>5.26</v>
      </c>
      <c r="BO260" s="1150">
        <v>0</v>
      </c>
      <c r="BP260" s="1150">
        <v>0</v>
      </c>
      <c r="BQ260" s="1396">
        <f t="shared" ref="BQ260" si="777">ROUND(SUM(BL260:BP260),2)</f>
        <v>27.13</v>
      </c>
      <c r="BR260" s="1150">
        <f t="shared" si="699"/>
        <v>43.73</v>
      </c>
      <c r="BS260" s="1150">
        <f t="shared" si="700"/>
        <v>9.7200000000000006</v>
      </c>
      <c r="BT260" s="1150">
        <f t="shared" si="649"/>
        <v>10.52</v>
      </c>
      <c r="BU260" s="1150">
        <v>0</v>
      </c>
      <c r="BV260" s="1151">
        <f t="shared" ref="BV260" si="778">ROUND(SUM(BR260:BT260),2)</f>
        <v>63.97</v>
      </c>
      <c r="BW260" s="1155">
        <f t="shared" ref="BW260" si="779">BQ260+BV260</f>
        <v>91.1</v>
      </c>
      <c r="BX260" s="1155">
        <f t="shared" si="738"/>
        <v>986.95</v>
      </c>
      <c r="BY260" s="1151">
        <v>0</v>
      </c>
      <c r="BZ260" s="1151">
        <f t="shared" si="641"/>
        <v>986.95</v>
      </c>
      <c r="CA260" s="1397">
        <f>'CONCEPTOS Y PARAMETROS'!$A$102</f>
        <v>2120</v>
      </c>
      <c r="CB260" s="1155">
        <f t="shared" si="652"/>
        <v>175.32</v>
      </c>
      <c r="CC260" s="1156">
        <f t="shared" si="653"/>
        <v>755.51</v>
      </c>
      <c r="CD260" s="514"/>
      <c r="CE260" s="514"/>
      <c r="CF260" s="521"/>
      <c r="CG260" s="511">
        <f t="shared" si="654"/>
        <v>175.32</v>
      </c>
      <c r="CH260" s="1711">
        <f t="shared" si="655"/>
        <v>300</v>
      </c>
      <c r="CI260" s="497">
        <f t="shared" si="656"/>
        <v>502.45</v>
      </c>
      <c r="CJ260" s="511">
        <f t="shared" si="657"/>
        <v>502.45</v>
      </c>
      <c r="CK260" s="511">
        <f t="shared" si="658"/>
        <v>0</v>
      </c>
      <c r="CL260" s="497">
        <f t="shared" si="659"/>
        <v>0</v>
      </c>
      <c r="CM260" s="497">
        <f t="shared" si="660"/>
        <v>0</v>
      </c>
      <c r="CN260" s="512">
        <f t="shared" si="661"/>
        <v>131.59</v>
      </c>
      <c r="CO260" s="513">
        <v>0</v>
      </c>
      <c r="CP260" s="512">
        <f t="shared" si="662"/>
        <v>121.47</v>
      </c>
      <c r="CQ260" s="500">
        <f t="shared" si="663"/>
        <v>0</v>
      </c>
      <c r="CR260" s="512">
        <f t="shared" si="664"/>
        <v>0</v>
      </c>
      <c r="CS260" s="498">
        <f t="shared" si="665"/>
        <v>253.06</v>
      </c>
      <c r="CT260" s="498">
        <f t="shared" si="666"/>
        <v>91.1</v>
      </c>
      <c r="CU260" s="512">
        <f t="shared" si="667"/>
        <v>2120</v>
      </c>
      <c r="CV260" s="1556"/>
      <c r="CW260" s="1195" t="s">
        <v>7126</v>
      </c>
      <c r="CX260" s="1195" t="s">
        <v>7127</v>
      </c>
      <c r="CY260" s="514"/>
      <c r="CZ260" s="1199" t="s">
        <v>6597</v>
      </c>
      <c r="DA260" s="1199" t="s">
        <v>6584</v>
      </c>
      <c r="DB260" s="1198" t="s">
        <v>6578</v>
      </c>
      <c r="DC260" s="514" t="s">
        <v>6585</v>
      </c>
      <c r="DD260" s="514"/>
      <c r="DE260" s="514"/>
      <c r="DF260" s="514"/>
      <c r="DG260" s="514"/>
      <c r="DH260" s="514"/>
      <c r="DI260" s="478"/>
      <c r="DJ260" s="473" t="str">
        <f>VLOOKUP(X260,Hoja1!$A$4:$B$10,2,0)</f>
        <v>PROFESIONAL</v>
      </c>
      <c r="DK260" s="473" t="str">
        <f>VLOOKUP(S260,Hoja1!$D$4:$F$77,3,0)</f>
        <v>TI</v>
      </c>
      <c r="DL260" s="1216" t="str">
        <f t="shared" si="668"/>
        <v>SI</v>
      </c>
      <c r="DM260" s="1741" t="str">
        <f t="shared" si="669"/>
        <v>M</v>
      </c>
      <c r="DN260" s="1741"/>
    </row>
    <row r="261" spans="1:118" s="473" customFormat="1" ht="21.95" customHeight="1">
      <c r="A261" s="510" t="s">
        <v>2846</v>
      </c>
      <c r="B261" s="1390">
        <f t="shared" ca="1" si="479"/>
        <v>219</v>
      </c>
      <c r="C261" s="1194">
        <v>21061789</v>
      </c>
      <c r="D261" s="1195" t="s">
        <v>4893</v>
      </c>
      <c r="E261" s="1180" t="s">
        <v>4622</v>
      </c>
      <c r="F261" s="1196">
        <v>33523</v>
      </c>
      <c r="G261" s="1180" t="s">
        <v>4621</v>
      </c>
      <c r="H261" s="1196">
        <v>44713</v>
      </c>
      <c r="I261" s="1185">
        <f t="shared" si="645"/>
        <v>2</v>
      </c>
      <c r="J261" s="1177">
        <v>0</v>
      </c>
      <c r="K261" s="1185">
        <f t="shared" si="646"/>
        <v>2</v>
      </c>
      <c r="L261" s="1191" t="s">
        <v>5555</v>
      </c>
      <c r="M261" s="1177"/>
      <c r="N261" s="1177"/>
      <c r="O261" s="1040" t="s">
        <v>5216</v>
      </c>
      <c r="P261" s="1177" t="s">
        <v>5439</v>
      </c>
      <c r="Q261" s="1391" t="str">
        <f>IFERROR(VLOOKUP(O261,CARGOS!A:E,2,0),"")</f>
        <v>35121</v>
      </c>
      <c r="R261" s="1403" t="s">
        <v>5216</v>
      </c>
      <c r="S261" s="1192" t="s">
        <v>5469</v>
      </c>
      <c r="T261" s="1150">
        <f>IFERROR(VLOOKUP(S261,'TAB EMP'!A:B,2,0),0)</f>
        <v>246</v>
      </c>
      <c r="U261" s="1151">
        <v>0</v>
      </c>
      <c r="V261" s="1150">
        <f t="shared" si="739"/>
        <v>246</v>
      </c>
      <c r="W261" s="1151">
        <f t="shared" si="740"/>
        <v>123</v>
      </c>
      <c r="X261" s="1180" t="s">
        <v>2885</v>
      </c>
      <c r="Y261" s="1180"/>
      <c r="Z261" s="1180">
        <v>0</v>
      </c>
      <c r="AA261" s="1150">
        <f>ROUND(IF(H261&lt;&gt;"",VLOOKUP(SUM(I261+J261),'CONCEPTOS Y PARAMETROS'!F:G,2,0)*V261,0),2)</f>
        <v>4.92</v>
      </c>
      <c r="AB261" s="1150">
        <f>IF(S261&lt;&gt;"",IF(M261="",'CONCEPTOS Y PARAMETROS'!$C$4,0),0)</f>
        <v>130</v>
      </c>
      <c r="AC261" s="1150">
        <f>IF(S261&lt;&gt;"",IF(M261="",'CONCEPTOS Y PARAMETROS'!$C$7*Z261,0),0)</f>
        <v>0</v>
      </c>
      <c r="AD261" s="1150">
        <f>IFERROR(ROUND(VLOOKUP($X261,'CONCEPTOS Y PARAMETROS'!H:I,2,0)*($V261+AA261+AB261+AC261),2),0)</f>
        <v>95.23</v>
      </c>
      <c r="AE261" s="1150">
        <f t="shared" si="701"/>
        <v>230.14999999999998</v>
      </c>
      <c r="AF261" s="1150">
        <f t="shared" si="741"/>
        <v>2.46</v>
      </c>
      <c r="AG261" s="1150">
        <f t="shared" si="742"/>
        <v>2.46</v>
      </c>
      <c r="AH261" s="1150">
        <f t="shared" si="743"/>
        <v>65</v>
      </c>
      <c r="AI261" s="1150">
        <f t="shared" si="744"/>
        <v>65</v>
      </c>
      <c r="AJ261" s="1150">
        <f t="shared" si="745"/>
        <v>47.62</v>
      </c>
      <c r="AK261" s="1150">
        <f t="shared" si="746"/>
        <v>47.61</v>
      </c>
      <c r="AL261" s="1151">
        <f t="shared" si="747"/>
        <v>115.08</v>
      </c>
      <c r="AM261" s="1151">
        <f t="shared" si="748"/>
        <v>115.07</v>
      </c>
      <c r="AN261" s="1028">
        <v>0</v>
      </c>
      <c r="AO261" s="1193">
        <f>'CONCEPTOS Y PARAMETROS'!$C$18*AN261</f>
        <v>0</v>
      </c>
      <c r="AP261" s="1028">
        <v>0</v>
      </c>
      <c r="AQ261" s="1193">
        <f>'CONCEPTOS Y PARAMETROS'!$C$21*AP261</f>
        <v>0</v>
      </c>
      <c r="AR261" s="1394">
        <v>0</v>
      </c>
      <c r="AS261" s="1394">
        <v>0</v>
      </c>
      <c r="AT261" s="1394">
        <f t="shared" si="672"/>
        <v>0</v>
      </c>
      <c r="AU261" s="1151">
        <f t="shared" si="749"/>
        <v>476.15</v>
      </c>
      <c r="AV261" s="1178">
        <v>0</v>
      </c>
      <c r="AW261" s="1151">
        <f t="shared" si="673"/>
        <v>0</v>
      </c>
      <c r="AX261" s="1150">
        <f>IF(T261&lt;&gt;"0",(ROUND(IF(A261="EMPLEADO",eval_formula('CONCEPTOS Y PARAMETROS'!$C$8,NOMINA!V261,NOMINA!$AU261,NOMINA!I261+NOMINA!J261),eval_formula('CONCEPTOS Y PARAMETROS'!$D$8,NOMINA!V261,NOMINA!$AU261,NOMINA!I261+NOMINA!J261)),2))*IF(H261&lt;&gt;"",IF(MONTH(H261)=$BR$8,IF(YEAR(H261)&lt;$BT$7,1,0),0)))</f>
        <v>0</v>
      </c>
      <c r="AY261" s="1151">
        <v>180</v>
      </c>
      <c r="AZ261" s="1150">
        <f>IFERROR(VLOOKUP(AY261,'CONCEPTOS Y PARAMETROS'!Y:Z,2,0),0)</f>
        <v>150</v>
      </c>
      <c r="BA261" s="1150">
        <f t="shared" si="750"/>
        <v>3571.13</v>
      </c>
      <c r="BB261" s="1150">
        <f t="shared" si="643"/>
        <v>0</v>
      </c>
      <c r="BC261" s="1028">
        <v>0</v>
      </c>
      <c r="BD261" s="1150" t="str">
        <f t="shared" si="751"/>
        <v>0</v>
      </c>
      <c r="BE261" s="1028">
        <v>0</v>
      </c>
      <c r="BF261" s="1150">
        <f t="shared" si="702"/>
        <v>0</v>
      </c>
      <c r="BG261" s="1151">
        <v>300</v>
      </c>
      <c r="BH261" s="1151">
        <f t="shared" si="647"/>
        <v>0</v>
      </c>
      <c r="BI261" s="1180">
        <v>0</v>
      </c>
      <c r="BJ261" s="1180">
        <f t="shared" si="642"/>
        <v>0</v>
      </c>
      <c r="BK261" s="1151">
        <v>0</v>
      </c>
      <c r="BL261" s="1150">
        <f t="shared" si="696"/>
        <v>17.579999999999998</v>
      </c>
      <c r="BM261" s="1150">
        <f t="shared" si="697"/>
        <v>2.2000000000000002</v>
      </c>
      <c r="BN261" s="1150">
        <f t="shared" si="644"/>
        <v>4.76</v>
      </c>
      <c r="BO261" s="1150">
        <v>0</v>
      </c>
      <c r="BP261" s="1150">
        <v>0</v>
      </c>
      <c r="BQ261" s="1396">
        <f t="shared" si="677"/>
        <v>24.54</v>
      </c>
      <c r="BR261" s="1150">
        <f t="shared" si="699"/>
        <v>39.56</v>
      </c>
      <c r="BS261" s="1150">
        <f t="shared" si="700"/>
        <v>8.7899999999999991</v>
      </c>
      <c r="BT261" s="1150">
        <f t="shared" si="649"/>
        <v>9.52</v>
      </c>
      <c r="BU261" s="1150">
        <v>0</v>
      </c>
      <c r="BV261" s="1151">
        <f t="shared" si="678"/>
        <v>57.87</v>
      </c>
      <c r="BW261" s="1155">
        <f t="shared" si="679"/>
        <v>82.41</v>
      </c>
      <c r="BX261" s="1155">
        <f t="shared" si="738"/>
        <v>892.78</v>
      </c>
      <c r="BY261" s="1151">
        <v>0</v>
      </c>
      <c r="BZ261" s="1151">
        <f t="shared" si="641"/>
        <v>892.78</v>
      </c>
      <c r="CA261" s="1397">
        <f>'CONCEPTOS Y PARAMETROS'!$A$102</f>
        <v>2120</v>
      </c>
      <c r="CB261" s="1155">
        <f t="shared" si="652"/>
        <v>213.54</v>
      </c>
      <c r="CC261" s="1156">
        <f t="shared" si="653"/>
        <v>538.07000000000005</v>
      </c>
      <c r="CD261" s="514"/>
      <c r="CE261" s="514"/>
      <c r="CF261" s="520"/>
      <c r="CG261" s="497">
        <f t="shared" si="654"/>
        <v>213.54</v>
      </c>
      <c r="CH261" s="1711">
        <f t="shared" si="655"/>
        <v>300</v>
      </c>
      <c r="CI261" s="497">
        <f t="shared" si="656"/>
        <v>538.06999999999994</v>
      </c>
      <c r="CJ261" s="497">
        <f t="shared" si="657"/>
        <v>538.07000000000005</v>
      </c>
      <c r="CK261" s="497">
        <f t="shared" si="658"/>
        <v>0</v>
      </c>
      <c r="CL261" s="497">
        <f t="shared" si="659"/>
        <v>0</v>
      </c>
      <c r="CM261" s="497">
        <f t="shared" si="660"/>
        <v>0</v>
      </c>
      <c r="CN261" s="498">
        <f t="shared" si="661"/>
        <v>0</v>
      </c>
      <c r="CO261" s="499">
        <v>0</v>
      </c>
      <c r="CP261" s="498">
        <f t="shared" si="662"/>
        <v>0</v>
      </c>
      <c r="CQ261" s="500">
        <f t="shared" si="663"/>
        <v>0</v>
      </c>
      <c r="CR261" s="498">
        <f t="shared" si="664"/>
        <v>0</v>
      </c>
      <c r="CS261" s="498">
        <f t="shared" si="665"/>
        <v>0</v>
      </c>
      <c r="CT261" s="498">
        <f t="shared" si="666"/>
        <v>82.41</v>
      </c>
      <c r="CU261" s="498">
        <f t="shared" si="667"/>
        <v>2120</v>
      </c>
      <c r="CV261" s="1554"/>
      <c r="CW261" s="1195" t="s">
        <v>7113</v>
      </c>
      <c r="CX261" s="1195" t="s">
        <v>7128</v>
      </c>
      <c r="CY261" s="472"/>
      <c r="CZ261" s="514" t="s">
        <v>6488</v>
      </c>
      <c r="DA261" s="1199" t="s">
        <v>6198</v>
      </c>
      <c r="DB261" s="1199" t="s">
        <v>6234</v>
      </c>
      <c r="DC261" s="514" t="s">
        <v>6235</v>
      </c>
      <c r="DD261" s="514"/>
      <c r="DE261" s="514"/>
      <c r="DF261" s="472"/>
      <c r="DG261" s="472"/>
      <c r="DH261" s="472"/>
      <c r="DJ261" s="473" t="str">
        <f>VLOOKUP(X261,Hoja1!$A$4:$B$10,2,0)</f>
        <v>PROFESIONAL</v>
      </c>
      <c r="DK261" s="473" t="str">
        <f>VLOOKUP(S261,Hoja1!$D$4:$F$77,3,0)</f>
        <v>PI</v>
      </c>
      <c r="DL261" s="1216" t="str">
        <f t="shared" si="668"/>
        <v>0</v>
      </c>
      <c r="DM261" s="1741" t="str">
        <f t="shared" si="669"/>
        <v>M</v>
      </c>
      <c r="DN261" s="1741"/>
    </row>
    <row r="262" spans="1:118" s="1654" customFormat="1" ht="21.95" customHeight="1">
      <c r="A262" s="1624" t="s">
        <v>2846</v>
      </c>
      <c r="B262" s="1625">
        <f t="shared" ca="1" si="479"/>
        <v>220</v>
      </c>
      <c r="C262" s="1626">
        <v>21365212</v>
      </c>
      <c r="D262" s="1627" t="s">
        <v>4896</v>
      </c>
      <c r="E262" s="1628" t="s">
        <v>4622</v>
      </c>
      <c r="F262" s="1629">
        <v>34454</v>
      </c>
      <c r="G262" s="1628" t="s">
        <v>4621</v>
      </c>
      <c r="H262" s="1629">
        <v>44317</v>
      </c>
      <c r="I262" s="1630">
        <f t="shared" si="645"/>
        <v>3</v>
      </c>
      <c r="J262" s="1631">
        <v>0</v>
      </c>
      <c r="K262" s="1630">
        <f t="shared" si="646"/>
        <v>3</v>
      </c>
      <c r="L262" s="1632" t="s">
        <v>5547</v>
      </c>
      <c r="M262" s="1631"/>
      <c r="N262" s="1631"/>
      <c r="O262" s="1633" t="s">
        <v>7422</v>
      </c>
      <c r="P262" s="1631" t="s">
        <v>5440</v>
      </c>
      <c r="Q262" s="1634" t="str">
        <f>IFERROR(VLOOKUP(O262,CARGOS!A:E,2,0),"")</f>
        <v>12112</v>
      </c>
      <c r="R262" s="1635" t="s">
        <v>7422</v>
      </c>
      <c r="S262" s="1636" t="s">
        <v>5490</v>
      </c>
      <c r="T262" s="1637">
        <f>IFERROR(VLOOKUP(S262,'TAB EMP'!A:B,2,0),0)</f>
        <v>150</v>
      </c>
      <c r="U262" s="1638">
        <v>0</v>
      </c>
      <c r="V262" s="1637">
        <f t="shared" si="739"/>
        <v>150</v>
      </c>
      <c r="W262" s="1638">
        <f t="shared" si="740"/>
        <v>75</v>
      </c>
      <c r="X262" s="1628" t="s">
        <v>2884</v>
      </c>
      <c r="Y262" s="1628"/>
      <c r="Z262" s="1628">
        <v>0</v>
      </c>
      <c r="AA262" s="1637">
        <f>ROUND(IF(H262&lt;&gt;"",VLOOKUP(SUM(I262+J262),'CONCEPTOS Y PARAMETROS'!F:G,2,0)*V262,0),2)</f>
        <v>4.5</v>
      </c>
      <c r="AB262" s="1637">
        <f>IF(S262&lt;&gt;"",IF(M262="",'CONCEPTOS Y PARAMETROS'!$C$4,0),0)</f>
        <v>130</v>
      </c>
      <c r="AC262" s="1637">
        <f>IF(S262&lt;&gt;"",IF(M262="",'CONCEPTOS Y PARAMETROS'!$C$7*Z262,0),0)</f>
        <v>0</v>
      </c>
      <c r="AD262" s="1637">
        <f>IFERROR(ROUND(VLOOKUP($X262,'CONCEPTOS Y PARAMETROS'!H:I,2,0)*($V262+AA262+AB262+AC262),2),0)</f>
        <v>0</v>
      </c>
      <c r="AE262" s="1637">
        <f t="shared" si="701"/>
        <v>134.5</v>
      </c>
      <c r="AF262" s="1637">
        <f t="shared" si="741"/>
        <v>2.25</v>
      </c>
      <c r="AG262" s="1637">
        <f t="shared" si="742"/>
        <v>2.25</v>
      </c>
      <c r="AH262" s="1637">
        <f t="shared" si="743"/>
        <v>65</v>
      </c>
      <c r="AI262" s="1637">
        <f t="shared" si="744"/>
        <v>65</v>
      </c>
      <c r="AJ262" s="1637">
        <f t="shared" si="745"/>
        <v>0</v>
      </c>
      <c r="AK262" s="1637">
        <f t="shared" si="746"/>
        <v>0</v>
      </c>
      <c r="AL262" s="1638">
        <f t="shared" si="747"/>
        <v>67.25</v>
      </c>
      <c r="AM262" s="1638">
        <f t="shared" si="748"/>
        <v>67.25</v>
      </c>
      <c r="AN262" s="1639">
        <v>0</v>
      </c>
      <c r="AO262" s="1640">
        <f>'CONCEPTOS Y PARAMETROS'!$C$18*AN262</f>
        <v>0</v>
      </c>
      <c r="AP262" s="1639">
        <v>0</v>
      </c>
      <c r="AQ262" s="1640">
        <f>'CONCEPTOS Y PARAMETROS'!$C$21*AP262</f>
        <v>0</v>
      </c>
      <c r="AR262" s="1641">
        <v>0</v>
      </c>
      <c r="AS262" s="1641">
        <v>0</v>
      </c>
      <c r="AT262" s="1641">
        <f t="shared" si="672"/>
        <v>0</v>
      </c>
      <c r="AU262" s="1638">
        <f t="shared" si="749"/>
        <v>284.5</v>
      </c>
      <c r="AV262" s="1642">
        <v>0</v>
      </c>
      <c r="AW262" s="1638">
        <f t="shared" si="673"/>
        <v>0</v>
      </c>
      <c r="AX262" s="1637">
        <f>IF(T262&lt;&gt;"0",(ROUND(IF(A262="EMPLEADO",eval_formula('CONCEPTOS Y PARAMETROS'!$C$8,NOMINA!V262,NOMINA!$AU262,NOMINA!I262+NOMINA!J262),eval_formula('CONCEPTOS Y PARAMETROS'!$D$8,NOMINA!V262,NOMINA!$AU262,NOMINA!I262+NOMINA!J262)),2))*IF(H262&lt;&gt;"",IF(MONTH(H262)=$BR$8,IF(YEAR(H262)&lt;$BT$7,1,0),0)))</f>
        <v>0</v>
      </c>
      <c r="AY262" s="1638">
        <v>180</v>
      </c>
      <c r="AZ262" s="1637">
        <f>IFERROR(VLOOKUP(AY262,'CONCEPTOS Y PARAMETROS'!Y:Z,2,0),0)</f>
        <v>150</v>
      </c>
      <c r="BA262" s="1637">
        <f t="shared" si="750"/>
        <v>2133.75</v>
      </c>
      <c r="BB262" s="1637">
        <f t="shared" si="643"/>
        <v>0</v>
      </c>
      <c r="BC262" s="1639">
        <v>0</v>
      </c>
      <c r="BD262" s="1637" t="str">
        <f t="shared" si="751"/>
        <v>0</v>
      </c>
      <c r="BE262" s="1639">
        <v>0</v>
      </c>
      <c r="BF262" s="1637">
        <f t="shared" si="702"/>
        <v>0</v>
      </c>
      <c r="BG262" s="1638">
        <v>300</v>
      </c>
      <c r="BH262" s="1638">
        <f t="shared" si="647"/>
        <v>0</v>
      </c>
      <c r="BI262" s="1628">
        <v>0</v>
      </c>
      <c r="BJ262" s="1628">
        <f t="shared" si="642"/>
        <v>0</v>
      </c>
      <c r="BK262" s="1638">
        <v>0</v>
      </c>
      <c r="BL262" s="1637">
        <f t="shared" si="696"/>
        <v>10.5</v>
      </c>
      <c r="BM262" s="1637">
        <f t="shared" si="697"/>
        <v>1.31</v>
      </c>
      <c r="BN262" s="1637">
        <f t="shared" si="644"/>
        <v>2.85</v>
      </c>
      <c r="BO262" s="1637">
        <v>0</v>
      </c>
      <c r="BP262" s="1637">
        <v>0</v>
      </c>
      <c r="BQ262" s="1643">
        <f t="shared" si="677"/>
        <v>14.66</v>
      </c>
      <c r="BR262" s="1637">
        <f t="shared" si="699"/>
        <v>23.64</v>
      </c>
      <c r="BS262" s="1637">
        <f t="shared" si="700"/>
        <v>5.25</v>
      </c>
      <c r="BT262" s="1637">
        <f t="shared" si="649"/>
        <v>5.7</v>
      </c>
      <c r="BU262" s="1637">
        <v>0</v>
      </c>
      <c r="BV262" s="1638">
        <f t="shared" si="678"/>
        <v>34.590000000000003</v>
      </c>
      <c r="BW262" s="1644">
        <f t="shared" si="679"/>
        <v>49.25</v>
      </c>
      <c r="BX262" s="1644">
        <f t="shared" si="738"/>
        <v>533.44000000000005</v>
      </c>
      <c r="BY262" s="1638">
        <v>0</v>
      </c>
      <c r="BZ262" s="1638">
        <f t="shared" si="641"/>
        <v>533.44000000000005</v>
      </c>
      <c r="CA262" s="1645">
        <f>'CONCEPTOS Y PARAMETROS'!$A$102</f>
        <v>2120</v>
      </c>
      <c r="CB262" s="1644">
        <f t="shared" si="652"/>
        <v>127.59</v>
      </c>
      <c r="CC262" s="1646">
        <f t="shared" si="653"/>
        <v>442.25</v>
      </c>
      <c r="CD262" s="1647"/>
      <c r="CE262" s="1647"/>
      <c r="CF262" s="1648"/>
      <c r="CG262" s="1649">
        <f t="shared" si="654"/>
        <v>127.59</v>
      </c>
      <c r="CH262" s="1713">
        <f t="shared" si="655"/>
        <v>300</v>
      </c>
      <c r="CI262" s="1649">
        <f t="shared" si="656"/>
        <v>442.25</v>
      </c>
      <c r="CJ262" s="1649">
        <f t="shared" si="657"/>
        <v>442.25</v>
      </c>
      <c r="CK262" s="1649">
        <f t="shared" si="658"/>
        <v>0</v>
      </c>
      <c r="CL262" s="1649">
        <f t="shared" si="659"/>
        <v>0</v>
      </c>
      <c r="CM262" s="1649">
        <f t="shared" si="660"/>
        <v>0</v>
      </c>
      <c r="CN262" s="1650">
        <f t="shared" si="661"/>
        <v>0</v>
      </c>
      <c r="CO262" s="1651">
        <v>0</v>
      </c>
      <c r="CP262" s="1650">
        <f t="shared" si="662"/>
        <v>0</v>
      </c>
      <c r="CQ262" s="1652">
        <f t="shared" si="663"/>
        <v>0</v>
      </c>
      <c r="CR262" s="1650">
        <f t="shared" si="664"/>
        <v>0</v>
      </c>
      <c r="CS262" s="1650">
        <f t="shared" si="665"/>
        <v>0</v>
      </c>
      <c r="CT262" s="1650">
        <f t="shared" si="666"/>
        <v>49.25</v>
      </c>
      <c r="CU262" s="1650">
        <f t="shared" si="667"/>
        <v>2120</v>
      </c>
      <c r="CV262" s="1653"/>
      <c r="CW262" s="1627" t="s">
        <v>7031</v>
      </c>
      <c r="CX262" s="1627" t="s">
        <v>7129</v>
      </c>
      <c r="CY262" s="1647"/>
      <c r="CZ262" s="1647" t="s">
        <v>6250</v>
      </c>
      <c r="DA262" s="1657" t="s">
        <v>6299</v>
      </c>
      <c r="DB262" s="1647" t="s">
        <v>6251</v>
      </c>
      <c r="DC262" s="1647" t="s">
        <v>6699</v>
      </c>
      <c r="DD262" s="1647"/>
      <c r="DE262" s="1647"/>
      <c r="DF262" s="1647"/>
      <c r="DG262" s="1647"/>
      <c r="DH262" s="1647"/>
      <c r="DJ262" s="1654" t="str">
        <f>VLOOKUP(X262,Hoja1!$A$4:$B$10,2,0)</f>
        <v>BACHILLER</v>
      </c>
      <c r="DK262" s="1654" t="str">
        <f>VLOOKUP(S262,Hoja1!$D$4:$F$77,3,0)</f>
        <v>BII - II</v>
      </c>
      <c r="DL262" s="1663" t="str">
        <f t="shared" si="668"/>
        <v>0</v>
      </c>
      <c r="DM262" s="1742" t="str">
        <f t="shared" si="669"/>
        <v>M</v>
      </c>
      <c r="DN262" s="1742"/>
    </row>
    <row r="263" spans="1:118" s="930" customFormat="1" ht="21.95" customHeight="1">
      <c r="A263" s="929" t="s">
        <v>2846</v>
      </c>
      <c r="B263" s="1404">
        <f t="shared" ca="1" si="479"/>
        <v>221</v>
      </c>
      <c r="C263" s="1405">
        <v>21592108</v>
      </c>
      <c r="D263" s="1406" t="s">
        <v>4682</v>
      </c>
      <c r="E263" s="1407" t="s">
        <v>4622</v>
      </c>
      <c r="F263" s="1408">
        <v>33800</v>
      </c>
      <c r="G263" s="1407" t="s">
        <v>4620</v>
      </c>
      <c r="H263" s="1408">
        <v>43024</v>
      </c>
      <c r="I263" s="1409">
        <f t="shared" si="645"/>
        <v>7</v>
      </c>
      <c r="J263" s="1410">
        <v>0</v>
      </c>
      <c r="K263" s="1409">
        <f t="shared" si="646"/>
        <v>7</v>
      </c>
      <c r="L263" s="1411" t="s">
        <v>5555</v>
      </c>
      <c r="M263" s="1410"/>
      <c r="N263" s="1410"/>
      <c r="O263" s="1034" t="s">
        <v>1926</v>
      </c>
      <c r="P263" s="1410" t="s">
        <v>5197</v>
      </c>
      <c r="Q263" s="1413" t="str">
        <f>IFERROR(VLOOKUP(O263,CARGOS!A:E,2,0),"")</f>
        <v>13361</v>
      </c>
      <c r="R263" s="1412" t="s">
        <v>5268</v>
      </c>
      <c r="S263" s="1414" t="s">
        <v>5491</v>
      </c>
      <c r="T263" s="1415">
        <v>0</v>
      </c>
      <c r="U263" s="1382">
        <v>0</v>
      </c>
      <c r="V263" s="1415">
        <f t="shared" si="739"/>
        <v>0</v>
      </c>
      <c r="W263" s="1382">
        <f t="shared" si="740"/>
        <v>0</v>
      </c>
      <c r="X263" s="1407" t="s">
        <v>2844</v>
      </c>
      <c r="Y263" s="1407"/>
      <c r="Z263" s="1407">
        <v>0</v>
      </c>
      <c r="AA263" s="1415">
        <f>ROUND(IF(H263&lt;&gt;"",VLOOKUP(SUM(I263+J263),'CONCEPTOS Y PARAMETROS'!F:G,2,0)*V263,0),2)</f>
        <v>0</v>
      </c>
      <c r="AB263" s="1415">
        <v>0</v>
      </c>
      <c r="AC263" s="1415">
        <v>0</v>
      </c>
      <c r="AD263" s="1415">
        <f>IFERROR(ROUND(VLOOKUP($X263,'CONCEPTOS Y PARAMETROS'!H:I,2,0)*($V263+AA263+AB263+AC263),2),0)</f>
        <v>0</v>
      </c>
      <c r="AE263" s="1415">
        <f t="shared" si="701"/>
        <v>0</v>
      </c>
      <c r="AF263" s="1415">
        <f t="shared" si="741"/>
        <v>0</v>
      </c>
      <c r="AG263" s="1415">
        <f t="shared" si="742"/>
        <v>0</v>
      </c>
      <c r="AH263" s="1415">
        <f t="shared" si="743"/>
        <v>0</v>
      </c>
      <c r="AI263" s="1415">
        <f t="shared" si="744"/>
        <v>0</v>
      </c>
      <c r="AJ263" s="1415">
        <f t="shared" si="745"/>
        <v>0</v>
      </c>
      <c r="AK263" s="1415">
        <f t="shared" si="746"/>
        <v>0</v>
      </c>
      <c r="AL263" s="1382">
        <f t="shared" si="747"/>
        <v>0</v>
      </c>
      <c r="AM263" s="1382">
        <f t="shared" si="748"/>
        <v>0</v>
      </c>
      <c r="AN263" s="1416">
        <v>0</v>
      </c>
      <c r="AO263" s="1417">
        <v>0</v>
      </c>
      <c r="AP263" s="1416">
        <v>0</v>
      </c>
      <c r="AQ263" s="1417">
        <f>'CONCEPTOS Y PARAMETROS'!$C$21*AP263</f>
        <v>0</v>
      </c>
      <c r="AR263" s="1418">
        <v>0</v>
      </c>
      <c r="AS263" s="1418">
        <v>0</v>
      </c>
      <c r="AT263" s="1418">
        <f t="shared" si="672"/>
        <v>0</v>
      </c>
      <c r="AU263" s="1382">
        <f t="shared" si="749"/>
        <v>0</v>
      </c>
      <c r="AV263" s="1419">
        <v>0</v>
      </c>
      <c r="AW263" s="1382">
        <f>ROUND(IF(O263="VIGILANTE",(V263+AE263)*30%,0),2)</f>
        <v>0</v>
      </c>
      <c r="AX263" s="1415">
        <f>IF(T263&lt;&gt;"0",(ROUND(IF(A263="EMPLEADO",eval_formula('CONCEPTOS Y PARAMETROS'!$C$8,NOMINA!V263,NOMINA!$AU263,NOMINA!I263+NOMINA!J263),eval_formula('CONCEPTOS Y PARAMETROS'!$D$8,NOMINA!V263,NOMINA!$AU263,NOMINA!I263+NOMINA!J263)),2))*IF(H263&lt;&gt;"",IF(MONTH(H263)=$BR$8,IF(YEAR(H263)&lt;$BT$7,1,0),0)))</f>
        <v>0</v>
      </c>
      <c r="AY263" s="1382">
        <v>180</v>
      </c>
      <c r="AZ263" s="1415">
        <f>IFERROR(VLOOKUP(AY263,'CONCEPTOS Y PARAMETROS'!Y:Z,2,0),0)</f>
        <v>150</v>
      </c>
      <c r="BA263" s="1415">
        <f t="shared" si="750"/>
        <v>0</v>
      </c>
      <c r="BB263" s="1415">
        <f t="shared" si="643"/>
        <v>0</v>
      </c>
      <c r="BC263" s="1416">
        <v>0</v>
      </c>
      <c r="BD263" s="1415" t="str">
        <f t="shared" si="751"/>
        <v>0</v>
      </c>
      <c r="BE263" s="1416">
        <v>0</v>
      </c>
      <c r="BF263" s="1415">
        <f t="shared" si="702"/>
        <v>0</v>
      </c>
      <c r="BG263" s="1382">
        <v>0</v>
      </c>
      <c r="BH263" s="1382">
        <f t="shared" si="647"/>
        <v>0</v>
      </c>
      <c r="BI263" s="1382">
        <v>0</v>
      </c>
      <c r="BJ263" s="1382">
        <f t="shared" si="642"/>
        <v>0</v>
      </c>
      <c r="BK263" s="1382">
        <v>0</v>
      </c>
      <c r="BL263" s="1415">
        <f t="shared" si="696"/>
        <v>0</v>
      </c>
      <c r="BM263" s="1415">
        <f t="shared" si="697"/>
        <v>0</v>
      </c>
      <c r="BN263" s="1415">
        <f t="shared" si="644"/>
        <v>0</v>
      </c>
      <c r="BO263" s="1415">
        <v>0</v>
      </c>
      <c r="BP263" s="1415">
        <v>0</v>
      </c>
      <c r="BQ263" s="1420">
        <f t="shared" ref="BQ263" si="780">ROUND(SUM(BL263:BP263),2)</f>
        <v>0</v>
      </c>
      <c r="BR263" s="1415">
        <f t="shared" si="699"/>
        <v>0</v>
      </c>
      <c r="BS263" s="1415">
        <f t="shared" si="700"/>
        <v>0</v>
      </c>
      <c r="BT263" s="1415">
        <f t="shared" si="649"/>
        <v>0</v>
      </c>
      <c r="BU263" s="1415">
        <v>0</v>
      </c>
      <c r="BV263" s="1415">
        <f t="shared" si="678"/>
        <v>0</v>
      </c>
      <c r="BW263" s="1470">
        <f t="shared" si="679"/>
        <v>0</v>
      </c>
      <c r="BX263" s="1379">
        <f t="shared" si="738"/>
        <v>0</v>
      </c>
      <c r="BY263" s="1382">
        <v>0</v>
      </c>
      <c r="BZ263" s="1382">
        <f t="shared" si="641"/>
        <v>0</v>
      </c>
      <c r="CA263" s="1421">
        <v>0</v>
      </c>
      <c r="CB263" s="1379">
        <f t="shared" si="652"/>
        <v>0</v>
      </c>
      <c r="CC263" s="1422">
        <f t="shared" si="653"/>
        <v>0</v>
      </c>
      <c r="CD263" s="935"/>
      <c r="CE263" s="935"/>
      <c r="CG263" s="931">
        <f t="shared" si="654"/>
        <v>0</v>
      </c>
      <c r="CH263" s="1714">
        <f t="shared" si="655"/>
        <v>0</v>
      </c>
      <c r="CI263" s="931">
        <f t="shared" si="656"/>
        <v>0</v>
      </c>
      <c r="CJ263" s="931">
        <f t="shared" si="657"/>
        <v>0</v>
      </c>
      <c r="CK263" s="931">
        <f t="shared" si="658"/>
        <v>0</v>
      </c>
      <c r="CL263" s="931">
        <f t="shared" si="659"/>
        <v>0</v>
      </c>
      <c r="CM263" s="931">
        <f t="shared" si="660"/>
        <v>0</v>
      </c>
      <c r="CN263" s="932">
        <f t="shared" si="661"/>
        <v>0</v>
      </c>
      <c r="CO263" s="933">
        <v>0</v>
      </c>
      <c r="CP263" s="932">
        <f t="shared" si="662"/>
        <v>0</v>
      </c>
      <c r="CQ263" s="934">
        <f t="shared" si="663"/>
        <v>0</v>
      </c>
      <c r="CR263" s="932">
        <f t="shared" si="664"/>
        <v>0</v>
      </c>
      <c r="CS263" s="932">
        <f t="shared" si="665"/>
        <v>0</v>
      </c>
      <c r="CT263" s="932">
        <f t="shared" si="666"/>
        <v>0</v>
      </c>
      <c r="CU263" s="932">
        <f t="shared" si="667"/>
        <v>0</v>
      </c>
      <c r="CV263" s="1557"/>
      <c r="CW263" s="1406" t="s">
        <v>7130</v>
      </c>
      <c r="CX263" s="1406" t="s">
        <v>6932</v>
      </c>
      <c r="CY263" s="935"/>
      <c r="DD263" s="935"/>
      <c r="DE263" s="935"/>
      <c r="DF263" s="935"/>
      <c r="DG263" s="935"/>
      <c r="DH263" s="935"/>
      <c r="DJ263" s="930" t="str">
        <f>VLOOKUP(X263,Hoja1!$A$4:$B$10,2,0)</f>
        <v>TÉCNICO SUPERIOR UNIVERSITARIO</v>
      </c>
      <c r="DK263" s="930" t="str">
        <f>VLOOKUP(S263,Hoja1!$D$4:$F$77,3,0)</f>
        <v>TII - III</v>
      </c>
      <c r="DL263" s="1217" t="str">
        <f t="shared" si="668"/>
        <v>0</v>
      </c>
      <c r="DM263" s="1745" t="str">
        <f t="shared" si="669"/>
        <v>F</v>
      </c>
      <c r="DN263" s="1745"/>
    </row>
    <row r="264" spans="1:118" s="473" customFormat="1" ht="21.95" customHeight="1">
      <c r="A264" s="510" t="s">
        <v>2846</v>
      </c>
      <c r="B264" s="1390">
        <f t="shared" ca="1" si="479"/>
        <v>222</v>
      </c>
      <c r="C264" s="1194">
        <v>22622493</v>
      </c>
      <c r="D264" s="1195" t="s">
        <v>4899</v>
      </c>
      <c r="E264" s="1180" t="s">
        <v>4622</v>
      </c>
      <c r="F264" s="1196">
        <v>34903</v>
      </c>
      <c r="G264" s="1180" t="s">
        <v>4620</v>
      </c>
      <c r="H264" s="1196">
        <v>44363</v>
      </c>
      <c r="I264" s="1185">
        <f t="shared" si="645"/>
        <v>3</v>
      </c>
      <c r="J264" s="1177">
        <v>0</v>
      </c>
      <c r="K264" s="1185">
        <f t="shared" si="646"/>
        <v>3</v>
      </c>
      <c r="L264" s="1191" t="s">
        <v>5542</v>
      </c>
      <c r="M264" s="1177"/>
      <c r="N264" s="1177"/>
      <c r="O264" s="1040" t="s">
        <v>5222</v>
      </c>
      <c r="P264" s="1177" t="s">
        <v>5441</v>
      </c>
      <c r="Q264" s="1391" t="str">
        <f>IFERROR(VLOOKUP(O264,CARGOS!A:E,2,0),"")</f>
        <v>79511</v>
      </c>
      <c r="R264" s="1403" t="s">
        <v>5222</v>
      </c>
      <c r="S264" s="1192" t="s">
        <v>5490</v>
      </c>
      <c r="T264" s="1150">
        <f>IFERROR(VLOOKUP(S264,'TAB EMP'!A:B,2,0),0)</f>
        <v>150</v>
      </c>
      <c r="U264" s="1151">
        <v>0</v>
      </c>
      <c r="V264" s="1150">
        <f t="shared" si="739"/>
        <v>150</v>
      </c>
      <c r="W264" s="1151">
        <f t="shared" si="740"/>
        <v>75</v>
      </c>
      <c r="X264" s="1180" t="s">
        <v>2884</v>
      </c>
      <c r="Y264" s="1180"/>
      <c r="Z264" s="1180">
        <v>2</v>
      </c>
      <c r="AA264" s="1150">
        <f>ROUND(IF(H264&lt;&gt;"",VLOOKUP(SUM(I264+J264),'CONCEPTOS Y PARAMETROS'!F:G,2,0)*V264,0),2)</f>
        <v>4.5</v>
      </c>
      <c r="AB264" s="1150">
        <f>IF(S264&lt;&gt;"",IF(M264="",'CONCEPTOS Y PARAMETROS'!$C$4,0),0)</f>
        <v>130</v>
      </c>
      <c r="AC264" s="1150">
        <f>IF(S264&lt;&gt;"",IF(M264="",'CONCEPTOS Y PARAMETROS'!$C$7*Z264,0),0)</f>
        <v>25</v>
      </c>
      <c r="AD264" s="1150">
        <f>IFERROR(ROUND(VLOOKUP($X264,'CONCEPTOS Y PARAMETROS'!H:I,2,0)*($V264+AA264+AB264+AC264),2),0)</f>
        <v>0</v>
      </c>
      <c r="AE264" s="1150">
        <f t="shared" si="701"/>
        <v>159.5</v>
      </c>
      <c r="AF264" s="1150">
        <f t="shared" si="741"/>
        <v>2.25</v>
      </c>
      <c r="AG264" s="1150">
        <f t="shared" si="742"/>
        <v>2.25</v>
      </c>
      <c r="AH264" s="1150">
        <f t="shared" si="743"/>
        <v>65</v>
      </c>
      <c r="AI264" s="1150">
        <f t="shared" si="744"/>
        <v>65</v>
      </c>
      <c r="AJ264" s="1150">
        <f t="shared" si="745"/>
        <v>0</v>
      </c>
      <c r="AK264" s="1150">
        <f t="shared" si="746"/>
        <v>0</v>
      </c>
      <c r="AL264" s="1151">
        <f t="shared" si="747"/>
        <v>92.25</v>
      </c>
      <c r="AM264" s="1151">
        <f t="shared" si="748"/>
        <v>67.25</v>
      </c>
      <c r="AN264" s="1583">
        <v>2</v>
      </c>
      <c r="AO264" s="1193">
        <f>'CONCEPTOS Y PARAMETROS'!$C$18*AN264</f>
        <v>25</v>
      </c>
      <c r="AP264" s="1028">
        <v>0</v>
      </c>
      <c r="AQ264" s="1193">
        <f>'CONCEPTOS Y PARAMETROS'!$C$21*AP264</f>
        <v>0</v>
      </c>
      <c r="AR264" s="1394">
        <v>0</v>
      </c>
      <c r="AS264" s="1394">
        <v>0</v>
      </c>
      <c r="AT264" s="1394">
        <f t="shared" si="672"/>
        <v>25</v>
      </c>
      <c r="AU264" s="1151">
        <f t="shared" si="749"/>
        <v>402.35</v>
      </c>
      <c r="AV264" s="1178" t="s">
        <v>5080</v>
      </c>
      <c r="AW264" s="1151">
        <f t="shared" si="673"/>
        <v>92.85</v>
      </c>
      <c r="AX264" s="1150">
        <f>IF(T264&lt;&gt;"0",(ROUND(IF(A264="EMPLEADO",eval_formula('CONCEPTOS Y PARAMETROS'!$C$8,NOMINA!V264,NOMINA!$AU264,NOMINA!I264+NOMINA!J264),eval_formula('CONCEPTOS Y PARAMETROS'!$D$8,NOMINA!V264,NOMINA!$AU264,NOMINA!I264+NOMINA!J264)),2))*IF(H264&lt;&gt;"",IF(MONTH(H264)=$BR$8,IF(YEAR(H264)&lt;$BT$7,1,0),0)))</f>
        <v>0</v>
      </c>
      <c r="AY264" s="1151">
        <v>180</v>
      </c>
      <c r="AZ264" s="1150">
        <f>IFERROR(VLOOKUP(AY264,'CONCEPTOS Y PARAMETROS'!Y:Z,2,0),0)</f>
        <v>150</v>
      </c>
      <c r="BA264" s="1150">
        <f t="shared" si="750"/>
        <v>3017.63</v>
      </c>
      <c r="BB264" s="1150">
        <f t="shared" si="643"/>
        <v>0</v>
      </c>
      <c r="BC264" s="1028">
        <v>0</v>
      </c>
      <c r="BD264" s="1150" t="str">
        <f t="shared" si="751"/>
        <v>0</v>
      </c>
      <c r="BE264" s="1028">
        <v>3</v>
      </c>
      <c r="BF264" s="1150">
        <f t="shared" si="702"/>
        <v>60.35</v>
      </c>
      <c r="BG264" s="1151">
        <v>300</v>
      </c>
      <c r="BH264" s="1151">
        <f t="shared" si="647"/>
        <v>0</v>
      </c>
      <c r="BI264" s="1180">
        <v>0</v>
      </c>
      <c r="BJ264" s="1180">
        <f t="shared" si="642"/>
        <v>0</v>
      </c>
      <c r="BK264" s="1151">
        <v>0</v>
      </c>
      <c r="BL264" s="1150">
        <f t="shared" si="696"/>
        <v>14.86</v>
      </c>
      <c r="BM264" s="1150">
        <f t="shared" si="697"/>
        <v>1.86</v>
      </c>
      <c r="BN264" s="1150">
        <f t="shared" si="644"/>
        <v>4.0199999999999996</v>
      </c>
      <c r="BO264" s="1150">
        <v>0</v>
      </c>
      <c r="BP264" s="1150">
        <v>0</v>
      </c>
      <c r="BQ264" s="1396">
        <f t="shared" si="677"/>
        <v>20.74</v>
      </c>
      <c r="BR264" s="1150">
        <f t="shared" si="699"/>
        <v>33.43</v>
      </c>
      <c r="BS264" s="1150">
        <f t="shared" si="700"/>
        <v>7.43</v>
      </c>
      <c r="BT264" s="1150">
        <f t="shared" si="649"/>
        <v>8.0399999999999991</v>
      </c>
      <c r="BU264" s="1150">
        <v>0</v>
      </c>
      <c r="BV264" s="1151">
        <f t="shared" si="678"/>
        <v>48.9</v>
      </c>
      <c r="BW264" s="1155">
        <f t="shared" si="679"/>
        <v>69.64</v>
      </c>
      <c r="BX264" s="1155">
        <f t="shared" si="738"/>
        <v>754.41</v>
      </c>
      <c r="BY264" s="1151">
        <v>0</v>
      </c>
      <c r="BZ264" s="1151">
        <f t="shared" si="641"/>
        <v>754.41</v>
      </c>
      <c r="CA264" s="1397">
        <f>'CONCEPTOS Y PARAMETROS'!$A$102</f>
        <v>2120</v>
      </c>
      <c r="CB264" s="1155">
        <f t="shared" si="652"/>
        <v>146.51</v>
      </c>
      <c r="CC264" s="1156">
        <f t="shared" si="653"/>
        <v>620.45000000000005</v>
      </c>
      <c r="CD264" s="514"/>
      <c r="CE264" s="514"/>
      <c r="CF264" s="520"/>
      <c r="CG264" s="497">
        <f t="shared" si="654"/>
        <v>146.51</v>
      </c>
      <c r="CH264" s="1711">
        <f t="shared" si="655"/>
        <v>300</v>
      </c>
      <c r="CI264" s="497">
        <f t="shared" si="656"/>
        <v>442.25</v>
      </c>
      <c r="CJ264" s="497">
        <f t="shared" si="657"/>
        <v>442.25</v>
      </c>
      <c r="CK264" s="497">
        <f t="shared" si="658"/>
        <v>0</v>
      </c>
      <c r="CL264" s="497">
        <f t="shared" si="659"/>
        <v>0</v>
      </c>
      <c r="CM264" s="497">
        <f t="shared" si="660"/>
        <v>0</v>
      </c>
      <c r="CN264" s="498">
        <f t="shared" si="661"/>
        <v>60.35</v>
      </c>
      <c r="CO264" s="499">
        <v>0</v>
      </c>
      <c r="CP264" s="498">
        <f t="shared" si="662"/>
        <v>92.85</v>
      </c>
      <c r="CQ264" s="500">
        <f t="shared" si="663"/>
        <v>25</v>
      </c>
      <c r="CR264" s="498">
        <f t="shared" si="664"/>
        <v>0</v>
      </c>
      <c r="CS264" s="498">
        <f t="shared" si="665"/>
        <v>178.2</v>
      </c>
      <c r="CT264" s="498">
        <f t="shared" si="666"/>
        <v>69.64</v>
      </c>
      <c r="CU264" s="498">
        <f t="shared" si="667"/>
        <v>2120</v>
      </c>
      <c r="CV264" s="1554"/>
      <c r="CW264" s="1195" t="s">
        <v>7131</v>
      </c>
      <c r="CX264" s="1195" t="s">
        <v>7132</v>
      </c>
      <c r="CY264" s="472"/>
      <c r="CZ264" s="514" t="s">
        <v>6333</v>
      </c>
      <c r="DA264" s="514" t="s">
        <v>6198</v>
      </c>
      <c r="DB264" s="1199" t="s">
        <v>6650</v>
      </c>
      <c r="DC264" s="514" t="s">
        <v>6719</v>
      </c>
      <c r="DD264" s="514"/>
      <c r="DE264" s="514"/>
      <c r="DF264" s="472"/>
      <c r="DG264" s="472"/>
      <c r="DH264" s="472"/>
      <c r="DJ264" s="473" t="str">
        <f>VLOOKUP(X264,Hoja1!$A$4:$B$10,2,0)</f>
        <v>BACHILLER</v>
      </c>
      <c r="DK264" s="473" t="str">
        <f>VLOOKUP(S264,Hoja1!$D$4:$F$77,3,0)</f>
        <v>BII - II</v>
      </c>
      <c r="DL264" s="1216" t="str">
        <f t="shared" si="668"/>
        <v>SI</v>
      </c>
      <c r="DM264" s="1741" t="str">
        <f t="shared" si="669"/>
        <v>F</v>
      </c>
      <c r="DN264" s="1741"/>
    </row>
    <row r="265" spans="1:118" s="478" customFormat="1" ht="21.95" customHeight="1">
      <c r="A265" s="510" t="s">
        <v>2846</v>
      </c>
      <c r="B265" s="1390">
        <f t="shared" ca="1" si="479"/>
        <v>223</v>
      </c>
      <c r="C265" s="1194">
        <v>23782360</v>
      </c>
      <c r="D265" s="1195" t="s">
        <v>4901</v>
      </c>
      <c r="E265" s="1180" t="s">
        <v>4622</v>
      </c>
      <c r="F265" s="1196">
        <v>26305</v>
      </c>
      <c r="G265" s="1180" t="s">
        <v>4620</v>
      </c>
      <c r="H265" s="1196">
        <v>39203</v>
      </c>
      <c r="I265" s="1185">
        <f t="shared" si="645"/>
        <v>17</v>
      </c>
      <c r="J265" s="1177">
        <v>0</v>
      </c>
      <c r="K265" s="1185">
        <f t="shared" si="646"/>
        <v>17</v>
      </c>
      <c r="L265" s="1191" t="s">
        <v>5554</v>
      </c>
      <c r="M265" s="1177"/>
      <c r="N265" s="1177"/>
      <c r="O265" s="1040" t="s">
        <v>5249</v>
      </c>
      <c r="P265" s="1177" t="s">
        <v>5442</v>
      </c>
      <c r="Q265" s="1391" t="str">
        <f>IFERROR(VLOOKUP(O265,CARGOS!A:E,2,0),"")</f>
        <v>12123</v>
      </c>
      <c r="R265" s="1403" t="s">
        <v>5249</v>
      </c>
      <c r="S265" s="1192" t="s">
        <v>5473</v>
      </c>
      <c r="T265" s="1150">
        <f>IFERROR(VLOOKUP(S265,'TAB EMP'!A:B,2,0),0)</f>
        <v>285</v>
      </c>
      <c r="U265" s="1151">
        <v>0</v>
      </c>
      <c r="V265" s="1150">
        <f t="shared" si="739"/>
        <v>285</v>
      </c>
      <c r="W265" s="1151">
        <f t="shared" si="740"/>
        <v>142.5</v>
      </c>
      <c r="X265" s="1180" t="s">
        <v>2885</v>
      </c>
      <c r="Y265" s="1180"/>
      <c r="Z265" s="1180">
        <v>0</v>
      </c>
      <c r="AA265" s="1150">
        <f>ROUND(IF(H265&lt;&gt;"",VLOOKUP(SUM(I265+J265),'CONCEPTOS Y PARAMETROS'!F:G,2,0)*V265,0),2)</f>
        <v>60.42</v>
      </c>
      <c r="AB265" s="1150">
        <f>IF(S265&lt;&gt;"",IF(M265="",'CONCEPTOS Y PARAMETROS'!$C$4,0),0)</f>
        <v>130</v>
      </c>
      <c r="AC265" s="1150">
        <f>IF(S265&lt;&gt;"",IF(M265="",'CONCEPTOS Y PARAMETROS'!$C$7*Z265,0),0)</f>
        <v>0</v>
      </c>
      <c r="AD265" s="1150">
        <f>IFERROR(ROUND(VLOOKUP($X265,'CONCEPTOS Y PARAMETROS'!H:I,2,0)*($V265+AA265+AB265+AC265),2),0)</f>
        <v>118.86</v>
      </c>
      <c r="AE265" s="1150">
        <f t="shared" si="701"/>
        <v>309.28000000000003</v>
      </c>
      <c r="AF265" s="1150">
        <f t="shared" si="741"/>
        <v>30.21</v>
      </c>
      <c r="AG265" s="1150">
        <f t="shared" si="742"/>
        <v>30.21</v>
      </c>
      <c r="AH265" s="1150">
        <f t="shared" si="743"/>
        <v>65</v>
      </c>
      <c r="AI265" s="1150">
        <f t="shared" si="744"/>
        <v>65</v>
      </c>
      <c r="AJ265" s="1150">
        <f t="shared" si="745"/>
        <v>59.43</v>
      </c>
      <c r="AK265" s="1150">
        <f t="shared" si="746"/>
        <v>59.43</v>
      </c>
      <c r="AL265" s="1151">
        <f t="shared" si="747"/>
        <v>154.63999999999999</v>
      </c>
      <c r="AM265" s="1151">
        <f t="shared" si="748"/>
        <v>154.63999999999999</v>
      </c>
      <c r="AN265" s="1028">
        <v>0</v>
      </c>
      <c r="AO265" s="1193">
        <f>'CONCEPTOS Y PARAMETROS'!$C$18*AN265</f>
        <v>0</v>
      </c>
      <c r="AP265" s="1028">
        <v>0</v>
      </c>
      <c r="AQ265" s="1193">
        <f>'CONCEPTOS Y PARAMETROS'!$C$21*AP265</f>
        <v>0</v>
      </c>
      <c r="AR265" s="1394">
        <v>0</v>
      </c>
      <c r="AS265" s="1394">
        <v>0</v>
      </c>
      <c r="AT265" s="1394">
        <f t="shared" si="672"/>
        <v>0</v>
      </c>
      <c r="AU265" s="1151">
        <f t="shared" si="749"/>
        <v>594.28</v>
      </c>
      <c r="AV265" s="1178">
        <v>0</v>
      </c>
      <c r="AW265" s="1151">
        <f t="shared" si="673"/>
        <v>0</v>
      </c>
      <c r="AX265" s="1150">
        <f>IF(T265&lt;&gt;"0",(ROUND(IF(A265="EMPLEADO",eval_formula('CONCEPTOS Y PARAMETROS'!$C$8,NOMINA!V265,NOMINA!$AU265,NOMINA!I265+NOMINA!J265),eval_formula('CONCEPTOS Y PARAMETROS'!$D$8,NOMINA!V265,NOMINA!$AU265,NOMINA!I265+NOMINA!J265)),2))*IF(H265&lt;&gt;"",IF(MONTH(H265)=$BR$8,IF(YEAR(H265)&lt;$BT$7,1,0),0)))</f>
        <v>0</v>
      </c>
      <c r="AY265" s="1151">
        <v>180</v>
      </c>
      <c r="AZ265" s="1150">
        <f>IFERROR(VLOOKUP(AY265,'CONCEPTOS Y PARAMETROS'!Y:Z,2,0),0)</f>
        <v>150</v>
      </c>
      <c r="BA265" s="1150">
        <f t="shared" si="750"/>
        <v>4457.1000000000004</v>
      </c>
      <c r="BB265" s="1150">
        <f t="shared" si="643"/>
        <v>0</v>
      </c>
      <c r="BC265" s="1028">
        <v>0</v>
      </c>
      <c r="BD265" s="1150" t="str">
        <f t="shared" si="751"/>
        <v>0</v>
      </c>
      <c r="BE265" s="1028">
        <v>0</v>
      </c>
      <c r="BF265" s="1150">
        <f t="shared" si="702"/>
        <v>0</v>
      </c>
      <c r="BG265" s="1151">
        <v>300</v>
      </c>
      <c r="BH265" s="1151">
        <f t="shared" si="647"/>
        <v>0</v>
      </c>
      <c r="BI265" s="1180">
        <v>0</v>
      </c>
      <c r="BJ265" s="1180">
        <f t="shared" si="642"/>
        <v>0</v>
      </c>
      <c r="BK265" s="1151">
        <v>0</v>
      </c>
      <c r="BL265" s="1150">
        <f t="shared" si="696"/>
        <v>21.94</v>
      </c>
      <c r="BM265" s="1150">
        <f t="shared" si="697"/>
        <v>2.74</v>
      </c>
      <c r="BN265" s="1150">
        <f t="shared" si="644"/>
        <v>5.94</v>
      </c>
      <c r="BO265" s="1150">
        <v>0</v>
      </c>
      <c r="BP265" s="1150">
        <v>0</v>
      </c>
      <c r="BQ265" s="1396">
        <f t="shared" si="677"/>
        <v>30.62</v>
      </c>
      <c r="BR265" s="1150">
        <f t="shared" si="699"/>
        <v>49.37</v>
      </c>
      <c r="BS265" s="1150">
        <f t="shared" si="700"/>
        <v>10.97</v>
      </c>
      <c r="BT265" s="1150">
        <f t="shared" si="649"/>
        <v>11.88</v>
      </c>
      <c r="BU265" s="1150">
        <v>0</v>
      </c>
      <c r="BV265" s="1151">
        <f t="shared" si="678"/>
        <v>72.22</v>
      </c>
      <c r="BW265" s="1155">
        <f t="shared" si="679"/>
        <v>102.84</v>
      </c>
      <c r="BX265" s="1155">
        <f t="shared" si="738"/>
        <v>1114.28</v>
      </c>
      <c r="BY265" s="1151">
        <v>0</v>
      </c>
      <c r="BZ265" s="1151">
        <f t="shared" si="641"/>
        <v>1114.28</v>
      </c>
      <c r="CA265" s="1397">
        <v>0</v>
      </c>
      <c r="CB265" s="1155">
        <f t="shared" si="652"/>
        <v>266.52</v>
      </c>
      <c r="CC265" s="1156">
        <f t="shared" si="653"/>
        <v>597.14</v>
      </c>
      <c r="CD265" s="514"/>
      <c r="CE265" s="514"/>
      <c r="CF265" s="520"/>
      <c r="CG265" s="497">
        <f t="shared" si="654"/>
        <v>266.52</v>
      </c>
      <c r="CH265" s="1711">
        <f t="shared" si="655"/>
        <v>300</v>
      </c>
      <c r="CI265" s="497">
        <f t="shared" si="656"/>
        <v>597.14</v>
      </c>
      <c r="CJ265" s="497">
        <f t="shared" si="657"/>
        <v>286.63</v>
      </c>
      <c r="CK265" s="497">
        <f t="shared" si="658"/>
        <v>310.51</v>
      </c>
      <c r="CL265" s="497">
        <f t="shared" si="659"/>
        <v>0</v>
      </c>
      <c r="CM265" s="497">
        <f t="shared" si="660"/>
        <v>0</v>
      </c>
      <c r="CN265" s="498">
        <f t="shared" si="661"/>
        <v>0</v>
      </c>
      <c r="CO265" s="499">
        <v>0</v>
      </c>
      <c r="CP265" s="498">
        <f t="shared" si="662"/>
        <v>0</v>
      </c>
      <c r="CQ265" s="500">
        <f t="shared" si="663"/>
        <v>0</v>
      </c>
      <c r="CR265" s="498">
        <f t="shared" si="664"/>
        <v>0</v>
      </c>
      <c r="CS265" s="498">
        <f t="shared" si="665"/>
        <v>0</v>
      </c>
      <c r="CT265" s="498">
        <f t="shared" si="666"/>
        <v>102.84</v>
      </c>
      <c r="CU265" s="498">
        <f t="shared" si="667"/>
        <v>0</v>
      </c>
      <c r="CV265" s="1554"/>
      <c r="CW265" s="1195" t="s">
        <v>7049</v>
      </c>
      <c r="CX265" s="1195" t="s">
        <v>7133</v>
      </c>
      <c r="CY265" s="472"/>
      <c r="CZ265" s="1199" t="s">
        <v>6668</v>
      </c>
      <c r="DA265" s="514" t="s">
        <v>6175</v>
      </c>
      <c r="DB265" s="514" t="s">
        <v>6414</v>
      </c>
      <c r="DC265" s="514" t="s">
        <v>6415</v>
      </c>
      <c r="DD265" s="514"/>
      <c r="DE265" s="514"/>
      <c r="DF265" s="472"/>
      <c r="DG265" s="472"/>
      <c r="DH265" s="472"/>
      <c r="DI265" s="473"/>
      <c r="DJ265" s="473" t="str">
        <f>VLOOKUP(X265,Hoja1!$A$4:$B$10,2,0)</f>
        <v>PROFESIONAL</v>
      </c>
      <c r="DK265" s="473" t="str">
        <f>VLOOKUP(S265,Hoja1!$D$4:$F$77,3,0)</f>
        <v>PII - VI</v>
      </c>
      <c r="DL265" s="1216" t="str">
        <f t="shared" si="668"/>
        <v>0</v>
      </c>
      <c r="DM265" s="1741" t="str">
        <f t="shared" si="669"/>
        <v>F</v>
      </c>
      <c r="DN265" s="1741"/>
    </row>
    <row r="266" spans="1:118" s="1654" customFormat="1" ht="21.95" customHeight="1">
      <c r="A266" s="1624" t="s">
        <v>2846</v>
      </c>
      <c r="B266" s="1625">
        <f t="shared" ca="1" si="479"/>
        <v>224</v>
      </c>
      <c r="C266" s="1626">
        <v>23960738</v>
      </c>
      <c r="D266" s="1627" t="s">
        <v>4902</v>
      </c>
      <c r="E266" s="1628" t="s">
        <v>4622</v>
      </c>
      <c r="F266" s="1629">
        <v>35178</v>
      </c>
      <c r="G266" s="1628" t="s">
        <v>4620</v>
      </c>
      <c r="H266" s="1629">
        <v>43497</v>
      </c>
      <c r="I266" s="1630">
        <f t="shared" si="645"/>
        <v>5</v>
      </c>
      <c r="J266" s="1631">
        <v>0</v>
      </c>
      <c r="K266" s="1630">
        <f t="shared" si="646"/>
        <v>5</v>
      </c>
      <c r="L266" s="1632" t="s">
        <v>5557</v>
      </c>
      <c r="M266" s="1631"/>
      <c r="N266" s="1631"/>
      <c r="O266" s="1633" t="s">
        <v>5272</v>
      </c>
      <c r="P266" s="1631" t="s">
        <v>5443</v>
      </c>
      <c r="Q266" s="1634" t="str">
        <f>IFERROR(VLOOKUP(O266,CARGOS!A:E,2,0),"")</f>
        <v>36322</v>
      </c>
      <c r="R266" s="1635" t="s">
        <v>5272</v>
      </c>
      <c r="S266" s="1636" t="s">
        <v>5480</v>
      </c>
      <c r="T266" s="1637">
        <f>IFERROR(VLOOKUP(S266,'TAB EMP'!A:B,2,0),0)</f>
        <v>277</v>
      </c>
      <c r="U266" s="1638">
        <v>0</v>
      </c>
      <c r="V266" s="1637">
        <f t="shared" si="739"/>
        <v>277</v>
      </c>
      <c r="W266" s="1638">
        <f t="shared" si="740"/>
        <v>138.5</v>
      </c>
      <c r="X266" s="1628" t="s">
        <v>2885</v>
      </c>
      <c r="Y266" s="1628"/>
      <c r="Z266" s="1628">
        <v>0</v>
      </c>
      <c r="AA266" s="1637">
        <f>ROUND(IF(H266&lt;&gt;"",VLOOKUP(SUM(I266+J266),'CONCEPTOS Y PARAMETROS'!F:G,2,0)*V266,0),2)</f>
        <v>13.85</v>
      </c>
      <c r="AB266" s="1637">
        <f>IF(S266&lt;&gt;"",IF(M266="",'CONCEPTOS Y PARAMETROS'!$C$4,0),0)</f>
        <v>130</v>
      </c>
      <c r="AC266" s="1637">
        <f>IF(S266&lt;&gt;"",IF(M266="",'CONCEPTOS Y PARAMETROS'!$C$7*Z266,0),0)</f>
        <v>0</v>
      </c>
      <c r="AD266" s="1637">
        <f>IFERROR(ROUND(VLOOKUP($X266,'CONCEPTOS Y PARAMETROS'!H:I,2,0)*($V266+AA266+AB266+AC266),2),0)</f>
        <v>105.21</v>
      </c>
      <c r="AE266" s="1637">
        <f t="shared" si="701"/>
        <v>249.06</v>
      </c>
      <c r="AF266" s="1637">
        <f t="shared" si="741"/>
        <v>6.93</v>
      </c>
      <c r="AG266" s="1637">
        <f t="shared" si="742"/>
        <v>6.92</v>
      </c>
      <c r="AH266" s="1637">
        <f t="shared" si="743"/>
        <v>65</v>
      </c>
      <c r="AI266" s="1637">
        <f t="shared" si="744"/>
        <v>65</v>
      </c>
      <c r="AJ266" s="1637">
        <f t="shared" si="745"/>
        <v>52.61</v>
      </c>
      <c r="AK266" s="1637">
        <f t="shared" si="746"/>
        <v>52.6</v>
      </c>
      <c r="AL266" s="1638">
        <f t="shared" si="747"/>
        <v>124.54</v>
      </c>
      <c r="AM266" s="1638">
        <f t="shared" si="748"/>
        <v>124.52</v>
      </c>
      <c r="AN266" s="1639">
        <v>0</v>
      </c>
      <c r="AO266" s="1640">
        <f>'CONCEPTOS Y PARAMETROS'!$C$18*AN266</f>
        <v>0</v>
      </c>
      <c r="AP266" s="1639">
        <v>0</v>
      </c>
      <c r="AQ266" s="1640">
        <f>'CONCEPTOS Y PARAMETROS'!$C$21*AP266</f>
        <v>0</v>
      </c>
      <c r="AR266" s="1641">
        <v>0</v>
      </c>
      <c r="AS266" s="1641">
        <v>0</v>
      </c>
      <c r="AT266" s="1641">
        <f t="shared" si="672"/>
        <v>0</v>
      </c>
      <c r="AU266" s="1638">
        <f t="shared" si="749"/>
        <v>526.05999999999995</v>
      </c>
      <c r="AV266" s="1642">
        <v>0</v>
      </c>
      <c r="AW266" s="1638">
        <f t="shared" si="673"/>
        <v>0</v>
      </c>
      <c r="AX266" s="1637">
        <f>IF(T266&lt;&gt;"0",(ROUND(IF(A266="EMPLEADO",eval_formula('CONCEPTOS Y PARAMETROS'!$C$8,NOMINA!V266,NOMINA!$AU266,NOMINA!I266+NOMINA!J266),eval_formula('CONCEPTOS Y PARAMETROS'!$D$8,NOMINA!V266,NOMINA!$AU266,NOMINA!I266+NOMINA!J266)),2))*IF(H266&lt;&gt;"",IF(MONTH(H266)=$BR$8,IF(YEAR(H266)&lt;$BT$7,1,0),0)))</f>
        <v>0</v>
      </c>
      <c r="AY266" s="1638">
        <v>180</v>
      </c>
      <c r="AZ266" s="1637">
        <f>IFERROR(VLOOKUP(AY266,'CONCEPTOS Y PARAMETROS'!Y:Z,2,0),0)</f>
        <v>150</v>
      </c>
      <c r="BA266" s="1637">
        <f t="shared" si="750"/>
        <v>3945.45</v>
      </c>
      <c r="BB266" s="1637">
        <f t="shared" si="643"/>
        <v>0</v>
      </c>
      <c r="BC266" s="1639">
        <v>0</v>
      </c>
      <c r="BD266" s="1637" t="str">
        <f t="shared" si="751"/>
        <v>0</v>
      </c>
      <c r="BE266" s="1639">
        <v>0</v>
      </c>
      <c r="BF266" s="1637">
        <f t="shared" si="702"/>
        <v>0</v>
      </c>
      <c r="BG266" s="1638">
        <v>300</v>
      </c>
      <c r="BH266" s="1638">
        <f t="shared" si="647"/>
        <v>0</v>
      </c>
      <c r="BI266" s="1628">
        <v>0</v>
      </c>
      <c r="BJ266" s="1628">
        <f t="shared" si="642"/>
        <v>0</v>
      </c>
      <c r="BK266" s="1638">
        <v>0</v>
      </c>
      <c r="BL266" s="1637">
        <f t="shared" si="696"/>
        <v>19.420000000000002</v>
      </c>
      <c r="BM266" s="1637">
        <f t="shared" si="697"/>
        <v>2.4300000000000002</v>
      </c>
      <c r="BN266" s="1637">
        <f t="shared" si="644"/>
        <v>5.26</v>
      </c>
      <c r="BO266" s="1637">
        <v>0</v>
      </c>
      <c r="BP266" s="1637">
        <v>0</v>
      </c>
      <c r="BQ266" s="1643">
        <f t="shared" si="677"/>
        <v>27.11</v>
      </c>
      <c r="BR266" s="1637">
        <f t="shared" si="699"/>
        <v>43.7</v>
      </c>
      <c r="BS266" s="1637">
        <f t="shared" si="700"/>
        <v>9.7100000000000009</v>
      </c>
      <c r="BT266" s="1637">
        <f t="shared" si="649"/>
        <v>10.52</v>
      </c>
      <c r="BU266" s="1637">
        <v>0</v>
      </c>
      <c r="BV266" s="1638">
        <f t="shared" si="678"/>
        <v>63.93</v>
      </c>
      <c r="BW266" s="1644">
        <f t="shared" si="679"/>
        <v>91.039999999999992</v>
      </c>
      <c r="BX266" s="1644">
        <f t="shared" si="738"/>
        <v>986.36</v>
      </c>
      <c r="BY266" s="1638">
        <v>0</v>
      </c>
      <c r="BZ266" s="1638">
        <f t="shared" si="641"/>
        <v>986.36</v>
      </c>
      <c r="CA266" s="1645">
        <f>'CONCEPTOS Y PARAMETROS'!$A$102</f>
        <v>2120</v>
      </c>
      <c r="CB266" s="1644">
        <f t="shared" si="652"/>
        <v>235.93</v>
      </c>
      <c r="CC266" s="1646">
        <f t="shared" si="653"/>
        <v>563.02</v>
      </c>
      <c r="CD266" s="1647"/>
      <c r="CE266" s="1647"/>
      <c r="CF266" s="1648"/>
      <c r="CG266" s="1649">
        <f t="shared" si="654"/>
        <v>235.93</v>
      </c>
      <c r="CH266" s="1713">
        <f t="shared" si="655"/>
        <v>300</v>
      </c>
      <c r="CI266" s="1649">
        <f t="shared" si="656"/>
        <v>563.02</v>
      </c>
      <c r="CJ266" s="1649">
        <f t="shared" si="657"/>
        <v>270.25</v>
      </c>
      <c r="CK266" s="1649">
        <f t="shared" si="658"/>
        <v>292.77</v>
      </c>
      <c r="CL266" s="1649">
        <f t="shared" si="659"/>
        <v>0</v>
      </c>
      <c r="CM266" s="1649">
        <f t="shared" si="660"/>
        <v>0</v>
      </c>
      <c r="CN266" s="1650">
        <f t="shared" si="661"/>
        <v>0</v>
      </c>
      <c r="CO266" s="1651">
        <v>0</v>
      </c>
      <c r="CP266" s="1650">
        <f t="shared" si="662"/>
        <v>0</v>
      </c>
      <c r="CQ266" s="1652">
        <f t="shared" si="663"/>
        <v>0</v>
      </c>
      <c r="CR266" s="1650">
        <f t="shared" si="664"/>
        <v>0</v>
      </c>
      <c r="CS266" s="1650">
        <f t="shared" si="665"/>
        <v>0</v>
      </c>
      <c r="CT266" s="1650">
        <f t="shared" si="666"/>
        <v>91.039999999999992</v>
      </c>
      <c r="CU266" s="1650">
        <f t="shared" si="667"/>
        <v>2120</v>
      </c>
      <c r="CV266" s="1653"/>
      <c r="CW266" s="1627" t="s">
        <v>7134</v>
      </c>
      <c r="CX266" s="1627" t="s">
        <v>6935</v>
      </c>
      <c r="CY266" s="1647"/>
      <c r="CZ266" s="1647" t="s">
        <v>6231</v>
      </c>
      <c r="DA266" s="1647" t="s">
        <v>6221</v>
      </c>
      <c r="DB266" s="1647" t="s">
        <v>6222</v>
      </c>
      <c r="DC266" s="1647" t="s">
        <v>6720</v>
      </c>
      <c r="DD266" s="1647"/>
      <c r="DE266" s="1647"/>
      <c r="DF266" s="1647"/>
      <c r="DG266" s="1647"/>
      <c r="DH266" s="1647"/>
      <c r="DJ266" s="1654" t="str">
        <f>VLOOKUP(X266,Hoja1!$A$4:$B$10,2,0)</f>
        <v>PROFESIONAL</v>
      </c>
      <c r="DK266" s="1654" t="str">
        <f>VLOOKUP(S266,Hoja1!$D$4:$F$77,3,0)</f>
        <v>PII - II</v>
      </c>
      <c r="DL266" s="1663" t="str">
        <f t="shared" si="668"/>
        <v>0</v>
      </c>
      <c r="DM266" s="1742" t="str">
        <f t="shared" si="669"/>
        <v>F</v>
      </c>
      <c r="DN266" s="1742"/>
    </row>
    <row r="267" spans="1:118" s="473" customFormat="1" ht="21.95" customHeight="1">
      <c r="A267" s="510" t="s">
        <v>2846</v>
      </c>
      <c r="B267" s="1390">
        <f t="shared" ca="1" si="479"/>
        <v>225</v>
      </c>
      <c r="C267" s="1194">
        <v>24135378</v>
      </c>
      <c r="D267" s="1195" t="s">
        <v>4903</v>
      </c>
      <c r="E267" s="1180" t="s">
        <v>4622</v>
      </c>
      <c r="F267" s="1196">
        <v>34213</v>
      </c>
      <c r="G267" s="1180" t="s">
        <v>4620</v>
      </c>
      <c r="H267" s="1196">
        <v>43862</v>
      </c>
      <c r="I267" s="1185">
        <f t="shared" si="645"/>
        <v>4</v>
      </c>
      <c r="J267" s="1177">
        <v>0</v>
      </c>
      <c r="K267" s="1185">
        <f t="shared" si="646"/>
        <v>4</v>
      </c>
      <c r="L267" s="1191" t="s">
        <v>5542</v>
      </c>
      <c r="M267" s="1177"/>
      <c r="N267" s="1177"/>
      <c r="O267" s="1040" t="s">
        <v>5223</v>
      </c>
      <c r="P267" s="1177" t="s">
        <v>5444</v>
      </c>
      <c r="Q267" s="1391" t="str">
        <f>IFERROR(VLOOKUP(O267,CARGOS!A:E,2,0),"")</f>
        <v>12114</v>
      </c>
      <c r="R267" s="1403" t="s">
        <v>5223</v>
      </c>
      <c r="S267" s="1192" t="s">
        <v>5480</v>
      </c>
      <c r="T267" s="1150">
        <f>IFERROR(VLOOKUP(S267,'TAB EMP'!A:B,2,0),0)</f>
        <v>277</v>
      </c>
      <c r="U267" s="1151">
        <v>0</v>
      </c>
      <c r="V267" s="1150">
        <f t="shared" si="739"/>
        <v>277</v>
      </c>
      <c r="W267" s="1151">
        <f t="shared" si="740"/>
        <v>138.5</v>
      </c>
      <c r="X267" s="1180" t="s">
        <v>2885</v>
      </c>
      <c r="Y267" s="1180"/>
      <c r="Z267" s="1180">
        <v>2</v>
      </c>
      <c r="AA267" s="1150">
        <f>ROUND(IF(H267&lt;&gt;"",VLOOKUP(SUM(I267+J267),'CONCEPTOS Y PARAMETROS'!F:G,2,0)*V267,0),2)</f>
        <v>11.08</v>
      </c>
      <c r="AB267" s="1150">
        <f>IF(S267&lt;&gt;"",IF(M267="",'CONCEPTOS Y PARAMETROS'!$C$4,0),0)</f>
        <v>130</v>
      </c>
      <c r="AC267" s="1150">
        <f>IF(S267&lt;&gt;"",IF(M267="",'CONCEPTOS Y PARAMETROS'!$C$7*Z267,0),0)</f>
        <v>25</v>
      </c>
      <c r="AD267" s="1150">
        <f>IFERROR(ROUND(VLOOKUP($X267,'CONCEPTOS Y PARAMETROS'!H:I,2,0)*($V267+AA267+AB267+AC267),2),0)</f>
        <v>110.77</v>
      </c>
      <c r="AE267" s="1150">
        <f t="shared" si="701"/>
        <v>276.85000000000002</v>
      </c>
      <c r="AF267" s="1150">
        <f t="shared" si="741"/>
        <v>5.54</v>
      </c>
      <c r="AG267" s="1150">
        <f t="shared" si="742"/>
        <v>5.54</v>
      </c>
      <c r="AH267" s="1150">
        <f t="shared" si="743"/>
        <v>65</v>
      </c>
      <c r="AI267" s="1150">
        <f t="shared" si="744"/>
        <v>65</v>
      </c>
      <c r="AJ267" s="1150">
        <f t="shared" si="745"/>
        <v>55.39</v>
      </c>
      <c r="AK267" s="1150">
        <f t="shared" si="746"/>
        <v>55.38</v>
      </c>
      <c r="AL267" s="1151">
        <f t="shared" si="747"/>
        <v>150.93</v>
      </c>
      <c r="AM267" s="1151">
        <f t="shared" si="748"/>
        <v>125.92</v>
      </c>
      <c r="AN267" s="1583">
        <v>1</v>
      </c>
      <c r="AO267" s="1193">
        <f>'CONCEPTOS Y PARAMETROS'!$C$18*AN267</f>
        <v>12.5</v>
      </c>
      <c r="AP267" s="1028">
        <v>0</v>
      </c>
      <c r="AQ267" s="1193">
        <f>'CONCEPTOS Y PARAMETROS'!$C$21*AP267</f>
        <v>0</v>
      </c>
      <c r="AR267" s="1394">
        <v>0</v>
      </c>
      <c r="AS267" s="1394">
        <v>0</v>
      </c>
      <c r="AT267" s="1394">
        <f t="shared" si="672"/>
        <v>12.5</v>
      </c>
      <c r="AU267" s="1151">
        <f t="shared" si="749"/>
        <v>553.85</v>
      </c>
      <c r="AV267" s="1178">
        <v>0</v>
      </c>
      <c r="AW267" s="1151">
        <f t="shared" si="673"/>
        <v>0</v>
      </c>
      <c r="AX267" s="1150">
        <f>IF(T267&lt;&gt;"0",(ROUND(IF(A267="EMPLEADO",eval_formula('CONCEPTOS Y PARAMETROS'!$C$8,NOMINA!V267,NOMINA!$AU267,NOMINA!I267+NOMINA!J267),eval_formula('CONCEPTOS Y PARAMETROS'!$D$8,NOMINA!V267,NOMINA!$AU267,NOMINA!I267+NOMINA!J267)),2))*IF(H267&lt;&gt;"",IF(MONTH(H267)=$BR$8,IF(YEAR(H267)&lt;$BT$7,1,0),0)))</f>
        <v>0</v>
      </c>
      <c r="AY267" s="1151">
        <v>180</v>
      </c>
      <c r="AZ267" s="1150">
        <f>IFERROR(VLOOKUP(AY267,'CONCEPTOS Y PARAMETROS'!Y:Z,2,0),0)</f>
        <v>150</v>
      </c>
      <c r="BA267" s="1150">
        <f t="shared" si="750"/>
        <v>4153.88</v>
      </c>
      <c r="BB267" s="1150">
        <f t="shared" si="643"/>
        <v>0</v>
      </c>
      <c r="BC267" s="1028">
        <v>0</v>
      </c>
      <c r="BD267" s="1150" t="str">
        <f t="shared" si="751"/>
        <v>0</v>
      </c>
      <c r="BE267" s="1028">
        <v>0</v>
      </c>
      <c r="BF267" s="1150">
        <f t="shared" si="702"/>
        <v>0</v>
      </c>
      <c r="BG267" s="1151">
        <v>300</v>
      </c>
      <c r="BH267" s="1151">
        <f t="shared" si="647"/>
        <v>0</v>
      </c>
      <c r="BI267" s="1180">
        <v>0</v>
      </c>
      <c r="BJ267" s="1180">
        <f t="shared" si="642"/>
        <v>0</v>
      </c>
      <c r="BK267" s="1151">
        <v>0</v>
      </c>
      <c r="BL267" s="1150">
        <f t="shared" si="696"/>
        <v>20.45</v>
      </c>
      <c r="BM267" s="1150">
        <f t="shared" si="697"/>
        <v>2.56</v>
      </c>
      <c r="BN267" s="1150">
        <f t="shared" si="644"/>
        <v>5.54</v>
      </c>
      <c r="BO267" s="1150">
        <v>0</v>
      </c>
      <c r="BP267" s="1150">
        <v>0</v>
      </c>
      <c r="BQ267" s="1396">
        <f t="shared" si="677"/>
        <v>28.55</v>
      </c>
      <c r="BR267" s="1150">
        <f t="shared" si="699"/>
        <v>46.01</v>
      </c>
      <c r="BS267" s="1150">
        <f t="shared" si="700"/>
        <v>10.220000000000001</v>
      </c>
      <c r="BT267" s="1150">
        <f t="shared" si="649"/>
        <v>11.08</v>
      </c>
      <c r="BU267" s="1150">
        <v>0</v>
      </c>
      <c r="BV267" s="1151">
        <f t="shared" si="678"/>
        <v>67.31</v>
      </c>
      <c r="BW267" s="1155">
        <f t="shared" si="679"/>
        <v>95.86</v>
      </c>
      <c r="BX267" s="1155">
        <f t="shared" si="738"/>
        <v>1038.47</v>
      </c>
      <c r="BY267" s="1151">
        <v>0</v>
      </c>
      <c r="BZ267" s="1151">
        <f t="shared" si="641"/>
        <v>1038.47</v>
      </c>
      <c r="CA267" s="1397">
        <f>'CONCEPTOS Y PARAMETROS'!$A$102</f>
        <v>2120</v>
      </c>
      <c r="CB267" s="1155">
        <f t="shared" si="652"/>
        <v>260.88</v>
      </c>
      <c r="CC267" s="1156">
        <f t="shared" si="653"/>
        <v>576.91999999999996</v>
      </c>
      <c r="CD267" s="514"/>
      <c r="CE267" s="514"/>
      <c r="CF267" s="520"/>
      <c r="CG267" s="497">
        <f t="shared" si="654"/>
        <v>260.88</v>
      </c>
      <c r="CH267" s="1711">
        <f t="shared" si="655"/>
        <v>300</v>
      </c>
      <c r="CI267" s="497">
        <f t="shared" si="656"/>
        <v>564.42000000000007</v>
      </c>
      <c r="CJ267" s="497">
        <f t="shared" si="657"/>
        <v>270.92</v>
      </c>
      <c r="CK267" s="497">
        <f t="shared" si="658"/>
        <v>293.50000000000006</v>
      </c>
      <c r="CL267" s="497">
        <f t="shared" si="659"/>
        <v>0</v>
      </c>
      <c r="CM267" s="497">
        <f t="shared" si="660"/>
        <v>0</v>
      </c>
      <c r="CN267" s="498">
        <f t="shared" si="661"/>
        <v>0</v>
      </c>
      <c r="CO267" s="499">
        <v>0</v>
      </c>
      <c r="CP267" s="498">
        <f t="shared" si="662"/>
        <v>0</v>
      </c>
      <c r="CQ267" s="500">
        <f t="shared" si="663"/>
        <v>12.5</v>
      </c>
      <c r="CR267" s="498">
        <f t="shared" si="664"/>
        <v>0</v>
      </c>
      <c r="CS267" s="498">
        <f t="shared" si="665"/>
        <v>12.5</v>
      </c>
      <c r="CT267" s="498">
        <f t="shared" si="666"/>
        <v>95.86</v>
      </c>
      <c r="CU267" s="498">
        <f t="shared" si="667"/>
        <v>2120</v>
      </c>
      <c r="CV267" s="1554"/>
      <c r="CW267" s="1195" t="s">
        <v>7014</v>
      </c>
      <c r="CX267" s="1195" t="s">
        <v>7135</v>
      </c>
      <c r="CY267" s="472"/>
      <c r="CZ267" s="514" t="s">
        <v>6334</v>
      </c>
      <c r="DA267" s="514" t="s">
        <v>6198</v>
      </c>
      <c r="DB267" s="514" t="s">
        <v>6199</v>
      </c>
      <c r="DC267" s="514" t="s">
        <v>6200</v>
      </c>
      <c r="DD267" s="514"/>
      <c r="DE267" s="514"/>
      <c r="DF267" s="472"/>
      <c r="DG267" s="472"/>
      <c r="DH267" s="472"/>
      <c r="DJ267" s="473" t="str">
        <f>VLOOKUP(X267,Hoja1!$A$4:$B$10,2,0)</f>
        <v>PROFESIONAL</v>
      </c>
      <c r="DK267" s="473" t="str">
        <f>VLOOKUP(S267,Hoja1!$D$4:$F$77,3,0)</f>
        <v>PII - II</v>
      </c>
      <c r="DL267" s="1216" t="str">
        <f t="shared" si="668"/>
        <v>0</v>
      </c>
      <c r="DM267" s="1741" t="str">
        <f t="shared" si="669"/>
        <v>F</v>
      </c>
      <c r="DN267" s="1741"/>
    </row>
    <row r="268" spans="1:118" s="473" customFormat="1" ht="21.95" customHeight="1">
      <c r="A268" s="510" t="s">
        <v>2846</v>
      </c>
      <c r="B268" s="1390">
        <f t="shared" ca="1" si="479"/>
        <v>226</v>
      </c>
      <c r="C268" s="1194">
        <v>24136795</v>
      </c>
      <c r="D268" s="1195" t="s">
        <v>4905</v>
      </c>
      <c r="E268" s="1180" t="s">
        <v>4622</v>
      </c>
      <c r="F268" s="1196">
        <v>34676</v>
      </c>
      <c r="G268" s="1180" t="s">
        <v>4621</v>
      </c>
      <c r="H268" s="1196">
        <v>44600</v>
      </c>
      <c r="I268" s="1185">
        <f t="shared" si="645"/>
        <v>2</v>
      </c>
      <c r="J268" s="1177">
        <v>0</v>
      </c>
      <c r="K268" s="1185">
        <f t="shared" si="646"/>
        <v>2</v>
      </c>
      <c r="L268" s="1191" t="s">
        <v>5544</v>
      </c>
      <c r="M268" s="1177"/>
      <c r="N268" s="1177"/>
      <c r="O268" s="1040" t="s">
        <v>5270</v>
      </c>
      <c r="P268" s="1177" t="s">
        <v>5445</v>
      </c>
      <c r="Q268" s="1391" t="str">
        <f>IFERROR(VLOOKUP(O268,CARGOS!A:E,2,0),"")</f>
        <v>34232</v>
      </c>
      <c r="R268" s="1403" t="s">
        <v>5270</v>
      </c>
      <c r="S268" s="1192" t="s">
        <v>5483</v>
      </c>
      <c r="T268" s="1150">
        <f>IFERROR(VLOOKUP(S268,'TAB EMP'!A:B,2,0),0)</f>
        <v>130</v>
      </c>
      <c r="U268" s="1151">
        <v>0</v>
      </c>
      <c r="V268" s="1150">
        <f t="shared" si="739"/>
        <v>130</v>
      </c>
      <c r="W268" s="1151">
        <f t="shared" si="740"/>
        <v>65</v>
      </c>
      <c r="X268" s="1180" t="s">
        <v>2884</v>
      </c>
      <c r="Y268" s="1180"/>
      <c r="Z268" s="1180">
        <f>1+1</f>
        <v>2</v>
      </c>
      <c r="AA268" s="1150">
        <f>ROUND(IF(H268&lt;&gt;"",VLOOKUP(SUM(I268+J268),'CONCEPTOS Y PARAMETROS'!F:G,2,0)*V268,0),2)</f>
        <v>2.6</v>
      </c>
      <c r="AB268" s="1150">
        <f>IF(S268&lt;&gt;"",IF(M268="",'CONCEPTOS Y PARAMETROS'!$C$4,0),0)</f>
        <v>130</v>
      </c>
      <c r="AC268" s="1150">
        <f>IF(S268&lt;&gt;"",IF(M268="",'CONCEPTOS Y PARAMETROS'!$C$7*Z268,0),0)</f>
        <v>25</v>
      </c>
      <c r="AD268" s="1150">
        <f>IFERROR(ROUND(VLOOKUP($X268,'CONCEPTOS Y PARAMETROS'!H:I,2,0)*($V268+AA268+AB268+AC268),2),0)</f>
        <v>0</v>
      </c>
      <c r="AE268" s="1150">
        <f t="shared" si="701"/>
        <v>157.6</v>
      </c>
      <c r="AF268" s="1150">
        <f t="shared" si="741"/>
        <v>1.3</v>
      </c>
      <c r="AG268" s="1150">
        <f t="shared" si="742"/>
        <v>1.3</v>
      </c>
      <c r="AH268" s="1150">
        <f t="shared" si="743"/>
        <v>65</v>
      </c>
      <c r="AI268" s="1150">
        <f t="shared" si="744"/>
        <v>65</v>
      </c>
      <c r="AJ268" s="1150">
        <f t="shared" si="745"/>
        <v>0</v>
      </c>
      <c r="AK268" s="1150">
        <f t="shared" si="746"/>
        <v>0</v>
      </c>
      <c r="AL268" s="1151">
        <f t="shared" si="747"/>
        <v>91.3</v>
      </c>
      <c r="AM268" s="1151">
        <f t="shared" si="748"/>
        <v>66.3</v>
      </c>
      <c r="AN268" s="1583">
        <v>1</v>
      </c>
      <c r="AO268" s="1193">
        <f>'CONCEPTOS Y PARAMETROS'!$C$18*AN268</f>
        <v>12.5</v>
      </c>
      <c r="AP268" s="1028">
        <v>0</v>
      </c>
      <c r="AQ268" s="1193">
        <f>'CONCEPTOS Y PARAMETROS'!$C$21*AP268</f>
        <v>0</v>
      </c>
      <c r="AR268" s="1394">
        <v>0</v>
      </c>
      <c r="AS268" s="1394">
        <v>0</v>
      </c>
      <c r="AT268" s="1394">
        <f t="shared" si="672"/>
        <v>12.5</v>
      </c>
      <c r="AU268" s="1151">
        <f t="shared" si="749"/>
        <v>287.60000000000002</v>
      </c>
      <c r="AV268" s="1178">
        <v>0</v>
      </c>
      <c r="AW268" s="1151">
        <f t="shared" si="673"/>
        <v>0</v>
      </c>
      <c r="AX268" s="1150">
        <f>IF(T268&lt;&gt;"0",(ROUND(IF(A268="EMPLEADO",eval_formula('CONCEPTOS Y PARAMETROS'!$C$8,NOMINA!V268,NOMINA!$AU268,NOMINA!I268+NOMINA!J268),eval_formula('CONCEPTOS Y PARAMETROS'!$D$8,NOMINA!V268,NOMINA!$AU268,NOMINA!I268+NOMINA!J268)),2))*IF(H268&lt;&gt;"",IF(MONTH(H268)=$BR$8,IF(YEAR(H268)&lt;$BT$7,1,0),0)))</f>
        <v>0</v>
      </c>
      <c r="AY268" s="1151">
        <v>180</v>
      </c>
      <c r="AZ268" s="1150">
        <f>IFERROR(VLOOKUP(AY268,'CONCEPTOS Y PARAMETROS'!Y:Z,2,0),0)</f>
        <v>150</v>
      </c>
      <c r="BA268" s="1150">
        <f t="shared" si="750"/>
        <v>2157</v>
      </c>
      <c r="BB268" s="1150">
        <f t="shared" si="643"/>
        <v>0</v>
      </c>
      <c r="BC268" s="1028">
        <v>0</v>
      </c>
      <c r="BD268" s="1150" t="str">
        <f t="shared" si="751"/>
        <v>0</v>
      </c>
      <c r="BE268" s="1028">
        <v>0</v>
      </c>
      <c r="BF268" s="1150">
        <f t="shared" si="702"/>
        <v>0</v>
      </c>
      <c r="BG268" s="1151">
        <v>300</v>
      </c>
      <c r="BH268" s="1151">
        <f t="shared" si="647"/>
        <v>0</v>
      </c>
      <c r="BI268" s="1180">
        <v>0</v>
      </c>
      <c r="BJ268" s="1180">
        <f t="shared" si="642"/>
        <v>0</v>
      </c>
      <c r="BK268" s="1151">
        <v>0</v>
      </c>
      <c r="BL268" s="1150">
        <f t="shared" si="696"/>
        <v>10.62</v>
      </c>
      <c r="BM268" s="1150">
        <f t="shared" si="697"/>
        <v>1.33</v>
      </c>
      <c r="BN268" s="1150">
        <f t="shared" si="644"/>
        <v>2.88</v>
      </c>
      <c r="BO268" s="1150">
        <v>0</v>
      </c>
      <c r="BP268" s="1150">
        <v>0</v>
      </c>
      <c r="BQ268" s="1396">
        <f t="shared" si="677"/>
        <v>14.83</v>
      </c>
      <c r="BR268" s="1150">
        <f t="shared" si="699"/>
        <v>23.89</v>
      </c>
      <c r="BS268" s="1150">
        <f t="shared" si="700"/>
        <v>5.31</v>
      </c>
      <c r="BT268" s="1150">
        <f t="shared" si="649"/>
        <v>5.76</v>
      </c>
      <c r="BU268" s="1150">
        <v>0</v>
      </c>
      <c r="BV268" s="1151">
        <f t="shared" si="678"/>
        <v>34.96</v>
      </c>
      <c r="BW268" s="1155">
        <f t="shared" si="679"/>
        <v>49.79</v>
      </c>
      <c r="BX268" s="1155">
        <f t="shared" si="738"/>
        <v>539.25</v>
      </c>
      <c r="BY268" s="1151">
        <v>0</v>
      </c>
      <c r="BZ268" s="1151">
        <f t="shared" si="641"/>
        <v>539.25</v>
      </c>
      <c r="CA268" s="1397">
        <f>'CONCEPTOS Y PARAMETROS'!$A$102</f>
        <v>2120</v>
      </c>
      <c r="CB268" s="1155">
        <f t="shared" si="652"/>
        <v>141.47</v>
      </c>
      <c r="CC268" s="1156">
        <f t="shared" si="653"/>
        <v>443.8</v>
      </c>
      <c r="CD268" s="514"/>
      <c r="CE268" s="514"/>
      <c r="CF268" s="520"/>
      <c r="CG268" s="497">
        <f t="shared" si="654"/>
        <v>141.47</v>
      </c>
      <c r="CH268" s="1711">
        <f t="shared" si="655"/>
        <v>300</v>
      </c>
      <c r="CI268" s="497">
        <f t="shared" si="656"/>
        <v>431.3</v>
      </c>
      <c r="CJ268" s="497">
        <f t="shared" si="657"/>
        <v>431.3</v>
      </c>
      <c r="CK268" s="497">
        <f t="shared" si="658"/>
        <v>0</v>
      </c>
      <c r="CL268" s="497">
        <f t="shared" si="659"/>
        <v>0</v>
      </c>
      <c r="CM268" s="497">
        <f t="shared" si="660"/>
        <v>0</v>
      </c>
      <c r="CN268" s="498">
        <f t="shared" si="661"/>
        <v>0</v>
      </c>
      <c r="CO268" s="499">
        <v>0</v>
      </c>
      <c r="CP268" s="498">
        <f t="shared" si="662"/>
        <v>0</v>
      </c>
      <c r="CQ268" s="500">
        <f t="shared" si="663"/>
        <v>12.5</v>
      </c>
      <c r="CR268" s="498">
        <f t="shared" si="664"/>
        <v>0</v>
      </c>
      <c r="CS268" s="498">
        <f t="shared" si="665"/>
        <v>12.5</v>
      </c>
      <c r="CT268" s="498">
        <f t="shared" si="666"/>
        <v>49.79</v>
      </c>
      <c r="CU268" s="498">
        <f t="shared" si="667"/>
        <v>2120</v>
      </c>
      <c r="CV268" s="1554"/>
      <c r="CW268" s="1195" t="s">
        <v>7020</v>
      </c>
      <c r="CX268" s="1195" t="s">
        <v>6941</v>
      </c>
      <c r="CY268" s="472"/>
      <c r="CZ268" s="1199" t="s">
        <v>6682</v>
      </c>
      <c r="DA268" s="514" t="s">
        <v>6173</v>
      </c>
      <c r="DB268" s="514" t="s">
        <v>6234</v>
      </c>
      <c r="DC268" s="514" t="s">
        <v>6437</v>
      </c>
      <c r="DD268" s="514"/>
      <c r="DE268" s="514"/>
      <c r="DF268" s="472"/>
      <c r="DG268" s="472"/>
      <c r="DH268" s="472"/>
      <c r="DJ268" s="473" t="str">
        <f>VLOOKUP(X268,Hoja1!$A$4:$B$10,2,0)</f>
        <v>BACHILLER</v>
      </c>
      <c r="DK268" s="473" t="str">
        <f>VLOOKUP(S268,Hoja1!$D$4:$F$77,3,0)</f>
        <v>BI</v>
      </c>
      <c r="DL268" s="1216" t="str">
        <f t="shared" si="668"/>
        <v>0</v>
      </c>
      <c r="DM268" s="1741" t="str">
        <f t="shared" si="669"/>
        <v>M</v>
      </c>
      <c r="DN268" s="1741"/>
    </row>
    <row r="269" spans="1:118" s="478" customFormat="1" ht="21.95" customHeight="1">
      <c r="A269" s="510" t="s">
        <v>2846</v>
      </c>
      <c r="B269" s="1390">
        <f t="shared" ca="1" si="479"/>
        <v>227</v>
      </c>
      <c r="C269" s="1194">
        <v>24385729</v>
      </c>
      <c r="D269" s="1195" t="s">
        <v>6905</v>
      </c>
      <c r="E269" s="1180" t="s">
        <v>4622</v>
      </c>
      <c r="F269" s="1196">
        <v>34822</v>
      </c>
      <c r="G269" s="1180" t="s">
        <v>4620</v>
      </c>
      <c r="H269" s="1196">
        <v>45597</v>
      </c>
      <c r="I269" s="1185">
        <f t="shared" si="645"/>
        <v>0</v>
      </c>
      <c r="J269" s="1177">
        <v>1</v>
      </c>
      <c r="K269" s="1185">
        <f t="shared" si="646"/>
        <v>1</v>
      </c>
      <c r="L269" s="1191" t="s">
        <v>5534</v>
      </c>
      <c r="M269" s="1177"/>
      <c r="N269" s="1177"/>
      <c r="O269" s="1040" t="s">
        <v>5984</v>
      </c>
      <c r="P269" s="1177" t="s">
        <v>6906</v>
      </c>
      <c r="Q269" s="1391" t="str">
        <f>IFERROR(VLOOKUP(O269,CARGOS!A:E,2,0),"")</f>
        <v>24311</v>
      </c>
      <c r="R269" s="1403" t="s">
        <v>5984</v>
      </c>
      <c r="S269" s="1192" t="s">
        <v>5483</v>
      </c>
      <c r="T269" s="1150">
        <f>IFERROR(VLOOKUP(S269,'TAB EMP'!A:B,2,0),0)</f>
        <v>130</v>
      </c>
      <c r="U269" s="1151">
        <v>0</v>
      </c>
      <c r="V269" s="1150">
        <f t="shared" ref="V269" si="781">T269-U269</f>
        <v>130</v>
      </c>
      <c r="W269" s="1151">
        <f t="shared" ref="W269" si="782">ROUND(V269/2,2)</f>
        <v>65</v>
      </c>
      <c r="X269" s="1180" t="s">
        <v>2884</v>
      </c>
      <c r="Y269" s="1180"/>
      <c r="Z269" s="1180">
        <v>1</v>
      </c>
      <c r="AA269" s="1150">
        <f>ROUND(IF(H269&lt;&gt;"",VLOOKUP(SUM(I269+J269),'CONCEPTOS Y PARAMETROS'!F:G,2,0)*V269,0),2)</f>
        <v>1.3</v>
      </c>
      <c r="AB269" s="1150">
        <f>IF(S269&lt;&gt;"",IF(M269="",'CONCEPTOS Y PARAMETROS'!$C$4,0),0)</f>
        <v>130</v>
      </c>
      <c r="AC269" s="1150">
        <f>IF(S269&lt;&gt;"",IF(M269="",'CONCEPTOS Y PARAMETROS'!$C$7*Z269,0),0)</f>
        <v>12.5</v>
      </c>
      <c r="AD269" s="1150">
        <f>IFERROR(ROUND(VLOOKUP($X269,'CONCEPTOS Y PARAMETROS'!H:I,2,0)*($V269+AA269+AB269+AC269),2),0)</f>
        <v>0</v>
      </c>
      <c r="AE269" s="1150">
        <f t="shared" ref="AE269" si="783">SUM(AA269:AD269)</f>
        <v>143.80000000000001</v>
      </c>
      <c r="AF269" s="1150">
        <f t="shared" ref="AF269" si="784">ROUND(AA269/2,2)</f>
        <v>0.65</v>
      </c>
      <c r="AG269" s="1150">
        <f t="shared" ref="AG269" si="785">ROUND(AA269-AF269,2)</f>
        <v>0.65</v>
      </c>
      <c r="AH269" s="1150">
        <f t="shared" ref="AH269" si="786">ROUND(AB269/2,2)</f>
        <v>65</v>
      </c>
      <c r="AI269" s="1150">
        <f t="shared" ref="AI269" si="787">ROUND(AB269-AH269,2)</f>
        <v>65</v>
      </c>
      <c r="AJ269" s="1150">
        <f t="shared" ref="AJ269" si="788">ROUND(AD269/2,2)</f>
        <v>0</v>
      </c>
      <c r="AK269" s="1150">
        <f t="shared" ref="AK269" si="789">ROUND(AD269-AJ269,2)</f>
        <v>0</v>
      </c>
      <c r="AL269" s="1151">
        <f t="shared" ref="AL269" si="790">ROUND(AF269+AH269+AJ269+AC269,2)</f>
        <v>78.150000000000006</v>
      </c>
      <c r="AM269" s="1151">
        <f t="shared" ref="AM269" si="791">ROUND(AG269+AI269+AK269,2)</f>
        <v>65.650000000000006</v>
      </c>
      <c r="AN269" s="1028">
        <v>0</v>
      </c>
      <c r="AO269" s="1193">
        <f>'CONCEPTOS Y PARAMETROS'!$C$18*AN269</f>
        <v>0</v>
      </c>
      <c r="AP269" s="1028">
        <v>0</v>
      </c>
      <c r="AQ269" s="1193">
        <f>'CONCEPTOS Y PARAMETROS'!$C$21*AP269</f>
        <v>0</v>
      </c>
      <c r="AR269" s="1394">
        <v>0</v>
      </c>
      <c r="AS269" s="1394">
        <v>0</v>
      </c>
      <c r="AT269" s="1394">
        <f t="shared" ref="AT269" si="792">+AO269+AQ269+AR269+AS269</f>
        <v>0</v>
      </c>
      <c r="AU269" s="1151">
        <f t="shared" ref="AU269" si="793">V269+AE269+AW269</f>
        <v>273.8</v>
      </c>
      <c r="AV269" s="1178">
        <v>0</v>
      </c>
      <c r="AW269" s="1151">
        <f t="shared" ref="AW269" si="794">ROUND(IF(AV269="NOCTURN",(V269+AE269)*30%,0),2)</f>
        <v>0</v>
      </c>
      <c r="AX269" s="1150">
        <f>IF(T269&lt;&gt;"0",(ROUND(IF(A269="EMPLEADO",eval_formula('CONCEPTOS Y PARAMETROS'!$C$8,NOMINA!V269,NOMINA!$AU269,NOMINA!I269+NOMINA!J269),eval_formula('CONCEPTOS Y PARAMETROS'!$D$8,NOMINA!V269,NOMINA!$AU269,NOMINA!I269+NOMINA!J269)),2))*IF(H269&lt;&gt;"",IF(MONTH(H269)=$BR$8,IF(YEAR(H269)&lt;$BT$7,1,0),0)))</f>
        <v>0</v>
      </c>
      <c r="AY269" s="1151">
        <v>30</v>
      </c>
      <c r="AZ269" s="1150">
        <f>IFERROR(VLOOKUP(AY269,'CONCEPTOS Y PARAMETROS'!Y:Z,2,0),0)</f>
        <v>25</v>
      </c>
      <c r="BA269" s="1150">
        <f t="shared" ref="BA269" si="795">ROUND((((AU269))/30*AY269/12+(AU269))/30*AZ269,2)</f>
        <v>247.18</v>
      </c>
      <c r="BB269" s="1150">
        <f t="shared" ref="BB269" si="796">ROUND(AU269/30*$BB$10,2)</f>
        <v>0</v>
      </c>
      <c r="BC269" s="1028">
        <v>0</v>
      </c>
      <c r="BD269" s="1150" t="str">
        <f t="shared" ref="BD269" si="797">IF(BC269&gt;0,((((((V269+AA269+AB269+AC269+AD269)/30)/8)*50%)+((((V269+AA269+AB269+AC269+AD269)/30)/8)))*30%+(((((V269+AA269+AB269+AC269+AD269)/30)/8)*50%)+((((V269+AA269+AB269+AC269+AD269)/30)/8))))*BC269,"0")</f>
        <v>0</v>
      </c>
      <c r="BE269" s="1028">
        <v>0</v>
      </c>
      <c r="BF269" s="1150">
        <f t="shared" si="702"/>
        <v>0</v>
      </c>
      <c r="BG269" s="1151">
        <v>300</v>
      </c>
      <c r="BH269" s="1151">
        <f t="shared" si="647"/>
        <v>0</v>
      </c>
      <c r="BI269" s="1180">
        <v>0</v>
      </c>
      <c r="BJ269" s="1180">
        <f t="shared" si="642"/>
        <v>0</v>
      </c>
      <c r="BK269" s="1151">
        <v>0</v>
      </c>
      <c r="BL269" s="1150">
        <f t="shared" si="696"/>
        <v>10.11</v>
      </c>
      <c r="BM269" s="1150">
        <f t="shared" si="697"/>
        <v>1.26</v>
      </c>
      <c r="BN269" s="1150">
        <f t="shared" si="644"/>
        <v>2.74</v>
      </c>
      <c r="BO269" s="1150">
        <v>0</v>
      </c>
      <c r="BP269" s="1150">
        <v>0</v>
      </c>
      <c r="BQ269" s="1396">
        <f t="shared" ref="BQ269" si="798">ROUND(SUM(BL269:BP269),2)</f>
        <v>14.11</v>
      </c>
      <c r="BR269" s="1150">
        <f t="shared" si="699"/>
        <v>22.75</v>
      </c>
      <c r="BS269" s="1150">
        <f t="shared" si="700"/>
        <v>5.05</v>
      </c>
      <c r="BT269" s="1150">
        <f t="shared" si="649"/>
        <v>5.48</v>
      </c>
      <c r="BU269" s="1150">
        <v>0</v>
      </c>
      <c r="BV269" s="1151">
        <f t="shared" ref="BV269" si="799">ROUND(SUM(BR269:BT269),2)</f>
        <v>33.28</v>
      </c>
      <c r="BW269" s="1155">
        <f t="shared" ref="BW269" si="800">BQ269+BV269</f>
        <v>47.39</v>
      </c>
      <c r="BX269" s="1155">
        <f>ROUND(BA269/3,2)</f>
        <v>82.39</v>
      </c>
      <c r="BY269" s="1151">
        <v>0</v>
      </c>
      <c r="BZ269" s="1151">
        <f t="shared" si="641"/>
        <v>82.39</v>
      </c>
      <c r="CA269" s="1397">
        <f>'CONCEPTOS Y PARAMETROS'!$A$102</f>
        <v>2120</v>
      </c>
      <c r="CB269" s="1155">
        <f t="shared" si="652"/>
        <v>129.04000000000002</v>
      </c>
      <c r="CC269" s="1156">
        <f t="shared" si="653"/>
        <v>430.65</v>
      </c>
      <c r="CD269" s="1582"/>
      <c r="CE269" s="514"/>
      <c r="CF269" s="521"/>
      <c r="CG269" s="511">
        <f t="shared" si="654"/>
        <v>129.04000000000002</v>
      </c>
      <c r="CH269" s="1712">
        <f t="shared" si="655"/>
        <v>300</v>
      </c>
      <c r="CI269" s="511">
        <f t="shared" si="656"/>
        <v>430.65</v>
      </c>
      <c r="CJ269" s="511">
        <f t="shared" si="657"/>
        <v>430.65</v>
      </c>
      <c r="CK269" s="511">
        <f t="shared" si="658"/>
        <v>0</v>
      </c>
      <c r="CL269" s="511">
        <f t="shared" si="659"/>
        <v>0</v>
      </c>
      <c r="CM269" s="511">
        <f t="shared" si="660"/>
        <v>0</v>
      </c>
      <c r="CN269" s="512">
        <f t="shared" si="661"/>
        <v>0</v>
      </c>
      <c r="CO269" s="513">
        <v>0</v>
      </c>
      <c r="CP269" s="512">
        <f t="shared" si="662"/>
        <v>0</v>
      </c>
      <c r="CQ269" s="500">
        <f t="shared" si="663"/>
        <v>0</v>
      </c>
      <c r="CR269" s="512">
        <f t="shared" si="664"/>
        <v>0</v>
      </c>
      <c r="CS269" s="512">
        <f t="shared" si="665"/>
        <v>0</v>
      </c>
      <c r="CT269" s="512">
        <f t="shared" si="666"/>
        <v>47.39</v>
      </c>
      <c r="CU269" s="512">
        <f t="shared" si="667"/>
        <v>2120</v>
      </c>
      <c r="CV269" s="1556"/>
      <c r="CW269" s="1195" t="s">
        <v>7136</v>
      </c>
      <c r="CX269" s="1195" t="s">
        <v>7137</v>
      </c>
      <c r="CY269" s="514"/>
      <c r="CZ269" s="1199" t="s">
        <v>6907</v>
      </c>
      <c r="DA269" s="514" t="s">
        <v>6173</v>
      </c>
      <c r="DB269" s="514"/>
      <c r="DC269" s="514"/>
      <c r="DD269" s="514"/>
      <c r="DE269" s="514"/>
      <c r="DF269" s="514"/>
      <c r="DG269" s="514"/>
      <c r="DH269" s="514"/>
      <c r="DJ269" s="478" t="str">
        <f>VLOOKUP(X269,Hoja1!$A$4:$B$10,2,0)</f>
        <v>BACHILLER</v>
      </c>
      <c r="DK269" s="478" t="str">
        <f>VLOOKUP(S269,Hoja1!$D$4:$F$77,3,0)</f>
        <v>BI</v>
      </c>
      <c r="DL269" s="1581" t="str">
        <f t="shared" si="668"/>
        <v>0</v>
      </c>
      <c r="DM269" s="1743" t="str">
        <f t="shared" si="669"/>
        <v>F</v>
      </c>
      <c r="DN269" s="1743"/>
    </row>
    <row r="270" spans="1:118" s="478" customFormat="1" ht="21.95" customHeight="1">
      <c r="A270" s="510" t="s">
        <v>2846</v>
      </c>
      <c r="B270" s="1390">
        <f ca="1">OFFSET(B270,-1,0)+1</f>
        <v>228</v>
      </c>
      <c r="C270" s="1028">
        <v>23254845</v>
      </c>
      <c r="D270" s="1343" t="s">
        <v>5038</v>
      </c>
      <c r="E270" s="1180" t="s">
        <v>4622</v>
      </c>
      <c r="F270" s="1161">
        <v>34033</v>
      </c>
      <c r="G270" s="1180" t="s">
        <v>4621</v>
      </c>
      <c r="H270" s="1161">
        <v>44332</v>
      </c>
      <c r="I270" s="1185">
        <f t="shared" si="645"/>
        <v>3</v>
      </c>
      <c r="J270" s="1177">
        <v>0</v>
      </c>
      <c r="K270" s="1185">
        <f t="shared" si="646"/>
        <v>3</v>
      </c>
      <c r="L270" s="1191" t="s">
        <v>5544</v>
      </c>
      <c r="M270" s="1177"/>
      <c r="N270" s="1177"/>
      <c r="O270" s="1040" t="s">
        <v>5270</v>
      </c>
      <c r="P270" s="1177" t="s">
        <v>5177</v>
      </c>
      <c r="Q270" s="1391">
        <v>7152</v>
      </c>
      <c r="R270" s="1403" t="s">
        <v>5270</v>
      </c>
      <c r="S270" s="1192" t="s">
        <v>5490</v>
      </c>
      <c r="T270" s="1150">
        <f>IFERROR(VLOOKUP(S270,'TAB EMP'!A:B,2,0),0)</f>
        <v>150</v>
      </c>
      <c r="U270" s="1151">
        <v>0</v>
      </c>
      <c r="V270" s="1150">
        <f>T270-U270</f>
        <v>150</v>
      </c>
      <c r="W270" s="1151">
        <f>ROUND(V270/2,2)</f>
        <v>75</v>
      </c>
      <c r="X270" s="1180" t="s">
        <v>2884</v>
      </c>
      <c r="Y270" s="1180"/>
      <c r="Z270" s="1180">
        <v>0</v>
      </c>
      <c r="AA270" s="1150">
        <f>ROUND(IF(H270&lt;&gt;"",VLOOKUP(SUM(I270+J270),'CONCEPTOS Y PARAMETROS'!F:G,2,0)*V270,0),2)</f>
        <v>4.5</v>
      </c>
      <c r="AB270" s="1150">
        <f>IF(S270&lt;&gt;"",IF(M270="",'CONCEPTOS Y PARAMETROS'!$C$4,0),0)</f>
        <v>130</v>
      </c>
      <c r="AC270" s="1150">
        <f>IF(S270&lt;&gt;"",IF(M270="",'CONCEPTOS Y PARAMETROS'!$C$7*Z270,0),0)</f>
        <v>0</v>
      </c>
      <c r="AD270" s="1150">
        <f>IFERROR(ROUND(VLOOKUP($X270,'CONCEPTOS Y PARAMETROS'!H:I,2,0)*($V270+AA270+AB270+AC270),2),0)</f>
        <v>0</v>
      </c>
      <c r="AE270" s="1150">
        <f>SUM(AA270:AD270)</f>
        <v>134.5</v>
      </c>
      <c r="AF270" s="1150">
        <f>ROUND(AA270/2,2)</f>
        <v>2.25</v>
      </c>
      <c r="AG270" s="1150">
        <f>ROUND(AA270-AF270,2)</f>
        <v>2.25</v>
      </c>
      <c r="AH270" s="1150">
        <f>ROUND(AB270/2,2)</f>
        <v>65</v>
      </c>
      <c r="AI270" s="1150">
        <f>ROUND(AB270-AH270,2)</f>
        <v>65</v>
      </c>
      <c r="AJ270" s="1150">
        <f>ROUND(AD270/2,2)</f>
        <v>0</v>
      </c>
      <c r="AK270" s="1150">
        <f>ROUND(AD270-AJ270,2)</f>
        <v>0</v>
      </c>
      <c r="AL270" s="1151">
        <f>ROUND(AF270+AH270+AJ270+AC270,2)</f>
        <v>67.25</v>
      </c>
      <c r="AM270" s="1151">
        <f>ROUND(AG270+AI270+AK270,2)</f>
        <v>67.25</v>
      </c>
      <c r="AN270" s="1028">
        <v>0</v>
      </c>
      <c r="AO270" s="1193">
        <f>'CONCEPTOS Y PARAMETROS'!$C$18*AN270</f>
        <v>0</v>
      </c>
      <c r="AP270" s="1028">
        <v>0</v>
      </c>
      <c r="AQ270" s="1193">
        <f>'CONCEPTOS Y PARAMETROS'!$C$21*AP270</f>
        <v>0</v>
      </c>
      <c r="AR270" s="1394">
        <v>0</v>
      </c>
      <c r="AS270" s="1394">
        <v>0</v>
      </c>
      <c r="AT270" s="1394">
        <f>+AO270+AQ270+AR270+AS270</f>
        <v>0</v>
      </c>
      <c r="AU270" s="1151">
        <f>V270+AE270+AW270</f>
        <v>284.5</v>
      </c>
      <c r="AV270" s="1178">
        <v>0</v>
      </c>
      <c r="AW270" s="1151">
        <f>ROUND(IF(AV270="NOCTURN",(V270+AE270)*30%,0),2)</f>
        <v>0</v>
      </c>
      <c r="AX270" s="1150">
        <f>IF(T270&lt;&gt;"0",(ROUND(IF(A270="EMPLEADO",eval_formula('CONCEPTOS Y PARAMETROS'!$C$8,NOMINA!V270,NOMINA!$AU270,NOMINA!I270+NOMINA!J270),eval_formula('CONCEPTOS Y PARAMETROS'!$D$8,NOMINA!V270,NOMINA!$AU270,NOMINA!I270+NOMINA!J270)),2))*IF(H270&lt;&gt;"",IF(MONTH(H270)=$BR$8,IF(YEAR(H270)&lt;$BT$7,1,0),0)))</f>
        <v>0</v>
      </c>
      <c r="AY270" s="1151">
        <v>180</v>
      </c>
      <c r="AZ270" s="1150">
        <f>IFERROR(VLOOKUP(AY270,'CONCEPTOS Y PARAMETROS'!Y:Z,2,0),0)</f>
        <v>150</v>
      </c>
      <c r="BA270" s="1150">
        <f>ROUND((((AU270))/30*AY270/12+(AU270))/30*AZ270,2)</f>
        <v>2133.75</v>
      </c>
      <c r="BB270" s="1150">
        <f t="shared" si="643"/>
        <v>0</v>
      </c>
      <c r="BC270" s="1028">
        <v>0</v>
      </c>
      <c r="BD270" s="1150" t="str">
        <f>IF(BC270&gt;0,((((((V270+AA270+AB270+AC270+AD270)/30)/8)*50%)+((((V270+AA270+AB270+AC270+AD270)/30)/8)))*30%+(((((V270+AA270+AB270+AC270+AD270)/30)/8)*50%)+((((V270+AA270+AB270+AC270+AD270)/30)/8))))*BC270,"0")</f>
        <v>0</v>
      </c>
      <c r="BE270" s="1028">
        <v>0</v>
      </c>
      <c r="BF270" s="1150">
        <f t="shared" si="702"/>
        <v>0</v>
      </c>
      <c r="BG270" s="1151">
        <v>300</v>
      </c>
      <c r="BH270" s="1151">
        <f t="shared" si="647"/>
        <v>0</v>
      </c>
      <c r="BI270" s="1028">
        <v>0</v>
      </c>
      <c r="BJ270" s="1028">
        <f t="shared" si="642"/>
        <v>0</v>
      </c>
      <c r="BK270" s="1151">
        <v>0</v>
      </c>
      <c r="BL270" s="1150">
        <f t="shared" si="696"/>
        <v>10.5</v>
      </c>
      <c r="BM270" s="1150">
        <f t="shared" si="697"/>
        <v>1.31</v>
      </c>
      <c r="BN270" s="1150">
        <f t="shared" si="644"/>
        <v>2.85</v>
      </c>
      <c r="BO270" s="1150">
        <v>0</v>
      </c>
      <c r="BP270" s="1150">
        <v>0</v>
      </c>
      <c r="BQ270" s="1396">
        <f>ROUND(SUM(BL270:BP270),2)</f>
        <v>14.66</v>
      </c>
      <c r="BR270" s="1150">
        <f t="shared" si="699"/>
        <v>23.64</v>
      </c>
      <c r="BS270" s="1150">
        <f t="shared" si="700"/>
        <v>5.25</v>
      </c>
      <c r="BT270" s="1150">
        <f t="shared" si="649"/>
        <v>5.7</v>
      </c>
      <c r="BU270" s="1150">
        <v>0</v>
      </c>
      <c r="BV270" s="1151">
        <f>ROUND(SUM(BR270:BT270),2)</f>
        <v>34.590000000000003</v>
      </c>
      <c r="BW270" s="1155">
        <f>BQ270+BV270</f>
        <v>49.25</v>
      </c>
      <c r="BX270" s="1155">
        <f>ROUND(BA270/4,2)</f>
        <v>533.44000000000005</v>
      </c>
      <c r="BY270" s="1151">
        <v>0</v>
      </c>
      <c r="BZ270" s="1151">
        <f t="shared" si="641"/>
        <v>533.44000000000005</v>
      </c>
      <c r="CA270" s="1397">
        <f>'CONCEPTOS Y PARAMETROS'!$A$102</f>
        <v>2120</v>
      </c>
      <c r="CB270" s="1155">
        <f t="shared" si="652"/>
        <v>127.59</v>
      </c>
      <c r="CC270" s="1156">
        <f t="shared" si="653"/>
        <v>442.25</v>
      </c>
      <c r="CD270" s="514"/>
      <c r="CE270" s="514"/>
      <c r="CF270" s="521"/>
      <c r="CG270" s="511">
        <f t="shared" si="654"/>
        <v>127.59</v>
      </c>
      <c r="CH270" s="1712">
        <f t="shared" si="655"/>
        <v>300</v>
      </c>
      <c r="CI270" s="511">
        <f t="shared" si="656"/>
        <v>442.25</v>
      </c>
      <c r="CJ270" s="511">
        <f t="shared" si="657"/>
        <v>442.25</v>
      </c>
      <c r="CK270" s="511">
        <f t="shared" si="658"/>
        <v>0</v>
      </c>
      <c r="CL270" s="511">
        <f t="shared" si="659"/>
        <v>0</v>
      </c>
      <c r="CM270" s="511">
        <f t="shared" si="660"/>
        <v>0</v>
      </c>
      <c r="CN270" s="512">
        <f t="shared" si="661"/>
        <v>0</v>
      </c>
      <c r="CO270" s="513">
        <v>0</v>
      </c>
      <c r="CP270" s="512">
        <f t="shared" si="662"/>
        <v>0</v>
      </c>
      <c r="CQ270" s="500">
        <f t="shared" si="663"/>
        <v>0</v>
      </c>
      <c r="CR270" s="512">
        <f t="shared" si="664"/>
        <v>0</v>
      </c>
      <c r="CS270" s="512">
        <f t="shared" si="665"/>
        <v>0</v>
      </c>
      <c r="CT270" s="512">
        <f t="shared" si="666"/>
        <v>49.25</v>
      </c>
      <c r="CU270" s="512">
        <f t="shared" si="667"/>
        <v>2120</v>
      </c>
      <c r="CV270" s="1556"/>
      <c r="CW270" s="1343" t="s">
        <v>7138</v>
      </c>
      <c r="CX270" s="1343" t="s">
        <v>7139</v>
      </c>
      <c r="CY270" s="514"/>
      <c r="CZ270" s="1199" t="s">
        <v>6683</v>
      </c>
      <c r="DA270" s="1199" t="s">
        <v>6241</v>
      </c>
      <c r="DB270" s="514" t="s">
        <v>6238</v>
      </c>
      <c r="DC270" s="514" t="s">
        <v>6701</v>
      </c>
      <c r="DD270" s="514"/>
      <c r="DE270" s="514"/>
      <c r="DF270" s="514"/>
      <c r="DG270" s="514"/>
      <c r="DH270" s="514"/>
      <c r="DJ270" s="478" t="str">
        <f>VLOOKUP(X270,Hoja1!$A$4:$B$10,2,0)</f>
        <v>BACHILLER</v>
      </c>
      <c r="DK270" s="478" t="str">
        <f>VLOOKUP(S270,Hoja1!$D$4:$F$77,3,0)</f>
        <v>BII - II</v>
      </c>
      <c r="DL270" s="1218" t="str">
        <f t="shared" si="668"/>
        <v>0</v>
      </c>
      <c r="DM270" s="1743" t="str">
        <f t="shared" si="669"/>
        <v>M</v>
      </c>
      <c r="DN270" s="1743"/>
    </row>
    <row r="271" spans="1:118" s="478" customFormat="1" ht="21.95" customHeight="1">
      <c r="A271" s="510" t="s">
        <v>2846</v>
      </c>
      <c r="B271" s="1390">
        <f t="shared" ref="B271:B272" ca="1" si="801">OFFSET(B271,-1,0)+1</f>
        <v>229</v>
      </c>
      <c r="C271" s="1194">
        <v>23594366</v>
      </c>
      <c r="D271" s="1195" t="s">
        <v>6559</v>
      </c>
      <c r="E271" s="1180" t="s">
        <v>4622</v>
      </c>
      <c r="F271" s="1196">
        <v>34122</v>
      </c>
      <c r="G271" s="1180" t="s">
        <v>4620</v>
      </c>
      <c r="H271" s="1196">
        <v>45413</v>
      </c>
      <c r="I271" s="1185">
        <f t="shared" si="645"/>
        <v>0</v>
      </c>
      <c r="J271" s="1177">
        <v>0</v>
      </c>
      <c r="K271" s="1185">
        <f t="shared" si="646"/>
        <v>0</v>
      </c>
      <c r="L271" s="1191" t="s">
        <v>5542</v>
      </c>
      <c r="M271" s="1177"/>
      <c r="N271" s="1177"/>
      <c r="O271" s="1040" t="s">
        <v>5228</v>
      </c>
      <c r="P271" s="1197" t="s">
        <v>6560</v>
      </c>
      <c r="Q271" s="1391" t="str">
        <f>IFERROR(VLOOKUP(O271,CARGOS!A:E,2,0),"")</f>
        <v>79521</v>
      </c>
      <c r="R271" s="1403" t="s">
        <v>5228</v>
      </c>
      <c r="S271" s="1192" t="s">
        <v>5469</v>
      </c>
      <c r="T271" s="1150">
        <f>IFERROR(VLOOKUP(S271,'TAB EMP'!A:B,2,0),0)</f>
        <v>246</v>
      </c>
      <c r="U271" s="1151">
        <v>0</v>
      </c>
      <c r="V271" s="1150">
        <f t="shared" ref="V271:V272" si="802">T271-U271</f>
        <v>246</v>
      </c>
      <c r="W271" s="1151">
        <f t="shared" ref="W271:W272" si="803">ROUND(V271/2,2)</f>
        <v>123</v>
      </c>
      <c r="X271" s="1180" t="s">
        <v>2885</v>
      </c>
      <c r="Y271" s="1180"/>
      <c r="Z271" s="1180">
        <v>0</v>
      </c>
      <c r="AA271" s="1150">
        <f>ROUND(IF(H271&lt;&gt;"",VLOOKUP(SUM(I271+J271),'CONCEPTOS Y PARAMETROS'!F:G,2,0)*V271,0),2)</f>
        <v>0</v>
      </c>
      <c r="AB271" s="1150">
        <f>IF(S271&lt;&gt;"",IF(M271="",'CONCEPTOS Y PARAMETROS'!$C$4,0),0)</f>
        <v>130</v>
      </c>
      <c r="AC271" s="1150">
        <f>IF(S271&lt;&gt;"",IF(M271="",'CONCEPTOS Y PARAMETROS'!$C$7*Z271,0),0)</f>
        <v>0</v>
      </c>
      <c r="AD271" s="1150">
        <f>IFERROR(ROUND(VLOOKUP($X271,'CONCEPTOS Y PARAMETROS'!H:I,2,0)*($V271+AA271+AB271+AC271),2),0)</f>
        <v>94</v>
      </c>
      <c r="AE271" s="1150">
        <f t="shared" ref="AE271:AE272" si="804">SUM(AA271:AD271)</f>
        <v>224</v>
      </c>
      <c r="AF271" s="1150">
        <f t="shared" ref="AF271:AF272" si="805">ROUND(AA271/2,2)</f>
        <v>0</v>
      </c>
      <c r="AG271" s="1150">
        <f t="shared" ref="AG271:AG272" si="806">ROUND(AA271-AF271,2)</f>
        <v>0</v>
      </c>
      <c r="AH271" s="1150">
        <f t="shared" ref="AH271:AH272" si="807">ROUND(AB271/2,2)</f>
        <v>65</v>
      </c>
      <c r="AI271" s="1150">
        <f t="shared" ref="AI271:AI272" si="808">ROUND(AB271-AH271,2)</f>
        <v>65</v>
      </c>
      <c r="AJ271" s="1150">
        <f t="shared" ref="AJ271:AJ272" si="809">ROUND(AD271/2,2)</f>
        <v>47</v>
      </c>
      <c r="AK271" s="1150">
        <f t="shared" ref="AK271:AK272" si="810">ROUND(AD271-AJ271,2)</f>
        <v>47</v>
      </c>
      <c r="AL271" s="1151">
        <f t="shared" ref="AL271:AL272" si="811">ROUND(AF271+AH271+AJ271+AC271,2)</f>
        <v>112</v>
      </c>
      <c r="AM271" s="1151">
        <f t="shared" ref="AM271:AM272" si="812">ROUND(AG271+AI271+AK271,2)</f>
        <v>112</v>
      </c>
      <c r="AN271" s="1028">
        <v>0</v>
      </c>
      <c r="AO271" s="1193">
        <f>'CONCEPTOS Y PARAMETROS'!$C$18*AN271</f>
        <v>0</v>
      </c>
      <c r="AP271" s="1028">
        <v>0</v>
      </c>
      <c r="AQ271" s="1193">
        <f>'CONCEPTOS Y PARAMETROS'!$C$21*AP271</f>
        <v>0</v>
      </c>
      <c r="AR271" s="1394">
        <v>0</v>
      </c>
      <c r="AS271" s="1394">
        <v>0</v>
      </c>
      <c r="AT271" s="1394">
        <f t="shared" ref="AT271:AT272" si="813">+AO271+AQ271+AR271+AS271</f>
        <v>0</v>
      </c>
      <c r="AU271" s="1151">
        <f t="shared" ref="AU271:AU272" si="814">V271+AE271+AW271</f>
        <v>470</v>
      </c>
      <c r="AV271" s="1178">
        <v>0</v>
      </c>
      <c r="AW271" s="1151">
        <f t="shared" ref="AW271:AW272" si="815">ROUND(IF(AV271="NOCTURN",(V271+AE271)*30%,0),2)</f>
        <v>0</v>
      </c>
      <c r="AX271" s="1150">
        <f>IF(T271&lt;&gt;"0",(ROUND(IF(A271="EMPLEADO",eval_formula('CONCEPTOS Y PARAMETROS'!$C$8,NOMINA!V271,NOMINA!$AU271,NOMINA!I271+NOMINA!J271),eval_formula('CONCEPTOS Y PARAMETROS'!$D$8,NOMINA!V271,NOMINA!$AU271,NOMINA!I271+NOMINA!J271)),2))*IF(H271&lt;&gt;"",IF(MONTH(H271)=$BR$8,IF(YEAR(H271)&lt;$BT$7,1,0),0)))</f>
        <v>0</v>
      </c>
      <c r="AY271" s="1151">
        <v>120</v>
      </c>
      <c r="AZ271" s="1150">
        <f>IFERROR(VLOOKUP(AY271,'CONCEPTOS Y PARAMETROS'!Y:Z,2,0),0)</f>
        <v>100</v>
      </c>
      <c r="BA271" s="1150">
        <f t="shared" ref="BA271:BA272" si="816">ROUND((((AU271))/30*AY271/12+(AU271))/30*AZ271,2)</f>
        <v>2088.89</v>
      </c>
      <c r="BB271" s="1150">
        <f t="shared" si="643"/>
        <v>0</v>
      </c>
      <c r="BC271" s="1028">
        <v>0</v>
      </c>
      <c r="BD271" s="1150" t="str">
        <f t="shared" ref="BD271:BD272" si="817">IF(BC271&gt;0,((((((V271+AA271+AB271+AC271+AD271)/30)/8)*50%)+((((V271+AA271+AB271+AC271+AD271)/30)/8)))*30%+(((((V271+AA271+AB271+AC271+AD271)/30)/8)*50%)+((((V271+AA271+AB271+AC271+AD271)/30)/8))))*BC271,"0")</f>
        <v>0</v>
      </c>
      <c r="BE271" s="1028">
        <v>0</v>
      </c>
      <c r="BF271" s="1150">
        <f t="shared" si="702"/>
        <v>0</v>
      </c>
      <c r="BG271" s="1151">
        <v>300</v>
      </c>
      <c r="BH271" s="1151">
        <f t="shared" si="647"/>
        <v>0</v>
      </c>
      <c r="BI271" s="1180">
        <v>0</v>
      </c>
      <c r="BJ271" s="1180">
        <f t="shared" si="642"/>
        <v>0</v>
      </c>
      <c r="BK271" s="1151">
        <v>0</v>
      </c>
      <c r="BL271" s="1150">
        <f t="shared" si="696"/>
        <v>17.350000000000001</v>
      </c>
      <c r="BM271" s="1150">
        <f t="shared" si="697"/>
        <v>2.17</v>
      </c>
      <c r="BN271" s="1150">
        <f t="shared" si="644"/>
        <v>4.7</v>
      </c>
      <c r="BO271" s="1150">
        <v>0</v>
      </c>
      <c r="BP271" s="1150">
        <v>0</v>
      </c>
      <c r="BQ271" s="1396">
        <f t="shared" ref="BQ271:BQ272" si="818">ROUND(SUM(BL271:BP271),2)</f>
        <v>24.22</v>
      </c>
      <c r="BR271" s="1150">
        <f t="shared" si="699"/>
        <v>39.049999999999997</v>
      </c>
      <c r="BS271" s="1150">
        <f t="shared" si="700"/>
        <v>8.68</v>
      </c>
      <c r="BT271" s="1150">
        <f t="shared" si="649"/>
        <v>9.4</v>
      </c>
      <c r="BU271" s="1150">
        <v>0</v>
      </c>
      <c r="BV271" s="1151">
        <f t="shared" ref="BV271" si="819">ROUND(SUM(BR271:BT271),2)</f>
        <v>57.13</v>
      </c>
      <c r="BW271" s="1155">
        <f t="shared" ref="BW271:BW272" si="820">BQ271+BV271</f>
        <v>81.349999999999994</v>
      </c>
      <c r="BX271" s="1155">
        <f>ROUND(BA271/4,2)</f>
        <v>522.22</v>
      </c>
      <c r="BY271" s="1151">
        <v>0</v>
      </c>
      <c r="BZ271" s="1151">
        <f t="shared" si="641"/>
        <v>522.22</v>
      </c>
      <c r="CA271" s="1397">
        <f>'CONCEPTOS Y PARAMETROS'!$A$102</f>
        <v>2120</v>
      </c>
      <c r="CB271" s="1155">
        <f t="shared" si="652"/>
        <v>210.78</v>
      </c>
      <c r="CC271" s="1156">
        <f t="shared" si="653"/>
        <v>535</v>
      </c>
      <c r="CD271" s="514"/>
      <c r="CE271" s="514"/>
      <c r="CF271" s="521"/>
      <c r="CG271" s="511">
        <f t="shared" si="654"/>
        <v>210.78</v>
      </c>
      <c r="CH271" s="1712">
        <f t="shared" si="655"/>
        <v>300</v>
      </c>
      <c r="CI271" s="511">
        <f t="shared" si="656"/>
        <v>535</v>
      </c>
      <c r="CJ271" s="511">
        <f t="shared" si="657"/>
        <v>535</v>
      </c>
      <c r="CK271" s="511">
        <f t="shared" si="658"/>
        <v>0</v>
      </c>
      <c r="CL271" s="511">
        <f t="shared" si="659"/>
        <v>0</v>
      </c>
      <c r="CM271" s="511">
        <f t="shared" si="660"/>
        <v>0</v>
      </c>
      <c r="CN271" s="512">
        <f t="shared" si="661"/>
        <v>0</v>
      </c>
      <c r="CO271" s="513">
        <v>0</v>
      </c>
      <c r="CP271" s="512">
        <f t="shared" si="662"/>
        <v>0</v>
      </c>
      <c r="CQ271" s="500">
        <f t="shared" si="663"/>
        <v>0</v>
      </c>
      <c r="CR271" s="512">
        <f t="shared" si="664"/>
        <v>0</v>
      </c>
      <c r="CS271" s="512">
        <f t="shared" si="665"/>
        <v>0</v>
      </c>
      <c r="CT271" s="512">
        <f t="shared" si="666"/>
        <v>81.349999999999994</v>
      </c>
      <c r="CU271" s="512">
        <f t="shared" si="667"/>
        <v>2120</v>
      </c>
      <c r="CV271" s="1556"/>
      <c r="CW271" s="1195" t="s">
        <v>7081</v>
      </c>
      <c r="CX271" s="1195" t="s">
        <v>7140</v>
      </c>
      <c r="CY271" s="514"/>
      <c r="CZ271" s="1199" t="s">
        <v>6684</v>
      </c>
      <c r="DA271" s="1199" t="s">
        <v>6299</v>
      </c>
      <c r="DB271" s="1199" t="s">
        <v>6299</v>
      </c>
      <c r="DC271" s="1199" t="s">
        <v>6561</v>
      </c>
      <c r="DD271" s="514"/>
      <c r="DE271" s="514"/>
      <c r="DF271" s="514"/>
      <c r="DG271" s="514"/>
      <c r="DH271" s="514"/>
      <c r="DJ271" s="478" t="str">
        <f>VLOOKUP(X271,Hoja1!$A$4:$B$10,2,0)</f>
        <v>PROFESIONAL</v>
      </c>
      <c r="DK271" s="478" t="str">
        <f>VLOOKUP(S271,Hoja1!$D$4:$F$77,3,0)</f>
        <v>PI</v>
      </c>
      <c r="DL271" s="1218" t="str">
        <f t="shared" si="668"/>
        <v>0</v>
      </c>
      <c r="DM271" s="1743" t="str">
        <f t="shared" si="669"/>
        <v>F</v>
      </c>
      <c r="DN271" s="1743"/>
    </row>
    <row r="272" spans="1:118" s="478" customFormat="1" ht="21.95" customHeight="1">
      <c r="A272" s="510" t="s">
        <v>2846</v>
      </c>
      <c r="B272" s="1390">
        <f t="shared" ca="1" si="801"/>
        <v>230</v>
      </c>
      <c r="C272" s="1194">
        <v>23775734</v>
      </c>
      <c r="D272" s="1195" t="s">
        <v>7390</v>
      </c>
      <c r="E272" s="1180" t="s">
        <v>4622</v>
      </c>
      <c r="F272" s="1161">
        <v>34387</v>
      </c>
      <c r="G272" s="1180" t="s">
        <v>4620</v>
      </c>
      <c r="H272" s="1161">
        <v>45627</v>
      </c>
      <c r="I272" s="1185">
        <f t="shared" si="645"/>
        <v>0</v>
      </c>
      <c r="J272" s="1177">
        <f>5</f>
        <v>5</v>
      </c>
      <c r="K272" s="1185">
        <f t="shared" si="646"/>
        <v>5</v>
      </c>
      <c r="L272" s="1448" t="s">
        <v>5551</v>
      </c>
      <c r="M272" s="1177"/>
      <c r="N272" s="1177"/>
      <c r="O272" s="1040" t="s">
        <v>5222</v>
      </c>
      <c r="P272" s="1197" t="s">
        <v>7391</v>
      </c>
      <c r="Q272" s="1391" t="str">
        <f>IFERROR(VLOOKUP(O272,CARGOS!A:E,2,0),"")</f>
        <v>79511</v>
      </c>
      <c r="R272" s="1392" t="s">
        <v>5222</v>
      </c>
      <c r="S272" s="1192" t="s">
        <v>5483</v>
      </c>
      <c r="T272" s="1150">
        <f>IFERROR(VLOOKUP(S272,'TAB EMP'!A:B,2,0),0)</f>
        <v>130</v>
      </c>
      <c r="U272" s="1151">
        <v>0</v>
      </c>
      <c r="V272" s="1150">
        <f t="shared" si="802"/>
        <v>130</v>
      </c>
      <c r="W272" s="1151">
        <f t="shared" si="803"/>
        <v>65</v>
      </c>
      <c r="X272" s="1180" t="s">
        <v>2884</v>
      </c>
      <c r="Y272" s="1180"/>
      <c r="Z272" s="1180">
        <v>1</v>
      </c>
      <c r="AA272" s="1150">
        <f>ROUND(IF(H272&lt;&gt;"",VLOOKUP(SUM(I272+J272),'CONCEPTOS Y PARAMETROS'!F:G,2,0)*V272,0),2)</f>
        <v>6.5</v>
      </c>
      <c r="AB272" s="1150">
        <f>IF(S272&lt;&gt;"",IF(M272="",'CONCEPTOS Y PARAMETROS'!$C$4,0),0)</f>
        <v>130</v>
      </c>
      <c r="AC272" s="1150">
        <f>IF(S272&lt;&gt;"",IF(M272="",'CONCEPTOS Y PARAMETROS'!$C$7*Z272,0),0)</f>
        <v>12.5</v>
      </c>
      <c r="AD272" s="1150">
        <f>IFERROR(ROUND(VLOOKUP($X272,'CONCEPTOS Y PARAMETROS'!H:I,2,0)*($V272+AA272+AB272+AC272),2),0)</f>
        <v>0</v>
      </c>
      <c r="AE272" s="1150">
        <f t="shared" si="804"/>
        <v>149</v>
      </c>
      <c r="AF272" s="1150">
        <f t="shared" si="805"/>
        <v>3.25</v>
      </c>
      <c r="AG272" s="1150">
        <f t="shared" si="806"/>
        <v>3.25</v>
      </c>
      <c r="AH272" s="1150">
        <f t="shared" si="807"/>
        <v>65</v>
      </c>
      <c r="AI272" s="1150">
        <f t="shared" si="808"/>
        <v>65</v>
      </c>
      <c r="AJ272" s="1150">
        <f t="shared" si="809"/>
        <v>0</v>
      </c>
      <c r="AK272" s="1150">
        <f t="shared" si="810"/>
        <v>0</v>
      </c>
      <c r="AL272" s="1151">
        <f t="shared" si="811"/>
        <v>80.75</v>
      </c>
      <c r="AM272" s="1151">
        <f t="shared" si="812"/>
        <v>68.25</v>
      </c>
      <c r="AN272" s="1028">
        <v>0</v>
      </c>
      <c r="AO272" s="1193">
        <f>'CONCEPTOS Y PARAMETROS'!$C$18*AN272</f>
        <v>0</v>
      </c>
      <c r="AP272" s="1028">
        <v>0</v>
      </c>
      <c r="AQ272" s="1193">
        <f>'CONCEPTOS Y PARAMETROS'!$C$21*AP272</f>
        <v>0</v>
      </c>
      <c r="AR272" s="1394">
        <v>0</v>
      </c>
      <c r="AS272" s="1394">
        <v>0</v>
      </c>
      <c r="AT272" s="1394">
        <f t="shared" si="813"/>
        <v>0</v>
      </c>
      <c r="AU272" s="1151">
        <f t="shared" si="814"/>
        <v>362.7</v>
      </c>
      <c r="AV272" s="1178" t="s">
        <v>5080</v>
      </c>
      <c r="AW272" s="1151">
        <f t="shared" si="815"/>
        <v>83.7</v>
      </c>
      <c r="AX272" s="1150">
        <f>IF(T272&lt;&gt;"0",(ROUND(IF(A272="EMPLEADO",eval_formula('CONCEPTOS Y PARAMETROS'!$C$8,NOMINA!V272,NOMINA!$AU272,NOMINA!I272+NOMINA!J272),eval_formula('CONCEPTOS Y PARAMETROS'!$D$8,NOMINA!V272,NOMINA!$AU272,NOMINA!I272+NOMINA!J272)),2))*IF(H272&lt;&gt;"",IF(MONTH(H272)=$BR$8,IF(YEAR(H272)&lt;$BT$7,1,0),0)))</f>
        <v>0</v>
      </c>
      <c r="AY272" s="1151">
        <v>15</v>
      </c>
      <c r="AZ272" s="1150">
        <f>IFERROR(VLOOKUP(AY272,'CONCEPTOS Y PARAMETROS'!Y:Z,2,0),0)</f>
        <v>12.5</v>
      </c>
      <c r="BA272" s="1150">
        <f t="shared" si="816"/>
        <v>157.41999999999999</v>
      </c>
      <c r="BB272" s="1150">
        <f t="shared" si="643"/>
        <v>0</v>
      </c>
      <c r="BC272" s="1028">
        <v>0</v>
      </c>
      <c r="BD272" s="1150" t="str">
        <f t="shared" si="817"/>
        <v>0</v>
      </c>
      <c r="BE272" s="1028">
        <v>5</v>
      </c>
      <c r="BF272" s="1150">
        <f t="shared" si="702"/>
        <v>90.68</v>
      </c>
      <c r="BG272" s="1151">
        <v>300</v>
      </c>
      <c r="BH272" s="1151">
        <f t="shared" si="647"/>
        <v>0</v>
      </c>
      <c r="BI272" s="1180">
        <v>0</v>
      </c>
      <c r="BJ272" s="1180">
        <f t="shared" si="642"/>
        <v>0</v>
      </c>
      <c r="BK272" s="1151">
        <v>0</v>
      </c>
      <c r="BL272" s="1150">
        <f t="shared" si="696"/>
        <v>13.39</v>
      </c>
      <c r="BM272" s="1150">
        <f t="shared" si="697"/>
        <v>1.67</v>
      </c>
      <c r="BN272" s="1150">
        <f t="shared" si="644"/>
        <v>3.63</v>
      </c>
      <c r="BO272" s="1150">
        <v>0</v>
      </c>
      <c r="BP272" s="1150">
        <v>0</v>
      </c>
      <c r="BQ272" s="1396">
        <f t="shared" si="818"/>
        <v>18.690000000000001</v>
      </c>
      <c r="BR272" s="1150">
        <f t="shared" si="699"/>
        <v>30.13</v>
      </c>
      <c r="BS272" s="1150">
        <f t="shared" si="700"/>
        <v>6.7</v>
      </c>
      <c r="BT272" s="1150">
        <f t="shared" si="649"/>
        <v>7.26</v>
      </c>
      <c r="BU272" s="1150">
        <v>0</v>
      </c>
      <c r="BV272" s="1151">
        <f t="shared" ref="BV272" si="821">ROUND(SUM(BR272:BT272),2)</f>
        <v>44.09</v>
      </c>
      <c r="BW272" s="1155">
        <f t="shared" si="820"/>
        <v>62.78</v>
      </c>
      <c r="BX272" s="1155">
        <f>ROUND(BA272/1,2)</f>
        <v>157.41999999999999</v>
      </c>
      <c r="BY272" s="1151">
        <v>0</v>
      </c>
      <c r="BZ272" s="1151">
        <f t="shared" si="641"/>
        <v>157.41999999999999</v>
      </c>
      <c r="CA272" s="1397">
        <f>'CONCEPTOS Y PARAMETROS'!$A$102</f>
        <v>2120</v>
      </c>
      <c r="CB272" s="1155">
        <f t="shared" si="652"/>
        <v>127.06</v>
      </c>
      <c r="CC272" s="1156">
        <f t="shared" si="653"/>
        <v>607.63</v>
      </c>
      <c r="CD272" s="1582"/>
      <c r="CE272" s="514"/>
      <c r="CG272" s="511">
        <f t="shared" si="654"/>
        <v>127.06</v>
      </c>
      <c r="CH272" s="1712">
        <f t="shared" si="655"/>
        <v>300</v>
      </c>
      <c r="CI272" s="511">
        <f t="shared" si="656"/>
        <v>433.25</v>
      </c>
      <c r="CJ272" s="511">
        <f t="shared" si="657"/>
        <v>433.25</v>
      </c>
      <c r="CK272" s="511">
        <f t="shared" si="658"/>
        <v>0</v>
      </c>
      <c r="CL272" s="511">
        <f t="shared" si="659"/>
        <v>0</v>
      </c>
      <c r="CM272" s="511">
        <f t="shared" si="660"/>
        <v>0</v>
      </c>
      <c r="CN272" s="512">
        <f t="shared" si="661"/>
        <v>90.68</v>
      </c>
      <c r="CO272" s="513">
        <v>0</v>
      </c>
      <c r="CP272" s="512">
        <f t="shared" si="662"/>
        <v>83.7</v>
      </c>
      <c r="CQ272" s="1616">
        <f t="shared" si="663"/>
        <v>0</v>
      </c>
      <c r="CR272" s="512">
        <f t="shared" si="664"/>
        <v>0</v>
      </c>
      <c r="CS272" s="512">
        <f t="shared" si="665"/>
        <v>174.38</v>
      </c>
      <c r="CT272" s="512">
        <f t="shared" si="666"/>
        <v>62.78</v>
      </c>
      <c r="CU272" s="512">
        <f t="shared" si="667"/>
        <v>2120</v>
      </c>
      <c r="CV272" s="1556"/>
      <c r="CW272" s="1195" t="s">
        <v>6998</v>
      </c>
      <c r="CX272" s="1195" t="s">
        <v>7442</v>
      </c>
      <c r="CY272" s="514"/>
      <c r="CZ272" s="1671" t="s">
        <v>7443</v>
      </c>
      <c r="DA272" s="514"/>
      <c r="DB272" s="514"/>
      <c r="DC272" s="514"/>
      <c r="DD272" s="514"/>
      <c r="DE272" s="514"/>
      <c r="DF272" s="514"/>
      <c r="DG272" s="514"/>
      <c r="DH272" s="514"/>
      <c r="DJ272" s="478" t="str">
        <f>VLOOKUP(X272,Hoja1!$A$4:$B$10,2,0)</f>
        <v>BACHILLER</v>
      </c>
      <c r="DK272" s="478" t="str">
        <f>VLOOKUP(S272,Hoja1!$D$4:$F$77,3,0)</f>
        <v>BI</v>
      </c>
      <c r="DL272" s="1614" t="str">
        <f t="shared" si="668"/>
        <v>SI</v>
      </c>
      <c r="DM272" s="1743" t="str">
        <f t="shared" si="669"/>
        <v>F</v>
      </c>
      <c r="DN272" s="1743"/>
    </row>
    <row r="273" spans="1:118" s="473" customFormat="1" ht="21.95" customHeight="1">
      <c r="A273" s="522" t="s">
        <v>2846</v>
      </c>
      <c r="B273" s="1471">
        <f t="shared" ref="B273:B309" ca="1" si="822">OFFSET(B273,-1,0)+1</f>
        <v>231</v>
      </c>
      <c r="C273" s="1472">
        <v>24565372</v>
      </c>
      <c r="D273" s="1473" t="s">
        <v>4906</v>
      </c>
      <c r="E273" s="1474" t="s">
        <v>4622</v>
      </c>
      <c r="F273" s="1475">
        <v>34371</v>
      </c>
      <c r="G273" s="1474" t="s">
        <v>4621</v>
      </c>
      <c r="H273" s="1475">
        <v>40360</v>
      </c>
      <c r="I273" s="1476">
        <f t="shared" si="645"/>
        <v>14</v>
      </c>
      <c r="J273" s="1477">
        <v>0</v>
      </c>
      <c r="K273" s="1476">
        <f t="shared" si="646"/>
        <v>14</v>
      </c>
      <c r="L273" s="1478" t="s">
        <v>5554</v>
      </c>
      <c r="M273" s="1477"/>
      <c r="N273" s="1477"/>
      <c r="O273" s="1479" t="s">
        <v>5271</v>
      </c>
      <c r="P273" s="1477" t="s">
        <v>5446</v>
      </c>
      <c r="Q273" s="1398" t="str">
        <f>IFERROR(VLOOKUP(O273,CARGOS!A:E,2,0),"")</f>
        <v>31330</v>
      </c>
      <c r="R273" s="1401" t="s">
        <v>5271</v>
      </c>
      <c r="S273" s="1480" t="s">
        <v>5477</v>
      </c>
      <c r="T273" s="1481">
        <f>IFERROR(VLOOKUP(S273,'TAB EMP'!A:B,2,0),0)*0</f>
        <v>0</v>
      </c>
      <c r="U273" s="1482">
        <v>0</v>
      </c>
      <c r="V273" s="1481">
        <f t="shared" si="739"/>
        <v>0</v>
      </c>
      <c r="W273" s="1482">
        <f t="shared" si="740"/>
        <v>0</v>
      </c>
      <c r="X273" s="1474" t="s">
        <v>2885</v>
      </c>
      <c r="Y273" s="1474"/>
      <c r="Z273" s="1180">
        <v>0</v>
      </c>
      <c r="AA273" s="1481">
        <f>ROUND(IF(H273&lt;&gt;"",VLOOKUP(SUM(I273+J273),'CONCEPTOS Y PARAMETROS'!F:G,2,0)*V273,0),2)</f>
        <v>0</v>
      </c>
      <c r="AB273" s="1481">
        <f>IF(S273&lt;&gt;"",IF(M273="",'CONCEPTOS Y PARAMETROS'!$C$4,0),0)*0</f>
        <v>0</v>
      </c>
      <c r="AC273" s="1481">
        <f>IF(S273&lt;&gt;"",IF(M273="",'CONCEPTOS Y PARAMETROS'!$C$7*Z273,0),0)</f>
        <v>0</v>
      </c>
      <c r="AD273" s="1481">
        <f>IFERROR(ROUND(VLOOKUP($X273,'CONCEPTOS Y PARAMETROS'!H:I,2,0)*($V273+AA273+AB273+AC273),2),0)</f>
        <v>0</v>
      </c>
      <c r="AE273" s="1481">
        <f t="shared" si="701"/>
        <v>0</v>
      </c>
      <c r="AF273" s="1481">
        <f t="shared" si="741"/>
        <v>0</v>
      </c>
      <c r="AG273" s="1481">
        <f t="shared" si="742"/>
        <v>0</v>
      </c>
      <c r="AH273" s="1481">
        <f t="shared" si="743"/>
        <v>0</v>
      </c>
      <c r="AI273" s="1481">
        <f t="shared" si="744"/>
        <v>0</v>
      </c>
      <c r="AJ273" s="1481">
        <f t="shared" si="745"/>
        <v>0</v>
      </c>
      <c r="AK273" s="1481">
        <f t="shared" si="746"/>
        <v>0</v>
      </c>
      <c r="AL273" s="1482">
        <f t="shared" si="747"/>
        <v>0</v>
      </c>
      <c r="AM273" s="1482">
        <f t="shared" si="748"/>
        <v>0</v>
      </c>
      <c r="AN273" s="1028">
        <v>0</v>
      </c>
      <c r="AO273" s="1483">
        <f>'CONCEPTOS Y PARAMETROS'!$C$18*AN273</f>
        <v>0</v>
      </c>
      <c r="AP273" s="1484">
        <v>0</v>
      </c>
      <c r="AQ273" s="1483">
        <f>'CONCEPTOS Y PARAMETROS'!$C$21*AP273</f>
        <v>0</v>
      </c>
      <c r="AR273" s="1485">
        <v>0</v>
      </c>
      <c r="AS273" s="1485">
        <v>0</v>
      </c>
      <c r="AT273" s="1485">
        <f t="shared" si="672"/>
        <v>0</v>
      </c>
      <c r="AU273" s="1482">
        <f t="shared" si="749"/>
        <v>0</v>
      </c>
      <c r="AV273" s="1486">
        <v>0</v>
      </c>
      <c r="AW273" s="1482">
        <f t="shared" si="673"/>
        <v>0</v>
      </c>
      <c r="AX273" s="1481">
        <f>IF(T273&lt;&gt;"0",(ROUND(IF(A273="EMPLEADO",eval_formula('CONCEPTOS Y PARAMETROS'!$C$8,NOMINA!V273,NOMINA!$AU273,NOMINA!I273+NOMINA!J273),eval_formula('CONCEPTOS Y PARAMETROS'!$D$8,NOMINA!V273,NOMINA!$AU273,NOMINA!I273+NOMINA!J273)),2))*IF(H273&lt;&gt;"",IF(MONTH(H273)=$BR$8,IF(YEAR(H273)&lt;$BT$7,1,0),0)))</f>
        <v>0</v>
      </c>
      <c r="AY273" s="1481">
        <v>180</v>
      </c>
      <c r="AZ273" s="1481">
        <f>IFERROR(VLOOKUP(AY273,'CONCEPTOS Y PARAMETROS'!Y:Z,2,0),0)</f>
        <v>150</v>
      </c>
      <c r="BA273" s="1481">
        <f t="shared" si="750"/>
        <v>0</v>
      </c>
      <c r="BB273" s="1481">
        <f t="shared" si="643"/>
        <v>0</v>
      </c>
      <c r="BC273" s="1484">
        <v>0</v>
      </c>
      <c r="BD273" s="1481" t="str">
        <f t="shared" si="751"/>
        <v>0</v>
      </c>
      <c r="BE273" s="1484">
        <v>0</v>
      </c>
      <c r="BF273" s="1481">
        <f t="shared" si="702"/>
        <v>0</v>
      </c>
      <c r="BG273" s="1482">
        <v>0</v>
      </c>
      <c r="BH273" s="1482">
        <f t="shared" si="647"/>
        <v>0</v>
      </c>
      <c r="BI273" s="1474">
        <v>0</v>
      </c>
      <c r="BJ273" s="1474">
        <f t="shared" si="642"/>
        <v>0</v>
      </c>
      <c r="BK273" s="1482">
        <v>0</v>
      </c>
      <c r="BL273" s="1481">
        <f t="shared" si="696"/>
        <v>0</v>
      </c>
      <c r="BM273" s="1481">
        <f t="shared" si="697"/>
        <v>0</v>
      </c>
      <c r="BN273" s="1481">
        <f t="shared" si="644"/>
        <v>0</v>
      </c>
      <c r="BO273" s="1481">
        <v>0</v>
      </c>
      <c r="BP273" s="1481">
        <v>0</v>
      </c>
      <c r="BQ273" s="1545">
        <f t="shared" si="677"/>
        <v>0</v>
      </c>
      <c r="BR273" s="1481">
        <f t="shared" si="699"/>
        <v>0</v>
      </c>
      <c r="BS273" s="1481">
        <f t="shared" si="700"/>
        <v>0</v>
      </c>
      <c r="BT273" s="1481">
        <f t="shared" si="649"/>
        <v>0</v>
      </c>
      <c r="BU273" s="1481">
        <v>0</v>
      </c>
      <c r="BV273" s="1482">
        <f t="shared" si="678"/>
        <v>0</v>
      </c>
      <c r="BW273" s="1487">
        <f t="shared" si="679"/>
        <v>0</v>
      </c>
      <c r="BX273" s="1487">
        <f t="shared" ref="BX273:BX294" si="823">ROUND(BA273/4,2)</f>
        <v>0</v>
      </c>
      <c r="BY273" s="1482">
        <v>0</v>
      </c>
      <c r="BZ273" s="1482">
        <f t="shared" si="641"/>
        <v>0</v>
      </c>
      <c r="CA273" s="1546">
        <v>0</v>
      </c>
      <c r="CB273" s="1487">
        <f t="shared" si="652"/>
        <v>0</v>
      </c>
      <c r="CC273" s="1547">
        <f t="shared" si="653"/>
        <v>0</v>
      </c>
      <c r="CD273" s="524"/>
      <c r="CE273" s="524"/>
      <c r="CF273" s="523"/>
      <c r="CG273" s="1548">
        <f t="shared" si="654"/>
        <v>0</v>
      </c>
      <c r="CH273" s="1717">
        <f t="shared" si="655"/>
        <v>0</v>
      </c>
      <c r="CI273" s="1548">
        <f t="shared" si="656"/>
        <v>0</v>
      </c>
      <c r="CJ273" s="1548">
        <f t="shared" si="657"/>
        <v>0</v>
      </c>
      <c r="CK273" s="1548">
        <f t="shared" si="658"/>
        <v>0</v>
      </c>
      <c r="CL273" s="1548">
        <f t="shared" si="659"/>
        <v>0</v>
      </c>
      <c r="CM273" s="1548">
        <f t="shared" si="660"/>
        <v>0</v>
      </c>
      <c r="CN273" s="1549">
        <f t="shared" si="661"/>
        <v>0</v>
      </c>
      <c r="CO273" s="1550">
        <v>0</v>
      </c>
      <c r="CP273" s="1549">
        <f t="shared" si="662"/>
        <v>0</v>
      </c>
      <c r="CQ273" s="1612">
        <f t="shared" si="663"/>
        <v>0</v>
      </c>
      <c r="CR273" s="1549">
        <f t="shared" si="664"/>
        <v>0</v>
      </c>
      <c r="CS273" s="1549">
        <f t="shared" si="665"/>
        <v>0</v>
      </c>
      <c r="CT273" s="1549">
        <f t="shared" si="666"/>
        <v>0</v>
      </c>
      <c r="CU273" s="1549">
        <f t="shared" si="667"/>
        <v>0</v>
      </c>
      <c r="CV273" s="1560"/>
      <c r="CW273" s="1473" t="s">
        <v>7141</v>
      </c>
      <c r="CX273" s="1473" t="s">
        <v>7142</v>
      </c>
      <c r="CY273" s="524"/>
      <c r="CZ273" s="1551" t="s">
        <v>6667</v>
      </c>
      <c r="DA273" s="1551" t="s">
        <v>6173</v>
      </c>
      <c r="DB273" s="1551" t="s">
        <v>6787</v>
      </c>
      <c r="DC273" s="524" t="s">
        <v>6719</v>
      </c>
      <c r="DD273" s="524"/>
      <c r="DE273" s="524"/>
      <c r="DF273" s="524"/>
      <c r="DG273" s="524"/>
      <c r="DH273" s="524"/>
      <c r="DI273" s="525"/>
      <c r="DJ273" s="525" t="str">
        <f>VLOOKUP(X273,Hoja1!$A$4:$B$10,2,0)</f>
        <v>PROFESIONAL</v>
      </c>
      <c r="DK273" s="525" t="str">
        <f>VLOOKUP(S273,Hoja1!$D$4:$F$77,3,0)</f>
        <v>BIII - V</v>
      </c>
      <c r="DL273" s="345" t="str">
        <f t="shared" si="668"/>
        <v>0</v>
      </c>
      <c r="DM273" s="1764" t="str">
        <f t="shared" si="669"/>
        <v>M</v>
      </c>
      <c r="DN273" s="1764"/>
    </row>
    <row r="274" spans="1:118" s="473" customFormat="1" ht="21.95" customHeight="1">
      <c r="A274" s="510" t="s">
        <v>2846</v>
      </c>
      <c r="B274" s="1390">
        <f t="shared" ca="1" si="822"/>
        <v>232</v>
      </c>
      <c r="C274" s="1194">
        <v>25006139</v>
      </c>
      <c r="D274" s="1195" t="s">
        <v>4908</v>
      </c>
      <c r="E274" s="1180" t="s">
        <v>4622</v>
      </c>
      <c r="F274" s="1196">
        <v>34640</v>
      </c>
      <c r="G274" s="1180" t="s">
        <v>4620</v>
      </c>
      <c r="H274" s="1196">
        <v>43512</v>
      </c>
      <c r="I274" s="1185">
        <f t="shared" si="645"/>
        <v>5</v>
      </c>
      <c r="J274" s="1177">
        <v>0</v>
      </c>
      <c r="K274" s="1185">
        <f t="shared" si="646"/>
        <v>5</v>
      </c>
      <c r="L274" s="1191" t="s">
        <v>5542</v>
      </c>
      <c r="M274" s="1177"/>
      <c r="N274" s="1177"/>
      <c r="O274" s="1040" t="s">
        <v>5222</v>
      </c>
      <c r="P274" s="1177" t="s">
        <v>5447</v>
      </c>
      <c r="Q274" s="1391" t="str">
        <f>IFERROR(VLOOKUP(O274,CARGOS!A:E,2,0),"")</f>
        <v>79511</v>
      </c>
      <c r="R274" s="1403" t="s">
        <v>5222</v>
      </c>
      <c r="S274" s="1192" t="s">
        <v>5490</v>
      </c>
      <c r="T274" s="1150">
        <f>IFERROR(VLOOKUP(S274,'TAB EMP'!A:B,2,0),0)</f>
        <v>150</v>
      </c>
      <c r="U274" s="1151">
        <v>0</v>
      </c>
      <c r="V274" s="1150">
        <f t="shared" si="739"/>
        <v>150</v>
      </c>
      <c r="W274" s="1151">
        <f t="shared" si="740"/>
        <v>75</v>
      </c>
      <c r="X274" s="1180" t="s">
        <v>2884</v>
      </c>
      <c r="Y274" s="1180"/>
      <c r="Z274" s="1180">
        <v>1</v>
      </c>
      <c r="AA274" s="1150">
        <f>ROUND(IF(H274&lt;&gt;"",VLOOKUP(SUM(I274+J274),'CONCEPTOS Y PARAMETROS'!F:G,2,0)*V274,0),2)</f>
        <v>7.5</v>
      </c>
      <c r="AB274" s="1150">
        <f>IF(S274&lt;&gt;"",IF(M274="",'CONCEPTOS Y PARAMETROS'!$C$4,0),0)</f>
        <v>130</v>
      </c>
      <c r="AC274" s="1150">
        <f>IF(S274&lt;&gt;"",IF(M274="",'CONCEPTOS Y PARAMETROS'!$C$7*Z274,0),0)</f>
        <v>12.5</v>
      </c>
      <c r="AD274" s="1150">
        <f>IFERROR(ROUND(VLOOKUP($X274,'CONCEPTOS Y PARAMETROS'!H:I,2,0)*($V274+AA274+AB274+AC274),2),0)</f>
        <v>0</v>
      </c>
      <c r="AE274" s="1150">
        <f t="shared" si="701"/>
        <v>150</v>
      </c>
      <c r="AF274" s="1150">
        <f t="shared" si="741"/>
        <v>3.75</v>
      </c>
      <c r="AG274" s="1150">
        <f t="shared" si="742"/>
        <v>3.75</v>
      </c>
      <c r="AH274" s="1150">
        <f t="shared" si="743"/>
        <v>65</v>
      </c>
      <c r="AI274" s="1150">
        <f t="shared" si="744"/>
        <v>65</v>
      </c>
      <c r="AJ274" s="1150">
        <f t="shared" si="745"/>
        <v>0</v>
      </c>
      <c r="AK274" s="1150">
        <f t="shared" si="746"/>
        <v>0</v>
      </c>
      <c r="AL274" s="1151">
        <f t="shared" si="747"/>
        <v>81.25</v>
      </c>
      <c r="AM274" s="1151">
        <f t="shared" si="748"/>
        <v>68.75</v>
      </c>
      <c r="AN274" s="1028">
        <v>0</v>
      </c>
      <c r="AO274" s="1193">
        <f>'CONCEPTOS Y PARAMETROS'!$C$18*AN274</f>
        <v>0</v>
      </c>
      <c r="AP274" s="1028">
        <v>0</v>
      </c>
      <c r="AQ274" s="1193">
        <f>'CONCEPTOS Y PARAMETROS'!$C$21*AP274</f>
        <v>0</v>
      </c>
      <c r="AR274" s="1394">
        <v>0</v>
      </c>
      <c r="AS274" s="1394">
        <v>0</v>
      </c>
      <c r="AT274" s="1394">
        <f t="shared" ref="AT274:AT308" si="824">+AO274+AQ274+AR274+AS274</f>
        <v>0</v>
      </c>
      <c r="AU274" s="1151">
        <f t="shared" si="749"/>
        <v>390</v>
      </c>
      <c r="AV274" s="1178" t="s">
        <v>5080</v>
      </c>
      <c r="AW274" s="1151">
        <f t="shared" si="673"/>
        <v>90</v>
      </c>
      <c r="AX274" s="1150">
        <f>IF(T274&lt;&gt;"0",(ROUND(IF(A274="EMPLEADO",eval_formula('CONCEPTOS Y PARAMETROS'!$C$8,NOMINA!V274,NOMINA!$AU274,NOMINA!I274+NOMINA!J274),eval_formula('CONCEPTOS Y PARAMETROS'!$D$8,NOMINA!V274,NOMINA!$AU274,NOMINA!I274+NOMINA!J274)),2))*IF(H274&lt;&gt;"",IF(MONTH(H274)=$BR$8,IF(YEAR(H274)&lt;$BT$7,1,0),0)))</f>
        <v>0</v>
      </c>
      <c r="AY274" s="1151">
        <v>180</v>
      </c>
      <c r="AZ274" s="1150">
        <f>IFERROR(VLOOKUP(AY274,'CONCEPTOS Y PARAMETROS'!Y:Z,2,0),0)</f>
        <v>150</v>
      </c>
      <c r="BA274" s="1150">
        <f t="shared" si="750"/>
        <v>2925</v>
      </c>
      <c r="BB274" s="1150">
        <f t="shared" si="643"/>
        <v>0</v>
      </c>
      <c r="BC274" s="1028">
        <v>0</v>
      </c>
      <c r="BD274" s="1150" t="str">
        <f t="shared" si="751"/>
        <v>0</v>
      </c>
      <c r="BE274" s="1028">
        <v>0</v>
      </c>
      <c r="BF274" s="1150">
        <f t="shared" si="702"/>
        <v>0</v>
      </c>
      <c r="BG274" s="1151">
        <v>300</v>
      </c>
      <c r="BH274" s="1151">
        <f t="shared" si="647"/>
        <v>0</v>
      </c>
      <c r="BI274" s="1180">
        <v>0</v>
      </c>
      <c r="BJ274" s="1180">
        <f t="shared" si="642"/>
        <v>0</v>
      </c>
      <c r="BK274" s="1151">
        <v>0</v>
      </c>
      <c r="BL274" s="1150">
        <f t="shared" si="696"/>
        <v>14.4</v>
      </c>
      <c r="BM274" s="1150">
        <f t="shared" si="697"/>
        <v>1.8</v>
      </c>
      <c r="BN274" s="1150">
        <f t="shared" si="644"/>
        <v>3.9</v>
      </c>
      <c r="BO274" s="1150">
        <v>0</v>
      </c>
      <c r="BP274" s="1150">
        <v>0</v>
      </c>
      <c r="BQ274" s="1396">
        <f t="shared" si="677"/>
        <v>20.100000000000001</v>
      </c>
      <c r="BR274" s="1150">
        <f t="shared" si="699"/>
        <v>32.4</v>
      </c>
      <c r="BS274" s="1150">
        <f t="shared" si="700"/>
        <v>7.2</v>
      </c>
      <c r="BT274" s="1150">
        <f t="shared" si="649"/>
        <v>7.8</v>
      </c>
      <c r="BU274" s="1150">
        <v>0</v>
      </c>
      <c r="BV274" s="1151">
        <f t="shared" si="678"/>
        <v>47.4</v>
      </c>
      <c r="BW274" s="1155">
        <f t="shared" si="679"/>
        <v>67.5</v>
      </c>
      <c r="BX274" s="1155">
        <f t="shared" si="823"/>
        <v>731.25</v>
      </c>
      <c r="BY274" s="1151">
        <v>0</v>
      </c>
      <c r="BZ274" s="1151">
        <f t="shared" si="641"/>
        <v>731.25</v>
      </c>
      <c r="CA274" s="1397">
        <f>'CONCEPTOS Y PARAMETROS'!$A$102</f>
        <v>2120</v>
      </c>
      <c r="CB274" s="1155">
        <f t="shared" si="652"/>
        <v>136.15</v>
      </c>
      <c r="CC274" s="1156">
        <f t="shared" si="653"/>
        <v>533.75</v>
      </c>
      <c r="CD274" s="514"/>
      <c r="CE274" s="514"/>
      <c r="CF274" s="520"/>
      <c r="CG274" s="497">
        <f t="shared" si="654"/>
        <v>136.15</v>
      </c>
      <c r="CH274" s="1711">
        <f t="shared" si="655"/>
        <v>300</v>
      </c>
      <c r="CI274" s="497">
        <f t="shared" si="656"/>
        <v>443.75</v>
      </c>
      <c r="CJ274" s="497">
        <f t="shared" si="657"/>
        <v>443.75</v>
      </c>
      <c r="CK274" s="497">
        <f t="shared" si="658"/>
        <v>0</v>
      </c>
      <c r="CL274" s="497">
        <f t="shared" si="659"/>
        <v>0</v>
      </c>
      <c r="CM274" s="497">
        <f t="shared" si="660"/>
        <v>0</v>
      </c>
      <c r="CN274" s="498">
        <f t="shared" si="661"/>
        <v>0</v>
      </c>
      <c r="CO274" s="499">
        <v>0</v>
      </c>
      <c r="CP274" s="498">
        <f t="shared" si="662"/>
        <v>90</v>
      </c>
      <c r="CQ274" s="500">
        <f t="shared" si="663"/>
        <v>0</v>
      </c>
      <c r="CR274" s="498">
        <f t="shared" si="664"/>
        <v>0</v>
      </c>
      <c r="CS274" s="498">
        <f t="shared" si="665"/>
        <v>90</v>
      </c>
      <c r="CT274" s="498">
        <f t="shared" si="666"/>
        <v>67.5</v>
      </c>
      <c r="CU274" s="498">
        <f t="shared" si="667"/>
        <v>2120</v>
      </c>
      <c r="CV274" s="1554"/>
      <c r="CW274" s="1195" t="s">
        <v>7091</v>
      </c>
      <c r="CX274" s="1195" t="s">
        <v>7143</v>
      </c>
      <c r="CY274" s="472"/>
      <c r="CZ274" s="514" t="s">
        <v>6335</v>
      </c>
      <c r="DA274" s="1199" t="s">
        <v>6657</v>
      </c>
      <c r="DB274" s="514" t="s">
        <v>6273</v>
      </c>
      <c r="DC274" s="514" t="s">
        <v>6336</v>
      </c>
      <c r="DD274" s="514"/>
      <c r="DE274" s="514"/>
      <c r="DF274" s="472"/>
      <c r="DG274" s="472"/>
      <c r="DH274" s="472"/>
      <c r="DJ274" s="473" t="str">
        <f>VLOOKUP(X274,Hoja1!$A$4:$B$10,2,0)</f>
        <v>BACHILLER</v>
      </c>
      <c r="DK274" s="473" t="str">
        <f>VLOOKUP(S274,Hoja1!$D$4:$F$77,3,0)</f>
        <v>BII - II</v>
      </c>
      <c r="DL274" s="1216" t="str">
        <f t="shared" si="668"/>
        <v>SI</v>
      </c>
      <c r="DM274" s="1741" t="str">
        <f t="shared" si="669"/>
        <v>F</v>
      </c>
      <c r="DN274" s="1741"/>
    </row>
    <row r="275" spans="1:118" s="473" customFormat="1" ht="21.95" customHeight="1">
      <c r="A275" s="510" t="s">
        <v>2846</v>
      </c>
      <c r="B275" s="1390">
        <f t="shared" ca="1" si="822"/>
        <v>233</v>
      </c>
      <c r="C275" s="1194">
        <v>25006878</v>
      </c>
      <c r="D275" s="1195" t="s">
        <v>5498</v>
      </c>
      <c r="E275" s="1180" t="s">
        <v>4622</v>
      </c>
      <c r="F275" s="1196">
        <v>34828</v>
      </c>
      <c r="G275" s="1180" t="s">
        <v>4621</v>
      </c>
      <c r="H275" s="1196">
        <v>44986</v>
      </c>
      <c r="I275" s="1185">
        <f t="shared" si="645"/>
        <v>1</v>
      </c>
      <c r="J275" s="1177">
        <v>7</v>
      </c>
      <c r="K275" s="1185">
        <f t="shared" si="646"/>
        <v>8</v>
      </c>
      <c r="L275" s="1191" t="s">
        <v>5561</v>
      </c>
      <c r="M275" s="1177"/>
      <c r="N275" s="1177"/>
      <c r="O275" s="1040" t="s">
        <v>5222</v>
      </c>
      <c r="P275" s="1177" t="s">
        <v>5499</v>
      </c>
      <c r="Q275" s="1469" t="str">
        <f>IFERROR(VLOOKUP(O275,CARGOS!A:E,2,0),"")</f>
        <v>79511</v>
      </c>
      <c r="R275" s="1403" t="s">
        <v>5222</v>
      </c>
      <c r="S275" s="1192" t="s">
        <v>5493</v>
      </c>
      <c r="T275" s="1150">
        <f>IFERROR(VLOOKUP(S275,'TAB EMP'!A:B,2,0),0)</f>
        <v>170</v>
      </c>
      <c r="U275" s="1151">
        <v>0</v>
      </c>
      <c r="V275" s="1150">
        <f t="shared" si="739"/>
        <v>170</v>
      </c>
      <c r="W275" s="1151">
        <f t="shared" si="740"/>
        <v>85</v>
      </c>
      <c r="X275" s="1180" t="s">
        <v>2884</v>
      </c>
      <c r="Y275" s="1180"/>
      <c r="Z275" s="1180">
        <v>1</v>
      </c>
      <c r="AA275" s="1150">
        <f>ROUND(IF(H275&lt;&gt;"",VLOOKUP(SUM(I275+J275),'CONCEPTOS Y PARAMETROS'!F:G,2,0)*V275,0),2)</f>
        <v>14.62</v>
      </c>
      <c r="AB275" s="1150">
        <f>IF(S275&lt;&gt;"",IF(M275="",'CONCEPTOS Y PARAMETROS'!$C$4,0),0)</f>
        <v>130</v>
      </c>
      <c r="AC275" s="1150">
        <f>IF(S275&lt;&gt;"",IF(M275="",'CONCEPTOS Y PARAMETROS'!$C$7*Z275,0),0)</f>
        <v>12.5</v>
      </c>
      <c r="AD275" s="1150">
        <f>IFERROR(ROUND(VLOOKUP($X275,'CONCEPTOS Y PARAMETROS'!H:I,2,0)*($V275+AA275+AB275+AC275),2),0)</f>
        <v>0</v>
      </c>
      <c r="AE275" s="1150">
        <f t="shared" si="701"/>
        <v>157.12</v>
      </c>
      <c r="AF275" s="1150">
        <f t="shared" si="741"/>
        <v>7.31</v>
      </c>
      <c r="AG275" s="1150">
        <f t="shared" si="742"/>
        <v>7.31</v>
      </c>
      <c r="AH275" s="1150">
        <f t="shared" si="743"/>
        <v>65</v>
      </c>
      <c r="AI275" s="1150">
        <f t="shared" si="744"/>
        <v>65</v>
      </c>
      <c r="AJ275" s="1150">
        <f t="shared" si="745"/>
        <v>0</v>
      </c>
      <c r="AK275" s="1150">
        <f t="shared" si="746"/>
        <v>0</v>
      </c>
      <c r="AL275" s="1151">
        <f t="shared" si="747"/>
        <v>84.81</v>
      </c>
      <c r="AM275" s="1151">
        <f t="shared" si="748"/>
        <v>72.31</v>
      </c>
      <c r="AN275" s="1028">
        <v>0</v>
      </c>
      <c r="AO275" s="1193">
        <f>'CONCEPTOS Y PARAMETROS'!$C$18*AN275</f>
        <v>0</v>
      </c>
      <c r="AP275" s="1028">
        <v>0</v>
      </c>
      <c r="AQ275" s="1193">
        <f>'CONCEPTOS Y PARAMETROS'!$C$21*AP275</f>
        <v>0</v>
      </c>
      <c r="AR275" s="1394">
        <v>0</v>
      </c>
      <c r="AS275" s="1394">
        <v>0</v>
      </c>
      <c r="AT275" s="1394">
        <f t="shared" si="824"/>
        <v>0</v>
      </c>
      <c r="AU275" s="1151">
        <f t="shared" si="749"/>
        <v>425.26</v>
      </c>
      <c r="AV275" s="1178" t="s">
        <v>5080</v>
      </c>
      <c r="AW275" s="1151">
        <f t="shared" si="673"/>
        <v>98.14</v>
      </c>
      <c r="AX275" s="1151">
        <f>IF(T275&lt;&gt;"0",(ROUND(IF(A275="EMPLEADO",eval_formula('CONCEPTOS Y PARAMETROS'!$C$8,NOMINA!V275,NOMINA!$AU275,NOMINA!I275+NOMINA!J275),eval_formula('CONCEPTOS Y PARAMETROS'!$D$8,NOMINA!V275,NOMINA!$AU275,NOMINA!I275+NOMINA!J275)),2))*IF(H275&lt;&gt;"",IF(MONTH(H275)=$BR$8,IF(YEAR(H275)&lt;$BT$7,1,0),0)))</f>
        <v>0</v>
      </c>
      <c r="AY275" s="1151">
        <v>180</v>
      </c>
      <c r="AZ275" s="1150">
        <f>IFERROR(VLOOKUP(AY275,'CONCEPTOS Y PARAMETROS'!Y:Z,2,0),0)</f>
        <v>150</v>
      </c>
      <c r="BA275" s="1150">
        <f t="shared" si="750"/>
        <v>3189.45</v>
      </c>
      <c r="BB275" s="1150">
        <f t="shared" si="643"/>
        <v>0</v>
      </c>
      <c r="BC275" s="1028">
        <v>0</v>
      </c>
      <c r="BD275" s="1150" t="str">
        <f t="shared" si="751"/>
        <v>0</v>
      </c>
      <c r="BE275" s="1028">
        <v>3</v>
      </c>
      <c r="BF275" s="1150">
        <f t="shared" si="702"/>
        <v>63.79</v>
      </c>
      <c r="BG275" s="1151">
        <v>300</v>
      </c>
      <c r="BH275" s="1151">
        <f t="shared" si="647"/>
        <v>0</v>
      </c>
      <c r="BI275" s="1180">
        <v>0</v>
      </c>
      <c r="BJ275" s="1180">
        <f t="shared" si="642"/>
        <v>0</v>
      </c>
      <c r="BK275" s="1151">
        <v>0</v>
      </c>
      <c r="BL275" s="1150">
        <f t="shared" si="696"/>
        <v>15.7</v>
      </c>
      <c r="BM275" s="1150">
        <f t="shared" si="697"/>
        <v>1.96</v>
      </c>
      <c r="BN275" s="1150">
        <f t="shared" si="644"/>
        <v>4.25</v>
      </c>
      <c r="BO275" s="1150">
        <v>0</v>
      </c>
      <c r="BP275" s="1150">
        <v>0</v>
      </c>
      <c r="BQ275" s="1396">
        <f t="shared" ref="BQ275" si="825">ROUND(SUM(BL275:BP275),2)</f>
        <v>21.91</v>
      </c>
      <c r="BR275" s="1150">
        <f t="shared" si="699"/>
        <v>35.33</v>
      </c>
      <c r="BS275" s="1150">
        <f t="shared" si="700"/>
        <v>7.85</v>
      </c>
      <c r="BT275" s="1150">
        <f t="shared" si="649"/>
        <v>8.5</v>
      </c>
      <c r="BU275" s="1150">
        <v>0</v>
      </c>
      <c r="BV275" s="1151">
        <f t="shared" si="678"/>
        <v>51.68</v>
      </c>
      <c r="BW275" s="1155">
        <f t="shared" si="679"/>
        <v>73.59</v>
      </c>
      <c r="BX275" s="1155">
        <f t="shared" si="823"/>
        <v>797.36</v>
      </c>
      <c r="BY275" s="1151">
        <v>0</v>
      </c>
      <c r="BZ275" s="1151">
        <f t="shared" si="641"/>
        <v>797.36</v>
      </c>
      <c r="CA275" s="1397">
        <f>'CONCEPTOS Y PARAMETROS'!$A$102</f>
        <v>2120</v>
      </c>
      <c r="CB275" s="1155">
        <f t="shared" si="652"/>
        <v>147.9</v>
      </c>
      <c r="CC275" s="1156">
        <f t="shared" si="653"/>
        <v>619.24</v>
      </c>
      <c r="CD275" s="514"/>
      <c r="CE275" s="514"/>
      <c r="CF275" s="521"/>
      <c r="CG275" s="497">
        <f t="shared" si="654"/>
        <v>147.9</v>
      </c>
      <c r="CH275" s="1711">
        <f t="shared" si="655"/>
        <v>300</v>
      </c>
      <c r="CI275" s="497">
        <f t="shared" si="656"/>
        <v>457.31</v>
      </c>
      <c r="CJ275" s="497">
        <f t="shared" si="657"/>
        <v>457.31</v>
      </c>
      <c r="CK275" s="497">
        <f t="shared" si="658"/>
        <v>0</v>
      </c>
      <c r="CL275" s="497">
        <f t="shared" si="659"/>
        <v>0</v>
      </c>
      <c r="CM275" s="497">
        <f t="shared" si="660"/>
        <v>0</v>
      </c>
      <c r="CN275" s="498">
        <f t="shared" si="661"/>
        <v>63.79</v>
      </c>
      <c r="CO275" s="513">
        <v>0</v>
      </c>
      <c r="CP275" s="498">
        <f t="shared" si="662"/>
        <v>98.14</v>
      </c>
      <c r="CQ275" s="500">
        <f t="shared" si="663"/>
        <v>0</v>
      </c>
      <c r="CR275" s="512">
        <f t="shared" si="664"/>
        <v>0</v>
      </c>
      <c r="CS275" s="498">
        <f t="shared" si="665"/>
        <v>161.93</v>
      </c>
      <c r="CT275" s="498">
        <f t="shared" si="666"/>
        <v>73.59</v>
      </c>
      <c r="CU275" s="512">
        <f t="shared" si="667"/>
        <v>2120</v>
      </c>
      <c r="CV275" s="1556"/>
      <c r="CW275" s="1195" t="s">
        <v>7144</v>
      </c>
      <c r="CX275" s="1195" t="s">
        <v>7145</v>
      </c>
      <c r="CY275" s="514"/>
      <c r="CZ275" s="1199" t="s">
        <v>6598</v>
      </c>
      <c r="DA275" s="1199" t="s">
        <v>6241</v>
      </c>
      <c r="DB275" s="514" t="s">
        <v>6273</v>
      </c>
      <c r="DC275" s="514" t="s">
        <v>6575</v>
      </c>
      <c r="DD275" s="514"/>
      <c r="DE275" s="514"/>
      <c r="DF275" s="514"/>
      <c r="DG275" s="514"/>
      <c r="DH275" s="514"/>
      <c r="DI275" s="478"/>
      <c r="DJ275" s="473" t="str">
        <f>VLOOKUP(X275,Hoja1!$A$4:$B$10,2,0)</f>
        <v>BACHILLER</v>
      </c>
      <c r="DK275" s="473" t="str">
        <f>VLOOKUP(S275,Hoja1!$D$4:$F$77,3,0)</f>
        <v>BIII - III</v>
      </c>
      <c r="DL275" s="1216" t="str">
        <f t="shared" si="668"/>
        <v>SI</v>
      </c>
      <c r="DM275" s="1741" t="str">
        <f t="shared" si="669"/>
        <v>M</v>
      </c>
      <c r="DN275" s="1741"/>
    </row>
    <row r="276" spans="1:118" s="478" customFormat="1" ht="21.95" customHeight="1">
      <c r="A276" s="510" t="s">
        <v>2846</v>
      </c>
      <c r="B276" s="1390">
        <f t="shared" ca="1" si="822"/>
        <v>234</v>
      </c>
      <c r="C276" s="1194">
        <v>25096069</v>
      </c>
      <c r="D276" s="1195" t="s">
        <v>4909</v>
      </c>
      <c r="E276" s="1180" t="s">
        <v>4622</v>
      </c>
      <c r="F276" s="1196">
        <v>34308</v>
      </c>
      <c r="G276" s="1180" t="s">
        <v>4620</v>
      </c>
      <c r="H276" s="1196">
        <v>44599</v>
      </c>
      <c r="I276" s="1185">
        <f t="shared" si="645"/>
        <v>2</v>
      </c>
      <c r="J276" s="1177">
        <v>0</v>
      </c>
      <c r="K276" s="1185">
        <f t="shared" si="646"/>
        <v>2</v>
      </c>
      <c r="L276" s="1191" t="s">
        <v>5542</v>
      </c>
      <c r="M276" s="1177"/>
      <c r="N276" s="1177"/>
      <c r="O276" s="1040" t="s">
        <v>5222</v>
      </c>
      <c r="P276" s="1177" t="s">
        <v>5448</v>
      </c>
      <c r="Q276" s="1391" t="str">
        <f>IFERROR(VLOOKUP(O276,CARGOS!A:E,2,0),"")</f>
        <v>79511</v>
      </c>
      <c r="R276" s="1403" t="s">
        <v>5222</v>
      </c>
      <c r="S276" s="1192" t="s">
        <v>5475</v>
      </c>
      <c r="T276" s="1150">
        <f>IFERROR(VLOOKUP(S276,'TAB EMP'!A:B,2,0),0)</f>
        <v>192</v>
      </c>
      <c r="U276" s="1151">
        <v>0</v>
      </c>
      <c r="V276" s="1150">
        <f t="shared" si="739"/>
        <v>192</v>
      </c>
      <c r="W276" s="1151">
        <f t="shared" si="740"/>
        <v>96</v>
      </c>
      <c r="X276" s="1180" t="s">
        <v>2885</v>
      </c>
      <c r="Y276" s="1180"/>
      <c r="Z276" s="1180">
        <v>1</v>
      </c>
      <c r="AA276" s="1150">
        <f>ROUND(IF(H276&lt;&gt;"",VLOOKUP(SUM(I276+J276),'CONCEPTOS Y PARAMETROS'!F:G,2,0)*V276,0),2)</f>
        <v>3.84</v>
      </c>
      <c r="AB276" s="1150">
        <f>IF(S276&lt;&gt;"",IF(M276="",'CONCEPTOS Y PARAMETROS'!$C$4,0),0)</f>
        <v>130</v>
      </c>
      <c r="AC276" s="1150">
        <f>IF(S276&lt;&gt;"",IF(M276="",'CONCEPTOS Y PARAMETROS'!$C$7*Z276,0),0)</f>
        <v>12.5</v>
      </c>
      <c r="AD276" s="1150">
        <f>IFERROR(ROUND(VLOOKUP($X276,'CONCEPTOS Y PARAMETROS'!H:I,2,0)*($V276+AA276+AB276+AC276),2),0)</f>
        <v>84.59</v>
      </c>
      <c r="AE276" s="1150">
        <f t="shared" si="701"/>
        <v>230.93</v>
      </c>
      <c r="AF276" s="1150">
        <f t="shared" si="741"/>
        <v>1.92</v>
      </c>
      <c r="AG276" s="1150">
        <f t="shared" si="742"/>
        <v>1.92</v>
      </c>
      <c r="AH276" s="1150">
        <f t="shared" si="743"/>
        <v>65</v>
      </c>
      <c r="AI276" s="1150">
        <f t="shared" si="744"/>
        <v>65</v>
      </c>
      <c r="AJ276" s="1150">
        <f t="shared" si="745"/>
        <v>42.3</v>
      </c>
      <c r="AK276" s="1150">
        <f t="shared" si="746"/>
        <v>42.29</v>
      </c>
      <c r="AL276" s="1151">
        <f t="shared" si="747"/>
        <v>121.72</v>
      </c>
      <c r="AM276" s="1151">
        <f t="shared" si="748"/>
        <v>109.21</v>
      </c>
      <c r="AN276" s="1583">
        <v>1</v>
      </c>
      <c r="AO276" s="1193">
        <f>'CONCEPTOS Y PARAMETROS'!$C$18*AN276</f>
        <v>12.5</v>
      </c>
      <c r="AP276" s="1028">
        <v>0</v>
      </c>
      <c r="AQ276" s="1193">
        <f>'CONCEPTOS Y PARAMETROS'!$C$21*AP276</f>
        <v>0</v>
      </c>
      <c r="AR276" s="1394">
        <v>0</v>
      </c>
      <c r="AS276" s="1394">
        <v>0</v>
      </c>
      <c r="AT276" s="1394">
        <f t="shared" si="824"/>
        <v>12.5</v>
      </c>
      <c r="AU276" s="1151">
        <f t="shared" si="749"/>
        <v>549.80999999999995</v>
      </c>
      <c r="AV276" s="1178" t="s">
        <v>5080</v>
      </c>
      <c r="AW276" s="1151">
        <f t="shared" ref="AW276:AW308" si="826">ROUND(IF(AV276="NOCTURN",(V276+AE276)*30%,0),2)</f>
        <v>126.88</v>
      </c>
      <c r="AX276" s="1150">
        <f>IF(T276&lt;&gt;"0",(ROUND(IF(A276="EMPLEADO",eval_formula('CONCEPTOS Y PARAMETROS'!$C$8,NOMINA!V276,NOMINA!$AU276,NOMINA!I276+NOMINA!J276),eval_formula('CONCEPTOS Y PARAMETROS'!$D$8,NOMINA!V276,NOMINA!$AU276,NOMINA!I276+NOMINA!J276)),2))*IF(H276&lt;&gt;"",IF(MONTH(H276)=$BR$8,IF(YEAR(H276)&lt;$BT$7,1,0),0)))</f>
        <v>0</v>
      </c>
      <c r="AY276" s="1151">
        <v>180</v>
      </c>
      <c r="AZ276" s="1150">
        <f>IFERROR(VLOOKUP(AY276,'CONCEPTOS Y PARAMETROS'!Y:Z,2,0),0)</f>
        <v>150</v>
      </c>
      <c r="BA276" s="1150">
        <f t="shared" si="750"/>
        <v>4123.58</v>
      </c>
      <c r="BB276" s="1150">
        <f t="shared" si="643"/>
        <v>0</v>
      </c>
      <c r="BC276" s="1028">
        <v>0</v>
      </c>
      <c r="BD276" s="1150" t="str">
        <f t="shared" si="751"/>
        <v>0</v>
      </c>
      <c r="BE276" s="1028">
        <v>3</v>
      </c>
      <c r="BF276" s="1150">
        <f t="shared" si="702"/>
        <v>82.47</v>
      </c>
      <c r="BG276" s="1151">
        <v>300</v>
      </c>
      <c r="BH276" s="1151">
        <f t="shared" si="647"/>
        <v>0</v>
      </c>
      <c r="BI276" s="1180">
        <v>0</v>
      </c>
      <c r="BJ276" s="1180">
        <f t="shared" si="642"/>
        <v>0</v>
      </c>
      <c r="BK276" s="1151">
        <v>0</v>
      </c>
      <c r="BL276" s="1150">
        <f t="shared" si="696"/>
        <v>20.3</v>
      </c>
      <c r="BM276" s="1150">
        <f t="shared" si="697"/>
        <v>2.54</v>
      </c>
      <c r="BN276" s="1150">
        <f t="shared" si="644"/>
        <v>5.5</v>
      </c>
      <c r="BO276" s="1150">
        <v>0</v>
      </c>
      <c r="BP276" s="1150">
        <v>0</v>
      </c>
      <c r="BQ276" s="1396">
        <f t="shared" si="677"/>
        <v>28.34</v>
      </c>
      <c r="BR276" s="1150">
        <f t="shared" si="699"/>
        <v>45.68</v>
      </c>
      <c r="BS276" s="1150">
        <f t="shared" si="700"/>
        <v>10.15</v>
      </c>
      <c r="BT276" s="1150">
        <f t="shared" si="649"/>
        <v>11</v>
      </c>
      <c r="BU276" s="1150">
        <v>0</v>
      </c>
      <c r="BV276" s="1151">
        <f t="shared" si="678"/>
        <v>66.83</v>
      </c>
      <c r="BW276" s="1155">
        <f t="shared" si="679"/>
        <v>95.17</v>
      </c>
      <c r="BX276" s="1155">
        <f t="shared" si="823"/>
        <v>1030.9000000000001</v>
      </c>
      <c r="BY276" s="1151">
        <v>0</v>
      </c>
      <c r="BZ276" s="1151">
        <f t="shared" si="641"/>
        <v>1030.9000000000001</v>
      </c>
      <c r="CA276" s="1397">
        <f>'CONCEPTOS Y PARAMETROS'!$A$102</f>
        <v>2120</v>
      </c>
      <c r="CB276" s="1155">
        <f t="shared" si="652"/>
        <v>189.38</v>
      </c>
      <c r="CC276" s="1156">
        <f t="shared" si="653"/>
        <v>727.06</v>
      </c>
      <c r="CD276" s="514"/>
      <c r="CE276" s="514"/>
      <c r="CF276" s="520"/>
      <c r="CG276" s="497">
        <f t="shared" si="654"/>
        <v>189.38</v>
      </c>
      <c r="CH276" s="1711">
        <f t="shared" si="655"/>
        <v>300</v>
      </c>
      <c r="CI276" s="497">
        <f t="shared" si="656"/>
        <v>505.21</v>
      </c>
      <c r="CJ276" s="497">
        <f t="shared" si="657"/>
        <v>505.21</v>
      </c>
      <c r="CK276" s="497">
        <f t="shared" si="658"/>
        <v>0</v>
      </c>
      <c r="CL276" s="497">
        <f t="shared" si="659"/>
        <v>0</v>
      </c>
      <c r="CM276" s="497">
        <f t="shared" si="660"/>
        <v>0</v>
      </c>
      <c r="CN276" s="498">
        <f t="shared" si="661"/>
        <v>82.47</v>
      </c>
      <c r="CO276" s="499">
        <v>0</v>
      </c>
      <c r="CP276" s="498">
        <f t="shared" si="662"/>
        <v>126.88</v>
      </c>
      <c r="CQ276" s="500">
        <f t="shared" si="663"/>
        <v>12.5</v>
      </c>
      <c r="CR276" s="498">
        <f t="shared" si="664"/>
        <v>0</v>
      </c>
      <c r="CS276" s="498">
        <f t="shared" si="665"/>
        <v>221.85</v>
      </c>
      <c r="CT276" s="498">
        <f t="shared" si="666"/>
        <v>95.17</v>
      </c>
      <c r="CU276" s="498">
        <f t="shared" si="667"/>
        <v>2120</v>
      </c>
      <c r="CV276" s="1554"/>
      <c r="CW276" s="1195" t="s">
        <v>7146</v>
      </c>
      <c r="CX276" s="1195" t="s">
        <v>7147</v>
      </c>
      <c r="CY276" s="472"/>
      <c r="CZ276" s="514" t="s">
        <v>6337</v>
      </c>
      <c r="DA276" s="1199" t="s">
        <v>6173</v>
      </c>
      <c r="DB276" s="1199" t="s">
        <v>6213</v>
      </c>
      <c r="DC276" s="514" t="s">
        <v>6277</v>
      </c>
      <c r="DD276" s="514"/>
      <c r="DE276" s="514"/>
      <c r="DF276" s="472"/>
      <c r="DG276" s="472"/>
      <c r="DH276" s="472"/>
      <c r="DI276" s="473"/>
      <c r="DJ276" s="473" t="str">
        <f>VLOOKUP(X276,Hoja1!$A$4:$B$10,2,0)</f>
        <v>PROFESIONAL</v>
      </c>
      <c r="DK276" s="473" t="str">
        <f>VLOOKUP(S276,Hoja1!$D$4:$F$77,3,0)</f>
        <v>TI</v>
      </c>
      <c r="DL276" s="1216" t="str">
        <f t="shared" si="668"/>
        <v>SI</v>
      </c>
      <c r="DM276" s="1741" t="str">
        <f t="shared" si="669"/>
        <v>F</v>
      </c>
      <c r="DN276" s="1741"/>
    </row>
    <row r="277" spans="1:118" s="478" customFormat="1" ht="21.95" customHeight="1">
      <c r="A277" s="510" t="s">
        <v>2846</v>
      </c>
      <c r="B277" s="1390">
        <f t="shared" ca="1" si="822"/>
        <v>235</v>
      </c>
      <c r="C277" s="1194">
        <v>25173139</v>
      </c>
      <c r="D277" s="1195" t="s">
        <v>6825</v>
      </c>
      <c r="E277" s="1180" t="s">
        <v>4622</v>
      </c>
      <c r="F277" s="1196">
        <v>35300</v>
      </c>
      <c r="G277" s="1180" t="s">
        <v>4620</v>
      </c>
      <c r="H277" s="1196">
        <v>45536</v>
      </c>
      <c r="I277" s="1185">
        <f t="shared" si="645"/>
        <v>0</v>
      </c>
      <c r="J277" s="1177">
        <v>0</v>
      </c>
      <c r="K277" s="1185">
        <f t="shared" si="646"/>
        <v>0</v>
      </c>
      <c r="L277" s="1191" t="s">
        <v>5538</v>
      </c>
      <c r="M277" s="1177"/>
      <c r="N277" s="1177"/>
      <c r="O277" s="1040" t="s">
        <v>1926</v>
      </c>
      <c r="P277" s="1197" t="s">
        <v>6826</v>
      </c>
      <c r="Q277" s="1391" t="str">
        <f>IFERROR(VLOOKUP(O277,CARGOS!A:E,2,0),"")</f>
        <v>13361</v>
      </c>
      <c r="R277" s="1403" t="s">
        <v>5268</v>
      </c>
      <c r="S277" s="1192" t="s">
        <v>5469</v>
      </c>
      <c r="T277" s="1150">
        <f>IFERROR(VLOOKUP(S277,'TAB EMP'!A:B,2,0),0)</f>
        <v>246</v>
      </c>
      <c r="U277" s="1151">
        <v>0</v>
      </c>
      <c r="V277" s="1150">
        <f t="shared" si="739"/>
        <v>246</v>
      </c>
      <c r="W277" s="1151">
        <f t="shared" si="740"/>
        <v>123</v>
      </c>
      <c r="X277" s="1180" t="s">
        <v>2885</v>
      </c>
      <c r="Y277" s="1180"/>
      <c r="Z277" s="1180">
        <v>1</v>
      </c>
      <c r="AA277" s="1150">
        <f>ROUND(IF(H277&lt;&gt;"",VLOOKUP(SUM(I277+J277),'CONCEPTOS Y PARAMETROS'!F:G,2,0)*V277,0),2)</f>
        <v>0</v>
      </c>
      <c r="AB277" s="1150">
        <f>IF(S277&lt;&gt;"",IF(M277="",'CONCEPTOS Y PARAMETROS'!$C$4,0),0)</f>
        <v>130</v>
      </c>
      <c r="AC277" s="1150">
        <f>IF(S277&lt;&gt;"",IF(M277="",'CONCEPTOS Y PARAMETROS'!$C$7*Z277,0),0)</f>
        <v>12.5</v>
      </c>
      <c r="AD277" s="1150">
        <f>IFERROR(ROUND(VLOOKUP($X277,'CONCEPTOS Y PARAMETROS'!H:I,2,0)*($V277+AA277+AB277+AC277),2),0)</f>
        <v>97.13</v>
      </c>
      <c r="AE277" s="1150">
        <f t="shared" si="701"/>
        <v>239.63</v>
      </c>
      <c r="AF277" s="1150">
        <f t="shared" si="741"/>
        <v>0</v>
      </c>
      <c r="AG277" s="1150">
        <f t="shared" si="742"/>
        <v>0</v>
      </c>
      <c r="AH277" s="1150">
        <f t="shared" si="743"/>
        <v>65</v>
      </c>
      <c r="AI277" s="1150">
        <f t="shared" si="744"/>
        <v>65</v>
      </c>
      <c r="AJ277" s="1150">
        <f t="shared" si="745"/>
        <v>48.57</v>
      </c>
      <c r="AK277" s="1150">
        <f t="shared" si="746"/>
        <v>48.56</v>
      </c>
      <c r="AL277" s="1151">
        <f t="shared" si="747"/>
        <v>126.07</v>
      </c>
      <c r="AM277" s="1151">
        <f t="shared" si="748"/>
        <v>113.56</v>
      </c>
      <c r="AN277" s="1028">
        <v>0</v>
      </c>
      <c r="AO277" s="1193">
        <f>'CONCEPTOS Y PARAMETROS'!$C$18*AN277</f>
        <v>0</v>
      </c>
      <c r="AP277" s="1028">
        <v>0</v>
      </c>
      <c r="AQ277" s="1193">
        <f>'CONCEPTOS Y PARAMETROS'!$C$21*AP277</f>
        <v>0</v>
      </c>
      <c r="AR277" s="1394">
        <v>0</v>
      </c>
      <c r="AS277" s="1394">
        <v>0</v>
      </c>
      <c r="AT277" s="1394">
        <f t="shared" si="824"/>
        <v>0</v>
      </c>
      <c r="AU277" s="1151">
        <f t="shared" si="749"/>
        <v>485.63</v>
      </c>
      <c r="AV277" s="1178">
        <v>0</v>
      </c>
      <c r="AW277" s="1151">
        <f t="shared" si="826"/>
        <v>0</v>
      </c>
      <c r="AX277" s="1150">
        <f>IF(T277&lt;&gt;"0",(ROUND(IF(A277="EMPLEADO",eval_formula('CONCEPTOS Y PARAMETROS'!$C$8,NOMINA!V277,NOMINA!$AU277,NOMINA!I277+NOMINA!J277),eval_formula('CONCEPTOS Y PARAMETROS'!$D$8,NOMINA!V277,NOMINA!$AU277,NOMINA!I277+NOMINA!J277)),2))*IF(H277&lt;&gt;"",IF(MONTH(H277)=$BR$8,IF(YEAR(H277)&lt;$BT$7,1,0),0)))</f>
        <v>0</v>
      </c>
      <c r="AY277" s="1151">
        <v>60</v>
      </c>
      <c r="AZ277" s="1150">
        <f>IFERROR(VLOOKUP(AY277,'CONCEPTOS Y PARAMETROS'!Y:Z,2,0),0)</f>
        <v>50</v>
      </c>
      <c r="BA277" s="1150">
        <f t="shared" si="750"/>
        <v>944.28</v>
      </c>
      <c r="BB277" s="1150">
        <f t="shared" si="643"/>
        <v>0</v>
      </c>
      <c r="BC277" s="1028">
        <v>0</v>
      </c>
      <c r="BD277" s="1150" t="str">
        <f t="shared" si="751"/>
        <v>0</v>
      </c>
      <c r="BE277" s="1028">
        <v>0</v>
      </c>
      <c r="BF277" s="1150">
        <f t="shared" si="702"/>
        <v>0</v>
      </c>
      <c r="BG277" s="1151">
        <v>300</v>
      </c>
      <c r="BH277" s="1151">
        <f t="shared" si="647"/>
        <v>0</v>
      </c>
      <c r="BI277" s="1180">
        <v>0</v>
      </c>
      <c r="BJ277" s="1180">
        <f t="shared" si="642"/>
        <v>0</v>
      </c>
      <c r="BK277" s="1151">
        <v>0</v>
      </c>
      <c r="BL277" s="1150">
        <f t="shared" si="696"/>
        <v>17.93</v>
      </c>
      <c r="BM277" s="1150">
        <f t="shared" si="697"/>
        <v>2.2400000000000002</v>
      </c>
      <c r="BN277" s="1150">
        <f t="shared" si="644"/>
        <v>4.8600000000000003</v>
      </c>
      <c r="BO277" s="1150">
        <v>0</v>
      </c>
      <c r="BP277" s="1150">
        <v>0</v>
      </c>
      <c r="BQ277" s="1396">
        <f t="shared" ref="BQ277" si="827">ROUND(SUM(BL277:BP277),2)</f>
        <v>25.03</v>
      </c>
      <c r="BR277" s="1150">
        <f t="shared" si="699"/>
        <v>40.340000000000003</v>
      </c>
      <c r="BS277" s="1150">
        <f t="shared" si="700"/>
        <v>8.9700000000000006</v>
      </c>
      <c r="BT277" s="1150">
        <f t="shared" si="649"/>
        <v>9.7200000000000006</v>
      </c>
      <c r="BU277" s="1150">
        <v>0</v>
      </c>
      <c r="BV277" s="1151">
        <f t="shared" ref="BV277" si="828">ROUND(SUM(BR277:BT277),2)</f>
        <v>59.03</v>
      </c>
      <c r="BW277" s="1155">
        <f t="shared" si="679"/>
        <v>84.06</v>
      </c>
      <c r="BX277" s="1155">
        <f t="shared" si="823"/>
        <v>236.07</v>
      </c>
      <c r="BY277" s="1151">
        <v>0</v>
      </c>
      <c r="BZ277" s="1151">
        <f t="shared" si="641"/>
        <v>236.07</v>
      </c>
      <c r="CA277" s="1397">
        <f>'CONCEPTOS Y PARAMETROS'!$A$102</f>
        <v>2120</v>
      </c>
      <c r="CB277" s="1155">
        <f t="shared" si="652"/>
        <v>224.04</v>
      </c>
      <c r="CC277" s="1156">
        <f t="shared" si="653"/>
        <v>536.55999999999995</v>
      </c>
      <c r="CD277" s="514"/>
      <c r="CE277" s="514"/>
      <c r="CF277" s="521"/>
      <c r="CG277" s="511">
        <f t="shared" si="654"/>
        <v>224.04</v>
      </c>
      <c r="CH277" s="1712">
        <f t="shared" si="655"/>
        <v>300</v>
      </c>
      <c r="CI277" s="511">
        <f t="shared" si="656"/>
        <v>536.55999999999995</v>
      </c>
      <c r="CJ277" s="511">
        <f t="shared" si="657"/>
        <v>536.55999999999995</v>
      </c>
      <c r="CK277" s="511">
        <f t="shared" si="658"/>
        <v>0</v>
      </c>
      <c r="CL277" s="511">
        <f t="shared" si="659"/>
        <v>0</v>
      </c>
      <c r="CM277" s="511">
        <f t="shared" si="660"/>
        <v>0</v>
      </c>
      <c r="CN277" s="512">
        <f t="shared" si="661"/>
        <v>0</v>
      </c>
      <c r="CO277" s="513">
        <v>0</v>
      </c>
      <c r="CP277" s="512">
        <f t="shared" si="662"/>
        <v>0</v>
      </c>
      <c r="CQ277" s="500">
        <f t="shared" si="663"/>
        <v>0</v>
      </c>
      <c r="CR277" s="512">
        <f t="shared" si="664"/>
        <v>0</v>
      </c>
      <c r="CS277" s="512">
        <f t="shared" si="665"/>
        <v>0</v>
      </c>
      <c r="CT277" s="512">
        <f t="shared" si="666"/>
        <v>84.06</v>
      </c>
      <c r="CU277" s="512">
        <f t="shared" si="667"/>
        <v>2120</v>
      </c>
      <c r="CV277" s="1556"/>
      <c r="CW277" s="1195" t="s">
        <v>7020</v>
      </c>
      <c r="CX277" s="1195" t="s">
        <v>7005</v>
      </c>
      <c r="CY277" s="514"/>
      <c r="CZ277" s="1199" t="s">
        <v>6827</v>
      </c>
      <c r="DA277" s="514"/>
      <c r="DB277" s="514"/>
      <c r="DC277" s="514"/>
      <c r="DD277" s="514"/>
      <c r="DE277" s="514"/>
      <c r="DF277" s="514"/>
      <c r="DG277" s="514"/>
      <c r="DH277" s="514"/>
      <c r="DJ277" s="478" t="str">
        <f>VLOOKUP(X277,Hoja1!$A$4:$B$10,2,0)</f>
        <v>PROFESIONAL</v>
      </c>
      <c r="DK277" s="478" t="str">
        <f>VLOOKUP(S277,Hoja1!$D$4:$F$77,3,0)</f>
        <v>PI</v>
      </c>
      <c r="DL277" s="1239" t="str">
        <f t="shared" si="668"/>
        <v>0</v>
      </c>
      <c r="DM277" s="1743" t="str">
        <f t="shared" si="669"/>
        <v>F</v>
      </c>
      <c r="DN277" s="1743"/>
    </row>
    <row r="278" spans="1:118" s="478" customFormat="1" ht="21.95" customHeight="1">
      <c r="A278" s="510" t="s">
        <v>2846</v>
      </c>
      <c r="B278" s="1390">
        <f t="shared" ca="1" si="822"/>
        <v>236</v>
      </c>
      <c r="C278" s="1194">
        <v>25173983</v>
      </c>
      <c r="D278" s="1195" t="s">
        <v>4910</v>
      </c>
      <c r="E278" s="1180" t="s">
        <v>4622</v>
      </c>
      <c r="F278" s="1196">
        <v>35356</v>
      </c>
      <c r="G278" s="1180" t="s">
        <v>4620</v>
      </c>
      <c r="H278" s="1196">
        <v>44363</v>
      </c>
      <c r="I278" s="1185">
        <f t="shared" si="645"/>
        <v>3</v>
      </c>
      <c r="J278" s="1177">
        <v>0</v>
      </c>
      <c r="K278" s="1185">
        <f t="shared" si="646"/>
        <v>3</v>
      </c>
      <c r="L278" s="1191" t="s">
        <v>5543</v>
      </c>
      <c r="M278" s="1177"/>
      <c r="N278" s="1177"/>
      <c r="O278" s="1040" t="s">
        <v>5222</v>
      </c>
      <c r="P278" s="1177" t="s">
        <v>5449</v>
      </c>
      <c r="Q278" s="1391" t="str">
        <f>IFERROR(VLOOKUP(O278,CARGOS!A:E,2,0),"")</f>
        <v>79511</v>
      </c>
      <c r="R278" s="1403" t="s">
        <v>5222</v>
      </c>
      <c r="S278" s="1192" t="s">
        <v>5490</v>
      </c>
      <c r="T278" s="1150">
        <f>IFERROR(VLOOKUP(S278,'TAB EMP'!A:B,2,0),0)</f>
        <v>150</v>
      </c>
      <c r="U278" s="1151">
        <v>0</v>
      </c>
      <c r="V278" s="1150">
        <f t="shared" si="739"/>
        <v>150</v>
      </c>
      <c r="W278" s="1151">
        <f t="shared" si="740"/>
        <v>75</v>
      </c>
      <c r="X278" s="1180" t="s">
        <v>2884</v>
      </c>
      <c r="Y278" s="1180"/>
      <c r="Z278" s="1180">
        <v>1</v>
      </c>
      <c r="AA278" s="1150">
        <f>ROUND(IF(H278&lt;&gt;"",VLOOKUP(SUM(I278+J278),'CONCEPTOS Y PARAMETROS'!F:G,2,0)*V278,0),2)</f>
        <v>4.5</v>
      </c>
      <c r="AB278" s="1150">
        <f>IF(S278&lt;&gt;"",IF(M278="",'CONCEPTOS Y PARAMETROS'!$C$4,0),0)</f>
        <v>130</v>
      </c>
      <c r="AC278" s="1150">
        <f>IF(S278&lt;&gt;"",IF(M278="",'CONCEPTOS Y PARAMETROS'!$C$7*Z278,0),0)</f>
        <v>12.5</v>
      </c>
      <c r="AD278" s="1150">
        <f>IFERROR(ROUND(VLOOKUP($X278,'CONCEPTOS Y PARAMETROS'!H:I,2,0)*($V278+AA278+AB278+AC278),2),0)</f>
        <v>0</v>
      </c>
      <c r="AE278" s="1150">
        <f t="shared" si="701"/>
        <v>147</v>
      </c>
      <c r="AF278" s="1150">
        <f t="shared" si="741"/>
        <v>2.25</v>
      </c>
      <c r="AG278" s="1150">
        <f t="shared" si="742"/>
        <v>2.25</v>
      </c>
      <c r="AH278" s="1150">
        <f t="shared" si="743"/>
        <v>65</v>
      </c>
      <c r="AI278" s="1150">
        <f t="shared" si="744"/>
        <v>65</v>
      </c>
      <c r="AJ278" s="1150">
        <f t="shared" si="745"/>
        <v>0</v>
      </c>
      <c r="AK278" s="1150">
        <f t="shared" si="746"/>
        <v>0</v>
      </c>
      <c r="AL278" s="1151">
        <f t="shared" si="747"/>
        <v>79.75</v>
      </c>
      <c r="AM278" s="1151">
        <f t="shared" si="748"/>
        <v>67.25</v>
      </c>
      <c r="AN278" s="1583">
        <v>1</v>
      </c>
      <c r="AO278" s="1193">
        <f>'CONCEPTOS Y PARAMETROS'!$C$18*AN278</f>
        <v>12.5</v>
      </c>
      <c r="AP278" s="1028">
        <v>0</v>
      </c>
      <c r="AQ278" s="1193">
        <f>'CONCEPTOS Y PARAMETROS'!$C$21*AP278</f>
        <v>0</v>
      </c>
      <c r="AR278" s="1394">
        <v>0</v>
      </c>
      <c r="AS278" s="1394">
        <v>0</v>
      </c>
      <c r="AT278" s="1394">
        <f t="shared" si="824"/>
        <v>12.5</v>
      </c>
      <c r="AU278" s="1151">
        <f t="shared" si="749"/>
        <v>386.1</v>
      </c>
      <c r="AV278" s="1178" t="s">
        <v>5080</v>
      </c>
      <c r="AW278" s="1151">
        <f t="shared" si="826"/>
        <v>89.1</v>
      </c>
      <c r="AX278" s="1150">
        <f>IF(T278&lt;&gt;"0",(ROUND(IF(A278="EMPLEADO",eval_formula('CONCEPTOS Y PARAMETROS'!$C$8,NOMINA!V278,NOMINA!$AU278,NOMINA!I278+NOMINA!J278),eval_formula('CONCEPTOS Y PARAMETROS'!$D$8,NOMINA!V278,NOMINA!$AU278,NOMINA!I278+NOMINA!J278)),2))*IF(H278&lt;&gt;"",IF(MONTH(H278)=$BR$8,IF(YEAR(H278)&lt;$BT$7,1,0),0)))</f>
        <v>0</v>
      </c>
      <c r="AY278" s="1151">
        <v>180</v>
      </c>
      <c r="AZ278" s="1150">
        <f>IFERROR(VLOOKUP(AY278,'CONCEPTOS Y PARAMETROS'!Y:Z,2,0),0)</f>
        <v>150</v>
      </c>
      <c r="BA278" s="1150">
        <f t="shared" si="750"/>
        <v>2895.75</v>
      </c>
      <c r="BB278" s="1150">
        <f t="shared" si="643"/>
        <v>0</v>
      </c>
      <c r="BC278" s="1028">
        <v>0</v>
      </c>
      <c r="BD278" s="1150" t="str">
        <f t="shared" si="751"/>
        <v>0</v>
      </c>
      <c r="BE278" s="1028">
        <v>0</v>
      </c>
      <c r="BF278" s="1150">
        <f t="shared" si="702"/>
        <v>0</v>
      </c>
      <c r="BG278" s="1151">
        <v>300</v>
      </c>
      <c r="BH278" s="1151">
        <f t="shared" si="647"/>
        <v>0</v>
      </c>
      <c r="BI278" s="1180">
        <v>0</v>
      </c>
      <c r="BJ278" s="1180">
        <f t="shared" si="642"/>
        <v>0</v>
      </c>
      <c r="BK278" s="1151">
        <v>0</v>
      </c>
      <c r="BL278" s="1150">
        <f t="shared" si="696"/>
        <v>14.26</v>
      </c>
      <c r="BM278" s="1150">
        <f t="shared" si="697"/>
        <v>1.78</v>
      </c>
      <c r="BN278" s="1150">
        <f t="shared" si="644"/>
        <v>3.86</v>
      </c>
      <c r="BO278" s="1150">
        <v>0</v>
      </c>
      <c r="BP278" s="1150">
        <v>0</v>
      </c>
      <c r="BQ278" s="1396">
        <f t="shared" si="677"/>
        <v>19.899999999999999</v>
      </c>
      <c r="BR278" s="1150">
        <f t="shared" si="699"/>
        <v>32.08</v>
      </c>
      <c r="BS278" s="1150">
        <f t="shared" si="700"/>
        <v>7.13</v>
      </c>
      <c r="BT278" s="1150">
        <f t="shared" si="649"/>
        <v>7.72</v>
      </c>
      <c r="BU278" s="1150">
        <v>0</v>
      </c>
      <c r="BV278" s="1151">
        <f t="shared" si="678"/>
        <v>46.93</v>
      </c>
      <c r="BW278" s="1155">
        <f t="shared" si="679"/>
        <v>66.83</v>
      </c>
      <c r="BX278" s="1155">
        <f t="shared" si="823"/>
        <v>723.94</v>
      </c>
      <c r="BY278" s="1151">
        <v>0</v>
      </c>
      <c r="BZ278" s="1151">
        <f t="shared" si="641"/>
        <v>723.94</v>
      </c>
      <c r="CA278" s="1397">
        <f>'CONCEPTOS Y PARAMETROS'!$A$102</f>
        <v>2120</v>
      </c>
      <c r="CB278" s="1155">
        <f t="shared" si="652"/>
        <v>134.85</v>
      </c>
      <c r="CC278" s="1156">
        <f t="shared" si="653"/>
        <v>543.85</v>
      </c>
      <c r="CD278" s="514"/>
      <c r="CE278" s="514"/>
      <c r="CF278" s="520"/>
      <c r="CG278" s="497">
        <f t="shared" si="654"/>
        <v>134.85</v>
      </c>
      <c r="CH278" s="1711">
        <f t="shared" si="655"/>
        <v>300</v>
      </c>
      <c r="CI278" s="497">
        <f t="shared" si="656"/>
        <v>442.25</v>
      </c>
      <c r="CJ278" s="497">
        <f t="shared" si="657"/>
        <v>442.25</v>
      </c>
      <c r="CK278" s="497">
        <f t="shared" si="658"/>
        <v>0</v>
      </c>
      <c r="CL278" s="497">
        <f t="shared" si="659"/>
        <v>0</v>
      </c>
      <c r="CM278" s="497">
        <f t="shared" si="660"/>
        <v>0</v>
      </c>
      <c r="CN278" s="498">
        <f t="shared" si="661"/>
        <v>0</v>
      </c>
      <c r="CO278" s="499">
        <v>0</v>
      </c>
      <c r="CP278" s="498">
        <f t="shared" si="662"/>
        <v>89.1</v>
      </c>
      <c r="CQ278" s="500">
        <f t="shared" si="663"/>
        <v>12.5</v>
      </c>
      <c r="CR278" s="498">
        <f t="shared" si="664"/>
        <v>0</v>
      </c>
      <c r="CS278" s="498">
        <f t="shared" si="665"/>
        <v>101.6</v>
      </c>
      <c r="CT278" s="498">
        <f t="shared" si="666"/>
        <v>66.83</v>
      </c>
      <c r="CU278" s="498">
        <f t="shared" si="667"/>
        <v>2120</v>
      </c>
      <c r="CV278" s="1554"/>
      <c r="CW278" s="1195" t="s">
        <v>7148</v>
      </c>
      <c r="CX278" s="1195" t="s">
        <v>7149</v>
      </c>
      <c r="CY278" s="472"/>
      <c r="CZ278" s="514" t="s">
        <v>6431</v>
      </c>
      <c r="DA278" s="514" t="s">
        <v>6423</v>
      </c>
      <c r="DB278" s="514" t="s">
        <v>6423</v>
      </c>
      <c r="DC278" s="514" t="s">
        <v>6715</v>
      </c>
      <c r="DD278" s="514"/>
      <c r="DE278" s="514"/>
      <c r="DF278" s="472"/>
      <c r="DG278" s="472"/>
      <c r="DH278" s="472"/>
      <c r="DI278" s="473"/>
      <c r="DJ278" s="473" t="str">
        <f>VLOOKUP(X278,Hoja1!$A$4:$B$10,2,0)</f>
        <v>BACHILLER</v>
      </c>
      <c r="DK278" s="473" t="str">
        <f>VLOOKUP(S278,Hoja1!$D$4:$F$77,3,0)</f>
        <v>BII - II</v>
      </c>
      <c r="DL278" s="1216" t="str">
        <f t="shared" si="668"/>
        <v>SI</v>
      </c>
      <c r="DM278" s="1741" t="str">
        <f t="shared" si="669"/>
        <v>F</v>
      </c>
      <c r="DN278" s="1741"/>
    </row>
    <row r="279" spans="1:118" s="473" customFormat="1" ht="21.95" customHeight="1">
      <c r="A279" s="510" t="s">
        <v>2846</v>
      </c>
      <c r="B279" s="1390">
        <f t="shared" ca="1" si="822"/>
        <v>237</v>
      </c>
      <c r="C279" s="1194">
        <v>25303390</v>
      </c>
      <c r="D279" s="1195" t="s">
        <v>4911</v>
      </c>
      <c r="E279" s="1180" t="s">
        <v>4622</v>
      </c>
      <c r="F279" s="1196">
        <v>35290</v>
      </c>
      <c r="G279" s="1180" t="s">
        <v>4620</v>
      </c>
      <c r="H279" s="1196">
        <v>43862</v>
      </c>
      <c r="I279" s="1185">
        <f t="shared" si="645"/>
        <v>4</v>
      </c>
      <c r="J279" s="1177">
        <v>0</v>
      </c>
      <c r="K279" s="1185">
        <f t="shared" si="646"/>
        <v>4</v>
      </c>
      <c r="L279" s="1191" t="s">
        <v>5539</v>
      </c>
      <c r="M279" s="1177"/>
      <c r="N279" s="1177"/>
      <c r="O279" s="1040" t="s">
        <v>5222</v>
      </c>
      <c r="P279" s="1177" t="s">
        <v>5450</v>
      </c>
      <c r="Q279" s="1391" t="str">
        <f>IFERROR(VLOOKUP(O279,CARGOS!A:E,2,0),"")</f>
        <v>79511</v>
      </c>
      <c r="R279" s="1403" t="s">
        <v>5222</v>
      </c>
      <c r="S279" s="1192" t="s">
        <v>5490</v>
      </c>
      <c r="T279" s="1150">
        <f>IFERROR(VLOOKUP(S279,'TAB EMP'!A:B,2,0),0)</f>
        <v>150</v>
      </c>
      <c r="U279" s="1151">
        <v>0</v>
      </c>
      <c r="V279" s="1150">
        <f t="shared" si="739"/>
        <v>150</v>
      </c>
      <c r="W279" s="1151">
        <f t="shared" si="740"/>
        <v>75</v>
      </c>
      <c r="X279" s="1180" t="s">
        <v>2884</v>
      </c>
      <c r="Y279" s="1180"/>
      <c r="Z279" s="1180">
        <v>2</v>
      </c>
      <c r="AA279" s="1150">
        <f>ROUND(IF(H279&lt;&gt;"",VLOOKUP(SUM(I279+J279),'CONCEPTOS Y PARAMETROS'!F:G,2,0)*V279,0),2)</f>
        <v>6</v>
      </c>
      <c r="AB279" s="1150">
        <f>IF(S279&lt;&gt;"",IF(M279="",'CONCEPTOS Y PARAMETROS'!$C$4,0),0)</f>
        <v>130</v>
      </c>
      <c r="AC279" s="1150">
        <f>IF(S279&lt;&gt;"",IF(M279="",'CONCEPTOS Y PARAMETROS'!$C$7*Z279,0),0)</f>
        <v>25</v>
      </c>
      <c r="AD279" s="1150">
        <f>IFERROR(ROUND(VLOOKUP($X279,'CONCEPTOS Y PARAMETROS'!H:I,2,0)*($V279+AA279+AB279+AC279),2),0)</f>
        <v>0</v>
      </c>
      <c r="AE279" s="1150">
        <f t="shared" si="701"/>
        <v>161</v>
      </c>
      <c r="AF279" s="1150">
        <f t="shared" si="741"/>
        <v>3</v>
      </c>
      <c r="AG279" s="1150">
        <f t="shared" si="742"/>
        <v>3</v>
      </c>
      <c r="AH279" s="1150">
        <f t="shared" si="743"/>
        <v>65</v>
      </c>
      <c r="AI279" s="1150">
        <f t="shared" si="744"/>
        <v>65</v>
      </c>
      <c r="AJ279" s="1150">
        <f t="shared" si="745"/>
        <v>0</v>
      </c>
      <c r="AK279" s="1150">
        <f t="shared" si="746"/>
        <v>0</v>
      </c>
      <c r="AL279" s="1151">
        <f t="shared" si="747"/>
        <v>93</v>
      </c>
      <c r="AM279" s="1151">
        <f t="shared" si="748"/>
        <v>68</v>
      </c>
      <c r="AN279" s="1583">
        <v>2</v>
      </c>
      <c r="AO279" s="1193">
        <f>'CONCEPTOS Y PARAMETROS'!$C$18*AN279</f>
        <v>25</v>
      </c>
      <c r="AP279" s="1028">
        <v>0</v>
      </c>
      <c r="AQ279" s="1193">
        <f>'CONCEPTOS Y PARAMETROS'!$C$21*AP279</f>
        <v>0</v>
      </c>
      <c r="AR279" s="1394">
        <v>0</v>
      </c>
      <c r="AS279" s="1394">
        <v>0</v>
      </c>
      <c r="AT279" s="1394">
        <f t="shared" si="824"/>
        <v>25</v>
      </c>
      <c r="AU279" s="1151">
        <f t="shared" si="749"/>
        <v>404.3</v>
      </c>
      <c r="AV279" s="1178" t="s">
        <v>5080</v>
      </c>
      <c r="AW279" s="1151">
        <f t="shared" si="826"/>
        <v>93.3</v>
      </c>
      <c r="AX279" s="1150">
        <f>IF(T279&lt;&gt;"0",(ROUND(IF(A279="EMPLEADO",eval_formula('CONCEPTOS Y PARAMETROS'!$C$8,NOMINA!V279,NOMINA!$AU279,NOMINA!I279+NOMINA!J279),eval_formula('CONCEPTOS Y PARAMETROS'!$D$8,NOMINA!V279,NOMINA!$AU279,NOMINA!I279+NOMINA!J279)),2))*IF(H279&lt;&gt;"",IF(MONTH(H279)=$BR$8,IF(YEAR(H279)&lt;$BT$7,1,0),0)))</f>
        <v>0</v>
      </c>
      <c r="AY279" s="1151">
        <v>180</v>
      </c>
      <c r="AZ279" s="1150">
        <f>IFERROR(VLOOKUP(AY279,'CONCEPTOS Y PARAMETROS'!Y:Z,2,0),0)</f>
        <v>150</v>
      </c>
      <c r="BA279" s="1150">
        <f t="shared" si="750"/>
        <v>3032.25</v>
      </c>
      <c r="BB279" s="1150">
        <f t="shared" si="643"/>
        <v>0</v>
      </c>
      <c r="BC279" s="1028">
        <v>0</v>
      </c>
      <c r="BD279" s="1150" t="str">
        <f t="shared" si="751"/>
        <v>0</v>
      </c>
      <c r="BE279" s="1028">
        <v>3</v>
      </c>
      <c r="BF279" s="1150">
        <f t="shared" si="702"/>
        <v>60.65</v>
      </c>
      <c r="BG279" s="1151">
        <v>300</v>
      </c>
      <c r="BH279" s="1151">
        <f t="shared" si="647"/>
        <v>0</v>
      </c>
      <c r="BI279" s="1180">
        <v>0</v>
      </c>
      <c r="BJ279" s="1180">
        <f t="shared" si="642"/>
        <v>0</v>
      </c>
      <c r="BK279" s="1151">
        <v>0</v>
      </c>
      <c r="BL279" s="1150">
        <f t="shared" si="696"/>
        <v>14.93</v>
      </c>
      <c r="BM279" s="1150">
        <f t="shared" si="697"/>
        <v>1.87</v>
      </c>
      <c r="BN279" s="1150">
        <f t="shared" si="644"/>
        <v>4.04</v>
      </c>
      <c r="BO279" s="1150">
        <v>0</v>
      </c>
      <c r="BP279" s="1150">
        <v>0</v>
      </c>
      <c r="BQ279" s="1396">
        <f t="shared" si="677"/>
        <v>20.84</v>
      </c>
      <c r="BR279" s="1150">
        <f t="shared" si="699"/>
        <v>33.590000000000003</v>
      </c>
      <c r="BS279" s="1150">
        <f t="shared" si="700"/>
        <v>7.46</v>
      </c>
      <c r="BT279" s="1150">
        <f t="shared" si="649"/>
        <v>8.08</v>
      </c>
      <c r="BU279" s="1150">
        <v>0</v>
      </c>
      <c r="BV279" s="1151">
        <f t="shared" si="678"/>
        <v>49.13</v>
      </c>
      <c r="BW279" s="1155">
        <f t="shared" si="679"/>
        <v>69.97</v>
      </c>
      <c r="BX279" s="1155">
        <f t="shared" si="823"/>
        <v>758.06</v>
      </c>
      <c r="BY279" s="1151">
        <v>0</v>
      </c>
      <c r="BZ279" s="1151">
        <f t="shared" si="641"/>
        <v>758.06</v>
      </c>
      <c r="CA279" s="1397">
        <f>'CONCEPTOS Y PARAMETROS'!$A$102</f>
        <v>2120</v>
      </c>
      <c r="CB279" s="1155">
        <f t="shared" si="652"/>
        <v>147.16</v>
      </c>
      <c r="CC279" s="1156">
        <f t="shared" si="653"/>
        <v>621.95000000000005</v>
      </c>
      <c r="CD279" s="514"/>
      <c r="CE279" s="514"/>
      <c r="CF279" s="520"/>
      <c r="CG279" s="497">
        <f t="shared" si="654"/>
        <v>147.16</v>
      </c>
      <c r="CH279" s="1711">
        <f t="shared" si="655"/>
        <v>300</v>
      </c>
      <c r="CI279" s="497">
        <f t="shared" si="656"/>
        <v>443</v>
      </c>
      <c r="CJ279" s="497">
        <f t="shared" si="657"/>
        <v>443</v>
      </c>
      <c r="CK279" s="497">
        <f t="shared" si="658"/>
        <v>0</v>
      </c>
      <c r="CL279" s="497">
        <f t="shared" si="659"/>
        <v>0</v>
      </c>
      <c r="CM279" s="497">
        <f t="shared" si="660"/>
        <v>0</v>
      </c>
      <c r="CN279" s="498">
        <f t="shared" si="661"/>
        <v>60.65</v>
      </c>
      <c r="CO279" s="499">
        <v>0</v>
      </c>
      <c r="CP279" s="498">
        <f t="shared" si="662"/>
        <v>93.3</v>
      </c>
      <c r="CQ279" s="500">
        <f t="shared" si="663"/>
        <v>25</v>
      </c>
      <c r="CR279" s="498">
        <f t="shared" si="664"/>
        <v>0</v>
      </c>
      <c r="CS279" s="498">
        <f t="shared" si="665"/>
        <v>178.95</v>
      </c>
      <c r="CT279" s="498">
        <f t="shared" si="666"/>
        <v>69.97</v>
      </c>
      <c r="CU279" s="498">
        <f t="shared" si="667"/>
        <v>2120</v>
      </c>
      <c r="CV279" s="1554"/>
      <c r="CW279" s="1195" t="s">
        <v>7150</v>
      </c>
      <c r="CX279" s="1195" t="s">
        <v>7151</v>
      </c>
      <c r="CY279" s="472"/>
      <c r="CZ279" s="514" t="s">
        <v>6281</v>
      </c>
      <c r="DA279" s="514" t="s">
        <v>6216</v>
      </c>
      <c r="DB279" s="514" t="s">
        <v>6280</v>
      </c>
      <c r="DC279" s="514" t="s">
        <v>6282</v>
      </c>
      <c r="DD279" s="514"/>
      <c r="DE279" s="514"/>
      <c r="DF279" s="472"/>
      <c r="DG279" s="472"/>
      <c r="DH279" s="472"/>
      <c r="DJ279" s="473" t="str">
        <f>VLOOKUP(X279,Hoja1!$A$4:$B$10,2,0)</f>
        <v>BACHILLER</v>
      </c>
      <c r="DK279" s="473" t="str">
        <f>VLOOKUP(S279,Hoja1!$D$4:$F$77,3,0)</f>
        <v>BII - II</v>
      </c>
      <c r="DL279" s="1216" t="str">
        <f t="shared" si="668"/>
        <v>SI</v>
      </c>
      <c r="DM279" s="1741" t="str">
        <f t="shared" si="669"/>
        <v>F</v>
      </c>
      <c r="DN279" s="1741"/>
    </row>
    <row r="280" spans="1:118" s="478" customFormat="1" ht="21.95" customHeight="1">
      <c r="A280" s="510" t="s">
        <v>2846</v>
      </c>
      <c r="B280" s="1390">
        <f t="shared" ca="1" si="822"/>
        <v>238</v>
      </c>
      <c r="C280" s="1194">
        <v>25454143</v>
      </c>
      <c r="D280" s="1195" t="s">
        <v>6818</v>
      </c>
      <c r="E280" s="1180" t="s">
        <v>4622</v>
      </c>
      <c r="F280" s="1196">
        <v>35500</v>
      </c>
      <c r="G280" s="1180" t="s">
        <v>4620</v>
      </c>
      <c r="H280" s="1196">
        <v>45536</v>
      </c>
      <c r="I280" s="1185">
        <f t="shared" si="645"/>
        <v>0</v>
      </c>
      <c r="J280" s="1177">
        <v>0</v>
      </c>
      <c r="K280" s="1185">
        <f t="shared" si="646"/>
        <v>0</v>
      </c>
      <c r="L280" s="1191" t="s">
        <v>6149</v>
      </c>
      <c r="M280" s="1177"/>
      <c r="N280" s="1177"/>
      <c r="O280" s="1040" t="s">
        <v>5222</v>
      </c>
      <c r="P280" s="1197" t="s">
        <v>6819</v>
      </c>
      <c r="Q280" s="1391" t="str">
        <f>IFERROR(VLOOKUP(O280,CARGOS!A:E,2,0),"")</f>
        <v>79511</v>
      </c>
      <c r="R280" s="1403" t="s">
        <v>5222</v>
      </c>
      <c r="S280" s="1192" t="s">
        <v>5483</v>
      </c>
      <c r="T280" s="1150">
        <f>IFERROR(VLOOKUP(S280,'TAB EMP'!A:B,2,0),0)</f>
        <v>130</v>
      </c>
      <c r="U280" s="1151">
        <v>0</v>
      </c>
      <c r="V280" s="1150">
        <f t="shared" ref="V280" si="829">T280-U280</f>
        <v>130</v>
      </c>
      <c r="W280" s="1151">
        <f t="shared" ref="W280" si="830">ROUND(V280/2,2)</f>
        <v>65</v>
      </c>
      <c r="X280" s="1180" t="s">
        <v>2884</v>
      </c>
      <c r="Y280" s="1180"/>
      <c r="Z280" s="1180">
        <v>1</v>
      </c>
      <c r="AA280" s="1150">
        <f>ROUND(IF(H280&lt;&gt;"",VLOOKUP(SUM(I280+J280),'CONCEPTOS Y PARAMETROS'!F:G,2,0)*V280,0),2)</f>
        <v>0</v>
      </c>
      <c r="AB280" s="1150">
        <f>IF(S280&lt;&gt;"",IF(M280="",'CONCEPTOS Y PARAMETROS'!$C$4,0),0)</f>
        <v>130</v>
      </c>
      <c r="AC280" s="1150">
        <f>IF(S280&lt;&gt;"",IF(M280="",'CONCEPTOS Y PARAMETROS'!$C$7*Z280,0),0)</f>
        <v>12.5</v>
      </c>
      <c r="AD280" s="1150">
        <f>IFERROR(ROUND(VLOOKUP($X280,'CONCEPTOS Y PARAMETROS'!H:I,2,0)*($V280+AA280+AB280+AC280),2),0)</f>
        <v>0</v>
      </c>
      <c r="AE280" s="1150">
        <f t="shared" ref="AE280" si="831">SUM(AA280:AD280)</f>
        <v>142.5</v>
      </c>
      <c r="AF280" s="1150">
        <f t="shared" ref="AF280" si="832">ROUND(AA280/2,2)</f>
        <v>0</v>
      </c>
      <c r="AG280" s="1150">
        <f t="shared" ref="AG280" si="833">ROUND(AA280-AF280,2)</f>
        <v>0</v>
      </c>
      <c r="AH280" s="1150">
        <f t="shared" ref="AH280" si="834">ROUND(AB280/2,2)</f>
        <v>65</v>
      </c>
      <c r="AI280" s="1150">
        <f t="shared" ref="AI280" si="835">ROUND(AB280-AH280,2)</f>
        <v>65</v>
      </c>
      <c r="AJ280" s="1150">
        <f t="shared" ref="AJ280" si="836">ROUND(AD280/2,2)</f>
        <v>0</v>
      </c>
      <c r="AK280" s="1150">
        <f t="shared" ref="AK280" si="837">ROUND(AD280-AJ280,2)</f>
        <v>0</v>
      </c>
      <c r="AL280" s="1151">
        <f t="shared" ref="AL280" si="838">ROUND(AF280+AH280+AJ280+AC280,2)</f>
        <v>77.5</v>
      </c>
      <c r="AM280" s="1151">
        <f t="shared" ref="AM280" si="839">ROUND(AG280+AI280+AK280,2)</f>
        <v>65</v>
      </c>
      <c r="AN280" s="1028">
        <v>0</v>
      </c>
      <c r="AO280" s="1193">
        <f>'CONCEPTOS Y PARAMETROS'!$C$18*AN280</f>
        <v>0</v>
      </c>
      <c r="AP280" s="1028">
        <v>0</v>
      </c>
      <c r="AQ280" s="1193">
        <f>'CONCEPTOS Y PARAMETROS'!$C$21*AP280</f>
        <v>0</v>
      </c>
      <c r="AR280" s="1394">
        <v>0</v>
      </c>
      <c r="AS280" s="1394">
        <v>0</v>
      </c>
      <c r="AT280" s="1394">
        <f t="shared" ref="AT280" si="840">+AO280+AQ280+AR280+AS280</f>
        <v>0</v>
      </c>
      <c r="AU280" s="1151">
        <f t="shared" ref="AU280" si="841">V280+AE280+AW280</f>
        <v>354.25</v>
      </c>
      <c r="AV280" s="1178" t="s">
        <v>5080</v>
      </c>
      <c r="AW280" s="1151">
        <f t="shared" ref="AW280" si="842">ROUND(IF(AV280="NOCTURN",(V280+AE280)*30%,0),2)</f>
        <v>81.75</v>
      </c>
      <c r="AX280" s="1150">
        <f>IF(T280&lt;&gt;"0",(ROUND(IF(A280="EMPLEADO",eval_formula('CONCEPTOS Y PARAMETROS'!$C$8,NOMINA!V280,NOMINA!$AU280,NOMINA!I280+NOMINA!J280),eval_formula('CONCEPTOS Y PARAMETROS'!$D$8,NOMINA!V280,NOMINA!$AU280,NOMINA!I280+NOMINA!J280)),2))*IF(H280&lt;&gt;"",IF(MONTH(H280)=$BR$8,IF(YEAR(H280)&lt;$BT$7,1,0),0)))</f>
        <v>0</v>
      </c>
      <c r="AY280" s="1151">
        <v>60</v>
      </c>
      <c r="AZ280" s="1150">
        <f>IFERROR(VLOOKUP(AY280,'CONCEPTOS Y PARAMETROS'!Y:Z,2,0),0)</f>
        <v>50</v>
      </c>
      <c r="BA280" s="1150">
        <f t="shared" ref="BA280" si="843">ROUND((((AU280))/30*AY280/12+(AU280))/30*AZ280,2)</f>
        <v>688.82</v>
      </c>
      <c r="BB280" s="1150">
        <f t="shared" si="643"/>
        <v>0</v>
      </c>
      <c r="BC280" s="1028">
        <v>0</v>
      </c>
      <c r="BD280" s="1150" t="str">
        <f t="shared" ref="BD280" si="844">IF(BC280&gt;0,((((((V280+AA280+AB280+AC280+AD280)/30)/8)*50%)+((((V280+AA280+AB280+AC280+AD280)/30)/8)))*30%+(((((V280+AA280+AB280+AC280+AD280)/30)/8)*50%)+((((V280+AA280+AB280+AC280+AD280)/30)/8))))*BC280,"0")</f>
        <v>0</v>
      </c>
      <c r="BE280" s="1028">
        <v>4</v>
      </c>
      <c r="BF280" s="1150">
        <f t="shared" ref="BF280:BF309" si="845">ROUND(IF(BE280&gt;0,(((V280+AA280+AB280+AC280+AD280+AW280)/30)*50%+((V280+AA280+AB280+AC280+AD280+AW280)/30))*BE280,"0"),2)</f>
        <v>70.849999999999994</v>
      </c>
      <c r="BG280" s="1151">
        <v>300</v>
      </c>
      <c r="BH280" s="1151">
        <f t="shared" si="647"/>
        <v>0</v>
      </c>
      <c r="BI280" s="1180">
        <v>0</v>
      </c>
      <c r="BJ280" s="1180">
        <f t="shared" si="642"/>
        <v>0</v>
      </c>
      <c r="BK280" s="1151">
        <v>0</v>
      </c>
      <c r="BL280" s="1150">
        <f t="shared" si="696"/>
        <v>13.08</v>
      </c>
      <c r="BM280" s="1150">
        <f t="shared" si="697"/>
        <v>1.64</v>
      </c>
      <c r="BN280" s="1150">
        <f t="shared" si="644"/>
        <v>3.54</v>
      </c>
      <c r="BO280" s="1150">
        <v>0</v>
      </c>
      <c r="BP280" s="1150">
        <v>0</v>
      </c>
      <c r="BQ280" s="1396">
        <f t="shared" ref="BQ280" si="846">ROUND(SUM(BL280:BP280),2)</f>
        <v>18.260000000000002</v>
      </c>
      <c r="BR280" s="1150">
        <f t="shared" si="699"/>
        <v>29.43</v>
      </c>
      <c r="BS280" s="1150">
        <f t="shared" si="700"/>
        <v>6.54</v>
      </c>
      <c r="BT280" s="1150">
        <f t="shared" si="649"/>
        <v>7.08</v>
      </c>
      <c r="BU280" s="1150">
        <v>0</v>
      </c>
      <c r="BV280" s="1151">
        <f t="shared" ref="BV280" si="847">ROUND(SUM(BR280:BT280),2)</f>
        <v>43.05</v>
      </c>
      <c r="BW280" s="1155">
        <f t="shared" ref="BW280" si="848">BQ280+BV280</f>
        <v>61.31</v>
      </c>
      <c r="BX280" s="1155">
        <f t="shared" si="823"/>
        <v>172.21</v>
      </c>
      <c r="BY280" s="1151">
        <v>0</v>
      </c>
      <c r="BZ280" s="1151">
        <f t="shared" si="641"/>
        <v>172.21</v>
      </c>
      <c r="CA280" s="1397">
        <f>'CONCEPTOS Y PARAMETROS'!$A$102</f>
        <v>2120</v>
      </c>
      <c r="CB280" s="1155">
        <f t="shared" si="652"/>
        <v>124.24</v>
      </c>
      <c r="CC280" s="1156">
        <f t="shared" si="653"/>
        <v>582.6</v>
      </c>
      <c r="CD280" s="514"/>
      <c r="CE280" s="514"/>
      <c r="CF280" s="521"/>
      <c r="CG280" s="511">
        <f t="shared" si="654"/>
        <v>124.24</v>
      </c>
      <c r="CH280" s="1712">
        <f t="shared" si="655"/>
        <v>300</v>
      </c>
      <c r="CI280" s="511">
        <f t="shared" si="656"/>
        <v>430</v>
      </c>
      <c r="CJ280" s="511">
        <f t="shared" si="657"/>
        <v>430</v>
      </c>
      <c r="CK280" s="511">
        <f t="shared" si="658"/>
        <v>0</v>
      </c>
      <c r="CL280" s="511">
        <f t="shared" si="659"/>
        <v>0</v>
      </c>
      <c r="CM280" s="511">
        <f t="shared" si="660"/>
        <v>0</v>
      </c>
      <c r="CN280" s="512">
        <f t="shared" si="661"/>
        <v>70.849999999999994</v>
      </c>
      <c r="CO280" s="513">
        <v>0</v>
      </c>
      <c r="CP280" s="512">
        <f t="shared" si="662"/>
        <v>81.75</v>
      </c>
      <c r="CQ280" s="500">
        <f t="shared" si="663"/>
        <v>0</v>
      </c>
      <c r="CR280" s="512">
        <f t="shared" si="664"/>
        <v>0</v>
      </c>
      <c r="CS280" s="512">
        <f t="shared" si="665"/>
        <v>152.6</v>
      </c>
      <c r="CT280" s="512">
        <f t="shared" si="666"/>
        <v>61.31</v>
      </c>
      <c r="CU280" s="512">
        <f t="shared" si="667"/>
        <v>2120</v>
      </c>
      <c r="CV280" s="1556"/>
      <c r="CW280" s="1195" t="s">
        <v>6960</v>
      </c>
      <c r="CX280" s="1195" t="s">
        <v>6990</v>
      </c>
      <c r="CY280" s="514"/>
      <c r="CZ280" s="1199" t="s">
        <v>6820</v>
      </c>
      <c r="DA280" s="514"/>
      <c r="DB280" s="514"/>
      <c r="DC280" s="514"/>
      <c r="DD280" s="514"/>
      <c r="DE280" s="514"/>
      <c r="DF280" s="514"/>
      <c r="DG280" s="514"/>
      <c r="DH280" s="514"/>
      <c r="DJ280" s="478" t="str">
        <f>VLOOKUP(X280,Hoja1!$A$4:$B$10,2,0)</f>
        <v>BACHILLER</v>
      </c>
      <c r="DK280" s="478" t="str">
        <f>VLOOKUP(S280,Hoja1!$D$4:$F$77,3,0)</f>
        <v>BI</v>
      </c>
      <c r="DL280" s="1239" t="str">
        <f t="shared" si="668"/>
        <v>SI</v>
      </c>
      <c r="DM280" s="1743" t="str">
        <f t="shared" si="669"/>
        <v>F</v>
      </c>
      <c r="DN280" s="1743"/>
    </row>
    <row r="281" spans="1:118" s="1654" customFormat="1" ht="21.95" customHeight="1">
      <c r="A281" s="1624" t="s">
        <v>2846</v>
      </c>
      <c r="B281" s="1625">
        <f t="shared" ca="1" si="822"/>
        <v>239</v>
      </c>
      <c r="C281" s="1626">
        <v>25604733</v>
      </c>
      <c r="D281" s="1627" t="s">
        <v>4912</v>
      </c>
      <c r="E281" s="1628" t="s">
        <v>4622</v>
      </c>
      <c r="F281" s="1629">
        <v>35373</v>
      </c>
      <c r="G281" s="1628" t="s">
        <v>4620</v>
      </c>
      <c r="H281" s="1629">
        <v>43754</v>
      </c>
      <c r="I281" s="1630">
        <f t="shared" si="645"/>
        <v>5</v>
      </c>
      <c r="J281" s="1631">
        <v>0</v>
      </c>
      <c r="K281" s="1630">
        <f t="shared" si="646"/>
        <v>5</v>
      </c>
      <c r="L281" s="1632" t="s">
        <v>5543</v>
      </c>
      <c r="M281" s="1631"/>
      <c r="N281" s="1631"/>
      <c r="O281" s="1633" t="s">
        <v>5270</v>
      </c>
      <c r="P281" s="1631" t="s">
        <v>5451</v>
      </c>
      <c r="Q281" s="1634" t="str">
        <f>IFERROR(VLOOKUP(O281,CARGOS!A:E,2,0),"")</f>
        <v>34232</v>
      </c>
      <c r="R281" s="1635" t="s">
        <v>5270</v>
      </c>
      <c r="S281" s="1636" t="s">
        <v>5490</v>
      </c>
      <c r="T281" s="1637">
        <f>IFERROR(VLOOKUP(S281,'TAB EMP'!A:B,2,0),0)</f>
        <v>150</v>
      </c>
      <c r="U281" s="1638">
        <v>0</v>
      </c>
      <c r="V281" s="1637">
        <f t="shared" si="739"/>
        <v>150</v>
      </c>
      <c r="W281" s="1638">
        <f t="shared" si="740"/>
        <v>75</v>
      </c>
      <c r="X281" s="1628" t="s">
        <v>2884</v>
      </c>
      <c r="Y281" s="1628"/>
      <c r="Z281" s="1628">
        <v>0</v>
      </c>
      <c r="AA281" s="1637">
        <f>ROUND(IF(H281&lt;&gt;"",VLOOKUP(SUM(I281+J281),'CONCEPTOS Y PARAMETROS'!F:G,2,0)*V281,0),2)</f>
        <v>7.5</v>
      </c>
      <c r="AB281" s="1637">
        <f>IF(S281&lt;&gt;"",IF(M281="",'CONCEPTOS Y PARAMETROS'!$C$4,0),0)</f>
        <v>130</v>
      </c>
      <c r="AC281" s="1637">
        <f>IF(S281&lt;&gt;"",IF(M281="",'CONCEPTOS Y PARAMETROS'!$C$7*Z281,0),0)</f>
        <v>0</v>
      </c>
      <c r="AD281" s="1637">
        <f>IFERROR(ROUND(VLOOKUP($X281,'CONCEPTOS Y PARAMETROS'!H:I,2,0)*($V281+AA281+AB281+AC281),2),0)</f>
        <v>0</v>
      </c>
      <c r="AE281" s="1637">
        <f t="shared" si="701"/>
        <v>137.5</v>
      </c>
      <c r="AF281" s="1637">
        <f t="shared" si="741"/>
        <v>3.75</v>
      </c>
      <c r="AG281" s="1637">
        <f t="shared" si="742"/>
        <v>3.75</v>
      </c>
      <c r="AH281" s="1637">
        <f t="shared" si="743"/>
        <v>65</v>
      </c>
      <c r="AI281" s="1637">
        <f t="shared" si="744"/>
        <v>65</v>
      </c>
      <c r="AJ281" s="1637">
        <f t="shared" si="745"/>
        <v>0</v>
      </c>
      <c r="AK281" s="1637">
        <f t="shared" si="746"/>
        <v>0</v>
      </c>
      <c r="AL281" s="1638">
        <f t="shared" si="747"/>
        <v>68.75</v>
      </c>
      <c r="AM281" s="1638">
        <f t="shared" si="748"/>
        <v>68.75</v>
      </c>
      <c r="AN281" s="1639">
        <v>0</v>
      </c>
      <c r="AO281" s="1640">
        <f>'CONCEPTOS Y PARAMETROS'!$C$18*AN281</f>
        <v>0</v>
      </c>
      <c r="AP281" s="1639">
        <v>0</v>
      </c>
      <c r="AQ281" s="1640">
        <f>'CONCEPTOS Y PARAMETROS'!$C$21*AP281</f>
        <v>0</v>
      </c>
      <c r="AR281" s="1641">
        <v>0</v>
      </c>
      <c r="AS281" s="1641">
        <v>0</v>
      </c>
      <c r="AT281" s="1641">
        <f t="shared" si="824"/>
        <v>0</v>
      </c>
      <c r="AU281" s="1638">
        <f t="shared" si="749"/>
        <v>287.5</v>
      </c>
      <c r="AV281" s="1642">
        <v>0</v>
      </c>
      <c r="AW281" s="1638">
        <f t="shared" si="826"/>
        <v>0</v>
      </c>
      <c r="AX281" s="1637">
        <f>IF(T281&lt;&gt;"0",(ROUND(IF(A281="EMPLEADO",eval_formula('CONCEPTOS Y PARAMETROS'!$C$8,NOMINA!V281,NOMINA!$AU281,NOMINA!I281+NOMINA!J281),eval_formula('CONCEPTOS Y PARAMETROS'!$D$8,NOMINA!V281,NOMINA!$AU281,NOMINA!I281+NOMINA!J281)),2))*IF(H281&lt;&gt;"",IF(MONTH(H281)=$BR$8,IF(YEAR(H281)&lt;$BT$7,1,0),0)))</f>
        <v>0</v>
      </c>
      <c r="AY281" s="1638">
        <v>180</v>
      </c>
      <c r="AZ281" s="1637">
        <f>IFERROR(VLOOKUP(AY281,'CONCEPTOS Y PARAMETROS'!Y:Z,2,0),0)</f>
        <v>150</v>
      </c>
      <c r="BA281" s="1637">
        <f t="shared" si="750"/>
        <v>2156.25</v>
      </c>
      <c r="BB281" s="1637">
        <f t="shared" si="643"/>
        <v>0</v>
      </c>
      <c r="BC281" s="1639">
        <v>0</v>
      </c>
      <c r="BD281" s="1637" t="str">
        <f t="shared" si="751"/>
        <v>0</v>
      </c>
      <c r="BE281" s="1639">
        <v>0</v>
      </c>
      <c r="BF281" s="1637">
        <f t="shared" si="845"/>
        <v>0</v>
      </c>
      <c r="BG281" s="1638">
        <v>300</v>
      </c>
      <c r="BH281" s="1638">
        <f t="shared" si="647"/>
        <v>0</v>
      </c>
      <c r="BI281" s="1628">
        <v>0</v>
      </c>
      <c r="BJ281" s="1628">
        <f t="shared" si="642"/>
        <v>0</v>
      </c>
      <c r="BK281" s="1638">
        <v>0</v>
      </c>
      <c r="BL281" s="1637">
        <f t="shared" si="696"/>
        <v>10.62</v>
      </c>
      <c r="BM281" s="1637">
        <f t="shared" si="697"/>
        <v>1.33</v>
      </c>
      <c r="BN281" s="1637">
        <f t="shared" si="644"/>
        <v>2.88</v>
      </c>
      <c r="BO281" s="1637">
        <v>0</v>
      </c>
      <c r="BP281" s="1637">
        <v>0</v>
      </c>
      <c r="BQ281" s="1643">
        <f t="shared" si="677"/>
        <v>14.83</v>
      </c>
      <c r="BR281" s="1637">
        <f t="shared" si="699"/>
        <v>23.88</v>
      </c>
      <c r="BS281" s="1637">
        <f t="shared" si="700"/>
        <v>5.31</v>
      </c>
      <c r="BT281" s="1637">
        <f t="shared" si="649"/>
        <v>5.76</v>
      </c>
      <c r="BU281" s="1637">
        <v>0</v>
      </c>
      <c r="BV281" s="1638">
        <f t="shared" si="678"/>
        <v>34.950000000000003</v>
      </c>
      <c r="BW281" s="1644">
        <f t="shared" si="679"/>
        <v>49.78</v>
      </c>
      <c r="BX281" s="1644">
        <f t="shared" si="823"/>
        <v>539.05999999999995</v>
      </c>
      <c r="BY281" s="1638">
        <v>0</v>
      </c>
      <c r="BZ281" s="1638">
        <f t="shared" si="641"/>
        <v>539.05999999999995</v>
      </c>
      <c r="CA281" s="1645">
        <f>'CONCEPTOS Y PARAMETROS'!$A$102</f>
        <v>2120</v>
      </c>
      <c r="CB281" s="1644">
        <f t="shared" si="652"/>
        <v>128.91999999999999</v>
      </c>
      <c r="CC281" s="1646">
        <f t="shared" si="653"/>
        <v>443.75</v>
      </c>
      <c r="CD281" s="1647"/>
      <c r="CE281" s="1647"/>
      <c r="CF281" s="1648"/>
      <c r="CG281" s="1649">
        <f t="shared" si="654"/>
        <v>128.91999999999999</v>
      </c>
      <c r="CH281" s="1713">
        <f t="shared" si="655"/>
        <v>300</v>
      </c>
      <c r="CI281" s="1649">
        <f t="shared" si="656"/>
        <v>443.75</v>
      </c>
      <c r="CJ281" s="1649">
        <f t="shared" si="657"/>
        <v>443.75</v>
      </c>
      <c r="CK281" s="1649">
        <f t="shared" si="658"/>
        <v>0</v>
      </c>
      <c r="CL281" s="1649">
        <f t="shared" si="659"/>
        <v>0</v>
      </c>
      <c r="CM281" s="1649">
        <f t="shared" si="660"/>
        <v>0</v>
      </c>
      <c r="CN281" s="1650">
        <f t="shared" si="661"/>
        <v>0</v>
      </c>
      <c r="CO281" s="1651">
        <v>0</v>
      </c>
      <c r="CP281" s="1650">
        <f t="shared" si="662"/>
        <v>0</v>
      </c>
      <c r="CQ281" s="1652">
        <f t="shared" si="663"/>
        <v>0</v>
      </c>
      <c r="CR281" s="1650">
        <f t="shared" si="664"/>
        <v>0</v>
      </c>
      <c r="CS281" s="1650">
        <f t="shared" si="665"/>
        <v>0</v>
      </c>
      <c r="CT281" s="1650">
        <f t="shared" si="666"/>
        <v>49.78</v>
      </c>
      <c r="CU281" s="1650">
        <f t="shared" si="667"/>
        <v>2120</v>
      </c>
      <c r="CV281" s="1653"/>
      <c r="CW281" s="1627" t="s">
        <v>7152</v>
      </c>
      <c r="CX281" s="1627" t="s">
        <v>7153</v>
      </c>
      <c r="CY281" s="1647"/>
      <c r="CZ281" s="1647" t="s">
        <v>6432</v>
      </c>
      <c r="DA281" s="1647" t="s">
        <v>6216</v>
      </c>
      <c r="DB281" s="1647" t="s">
        <v>6216</v>
      </c>
      <c r="DC281" s="1647" t="s">
        <v>6433</v>
      </c>
      <c r="DD281" s="1647"/>
      <c r="DE281" s="1647"/>
      <c r="DF281" s="1647"/>
      <c r="DG281" s="1647"/>
      <c r="DH281" s="1647"/>
      <c r="DJ281" s="1654" t="str">
        <f>VLOOKUP(X281,Hoja1!$A$4:$B$10,2,0)</f>
        <v>BACHILLER</v>
      </c>
      <c r="DK281" s="1654" t="str">
        <f>VLOOKUP(S281,Hoja1!$D$4:$F$77,3,0)</f>
        <v>BII - II</v>
      </c>
      <c r="DL281" s="1663" t="str">
        <f t="shared" si="668"/>
        <v>0</v>
      </c>
      <c r="DM281" s="1742" t="str">
        <f t="shared" si="669"/>
        <v>F</v>
      </c>
      <c r="DN281" s="1742"/>
    </row>
    <row r="282" spans="1:118" s="192" customFormat="1" ht="21.95" customHeight="1">
      <c r="A282" s="510" t="s">
        <v>2846</v>
      </c>
      <c r="B282" s="1390">
        <f ca="1">OFFSET(B282,-1,0)+1</f>
        <v>240</v>
      </c>
      <c r="C282" s="1194">
        <v>25619540</v>
      </c>
      <c r="D282" s="1195" t="s">
        <v>4913</v>
      </c>
      <c r="E282" s="1180" t="s">
        <v>4622</v>
      </c>
      <c r="F282" s="1196">
        <v>34604</v>
      </c>
      <c r="G282" s="1180" t="s">
        <v>4620</v>
      </c>
      <c r="H282" s="1196">
        <v>44743</v>
      </c>
      <c r="I282" s="1185">
        <f t="shared" si="645"/>
        <v>2</v>
      </c>
      <c r="J282" s="1177">
        <v>0</v>
      </c>
      <c r="K282" s="1185">
        <f t="shared" si="646"/>
        <v>2</v>
      </c>
      <c r="L282" s="1191" t="s">
        <v>5551</v>
      </c>
      <c r="M282" s="1177"/>
      <c r="N282" s="1177"/>
      <c r="O282" s="1040" t="s">
        <v>5222</v>
      </c>
      <c r="P282" s="1177" t="s">
        <v>5452</v>
      </c>
      <c r="Q282" s="1391" t="str">
        <f>IFERROR(VLOOKUP(O282,CARGOS!A:E,2,0),"")</f>
        <v>79511</v>
      </c>
      <c r="R282" s="1403" t="s">
        <v>5222</v>
      </c>
      <c r="S282" s="1192" t="s">
        <v>5483</v>
      </c>
      <c r="T282" s="1150">
        <f>IFERROR(VLOOKUP(S282,'TAB EMP'!A:B,2,0),0)</f>
        <v>130</v>
      </c>
      <c r="U282" s="1151">
        <v>0</v>
      </c>
      <c r="V282" s="1150">
        <f t="shared" si="739"/>
        <v>130</v>
      </c>
      <c r="W282" s="1151">
        <f t="shared" si="740"/>
        <v>65</v>
      </c>
      <c r="X282" s="1180" t="s">
        <v>2884</v>
      </c>
      <c r="Y282" s="1180"/>
      <c r="Z282" s="1180">
        <v>2</v>
      </c>
      <c r="AA282" s="1150">
        <f>ROUND(IF(H282&lt;&gt;"",VLOOKUP(SUM(I282+J282),'CONCEPTOS Y PARAMETROS'!F:G,2,0)*V282,0),2)</f>
        <v>2.6</v>
      </c>
      <c r="AB282" s="1150">
        <f>IF(S282&lt;&gt;"",IF(M282="",'CONCEPTOS Y PARAMETROS'!$C$4,0),0)</f>
        <v>130</v>
      </c>
      <c r="AC282" s="1150">
        <f>IF(S282&lt;&gt;"",IF(M282="",'CONCEPTOS Y PARAMETROS'!$C$7*Z282,0),0)</f>
        <v>25</v>
      </c>
      <c r="AD282" s="1150">
        <f>IFERROR(ROUND(VLOOKUP($X282,'CONCEPTOS Y PARAMETROS'!H:I,2,0)*($V282+AA282+AB282+AC282),2),0)</f>
        <v>0</v>
      </c>
      <c r="AE282" s="1150">
        <f t="shared" si="701"/>
        <v>157.6</v>
      </c>
      <c r="AF282" s="1150">
        <f t="shared" si="741"/>
        <v>1.3</v>
      </c>
      <c r="AG282" s="1150">
        <f t="shared" si="742"/>
        <v>1.3</v>
      </c>
      <c r="AH282" s="1150">
        <f t="shared" si="743"/>
        <v>65</v>
      </c>
      <c r="AI282" s="1150">
        <f t="shared" si="744"/>
        <v>65</v>
      </c>
      <c r="AJ282" s="1150">
        <f t="shared" si="745"/>
        <v>0</v>
      </c>
      <c r="AK282" s="1150">
        <f t="shared" si="746"/>
        <v>0</v>
      </c>
      <c r="AL282" s="1151">
        <f t="shared" si="747"/>
        <v>91.3</v>
      </c>
      <c r="AM282" s="1151">
        <f t="shared" si="748"/>
        <v>66.3</v>
      </c>
      <c r="AN282" s="1583">
        <v>2</v>
      </c>
      <c r="AO282" s="1193">
        <f>'CONCEPTOS Y PARAMETROS'!$C$18*AN282</f>
        <v>25</v>
      </c>
      <c r="AP282" s="1028">
        <v>0</v>
      </c>
      <c r="AQ282" s="1193">
        <f>'CONCEPTOS Y PARAMETROS'!$C$21*AP282</f>
        <v>0</v>
      </c>
      <c r="AR282" s="1394">
        <v>0</v>
      </c>
      <c r="AS282" s="1394">
        <v>0</v>
      </c>
      <c r="AT282" s="1394">
        <f t="shared" si="824"/>
        <v>25</v>
      </c>
      <c r="AU282" s="1151">
        <f t="shared" si="749"/>
        <v>373.88</v>
      </c>
      <c r="AV282" s="1178" t="s">
        <v>5080</v>
      </c>
      <c r="AW282" s="1151">
        <f t="shared" si="826"/>
        <v>86.28</v>
      </c>
      <c r="AX282" s="1150">
        <f>IF(T282&lt;&gt;"0",(ROUND(IF(A282="EMPLEADO",eval_formula('CONCEPTOS Y PARAMETROS'!$C$8,NOMINA!V282,NOMINA!$AU282,NOMINA!I282+NOMINA!J282),eval_formula('CONCEPTOS Y PARAMETROS'!$D$8,NOMINA!V282,NOMINA!$AU282,NOMINA!I282+NOMINA!J282)),2))*IF(H282&lt;&gt;"",IF(MONTH(H282)=$BR$8,IF(YEAR(H282)&lt;$BT$7,1,0),0)))</f>
        <v>0</v>
      </c>
      <c r="AY282" s="1151">
        <v>180</v>
      </c>
      <c r="AZ282" s="1150">
        <f>IFERROR(VLOOKUP(AY282,'CONCEPTOS Y PARAMETROS'!Y:Z,2,0),0)</f>
        <v>150</v>
      </c>
      <c r="BA282" s="1150">
        <f t="shared" si="750"/>
        <v>2804.1</v>
      </c>
      <c r="BB282" s="1150">
        <f t="shared" si="643"/>
        <v>0</v>
      </c>
      <c r="BC282" s="1028">
        <v>0</v>
      </c>
      <c r="BD282" s="1150" t="str">
        <f t="shared" si="751"/>
        <v>0</v>
      </c>
      <c r="BE282" s="1028">
        <v>4</v>
      </c>
      <c r="BF282" s="1150">
        <f t="shared" si="845"/>
        <v>74.78</v>
      </c>
      <c r="BG282" s="1151">
        <v>300</v>
      </c>
      <c r="BH282" s="1151">
        <f t="shared" si="647"/>
        <v>0</v>
      </c>
      <c r="BI282" s="1180">
        <v>0</v>
      </c>
      <c r="BJ282" s="1180">
        <f t="shared" si="642"/>
        <v>0</v>
      </c>
      <c r="BK282" s="1151">
        <v>0</v>
      </c>
      <c r="BL282" s="1150">
        <f t="shared" si="696"/>
        <v>13.8</v>
      </c>
      <c r="BM282" s="1150">
        <f t="shared" si="697"/>
        <v>1.73</v>
      </c>
      <c r="BN282" s="1150">
        <f t="shared" si="644"/>
        <v>3.74</v>
      </c>
      <c r="BO282" s="1150">
        <v>0</v>
      </c>
      <c r="BP282" s="1150">
        <v>0</v>
      </c>
      <c r="BQ282" s="1396">
        <f t="shared" si="677"/>
        <v>19.27</v>
      </c>
      <c r="BR282" s="1150">
        <f t="shared" si="699"/>
        <v>31.06</v>
      </c>
      <c r="BS282" s="1150">
        <f t="shared" si="700"/>
        <v>6.9</v>
      </c>
      <c r="BT282" s="1150">
        <f t="shared" si="649"/>
        <v>7.48</v>
      </c>
      <c r="BU282" s="1150">
        <v>0</v>
      </c>
      <c r="BV282" s="1151">
        <f t="shared" si="678"/>
        <v>45.44</v>
      </c>
      <c r="BW282" s="1155">
        <f t="shared" si="679"/>
        <v>64.709999999999994</v>
      </c>
      <c r="BX282" s="1155">
        <f t="shared" si="823"/>
        <v>701.03</v>
      </c>
      <c r="BY282" s="1151">
        <v>0</v>
      </c>
      <c r="BZ282" s="1151">
        <f t="shared" si="641"/>
        <v>701.03</v>
      </c>
      <c r="CA282" s="1397">
        <f>'CONCEPTOS Y PARAMETROS'!$A$102</f>
        <v>2120</v>
      </c>
      <c r="CB282" s="1155">
        <f t="shared" si="652"/>
        <v>137.03</v>
      </c>
      <c r="CC282" s="1156">
        <f t="shared" si="653"/>
        <v>617.36</v>
      </c>
      <c r="CD282" s="514"/>
      <c r="CE282" s="514"/>
      <c r="CF282" s="520"/>
      <c r="CG282" s="497">
        <f t="shared" si="654"/>
        <v>137.03</v>
      </c>
      <c r="CH282" s="1711">
        <f t="shared" si="655"/>
        <v>300</v>
      </c>
      <c r="CI282" s="497">
        <f t="shared" si="656"/>
        <v>431.3</v>
      </c>
      <c r="CJ282" s="497">
        <f t="shared" si="657"/>
        <v>431.3</v>
      </c>
      <c r="CK282" s="497">
        <f t="shared" si="658"/>
        <v>0</v>
      </c>
      <c r="CL282" s="497">
        <f t="shared" si="659"/>
        <v>0</v>
      </c>
      <c r="CM282" s="497">
        <f t="shared" si="660"/>
        <v>0</v>
      </c>
      <c r="CN282" s="498">
        <f t="shared" si="661"/>
        <v>74.78</v>
      </c>
      <c r="CO282" s="499">
        <v>0</v>
      </c>
      <c r="CP282" s="498">
        <f t="shared" si="662"/>
        <v>86.28</v>
      </c>
      <c r="CQ282" s="500">
        <f t="shared" si="663"/>
        <v>25</v>
      </c>
      <c r="CR282" s="498">
        <f t="shared" si="664"/>
        <v>0</v>
      </c>
      <c r="CS282" s="498">
        <f t="shared" si="665"/>
        <v>186.06</v>
      </c>
      <c r="CT282" s="498">
        <f t="shared" si="666"/>
        <v>64.709999999999994</v>
      </c>
      <c r="CU282" s="498">
        <f t="shared" si="667"/>
        <v>2120</v>
      </c>
      <c r="CV282" s="1554"/>
      <c r="CW282" s="1195" t="s">
        <v>7154</v>
      </c>
      <c r="CX282" s="1195" t="s">
        <v>6935</v>
      </c>
      <c r="CY282" s="472"/>
      <c r="CZ282" s="514" t="s">
        <v>6355</v>
      </c>
      <c r="DA282" s="514" t="s">
        <v>6188</v>
      </c>
      <c r="DB282" s="514" t="s">
        <v>6287</v>
      </c>
      <c r="DC282" s="514" t="s">
        <v>6721</v>
      </c>
      <c r="DD282" s="514"/>
      <c r="DE282" s="514"/>
      <c r="DF282" s="472"/>
      <c r="DG282" s="472"/>
      <c r="DH282" s="472"/>
      <c r="DI282" s="473"/>
      <c r="DJ282" s="473" t="str">
        <f>VLOOKUP(X282,Hoja1!$A$4:$B$10,2,0)</f>
        <v>BACHILLER</v>
      </c>
      <c r="DK282" s="473" t="str">
        <f>VLOOKUP(S282,Hoja1!$D$4:$F$77,3,0)</f>
        <v>BI</v>
      </c>
      <c r="DL282" s="1216" t="str">
        <f t="shared" si="668"/>
        <v>SI</v>
      </c>
      <c r="DM282" s="1741" t="str">
        <f t="shared" si="669"/>
        <v>F</v>
      </c>
      <c r="DN282" s="1741"/>
    </row>
    <row r="283" spans="1:118" s="473" customFormat="1" ht="21.95" customHeight="1">
      <c r="A283" s="510" t="s">
        <v>2846</v>
      </c>
      <c r="B283" s="1390">
        <f t="shared" ca="1" si="822"/>
        <v>241</v>
      </c>
      <c r="C283" s="1194">
        <v>26094609</v>
      </c>
      <c r="D283" s="1195" t="s">
        <v>4914</v>
      </c>
      <c r="E283" s="1180" t="s">
        <v>4622</v>
      </c>
      <c r="F283" s="1196">
        <v>35785</v>
      </c>
      <c r="G283" s="1180" t="s">
        <v>4620</v>
      </c>
      <c r="H283" s="1196">
        <v>44713</v>
      </c>
      <c r="I283" s="1185">
        <f t="shared" si="645"/>
        <v>2</v>
      </c>
      <c r="J283" s="1177">
        <v>0</v>
      </c>
      <c r="K283" s="1185">
        <f t="shared" si="646"/>
        <v>2</v>
      </c>
      <c r="L283" s="1191" t="s">
        <v>5532</v>
      </c>
      <c r="M283" s="1177"/>
      <c r="N283" s="1177"/>
      <c r="O283" s="1040" t="s">
        <v>5216</v>
      </c>
      <c r="P283" s="1177" t="s">
        <v>5453</v>
      </c>
      <c r="Q283" s="1391" t="str">
        <f>IFERROR(VLOOKUP(O283,CARGOS!A:E,2,0),"")</f>
        <v>35121</v>
      </c>
      <c r="R283" s="1403" t="s">
        <v>5216</v>
      </c>
      <c r="S283" s="1192" t="s">
        <v>5469</v>
      </c>
      <c r="T283" s="1150">
        <f>IFERROR(VLOOKUP(S283,'TAB EMP'!A:B,2,0),0)</f>
        <v>246</v>
      </c>
      <c r="U283" s="1151">
        <v>0</v>
      </c>
      <c r="V283" s="1150">
        <f t="shared" si="739"/>
        <v>246</v>
      </c>
      <c r="W283" s="1151">
        <f t="shared" si="740"/>
        <v>123</v>
      </c>
      <c r="X283" s="1180" t="s">
        <v>2885</v>
      </c>
      <c r="Y283" s="1180"/>
      <c r="Z283" s="1180">
        <v>0</v>
      </c>
      <c r="AA283" s="1150">
        <f>ROUND(IF(H283&lt;&gt;"",VLOOKUP(SUM(I283+J283),'CONCEPTOS Y PARAMETROS'!F:G,2,0)*V283,0),2)</f>
        <v>4.92</v>
      </c>
      <c r="AB283" s="1150">
        <f>IF(S283&lt;&gt;"",IF(M283="",'CONCEPTOS Y PARAMETROS'!$C$4,0),0)</f>
        <v>130</v>
      </c>
      <c r="AC283" s="1150">
        <f>IF(S283&lt;&gt;"",IF(M283="",'CONCEPTOS Y PARAMETROS'!$C$7*Z283,0),0)</f>
        <v>0</v>
      </c>
      <c r="AD283" s="1150">
        <f>IFERROR(ROUND(VLOOKUP($X283,'CONCEPTOS Y PARAMETROS'!H:I,2,0)*($V283+AA283+AB283+AC283),2),0)</f>
        <v>95.23</v>
      </c>
      <c r="AE283" s="1150">
        <f t="shared" si="701"/>
        <v>230.14999999999998</v>
      </c>
      <c r="AF283" s="1150">
        <f t="shared" si="741"/>
        <v>2.46</v>
      </c>
      <c r="AG283" s="1150">
        <f t="shared" si="742"/>
        <v>2.46</v>
      </c>
      <c r="AH283" s="1150">
        <f t="shared" si="743"/>
        <v>65</v>
      </c>
      <c r="AI283" s="1150">
        <f t="shared" si="744"/>
        <v>65</v>
      </c>
      <c r="AJ283" s="1150">
        <f t="shared" si="745"/>
        <v>47.62</v>
      </c>
      <c r="AK283" s="1150">
        <f t="shared" si="746"/>
        <v>47.61</v>
      </c>
      <c r="AL283" s="1151">
        <f t="shared" si="747"/>
        <v>115.08</v>
      </c>
      <c r="AM283" s="1151">
        <f t="shared" si="748"/>
        <v>115.07</v>
      </c>
      <c r="AN283" s="1028">
        <v>0</v>
      </c>
      <c r="AO283" s="1193">
        <f>'CONCEPTOS Y PARAMETROS'!$C$18*AN283</f>
        <v>0</v>
      </c>
      <c r="AP283" s="1028">
        <v>0</v>
      </c>
      <c r="AQ283" s="1193">
        <f>'CONCEPTOS Y PARAMETROS'!$C$21*AP283</f>
        <v>0</v>
      </c>
      <c r="AR283" s="1394">
        <v>0</v>
      </c>
      <c r="AS283" s="1394">
        <v>0</v>
      </c>
      <c r="AT283" s="1394">
        <f t="shared" si="824"/>
        <v>0</v>
      </c>
      <c r="AU283" s="1151">
        <f t="shared" si="749"/>
        <v>476.15</v>
      </c>
      <c r="AV283" s="1178">
        <v>0</v>
      </c>
      <c r="AW283" s="1151">
        <f t="shared" si="826"/>
        <v>0</v>
      </c>
      <c r="AX283" s="1150">
        <f>IF(T283&lt;&gt;"0",(ROUND(IF(A283="EMPLEADO",eval_formula('CONCEPTOS Y PARAMETROS'!$C$8,NOMINA!V283,NOMINA!$AU283,NOMINA!I283+NOMINA!J283),eval_formula('CONCEPTOS Y PARAMETROS'!$D$8,NOMINA!V283,NOMINA!$AU283,NOMINA!I283+NOMINA!J283)),2))*IF(H283&lt;&gt;"",IF(MONTH(H283)=$BR$8,IF(YEAR(H283)&lt;$BT$7,1,0),0)))</f>
        <v>0</v>
      </c>
      <c r="AY283" s="1151">
        <v>180</v>
      </c>
      <c r="AZ283" s="1150">
        <f>IFERROR(VLOOKUP(AY283,'CONCEPTOS Y PARAMETROS'!Y:Z,2,0),0)</f>
        <v>150</v>
      </c>
      <c r="BA283" s="1150">
        <f t="shared" si="750"/>
        <v>3571.13</v>
      </c>
      <c r="BB283" s="1150">
        <f t="shared" si="643"/>
        <v>0</v>
      </c>
      <c r="BC283" s="1028">
        <v>0</v>
      </c>
      <c r="BD283" s="1150" t="str">
        <f t="shared" si="751"/>
        <v>0</v>
      </c>
      <c r="BE283" s="1028">
        <v>0</v>
      </c>
      <c r="BF283" s="1150">
        <f t="shared" si="845"/>
        <v>0</v>
      </c>
      <c r="BG283" s="1151">
        <v>300</v>
      </c>
      <c r="BH283" s="1151">
        <f t="shared" si="647"/>
        <v>0</v>
      </c>
      <c r="BI283" s="1180">
        <v>0</v>
      </c>
      <c r="BJ283" s="1180">
        <f t="shared" si="642"/>
        <v>0</v>
      </c>
      <c r="BK283" s="1151">
        <v>0</v>
      </c>
      <c r="BL283" s="1150">
        <f t="shared" si="696"/>
        <v>17.579999999999998</v>
      </c>
      <c r="BM283" s="1150">
        <f t="shared" si="697"/>
        <v>2.2000000000000002</v>
      </c>
      <c r="BN283" s="1150">
        <f t="shared" si="644"/>
        <v>4.76</v>
      </c>
      <c r="BO283" s="1150">
        <v>0</v>
      </c>
      <c r="BP283" s="1150">
        <v>0</v>
      </c>
      <c r="BQ283" s="1396">
        <f t="shared" si="677"/>
        <v>24.54</v>
      </c>
      <c r="BR283" s="1150">
        <f t="shared" si="699"/>
        <v>39.56</v>
      </c>
      <c r="BS283" s="1150">
        <f t="shared" si="700"/>
        <v>8.7899999999999991</v>
      </c>
      <c r="BT283" s="1150">
        <f t="shared" si="649"/>
        <v>9.52</v>
      </c>
      <c r="BU283" s="1150">
        <v>0</v>
      </c>
      <c r="BV283" s="1151">
        <f t="shared" si="678"/>
        <v>57.87</v>
      </c>
      <c r="BW283" s="1155">
        <f t="shared" si="679"/>
        <v>82.41</v>
      </c>
      <c r="BX283" s="1155">
        <f t="shared" si="823"/>
        <v>892.78</v>
      </c>
      <c r="BY283" s="1151">
        <v>0</v>
      </c>
      <c r="BZ283" s="1151">
        <f t="shared" si="641"/>
        <v>892.78</v>
      </c>
      <c r="CA283" s="1397">
        <f>'CONCEPTOS Y PARAMETROS'!$A$102</f>
        <v>2120</v>
      </c>
      <c r="CB283" s="1155">
        <f t="shared" si="652"/>
        <v>213.54</v>
      </c>
      <c r="CC283" s="1156">
        <f t="shared" si="653"/>
        <v>538.07000000000005</v>
      </c>
      <c r="CD283" s="514"/>
      <c r="CE283" s="514"/>
      <c r="CF283" s="521"/>
      <c r="CG283" s="511">
        <f t="shared" si="654"/>
        <v>213.54</v>
      </c>
      <c r="CH283" s="1712">
        <f t="shared" si="655"/>
        <v>300</v>
      </c>
      <c r="CI283" s="511">
        <f t="shared" si="656"/>
        <v>538.06999999999994</v>
      </c>
      <c r="CJ283" s="511">
        <f t="shared" si="657"/>
        <v>538.07000000000005</v>
      </c>
      <c r="CK283" s="511">
        <f t="shared" si="658"/>
        <v>0</v>
      </c>
      <c r="CL283" s="497">
        <f t="shared" si="659"/>
        <v>0</v>
      </c>
      <c r="CM283" s="497">
        <f t="shared" si="660"/>
        <v>0</v>
      </c>
      <c r="CN283" s="512">
        <f t="shared" si="661"/>
        <v>0</v>
      </c>
      <c r="CO283" s="513">
        <v>0</v>
      </c>
      <c r="CP283" s="512">
        <f t="shared" si="662"/>
        <v>0</v>
      </c>
      <c r="CQ283" s="500">
        <f t="shared" si="663"/>
        <v>0</v>
      </c>
      <c r="CR283" s="512">
        <f t="shared" si="664"/>
        <v>0</v>
      </c>
      <c r="CS283" s="512">
        <f t="shared" si="665"/>
        <v>0</v>
      </c>
      <c r="CT283" s="512">
        <f t="shared" si="666"/>
        <v>82.41</v>
      </c>
      <c r="CU283" s="512">
        <f t="shared" si="667"/>
        <v>2120</v>
      </c>
      <c r="CV283" s="1556"/>
      <c r="CW283" s="1195" t="s">
        <v>7155</v>
      </c>
      <c r="CX283" s="1195" t="s">
        <v>7156</v>
      </c>
      <c r="CY283" s="514"/>
      <c r="CZ283" s="514" t="s">
        <v>6490</v>
      </c>
      <c r="DA283" s="514" t="s">
        <v>6173</v>
      </c>
      <c r="DB283" s="514" t="s">
        <v>6234</v>
      </c>
      <c r="DC283" s="514" t="s">
        <v>6491</v>
      </c>
      <c r="DD283" s="514"/>
      <c r="DE283" s="514"/>
      <c r="DF283" s="514"/>
      <c r="DG283" s="514"/>
      <c r="DH283" s="514"/>
      <c r="DI283" s="478"/>
      <c r="DJ283" s="473" t="str">
        <f>VLOOKUP(X283,Hoja1!$A$4:$B$10,2,0)</f>
        <v>PROFESIONAL</v>
      </c>
      <c r="DK283" s="473" t="str">
        <f>VLOOKUP(S283,Hoja1!$D$4:$F$77,3,0)</f>
        <v>PI</v>
      </c>
      <c r="DL283" s="1216" t="str">
        <f t="shared" si="668"/>
        <v>0</v>
      </c>
      <c r="DM283" s="1741" t="str">
        <f t="shared" si="669"/>
        <v>F</v>
      </c>
      <c r="DN283" s="1741"/>
    </row>
    <row r="284" spans="1:118" s="473" customFormat="1" ht="21.95" customHeight="1">
      <c r="A284" s="510" t="s">
        <v>2846</v>
      </c>
      <c r="B284" s="1390">
        <f ca="1">OFFSET(B284,-1,0)+1</f>
        <v>242</v>
      </c>
      <c r="C284" s="1194">
        <v>26094690</v>
      </c>
      <c r="D284" s="1195" t="s">
        <v>5525</v>
      </c>
      <c r="E284" s="1180" t="s">
        <v>4622</v>
      </c>
      <c r="F284" s="1196">
        <v>35649</v>
      </c>
      <c r="G284" s="1180" t="s">
        <v>4621</v>
      </c>
      <c r="H284" s="1196">
        <v>45017</v>
      </c>
      <c r="I284" s="1185">
        <f t="shared" si="645"/>
        <v>1</v>
      </c>
      <c r="J284" s="1177">
        <v>0</v>
      </c>
      <c r="K284" s="1185">
        <f t="shared" si="646"/>
        <v>1</v>
      </c>
      <c r="L284" s="1191" t="s">
        <v>5561</v>
      </c>
      <c r="M284" s="1177"/>
      <c r="N284" s="1177"/>
      <c r="O284" s="1040" t="s">
        <v>5222</v>
      </c>
      <c r="P284" s="1197" t="s">
        <v>5526</v>
      </c>
      <c r="Q284" s="1391" t="str">
        <f>IFERROR(VLOOKUP(O284,CARGOS!A:E,2,0),"")</f>
        <v>79511</v>
      </c>
      <c r="R284" s="1403" t="s">
        <v>5222</v>
      </c>
      <c r="S284" s="1192" t="s">
        <v>5483</v>
      </c>
      <c r="T284" s="1150">
        <f>IFERROR(VLOOKUP(S284,'TAB EMP'!A:B,2,0),0)</f>
        <v>130</v>
      </c>
      <c r="U284" s="1151">
        <v>0</v>
      </c>
      <c r="V284" s="1150">
        <f t="shared" si="739"/>
        <v>130</v>
      </c>
      <c r="W284" s="1151">
        <f t="shared" si="740"/>
        <v>65</v>
      </c>
      <c r="X284" s="1180" t="s">
        <v>2884</v>
      </c>
      <c r="Y284" s="1180"/>
      <c r="Z284" s="1180">
        <v>2</v>
      </c>
      <c r="AA284" s="1150">
        <f>ROUND(IF(H284&lt;&gt;"",VLOOKUP(SUM(I284+J284),'CONCEPTOS Y PARAMETROS'!F:G,2,0)*V284,0),2)</f>
        <v>1.3</v>
      </c>
      <c r="AB284" s="1150">
        <f>IF(S284&lt;&gt;"",IF(M284="",'CONCEPTOS Y PARAMETROS'!$C$4,0),0)</f>
        <v>130</v>
      </c>
      <c r="AC284" s="1150">
        <f>IF(S284&lt;&gt;"",IF(M284="",'CONCEPTOS Y PARAMETROS'!$C$7*Z284,0),0)</f>
        <v>25</v>
      </c>
      <c r="AD284" s="1150">
        <f>IFERROR(ROUND(VLOOKUP($X284,'CONCEPTOS Y PARAMETROS'!H:I,2,0)*($V284+AA284+AB284+AC284),2),0)</f>
        <v>0</v>
      </c>
      <c r="AE284" s="1150">
        <f t="shared" si="701"/>
        <v>156.30000000000001</v>
      </c>
      <c r="AF284" s="1150">
        <f t="shared" si="741"/>
        <v>0.65</v>
      </c>
      <c r="AG284" s="1150">
        <f t="shared" si="742"/>
        <v>0.65</v>
      </c>
      <c r="AH284" s="1150">
        <f t="shared" si="743"/>
        <v>65</v>
      </c>
      <c r="AI284" s="1150">
        <f t="shared" si="744"/>
        <v>65</v>
      </c>
      <c r="AJ284" s="1150">
        <f t="shared" si="745"/>
        <v>0</v>
      </c>
      <c r="AK284" s="1150">
        <f t="shared" si="746"/>
        <v>0</v>
      </c>
      <c r="AL284" s="1151">
        <f t="shared" si="747"/>
        <v>90.65</v>
      </c>
      <c r="AM284" s="1151">
        <f t="shared" si="748"/>
        <v>65.650000000000006</v>
      </c>
      <c r="AN284" s="1028">
        <v>0</v>
      </c>
      <c r="AO284" s="1193">
        <f>'CONCEPTOS Y PARAMETROS'!$C$18*AN284</f>
        <v>0</v>
      </c>
      <c r="AP284" s="1028">
        <v>0</v>
      </c>
      <c r="AQ284" s="1193">
        <f>'CONCEPTOS Y PARAMETROS'!$C$21*AP284</f>
        <v>0</v>
      </c>
      <c r="AR284" s="1394">
        <v>0</v>
      </c>
      <c r="AS284" s="1394">
        <v>0</v>
      </c>
      <c r="AT284" s="1394">
        <f t="shared" si="824"/>
        <v>0</v>
      </c>
      <c r="AU284" s="1151">
        <f t="shared" si="749"/>
        <v>372.19</v>
      </c>
      <c r="AV284" s="1178" t="s">
        <v>5080</v>
      </c>
      <c r="AW284" s="1151">
        <f t="shared" si="826"/>
        <v>85.89</v>
      </c>
      <c r="AX284" s="1150">
        <f>IF(T284&lt;&gt;"0",(ROUND(IF(A284="EMPLEADO",eval_formula('CONCEPTOS Y PARAMETROS'!$C$8,NOMINA!V284,NOMINA!$AU284,NOMINA!I284+NOMINA!J284),eval_formula('CONCEPTOS Y PARAMETROS'!$D$8,NOMINA!V284,NOMINA!$AU284,NOMINA!I284+NOMINA!J284)),2))*IF(H284&lt;&gt;"",IF(MONTH(H284)=$BR$8,IF(YEAR(H284)&lt;$BT$7,1,0),0)))</f>
        <v>0</v>
      </c>
      <c r="AY284" s="1151">
        <v>180</v>
      </c>
      <c r="AZ284" s="1150">
        <f>IFERROR(VLOOKUP(AY284,'CONCEPTOS Y PARAMETROS'!Y:Z,2,0),0)</f>
        <v>150</v>
      </c>
      <c r="BA284" s="1150">
        <f t="shared" si="750"/>
        <v>2791.43</v>
      </c>
      <c r="BB284" s="1150">
        <f t="shared" si="643"/>
        <v>0</v>
      </c>
      <c r="BC284" s="1028">
        <v>0</v>
      </c>
      <c r="BD284" s="1150" t="str">
        <f t="shared" si="751"/>
        <v>0</v>
      </c>
      <c r="BE284" s="1028">
        <v>5</v>
      </c>
      <c r="BF284" s="1150">
        <f t="shared" si="845"/>
        <v>93.05</v>
      </c>
      <c r="BG284" s="1151">
        <v>300</v>
      </c>
      <c r="BH284" s="1151">
        <f t="shared" si="647"/>
        <v>0</v>
      </c>
      <c r="BI284" s="1180">
        <v>0</v>
      </c>
      <c r="BJ284" s="1180">
        <f t="shared" si="642"/>
        <v>0</v>
      </c>
      <c r="BK284" s="1151">
        <v>0</v>
      </c>
      <c r="BL284" s="1150">
        <f t="shared" si="696"/>
        <v>13.74</v>
      </c>
      <c r="BM284" s="1150">
        <f t="shared" si="697"/>
        <v>1.72</v>
      </c>
      <c r="BN284" s="1150">
        <f t="shared" si="644"/>
        <v>3.72</v>
      </c>
      <c r="BO284" s="1150">
        <v>0</v>
      </c>
      <c r="BP284" s="1150">
        <v>0</v>
      </c>
      <c r="BQ284" s="1396">
        <f t="shared" ref="BQ284" si="849">ROUND(SUM(BL284:BP284),2)</f>
        <v>19.18</v>
      </c>
      <c r="BR284" s="1150">
        <f t="shared" si="699"/>
        <v>30.92</v>
      </c>
      <c r="BS284" s="1150">
        <f t="shared" si="700"/>
        <v>6.87</v>
      </c>
      <c r="BT284" s="1150">
        <f t="shared" si="649"/>
        <v>7.44</v>
      </c>
      <c r="BU284" s="1150">
        <v>0</v>
      </c>
      <c r="BV284" s="1151">
        <f t="shared" ref="BV284" si="850">ROUND(SUM(BR284:BT284),2)</f>
        <v>45.23</v>
      </c>
      <c r="BW284" s="1155">
        <f t="shared" ref="BW284" si="851">BQ284+BV284</f>
        <v>64.41</v>
      </c>
      <c r="BX284" s="1155">
        <f t="shared" si="823"/>
        <v>697.86</v>
      </c>
      <c r="BY284" s="1151">
        <v>0</v>
      </c>
      <c r="BZ284" s="1151">
        <f t="shared" si="641"/>
        <v>697.86</v>
      </c>
      <c r="CA284" s="1397">
        <f>'CONCEPTOS Y PARAMETROS'!$A$102</f>
        <v>2120</v>
      </c>
      <c r="CB284" s="1155">
        <f t="shared" si="652"/>
        <v>136.47</v>
      </c>
      <c r="CC284" s="1156">
        <f t="shared" si="653"/>
        <v>609.59</v>
      </c>
      <c r="CD284" s="514"/>
      <c r="CE284" s="514"/>
      <c r="CF284" s="521"/>
      <c r="CG284" s="511">
        <f t="shared" si="654"/>
        <v>136.47</v>
      </c>
      <c r="CH284" s="1712">
        <f t="shared" si="655"/>
        <v>300</v>
      </c>
      <c r="CI284" s="511">
        <f t="shared" si="656"/>
        <v>430.65</v>
      </c>
      <c r="CJ284" s="511">
        <f t="shared" si="657"/>
        <v>430.65</v>
      </c>
      <c r="CK284" s="511">
        <f t="shared" si="658"/>
        <v>0</v>
      </c>
      <c r="CL284" s="497">
        <f t="shared" si="659"/>
        <v>0</v>
      </c>
      <c r="CM284" s="497">
        <f t="shared" si="660"/>
        <v>0</v>
      </c>
      <c r="CN284" s="512">
        <f t="shared" si="661"/>
        <v>93.05</v>
      </c>
      <c r="CO284" s="513">
        <v>0</v>
      </c>
      <c r="CP284" s="512">
        <f t="shared" si="662"/>
        <v>85.89</v>
      </c>
      <c r="CQ284" s="500">
        <f t="shared" si="663"/>
        <v>0</v>
      </c>
      <c r="CR284" s="512">
        <f t="shared" si="664"/>
        <v>0</v>
      </c>
      <c r="CS284" s="512">
        <f t="shared" si="665"/>
        <v>178.94</v>
      </c>
      <c r="CT284" s="512">
        <f t="shared" si="666"/>
        <v>64.41</v>
      </c>
      <c r="CU284" s="512">
        <f t="shared" si="667"/>
        <v>2120</v>
      </c>
      <c r="CV284" s="1556"/>
      <c r="CW284" s="1195" t="s">
        <v>7144</v>
      </c>
      <c r="CX284" s="1195" t="s">
        <v>7157</v>
      </c>
      <c r="CY284" s="514"/>
      <c r="CZ284" s="1199" t="s">
        <v>6599</v>
      </c>
      <c r="DA284" s="1199" t="s">
        <v>6299</v>
      </c>
      <c r="DB284" s="1199" t="s">
        <v>6193</v>
      </c>
      <c r="DC284" s="514" t="s">
        <v>6586</v>
      </c>
      <c r="DD284" s="514"/>
      <c r="DE284" s="514"/>
      <c r="DF284" s="514"/>
      <c r="DG284" s="514"/>
      <c r="DH284" s="514"/>
      <c r="DI284" s="478"/>
      <c r="DJ284" s="473" t="str">
        <f>VLOOKUP(X284,Hoja1!$A$4:$B$10,2,0)</f>
        <v>BACHILLER</v>
      </c>
      <c r="DK284" s="473" t="str">
        <f>VLOOKUP(S284,Hoja1!$D$4:$F$77,3,0)</f>
        <v>BI</v>
      </c>
      <c r="DL284" s="1216" t="str">
        <f t="shared" si="668"/>
        <v>SI</v>
      </c>
      <c r="DM284" s="1741" t="str">
        <f t="shared" si="669"/>
        <v>M</v>
      </c>
      <c r="DN284" s="1741"/>
    </row>
    <row r="285" spans="1:118" s="473" customFormat="1" ht="21.95" customHeight="1">
      <c r="A285" s="510" t="s">
        <v>2846</v>
      </c>
      <c r="B285" s="1390">
        <f t="shared" ca="1" si="822"/>
        <v>243</v>
      </c>
      <c r="C285" s="1194">
        <v>26114271</v>
      </c>
      <c r="D285" s="1195" t="s">
        <v>4915</v>
      </c>
      <c r="E285" s="1180" t="s">
        <v>4622</v>
      </c>
      <c r="F285" s="1196">
        <v>35719</v>
      </c>
      <c r="G285" s="1180" t="s">
        <v>4620</v>
      </c>
      <c r="H285" s="1196">
        <v>44636</v>
      </c>
      <c r="I285" s="1185">
        <f t="shared" si="645"/>
        <v>2</v>
      </c>
      <c r="J285" s="1177">
        <v>0</v>
      </c>
      <c r="K285" s="1185">
        <f t="shared" si="646"/>
        <v>2</v>
      </c>
      <c r="L285" s="1191" t="s">
        <v>5532</v>
      </c>
      <c r="M285" s="1177"/>
      <c r="N285" s="1177"/>
      <c r="O285" s="1040" t="s">
        <v>5216</v>
      </c>
      <c r="P285" s="1177" t="s">
        <v>5454</v>
      </c>
      <c r="Q285" s="1391" t="str">
        <f>IFERROR(VLOOKUP(O285,CARGOS!A:E,2,0),"")</f>
        <v>35121</v>
      </c>
      <c r="R285" s="1403" t="s">
        <v>5216</v>
      </c>
      <c r="S285" s="1192" t="s">
        <v>5469</v>
      </c>
      <c r="T285" s="1150">
        <f>IFERROR(VLOOKUP(S285,'TAB EMP'!A:B,2,0),0)</f>
        <v>246</v>
      </c>
      <c r="U285" s="1151">
        <v>0</v>
      </c>
      <c r="V285" s="1150">
        <f t="shared" si="739"/>
        <v>246</v>
      </c>
      <c r="W285" s="1151">
        <f t="shared" si="740"/>
        <v>123</v>
      </c>
      <c r="X285" s="1180" t="s">
        <v>2885</v>
      </c>
      <c r="Y285" s="1180"/>
      <c r="Z285" s="1180">
        <v>0</v>
      </c>
      <c r="AA285" s="1150">
        <f>ROUND(IF(H285&lt;&gt;"",VLOOKUP(SUM(I285+J285),'CONCEPTOS Y PARAMETROS'!F:G,2,0)*V285,0),2)</f>
        <v>4.92</v>
      </c>
      <c r="AB285" s="1150">
        <f>IF(S285&lt;&gt;"",IF(M285="",'CONCEPTOS Y PARAMETROS'!$C$4,0),0)</f>
        <v>130</v>
      </c>
      <c r="AC285" s="1150">
        <f>IF(S285&lt;&gt;"",IF(M285="",'CONCEPTOS Y PARAMETROS'!$C$7*Z285,0),0)</f>
        <v>0</v>
      </c>
      <c r="AD285" s="1150">
        <f>IFERROR(ROUND(VLOOKUP($X285,'CONCEPTOS Y PARAMETROS'!H:I,2,0)*($V285+AA285+AB285+AC285),2),0)</f>
        <v>95.23</v>
      </c>
      <c r="AE285" s="1150">
        <f t="shared" si="701"/>
        <v>230.14999999999998</v>
      </c>
      <c r="AF285" s="1150">
        <f t="shared" si="741"/>
        <v>2.46</v>
      </c>
      <c r="AG285" s="1150">
        <f t="shared" si="742"/>
        <v>2.46</v>
      </c>
      <c r="AH285" s="1150">
        <f t="shared" si="743"/>
        <v>65</v>
      </c>
      <c r="AI285" s="1150">
        <f t="shared" si="744"/>
        <v>65</v>
      </c>
      <c r="AJ285" s="1150">
        <f t="shared" si="745"/>
        <v>47.62</v>
      </c>
      <c r="AK285" s="1150">
        <f t="shared" si="746"/>
        <v>47.61</v>
      </c>
      <c r="AL285" s="1151">
        <f t="shared" si="747"/>
        <v>115.08</v>
      </c>
      <c r="AM285" s="1151">
        <f t="shared" si="748"/>
        <v>115.07</v>
      </c>
      <c r="AN285" s="1028">
        <v>0</v>
      </c>
      <c r="AO285" s="1193">
        <f>'CONCEPTOS Y PARAMETROS'!$C$18*AN285</f>
        <v>0</v>
      </c>
      <c r="AP285" s="1028">
        <v>0</v>
      </c>
      <c r="AQ285" s="1193">
        <f>'CONCEPTOS Y PARAMETROS'!$C$21*AP285</f>
        <v>0</v>
      </c>
      <c r="AR285" s="1394">
        <v>0</v>
      </c>
      <c r="AS285" s="1394">
        <v>0</v>
      </c>
      <c r="AT285" s="1394">
        <f t="shared" si="824"/>
        <v>0</v>
      </c>
      <c r="AU285" s="1151">
        <f t="shared" si="749"/>
        <v>476.15</v>
      </c>
      <c r="AV285" s="1178">
        <v>0</v>
      </c>
      <c r="AW285" s="1151">
        <f t="shared" si="826"/>
        <v>0</v>
      </c>
      <c r="AX285" s="1150">
        <f>IF(T285&lt;&gt;"0",(ROUND(IF(A285="EMPLEADO",eval_formula('CONCEPTOS Y PARAMETROS'!$C$8,NOMINA!V285,NOMINA!$AU285,NOMINA!I285+NOMINA!J285),eval_formula('CONCEPTOS Y PARAMETROS'!$D$8,NOMINA!V285,NOMINA!$AU285,NOMINA!I285+NOMINA!J285)),2))*IF(H285&lt;&gt;"",IF(MONTH(H285)=$BR$8,IF(YEAR(H285)&lt;$BT$7,1,0),0)))</f>
        <v>0</v>
      </c>
      <c r="AY285" s="1151">
        <v>180</v>
      </c>
      <c r="AZ285" s="1150">
        <f>IFERROR(VLOOKUP(AY285,'CONCEPTOS Y PARAMETROS'!Y:Z,2,0),0)</f>
        <v>150</v>
      </c>
      <c r="BA285" s="1150">
        <f t="shared" si="750"/>
        <v>3571.13</v>
      </c>
      <c r="BB285" s="1150">
        <f t="shared" si="643"/>
        <v>0</v>
      </c>
      <c r="BC285" s="1028">
        <v>0</v>
      </c>
      <c r="BD285" s="1150" t="str">
        <f t="shared" si="751"/>
        <v>0</v>
      </c>
      <c r="BE285" s="1028">
        <v>0</v>
      </c>
      <c r="BF285" s="1150">
        <f t="shared" si="845"/>
        <v>0</v>
      </c>
      <c r="BG285" s="1151">
        <v>300</v>
      </c>
      <c r="BH285" s="1151">
        <f t="shared" si="647"/>
        <v>0</v>
      </c>
      <c r="BI285" s="1180">
        <v>0</v>
      </c>
      <c r="BJ285" s="1180">
        <f t="shared" si="642"/>
        <v>0</v>
      </c>
      <c r="BK285" s="1151">
        <v>0</v>
      </c>
      <c r="BL285" s="1150">
        <f t="shared" si="696"/>
        <v>17.579999999999998</v>
      </c>
      <c r="BM285" s="1150">
        <f t="shared" si="697"/>
        <v>2.2000000000000002</v>
      </c>
      <c r="BN285" s="1150">
        <f t="shared" si="644"/>
        <v>4.76</v>
      </c>
      <c r="BO285" s="1150">
        <v>0</v>
      </c>
      <c r="BP285" s="1150">
        <v>0</v>
      </c>
      <c r="BQ285" s="1396">
        <f t="shared" si="677"/>
        <v>24.54</v>
      </c>
      <c r="BR285" s="1150">
        <f t="shared" si="699"/>
        <v>39.56</v>
      </c>
      <c r="BS285" s="1150">
        <f t="shared" si="700"/>
        <v>8.7899999999999991</v>
      </c>
      <c r="BT285" s="1150">
        <f t="shared" si="649"/>
        <v>9.52</v>
      </c>
      <c r="BU285" s="1150">
        <v>0</v>
      </c>
      <c r="BV285" s="1151">
        <f t="shared" si="678"/>
        <v>57.87</v>
      </c>
      <c r="BW285" s="1155">
        <f t="shared" si="679"/>
        <v>82.41</v>
      </c>
      <c r="BX285" s="1155">
        <f t="shared" si="823"/>
        <v>892.78</v>
      </c>
      <c r="BY285" s="1151">
        <v>0</v>
      </c>
      <c r="BZ285" s="1151">
        <f t="shared" si="641"/>
        <v>892.78</v>
      </c>
      <c r="CA285" s="1397">
        <f>'CONCEPTOS Y PARAMETROS'!$A$102</f>
        <v>2120</v>
      </c>
      <c r="CB285" s="1155">
        <f t="shared" si="652"/>
        <v>213.54</v>
      </c>
      <c r="CC285" s="1156">
        <f t="shared" si="653"/>
        <v>538.07000000000005</v>
      </c>
      <c r="CD285" s="514"/>
      <c r="CE285" s="514"/>
      <c r="CF285" s="521"/>
      <c r="CG285" s="511">
        <f t="shared" si="654"/>
        <v>213.54</v>
      </c>
      <c r="CH285" s="1712">
        <f t="shared" si="655"/>
        <v>300</v>
      </c>
      <c r="CI285" s="511">
        <f t="shared" si="656"/>
        <v>538.06999999999994</v>
      </c>
      <c r="CJ285" s="511">
        <f t="shared" si="657"/>
        <v>538.07000000000005</v>
      </c>
      <c r="CK285" s="511">
        <f t="shared" si="658"/>
        <v>0</v>
      </c>
      <c r="CL285" s="497">
        <f t="shared" si="659"/>
        <v>0</v>
      </c>
      <c r="CM285" s="497">
        <f t="shared" si="660"/>
        <v>0</v>
      </c>
      <c r="CN285" s="512">
        <f t="shared" si="661"/>
        <v>0</v>
      </c>
      <c r="CO285" s="513">
        <v>0</v>
      </c>
      <c r="CP285" s="512">
        <f t="shared" si="662"/>
        <v>0</v>
      </c>
      <c r="CQ285" s="500">
        <f t="shared" si="663"/>
        <v>0</v>
      </c>
      <c r="CR285" s="512">
        <f t="shared" si="664"/>
        <v>0</v>
      </c>
      <c r="CS285" s="512">
        <f t="shared" si="665"/>
        <v>0</v>
      </c>
      <c r="CT285" s="512">
        <f t="shared" si="666"/>
        <v>82.41</v>
      </c>
      <c r="CU285" s="512">
        <f t="shared" si="667"/>
        <v>2120</v>
      </c>
      <c r="CV285" s="1556"/>
      <c r="CW285" s="1195" t="s">
        <v>7158</v>
      </c>
      <c r="CX285" s="1195" t="s">
        <v>7159</v>
      </c>
      <c r="CY285" s="514"/>
      <c r="CZ285" s="514" t="s">
        <v>6492</v>
      </c>
      <c r="DA285" s="1199" t="s">
        <v>6173</v>
      </c>
      <c r="DB285" s="514" t="s">
        <v>6202</v>
      </c>
      <c r="DC285" s="514" t="s">
        <v>6571</v>
      </c>
      <c r="DD285" s="514"/>
      <c r="DE285" s="514"/>
      <c r="DF285" s="514"/>
      <c r="DG285" s="514"/>
      <c r="DH285" s="514"/>
      <c r="DI285" s="478"/>
      <c r="DJ285" s="473" t="str">
        <f>VLOOKUP(X285,Hoja1!$A$4:$B$10,2,0)</f>
        <v>PROFESIONAL</v>
      </c>
      <c r="DK285" s="473" t="str">
        <f>VLOOKUP(S285,Hoja1!$D$4:$F$77,3,0)</f>
        <v>PI</v>
      </c>
      <c r="DL285" s="1216" t="str">
        <f t="shared" si="668"/>
        <v>0</v>
      </c>
      <c r="DM285" s="1741" t="str">
        <f t="shared" si="669"/>
        <v>F</v>
      </c>
      <c r="DN285" s="1741"/>
    </row>
    <row r="286" spans="1:118" s="1654" customFormat="1" ht="21.95" customHeight="1">
      <c r="A286" s="1624" t="s">
        <v>2846</v>
      </c>
      <c r="B286" s="1625">
        <f t="shared" ca="1" si="822"/>
        <v>244</v>
      </c>
      <c r="C286" s="1626">
        <v>26191823</v>
      </c>
      <c r="D286" s="1627" t="s">
        <v>4916</v>
      </c>
      <c r="E286" s="1628" t="s">
        <v>4622</v>
      </c>
      <c r="F286" s="1629">
        <v>35244</v>
      </c>
      <c r="G286" s="1628" t="s">
        <v>4621</v>
      </c>
      <c r="H286" s="1629">
        <v>44470</v>
      </c>
      <c r="I286" s="1630">
        <f t="shared" si="645"/>
        <v>3</v>
      </c>
      <c r="J286" s="1631">
        <v>0</v>
      </c>
      <c r="K286" s="1630">
        <f t="shared" si="646"/>
        <v>3</v>
      </c>
      <c r="L286" s="1632" t="s">
        <v>5532</v>
      </c>
      <c r="M286" s="1631"/>
      <c r="N286" s="1631"/>
      <c r="O286" s="1633" t="s">
        <v>7419</v>
      </c>
      <c r="P286" s="1631" t="s">
        <v>5455</v>
      </c>
      <c r="Q286" s="1634" t="str">
        <f>IFERROR(VLOOKUP(O286,CARGOS!A:E,2,0),"")</f>
        <v>35122</v>
      </c>
      <c r="R286" s="1635" t="s">
        <v>7419</v>
      </c>
      <c r="S286" s="1636" t="s">
        <v>5480</v>
      </c>
      <c r="T286" s="1637">
        <f>IFERROR(VLOOKUP(S286,'TAB EMP'!A:B,2,0),0)</f>
        <v>277</v>
      </c>
      <c r="U286" s="1638">
        <v>0</v>
      </c>
      <c r="V286" s="1637">
        <f t="shared" si="739"/>
        <v>277</v>
      </c>
      <c r="W286" s="1638">
        <f t="shared" si="740"/>
        <v>138.5</v>
      </c>
      <c r="X286" s="1628" t="s">
        <v>2885</v>
      </c>
      <c r="Y286" s="1628"/>
      <c r="Z286" s="1628">
        <v>0</v>
      </c>
      <c r="AA286" s="1637">
        <f>ROUND(IF(H286&lt;&gt;"",VLOOKUP(SUM(I286+J286),'CONCEPTOS Y PARAMETROS'!F:G,2,0)*V286,0),2)</f>
        <v>8.31</v>
      </c>
      <c r="AB286" s="1637">
        <f>IF(S286&lt;&gt;"",IF(M286="",'CONCEPTOS Y PARAMETROS'!$C$4,0),0)</f>
        <v>130</v>
      </c>
      <c r="AC286" s="1637">
        <f>IF(S286&lt;&gt;"",IF(M286="",'CONCEPTOS Y PARAMETROS'!$C$7*Z286,0),0)</f>
        <v>0</v>
      </c>
      <c r="AD286" s="1637">
        <f>IFERROR(ROUND(VLOOKUP($X286,'CONCEPTOS Y PARAMETROS'!H:I,2,0)*($V286+AA286+AB286+AC286),2),0)</f>
        <v>103.83</v>
      </c>
      <c r="AE286" s="1637">
        <f t="shared" si="701"/>
        <v>242.14</v>
      </c>
      <c r="AF286" s="1637">
        <f t="shared" si="741"/>
        <v>4.16</v>
      </c>
      <c r="AG286" s="1637">
        <f t="shared" si="742"/>
        <v>4.1500000000000004</v>
      </c>
      <c r="AH286" s="1637">
        <f t="shared" si="743"/>
        <v>65</v>
      </c>
      <c r="AI286" s="1637">
        <f t="shared" si="744"/>
        <v>65</v>
      </c>
      <c r="AJ286" s="1637">
        <f t="shared" si="745"/>
        <v>51.92</v>
      </c>
      <c r="AK286" s="1637">
        <f t="shared" si="746"/>
        <v>51.91</v>
      </c>
      <c r="AL286" s="1638">
        <f t="shared" si="747"/>
        <v>121.08</v>
      </c>
      <c r="AM286" s="1638">
        <f t="shared" si="748"/>
        <v>121.06</v>
      </c>
      <c r="AN286" s="1639">
        <v>0</v>
      </c>
      <c r="AO286" s="1640">
        <f>'CONCEPTOS Y PARAMETROS'!$C$18*AN286</f>
        <v>0</v>
      </c>
      <c r="AP286" s="1639">
        <v>0</v>
      </c>
      <c r="AQ286" s="1640">
        <f>'CONCEPTOS Y PARAMETROS'!$C$21*AP286</f>
        <v>0</v>
      </c>
      <c r="AR286" s="1641">
        <v>0</v>
      </c>
      <c r="AS286" s="1641">
        <v>0</v>
      </c>
      <c r="AT286" s="1641">
        <f t="shared" si="824"/>
        <v>0</v>
      </c>
      <c r="AU286" s="1638">
        <f t="shared" si="749"/>
        <v>519.14</v>
      </c>
      <c r="AV286" s="1642">
        <v>0</v>
      </c>
      <c r="AW286" s="1638">
        <f t="shared" si="826"/>
        <v>0</v>
      </c>
      <c r="AX286" s="1637">
        <f>IF(T286&lt;&gt;"0",(ROUND(IF(A286="EMPLEADO",eval_formula('CONCEPTOS Y PARAMETROS'!$C$8,NOMINA!V286,NOMINA!$AU286,NOMINA!I286+NOMINA!J286),eval_formula('CONCEPTOS Y PARAMETROS'!$D$8,NOMINA!V286,NOMINA!$AU286,NOMINA!I286+NOMINA!J286)),2))*IF(H286&lt;&gt;"",IF(MONTH(H286)=$BR$8,IF(YEAR(H286)&lt;$BT$7,1,0),0)))</f>
        <v>0</v>
      </c>
      <c r="AY286" s="1638">
        <v>180</v>
      </c>
      <c r="AZ286" s="1637">
        <f>IFERROR(VLOOKUP(AY286,'CONCEPTOS Y PARAMETROS'!Y:Z,2,0),0)</f>
        <v>150</v>
      </c>
      <c r="BA286" s="1637">
        <f t="shared" si="750"/>
        <v>3893.55</v>
      </c>
      <c r="BB286" s="1637">
        <f t="shared" si="643"/>
        <v>0</v>
      </c>
      <c r="BC286" s="1639">
        <v>0</v>
      </c>
      <c r="BD286" s="1637" t="str">
        <f t="shared" si="751"/>
        <v>0</v>
      </c>
      <c r="BE286" s="1639">
        <v>0</v>
      </c>
      <c r="BF286" s="1637">
        <f t="shared" si="845"/>
        <v>0</v>
      </c>
      <c r="BG286" s="1638">
        <v>300</v>
      </c>
      <c r="BH286" s="1638">
        <f t="shared" si="647"/>
        <v>0</v>
      </c>
      <c r="BI286" s="1628">
        <v>0</v>
      </c>
      <c r="BJ286" s="1628">
        <f t="shared" si="642"/>
        <v>0</v>
      </c>
      <c r="BK286" s="1638">
        <v>0</v>
      </c>
      <c r="BL286" s="1637">
        <f t="shared" si="696"/>
        <v>19.170000000000002</v>
      </c>
      <c r="BM286" s="1637">
        <f t="shared" si="697"/>
        <v>2.4</v>
      </c>
      <c r="BN286" s="1637">
        <f t="shared" si="644"/>
        <v>5.19</v>
      </c>
      <c r="BO286" s="1637">
        <v>0</v>
      </c>
      <c r="BP286" s="1637">
        <v>0</v>
      </c>
      <c r="BQ286" s="1643">
        <f t="shared" si="677"/>
        <v>26.76</v>
      </c>
      <c r="BR286" s="1637">
        <f t="shared" si="699"/>
        <v>43.13</v>
      </c>
      <c r="BS286" s="1637">
        <f t="shared" si="700"/>
        <v>9.58</v>
      </c>
      <c r="BT286" s="1637">
        <f t="shared" si="649"/>
        <v>10.38</v>
      </c>
      <c r="BU286" s="1637">
        <v>0</v>
      </c>
      <c r="BV286" s="1638">
        <f t="shared" si="678"/>
        <v>63.09</v>
      </c>
      <c r="BW286" s="1644">
        <f t="shared" si="679"/>
        <v>89.850000000000009</v>
      </c>
      <c r="BX286" s="1644">
        <f t="shared" si="823"/>
        <v>973.39</v>
      </c>
      <c r="BY286" s="1638">
        <v>0</v>
      </c>
      <c r="BZ286" s="1638">
        <f t="shared" si="641"/>
        <v>973.39</v>
      </c>
      <c r="CA286" s="1645">
        <f>'CONCEPTOS Y PARAMETROS'!$A$102</f>
        <v>2120</v>
      </c>
      <c r="CB286" s="1644">
        <f t="shared" si="652"/>
        <v>232.82</v>
      </c>
      <c r="CC286" s="1646">
        <f t="shared" si="653"/>
        <v>559.55999999999995</v>
      </c>
      <c r="CD286" s="1647"/>
      <c r="CE286" s="1647"/>
      <c r="CF286" s="1648"/>
      <c r="CG286" s="1649">
        <f t="shared" si="654"/>
        <v>232.82</v>
      </c>
      <c r="CH286" s="1713">
        <f t="shared" si="655"/>
        <v>300</v>
      </c>
      <c r="CI286" s="1649">
        <f t="shared" si="656"/>
        <v>559.55999999999995</v>
      </c>
      <c r="CJ286" s="1649">
        <f t="shared" si="657"/>
        <v>559.55999999999995</v>
      </c>
      <c r="CK286" s="1649">
        <f t="shared" si="658"/>
        <v>0</v>
      </c>
      <c r="CL286" s="1649">
        <f t="shared" si="659"/>
        <v>0</v>
      </c>
      <c r="CM286" s="1649">
        <f t="shared" si="660"/>
        <v>0</v>
      </c>
      <c r="CN286" s="1650">
        <f t="shared" si="661"/>
        <v>0</v>
      </c>
      <c r="CO286" s="1651">
        <v>0</v>
      </c>
      <c r="CP286" s="1650">
        <f t="shared" si="662"/>
        <v>0</v>
      </c>
      <c r="CQ286" s="1652">
        <f t="shared" si="663"/>
        <v>0</v>
      </c>
      <c r="CR286" s="1650">
        <f t="shared" si="664"/>
        <v>0</v>
      </c>
      <c r="CS286" s="1650">
        <f t="shared" si="665"/>
        <v>0</v>
      </c>
      <c r="CT286" s="1650">
        <f t="shared" si="666"/>
        <v>89.850000000000009</v>
      </c>
      <c r="CU286" s="1650">
        <f t="shared" si="667"/>
        <v>2120</v>
      </c>
      <c r="CV286" s="1653"/>
      <c r="CW286" s="1627" t="s">
        <v>6960</v>
      </c>
      <c r="CX286" s="1627" t="s">
        <v>7160</v>
      </c>
      <c r="CY286" s="1647"/>
      <c r="CZ286" s="1647" t="s">
        <v>6493</v>
      </c>
      <c r="DA286" s="1647" t="s">
        <v>6173</v>
      </c>
      <c r="DB286" s="1657" t="s">
        <v>6291</v>
      </c>
      <c r="DC286" s="1647" t="s">
        <v>6722</v>
      </c>
      <c r="DD286" s="1647"/>
      <c r="DE286" s="1647"/>
      <c r="DF286" s="1647"/>
      <c r="DG286" s="1647"/>
      <c r="DH286" s="1647"/>
      <c r="DJ286" s="1654" t="str">
        <f>VLOOKUP(X286,Hoja1!$A$4:$B$10,2,0)</f>
        <v>PROFESIONAL</v>
      </c>
      <c r="DK286" s="1654" t="str">
        <f>VLOOKUP(S286,Hoja1!$D$4:$F$77,3,0)</f>
        <v>PII - II</v>
      </c>
      <c r="DL286" s="1663" t="str">
        <f t="shared" si="668"/>
        <v>0</v>
      </c>
      <c r="DM286" s="1742" t="str">
        <f t="shared" si="669"/>
        <v>M</v>
      </c>
      <c r="DN286" s="1742"/>
    </row>
    <row r="287" spans="1:118" s="478" customFormat="1" ht="21.95" customHeight="1">
      <c r="A287" s="510" t="s">
        <v>2846</v>
      </c>
      <c r="B287" s="1390">
        <f t="shared" ca="1" si="822"/>
        <v>245</v>
      </c>
      <c r="C287" s="1194">
        <v>26235963</v>
      </c>
      <c r="D287" s="1195" t="s">
        <v>6148</v>
      </c>
      <c r="E287" s="1180" t="s">
        <v>4622</v>
      </c>
      <c r="F287" s="1196">
        <v>35273</v>
      </c>
      <c r="G287" s="1180" t="s">
        <v>4620</v>
      </c>
      <c r="H287" s="1196">
        <v>45383</v>
      </c>
      <c r="I287" s="1185">
        <f t="shared" si="645"/>
        <v>0</v>
      </c>
      <c r="J287" s="1177">
        <v>0</v>
      </c>
      <c r="K287" s="1185">
        <f t="shared" si="646"/>
        <v>0</v>
      </c>
      <c r="L287" s="1191" t="s">
        <v>6149</v>
      </c>
      <c r="M287" s="1177"/>
      <c r="N287" s="1177"/>
      <c r="O287" s="1040" t="s">
        <v>5267</v>
      </c>
      <c r="P287" s="1197" t="s">
        <v>6150</v>
      </c>
      <c r="Q287" s="1391" t="s">
        <v>1997</v>
      </c>
      <c r="R287" s="1403" t="s">
        <v>5267</v>
      </c>
      <c r="S287" s="1192" t="s">
        <v>5469</v>
      </c>
      <c r="T287" s="1150">
        <f>IFERROR(VLOOKUP(S287,'TAB EMP'!A:B,2,0),0)</f>
        <v>246</v>
      </c>
      <c r="U287" s="1151">
        <v>0</v>
      </c>
      <c r="V287" s="1150">
        <f t="shared" si="739"/>
        <v>246</v>
      </c>
      <c r="W287" s="1151">
        <f t="shared" si="740"/>
        <v>123</v>
      </c>
      <c r="X287" s="1180" t="s">
        <v>2885</v>
      </c>
      <c r="Y287" s="1180"/>
      <c r="Z287" s="1180">
        <v>1</v>
      </c>
      <c r="AA287" s="1150">
        <f>ROUND(IF(H287&lt;&gt;"",VLOOKUP(SUM(I287+J287),'CONCEPTOS Y PARAMETROS'!F:G,2,0)*V287,0),2)</f>
        <v>0</v>
      </c>
      <c r="AB287" s="1150">
        <f>IF(S287&lt;&gt;"",IF(M287="",'CONCEPTOS Y PARAMETROS'!$C$4,0),0)</f>
        <v>130</v>
      </c>
      <c r="AC287" s="1150">
        <f>IF(S287&lt;&gt;"",IF(M287="",'CONCEPTOS Y PARAMETROS'!$C$7*Z287,0),0)</f>
        <v>12.5</v>
      </c>
      <c r="AD287" s="1150">
        <f>IFERROR(ROUND(VLOOKUP($X287,'CONCEPTOS Y PARAMETROS'!H:I,2,0)*($V287+AA287+AB287+AC287),2),0)</f>
        <v>97.13</v>
      </c>
      <c r="AE287" s="1150">
        <f t="shared" si="701"/>
        <v>239.63</v>
      </c>
      <c r="AF287" s="1150">
        <f t="shared" si="741"/>
        <v>0</v>
      </c>
      <c r="AG287" s="1150">
        <f t="shared" si="742"/>
        <v>0</v>
      </c>
      <c r="AH287" s="1150">
        <f t="shared" si="743"/>
        <v>65</v>
      </c>
      <c r="AI287" s="1150">
        <f t="shared" si="744"/>
        <v>65</v>
      </c>
      <c r="AJ287" s="1150">
        <f t="shared" si="745"/>
        <v>48.57</v>
      </c>
      <c r="AK287" s="1150">
        <f t="shared" si="746"/>
        <v>48.56</v>
      </c>
      <c r="AL287" s="1151">
        <f t="shared" si="747"/>
        <v>126.07</v>
      </c>
      <c r="AM287" s="1151">
        <f t="shared" si="748"/>
        <v>113.56</v>
      </c>
      <c r="AN287" s="1028">
        <v>0</v>
      </c>
      <c r="AO287" s="1193">
        <v>0</v>
      </c>
      <c r="AP287" s="1028">
        <v>0</v>
      </c>
      <c r="AQ287" s="1193">
        <v>0</v>
      </c>
      <c r="AR287" s="1394">
        <v>0</v>
      </c>
      <c r="AS287" s="1394">
        <v>0</v>
      </c>
      <c r="AT287" s="1394">
        <f t="shared" si="824"/>
        <v>0</v>
      </c>
      <c r="AU287" s="1151">
        <f t="shared" si="749"/>
        <v>485.63</v>
      </c>
      <c r="AV287" s="1178">
        <v>0</v>
      </c>
      <c r="AW287" s="1151">
        <f t="shared" si="826"/>
        <v>0</v>
      </c>
      <c r="AX287" s="1150">
        <f>IF(T287&lt;&gt;"0",(ROUND(IF(A287="EMPLEADO",eval_formula('CONCEPTOS Y PARAMETROS'!$C$8,NOMINA!V287,NOMINA!$AU287,NOMINA!I287+NOMINA!J287),eval_formula('CONCEPTOS Y PARAMETROS'!$D$8,NOMINA!V287,NOMINA!$AU287,NOMINA!I287+NOMINA!J287)),2))*IF(H287&lt;&gt;"",IF(MONTH(H287)=$BR$8,IF(YEAR(H287)&lt;$BT$7,1,0),0)))</f>
        <v>0</v>
      </c>
      <c r="AY287" s="1151">
        <v>135</v>
      </c>
      <c r="AZ287" s="1150">
        <f>IFERROR(VLOOKUP(AY287,'CONCEPTOS Y PARAMETROS'!Y:Z,2,0),0)</f>
        <v>112.5</v>
      </c>
      <c r="BA287" s="1150">
        <f t="shared" si="750"/>
        <v>2504.0300000000002</v>
      </c>
      <c r="BB287" s="1150">
        <f t="shared" si="643"/>
        <v>0</v>
      </c>
      <c r="BC287" s="1028">
        <v>0</v>
      </c>
      <c r="BD287" s="1150" t="str">
        <f t="shared" si="751"/>
        <v>0</v>
      </c>
      <c r="BE287" s="1028">
        <v>0</v>
      </c>
      <c r="BF287" s="1150">
        <f t="shared" si="845"/>
        <v>0</v>
      </c>
      <c r="BG287" s="1151">
        <v>300</v>
      </c>
      <c r="BH287" s="1151">
        <f t="shared" si="647"/>
        <v>0</v>
      </c>
      <c r="BI287" s="1180">
        <v>0</v>
      </c>
      <c r="BJ287" s="1180">
        <f t="shared" si="642"/>
        <v>0</v>
      </c>
      <c r="BK287" s="1151">
        <v>0</v>
      </c>
      <c r="BL287" s="1150">
        <f t="shared" si="696"/>
        <v>17.93</v>
      </c>
      <c r="BM287" s="1150">
        <f t="shared" si="697"/>
        <v>2.2400000000000002</v>
      </c>
      <c r="BN287" s="1150">
        <f t="shared" si="644"/>
        <v>4.8600000000000003</v>
      </c>
      <c r="BO287" s="1150">
        <v>0</v>
      </c>
      <c r="BP287" s="1150">
        <v>0</v>
      </c>
      <c r="BQ287" s="1396">
        <f t="shared" si="677"/>
        <v>25.03</v>
      </c>
      <c r="BR287" s="1150">
        <f t="shared" si="699"/>
        <v>40.340000000000003</v>
      </c>
      <c r="BS287" s="1150">
        <f t="shared" si="700"/>
        <v>8.9700000000000006</v>
      </c>
      <c r="BT287" s="1150">
        <f t="shared" si="649"/>
        <v>9.7200000000000006</v>
      </c>
      <c r="BU287" s="1150">
        <v>0</v>
      </c>
      <c r="BV287" s="1151">
        <f t="shared" si="678"/>
        <v>59.03</v>
      </c>
      <c r="BW287" s="1155">
        <f t="shared" si="679"/>
        <v>84.06</v>
      </c>
      <c r="BX287" s="1155">
        <f t="shared" si="823"/>
        <v>626.01</v>
      </c>
      <c r="BY287" s="1151">
        <v>0</v>
      </c>
      <c r="BZ287" s="1151">
        <f t="shared" si="641"/>
        <v>626.01</v>
      </c>
      <c r="CA287" s="1397">
        <f>'CONCEPTOS Y PARAMETROS'!$A$102</f>
        <v>2120</v>
      </c>
      <c r="CB287" s="1155">
        <f t="shared" si="652"/>
        <v>224.04</v>
      </c>
      <c r="CC287" s="1156">
        <f t="shared" si="653"/>
        <v>536.55999999999995</v>
      </c>
      <c r="CD287" s="514"/>
      <c r="CE287" s="514"/>
      <c r="CF287" s="521"/>
      <c r="CG287" s="511">
        <f t="shared" si="654"/>
        <v>224.04</v>
      </c>
      <c r="CH287" s="1712">
        <f t="shared" si="655"/>
        <v>300</v>
      </c>
      <c r="CI287" s="511">
        <f t="shared" si="656"/>
        <v>536.55999999999995</v>
      </c>
      <c r="CJ287" s="511">
        <f t="shared" si="657"/>
        <v>536.55999999999995</v>
      </c>
      <c r="CK287" s="511">
        <f t="shared" si="658"/>
        <v>0</v>
      </c>
      <c r="CL287" s="511">
        <f t="shared" si="659"/>
        <v>0</v>
      </c>
      <c r="CM287" s="511">
        <f t="shared" si="660"/>
        <v>0</v>
      </c>
      <c r="CN287" s="512">
        <f t="shared" si="661"/>
        <v>0</v>
      </c>
      <c r="CO287" s="513">
        <v>0</v>
      </c>
      <c r="CP287" s="1151">
        <f t="shared" si="662"/>
        <v>0</v>
      </c>
      <c r="CQ287" s="500">
        <f t="shared" si="663"/>
        <v>0</v>
      </c>
      <c r="CR287" s="512">
        <f t="shared" si="664"/>
        <v>0</v>
      </c>
      <c r="CS287" s="512">
        <f t="shared" si="665"/>
        <v>0</v>
      </c>
      <c r="CT287" s="512">
        <f t="shared" si="666"/>
        <v>84.06</v>
      </c>
      <c r="CU287" s="512">
        <f t="shared" si="667"/>
        <v>2120</v>
      </c>
      <c r="CV287" s="1556"/>
      <c r="CW287" s="1195" t="s">
        <v>7161</v>
      </c>
      <c r="CX287" s="1195" t="s">
        <v>7162</v>
      </c>
      <c r="CY287" s="514"/>
      <c r="CZ287" s="1188" t="s">
        <v>6600</v>
      </c>
      <c r="DA287" s="1199" t="s">
        <v>6241</v>
      </c>
      <c r="DB287" s="1198" t="s">
        <v>6242</v>
      </c>
      <c r="DC287" s="514" t="s">
        <v>6326</v>
      </c>
      <c r="DD287" s="514"/>
      <c r="DE287" s="514"/>
      <c r="DF287" s="514"/>
      <c r="DG287" s="514"/>
      <c r="DH287" s="514"/>
      <c r="DJ287" s="478" t="str">
        <f>VLOOKUP(X287,Hoja1!$A$4:$B$10,2,0)</f>
        <v>PROFESIONAL</v>
      </c>
      <c r="DK287" s="478" t="str">
        <f>VLOOKUP(S287,Hoja1!$D$4:$F$77,3,0)</f>
        <v>PI</v>
      </c>
      <c r="DL287" s="1218" t="str">
        <f t="shared" si="668"/>
        <v>0</v>
      </c>
      <c r="DM287" s="1743" t="str">
        <f t="shared" si="669"/>
        <v>F</v>
      </c>
      <c r="DN287" s="1743"/>
    </row>
    <row r="288" spans="1:118" s="473" customFormat="1" ht="21.95" customHeight="1">
      <c r="A288" s="510" t="s">
        <v>2846</v>
      </c>
      <c r="B288" s="1390">
        <f t="shared" ca="1" si="822"/>
        <v>246</v>
      </c>
      <c r="C288" s="1194">
        <v>26413871</v>
      </c>
      <c r="D288" s="1195" t="s">
        <v>4917</v>
      </c>
      <c r="E288" s="1180" t="s">
        <v>4622</v>
      </c>
      <c r="F288" s="1196">
        <v>36138</v>
      </c>
      <c r="G288" s="1180" t="s">
        <v>4620</v>
      </c>
      <c r="H288" s="1196">
        <v>44228</v>
      </c>
      <c r="I288" s="1185">
        <f t="shared" si="645"/>
        <v>3</v>
      </c>
      <c r="J288" s="1177">
        <v>0</v>
      </c>
      <c r="K288" s="1185">
        <f t="shared" si="646"/>
        <v>3</v>
      </c>
      <c r="L288" s="1191" t="s">
        <v>5542</v>
      </c>
      <c r="M288" s="1177"/>
      <c r="N288" s="1177"/>
      <c r="O288" s="1040" t="s">
        <v>5222</v>
      </c>
      <c r="P288" s="1177" t="s">
        <v>5456</v>
      </c>
      <c r="Q288" s="1391" t="str">
        <f>IFERROR(VLOOKUP(O288,CARGOS!A:E,2,0),"")</f>
        <v>79511</v>
      </c>
      <c r="R288" s="1403" t="s">
        <v>5222</v>
      </c>
      <c r="S288" s="1192" t="s">
        <v>5490</v>
      </c>
      <c r="T288" s="1150">
        <f>IFERROR(VLOOKUP(S288,'TAB EMP'!A:B,2,0),0)</f>
        <v>150</v>
      </c>
      <c r="U288" s="1151">
        <v>0</v>
      </c>
      <c r="V288" s="1150">
        <f t="shared" si="739"/>
        <v>150</v>
      </c>
      <c r="W288" s="1151">
        <f t="shared" si="740"/>
        <v>75</v>
      </c>
      <c r="X288" s="1180" t="s">
        <v>2884</v>
      </c>
      <c r="Y288" s="1180"/>
      <c r="Z288" s="1180">
        <v>2</v>
      </c>
      <c r="AA288" s="1150">
        <f>ROUND(IF(H288&lt;&gt;"",VLOOKUP(SUM(I288+J288),'CONCEPTOS Y PARAMETROS'!F:G,2,0)*V288,0),2)</f>
        <v>4.5</v>
      </c>
      <c r="AB288" s="1150">
        <f>IF(S288&lt;&gt;"",IF(M288="",'CONCEPTOS Y PARAMETROS'!$C$4,0),0)</f>
        <v>130</v>
      </c>
      <c r="AC288" s="1150">
        <f>IF(S288&lt;&gt;"",IF(M288="",'CONCEPTOS Y PARAMETROS'!$C$7*Z288,0),0)</f>
        <v>25</v>
      </c>
      <c r="AD288" s="1150">
        <f>IFERROR(ROUND(VLOOKUP($X288,'CONCEPTOS Y PARAMETROS'!H:I,2,0)*($V288+AA288+AB288+AC288),2),0)</f>
        <v>0</v>
      </c>
      <c r="AE288" s="1150">
        <f t="shared" si="701"/>
        <v>159.5</v>
      </c>
      <c r="AF288" s="1150">
        <f t="shared" si="741"/>
        <v>2.25</v>
      </c>
      <c r="AG288" s="1150">
        <f t="shared" si="742"/>
        <v>2.25</v>
      </c>
      <c r="AH288" s="1150">
        <f t="shared" si="743"/>
        <v>65</v>
      </c>
      <c r="AI288" s="1150">
        <f t="shared" si="744"/>
        <v>65</v>
      </c>
      <c r="AJ288" s="1150">
        <f t="shared" si="745"/>
        <v>0</v>
      </c>
      <c r="AK288" s="1150">
        <f t="shared" si="746"/>
        <v>0</v>
      </c>
      <c r="AL288" s="1151">
        <f t="shared" si="747"/>
        <v>92.25</v>
      </c>
      <c r="AM288" s="1151">
        <f t="shared" si="748"/>
        <v>67.25</v>
      </c>
      <c r="AN288" s="1028">
        <v>0</v>
      </c>
      <c r="AO288" s="1193">
        <f>'CONCEPTOS Y PARAMETROS'!$C$18*AN288</f>
        <v>0</v>
      </c>
      <c r="AP288" s="1028">
        <v>0</v>
      </c>
      <c r="AQ288" s="1193">
        <f>'CONCEPTOS Y PARAMETROS'!$C$21*AP288</f>
        <v>0</v>
      </c>
      <c r="AR288" s="1394">
        <v>0</v>
      </c>
      <c r="AS288" s="1394">
        <v>0</v>
      </c>
      <c r="AT288" s="1394">
        <f t="shared" si="824"/>
        <v>0</v>
      </c>
      <c r="AU288" s="1151">
        <f t="shared" si="749"/>
        <v>402.35</v>
      </c>
      <c r="AV288" s="1178" t="s">
        <v>5080</v>
      </c>
      <c r="AW288" s="1151">
        <f t="shared" si="826"/>
        <v>92.85</v>
      </c>
      <c r="AX288" s="1150">
        <f>IF(T288&lt;&gt;"0",(ROUND(IF(A288="EMPLEADO",eval_formula('CONCEPTOS Y PARAMETROS'!$C$8,NOMINA!V288,NOMINA!$AU288,NOMINA!I288+NOMINA!J288),eval_formula('CONCEPTOS Y PARAMETROS'!$D$8,NOMINA!V288,NOMINA!$AU288,NOMINA!I288+NOMINA!J288)),2))*IF(H288&lt;&gt;"",IF(MONTH(H288)=$BR$8,IF(YEAR(H288)&lt;$BT$7,1,0),0)))</f>
        <v>0</v>
      </c>
      <c r="AY288" s="1151">
        <v>180</v>
      </c>
      <c r="AZ288" s="1150">
        <f>IFERROR(VLOOKUP(AY288,'CONCEPTOS Y PARAMETROS'!Y:Z,2,0),0)</f>
        <v>150</v>
      </c>
      <c r="BA288" s="1150">
        <f t="shared" si="750"/>
        <v>3017.63</v>
      </c>
      <c r="BB288" s="1150">
        <f t="shared" si="643"/>
        <v>0</v>
      </c>
      <c r="BC288" s="1028">
        <v>0</v>
      </c>
      <c r="BD288" s="1150" t="str">
        <f t="shared" si="751"/>
        <v>0</v>
      </c>
      <c r="BE288" s="1028">
        <v>3</v>
      </c>
      <c r="BF288" s="1150">
        <f t="shared" si="845"/>
        <v>60.35</v>
      </c>
      <c r="BG288" s="1151">
        <v>300</v>
      </c>
      <c r="BH288" s="1151">
        <f t="shared" si="647"/>
        <v>0</v>
      </c>
      <c r="BI288" s="1180">
        <v>0</v>
      </c>
      <c r="BJ288" s="1180">
        <f t="shared" si="642"/>
        <v>0</v>
      </c>
      <c r="BK288" s="1151">
        <v>0</v>
      </c>
      <c r="BL288" s="1150">
        <f t="shared" si="696"/>
        <v>14.86</v>
      </c>
      <c r="BM288" s="1150">
        <f t="shared" si="697"/>
        <v>1.86</v>
      </c>
      <c r="BN288" s="1150">
        <f t="shared" si="644"/>
        <v>4.0199999999999996</v>
      </c>
      <c r="BO288" s="1150">
        <v>0</v>
      </c>
      <c r="BP288" s="1150">
        <v>0</v>
      </c>
      <c r="BQ288" s="1396">
        <f t="shared" si="677"/>
        <v>20.74</v>
      </c>
      <c r="BR288" s="1150">
        <f t="shared" si="699"/>
        <v>33.43</v>
      </c>
      <c r="BS288" s="1150">
        <f t="shared" si="700"/>
        <v>7.43</v>
      </c>
      <c r="BT288" s="1150">
        <f t="shared" si="649"/>
        <v>8.0399999999999991</v>
      </c>
      <c r="BU288" s="1150">
        <v>0</v>
      </c>
      <c r="BV288" s="1151">
        <f t="shared" si="678"/>
        <v>48.9</v>
      </c>
      <c r="BW288" s="1155">
        <f t="shared" si="679"/>
        <v>69.64</v>
      </c>
      <c r="BX288" s="1155">
        <f t="shared" si="823"/>
        <v>754.41</v>
      </c>
      <c r="BY288" s="1151">
        <v>0</v>
      </c>
      <c r="BZ288" s="1151">
        <f t="shared" si="641"/>
        <v>754.41</v>
      </c>
      <c r="CA288" s="1397">
        <f>'CONCEPTOS Y PARAMETROS'!$A$102</f>
        <v>2120</v>
      </c>
      <c r="CB288" s="1155">
        <f t="shared" si="652"/>
        <v>146.51</v>
      </c>
      <c r="CC288" s="1156">
        <f t="shared" si="653"/>
        <v>595.45000000000005</v>
      </c>
      <c r="CD288" s="514"/>
      <c r="CE288" s="514"/>
      <c r="CF288" s="520"/>
      <c r="CG288" s="497">
        <f t="shared" si="654"/>
        <v>146.51</v>
      </c>
      <c r="CH288" s="1711">
        <f t="shared" si="655"/>
        <v>300</v>
      </c>
      <c r="CI288" s="497">
        <f t="shared" si="656"/>
        <v>442.25</v>
      </c>
      <c r="CJ288" s="497">
        <f t="shared" si="657"/>
        <v>442.25</v>
      </c>
      <c r="CK288" s="497">
        <f t="shared" si="658"/>
        <v>0</v>
      </c>
      <c r="CL288" s="497">
        <f t="shared" si="659"/>
        <v>0</v>
      </c>
      <c r="CM288" s="497">
        <f t="shared" si="660"/>
        <v>0</v>
      </c>
      <c r="CN288" s="498">
        <f t="shared" si="661"/>
        <v>60.35</v>
      </c>
      <c r="CO288" s="499">
        <v>0</v>
      </c>
      <c r="CP288" s="498">
        <f t="shared" si="662"/>
        <v>92.85</v>
      </c>
      <c r="CQ288" s="500">
        <f t="shared" si="663"/>
        <v>0</v>
      </c>
      <c r="CR288" s="498">
        <f t="shared" si="664"/>
        <v>0</v>
      </c>
      <c r="CS288" s="498">
        <f t="shared" si="665"/>
        <v>153.19999999999999</v>
      </c>
      <c r="CT288" s="498">
        <f t="shared" si="666"/>
        <v>69.64</v>
      </c>
      <c r="CU288" s="498">
        <f t="shared" si="667"/>
        <v>2120</v>
      </c>
      <c r="CV288" s="1554"/>
      <c r="CW288" s="1195" t="s">
        <v>7134</v>
      </c>
      <c r="CX288" s="1195" t="s">
        <v>7163</v>
      </c>
      <c r="CY288" s="472"/>
      <c r="CZ288" s="514" t="s">
        <v>6338</v>
      </c>
      <c r="DA288" s="514" t="s">
        <v>6198</v>
      </c>
      <c r="DB288" s="514" t="s">
        <v>6265</v>
      </c>
      <c r="DC288" s="514" t="s">
        <v>6617</v>
      </c>
      <c r="DD288" s="514"/>
      <c r="DE288" s="514"/>
      <c r="DF288" s="472"/>
      <c r="DG288" s="472"/>
      <c r="DH288" s="472"/>
      <c r="DJ288" s="473" t="str">
        <f>VLOOKUP(X288,Hoja1!$A$4:$B$10,2,0)</f>
        <v>BACHILLER</v>
      </c>
      <c r="DK288" s="473" t="str">
        <f>VLOOKUP(S288,Hoja1!$D$4:$F$77,3,0)</f>
        <v>BII - II</v>
      </c>
      <c r="DL288" s="1216" t="str">
        <f t="shared" si="668"/>
        <v>SI</v>
      </c>
      <c r="DM288" s="1741" t="str">
        <f t="shared" si="669"/>
        <v>F</v>
      </c>
      <c r="DN288" s="1741"/>
    </row>
    <row r="289" spans="1:118" s="473" customFormat="1" ht="21.95" customHeight="1">
      <c r="A289" s="510" t="s">
        <v>2846</v>
      </c>
      <c r="B289" s="1390">
        <f t="shared" ca="1" si="822"/>
        <v>247</v>
      </c>
      <c r="C289" s="1194">
        <v>26591879</v>
      </c>
      <c r="D289" s="1195" t="s">
        <v>4918</v>
      </c>
      <c r="E289" s="1180" t="s">
        <v>4622</v>
      </c>
      <c r="F289" s="1196">
        <v>35691</v>
      </c>
      <c r="G289" s="1180" t="s">
        <v>4620</v>
      </c>
      <c r="H289" s="1196">
        <v>43587</v>
      </c>
      <c r="I289" s="1185">
        <f t="shared" si="645"/>
        <v>5</v>
      </c>
      <c r="J289" s="1177">
        <v>0</v>
      </c>
      <c r="K289" s="1185">
        <f t="shared" si="646"/>
        <v>5</v>
      </c>
      <c r="L289" s="1191" t="s">
        <v>5536</v>
      </c>
      <c r="M289" s="1177"/>
      <c r="N289" s="1177"/>
      <c r="O289" s="1040" t="s">
        <v>5272</v>
      </c>
      <c r="P289" s="1177" t="s">
        <v>5457</v>
      </c>
      <c r="Q289" s="1391" t="str">
        <f>IFERROR(VLOOKUP(O289,CARGOS!A:E,2,0),"")</f>
        <v>36322</v>
      </c>
      <c r="R289" s="1403" t="s">
        <v>5272</v>
      </c>
      <c r="S289" s="1192" t="s">
        <v>5480</v>
      </c>
      <c r="T289" s="1150">
        <f>IFERROR(VLOOKUP(S289,'TAB EMP'!A:B,2,0),0)</f>
        <v>277</v>
      </c>
      <c r="U289" s="1151">
        <v>0</v>
      </c>
      <c r="V289" s="1150">
        <f t="shared" si="739"/>
        <v>277</v>
      </c>
      <c r="W289" s="1151">
        <f t="shared" si="740"/>
        <v>138.5</v>
      </c>
      <c r="X289" s="1180" t="s">
        <v>2885</v>
      </c>
      <c r="Y289" s="1180"/>
      <c r="Z289" s="1180">
        <v>1</v>
      </c>
      <c r="AA289" s="1150">
        <f>ROUND(IF(H289&lt;&gt;"",VLOOKUP(SUM(I289+J289),'CONCEPTOS Y PARAMETROS'!F:G,2,0)*V289,0),2)</f>
        <v>13.85</v>
      </c>
      <c r="AB289" s="1150">
        <f>IF(S289&lt;&gt;"",IF(M289="",'CONCEPTOS Y PARAMETROS'!$C$4,0),0)</f>
        <v>130</v>
      </c>
      <c r="AC289" s="1150">
        <f>IF(S289&lt;&gt;"",IF(M289="",'CONCEPTOS Y PARAMETROS'!$C$7*Z289,0),0)</f>
        <v>12.5</v>
      </c>
      <c r="AD289" s="1150">
        <f>IFERROR(ROUND(VLOOKUP($X289,'CONCEPTOS Y PARAMETROS'!H:I,2,0)*($V289+AA289+AB289+AC289),2),0)</f>
        <v>108.34</v>
      </c>
      <c r="AE289" s="1150">
        <f t="shared" si="701"/>
        <v>264.69</v>
      </c>
      <c r="AF289" s="1150">
        <f t="shared" si="741"/>
        <v>6.93</v>
      </c>
      <c r="AG289" s="1150">
        <f t="shared" si="742"/>
        <v>6.92</v>
      </c>
      <c r="AH289" s="1150">
        <f t="shared" si="743"/>
        <v>65</v>
      </c>
      <c r="AI289" s="1150">
        <f t="shared" si="744"/>
        <v>65</v>
      </c>
      <c r="AJ289" s="1150">
        <f t="shared" si="745"/>
        <v>54.17</v>
      </c>
      <c r="AK289" s="1150">
        <f t="shared" si="746"/>
        <v>54.17</v>
      </c>
      <c r="AL289" s="1151">
        <f t="shared" si="747"/>
        <v>138.6</v>
      </c>
      <c r="AM289" s="1151">
        <f t="shared" si="748"/>
        <v>126.09</v>
      </c>
      <c r="AN289" s="1028">
        <v>0</v>
      </c>
      <c r="AO289" s="1193">
        <f>'CONCEPTOS Y PARAMETROS'!$C$18*AN289</f>
        <v>0</v>
      </c>
      <c r="AP289" s="1028">
        <v>0</v>
      </c>
      <c r="AQ289" s="1193">
        <f>'CONCEPTOS Y PARAMETROS'!$C$21*AP289</f>
        <v>0</v>
      </c>
      <c r="AR289" s="1394">
        <v>0</v>
      </c>
      <c r="AS289" s="1394">
        <v>0</v>
      </c>
      <c r="AT289" s="1394">
        <f t="shared" si="824"/>
        <v>0</v>
      </c>
      <c r="AU289" s="1151">
        <f t="shared" si="749"/>
        <v>541.69000000000005</v>
      </c>
      <c r="AV289" s="1178">
        <v>0</v>
      </c>
      <c r="AW289" s="1151">
        <f t="shared" si="826"/>
        <v>0</v>
      </c>
      <c r="AX289" s="1150">
        <f>IF(T289&lt;&gt;"0",(ROUND(IF(A289="EMPLEADO",eval_formula('CONCEPTOS Y PARAMETROS'!$C$8,NOMINA!V289,NOMINA!$AU289,NOMINA!I289+NOMINA!J289),eval_formula('CONCEPTOS Y PARAMETROS'!$D$8,NOMINA!V289,NOMINA!$AU289,NOMINA!I289+NOMINA!J289)),2))*IF(H289&lt;&gt;"",IF(MONTH(H289)=$BR$8,IF(YEAR(H289)&lt;$BT$7,1,0),0)))</f>
        <v>0</v>
      </c>
      <c r="AY289" s="1151">
        <v>180</v>
      </c>
      <c r="AZ289" s="1150">
        <f>IFERROR(VLOOKUP(AY289,'CONCEPTOS Y PARAMETROS'!Y:Z,2,0),0)</f>
        <v>150</v>
      </c>
      <c r="BA289" s="1150">
        <f t="shared" si="750"/>
        <v>4062.68</v>
      </c>
      <c r="BB289" s="1150">
        <f t="shared" si="643"/>
        <v>0</v>
      </c>
      <c r="BC289" s="1028">
        <v>0</v>
      </c>
      <c r="BD289" s="1150" t="str">
        <f t="shared" si="751"/>
        <v>0</v>
      </c>
      <c r="BE289" s="1028">
        <v>0</v>
      </c>
      <c r="BF289" s="1150">
        <f t="shared" si="845"/>
        <v>0</v>
      </c>
      <c r="BG289" s="1151">
        <v>300</v>
      </c>
      <c r="BH289" s="1151">
        <f t="shared" si="647"/>
        <v>0</v>
      </c>
      <c r="BI289" s="1180">
        <v>0</v>
      </c>
      <c r="BJ289" s="1180">
        <f t="shared" si="642"/>
        <v>0</v>
      </c>
      <c r="BK289" s="1151">
        <v>0</v>
      </c>
      <c r="BL289" s="1150">
        <f t="shared" si="696"/>
        <v>20</v>
      </c>
      <c r="BM289" s="1150">
        <f t="shared" si="697"/>
        <v>2.5</v>
      </c>
      <c r="BN289" s="1150">
        <f t="shared" si="644"/>
        <v>5.42</v>
      </c>
      <c r="BO289" s="1150">
        <v>0</v>
      </c>
      <c r="BP289" s="1150">
        <v>0</v>
      </c>
      <c r="BQ289" s="1396">
        <f t="shared" si="677"/>
        <v>27.92</v>
      </c>
      <c r="BR289" s="1150">
        <f t="shared" si="699"/>
        <v>45</v>
      </c>
      <c r="BS289" s="1150">
        <f t="shared" si="700"/>
        <v>10</v>
      </c>
      <c r="BT289" s="1150">
        <f t="shared" si="649"/>
        <v>10.84</v>
      </c>
      <c r="BU289" s="1150">
        <v>0</v>
      </c>
      <c r="BV289" s="1151">
        <f t="shared" si="678"/>
        <v>65.84</v>
      </c>
      <c r="BW289" s="1155">
        <f t="shared" si="679"/>
        <v>93.76</v>
      </c>
      <c r="BX289" s="1155">
        <f t="shared" si="823"/>
        <v>1015.67</v>
      </c>
      <c r="BY289" s="1151">
        <v>0</v>
      </c>
      <c r="BZ289" s="1151">
        <f t="shared" si="641"/>
        <v>1015.67</v>
      </c>
      <c r="CA289" s="1397">
        <f>'CONCEPTOS Y PARAMETROS'!$A$102</f>
        <v>2120</v>
      </c>
      <c r="CB289" s="1155">
        <f t="shared" si="652"/>
        <v>249.18</v>
      </c>
      <c r="CC289" s="1156">
        <f t="shared" si="653"/>
        <v>564.59</v>
      </c>
      <c r="CD289" s="514"/>
      <c r="CE289" s="514"/>
      <c r="CF289" s="520"/>
      <c r="CG289" s="497">
        <f t="shared" si="654"/>
        <v>249.18</v>
      </c>
      <c r="CH289" s="1711">
        <f t="shared" si="655"/>
        <v>300</v>
      </c>
      <c r="CI289" s="497">
        <f t="shared" si="656"/>
        <v>564.59</v>
      </c>
      <c r="CJ289" s="497">
        <f t="shared" si="657"/>
        <v>271</v>
      </c>
      <c r="CK289" s="497">
        <f t="shared" si="658"/>
        <v>293.59000000000003</v>
      </c>
      <c r="CL289" s="497">
        <f t="shared" si="659"/>
        <v>0</v>
      </c>
      <c r="CM289" s="497">
        <f t="shared" si="660"/>
        <v>0</v>
      </c>
      <c r="CN289" s="498">
        <f t="shared" si="661"/>
        <v>0</v>
      </c>
      <c r="CO289" s="499">
        <v>0</v>
      </c>
      <c r="CP289" s="498">
        <f t="shared" si="662"/>
        <v>0</v>
      </c>
      <c r="CQ289" s="500">
        <f t="shared" si="663"/>
        <v>0</v>
      </c>
      <c r="CR289" s="498">
        <f t="shared" si="664"/>
        <v>0</v>
      </c>
      <c r="CS289" s="498">
        <f t="shared" si="665"/>
        <v>0</v>
      </c>
      <c r="CT289" s="498">
        <f t="shared" si="666"/>
        <v>93.76</v>
      </c>
      <c r="CU289" s="498">
        <f t="shared" si="667"/>
        <v>2120</v>
      </c>
      <c r="CV289" s="1554"/>
      <c r="CW289" s="1195" t="s">
        <v>7164</v>
      </c>
      <c r="CX289" s="1195" t="s">
        <v>7165</v>
      </c>
      <c r="CY289" s="472"/>
      <c r="CZ289" s="514" t="s">
        <v>6371</v>
      </c>
      <c r="DA289" s="514" t="s">
        <v>6173</v>
      </c>
      <c r="DB289" s="514" t="s">
        <v>6234</v>
      </c>
      <c r="DC289" s="514" t="s">
        <v>6711</v>
      </c>
      <c r="DD289" s="514"/>
      <c r="DE289" s="514"/>
      <c r="DF289" s="472"/>
      <c r="DG289" s="472"/>
      <c r="DH289" s="472"/>
      <c r="DJ289" s="473" t="str">
        <f>VLOOKUP(X289,Hoja1!$A$4:$B$10,2,0)</f>
        <v>PROFESIONAL</v>
      </c>
      <c r="DK289" s="473" t="str">
        <f>VLOOKUP(S289,Hoja1!$D$4:$F$77,3,0)</f>
        <v>PII - II</v>
      </c>
      <c r="DL289" s="1216" t="str">
        <f t="shared" si="668"/>
        <v>0</v>
      </c>
      <c r="DM289" s="1741" t="str">
        <f t="shared" si="669"/>
        <v>F</v>
      </c>
      <c r="DN289" s="1741"/>
    </row>
    <row r="290" spans="1:118" s="473" customFormat="1" ht="21.95" customHeight="1">
      <c r="A290" s="510" t="s">
        <v>2846</v>
      </c>
      <c r="B290" s="1390">
        <f t="shared" ca="1" si="822"/>
        <v>248</v>
      </c>
      <c r="C290" s="1194">
        <v>26690908</v>
      </c>
      <c r="D290" s="1195" t="s">
        <v>4919</v>
      </c>
      <c r="E290" s="1180" t="s">
        <v>4622</v>
      </c>
      <c r="F290" s="1196">
        <v>35069</v>
      </c>
      <c r="G290" s="1180" t="s">
        <v>4620</v>
      </c>
      <c r="H290" s="1196">
        <v>44228</v>
      </c>
      <c r="I290" s="1185">
        <f t="shared" si="645"/>
        <v>3</v>
      </c>
      <c r="J290" s="1177">
        <v>0</v>
      </c>
      <c r="K290" s="1185">
        <f t="shared" si="646"/>
        <v>3</v>
      </c>
      <c r="L290" s="1191" t="s">
        <v>5550</v>
      </c>
      <c r="M290" s="1177"/>
      <c r="N290" s="1177"/>
      <c r="O290" s="1040" t="s">
        <v>5222</v>
      </c>
      <c r="P290" s="1177" t="s">
        <v>5458</v>
      </c>
      <c r="Q290" s="1391" t="str">
        <f>IFERROR(VLOOKUP(O290,CARGOS!A:E,2,0),"")</f>
        <v>79511</v>
      </c>
      <c r="R290" s="1403" t="s">
        <v>5222</v>
      </c>
      <c r="S290" s="1192" t="s">
        <v>5490</v>
      </c>
      <c r="T290" s="1150">
        <f>IFERROR(VLOOKUP(S290,'TAB EMP'!A:B,2,0),0)</f>
        <v>150</v>
      </c>
      <c r="U290" s="1151">
        <v>0</v>
      </c>
      <c r="V290" s="1150">
        <f t="shared" si="739"/>
        <v>150</v>
      </c>
      <c r="W290" s="1151">
        <f t="shared" si="740"/>
        <v>75</v>
      </c>
      <c r="X290" s="1180" t="s">
        <v>2884</v>
      </c>
      <c r="Y290" s="1180"/>
      <c r="Z290" s="1180">
        <v>1</v>
      </c>
      <c r="AA290" s="1150">
        <f>ROUND(IF(H290&lt;&gt;"",VLOOKUP(SUM(I290+J290),'CONCEPTOS Y PARAMETROS'!F:G,2,0)*V290,0),2)</f>
        <v>4.5</v>
      </c>
      <c r="AB290" s="1150">
        <f>IF(S290&lt;&gt;"",IF(M290="",'CONCEPTOS Y PARAMETROS'!$C$4,0),0)</f>
        <v>130</v>
      </c>
      <c r="AC290" s="1150">
        <f>IF(S290&lt;&gt;"",IF(M290="",'CONCEPTOS Y PARAMETROS'!$C$7*Z290,0),0)</f>
        <v>12.5</v>
      </c>
      <c r="AD290" s="1150">
        <f>IFERROR(ROUND(VLOOKUP($X290,'CONCEPTOS Y PARAMETROS'!H:I,2,0)*($V290+AA290+AB290+AC290),2),0)</f>
        <v>0</v>
      </c>
      <c r="AE290" s="1150">
        <f t="shared" si="701"/>
        <v>147</v>
      </c>
      <c r="AF290" s="1150">
        <f t="shared" si="741"/>
        <v>2.25</v>
      </c>
      <c r="AG290" s="1150">
        <f t="shared" si="742"/>
        <v>2.25</v>
      </c>
      <c r="AH290" s="1150">
        <f t="shared" si="743"/>
        <v>65</v>
      </c>
      <c r="AI290" s="1150">
        <f t="shared" si="744"/>
        <v>65</v>
      </c>
      <c r="AJ290" s="1150">
        <f t="shared" si="745"/>
        <v>0</v>
      </c>
      <c r="AK290" s="1150">
        <f t="shared" si="746"/>
        <v>0</v>
      </c>
      <c r="AL290" s="1151">
        <f t="shared" si="747"/>
        <v>79.75</v>
      </c>
      <c r="AM290" s="1151">
        <f t="shared" si="748"/>
        <v>67.25</v>
      </c>
      <c r="AN290" s="1028">
        <v>0</v>
      </c>
      <c r="AO290" s="1193">
        <f>'CONCEPTOS Y PARAMETROS'!$C$18*AN290</f>
        <v>0</v>
      </c>
      <c r="AP290" s="1028">
        <v>0</v>
      </c>
      <c r="AQ290" s="1193">
        <f>'CONCEPTOS Y PARAMETROS'!$C$21*AP290</f>
        <v>0</v>
      </c>
      <c r="AR290" s="1394">
        <v>0</v>
      </c>
      <c r="AS290" s="1394">
        <v>0</v>
      </c>
      <c r="AT290" s="1394">
        <f t="shared" si="824"/>
        <v>0</v>
      </c>
      <c r="AU290" s="1151">
        <f t="shared" si="749"/>
        <v>386.1</v>
      </c>
      <c r="AV290" s="1178" t="s">
        <v>5080</v>
      </c>
      <c r="AW290" s="1151">
        <f t="shared" si="826"/>
        <v>89.1</v>
      </c>
      <c r="AX290" s="1150">
        <f>IF(T290&lt;&gt;"0",(ROUND(IF(A290="EMPLEADO",eval_formula('CONCEPTOS Y PARAMETROS'!$C$8,NOMINA!V290,NOMINA!$AU290,NOMINA!I290+NOMINA!J290),eval_formula('CONCEPTOS Y PARAMETROS'!$D$8,NOMINA!V290,NOMINA!$AU290,NOMINA!I290+NOMINA!J290)),2))*IF(H290&lt;&gt;"",IF(MONTH(H290)=$BR$8,IF(YEAR(H290)&lt;$BT$7,1,0),0)))</f>
        <v>0</v>
      </c>
      <c r="AY290" s="1151">
        <v>180</v>
      </c>
      <c r="AZ290" s="1150">
        <f>IFERROR(VLOOKUP(AY290,'CONCEPTOS Y PARAMETROS'!Y:Z,2,0),0)</f>
        <v>150</v>
      </c>
      <c r="BA290" s="1150">
        <f t="shared" si="750"/>
        <v>2895.75</v>
      </c>
      <c r="BB290" s="1150">
        <f t="shared" si="643"/>
        <v>0</v>
      </c>
      <c r="BC290" s="1028">
        <v>0</v>
      </c>
      <c r="BD290" s="1150" t="str">
        <f t="shared" si="751"/>
        <v>0</v>
      </c>
      <c r="BE290" s="1028">
        <v>3</v>
      </c>
      <c r="BF290" s="1150">
        <f t="shared" si="845"/>
        <v>57.92</v>
      </c>
      <c r="BG290" s="1151">
        <v>300</v>
      </c>
      <c r="BH290" s="1151">
        <f t="shared" si="647"/>
        <v>0</v>
      </c>
      <c r="BI290" s="1180">
        <v>0</v>
      </c>
      <c r="BJ290" s="1180">
        <f t="shared" si="642"/>
        <v>0</v>
      </c>
      <c r="BK290" s="1151">
        <v>0</v>
      </c>
      <c r="BL290" s="1150">
        <f t="shared" si="696"/>
        <v>14.26</v>
      </c>
      <c r="BM290" s="1150">
        <f t="shared" si="697"/>
        <v>1.78</v>
      </c>
      <c r="BN290" s="1150">
        <f t="shared" si="644"/>
        <v>3.86</v>
      </c>
      <c r="BO290" s="1150">
        <v>0</v>
      </c>
      <c r="BP290" s="1150">
        <v>0</v>
      </c>
      <c r="BQ290" s="1396">
        <f t="shared" si="677"/>
        <v>19.899999999999999</v>
      </c>
      <c r="BR290" s="1150">
        <f t="shared" si="699"/>
        <v>32.08</v>
      </c>
      <c r="BS290" s="1150">
        <f t="shared" si="700"/>
        <v>7.13</v>
      </c>
      <c r="BT290" s="1150">
        <f t="shared" si="649"/>
        <v>7.72</v>
      </c>
      <c r="BU290" s="1150">
        <v>0</v>
      </c>
      <c r="BV290" s="1151">
        <f t="shared" si="678"/>
        <v>46.93</v>
      </c>
      <c r="BW290" s="1155">
        <f t="shared" si="679"/>
        <v>66.83</v>
      </c>
      <c r="BX290" s="1155">
        <f t="shared" si="823"/>
        <v>723.94</v>
      </c>
      <c r="BY290" s="1151">
        <v>0</v>
      </c>
      <c r="BZ290" s="1151">
        <f t="shared" si="641"/>
        <v>723.94</v>
      </c>
      <c r="CA290" s="1397">
        <f>'CONCEPTOS Y PARAMETROS'!$A$102</f>
        <v>2120</v>
      </c>
      <c r="CB290" s="1155">
        <f t="shared" si="652"/>
        <v>134.85</v>
      </c>
      <c r="CC290" s="1156">
        <f t="shared" si="653"/>
        <v>589.27</v>
      </c>
      <c r="CD290" s="514"/>
      <c r="CE290" s="514"/>
      <c r="CF290" s="520"/>
      <c r="CG290" s="497">
        <f t="shared" si="654"/>
        <v>134.85</v>
      </c>
      <c r="CH290" s="1711">
        <f t="shared" si="655"/>
        <v>300</v>
      </c>
      <c r="CI290" s="497">
        <f t="shared" si="656"/>
        <v>442.25</v>
      </c>
      <c r="CJ290" s="497">
        <f t="shared" si="657"/>
        <v>442.25</v>
      </c>
      <c r="CK290" s="497">
        <f t="shared" si="658"/>
        <v>0</v>
      </c>
      <c r="CL290" s="497">
        <f t="shared" si="659"/>
        <v>0</v>
      </c>
      <c r="CM290" s="497">
        <f t="shared" si="660"/>
        <v>0</v>
      </c>
      <c r="CN290" s="498">
        <f t="shared" si="661"/>
        <v>57.92</v>
      </c>
      <c r="CO290" s="499">
        <v>0</v>
      </c>
      <c r="CP290" s="498">
        <f t="shared" si="662"/>
        <v>89.1</v>
      </c>
      <c r="CQ290" s="500">
        <f t="shared" si="663"/>
        <v>0</v>
      </c>
      <c r="CR290" s="498">
        <f t="shared" si="664"/>
        <v>0</v>
      </c>
      <c r="CS290" s="498">
        <f t="shared" si="665"/>
        <v>147.01999999999998</v>
      </c>
      <c r="CT290" s="498">
        <f t="shared" si="666"/>
        <v>66.83</v>
      </c>
      <c r="CU290" s="498">
        <f t="shared" si="667"/>
        <v>2120</v>
      </c>
      <c r="CV290" s="1554"/>
      <c r="CW290" s="1195" t="s">
        <v>7161</v>
      </c>
      <c r="CX290" s="1195" t="s">
        <v>7166</v>
      </c>
      <c r="CY290" s="472"/>
      <c r="CZ290" s="514" t="s">
        <v>6300</v>
      </c>
      <c r="DA290" s="514" t="s">
        <v>6299</v>
      </c>
      <c r="DB290" s="514" t="s">
        <v>6301</v>
      </c>
      <c r="DC290" s="514" t="s">
        <v>6723</v>
      </c>
      <c r="DD290" s="514"/>
      <c r="DE290" s="514"/>
      <c r="DF290" s="472"/>
      <c r="DG290" s="472"/>
      <c r="DH290" s="472"/>
      <c r="DJ290" s="473" t="str">
        <f>VLOOKUP(X290,Hoja1!$A$4:$B$10,2,0)</f>
        <v>BACHILLER</v>
      </c>
      <c r="DK290" s="473" t="str">
        <f>VLOOKUP(S290,Hoja1!$D$4:$F$77,3,0)</f>
        <v>BII - II</v>
      </c>
      <c r="DL290" s="1216" t="str">
        <f t="shared" si="668"/>
        <v>SI</v>
      </c>
      <c r="DM290" s="1741" t="str">
        <f t="shared" si="669"/>
        <v>F</v>
      </c>
      <c r="DN290" s="1741"/>
    </row>
    <row r="291" spans="1:118" s="1654" customFormat="1" ht="21.95" customHeight="1">
      <c r="A291" s="1624" t="s">
        <v>2846</v>
      </c>
      <c r="B291" s="1625">
        <f t="shared" ca="1" si="822"/>
        <v>249</v>
      </c>
      <c r="C291" s="1626">
        <v>26962104</v>
      </c>
      <c r="D291" s="1627" t="s">
        <v>4920</v>
      </c>
      <c r="E291" s="1628" t="s">
        <v>4622</v>
      </c>
      <c r="F291" s="1629">
        <v>35922</v>
      </c>
      <c r="G291" s="1628" t="s">
        <v>4620</v>
      </c>
      <c r="H291" s="1629">
        <v>44393</v>
      </c>
      <c r="I291" s="1630">
        <f t="shared" si="645"/>
        <v>3</v>
      </c>
      <c r="J291" s="1631">
        <v>0</v>
      </c>
      <c r="K291" s="1630">
        <f t="shared" si="646"/>
        <v>3</v>
      </c>
      <c r="L291" s="1666" t="s">
        <v>5539</v>
      </c>
      <c r="M291" s="1631"/>
      <c r="N291" s="1631"/>
      <c r="O291" s="1633" t="s">
        <v>7422</v>
      </c>
      <c r="P291" s="1631" t="s">
        <v>5459</v>
      </c>
      <c r="Q291" s="1634" t="str">
        <f>IFERROR(VLOOKUP(O291,CARGOS!A:E,2,0),"")</f>
        <v>12112</v>
      </c>
      <c r="R291" s="1635" t="s">
        <v>7422</v>
      </c>
      <c r="S291" s="1636" t="s">
        <v>5490</v>
      </c>
      <c r="T291" s="1637">
        <f>IFERROR(VLOOKUP(S291,'TAB EMP'!A:B,2,0),0)</f>
        <v>150</v>
      </c>
      <c r="U291" s="1638">
        <v>0</v>
      </c>
      <c r="V291" s="1637">
        <f t="shared" si="739"/>
        <v>150</v>
      </c>
      <c r="W291" s="1638">
        <f t="shared" si="740"/>
        <v>75</v>
      </c>
      <c r="X291" s="1628" t="s">
        <v>2884</v>
      </c>
      <c r="Y291" s="1628"/>
      <c r="Z291" s="1628">
        <v>1</v>
      </c>
      <c r="AA291" s="1637">
        <f>ROUND(IF(H291&lt;&gt;"",VLOOKUP(SUM(I291+J291),'CONCEPTOS Y PARAMETROS'!F:G,2,0)*V291,0),2)</f>
        <v>4.5</v>
      </c>
      <c r="AB291" s="1637">
        <f>IF(S291&lt;&gt;"",IF(M291="",'CONCEPTOS Y PARAMETROS'!$C$4,0),0)</f>
        <v>130</v>
      </c>
      <c r="AC291" s="1637">
        <f>IF(S291&lt;&gt;"",IF(M291="",'CONCEPTOS Y PARAMETROS'!$C$7*Z291,0),0)</f>
        <v>12.5</v>
      </c>
      <c r="AD291" s="1637">
        <f>IFERROR(ROUND(VLOOKUP($X291,'CONCEPTOS Y PARAMETROS'!H:I,2,0)*($V291+AA291+AB291+AC291),2),0)</f>
        <v>0</v>
      </c>
      <c r="AE291" s="1637">
        <f t="shared" si="701"/>
        <v>147</v>
      </c>
      <c r="AF291" s="1637">
        <f t="shared" si="741"/>
        <v>2.25</v>
      </c>
      <c r="AG291" s="1637">
        <f t="shared" si="742"/>
        <v>2.25</v>
      </c>
      <c r="AH291" s="1637">
        <f t="shared" si="743"/>
        <v>65</v>
      </c>
      <c r="AI291" s="1637">
        <f t="shared" si="744"/>
        <v>65</v>
      </c>
      <c r="AJ291" s="1637">
        <f t="shared" si="745"/>
        <v>0</v>
      </c>
      <c r="AK291" s="1637">
        <f t="shared" si="746"/>
        <v>0</v>
      </c>
      <c r="AL291" s="1638">
        <f t="shared" si="747"/>
        <v>79.75</v>
      </c>
      <c r="AM291" s="1638">
        <f t="shared" si="748"/>
        <v>67.25</v>
      </c>
      <c r="AN291" s="1639">
        <v>0</v>
      </c>
      <c r="AO291" s="1640">
        <f>'CONCEPTOS Y PARAMETROS'!$C$18*AN291</f>
        <v>0</v>
      </c>
      <c r="AP291" s="1639">
        <v>0</v>
      </c>
      <c r="AQ291" s="1640">
        <f>'CONCEPTOS Y PARAMETROS'!$C$21*AP291</f>
        <v>0</v>
      </c>
      <c r="AR291" s="1641">
        <v>12.5</v>
      </c>
      <c r="AS291" s="1641">
        <v>0</v>
      </c>
      <c r="AT291" s="1641">
        <f t="shared" si="824"/>
        <v>12.5</v>
      </c>
      <c r="AU291" s="1638">
        <f t="shared" si="749"/>
        <v>297</v>
      </c>
      <c r="AV291" s="1642">
        <v>0</v>
      </c>
      <c r="AW291" s="1638">
        <f t="shared" si="826"/>
        <v>0</v>
      </c>
      <c r="AX291" s="1637">
        <f>IF(T291&lt;&gt;"0",(ROUND(IF(A291="EMPLEADO",eval_formula('CONCEPTOS Y PARAMETROS'!$C$8,NOMINA!V291,NOMINA!$AU291,NOMINA!I291+NOMINA!J291),eval_formula('CONCEPTOS Y PARAMETROS'!$D$8,NOMINA!V291,NOMINA!$AU291,NOMINA!I291+NOMINA!J291)),2))*IF(H291&lt;&gt;"",IF(MONTH(H291)=$BR$8,IF(YEAR(H291)&lt;$BT$7,1,0),0)))</f>
        <v>0</v>
      </c>
      <c r="AY291" s="1638">
        <v>180</v>
      </c>
      <c r="AZ291" s="1637">
        <f>IFERROR(VLOOKUP(AY291,'CONCEPTOS Y PARAMETROS'!Y:Z,2,0),0)</f>
        <v>150</v>
      </c>
      <c r="BA291" s="1637">
        <f t="shared" si="750"/>
        <v>2227.5</v>
      </c>
      <c r="BB291" s="1637">
        <f t="shared" si="643"/>
        <v>0</v>
      </c>
      <c r="BC291" s="1639">
        <v>0</v>
      </c>
      <c r="BD291" s="1637" t="str">
        <f t="shared" si="751"/>
        <v>0</v>
      </c>
      <c r="BE291" s="1639">
        <v>0</v>
      </c>
      <c r="BF291" s="1637">
        <f t="shared" si="845"/>
        <v>0</v>
      </c>
      <c r="BG291" s="1638">
        <v>300</v>
      </c>
      <c r="BH291" s="1638">
        <f t="shared" si="647"/>
        <v>0</v>
      </c>
      <c r="BI291" s="1628">
        <v>0</v>
      </c>
      <c r="BJ291" s="1628">
        <f t="shared" si="642"/>
        <v>0</v>
      </c>
      <c r="BK291" s="1638">
        <v>0</v>
      </c>
      <c r="BL291" s="1637">
        <f t="shared" si="696"/>
        <v>10.97</v>
      </c>
      <c r="BM291" s="1637">
        <f t="shared" si="697"/>
        <v>1.37</v>
      </c>
      <c r="BN291" s="1637">
        <f t="shared" si="644"/>
        <v>2.97</v>
      </c>
      <c r="BO291" s="1637">
        <v>0</v>
      </c>
      <c r="BP291" s="1637">
        <v>0</v>
      </c>
      <c r="BQ291" s="1643">
        <f t="shared" si="677"/>
        <v>15.31</v>
      </c>
      <c r="BR291" s="1637">
        <f t="shared" si="699"/>
        <v>24.67</v>
      </c>
      <c r="BS291" s="1637">
        <f t="shared" si="700"/>
        <v>5.48</v>
      </c>
      <c r="BT291" s="1637">
        <f t="shared" si="649"/>
        <v>5.94</v>
      </c>
      <c r="BU291" s="1637">
        <v>0</v>
      </c>
      <c r="BV291" s="1638">
        <f t="shared" si="678"/>
        <v>36.090000000000003</v>
      </c>
      <c r="BW291" s="1644">
        <f t="shared" si="679"/>
        <v>51.400000000000006</v>
      </c>
      <c r="BX291" s="1644">
        <f t="shared" si="823"/>
        <v>556.88</v>
      </c>
      <c r="BY291" s="1638">
        <v>0</v>
      </c>
      <c r="BZ291" s="1638">
        <f t="shared" si="641"/>
        <v>556.88</v>
      </c>
      <c r="CA291" s="1645">
        <f>'CONCEPTOS Y PARAMETROS'!$A$102</f>
        <v>2120</v>
      </c>
      <c r="CB291" s="1644">
        <f t="shared" si="652"/>
        <v>139.44</v>
      </c>
      <c r="CC291" s="1646">
        <f t="shared" si="653"/>
        <v>454.75</v>
      </c>
      <c r="CD291" s="1647"/>
      <c r="CE291" s="1647"/>
      <c r="CF291" s="1648"/>
      <c r="CG291" s="1649">
        <f t="shared" si="654"/>
        <v>139.44</v>
      </c>
      <c r="CH291" s="1713">
        <f t="shared" si="655"/>
        <v>300</v>
      </c>
      <c r="CI291" s="1649">
        <f t="shared" si="656"/>
        <v>442.25</v>
      </c>
      <c r="CJ291" s="1649">
        <f t="shared" si="657"/>
        <v>442.25</v>
      </c>
      <c r="CK291" s="1649">
        <f t="shared" si="658"/>
        <v>0</v>
      </c>
      <c r="CL291" s="1649">
        <f t="shared" si="659"/>
        <v>0</v>
      </c>
      <c r="CM291" s="1649">
        <f t="shared" si="660"/>
        <v>0</v>
      </c>
      <c r="CN291" s="1650">
        <f t="shared" si="661"/>
        <v>0</v>
      </c>
      <c r="CO291" s="1651">
        <v>0</v>
      </c>
      <c r="CP291" s="1650">
        <f t="shared" si="662"/>
        <v>0</v>
      </c>
      <c r="CQ291" s="1652">
        <f t="shared" si="663"/>
        <v>12.5</v>
      </c>
      <c r="CR291" s="1650">
        <f t="shared" si="664"/>
        <v>0</v>
      </c>
      <c r="CS291" s="1650">
        <f t="shared" si="665"/>
        <v>12.5</v>
      </c>
      <c r="CT291" s="1650">
        <f t="shared" si="666"/>
        <v>51.400000000000006</v>
      </c>
      <c r="CU291" s="1650">
        <f t="shared" si="667"/>
        <v>2120</v>
      </c>
      <c r="CV291" s="1653"/>
      <c r="CW291" s="1627" t="s">
        <v>7167</v>
      </c>
      <c r="CX291" s="1627" t="s">
        <v>7120</v>
      </c>
      <c r="CY291" s="1647"/>
      <c r="CZ291" s="1647" t="s">
        <v>6455</v>
      </c>
      <c r="DA291" s="1647" t="s">
        <v>6173</v>
      </c>
      <c r="DB291" s="1647" t="s">
        <v>6234</v>
      </c>
      <c r="DC291" s="1647" t="s">
        <v>6442</v>
      </c>
      <c r="DD291" s="1647"/>
      <c r="DE291" s="1647"/>
      <c r="DF291" s="1647"/>
      <c r="DG291" s="1647"/>
      <c r="DH291" s="1647"/>
      <c r="DJ291" s="1654" t="str">
        <f>VLOOKUP(X291,Hoja1!$A$4:$B$10,2,0)</f>
        <v>BACHILLER</v>
      </c>
      <c r="DK291" s="1654" t="str">
        <f>VLOOKUP(S291,Hoja1!$D$4:$F$77,3,0)</f>
        <v>BII - II</v>
      </c>
      <c r="DL291" s="1663" t="str">
        <f t="shared" si="668"/>
        <v>0</v>
      </c>
      <c r="DM291" s="1742" t="str">
        <f t="shared" si="669"/>
        <v>F</v>
      </c>
      <c r="DN291" s="1742"/>
    </row>
    <row r="292" spans="1:118" s="473" customFormat="1" ht="21.95" customHeight="1">
      <c r="A292" s="510" t="s">
        <v>2846</v>
      </c>
      <c r="B292" s="1390">
        <f t="shared" ca="1" si="822"/>
        <v>250</v>
      </c>
      <c r="C292" s="1194">
        <v>27251392</v>
      </c>
      <c r="D292" s="1195" t="s">
        <v>7405</v>
      </c>
      <c r="E292" s="1180" t="s">
        <v>4622</v>
      </c>
      <c r="F292" s="1196">
        <v>36015</v>
      </c>
      <c r="G292" s="1180" t="s">
        <v>4620</v>
      </c>
      <c r="H292" s="1196">
        <v>45627</v>
      </c>
      <c r="I292" s="1185">
        <f t="shared" si="645"/>
        <v>0</v>
      </c>
      <c r="J292" s="1177">
        <v>0</v>
      </c>
      <c r="K292" s="1185">
        <f t="shared" si="646"/>
        <v>0</v>
      </c>
      <c r="L292" s="1191" t="s">
        <v>5550</v>
      </c>
      <c r="M292" s="1177"/>
      <c r="N292" s="1177"/>
      <c r="O292" s="1040" t="s">
        <v>5222</v>
      </c>
      <c r="P292" s="1177" t="s">
        <v>7406</v>
      </c>
      <c r="Q292" s="1391" t="str">
        <f>IFERROR(VLOOKUP(O292,CARGOS!A:E,2,0),"")</f>
        <v>79511</v>
      </c>
      <c r="R292" s="1403" t="s">
        <v>5222</v>
      </c>
      <c r="S292" s="1192" t="s">
        <v>5483</v>
      </c>
      <c r="T292" s="1150">
        <f>IFERROR(VLOOKUP(S292,'TAB EMP'!A:B,2,0),0)</f>
        <v>130</v>
      </c>
      <c r="U292" s="1151">
        <v>0</v>
      </c>
      <c r="V292" s="1150">
        <f t="shared" ref="V292" si="852">T292-U292</f>
        <v>130</v>
      </c>
      <c r="W292" s="1151">
        <f t="shared" ref="W292" si="853">ROUND(V292/2,2)</f>
        <v>65</v>
      </c>
      <c r="X292" s="1180" t="s">
        <v>2884</v>
      </c>
      <c r="Y292" s="1180"/>
      <c r="Z292" s="1180">
        <v>1</v>
      </c>
      <c r="AA292" s="1150">
        <f>ROUND(IF(H292&lt;&gt;"",VLOOKUP(SUM(I292+J292),'CONCEPTOS Y PARAMETROS'!F:G,2,0)*V292,0),2)</f>
        <v>0</v>
      </c>
      <c r="AB292" s="1150">
        <f>IF(S292&lt;&gt;"",IF(M292="",'CONCEPTOS Y PARAMETROS'!$C$4,0),0)</f>
        <v>130</v>
      </c>
      <c r="AC292" s="1150">
        <f>IF(S292&lt;&gt;"",IF(M292="",'CONCEPTOS Y PARAMETROS'!$C$7*Z292,0),0)</f>
        <v>12.5</v>
      </c>
      <c r="AD292" s="1150">
        <f>IFERROR(ROUND(VLOOKUP($X292,'CONCEPTOS Y PARAMETROS'!H:I,2,0)*($V292+AA292+AB292+AC292),2),0)</f>
        <v>0</v>
      </c>
      <c r="AE292" s="1150">
        <f t="shared" ref="AE292" si="854">SUM(AA292:AD292)</f>
        <v>142.5</v>
      </c>
      <c r="AF292" s="1150">
        <f t="shared" ref="AF292" si="855">ROUND(AA292/2,2)</f>
        <v>0</v>
      </c>
      <c r="AG292" s="1150">
        <f t="shared" ref="AG292" si="856">ROUND(AA292-AF292,2)</f>
        <v>0</v>
      </c>
      <c r="AH292" s="1150">
        <f t="shared" ref="AH292" si="857">ROUND(AB292/2,2)</f>
        <v>65</v>
      </c>
      <c r="AI292" s="1150">
        <f t="shared" ref="AI292" si="858">ROUND(AB292-AH292,2)</f>
        <v>65</v>
      </c>
      <c r="AJ292" s="1150">
        <f t="shared" ref="AJ292" si="859">ROUND(AD292/2,2)</f>
        <v>0</v>
      </c>
      <c r="AK292" s="1150">
        <f t="shared" ref="AK292" si="860">ROUND(AD292-AJ292,2)</f>
        <v>0</v>
      </c>
      <c r="AL292" s="1151">
        <f t="shared" ref="AL292" si="861">ROUND(AF292+AH292+AJ292+AC292,2)</f>
        <v>77.5</v>
      </c>
      <c r="AM292" s="1151">
        <f t="shared" ref="AM292" si="862">ROUND(AG292+AI292+AK292,2)</f>
        <v>65</v>
      </c>
      <c r="AN292" s="1028">
        <v>0</v>
      </c>
      <c r="AO292" s="1193">
        <f>'CONCEPTOS Y PARAMETROS'!$C$18*AN292</f>
        <v>0</v>
      </c>
      <c r="AP292" s="1028">
        <v>0</v>
      </c>
      <c r="AQ292" s="1193">
        <f>'CONCEPTOS Y PARAMETROS'!$C$21*AP292</f>
        <v>0</v>
      </c>
      <c r="AR292" s="1394">
        <v>0</v>
      </c>
      <c r="AS292" s="1394">
        <v>0</v>
      </c>
      <c r="AT292" s="1394">
        <f t="shared" ref="AT292" si="863">+AO292+AQ292+AR292+AS292</f>
        <v>0</v>
      </c>
      <c r="AU292" s="1151">
        <f t="shared" ref="AU292" si="864">V292+AE292+AW292</f>
        <v>354.25</v>
      </c>
      <c r="AV292" s="1178" t="s">
        <v>5080</v>
      </c>
      <c r="AW292" s="1151">
        <f t="shared" ref="AW292" si="865">ROUND(IF(AV292="NOCTURN",(V292+AE292)*30%,0),2)</f>
        <v>81.75</v>
      </c>
      <c r="AX292" s="1150">
        <f>IF(T292&lt;&gt;"0",(ROUND(IF(A292="EMPLEADO",eval_formula('CONCEPTOS Y PARAMETROS'!$C$8,NOMINA!V292,NOMINA!$AU292,NOMINA!I292+NOMINA!J292),eval_formula('CONCEPTOS Y PARAMETROS'!$D$8,NOMINA!V292,NOMINA!$AU292,NOMINA!I292+NOMINA!J292)),2))*IF(H292&lt;&gt;"",IF(MONTH(H292)=$BR$8,IF(YEAR(H292)&lt;$BT$7,1,0),0)))</f>
        <v>0</v>
      </c>
      <c r="AY292" s="1151">
        <v>180</v>
      </c>
      <c r="AZ292" s="1150">
        <f>IFERROR(VLOOKUP(AY292,'CONCEPTOS Y PARAMETROS'!Y:Z,2,0),0)</f>
        <v>150</v>
      </c>
      <c r="BA292" s="1150">
        <f t="shared" ref="BA292" si="866">ROUND((((AU292))/30*AY292/12+(AU292))/30*AZ292,2)</f>
        <v>2656.88</v>
      </c>
      <c r="BB292" s="1150">
        <f t="shared" ref="BB292" si="867">ROUND(AU292/30*$BB$10,2)</f>
        <v>0</v>
      </c>
      <c r="BC292" s="1028">
        <v>0</v>
      </c>
      <c r="BD292" s="1150" t="str">
        <f t="shared" ref="BD292" si="868">IF(BC292&gt;0,((((((V292+AA292+AB292+AC292+AD292)/30)/8)*50%)+((((V292+AA292+AB292+AC292+AD292)/30)/8)))*30%+(((((V292+AA292+AB292+AC292+AD292)/30)/8)*50%)+((((V292+AA292+AB292+AC292+AD292)/30)/8))))*BC292,"0")</f>
        <v>0</v>
      </c>
      <c r="BE292" s="1028">
        <v>0</v>
      </c>
      <c r="BF292" s="1150">
        <f t="shared" ref="BF292" si="869">ROUND(IF(BE292&gt;0,(((V292+AA292+AB292+AC292+AD292+AW292)/30)*50%+((V292+AA292+AB292+AC292+AD292+AW292)/30))*BE292,"0"),2)</f>
        <v>0</v>
      </c>
      <c r="BG292" s="1151">
        <v>300</v>
      </c>
      <c r="BH292" s="1151">
        <f t="shared" si="647"/>
        <v>0</v>
      </c>
      <c r="BI292" s="1180">
        <v>0</v>
      </c>
      <c r="BJ292" s="1180">
        <f t="shared" ref="BJ292" si="870">+IF(BI292&lt;&gt;0,(BI292*12.5),0)</f>
        <v>0</v>
      </c>
      <c r="BK292" s="1151">
        <v>0</v>
      </c>
      <c r="BL292" s="1150">
        <f t="shared" ref="BL292" si="871">ROUND(IF(M292="", (((AU292*12)/52)*4%)*$BS$8,0),2)</f>
        <v>13.08</v>
      </c>
      <c r="BM292" s="1150">
        <f t="shared" ref="BM292" si="872">ROUND(IF(M292="",(((AU292*12)/52)*0.5%)*$BS$8,0),2)</f>
        <v>1.64</v>
      </c>
      <c r="BN292" s="1150">
        <f t="shared" ref="BN292" si="873">ROUND(IF(M292="",(AU292*1%),0),2)</f>
        <v>3.54</v>
      </c>
      <c r="BO292" s="1150">
        <v>0</v>
      </c>
      <c r="BP292" s="1150">
        <v>0</v>
      </c>
      <c r="BQ292" s="1396">
        <f t="shared" ref="BQ292" si="874">ROUND(SUM(BL292:BP292),2)</f>
        <v>18.260000000000002</v>
      </c>
      <c r="BR292" s="1150">
        <f t="shared" ref="BR292" si="875">ROUND(IF(M292="", (((AU292*12)/52)*9%)*$BS$8,0),2)</f>
        <v>29.43</v>
      </c>
      <c r="BS292" s="1150">
        <f t="shared" ref="BS292" si="876">ROUND(IF(M292="",(((AU292*12)/52)*2%)*$BS$8,0),2)</f>
        <v>6.54</v>
      </c>
      <c r="BT292" s="1150">
        <f t="shared" si="649"/>
        <v>7.08</v>
      </c>
      <c r="BU292" s="1150">
        <v>0</v>
      </c>
      <c r="BV292" s="1151">
        <f t="shared" ref="BV292" si="877">ROUND(SUM(BR292:BT292),2)</f>
        <v>43.05</v>
      </c>
      <c r="BW292" s="1155">
        <f t="shared" ref="BW292" si="878">BQ292+BV292</f>
        <v>61.31</v>
      </c>
      <c r="BX292" s="1155">
        <f t="shared" ref="BX292" si="879">ROUND(BA292/4,2)</f>
        <v>664.22</v>
      </c>
      <c r="BY292" s="1151">
        <v>0</v>
      </c>
      <c r="BZ292" s="1151">
        <f t="shared" ref="BZ292" si="880">+BX292+BY292</f>
        <v>664.22</v>
      </c>
      <c r="CA292" s="1397">
        <f>'CONCEPTOS Y PARAMETROS'!$A$102</f>
        <v>2120</v>
      </c>
      <c r="CB292" s="1155">
        <f t="shared" si="652"/>
        <v>124.24</v>
      </c>
      <c r="CC292" s="1156">
        <f t="shared" si="653"/>
        <v>511.75</v>
      </c>
      <c r="CD292" s="514"/>
      <c r="CE292" s="514"/>
      <c r="CF292" s="520"/>
      <c r="CG292" s="497">
        <f t="shared" si="654"/>
        <v>124.24</v>
      </c>
      <c r="CH292" s="1711">
        <f t="shared" si="655"/>
        <v>300</v>
      </c>
      <c r="CI292" s="497">
        <f t="shared" si="656"/>
        <v>430</v>
      </c>
      <c r="CJ292" s="497">
        <f t="shared" si="657"/>
        <v>430</v>
      </c>
      <c r="CK292" s="497">
        <f t="shared" si="658"/>
        <v>0</v>
      </c>
      <c r="CL292" s="497">
        <f t="shared" si="659"/>
        <v>0</v>
      </c>
      <c r="CM292" s="497">
        <f t="shared" si="660"/>
        <v>0</v>
      </c>
      <c r="CN292" s="498">
        <f t="shared" si="661"/>
        <v>0</v>
      </c>
      <c r="CO292" s="499">
        <v>0</v>
      </c>
      <c r="CP292" s="498">
        <f t="shared" si="662"/>
        <v>81.75</v>
      </c>
      <c r="CQ292" s="500">
        <f t="shared" si="663"/>
        <v>0</v>
      </c>
      <c r="CR292" s="498">
        <f t="shared" si="664"/>
        <v>0</v>
      </c>
      <c r="CS292" s="498">
        <f t="shared" si="665"/>
        <v>81.75</v>
      </c>
      <c r="CT292" s="498">
        <f t="shared" si="666"/>
        <v>61.31</v>
      </c>
      <c r="CU292" s="498">
        <f t="shared" si="667"/>
        <v>2120</v>
      </c>
      <c r="CV292" s="1554"/>
      <c r="CW292" s="1195" t="s">
        <v>6938</v>
      </c>
      <c r="CX292" s="1195" t="s">
        <v>6935</v>
      </c>
      <c r="CY292" s="472"/>
      <c r="CZ292" s="514" t="s">
        <v>7407</v>
      </c>
      <c r="DA292" s="514"/>
      <c r="DB292" s="514"/>
      <c r="DC292" s="514"/>
      <c r="DD292" s="514"/>
      <c r="DE292" s="514"/>
      <c r="DF292" s="472"/>
      <c r="DG292" s="472"/>
      <c r="DH292" s="472"/>
      <c r="DJ292" s="473" t="str">
        <f>VLOOKUP(X292,Hoja1!$A$4:$B$10,2,0)</f>
        <v>BACHILLER</v>
      </c>
      <c r="DK292" s="473" t="str">
        <f>VLOOKUP(S292,Hoja1!$D$4:$F$77,3,0)</f>
        <v>BI</v>
      </c>
      <c r="DL292" s="1672" t="str">
        <f t="shared" si="668"/>
        <v>SI</v>
      </c>
      <c r="DM292" s="1741" t="str">
        <f t="shared" si="669"/>
        <v>F</v>
      </c>
      <c r="DN292" s="1741"/>
    </row>
    <row r="293" spans="1:118" s="478" customFormat="1" ht="21.95" customHeight="1">
      <c r="A293" s="510" t="s">
        <v>2846</v>
      </c>
      <c r="B293" s="1390">
        <f t="shared" ca="1" si="822"/>
        <v>251</v>
      </c>
      <c r="C293" s="1194">
        <v>27251885</v>
      </c>
      <c r="D293" s="1195" t="s">
        <v>6737</v>
      </c>
      <c r="E293" s="1180" t="s">
        <v>4622</v>
      </c>
      <c r="F293" s="1196">
        <v>36010</v>
      </c>
      <c r="G293" s="1180" t="s">
        <v>4620</v>
      </c>
      <c r="H293" s="1196">
        <v>45474</v>
      </c>
      <c r="I293" s="1185">
        <f t="shared" si="645"/>
        <v>0</v>
      </c>
      <c r="J293" s="1177">
        <v>0</v>
      </c>
      <c r="K293" s="1185">
        <f t="shared" si="646"/>
        <v>0</v>
      </c>
      <c r="L293" s="1402" t="s">
        <v>5539</v>
      </c>
      <c r="M293" s="1177"/>
      <c r="N293" s="1177"/>
      <c r="O293" s="1040" t="s">
        <v>5222</v>
      </c>
      <c r="P293" s="1197" t="s">
        <v>6738</v>
      </c>
      <c r="Q293" s="1391" t="str">
        <f>IFERROR(VLOOKUP(O293,CARGOS!A:E,2,0),"")</f>
        <v>79511</v>
      </c>
      <c r="R293" s="1403" t="s">
        <v>5222</v>
      </c>
      <c r="S293" s="1192" t="s">
        <v>5483</v>
      </c>
      <c r="T293" s="1150">
        <f>IFERROR(VLOOKUP(S293,'TAB EMP'!A:B,2,0),0)</f>
        <v>130</v>
      </c>
      <c r="U293" s="1151">
        <v>0</v>
      </c>
      <c r="V293" s="1150">
        <f t="shared" si="739"/>
        <v>130</v>
      </c>
      <c r="W293" s="1151">
        <f t="shared" si="740"/>
        <v>65</v>
      </c>
      <c r="X293" s="1180" t="s">
        <v>2884</v>
      </c>
      <c r="Y293" s="1180"/>
      <c r="Z293" s="1180">
        <v>1</v>
      </c>
      <c r="AA293" s="1150">
        <f>ROUND(IF(H293&lt;&gt;"",VLOOKUP(SUM(I293+J293),'CONCEPTOS Y PARAMETROS'!F:G,2,0)*V293,0),2)</f>
        <v>0</v>
      </c>
      <c r="AB293" s="1150">
        <f>IF(S293&lt;&gt;"",IF(M293="",'CONCEPTOS Y PARAMETROS'!$C$4,0),0)</f>
        <v>130</v>
      </c>
      <c r="AC293" s="1150">
        <f>IF(S293&lt;&gt;"",IF(M293="",'CONCEPTOS Y PARAMETROS'!$C$7*Z293,0),0)</f>
        <v>12.5</v>
      </c>
      <c r="AD293" s="1150">
        <f>IFERROR(ROUND(VLOOKUP($X293,'CONCEPTOS Y PARAMETROS'!H:I,2,0)*($V293+AA293+AB293+AC293),2),0)</f>
        <v>0</v>
      </c>
      <c r="AE293" s="1150">
        <f t="shared" si="701"/>
        <v>142.5</v>
      </c>
      <c r="AF293" s="1150">
        <f t="shared" si="741"/>
        <v>0</v>
      </c>
      <c r="AG293" s="1150">
        <f t="shared" si="742"/>
        <v>0</v>
      </c>
      <c r="AH293" s="1150">
        <f t="shared" si="743"/>
        <v>65</v>
      </c>
      <c r="AI293" s="1150">
        <f t="shared" si="744"/>
        <v>65</v>
      </c>
      <c r="AJ293" s="1150">
        <f t="shared" si="745"/>
        <v>0</v>
      </c>
      <c r="AK293" s="1150">
        <f t="shared" si="746"/>
        <v>0</v>
      </c>
      <c r="AL293" s="1151">
        <f t="shared" si="747"/>
        <v>77.5</v>
      </c>
      <c r="AM293" s="1151">
        <f t="shared" si="748"/>
        <v>65</v>
      </c>
      <c r="AN293" s="1583">
        <v>1</v>
      </c>
      <c r="AO293" s="1193">
        <f>'CONCEPTOS Y PARAMETROS'!$C$18*AN293</f>
        <v>12.5</v>
      </c>
      <c r="AP293" s="1028">
        <v>0</v>
      </c>
      <c r="AQ293" s="1193">
        <f>'CONCEPTOS Y PARAMETROS'!$C$21*AP293</f>
        <v>0</v>
      </c>
      <c r="AR293" s="1394">
        <v>0</v>
      </c>
      <c r="AS293" s="1394">
        <v>0</v>
      </c>
      <c r="AT293" s="1394">
        <f t="shared" si="824"/>
        <v>12.5</v>
      </c>
      <c r="AU293" s="1151">
        <f t="shared" si="749"/>
        <v>354.25</v>
      </c>
      <c r="AV293" s="1178" t="s">
        <v>5080</v>
      </c>
      <c r="AW293" s="1151">
        <f t="shared" si="826"/>
        <v>81.75</v>
      </c>
      <c r="AX293" s="1150">
        <f>IF(T293&lt;&gt;"0",(ROUND(IF(A293="EMPLEADO",eval_formula('CONCEPTOS Y PARAMETROS'!$C$8,NOMINA!V293,NOMINA!$AU293,NOMINA!I293+NOMINA!J293),eval_formula('CONCEPTOS Y PARAMETROS'!$D$8,NOMINA!V293,NOMINA!$AU293,NOMINA!I293+NOMINA!J293)),2))*IF(H293&lt;&gt;"",IF(MONTH(H293)=$BR$8,IF(YEAR(H293)&lt;$BT$7,1,0),0)))</f>
        <v>0</v>
      </c>
      <c r="AY293" s="1151">
        <v>90</v>
      </c>
      <c r="AZ293" s="1150">
        <f>IFERROR(VLOOKUP(AY293,'CONCEPTOS Y PARAMETROS'!Y:Z,2,0),0)</f>
        <v>75</v>
      </c>
      <c r="BA293" s="1150">
        <f t="shared" si="750"/>
        <v>1107.03</v>
      </c>
      <c r="BB293" s="1150">
        <f t="shared" si="643"/>
        <v>0</v>
      </c>
      <c r="BC293" s="1028">
        <v>0</v>
      </c>
      <c r="BD293" s="1150" t="str">
        <f t="shared" si="751"/>
        <v>0</v>
      </c>
      <c r="BE293" s="1028">
        <v>4</v>
      </c>
      <c r="BF293" s="1150">
        <f t="shared" si="845"/>
        <v>70.849999999999994</v>
      </c>
      <c r="BG293" s="1151">
        <v>300</v>
      </c>
      <c r="BH293" s="1151">
        <f t="shared" si="647"/>
        <v>0</v>
      </c>
      <c r="BI293" s="1180">
        <v>0</v>
      </c>
      <c r="BJ293" s="1180">
        <f t="shared" si="642"/>
        <v>0</v>
      </c>
      <c r="BK293" s="1151">
        <v>0</v>
      </c>
      <c r="BL293" s="1150">
        <f t="shared" si="696"/>
        <v>13.08</v>
      </c>
      <c r="BM293" s="1150">
        <f t="shared" si="697"/>
        <v>1.64</v>
      </c>
      <c r="BN293" s="1150">
        <f t="shared" si="644"/>
        <v>3.54</v>
      </c>
      <c r="BO293" s="1150">
        <v>0</v>
      </c>
      <c r="BP293" s="1150">
        <v>0</v>
      </c>
      <c r="BQ293" s="1396">
        <f t="shared" si="677"/>
        <v>18.260000000000002</v>
      </c>
      <c r="BR293" s="1150">
        <f t="shared" si="699"/>
        <v>29.43</v>
      </c>
      <c r="BS293" s="1150">
        <f t="shared" si="700"/>
        <v>6.54</v>
      </c>
      <c r="BT293" s="1150">
        <f t="shared" si="649"/>
        <v>7.08</v>
      </c>
      <c r="BU293" s="1150">
        <v>0</v>
      </c>
      <c r="BV293" s="1151">
        <f t="shared" si="678"/>
        <v>43.05</v>
      </c>
      <c r="BW293" s="1155">
        <f t="shared" si="679"/>
        <v>61.31</v>
      </c>
      <c r="BX293" s="1155">
        <f t="shared" si="823"/>
        <v>276.76</v>
      </c>
      <c r="BY293" s="1151">
        <v>0</v>
      </c>
      <c r="BZ293" s="1151">
        <f t="shared" si="641"/>
        <v>276.76</v>
      </c>
      <c r="CA293" s="1397">
        <f>'CONCEPTOS Y PARAMETROS'!$A$102</f>
        <v>2120</v>
      </c>
      <c r="CB293" s="1155">
        <f t="shared" si="652"/>
        <v>124.24</v>
      </c>
      <c r="CC293" s="1156">
        <f t="shared" si="653"/>
        <v>595.1</v>
      </c>
      <c r="CD293" s="514"/>
      <c r="CE293" s="514"/>
      <c r="CF293" s="521"/>
      <c r="CG293" s="511">
        <f t="shared" si="654"/>
        <v>124.24</v>
      </c>
      <c r="CH293" s="1712">
        <f t="shared" si="655"/>
        <v>300</v>
      </c>
      <c r="CI293" s="511">
        <f t="shared" si="656"/>
        <v>430</v>
      </c>
      <c r="CJ293" s="511">
        <f t="shared" si="657"/>
        <v>430</v>
      </c>
      <c r="CK293" s="511">
        <f t="shared" si="658"/>
        <v>0</v>
      </c>
      <c r="CL293" s="511">
        <f t="shared" si="659"/>
        <v>0</v>
      </c>
      <c r="CM293" s="511">
        <f t="shared" si="660"/>
        <v>0</v>
      </c>
      <c r="CN293" s="512">
        <f t="shared" si="661"/>
        <v>70.849999999999994</v>
      </c>
      <c r="CO293" s="513">
        <v>0</v>
      </c>
      <c r="CP293" s="512">
        <f t="shared" si="662"/>
        <v>81.75</v>
      </c>
      <c r="CQ293" s="1616">
        <f t="shared" si="663"/>
        <v>12.5</v>
      </c>
      <c r="CR293" s="512">
        <f t="shared" si="664"/>
        <v>0</v>
      </c>
      <c r="CS293" s="512">
        <f t="shared" si="665"/>
        <v>165.1</v>
      </c>
      <c r="CT293" s="512">
        <f t="shared" si="666"/>
        <v>61.31</v>
      </c>
      <c r="CU293" s="512">
        <f t="shared" si="667"/>
        <v>2120</v>
      </c>
      <c r="CV293" s="1556"/>
      <c r="CW293" s="1195" t="s">
        <v>7168</v>
      </c>
      <c r="CX293" s="1195" t="s">
        <v>7169</v>
      </c>
      <c r="CY293" s="514"/>
      <c r="CZ293" s="1199" t="s">
        <v>6739</v>
      </c>
      <c r="DA293" s="1199" t="s">
        <v>6173</v>
      </c>
      <c r="DB293" s="1199" t="s">
        <v>6213</v>
      </c>
      <c r="DC293" s="514" t="s">
        <v>6277</v>
      </c>
      <c r="DD293" s="514"/>
      <c r="DE293" s="514"/>
      <c r="DF293" s="514"/>
      <c r="DG293" s="514"/>
      <c r="DH293" s="514"/>
      <c r="DJ293" s="478" t="str">
        <f>VLOOKUP(X293,Hoja1!$A$4:$B$10,2,0)</f>
        <v>BACHILLER</v>
      </c>
      <c r="DK293" s="478" t="str">
        <f>VLOOKUP(S293,Hoja1!$D$4:$F$77,3,0)</f>
        <v>BI</v>
      </c>
      <c r="DL293" s="1614" t="str">
        <f t="shared" si="668"/>
        <v>SI</v>
      </c>
      <c r="DM293" s="1743" t="str">
        <f t="shared" si="669"/>
        <v>F</v>
      </c>
      <c r="DN293" s="1743"/>
    </row>
    <row r="294" spans="1:118" s="478" customFormat="1" ht="21.95" customHeight="1">
      <c r="A294" s="510" t="s">
        <v>2846</v>
      </c>
      <c r="B294" s="1390">
        <f t="shared" ca="1" si="822"/>
        <v>252</v>
      </c>
      <c r="C294" s="1194">
        <v>27251899</v>
      </c>
      <c r="D294" s="1195" t="s">
        <v>6733</v>
      </c>
      <c r="E294" s="1180" t="s">
        <v>4622</v>
      </c>
      <c r="F294" s="1196">
        <v>36588</v>
      </c>
      <c r="G294" s="1180" t="s">
        <v>4620</v>
      </c>
      <c r="H294" s="1196">
        <v>45474</v>
      </c>
      <c r="I294" s="1185">
        <f t="shared" si="645"/>
        <v>0</v>
      </c>
      <c r="J294" s="1177">
        <v>0</v>
      </c>
      <c r="K294" s="1185">
        <f t="shared" si="646"/>
        <v>0</v>
      </c>
      <c r="L294" s="1402" t="s">
        <v>5539</v>
      </c>
      <c r="M294" s="1177"/>
      <c r="N294" s="1177"/>
      <c r="O294" s="1040" t="s">
        <v>5222</v>
      </c>
      <c r="P294" s="1197" t="s">
        <v>6734</v>
      </c>
      <c r="Q294" s="1391" t="str">
        <f>IFERROR(VLOOKUP(O294,CARGOS!A:E,2,0),"")</f>
        <v>79511</v>
      </c>
      <c r="R294" s="1403" t="s">
        <v>5222</v>
      </c>
      <c r="S294" s="1192" t="s">
        <v>5483</v>
      </c>
      <c r="T294" s="1150">
        <f>IFERROR(VLOOKUP(S294,'TAB EMP'!A:B,2,0),0)</f>
        <v>130</v>
      </c>
      <c r="U294" s="1151">
        <v>0</v>
      </c>
      <c r="V294" s="1150">
        <f t="shared" ref="V294:V295" si="881">T294-U294</f>
        <v>130</v>
      </c>
      <c r="W294" s="1151">
        <f t="shared" ref="W294:W295" si="882">ROUND(V294/2,2)</f>
        <v>65</v>
      </c>
      <c r="X294" s="1180" t="s">
        <v>2884</v>
      </c>
      <c r="Y294" s="1180"/>
      <c r="Z294" s="1180">
        <v>1</v>
      </c>
      <c r="AA294" s="1150">
        <f>ROUND(IF(H294&lt;&gt;"",VLOOKUP(SUM(I294+J294),'CONCEPTOS Y PARAMETROS'!F:G,2,0)*V294,0),2)</f>
        <v>0</v>
      </c>
      <c r="AB294" s="1150">
        <f>IF(S294&lt;&gt;"",IF(M294="",'CONCEPTOS Y PARAMETROS'!$C$4,0),0)</f>
        <v>130</v>
      </c>
      <c r="AC294" s="1150">
        <f>IF(S294&lt;&gt;"",IF(M294="",'CONCEPTOS Y PARAMETROS'!$C$7*Z294,0),0)</f>
        <v>12.5</v>
      </c>
      <c r="AD294" s="1150">
        <f>IFERROR(ROUND(VLOOKUP($X294,'CONCEPTOS Y PARAMETROS'!H:I,2,0)*($V294+AA294+AB294+AC294),2),0)</f>
        <v>0</v>
      </c>
      <c r="AE294" s="1150">
        <f t="shared" ref="AE294:AE295" si="883">SUM(AA294:AD294)</f>
        <v>142.5</v>
      </c>
      <c r="AF294" s="1150">
        <f t="shared" ref="AF294:AF295" si="884">ROUND(AA294/2,2)</f>
        <v>0</v>
      </c>
      <c r="AG294" s="1150">
        <f t="shared" ref="AG294:AG295" si="885">ROUND(AA294-AF294,2)</f>
        <v>0</v>
      </c>
      <c r="AH294" s="1150">
        <f t="shared" ref="AH294:AH295" si="886">ROUND(AB294/2,2)</f>
        <v>65</v>
      </c>
      <c r="AI294" s="1150">
        <f t="shared" ref="AI294:AI295" si="887">ROUND(AB294-AH294,2)</f>
        <v>65</v>
      </c>
      <c r="AJ294" s="1150">
        <f t="shared" ref="AJ294:AJ295" si="888">ROUND(AD294/2,2)</f>
        <v>0</v>
      </c>
      <c r="AK294" s="1150">
        <f t="shared" ref="AK294:AK295" si="889">ROUND(AD294-AJ294,2)</f>
        <v>0</v>
      </c>
      <c r="AL294" s="1151">
        <f t="shared" ref="AL294:AL295" si="890">ROUND(AF294+AH294+AJ294+AC294,2)</f>
        <v>77.5</v>
      </c>
      <c r="AM294" s="1151">
        <f t="shared" ref="AM294:AM295" si="891">ROUND(AG294+AI294+AK294,2)</f>
        <v>65</v>
      </c>
      <c r="AN294" s="1028">
        <v>0</v>
      </c>
      <c r="AO294" s="1193">
        <f>'CONCEPTOS Y PARAMETROS'!$C$18*AN294</f>
        <v>0</v>
      </c>
      <c r="AP294" s="1028">
        <v>0</v>
      </c>
      <c r="AQ294" s="1193">
        <f>'CONCEPTOS Y PARAMETROS'!$C$21*AP294</f>
        <v>0</v>
      </c>
      <c r="AR294" s="1394">
        <v>0</v>
      </c>
      <c r="AS294" s="1394">
        <v>0</v>
      </c>
      <c r="AT294" s="1394">
        <f t="shared" ref="AT294:AT295" si="892">+AO294+AQ294+AR294+AS294</f>
        <v>0</v>
      </c>
      <c r="AU294" s="1151">
        <f t="shared" ref="AU294:AU295" si="893">V294+AE294+AW294</f>
        <v>354.25</v>
      </c>
      <c r="AV294" s="1178" t="s">
        <v>5080</v>
      </c>
      <c r="AW294" s="1151">
        <f t="shared" ref="AW294:AW295" si="894">ROUND(IF(AV294="NOCTURN",(V294+AE294)*30%,0),2)</f>
        <v>81.75</v>
      </c>
      <c r="AX294" s="1150">
        <f>IF(T294&lt;&gt;"0",(ROUND(IF(A294="EMPLEADO",eval_formula('CONCEPTOS Y PARAMETROS'!$C$8,NOMINA!V294,NOMINA!$AU294,NOMINA!I294+NOMINA!J294),eval_formula('CONCEPTOS Y PARAMETROS'!$D$8,NOMINA!V294,NOMINA!$AU294,NOMINA!I294+NOMINA!J294)),2))*IF(H294&lt;&gt;"",IF(MONTH(H294)=$BR$8,IF(YEAR(H294)&lt;$BT$7,1,0),0)))</f>
        <v>0</v>
      </c>
      <c r="AY294" s="1151">
        <v>90</v>
      </c>
      <c r="AZ294" s="1150">
        <f>IFERROR(VLOOKUP(AY294,'CONCEPTOS Y PARAMETROS'!Y:Z,2,0),0)</f>
        <v>75</v>
      </c>
      <c r="BA294" s="1150">
        <f t="shared" ref="BA294:BA295" si="895">ROUND((((AU294))/30*AY294/12+(AU294))/30*AZ294,2)</f>
        <v>1107.03</v>
      </c>
      <c r="BB294" s="1150">
        <f t="shared" si="643"/>
        <v>0</v>
      </c>
      <c r="BC294" s="1028">
        <v>0</v>
      </c>
      <c r="BD294" s="1150" t="str">
        <f t="shared" ref="BD294:BD295" si="896">IF(BC294&gt;0,((((((V294+AA294+AB294+AC294+AD294)/30)/8)*50%)+((((V294+AA294+AB294+AC294+AD294)/30)/8)))*30%+(((((V294+AA294+AB294+AC294+AD294)/30)/8)*50%)+((((V294+AA294+AB294+AC294+AD294)/30)/8))))*BC294,"0")</f>
        <v>0</v>
      </c>
      <c r="BE294" s="1028">
        <v>4</v>
      </c>
      <c r="BF294" s="1150">
        <f t="shared" si="845"/>
        <v>70.849999999999994</v>
      </c>
      <c r="BG294" s="1151">
        <v>300</v>
      </c>
      <c r="BH294" s="1151">
        <f t="shared" si="647"/>
        <v>0</v>
      </c>
      <c r="BI294" s="1180">
        <v>0</v>
      </c>
      <c r="BJ294" s="1180">
        <f t="shared" si="642"/>
        <v>0</v>
      </c>
      <c r="BK294" s="1151">
        <v>0</v>
      </c>
      <c r="BL294" s="1150">
        <f t="shared" si="696"/>
        <v>13.08</v>
      </c>
      <c r="BM294" s="1150">
        <f t="shared" si="697"/>
        <v>1.64</v>
      </c>
      <c r="BN294" s="1150">
        <f t="shared" si="644"/>
        <v>3.54</v>
      </c>
      <c r="BO294" s="1150">
        <v>0</v>
      </c>
      <c r="BP294" s="1150">
        <v>0</v>
      </c>
      <c r="BQ294" s="1396">
        <f t="shared" ref="BQ294" si="897">ROUND(SUM(BL294:BP294),2)</f>
        <v>18.260000000000002</v>
      </c>
      <c r="BR294" s="1150">
        <f t="shared" si="699"/>
        <v>29.43</v>
      </c>
      <c r="BS294" s="1150">
        <f t="shared" si="700"/>
        <v>6.54</v>
      </c>
      <c r="BT294" s="1150">
        <f t="shared" si="649"/>
        <v>7.08</v>
      </c>
      <c r="BU294" s="1150">
        <v>0</v>
      </c>
      <c r="BV294" s="1151">
        <f t="shared" ref="BV294" si="898">ROUND(SUM(BR294:BT294),2)</f>
        <v>43.05</v>
      </c>
      <c r="BW294" s="1155">
        <f t="shared" ref="BW294:BW295" si="899">BQ294+BV294</f>
        <v>61.31</v>
      </c>
      <c r="BX294" s="1155">
        <f t="shared" si="823"/>
        <v>276.76</v>
      </c>
      <c r="BY294" s="1151">
        <v>0</v>
      </c>
      <c r="BZ294" s="1151">
        <f t="shared" si="641"/>
        <v>276.76</v>
      </c>
      <c r="CA294" s="1397">
        <f>'CONCEPTOS Y PARAMETROS'!$A$102</f>
        <v>2120</v>
      </c>
      <c r="CB294" s="1155">
        <f t="shared" si="652"/>
        <v>124.24</v>
      </c>
      <c r="CC294" s="1156">
        <f t="shared" si="653"/>
        <v>582.6</v>
      </c>
      <c r="CD294" s="514"/>
      <c r="CE294" s="514"/>
      <c r="CF294" s="521"/>
      <c r="CG294" s="511">
        <f t="shared" si="654"/>
        <v>124.24</v>
      </c>
      <c r="CH294" s="1712">
        <f t="shared" si="655"/>
        <v>300</v>
      </c>
      <c r="CI294" s="511">
        <f t="shared" si="656"/>
        <v>430</v>
      </c>
      <c r="CJ294" s="511">
        <f t="shared" si="657"/>
        <v>430</v>
      </c>
      <c r="CK294" s="511">
        <f t="shared" si="658"/>
        <v>0</v>
      </c>
      <c r="CL294" s="511">
        <f t="shared" si="659"/>
        <v>0</v>
      </c>
      <c r="CM294" s="511">
        <f t="shared" si="660"/>
        <v>0</v>
      </c>
      <c r="CN294" s="512">
        <f t="shared" si="661"/>
        <v>70.849999999999994</v>
      </c>
      <c r="CO294" s="513">
        <v>0</v>
      </c>
      <c r="CP294" s="512">
        <f t="shared" si="662"/>
        <v>81.75</v>
      </c>
      <c r="CQ294" s="1616">
        <f t="shared" si="663"/>
        <v>0</v>
      </c>
      <c r="CR294" s="512">
        <f t="shared" si="664"/>
        <v>0</v>
      </c>
      <c r="CS294" s="512">
        <f t="shared" si="665"/>
        <v>152.6</v>
      </c>
      <c r="CT294" s="512">
        <f t="shared" si="666"/>
        <v>61.31</v>
      </c>
      <c r="CU294" s="512">
        <f t="shared" si="667"/>
        <v>2120</v>
      </c>
      <c r="CV294" s="1556"/>
      <c r="CW294" s="1195" t="s">
        <v>6931</v>
      </c>
      <c r="CX294" s="1195" t="s">
        <v>6935</v>
      </c>
      <c r="CY294" s="514"/>
      <c r="CZ294" s="1199" t="s">
        <v>6735</v>
      </c>
      <c r="DA294" s="1199" t="s">
        <v>6241</v>
      </c>
      <c r="DB294" s="1199" t="s">
        <v>6237</v>
      </c>
      <c r="DC294" s="514" t="s">
        <v>6641</v>
      </c>
      <c r="DD294" s="514"/>
      <c r="DE294" s="514"/>
      <c r="DF294" s="514"/>
      <c r="DG294" s="514"/>
      <c r="DH294" s="514"/>
      <c r="DJ294" s="478" t="str">
        <f>VLOOKUP(X294,Hoja1!$A$4:$B$10,2,0)</f>
        <v>BACHILLER</v>
      </c>
      <c r="DK294" s="478" t="str">
        <f>VLOOKUP(S294,Hoja1!$D$4:$F$77,3,0)</f>
        <v>BI</v>
      </c>
      <c r="DL294" s="1614" t="str">
        <f t="shared" si="668"/>
        <v>SI</v>
      </c>
      <c r="DM294" s="1743" t="str">
        <f t="shared" si="669"/>
        <v>F</v>
      </c>
      <c r="DN294" s="1743"/>
    </row>
    <row r="295" spans="1:118" s="478" customFormat="1" ht="21.95" customHeight="1">
      <c r="A295" s="510" t="s">
        <v>2846</v>
      </c>
      <c r="B295" s="1390">
        <f t="shared" ca="1" si="822"/>
        <v>253</v>
      </c>
      <c r="C295" s="1194">
        <v>27363633</v>
      </c>
      <c r="D295" s="1195" t="s">
        <v>7380</v>
      </c>
      <c r="E295" s="1180" t="s">
        <v>4622</v>
      </c>
      <c r="F295" s="1196">
        <v>36733</v>
      </c>
      <c r="G295" s="1180" t="s">
        <v>4620</v>
      </c>
      <c r="H295" s="1196">
        <v>45627</v>
      </c>
      <c r="I295" s="1185">
        <f t="shared" si="645"/>
        <v>0</v>
      </c>
      <c r="J295" s="1177">
        <v>0</v>
      </c>
      <c r="K295" s="1185">
        <f t="shared" si="646"/>
        <v>0</v>
      </c>
      <c r="L295" s="1448" t="s">
        <v>5542</v>
      </c>
      <c r="M295" s="1177"/>
      <c r="N295" s="1177"/>
      <c r="O295" s="1040" t="s">
        <v>5222</v>
      </c>
      <c r="P295" s="1197" t="s">
        <v>7381</v>
      </c>
      <c r="Q295" s="1391" t="str">
        <f>IFERROR(VLOOKUP(O295,CARGOS!A:E,2,0),"")</f>
        <v>79511</v>
      </c>
      <c r="R295" s="1403" t="s">
        <v>5222</v>
      </c>
      <c r="S295" s="1192" t="s">
        <v>5483</v>
      </c>
      <c r="T295" s="1150">
        <f>IFERROR(VLOOKUP(S295,'TAB EMP'!A:B,2,0),0)</f>
        <v>130</v>
      </c>
      <c r="U295" s="1151">
        <v>0</v>
      </c>
      <c r="V295" s="1150">
        <f t="shared" si="881"/>
        <v>130</v>
      </c>
      <c r="W295" s="1151">
        <f t="shared" si="882"/>
        <v>65</v>
      </c>
      <c r="X295" s="1180" t="s">
        <v>2884</v>
      </c>
      <c r="Y295" s="1180"/>
      <c r="Z295" s="1180">
        <v>0</v>
      </c>
      <c r="AA295" s="1150">
        <f>ROUND(IF(H295&lt;&gt;"",VLOOKUP(SUM(I295+J295),'CONCEPTOS Y PARAMETROS'!F:G,2,0)*V295,0),2)</f>
        <v>0</v>
      </c>
      <c r="AB295" s="1150">
        <f>IF(S295&lt;&gt;"",IF(M295="",'CONCEPTOS Y PARAMETROS'!$C$4,0),0)</f>
        <v>130</v>
      </c>
      <c r="AC295" s="1150">
        <f>IF(S295&lt;&gt;"",IF(M295="",'CONCEPTOS Y PARAMETROS'!$C$7*Z295,0),0)</f>
        <v>0</v>
      </c>
      <c r="AD295" s="1150">
        <f>IFERROR(ROUND(VLOOKUP($X295,'CONCEPTOS Y PARAMETROS'!H:I,2,0)*($V295+AA295+AB295+AC295),2),0)</f>
        <v>0</v>
      </c>
      <c r="AE295" s="1150">
        <f t="shared" si="883"/>
        <v>130</v>
      </c>
      <c r="AF295" s="1150">
        <f t="shared" si="884"/>
        <v>0</v>
      </c>
      <c r="AG295" s="1150">
        <f t="shared" si="885"/>
        <v>0</v>
      </c>
      <c r="AH295" s="1150">
        <f t="shared" si="886"/>
        <v>65</v>
      </c>
      <c r="AI295" s="1150">
        <f t="shared" si="887"/>
        <v>65</v>
      </c>
      <c r="AJ295" s="1150">
        <f t="shared" si="888"/>
        <v>0</v>
      </c>
      <c r="AK295" s="1150">
        <f t="shared" si="889"/>
        <v>0</v>
      </c>
      <c r="AL295" s="1151">
        <f t="shared" si="890"/>
        <v>65</v>
      </c>
      <c r="AM295" s="1151">
        <f t="shared" si="891"/>
        <v>65</v>
      </c>
      <c r="AN295" s="1028">
        <v>0</v>
      </c>
      <c r="AO295" s="1193">
        <f>'CONCEPTOS Y PARAMETROS'!$C$18*AN295</f>
        <v>0</v>
      </c>
      <c r="AP295" s="1028">
        <v>0</v>
      </c>
      <c r="AQ295" s="1193">
        <f>'CONCEPTOS Y PARAMETROS'!$C$21*AP295</f>
        <v>0</v>
      </c>
      <c r="AR295" s="1394">
        <v>0</v>
      </c>
      <c r="AS295" s="1394">
        <v>0</v>
      </c>
      <c r="AT295" s="1394">
        <f t="shared" si="892"/>
        <v>0</v>
      </c>
      <c r="AU295" s="1151">
        <f t="shared" si="893"/>
        <v>338</v>
      </c>
      <c r="AV295" s="1178" t="s">
        <v>5080</v>
      </c>
      <c r="AW295" s="1151">
        <f t="shared" si="894"/>
        <v>78</v>
      </c>
      <c r="AX295" s="1150">
        <f>IF(T295&lt;&gt;"0",(ROUND(IF(A295="EMPLEADO",eval_formula('CONCEPTOS Y PARAMETROS'!$C$8,NOMINA!V295,NOMINA!$AU295,NOMINA!I295+NOMINA!J295),eval_formula('CONCEPTOS Y PARAMETROS'!$D$8,NOMINA!V295,NOMINA!$AU295,NOMINA!I295+NOMINA!J295)),2))*IF(H295&lt;&gt;"",IF(MONTH(H295)=$BR$8,IF(YEAR(H295)&lt;$BT$7,1,0),0)))</f>
        <v>0</v>
      </c>
      <c r="AY295" s="1151">
        <v>15</v>
      </c>
      <c r="AZ295" s="1150">
        <f>IFERROR(VLOOKUP(AY295,'CONCEPTOS Y PARAMETROS'!Y:Z,2,0),0)</f>
        <v>12.5</v>
      </c>
      <c r="BA295" s="1150">
        <f t="shared" si="895"/>
        <v>146.69999999999999</v>
      </c>
      <c r="BB295" s="1150">
        <f t="shared" ref="BB295" si="900">ROUND(AU295/30*$BB$10,2)</f>
        <v>0</v>
      </c>
      <c r="BC295" s="1028">
        <v>0</v>
      </c>
      <c r="BD295" s="1150" t="str">
        <f t="shared" si="896"/>
        <v>0</v>
      </c>
      <c r="BE295" s="1028">
        <v>6</v>
      </c>
      <c r="BF295" s="1150">
        <f t="shared" si="845"/>
        <v>101.4</v>
      </c>
      <c r="BG295" s="1151">
        <v>300</v>
      </c>
      <c r="BH295" s="1151">
        <f t="shared" si="647"/>
        <v>0</v>
      </c>
      <c r="BI295" s="1180">
        <v>0</v>
      </c>
      <c r="BJ295" s="1180">
        <f t="shared" si="642"/>
        <v>0</v>
      </c>
      <c r="BK295" s="1151">
        <v>0</v>
      </c>
      <c r="BL295" s="1150">
        <f t="shared" si="696"/>
        <v>12.48</v>
      </c>
      <c r="BM295" s="1150">
        <f t="shared" si="697"/>
        <v>1.56</v>
      </c>
      <c r="BN295" s="1150">
        <f t="shared" si="644"/>
        <v>3.38</v>
      </c>
      <c r="BO295" s="1150">
        <v>0</v>
      </c>
      <c r="BP295" s="1150">
        <v>0</v>
      </c>
      <c r="BQ295" s="1151">
        <f t="shared" ref="BQ295" si="901">ROUND(SUM(BL295:BP295),2)</f>
        <v>17.420000000000002</v>
      </c>
      <c r="BR295" s="1150">
        <f t="shared" si="699"/>
        <v>28.08</v>
      </c>
      <c r="BS295" s="1150">
        <f t="shared" si="700"/>
        <v>6.24</v>
      </c>
      <c r="BT295" s="1150">
        <f t="shared" si="649"/>
        <v>6.76</v>
      </c>
      <c r="BU295" s="1150">
        <v>0</v>
      </c>
      <c r="BV295" s="1151">
        <f t="shared" ref="BV295" si="902">ROUND(SUM(BR295:BT295),2)</f>
        <v>41.08</v>
      </c>
      <c r="BW295" s="1155">
        <f t="shared" si="899"/>
        <v>58.5</v>
      </c>
      <c r="BX295" s="1155">
        <f>ROUND(BA295/1,2)</f>
        <v>146.69999999999999</v>
      </c>
      <c r="BY295" s="1151">
        <v>0</v>
      </c>
      <c r="BZ295" s="1151">
        <f t="shared" ref="BZ295" si="903">+BX295+BY295</f>
        <v>146.69999999999999</v>
      </c>
      <c r="CA295" s="1397">
        <f>'CONCEPTOS Y PARAMETROS'!$A$102</f>
        <v>2120</v>
      </c>
      <c r="CB295" s="1155">
        <f t="shared" si="652"/>
        <v>112.58</v>
      </c>
      <c r="CC295" s="1156">
        <f t="shared" si="653"/>
        <v>609.4</v>
      </c>
      <c r="CD295" s="1582"/>
      <c r="CE295" s="514"/>
      <c r="CF295" s="521"/>
      <c r="CG295" s="511">
        <f t="shared" si="654"/>
        <v>112.58</v>
      </c>
      <c r="CH295" s="1712">
        <f t="shared" si="655"/>
        <v>300</v>
      </c>
      <c r="CI295" s="511">
        <f t="shared" si="656"/>
        <v>430</v>
      </c>
      <c r="CJ295" s="511">
        <f t="shared" si="657"/>
        <v>430</v>
      </c>
      <c r="CK295" s="511">
        <f t="shared" si="658"/>
        <v>0</v>
      </c>
      <c r="CL295" s="511">
        <f t="shared" si="659"/>
        <v>0</v>
      </c>
      <c r="CM295" s="511">
        <f t="shared" si="660"/>
        <v>0</v>
      </c>
      <c r="CN295" s="512">
        <f t="shared" si="661"/>
        <v>101.4</v>
      </c>
      <c r="CO295" s="513">
        <v>0</v>
      </c>
      <c r="CP295" s="512">
        <f t="shared" si="662"/>
        <v>78</v>
      </c>
      <c r="CQ295" s="1616">
        <f t="shared" si="663"/>
        <v>0</v>
      </c>
      <c r="CR295" s="512">
        <f t="shared" si="664"/>
        <v>0</v>
      </c>
      <c r="CS295" s="512">
        <f t="shared" si="665"/>
        <v>179.4</v>
      </c>
      <c r="CT295" s="512">
        <f t="shared" si="666"/>
        <v>58.5</v>
      </c>
      <c r="CU295" s="512">
        <f t="shared" si="667"/>
        <v>2120</v>
      </c>
      <c r="CV295" s="1556"/>
      <c r="CW295" s="1195" t="s">
        <v>7382</v>
      </c>
      <c r="CX295" s="1195" t="s">
        <v>7383</v>
      </c>
      <c r="CY295" s="514"/>
      <c r="CZ295" s="1199" t="s">
        <v>7384</v>
      </c>
      <c r="DA295" s="514"/>
      <c r="DB295" s="514"/>
      <c r="DC295" s="514"/>
      <c r="DD295" s="514"/>
      <c r="DE295" s="514"/>
      <c r="DF295" s="514"/>
      <c r="DG295" s="514"/>
      <c r="DH295" s="514"/>
      <c r="DJ295" s="478" t="str">
        <f>VLOOKUP(X295,Hoja1!$A$4:$B$10,2,0)</f>
        <v>BACHILLER</v>
      </c>
      <c r="DK295" s="478" t="str">
        <f>VLOOKUP(S295,Hoja1!$D$4:$F$77,3,0)</f>
        <v>BI</v>
      </c>
      <c r="DL295" s="1614" t="str">
        <f t="shared" si="668"/>
        <v>SI</v>
      </c>
      <c r="DM295" s="1743" t="str">
        <f t="shared" si="669"/>
        <v>F</v>
      </c>
      <c r="DN295" s="1743"/>
    </row>
    <row r="296" spans="1:118" s="1654" customFormat="1" ht="21.95" customHeight="1">
      <c r="A296" s="1624" t="s">
        <v>2846</v>
      </c>
      <c r="B296" s="1625">
        <f t="shared" ca="1" si="822"/>
        <v>254</v>
      </c>
      <c r="C296" s="1626">
        <v>27415737</v>
      </c>
      <c r="D296" s="1627" t="s">
        <v>4922</v>
      </c>
      <c r="E296" s="1628" t="s">
        <v>4622</v>
      </c>
      <c r="F296" s="1629">
        <v>36242</v>
      </c>
      <c r="G296" s="1628" t="s">
        <v>4620</v>
      </c>
      <c r="H296" s="1629">
        <v>44363</v>
      </c>
      <c r="I296" s="1630">
        <f t="shared" si="645"/>
        <v>3</v>
      </c>
      <c r="J296" s="1631">
        <v>0</v>
      </c>
      <c r="K296" s="1630">
        <f t="shared" si="646"/>
        <v>3</v>
      </c>
      <c r="L296" s="1632" t="s">
        <v>5559</v>
      </c>
      <c r="M296" s="1631"/>
      <c r="N296" s="1631"/>
      <c r="O296" s="1633" t="s">
        <v>7422</v>
      </c>
      <c r="P296" s="1631" t="s">
        <v>5460</v>
      </c>
      <c r="Q296" s="1634" t="str">
        <f>IFERROR(VLOOKUP(O296,CARGOS!A:E,2,0),"")</f>
        <v>12112</v>
      </c>
      <c r="R296" s="1635" t="s">
        <v>7422</v>
      </c>
      <c r="S296" s="1636" t="s">
        <v>5490</v>
      </c>
      <c r="T296" s="1637">
        <f>IFERROR(VLOOKUP(S296,'TAB EMP'!A:B,2,0),0)</f>
        <v>150</v>
      </c>
      <c r="U296" s="1638">
        <v>0</v>
      </c>
      <c r="V296" s="1637">
        <f t="shared" si="739"/>
        <v>150</v>
      </c>
      <c r="W296" s="1638">
        <f t="shared" si="740"/>
        <v>75</v>
      </c>
      <c r="X296" s="1628" t="s">
        <v>2884</v>
      </c>
      <c r="Y296" s="1628"/>
      <c r="Z296" s="1628">
        <v>1</v>
      </c>
      <c r="AA296" s="1637">
        <f>ROUND(IF(H296&lt;&gt;"",VLOOKUP(SUM(I296+J296),'CONCEPTOS Y PARAMETROS'!F:G,2,0)*V296,0),2)</f>
        <v>4.5</v>
      </c>
      <c r="AB296" s="1637">
        <f>IF(S296&lt;&gt;"",IF(M296="",'CONCEPTOS Y PARAMETROS'!$C$4,0),0)</f>
        <v>130</v>
      </c>
      <c r="AC296" s="1637">
        <f>IF(S296&lt;&gt;"",IF(M296="",'CONCEPTOS Y PARAMETROS'!$C$7*Z296,0),0)</f>
        <v>12.5</v>
      </c>
      <c r="AD296" s="1637">
        <f>IFERROR(ROUND(VLOOKUP($X296,'CONCEPTOS Y PARAMETROS'!H:I,2,0)*($V296+AA296+AB296+AC296),2),0)</f>
        <v>0</v>
      </c>
      <c r="AE296" s="1637">
        <f t="shared" si="701"/>
        <v>147</v>
      </c>
      <c r="AF296" s="1637">
        <f t="shared" si="741"/>
        <v>2.25</v>
      </c>
      <c r="AG296" s="1637">
        <f t="shared" si="742"/>
        <v>2.25</v>
      </c>
      <c r="AH296" s="1637">
        <f t="shared" si="743"/>
        <v>65</v>
      </c>
      <c r="AI296" s="1637">
        <f t="shared" si="744"/>
        <v>65</v>
      </c>
      <c r="AJ296" s="1637">
        <f t="shared" si="745"/>
        <v>0</v>
      </c>
      <c r="AK296" s="1637">
        <f t="shared" si="746"/>
        <v>0</v>
      </c>
      <c r="AL296" s="1638">
        <f t="shared" si="747"/>
        <v>79.75</v>
      </c>
      <c r="AM296" s="1638">
        <f t="shared" si="748"/>
        <v>67.25</v>
      </c>
      <c r="AN296" s="1639">
        <v>0</v>
      </c>
      <c r="AO296" s="1640">
        <f>'CONCEPTOS Y PARAMETROS'!$C$18*AN296</f>
        <v>0</v>
      </c>
      <c r="AP296" s="1639">
        <v>0</v>
      </c>
      <c r="AQ296" s="1640">
        <f>'CONCEPTOS Y PARAMETROS'!$C$21*AP296</f>
        <v>0</v>
      </c>
      <c r="AR296" s="1641">
        <v>0</v>
      </c>
      <c r="AS296" s="1641">
        <v>12.5</v>
      </c>
      <c r="AT296" s="1641">
        <f t="shared" si="824"/>
        <v>12.5</v>
      </c>
      <c r="AU296" s="1638">
        <f t="shared" si="749"/>
        <v>297</v>
      </c>
      <c r="AV296" s="1642">
        <v>0</v>
      </c>
      <c r="AW296" s="1638">
        <f t="shared" si="826"/>
        <v>0</v>
      </c>
      <c r="AX296" s="1637">
        <f>IF(T296&lt;&gt;"0",(ROUND(IF(A296="EMPLEADO",eval_formula('CONCEPTOS Y PARAMETROS'!$C$8,NOMINA!V296,NOMINA!$AU296,NOMINA!I296+NOMINA!J296),eval_formula('CONCEPTOS Y PARAMETROS'!$D$8,NOMINA!V296,NOMINA!$AU296,NOMINA!I296+NOMINA!J296)),2))*IF(H296&lt;&gt;"",IF(MONTH(H296)=$BR$8,IF(YEAR(H296)&lt;$BT$7,1,0),0)))</f>
        <v>0</v>
      </c>
      <c r="AY296" s="1638">
        <v>180</v>
      </c>
      <c r="AZ296" s="1637">
        <f>IFERROR(VLOOKUP(AY296,'CONCEPTOS Y PARAMETROS'!Y:Z,2,0),0)</f>
        <v>150</v>
      </c>
      <c r="BA296" s="1637">
        <f t="shared" si="750"/>
        <v>2227.5</v>
      </c>
      <c r="BB296" s="1637">
        <f t="shared" si="643"/>
        <v>0</v>
      </c>
      <c r="BC296" s="1639">
        <v>0</v>
      </c>
      <c r="BD296" s="1637" t="str">
        <f t="shared" si="751"/>
        <v>0</v>
      </c>
      <c r="BE296" s="1639">
        <v>0</v>
      </c>
      <c r="BF296" s="1637">
        <f t="shared" si="845"/>
        <v>0</v>
      </c>
      <c r="BG296" s="1638">
        <v>300</v>
      </c>
      <c r="BH296" s="1638">
        <f t="shared" si="647"/>
        <v>0</v>
      </c>
      <c r="BI296" s="1628">
        <v>0</v>
      </c>
      <c r="BJ296" s="1628">
        <f t="shared" si="642"/>
        <v>0</v>
      </c>
      <c r="BK296" s="1638">
        <v>0</v>
      </c>
      <c r="BL296" s="1637">
        <f t="shared" si="696"/>
        <v>10.97</v>
      </c>
      <c r="BM296" s="1637">
        <f t="shared" si="697"/>
        <v>1.37</v>
      </c>
      <c r="BN296" s="1637">
        <f t="shared" si="644"/>
        <v>2.97</v>
      </c>
      <c r="BO296" s="1637">
        <v>0</v>
      </c>
      <c r="BP296" s="1637">
        <v>0</v>
      </c>
      <c r="BQ296" s="1643">
        <f t="shared" si="677"/>
        <v>15.31</v>
      </c>
      <c r="BR296" s="1637">
        <f t="shared" si="699"/>
        <v>24.67</v>
      </c>
      <c r="BS296" s="1637">
        <f t="shared" si="700"/>
        <v>5.48</v>
      </c>
      <c r="BT296" s="1637">
        <f t="shared" si="649"/>
        <v>5.94</v>
      </c>
      <c r="BU296" s="1637">
        <v>0</v>
      </c>
      <c r="BV296" s="1638">
        <f t="shared" si="678"/>
        <v>36.090000000000003</v>
      </c>
      <c r="BW296" s="1644">
        <f t="shared" si="679"/>
        <v>51.400000000000006</v>
      </c>
      <c r="BX296" s="1644">
        <f t="shared" ref="BX296:BX309" si="904">ROUND(BA296/4,2)</f>
        <v>556.88</v>
      </c>
      <c r="BY296" s="1638">
        <v>0</v>
      </c>
      <c r="BZ296" s="1638">
        <f t="shared" si="641"/>
        <v>556.88</v>
      </c>
      <c r="CA296" s="1645">
        <f>'CONCEPTOS Y PARAMETROS'!$A$102</f>
        <v>2120</v>
      </c>
      <c r="CB296" s="1644">
        <f t="shared" si="652"/>
        <v>139.44</v>
      </c>
      <c r="CC296" s="1646">
        <f t="shared" si="653"/>
        <v>454.75</v>
      </c>
      <c r="CD296" s="1647"/>
      <c r="CE296" s="1647"/>
      <c r="CF296" s="1648"/>
      <c r="CG296" s="1649">
        <f t="shared" si="654"/>
        <v>139.44</v>
      </c>
      <c r="CH296" s="1713">
        <f t="shared" si="655"/>
        <v>300</v>
      </c>
      <c r="CI296" s="1649">
        <f t="shared" si="656"/>
        <v>442.25</v>
      </c>
      <c r="CJ296" s="1649">
        <f t="shared" si="657"/>
        <v>442.25</v>
      </c>
      <c r="CK296" s="1649">
        <f t="shared" si="658"/>
        <v>0</v>
      </c>
      <c r="CL296" s="1649">
        <f t="shared" si="659"/>
        <v>0</v>
      </c>
      <c r="CM296" s="1649">
        <f t="shared" si="660"/>
        <v>0</v>
      </c>
      <c r="CN296" s="1650">
        <f t="shared" si="661"/>
        <v>0</v>
      </c>
      <c r="CO296" s="1651">
        <v>0</v>
      </c>
      <c r="CP296" s="1650">
        <f t="shared" si="662"/>
        <v>0</v>
      </c>
      <c r="CQ296" s="1652">
        <f t="shared" si="663"/>
        <v>12.5</v>
      </c>
      <c r="CR296" s="1650">
        <f t="shared" si="664"/>
        <v>0</v>
      </c>
      <c r="CS296" s="1650">
        <f t="shared" si="665"/>
        <v>12.5</v>
      </c>
      <c r="CT296" s="1650">
        <f t="shared" si="666"/>
        <v>51.400000000000006</v>
      </c>
      <c r="CU296" s="1650">
        <f t="shared" si="667"/>
        <v>2120</v>
      </c>
      <c r="CV296" s="1653"/>
      <c r="CW296" s="1627" t="s">
        <v>7014</v>
      </c>
      <c r="CX296" s="1627" t="s">
        <v>7165</v>
      </c>
      <c r="CY296" s="1647"/>
      <c r="CZ296" s="1647" t="s">
        <v>6482</v>
      </c>
      <c r="DA296" s="1647" t="s">
        <v>6173</v>
      </c>
      <c r="DB296" s="1647" t="s">
        <v>6202</v>
      </c>
      <c r="DC296" s="1647" t="s">
        <v>6271</v>
      </c>
      <c r="DD296" s="1647"/>
      <c r="DE296" s="1647"/>
      <c r="DF296" s="1647"/>
      <c r="DG296" s="1647"/>
      <c r="DH296" s="1647"/>
      <c r="DJ296" s="1654" t="str">
        <f>VLOOKUP(X296,Hoja1!$A$4:$B$10,2,0)</f>
        <v>BACHILLER</v>
      </c>
      <c r="DK296" s="1654" t="str">
        <f>VLOOKUP(S296,Hoja1!$D$4:$F$77,3,0)</f>
        <v>BII - II</v>
      </c>
      <c r="DL296" s="1663" t="str">
        <f t="shared" si="668"/>
        <v>0</v>
      </c>
      <c r="DM296" s="1742" t="str">
        <f t="shared" si="669"/>
        <v>F</v>
      </c>
      <c r="DN296" s="1742"/>
    </row>
    <row r="297" spans="1:118" s="473" customFormat="1" ht="21.95" customHeight="1">
      <c r="A297" s="510" t="s">
        <v>2846</v>
      </c>
      <c r="B297" s="1390">
        <f t="shared" ca="1" si="822"/>
        <v>255</v>
      </c>
      <c r="C297" s="1194">
        <v>27415888</v>
      </c>
      <c r="D297" s="1195" t="s">
        <v>4923</v>
      </c>
      <c r="E297" s="1180" t="s">
        <v>4622</v>
      </c>
      <c r="F297" s="1196">
        <v>36636</v>
      </c>
      <c r="G297" s="1180" t="s">
        <v>4621</v>
      </c>
      <c r="H297" s="1196">
        <v>44713</v>
      </c>
      <c r="I297" s="1185">
        <f t="shared" si="645"/>
        <v>2</v>
      </c>
      <c r="J297" s="1177">
        <v>3</v>
      </c>
      <c r="K297" s="1185">
        <f t="shared" si="646"/>
        <v>5</v>
      </c>
      <c r="L297" s="1191" t="s">
        <v>5554</v>
      </c>
      <c r="M297" s="1177"/>
      <c r="N297" s="1177"/>
      <c r="O297" s="1040" t="s">
        <v>5270</v>
      </c>
      <c r="P297" s="1177" t="s">
        <v>5461</v>
      </c>
      <c r="Q297" s="1391" t="str">
        <f>IFERROR(VLOOKUP(O297,CARGOS!A:E,2,0),"")</f>
        <v>34232</v>
      </c>
      <c r="R297" s="1403" t="s">
        <v>5270</v>
      </c>
      <c r="S297" s="1192" t="s">
        <v>5490</v>
      </c>
      <c r="T297" s="1150">
        <f>IFERROR(VLOOKUP(S297,'TAB EMP'!A:B,2,0),0)</f>
        <v>150</v>
      </c>
      <c r="U297" s="1151">
        <v>0</v>
      </c>
      <c r="V297" s="1150">
        <f t="shared" si="739"/>
        <v>150</v>
      </c>
      <c r="W297" s="1151">
        <f t="shared" si="740"/>
        <v>75</v>
      </c>
      <c r="X297" s="1180" t="s">
        <v>2884</v>
      </c>
      <c r="Y297" s="1180"/>
      <c r="Z297" s="1180">
        <v>0</v>
      </c>
      <c r="AA297" s="1150">
        <f>ROUND(IF(H297&lt;&gt;"",VLOOKUP(SUM(I297+J297),'CONCEPTOS Y PARAMETROS'!F:G,2,0)*V297,0),2)</f>
        <v>7.5</v>
      </c>
      <c r="AB297" s="1150">
        <f>IF(S297&lt;&gt;"",IF(M297="",'CONCEPTOS Y PARAMETROS'!$C$4,0),0)</f>
        <v>130</v>
      </c>
      <c r="AC297" s="1150">
        <f>IF(S297&lt;&gt;"",IF(M297="",'CONCEPTOS Y PARAMETROS'!$C$7*Z297,0),0)</f>
        <v>0</v>
      </c>
      <c r="AD297" s="1150">
        <f>IFERROR(ROUND(VLOOKUP($X297,'CONCEPTOS Y PARAMETROS'!H:I,2,0)*($V297+AA297+AB297+AC297),2),0)</f>
        <v>0</v>
      </c>
      <c r="AE297" s="1150">
        <f t="shared" si="701"/>
        <v>137.5</v>
      </c>
      <c r="AF297" s="1150">
        <f t="shared" si="741"/>
        <v>3.75</v>
      </c>
      <c r="AG297" s="1150">
        <f t="shared" si="742"/>
        <v>3.75</v>
      </c>
      <c r="AH297" s="1150">
        <f t="shared" si="743"/>
        <v>65</v>
      </c>
      <c r="AI297" s="1150">
        <f t="shared" si="744"/>
        <v>65</v>
      </c>
      <c r="AJ297" s="1150">
        <f t="shared" si="745"/>
        <v>0</v>
      </c>
      <c r="AK297" s="1150">
        <f t="shared" si="746"/>
        <v>0</v>
      </c>
      <c r="AL297" s="1151">
        <f t="shared" si="747"/>
        <v>68.75</v>
      </c>
      <c r="AM297" s="1151">
        <f t="shared" si="748"/>
        <v>68.75</v>
      </c>
      <c r="AN297" s="1028">
        <v>0</v>
      </c>
      <c r="AO297" s="1193">
        <f>'CONCEPTOS Y PARAMETROS'!$C$18*AN297</f>
        <v>0</v>
      </c>
      <c r="AP297" s="1028">
        <v>0</v>
      </c>
      <c r="AQ297" s="1193">
        <f>'CONCEPTOS Y PARAMETROS'!$C$21*AP297</f>
        <v>0</v>
      </c>
      <c r="AR297" s="1394">
        <v>0</v>
      </c>
      <c r="AS297" s="1394">
        <v>0</v>
      </c>
      <c r="AT297" s="1394">
        <f t="shared" si="824"/>
        <v>0</v>
      </c>
      <c r="AU297" s="1151">
        <f t="shared" si="749"/>
        <v>287.5</v>
      </c>
      <c r="AV297" s="1178">
        <v>0</v>
      </c>
      <c r="AW297" s="1151">
        <f t="shared" si="826"/>
        <v>0</v>
      </c>
      <c r="AX297" s="1150">
        <f>IF(T297&lt;&gt;"0",(ROUND(IF(A297="EMPLEADO",eval_formula('CONCEPTOS Y PARAMETROS'!$C$8,NOMINA!V297,NOMINA!$AU297,NOMINA!I297+NOMINA!J297),eval_formula('CONCEPTOS Y PARAMETROS'!$D$8,NOMINA!V297,NOMINA!$AU297,NOMINA!I297+NOMINA!J297)),2))*IF(H297&lt;&gt;"",IF(MONTH(H297)=$BR$8,IF(YEAR(H297)&lt;$BT$7,1,0),0)))</f>
        <v>0</v>
      </c>
      <c r="AY297" s="1151">
        <v>180</v>
      </c>
      <c r="AZ297" s="1150">
        <f>IFERROR(VLOOKUP(AY297,'CONCEPTOS Y PARAMETROS'!Y:Z,2,0),0)</f>
        <v>150</v>
      </c>
      <c r="BA297" s="1150">
        <f t="shared" si="750"/>
        <v>2156.25</v>
      </c>
      <c r="BB297" s="1150">
        <f t="shared" si="643"/>
        <v>0</v>
      </c>
      <c r="BC297" s="1028">
        <v>0</v>
      </c>
      <c r="BD297" s="1150" t="str">
        <f t="shared" si="751"/>
        <v>0</v>
      </c>
      <c r="BE297" s="1028">
        <v>0</v>
      </c>
      <c r="BF297" s="1150">
        <f t="shared" si="845"/>
        <v>0</v>
      </c>
      <c r="BG297" s="1151">
        <v>300</v>
      </c>
      <c r="BH297" s="1151">
        <f t="shared" si="647"/>
        <v>0</v>
      </c>
      <c r="BI297" s="1180">
        <v>0</v>
      </c>
      <c r="BJ297" s="1180">
        <f t="shared" si="642"/>
        <v>0</v>
      </c>
      <c r="BK297" s="1151">
        <v>0</v>
      </c>
      <c r="BL297" s="1150">
        <f t="shared" si="696"/>
        <v>10.62</v>
      </c>
      <c r="BM297" s="1150">
        <f t="shared" si="697"/>
        <v>1.33</v>
      </c>
      <c r="BN297" s="1150">
        <f t="shared" si="644"/>
        <v>2.88</v>
      </c>
      <c r="BO297" s="1150">
        <v>0</v>
      </c>
      <c r="BP297" s="1150">
        <v>0</v>
      </c>
      <c r="BQ297" s="1396">
        <f t="shared" si="677"/>
        <v>14.83</v>
      </c>
      <c r="BR297" s="1150">
        <f t="shared" si="699"/>
        <v>23.88</v>
      </c>
      <c r="BS297" s="1150">
        <f t="shared" si="700"/>
        <v>5.31</v>
      </c>
      <c r="BT297" s="1150">
        <f t="shared" si="649"/>
        <v>5.76</v>
      </c>
      <c r="BU297" s="1150">
        <v>0</v>
      </c>
      <c r="BV297" s="1151">
        <f t="shared" si="678"/>
        <v>34.950000000000003</v>
      </c>
      <c r="BW297" s="1155">
        <f t="shared" si="679"/>
        <v>49.78</v>
      </c>
      <c r="BX297" s="1155">
        <f t="shared" si="904"/>
        <v>539.05999999999995</v>
      </c>
      <c r="BY297" s="1151">
        <v>0</v>
      </c>
      <c r="BZ297" s="1151">
        <f t="shared" ref="BZ297:BZ309" si="905">+BX297+BY297</f>
        <v>539.05999999999995</v>
      </c>
      <c r="CA297" s="1397">
        <f>'CONCEPTOS Y PARAMETROS'!$A$102</f>
        <v>2120</v>
      </c>
      <c r="CB297" s="1155">
        <f t="shared" si="652"/>
        <v>128.91999999999999</v>
      </c>
      <c r="CC297" s="1156">
        <f t="shared" si="653"/>
        <v>443.75</v>
      </c>
      <c r="CD297" s="514"/>
      <c r="CE297" s="514"/>
      <c r="CF297" s="520"/>
      <c r="CG297" s="497">
        <f t="shared" si="654"/>
        <v>128.91999999999999</v>
      </c>
      <c r="CH297" s="1711">
        <f t="shared" si="655"/>
        <v>300</v>
      </c>
      <c r="CI297" s="497">
        <f t="shared" si="656"/>
        <v>443.75</v>
      </c>
      <c r="CJ297" s="497">
        <f t="shared" si="657"/>
        <v>443.75</v>
      </c>
      <c r="CK297" s="497">
        <f t="shared" si="658"/>
        <v>0</v>
      </c>
      <c r="CL297" s="497">
        <f t="shared" si="659"/>
        <v>0</v>
      </c>
      <c r="CM297" s="497">
        <f t="shared" si="660"/>
        <v>0</v>
      </c>
      <c r="CN297" s="498">
        <f t="shared" si="661"/>
        <v>0</v>
      </c>
      <c r="CO297" s="499">
        <v>0</v>
      </c>
      <c r="CP297" s="498">
        <f t="shared" si="662"/>
        <v>0</v>
      </c>
      <c r="CQ297" s="500">
        <f t="shared" si="663"/>
        <v>0</v>
      </c>
      <c r="CR297" s="498">
        <f t="shared" si="664"/>
        <v>0</v>
      </c>
      <c r="CS297" s="498">
        <f t="shared" si="665"/>
        <v>0</v>
      </c>
      <c r="CT297" s="498">
        <f t="shared" si="666"/>
        <v>49.78</v>
      </c>
      <c r="CU297" s="498">
        <f t="shared" si="667"/>
        <v>2120</v>
      </c>
      <c r="CV297" s="1554"/>
      <c r="CW297" s="1195" t="s">
        <v>7007</v>
      </c>
      <c r="CX297" s="1195" t="s">
        <v>6944</v>
      </c>
      <c r="CY297" s="472"/>
      <c r="CZ297" s="514" t="s">
        <v>6405</v>
      </c>
      <c r="DA297" s="514" t="s">
        <v>6196</v>
      </c>
      <c r="DB297" s="514" t="s">
        <v>6260</v>
      </c>
      <c r="DC297" s="514" t="s">
        <v>6408</v>
      </c>
      <c r="DD297" s="514"/>
      <c r="DE297" s="514"/>
      <c r="DF297" s="472"/>
      <c r="DG297" s="472"/>
      <c r="DH297" s="472"/>
      <c r="DJ297" s="473" t="str">
        <f>VLOOKUP(X297,Hoja1!$A$4:$B$10,2,0)</f>
        <v>BACHILLER</v>
      </c>
      <c r="DK297" s="473" t="str">
        <f>VLOOKUP(S297,Hoja1!$D$4:$F$77,3,0)</f>
        <v>BII - II</v>
      </c>
      <c r="DL297" s="1216" t="str">
        <f t="shared" si="668"/>
        <v>0</v>
      </c>
      <c r="DM297" s="1741" t="str">
        <f t="shared" si="669"/>
        <v>M</v>
      </c>
      <c r="DN297" s="1741"/>
    </row>
    <row r="298" spans="1:118" s="473" customFormat="1" ht="21.95" customHeight="1">
      <c r="A298" s="510" t="s">
        <v>2846</v>
      </c>
      <c r="B298" s="1390">
        <f t="shared" ca="1" si="822"/>
        <v>256</v>
      </c>
      <c r="C298" s="1488">
        <v>27628603</v>
      </c>
      <c r="D298" s="1195" t="s">
        <v>5784</v>
      </c>
      <c r="E298" s="1180" t="s">
        <v>4622</v>
      </c>
      <c r="F298" s="1196">
        <v>36695</v>
      </c>
      <c r="G298" s="1180" t="s">
        <v>4620</v>
      </c>
      <c r="H298" s="1196">
        <v>45139</v>
      </c>
      <c r="I298" s="1185">
        <f t="shared" si="645"/>
        <v>1</v>
      </c>
      <c r="J298" s="1177">
        <v>0</v>
      </c>
      <c r="K298" s="1185">
        <f t="shared" si="646"/>
        <v>1</v>
      </c>
      <c r="L298" s="1191" t="s">
        <v>6835</v>
      </c>
      <c r="M298" s="1177"/>
      <c r="N298" s="1177"/>
      <c r="O298" s="1040" t="s">
        <v>5783</v>
      </c>
      <c r="P298" s="1197" t="s">
        <v>5785</v>
      </c>
      <c r="Q298" s="1391" t="str">
        <f>IFERROR(VLOOKUP(O298,CARGOS!A:E,2,0),"")</f>
        <v>17211</v>
      </c>
      <c r="R298" s="1403" t="s">
        <v>5783</v>
      </c>
      <c r="S298" s="1192" t="s">
        <v>5483</v>
      </c>
      <c r="T298" s="1150">
        <f>IFERROR(VLOOKUP(S298,'TAB EMP'!A:B,2,0),0)</f>
        <v>130</v>
      </c>
      <c r="U298" s="1151">
        <v>0</v>
      </c>
      <c r="V298" s="1150">
        <f t="shared" si="739"/>
        <v>130</v>
      </c>
      <c r="W298" s="1151">
        <f t="shared" si="740"/>
        <v>65</v>
      </c>
      <c r="X298" s="1180" t="s">
        <v>2884</v>
      </c>
      <c r="Y298" s="1180"/>
      <c r="Z298" s="1180">
        <v>1</v>
      </c>
      <c r="AA298" s="1150">
        <f>ROUND(IF(H298&lt;&gt;"",VLOOKUP(SUM(I298+J298),'CONCEPTOS Y PARAMETROS'!F:G,2,0)*V298,0),2)</f>
        <v>1.3</v>
      </c>
      <c r="AB298" s="1150">
        <f>IF(S298&lt;&gt;"",IF(M298="",'CONCEPTOS Y PARAMETROS'!$C$4,0),0)</f>
        <v>130</v>
      </c>
      <c r="AC298" s="1150">
        <f>IF(S298&lt;&gt;"",IF(M298="",'CONCEPTOS Y PARAMETROS'!$C$7*Z298,0),0)</f>
        <v>12.5</v>
      </c>
      <c r="AD298" s="1150">
        <f>IFERROR(ROUND(VLOOKUP($X298,'CONCEPTOS Y PARAMETROS'!H:I,2,0)*($V298+AA298+AB298+AC298),2),0)</f>
        <v>0</v>
      </c>
      <c r="AE298" s="1150">
        <f t="shared" si="701"/>
        <v>143.80000000000001</v>
      </c>
      <c r="AF298" s="1150">
        <f t="shared" si="741"/>
        <v>0.65</v>
      </c>
      <c r="AG298" s="1150">
        <f t="shared" si="742"/>
        <v>0.65</v>
      </c>
      <c r="AH298" s="1150">
        <f t="shared" si="743"/>
        <v>65</v>
      </c>
      <c r="AI298" s="1150">
        <f t="shared" si="744"/>
        <v>65</v>
      </c>
      <c r="AJ298" s="1150">
        <f t="shared" si="745"/>
        <v>0</v>
      </c>
      <c r="AK298" s="1150">
        <f t="shared" si="746"/>
        <v>0</v>
      </c>
      <c r="AL298" s="1151">
        <f t="shared" si="747"/>
        <v>78.150000000000006</v>
      </c>
      <c r="AM298" s="1151">
        <f t="shared" si="748"/>
        <v>65.650000000000006</v>
      </c>
      <c r="AN298" s="1028">
        <v>0</v>
      </c>
      <c r="AO298" s="1193">
        <f>'CONCEPTOS Y PARAMETROS'!$C$18*AN298</f>
        <v>0</v>
      </c>
      <c r="AP298" s="1028">
        <v>0</v>
      </c>
      <c r="AQ298" s="1193">
        <f>'CONCEPTOS Y PARAMETROS'!$C$21*AP298</f>
        <v>0</v>
      </c>
      <c r="AR298" s="1394">
        <v>0</v>
      </c>
      <c r="AS298" s="1394">
        <v>0</v>
      </c>
      <c r="AT298" s="1394">
        <f>+AO298+AQ298+AR298+AS298</f>
        <v>0</v>
      </c>
      <c r="AU298" s="1151">
        <f t="shared" si="749"/>
        <v>273.8</v>
      </c>
      <c r="AV298" s="1151">
        <v>0</v>
      </c>
      <c r="AW298" s="1151">
        <f t="shared" si="826"/>
        <v>0</v>
      </c>
      <c r="AX298" s="1151">
        <f>IF(T298&lt;&gt;"0",(ROUND(IF(A298="EMPLEADO",eval_formula('CONCEPTOS Y PARAMETROS'!$C$8,NOMINA!V298,NOMINA!$AU298,NOMINA!I298+NOMINA!J298),eval_formula('CONCEPTOS Y PARAMETROS'!$D$8,NOMINA!V298,NOMINA!$AU298,NOMINA!I298+NOMINA!J298)),2))*IF(H298&lt;&gt;"",IF(MONTH(H298)=$BR$8,IF(YEAR(H298)&lt;$BT$7,1,0),0)))</f>
        <v>0</v>
      </c>
      <c r="AY298" s="1151">
        <v>180</v>
      </c>
      <c r="AZ298" s="1150">
        <f>IFERROR(VLOOKUP(AY298,'CONCEPTOS Y PARAMETROS'!Y:Z,2,0),0)</f>
        <v>150</v>
      </c>
      <c r="BA298" s="1150">
        <f t="shared" si="750"/>
        <v>2053.5</v>
      </c>
      <c r="BB298" s="1150">
        <f t="shared" si="643"/>
        <v>0</v>
      </c>
      <c r="BC298" s="1028">
        <v>0</v>
      </c>
      <c r="BD298" s="1150" t="str">
        <f t="shared" si="751"/>
        <v>0</v>
      </c>
      <c r="BE298" s="1028">
        <v>0</v>
      </c>
      <c r="BF298" s="1150">
        <f t="shared" si="845"/>
        <v>0</v>
      </c>
      <c r="BG298" s="1151">
        <v>300</v>
      </c>
      <c r="BH298" s="1151">
        <f t="shared" si="647"/>
        <v>0</v>
      </c>
      <c r="BI298" s="1180">
        <v>0</v>
      </c>
      <c r="BJ298" s="1180">
        <f t="shared" si="642"/>
        <v>0</v>
      </c>
      <c r="BK298" s="1151">
        <v>0</v>
      </c>
      <c r="BL298" s="1150">
        <f t="shared" si="696"/>
        <v>10.11</v>
      </c>
      <c r="BM298" s="1150">
        <f t="shared" si="697"/>
        <v>1.26</v>
      </c>
      <c r="BN298" s="1150">
        <f t="shared" si="644"/>
        <v>2.74</v>
      </c>
      <c r="BO298" s="1150">
        <v>0</v>
      </c>
      <c r="BP298" s="1150">
        <v>0</v>
      </c>
      <c r="BQ298" s="1396">
        <f>ROUND(SUM(BL298:BP298),2)</f>
        <v>14.11</v>
      </c>
      <c r="BR298" s="1150">
        <f t="shared" si="699"/>
        <v>22.75</v>
      </c>
      <c r="BS298" s="1150">
        <f t="shared" si="700"/>
        <v>5.05</v>
      </c>
      <c r="BT298" s="1150">
        <f t="shared" si="649"/>
        <v>5.48</v>
      </c>
      <c r="BU298" s="1150">
        <v>0</v>
      </c>
      <c r="BV298" s="1151">
        <f>ROUND(SUM(BR298:BT298),2)</f>
        <v>33.28</v>
      </c>
      <c r="BW298" s="1155">
        <f>BQ298+BV298</f>
        <v>47.39</v>
      </c>
      <c r="BX298" s="1155">
        <f t="shared" si="904"/>
        <v>513.38</v>
      </c>
      <c r="BY298" s="1151">
        <v>0</v>
      </c>
      <c r="BZ298" s="1151">
        <f t="shared" si="905"/>
        <v>513.38</v>
      </c>
      <c r="CA298" s="1397">
        <f>'CONCEPTOS Y PARAMETROS'!$A$102</f>
        <v>2120</v>
      </c>
      <c r="CB298" s="1155">
        <f t="shared" si="652"/>
        <v>129.04000000000002</v>
      </c>
      <c r="CC298" s="1156">
        <f t="shared" si="653"/>
        <v>430.65</v>
      </c>
      <c r="CD298" s="514"/>
      <c r="CE298" s="514"/>
      <c r="CF298" s="521"/>
      <c r="CG298" s="511">
        <f t="shared" si="654"/>
        <v>129.04000000000002</v>
      </c>
      <c r="CH298" s="1712">
        <f t="shared" si="655"/>
        <v>300</v>
      </c>
      <c r="CI298" s="497">
        <f t="shared" si="656"/>
        <v>430.65</v>
      </c>
      <c r="CJ298" s="511">
        <f t="shared" si="657"/>
        <v>430.65</v>
      </c>
      <c r="CK298" s="511">
        <f t="shared" si="658"/>
        <v>0</v>
      </c>
      <c r="CL298" s="497">
        <f t="shared" si="659"/>
        <v>0</v>
      </c>
      <c r="CM298" s="497">
        <f t="shared" si="660"/>
        <v>0</v>
      </c>
      <c r="CN298" s="512">
        <f t="shared" si="661"/>
        <v>0</v>
      </c>
      <c r="CO298" s="513">
        <v>0</v>
      </c>
      <c r="CP298" s="512">
        <f t="shared" si="662"/>
        <v>0</v>
      </c>
      <c r="CQ298" s="500">
        <f t="shared" si="663"/>
        <v>0</v>
      </c>
      <c r="CR298" s="512">
        <f t="shared" si="664"/>
        <v>0</v>
      </c>
      <c r="CS298" s="498">
        <f t="shared" si="665"/>
        <v>0</v>
      </c>
      <c r="CT298" s="498">
        <f t="shared" si="666"/>
        <v>47.39</v>
      </c>
      <c r="CU298" s="512">
        <f t="shared" si="667"/>
        <v>2120</v>
      </c>
      <c r="CV298" s="1556"/>
      <c r="CW298" s="1195" t="s">
        <v>6401</v>
      </c>
      <c r="CX298" s="1195" t="s">
        <v>7170</v>
      </c>
      <c r="CY298" s="514"/>
      <c r="CZ298" s="1199" t="s">
        <v>6601</v>
      </c>
      <c r="DA298" s="514" t="s">
        <v>6198</v>
      </c>
      <c r="DB298" s="1198" t="s">
        <v>6234</v>
      </c>
      <c r="DC298" s="514" t="s">
        <v>6614</v>
      </c>
      <c r="DD298" s="514"/>
      <c r="DE298" s="514"/>
      <c r="DF298" s="514"/>
      <c r="DG298" s="514"/>
      <c r="DH298" s="514"/>
      <c r="DI298" s="478"/>
      <c r="DJ298" s="473" t="str">
        <f>VLOOKUP(X298,Hoja1!$A$4:$B$10,2,0)</f>
        <v>BACHILLER</v>
      </c>
      <c r="DK298" s="473" t="str">
        <f>VLOOKUP(S298,Hoja1!$D$4:$F$77,3,0)</f>
        <v>BI</v>
      </c>
      <c r="DL298" s="1216" t="str">
        <f t="shared" si="668"/>
        <v>0</v>
      </c>
      <c r="DM298" s="1741" t="str">
        <f t="shared" si="669"/>
        <v>F</v>
      </c>
      <c r="DN298" s="1741"/>
    </row>
    <row r="299" spans="1:118" s="478" customFormat="1" ht="21.95" customHeight="1">
      <c r="A299" s="510" t="s">
        <v>2846</v>
      </c>
      <c r="B299" s="1390">
        <f t="shared" ca="1" si="822"/>
        <v>257</v>
      </c>
      <c r="C299" s="1488">
        <v>27677242</v>
      </c>
      <c r="D299" s="1195" t="s">
        <v>5787</v>
      </c>
      <c r="E299" s="1180" t="s">
        <v>4622</v>
      </c>
      <c r="F299" s="1196">
        <v>36612</v>
      </c>
      <c r="G299" s="1180" t="s">
        <v>4621</v>
      </c>
      <c r="H299" s="1196">
        <v>45139</v>
      </c>
      <c r="I299" s="1185">
        <f t="shared" ref="I299:I309" si="906">IF(AND(YEAR(H299)&lt;YEAR($H$10),MONTH(H299)&gt;$BR$8),YEAR($H$10)-YEAR(H299)-1,IF(OR(H299="",YEAR(H299)&gt;YEAR($H$10)),0,YEAR($H$10)-YEAR(H299)))</f>
        <v>1</v>
      </c>
      <c r="J299" s="1177">
        <v>0</v>
      </c>
      <c r="K299" s="1185">
        <f t="shared" ref="K299:K309" si="907">I299+J299</f>
        <v>1</v>
      </c>
      <c r="L299" s="1191" t="s">
        <v>5547</v>
      </c>
      <c r="M299" s="1177"/>
      <c r="N299" s="1177"/>
      <c r="O299" s="1172" t="s">
        <v>5981</v>
      </c>
      <c r="P299" s="1197" t="s">
        <v>5788</v>
      </c>
      <c r="Q299" s="1391" t="str">
        <f>IFERROR(VLOOKUP(O299,CARGOS!A:E,2,0),"")</f>
        <v/>
      </c>
      <c r="R299" s="1172" t="s">
        <v>5981</v>
      </c>
      <c r="S299" s="1192" t="s">
        <v>5483</v>
      </c>
      <c r="T299" s="1150">
        <f>IFERROR(VLOOKUP(S299,'TAB EMP'!A:B,2,0),0)</f>
        <v>130</v>
      </c>
      <c r="U299" s="1151">
        <v>0</v>
      </c>
      <c r="V299" s="1150">
        <f t="shared" si="739"/>
        <v>130</v>
      </c>
      <c r="W299" s="1151">
        <f t="shared" si="740"/>
        <v>65</v>
      </c>
      <c r="X299" s="1180" t="s">
        <v>2884</v>
      </c>
      <c r="Y299" s="1180"/>
      <c r="Z299" s="1180">
        <v>0</v>
      </c>
      <c r="AA299" s="1150">
        <f>ROUND(IF(H299&lt;&gt;"",VLOOKUP(SUM(I299+J299),'CONCEPTOS Y PARAMETROS'!F:G,2,0)*V299,0),2)</f>
        <v>1.3</v>
      </c>
      <c r="AB299" s="1150">
        <f>IF(S299&lt;&gt;"",IF(M299="",'CONCEPTOS Y PARAMETROS'!$C$4,0),0)</f>
        <v>130</v>
      </c>
      <c r="AC299" s="1150">
        <f>IF(S299&lt;&gt;"",IF(M299="",'CONCEPTOS Y PARAMETROS'!$C$7*Z299,0),0)</f>
        <v>0</v>
      </c>
      <c r="AD299" s="1150">
        <f>IFERROR(ROUND(VLOOKUP($X299,'CONCEPTOS Y PARAMETROS'!H:I,2,0)*($V299+AA299+AB299+AC299),2),0)</f>
        <v>0</v>
      </c>
      <c r="AE299" s="1150">
        <f t="shared" si="701"/>
        <v>131.30000000000001</v>
      </c>
      <c r="AF299" s="1150">
        <f t="shared" si="741"/>
        <v>0.65</v>
      </c>
      <c r="AG299" s="1150">
        <f t="shared" si="742"/>
        <v>0.65</v>
      </c>
      <c r="AH299" s="1150">
        <f t="shared" si="743"/>
        <v>65</v>
      </c>
      <c r="AI299" s="1150">
        <f t="shared" si="744"/>
        <v>65</v>
      </c>
      <c r="AJ299" s="1150">
        <f t="shared" si="745"/>
        <v>0</v>
      </c>
      <c r="AK299" s="1150">
        <f t="shared" si="746"/>
        <v>0</v>
      </c>
      <c r="AL299" s="1151">
        <f t="shared" si="747"/>
        <v>65.650000000000006</v>
      </c>
      <c r="AM299" s="1151">
        <f t="shared" si="748"/>
        <v>65.650000000000006</v>
      </c>
      <c r="AN299" s="1028">
        <v>0</v>
      </c>
      <c r="AO299" s="1193">
        <f>'CONCEPTOS Y PARAMETROS'!$C$18*AN299</f>
        <v>0</v>
      </c>
      <c r="AP299" s="1028">
        <v>0</v>
      </c>
      <c r="AQ299" s="1193">
        <f>'CONCEPTOS Y PARAMETROS'!$C$21*AP299</f>
        <v>0</v>
      </c>
      <c r="AR299" s="1394">
        <v>0</v>
      </c>
      <c r="AS299" s="1394">
        <v>0</v>
      </c>
      <c r="AT299" s="1394">
        <f t="shared" ref="AT299" si="908">+AO299+AQ299+AR299+AS299</f>
        <v>0</v>
      </c>
      <c r="AU299" s="1151">
        <f t="shared" si="749"/>
        <v>261.3</v>
      </c>
      <c r="AV299" s="1151">
        <v>0</v>
      </c>
      <c r="AW299" s="1151">
        <f t="shared" si="826"/>
        <v>0</v>
      </c>
      <c r="AX299" s="1151">
        <f>IF(T299&lt;&gt;"0",(ROUND(IF(A299="EMPLEADO",eval_formula('CONCEPTOS Y PARAMETROS'!$C$8,NOMINA!V299,NOMINA!$AU299,NOMINA!I299+NOMINA!J299),eval_formula('CONCEPTOS Y PARAMETROS'!$D$8,NOMINA!V299,NOMINA!$AU299,NOMINA!I299+NOMINA!J299)),2))*IF(H299&lt;&gt;"",IF(MONTH(H299)=$BR$8,IF(YEAR(H299)&lt;$BT$7,1,0),0)))</f>
        <v>0</v>
      </c>
      <c r="AY299" s="1151">
        <v>180</v>
      </c>
      <c r="AZ299" s="1150">
        <f>IFERROR(VLOOKUP(AY299,'CONCEPTOS Y PARAMETROS'!Y:Z,2,0),0)</f>
        <v>150</v>
      </c>
      <c r="BA299" s="1150">
        <f t="shared" si="750"/>
        <v>1959.75</v>
      </c>
      <c r="BB299" s="1150">
        <f t="shared" si="643"/>
        <v>0</v>
      </c>
      <c r="BC299" s="1028">
        <v>0</v>
      </c>
      <c r="BD299" s="1150" t="str">
        <f t="shared" si="751"/>
        <v>0</v>
      </c>
      <c r="BE299" s="1028">
        <v>0</v>
      </c>
      <c r="BF299" s="1150">
        <f t="shared" si="845"/>
        <v>0</v>
      </c>
      <c r="BG299" s="1151">
        <v>300</v>
      </c>
      <c r="BH299" s="1151">
        <f t="shared" ref="BH299:BH309" si="909">+IF(AND(Z299&gt;0,G299="M"),12.5,0)*0</f>
        <v>0</v>
      </c>
      <c r="BI299" s="1180">
        <v>0</v>
      </c>
      <c r="BJ299" s="1180">
        <f t="shared" ref="BJ299:BJ309" si="910">+IF(BI299&lt;&gt;0,(BI299*12.5),0)</f>
        <v>0</v>
      </c>
      <c r="BK299" s="1151">
        <v>0</v>
      </c>
      <c r="BL299" s="1150">
        <f t="shared" si="696"/>
        <v>9.65</v>
      </c>
      <c r="BM299" s="1150">
        <f t="shared" si="697"/>
        <v>1.21</v>
      </c>
      <c r="BN299" s="1150">
        <f t="shared" ref="BN299:BN309" si="911">ROUND(IF(M299="",(AU299*1%),0),2)</f>
        <v>2.61</v>
      </c>
      <c r="BO299" s="1150">
        <v>0</v>
      </c>
      <c r="BP299" s="1150">
        <v>0</v>
      </c>
      <c r="BQ299" s="1396">
        <f t="shared" ref="BQ299" si="912">ROUND(SUM(BL299:BP299),2)</f>
        <v>13.47</v>
      </c>
      <c r="BR299" s="1150">
        <f t="shared" si="699"/>
        <v>21.71</v>
      </c>
      <c r="BS299" s="1150">
        <f t="shared" si="700"/>
        <v>4.82</v>
      </c>
      <c r="BT299" s="1150">
        <f t="shared" ref="BT299:BT309" si="913">ROUND(IF(M299="",(BN299*2),0),2)</f>
        <v>5.22</v>
      </c>
      <c r="BU299" s="1150">
        <v>0</v>
      </c>
      <c r="BV299" s="1151">
        <f t="shared" ref="BV299" si="914">ROUND(SUM(BR299:BT299),2)</f>
        <v>31.75</v>
      </c>
      <c r="BW299" s="1155">
        <f t="shared" ref="BW299" si="915">BQ299+BV299</f>
        <v>45.22</v>
      </c>
      <c r="BX299" s="1155">
        <f t="shared" si="904"/>
        <v>489.94</v>
      </c>
      <c r="BY299" s="1151">
        <v>0</v>
      </c>
      <c r="BZ299" s="1151">
        <f t="shared" si="905"/>
        <v>489.94</v>
      </c>
      <c r="CA299" s="1397">
        <f>'CONCEPTOS Y PARAMETROS'!$A$102</f>
        <v>2120</v>
      </c>
      <c r="CB299" s="1155">
        <f t="shared" ref="CB299:CB309" si="916">W299+AL299-BQ299</f>
        <v>117.18</v>
      </c>
      <c r="CC299" s="1156">
        <f t="shared" ref="CC299:CC309" si="917">ROUND((W299+AM299+AT299+AW299+AX299+BB299+BD299+BF299+BJ299+BK299+BG299),2)</f>
        <v>430.65</v>
      </c>
      <c r="CD299" s="514"/>
      <c r="CE299" s="514"/>
      <c r="CF299" s="521"/>
      <c r="CG299" s="511">
        <f t="shared" ref="CG299:CG309" si="918">W299+AL299-BQ299</f>
        <v>117.18</v>
      </c>
      <c r="CH299" s="1712">
        <f t="shared" ref="CH299:CH309" si="919">BG299</f>
        <v>300</v>
      </c>
      <c r="CI299" s="511">
        <f t="shared" ref="CI299:CI309" si="920">W299+AM299+BG299</f>
        <v>430.65</v>
      </c>
      <c r="CJ299" s="511">
        <f t="shared" ref="CJ299:CJ309" si="921">ROUND(IF(CI299&gt;560,CI299*48%,CI299),2)</f>
        <v>430.65</v>
      </c>
      <c r="CK299" s="511">
        <f t="shared" ref="CK299:CK309" si="922">+CI299-CJ299</f>
        <v>0</v>
      </c>
      <c r="CL299" s="511">
        <f t="shared" ref="CL299:CL309" si="923">+BJ299</f>
        <v>0</v>
      </c>
      <c r="CM299" s="511">
        <f t="shared" ref="CM299:CM309" si="924">+BK299</f>
        <v>0</v>
      </c>
      <c r="CN299" s="512">
        <f t="shared" ref="CN299:CN309" si="925">BF299+BB299</f>
        <v>0</v>
      </c>
      <c r="CO299" s="513">
        <v>0</v>
      </c>
      <c r="CP299" s="512">
        <f t="shared" ref="CP299:CP309" si="926">AW299</f>
        <v>0</v>
      </c>
      <c r="CQ299" s="500">
        <f t="shared" ref="CQ299:CQ309" si="927">AT299+CL299+CM299</f>
        <v>0</v>
      </c>
      <c r="CR299" s="512">
        <f t="shared" ref="CR299:CR309" si="928">AX299</f>
        <v>0</v>
      </c>
      <c r="CS299" s="512">
        <f t="shared" ref="CS299:CS309" si="929">SUM(CL299:CR299)</f>
        <v>0</v>
      </c>
      <c r="CT299" s="512">
        <f t="shared" ref="CT299:CT309" si="930">BQ299+BV299</f>
        <v>45.22</v>
      </c>
      <c r="CU299" s="512">
        <f t="shared" ref="CU299:CU309" si="931">CA299</f>
        <v>2120</v>
      </c>
      <c r="CV299" s="1556"/>
      <c r="CW299" s="1195" t="s">
        <v>7091</v>
      </c>
      <c r="CX299" s="1195" t="s">
        <v>7171</v>
      </c>
      <c r="CY299" s="514"/>
      <c r="CZ299" s="1199" t="s">
        <v>6602</v>
      </c>
      <c r="DA299" s="1198" t="s">
        <v>6615</v>
      </c>
      <c r="DB299" s="1198" t="s">
        <v>6238</v>
      </c>
      <c r="DC299" s="514" t="s">
        <v>6388</v>
      </c>
      <c r="DD299" s="514"/>
      <c r="DE299" s="514"/>
      <c r="DF299" s="514"/>
      <c r="DG299" s="514"/>
      <c r="DH299" s="514"/>
      <c r="DJ299" s="478" t="str">
        <f>VLOOKUP(X299,Hoja1!$A$4:$B$10,2,0)</f>
        <v>BACHILLER</v>
      </c>
      <c r="DK299" s="478" t="str">
        <f>VLOOKUP(S299,Hoja1!$D$4:$F$77,3,0)</f>
        <v>BI</v>
      </c>
      <c r="DL299" s="1218" t="str">
        <f t="shared" ref="DL299:DL309" si="932">IF(AV299="NOCTURN","SI","0")</f>
        <v>0</v>
      </c>
      <c r="DM299" s="1743" t="str">
        <f t="shared" ref="DM299:DM309" si="933">+G299</f>
        <v>M</v>
      </c>
      <c r="DN299" s="1743"/>
    </row>
    <row r="300" spans="1:118" s="1654" customFormat="1" ht="21.95" customHeight="1">
      <c r="A300" s="1624" t="s">
        <v>2846</v>
      </c>
      <c r="B300" s="1625">
        <f t="shared" ca="1" si="822"/>
        <v>258</v>
      </c>
      <c r="C300" s="1626">
        <v>27889180</v>
      </c>
      <c r="D300" s="1627" t="s">
        <v>4924</v>
      </c>
      <c r="E300" s="1628" t="s">
        <v>4622</v>
      </c>
      <c r="F300" s="1629">
        <v>36692</v>
      </c>
      <c r="G300" s="1628" t="s">
        <v>4620</v>
      </c>
      <c r="H300" s="1629">
        <v>44393</v>
      </c>
      <c r="I300" s="1630">
        <f t="shared" si="906"/>
        <v>3</v>
      </c>
      <c r="J300" s="1631">
        <v>0</v>
      </c>
      <c r="K300" s="1630">
        <f t="shared" si="907"/>
        <v>3</v>
      </c>
      <c r="L300" s="1632" t="s">
        <v>6149</v>
      </c>
      <c r="M300" s="1631"/>
      <c r="N300" s="1631"/>
      <c r="O300" s="1633" t="s">
        <v>7422</v>
      </c>
      <c r="P300" s="1631" t="s">
        <v>5462</v>
      </c>
      <c r="Q300" s="1634" t="str">
        <f>IFERROR(VLOOKUP(O300,CARGOS!A:E,2,0),"")</f>
        <v>12112</v>
      </c>
      <c r="R300" s="1635" t="s">
        <v>7422</v>
      </c>
      <c r="S300" s="1636" t="s">
        <v>5490</v>
      </c>
      <c r="T300" s="1637">
        <f>IFERROR(VLOOKUP(S300,'TAB EMP'!A:B,2,0),0)</f>
        <v>150</v>
      </c>
      <c r="U300" s="1638">
        <v>0</v>
      </c>
      <c r="V300" s="1637">
        <f t="shared" si="739"/>
        <v>150</v>
      </c>
      <c r="W300" s="1638">
        <f t="shared" si="740"/>
        <v>75</v>
      </c>
      <c r="X300" s="1628" t="s">
        <v>2884</v>
      </c>
      <c r="Y300" s="1628"/>
      <c r="Z300" s="1628">
        <v>1</v>
      </c>
      <c r="AA300" s="1637">
        <f>ROUND(IF(H300&lt;&gt;"",VLOOKUP(SUM(I300+J300),'CONCEPTOS Y PARAMETROS'!F:G,2,0)*V300,0),2)</f>
        <v>4.5</v>
      </c>
      <c r="AB300" s="1637">
        <f>IF(S300&lt;&gt;"",IF(M300="",'CONCEPTOS Y PARAMETROS'!$C$4,0),0)</f>
        <v>130</v>
      </c>
      <c r="AC300" s="1637">
        <f>IF(S300&lt;&gt;"",IF(M300="",'CONCEPTOS Y PARAMETROS'!$C$7*Z300,0),0)</f>
        <v>12.5</v>
      </c>
      <c r="AD300" s="1637">
        <f>IFERROR(ROUND(VLOOKUP($X300,'CONCEPTOS Y PARAMETROS'!H:I,2,0)*($V300+AA300+AB300+AC300),2),0)</f>
        <v>0</v>
      </c>
      <c r="AE300" s="1637">
        <f t="shared" si="701"/>
        <v>147</v>
      </c>
      <c r="AF300" s="1637">
        <f t="shared" si="741"/>
        <v>2.25</v>
      </c>
      <c r="AG300" s="1637">
        <f t="shared" si="742"/>
        <v>2.25</v>
      </c>
      <c r="AH300" s="1637">
        <f t="shared" si="743"/>
        <v>65</v>
      </c>
      <c r="AI300" s="1637">
        <f t="shared" si="744"/>
        <v>65</v>
      </c>
      <c r="AJ300" s="1637">
        <f t="shared" si="745"/>
        <v>0</v>
      </c>
      <c r="AK300" s="1637">
        <f t="shared" si="746"/>
        <v>0</v>
      </c>
      <c r="AL300" s="1638">
        <f t="shared" si="747"/>
        <v>79.75</v>
      </c>
      <c r="AM300" s="1638">
        <f t="shared" si="748"/>
        <v>67.25</v>
      </c>
      <c r="AN300" s="1639">
        <v>0</v>
      </c>
      <c r="AO300" s="1640">
        <f>'CONCEPTOS Y PARAMETROS'!$C$18*AN300</f>
        <v>0</v>
      </c>
      <c r="AP300" s="1639">
        <v>0</v>
      </c>
      <c r="AQ300" s="1640">
        <f>'CONCEPTOS Y PARAMETROS'!$C$21*AP300</f>
        <v>0</v>
      </c>
      <c r="AR300" s="1641">
        <v>0</v>
      </c>
      <c r="AS300" s="1641">
        <v>0</v>
      </c>
      <c r="AT300" s="1641">
        <f t="shared" si="824"/>
        <v>0</v>
      </c>
      <c r="AU300" s="1638">
        <f t="shared" si="749"/>
        <v>297</v>
      </c>
      <c r="AV300" s="1642">
        <v>0</v>
      </c>
      <c r="AW300" s="1638">
        <f t="shared" si="826"/>
        <v>0</v>
      </c>
      <c r="AX300" s="1637">
        <f>IF(T300&lt;&gt;"0",(ROUND(IF(A300="EMPLEADO",eval_formula('CONCEPTOS Y PARAMETROS'!$C$8,NOMINA!V300,NOMINA!$AU300,NOMINA!I300+NOMINA!J300),eval_formula('CONCEPTOS Y PARAMETROS'!$D$8,NOMINA!V300,NOMINA!$AU300,NOMINA!I300+NOMINA!J300)),2))*IF(H300&lt;&gt;"",IF(MONTH(H300)=$BR$8,IF(YEAR(H300)&lt;$BT$7,1,0),0)))</f>
        <v>0</v>
      </c>
      <c r="AY300" s="1638">
        <v>180</v>
      </c>
      <c r="AZ300" s="1637">
        <f>IFERROR(VLOOKUP(AY300,'CONCEPTOS Y PARAMETROS'!Y:Z,2,0),0)</f>
        <v>150</v>
      </c>
      <c r="BA300" s="1637">
        <f t="shared" si="750"/>
        <v>2227.5</v>
      </c>
      <c r="BB300" s="1637">
        <f t="shared" si="643"/>
        <v>0</v>
      </c>
      <c r="BC300" s="1639">
        <v>0</v>
      </c>
      <c r="BD300" s="1637" t="str">
        <f t="shared" si="751"/>
        <v>0</v>
      </c>
      <c r="BE300" s="1639">
        <v>0</v>
      </c>
      <c r="BF300" s="1637">
        <f t="shared" si="845"/>
        <v>0</v>
      </c>
      <c r="BG300" s="1638">
        <v>300</v>
      </c>
      <c r="BH300" s="1638">
        <f t="shared" si="909"/>
        <v>0</v>
      </c>
      <c r="BI300" s="1628">
        <v>0</v>
      </c>
      <c r="BJ300" s="1628">
        <f t="shared" si="910"/>
        <v>0</v>
      </c>
      <c r="BK300" s="1638">
        <v>0</v>
      </c>
      <c r="BL300" s="1637">
        <f t="shared" si="696"/>
        <v>10.97</v>
      </c>
      <c r="BM300" s="1637">
        <f t="shared" si="697"/>
        <v>1.37</v>
      </c>
      <c r="BN300" s="1637">
        <f t="shared" si="911"/>
        <v>2.97</v>
      </c>
      <c r="BO300" s="1637">
        <v>0</v>
      </c>
      <c r="BP300" s="1637">
        <v>0</v>
      </c>
      <c r="BQ300" s="1643">
        <f t="shared" si="677"/>
        <v>15.31</v>
      </c>
      <c r="BR300" s="1637">
        <f t="shared" si="699"/>
        <v>24.67</v>
      </c>
      <c r="BS300" s="1637">
        <f t="shared" si="700"/>
        <v>5.48</v>
      </c>
      <c r="BT300" s="1637">
        <f t="shared" si="913"/>
        <v>5.94</v>
      </c>
      <c r="BU300" s="1637">
        <v>0</v>
      </c>
      <c r="BV300" s="1638">
        <f t="shared" si="678"/>
        <v>36.090000000000003</v>
      </c>
      <c r="BW300" s="1644">
        <f t="shared" si="679"/>
        <v>51.400000000000006</v>
      </c>
      <c r="BX300" s="1644">
        <f t="shared" si="904"/>
        <v>556.88</v>
      </c>
      <c r="BY300" s="1638">
        <v>0</v>
      </c>
      <c r="BZ300" s="1638">
        <f t="shared" si="905"/>
        <v>556.88</v>
      </c>
      <c r="CA300" s="1645">
        <f>'CONCEPTOS Y PARAMETROS'!$A$102</f>
        <v>2120</v>
      </c>
      <c r="CB300" s="1644">
        <f t="shared" si="916"/>
        <v>139.44</v>
      </c>
      <c r="CC300" s="1646">
        <f t="shared" si="917"/>
        <v>442.25</v>
      </c>
      <c r="CD300" s="1647"/>
      <c r="CE300" s="1647"/>
      <c r="CF300" s="1648"/>
      <c r="CG300" s="1649">
        <f t="shared" si="918"/>
        <v>139.44</v>
      </c>
      <c r="CH300" s="1713">
        <f t="shared" si="919"/>
        <v>300</v>
      </c>
      <c r="CI300" s="1649">
        <f t="shared" si="920"/>
        <v>442.25</v>
      </c>
      <c r="CJ300" s="1649">
        <f t="shared" si="921"/>
        <v>442.25</v>
      </c>
      <c r="CK300" s="1649">
        <f t="shared" si="922"/>
        <v>0</v>
      </c>
      <c r="CL300" s="1649">
        <f t="shared" si="923"/>
        <v>0</v>
      </c>
      <c r="CM300" s="1649">
        <f t="shared" si="924"/>
        <v>0</v>
      </c>
      <c r="CN300" s="1650">
        <f t="shared" si="925"/>
        <v>0</v>
      </c>
      <c r="CO300" s="1651">
        <v>0</v>
      </c>
      <c r="CP300" s="1650">
        <f t="shared" si="926"/>
        <v>0</v>
      </c>
      <c r="CQ300" s="1652">
        <f t="shared" si="927"/>
        <v>0</v>
      </c>
      <c r="CR300" s="1650">
        <f t="shared" si="928"/>
        <v>0</v>
      </c>
      <c r="CS300" s="1650">
        <f t="shared" si="929"/>
        <v>0</v>
      </c>
      <c r="CT300" s="1650">
        <f t="shared" si="930"/>
        <v>51.400000000000006</v>
      </c>
      <c r="CU300" s="1650">
        <f t="shared" si="931"/>
        <v>2120</v>
      </c>
      <c r="CV300" s="1653"/>
      <c r="CW300" s="1627" t="s">
        <v>7141</v>
      </c>
      <c r="CX300" s="1627" t="s">
        <v>7172</v>
      </c>
      <c r="CY300" s="1647"/>
      <c r="CZ300" s="1647" t="s">
        <v>6404</v>
      </c>
      <c r="DA300" s="1647" t="s">
        <v>6198</v>
      </c>
      <c r="DB300" s="1647" t="s">
        <v>6265</v>
      </c>
      <c r="DC300" s="1647" t="s">
        <v>6271</v>
      </c>
      <c r="DD300" s="1647"/>
      <c r="DE300" s="1647"/>
      <c r="DF300" s="1647"/>
      <c r="DG300" s="1647"/>
      <c r="DH300" s="1647"/>
      <c r="DJ300" s="1654" t="str">
        <f>VLOOKUP(X300,Hoja1!$A$4:$B$10,2,0)</f>
        <v>BACHILLER</v>
      </c>
      <c r="DK300" s="1654" t="str">
        <f>VLOOKUP(S300,Hoja1!$D$4:$F$77,3,0)</f>
        <v>BII - II</v>
      </c>
      <c r="DL300" s="1663" t="str">
        <f t="shared" si="932"/>
        <v>0</v>
      </c>
      <c r="DM300" s="1742" t="str">
        <f t="shared" si="933"/>
        <v>F</v>
      </c>
      <c r="DN300" s="1742"/>
    </row>
    <row r="301" spans="1:118" s="1654" customFormat="1" ht="21.95" customHeight="1">
      <c r="A301" s="1624" t="s">
        <v>2846</v>
      </c>
      <c r="B301" s="1625">
        <f t="shared" ca="1" si="822"/>
        <v>259</v>
      </c>
      <c r="C301" s="1626">
        <v>28079765</v>
      </c>
      <c r="D301" s="1627" t="s">
        <v>4926</v>
      </c>
      <c r="E301" s="1628" t="s">
        <v>4622</v>
      </c>
      <c r="F301" s="1629">
        <v>36829</v>
      </c>
      <c r="G301" s="1628" t="s">
        <v>4621</v>
      </c>
      <c r="H301" s="1629">
        <v>44348</v>
      </c>
      <c r="I301" s="1630">
        <f t="shared" si="906"/>
        <v>3</v>
      </c>
      <c r="J301" s="1631">
        <v>0</v>
      </c>
      <c r="K301" s="1630">
        <f t="shared" si="907"/>
        <v>3</v>
      </c>
      <c r="L301" s="1632" t="s">
        <v>5540</v>
      </c>
      <c r="M301" s="1631"/>
      <c r="N301" s="1631"/>
      <c r="O301" s="1633" t="s">
        <v>7422</v>
      </c>
      <c r="P301" s="1631" t="s">
        <v>5463</v>
      </c>
      <c r="Q301" s="1634" t="str">
        <f>IFERROR(VLOOKUP(O301,CARGOS!A:E,2,0),"")</f>
        <v>12112</v>
      </c>
      <c r="R301" s="1635" t="s">
        <v>7422</v>
      </c>
      <c r="S301" s="1636" t="s">
        <v>5481</v>
      </c>
      <c r="T301" s="1637">
        <f>IFERROR(VLOOKUP(S301,'TAB EMP'!A:B,2,0),0)</f>
        <v>219</v>
      </c>
      <c r="U301" s="1638">
        <v>0</v>
      </c>
      <c r="V301" s="1637">
        <f t="shared" si="739"/>
        <v>219</v>
      </c>
      <c r="W301" s="1638">
        <f t="shared" si="740"/>
        <v>109.5</v>
      </c>
      <c r="X301" s="1628" t="s">
        <v>2844</v>
      </c>
      <c r="Y301" s="1628"/>
      <c r="Z301" s="1628">
        <v>0</v>
      </c>
      <c r="AA301" s="1637">
        <f>ROUND(IF(H301&lt;&gt;"",VLOOKUP(SUM(I301+J301),'CONCEPTOS Y PARAMETROS'!F:G,2,0)*V301,0),2)</f>
        <v>6.57</v>
      </c>
      <c r="AB301" s="1637">
        <f>IF(S301&lt;&gt;"",IF(M301="",'CONCEPTOS Y PARAMETROS'!$C$4,0),0)</f>
        <v>130</v>
      </c>
      <c r="AC301" s="1637">
        <f>IF(S301&lt;&gt;"",IF(M301="",'CONCEPTOS Y PARAMETROS'!$C$7*Z301,0),0)</f>
        <v>0</v>
      </c>
      <c r="AD301" s="1637">
        <f>IFERROR(ROUND(VLOOKUP($X301,'CONCEPTOS Y PARAMETROS'!H:I,2,0)*($V301+AA301+AB301+AC301),2),0)</f>
        <v>71.11</v>
      </c>
      <c r="AE301" s="1637">
        <f t="shared" si="701"/>
        <v>207.68</v>
      </c>
      <c r="AF301" s="1637">
        <f t="shared" si="741"/>
        <v>3.29</v>
      </c>
      <c r="AG301" s="1637">
        <f t="shared" si="742"/>
        <v>3.28</v>
      </c>
      <c r="AH301" s="1637">
        <f t="shared" si="743"/>
        <v>65</v>
      </c>
      <c r="AI301" s="1637">
        <f t="shared" si="744"/>
        <v>65</v>
      </c>
      <c r="AJ301" s="1637">
        <f t="shared" si="745"/>
        <v>35.56</v>
      </c>
      <c r="AK301" s="1637">
        <f t="shared" si="746"/>
        <v>35.549999999999997</v>
      </c>
      <c r="AL301" s="1638">
        <f t="shared" si="747"/>
        <v>103.85</v>
      </c>
      <c r="AM301" s="1638">
        <f t="shared" si="748"/>
        <v>103.83</v>
      </c>
      <c r="AN301" s="1639">
        <v>0</v>
      </c>
      <c r="AO301" s="1640">
        <f>'CONCEPTOS Y PARAMETROS'!$C$18*AN301</f>
        <v>0</v>
      </c>
      <c r="AP301" s="1639">
        <v>0</v>
      </c>
      <c r="AQ301" s="1640">
        <f>'CONCEPTOS Y PARAMETROS'!$C$21*AP301</f>
        <v>0</v>
      </c>
      <c r="AR301" s="1641">
        <v>0</v>
      </c>
      <c r="AS301" s="1641">
        <v>0</v>
      </c>
      <c r="AT301" s="1641">
        <f t="shared" si="824"/>
        <v>0</v>
      </c>
      <c r="AU301" s="1638">
        <f t="shared" si="749"/>
        <v>426.68</v>
      </c>
      <c r="AV301" s="1642">
        <v>0</v>
      </c>
      <c r="AW301" s="1638">
        <f t="shared" si="826"/>
        <v>0</v>
      </c>
      <c r="AX301" s="1637">
        <f>IF(T301&lt;&gt;"0",(ROUND(IF(A301="EMPLEADO",eval_formula('CONCEPTOS Y PARAMETROS'!$C$8,NOMINA!V301,NOMINA!$AU301,NOMINA!I301+NOMINA!J301),eval_formula('CONCEPTOS Y PARAMETROS'!$D$8,NOMINA!V301,NOMINA!$AU301,NOMINA!I301+NOMINA!J301)),2))*IF(H301&lt;&gt;"",IF(MONTH(H301)=$BR$8,IF(YEAR(H301)&lt;$BT$7,1,0),0)))</f>
        <v>0</v>
      </c>
      <c r="AY301" s="1638">
        <v>180</v>
      </c>
      <c r="AZ301" s="1637">
        <f>IFERROR(VLOOKUP(AY301,'CONCEPTOS Y PARAMETROS'!Y:Z,2,0),0)</f>
        <v>150</v>
      </c>
      <c r="BA301" s="1637">
        <f t="shared" si="750"/>
        <v>3200.1</v>
      </c>
      <c r="BB301" s="1637">
        <f t="shared" si="643"/>
        <v>0</v>
      </c>
      <c r="BC301" s="1639">
        <v>0</v>
      </c>
      <c r="BD301" s="1637" t="str">
        <f t="shared" si="751"/>
        <v>0</v>
      </c>
      <c r="BE301" s="1639">
        <v>0</v>
      </c>
      <c r="BF301" s="1637">
        <f t="shared" si="845"/>
        <v>0</v>
      </c>
      <c r="BG301" s="1638">
        <v>300</v>
      </c>
      <c r="BH301" s="1638">
        <f t="shared" si="909"/>
        <v>0</v>
      </c>
      <c r="BI301" s="1628">
        <v>0</v>
      </c>
      <c r="BJ301" s="1628">
        <f t="shared" si="910"/>
        <v>0</v>
      </c>
      <c r="BK301" s="1638">
        <v>0</v>
      </c>
      <c r="BL301" s="1637">
        <f t="shared" si="696"/>
        <v>15.75</v>
      </c>
      <c r="BM301" s="1637">
        <f t="shared" si="697"/>
        <v>1.97</v>
      </c>
      <c r="BN301" s="1637">
        <f t="shared" si="911"/>
        <v>4.2699999999999996</v>
      </c>
      <c r="BO301" s="1637">
        <v>0</v>
      </c>
      <c r="BP301" s="1637">
        <v>0</v>
      </c>
      <c r="BQ301" s="1643">
        <f t="shared" si="677"/>
        <v>21.99</v>
      </c>
      <c r="BR301" s="1637">
        <f t="shared" si="699"/>
        <v>35.450000000000003</v>
      </c>
      <c r="BS301" s="1637">
        <f t="shared" si="700"/>
        <v>7.88</v>
      </c>
      <c r="BT301" s="1637">
        <f t="shared" si="913"/>
        <v>8.5399999999999991</v>
      </c>
      <c r="BU301" s="1637">
        <v>0</v>
      </c>
      <c r="BV301" s="1638">
        <f t="shared" si="678"/>
        <v>51.87</v>
      </c>
      <c r="BW301" s="1644">
        <f t="shared" si="679"/>
        <v>73.86</v>
      </c>
      <c r="BX301" s="1644">
        <f t="shared" si="904"/>
        <v>800.03</v>
      </c>
      <c r="BY301" s="1638">
        <v>0</v>
      </c>
      <c r="BZ301" s="1638">
        <f t="shared" si="905"/>
        <v>800.03</v>
      </c>
      <c r="CA301" s="1645">
        <f>'CONCEPTOS Y PARAMETROS'!$A$102</f>
        <v>2120</v>
      </c>
      <c r="CB301" s="1644">
        <f t="shared" si="916"/>
        <v>191.35999999999999</v>
      </c>
      <c r="CC301" s="1646">
        <f t="shared" si="917"/>
        <v>513.33000000000004</v>
      </c>
      <c r="CD301" s="1647"/>
      <c r="CE301" s="1647"/>
      <c r="CF301" s="1648"/>
      <c r="CG301" s="1649">
        <f t="shared" si="918"/>
        <v>191.35999999999999</v>
      </c>
      <c r="CH301" s="1713">
        <f t="shared" si="919"/>
        <v>300</v>
      </c>
      <c r="CI301" s="1649">
        <f t="shared" si="920"/>
        <v>513.32999999999993</v>
      </c>
      <c r="CJ301" s="1649">
        <f t="shared" si="921"/>
        <v>513.33000000000004</v>
      </c>
      <c r="CK301" s="1649">
        <f t="shared" si="922"/>
        <v>0</v>
      </c>
      <c r="CL301" s="1649">
        <f t="shared" si="923"/>
        <v>0</v>
      </c>
      <c r="CM301" s="1649">
        <f t="shared" si="924"/>
        <v>0</v>
      </c>
      <c r="CN301" s="1650">
        <f t="shared" si="925"/>
        <v>0</v>
      </c>
      <c r="CO301" s="1651">
        <v>0</v>
      </c>
      <c r="CP301" s="1650">
        <f t="shared" si="926"/>
        <v>0</v>
      </c>
      <c r="CQ301" s="1652">
        <f t="shared" si="927"/>
        <v>0</v>
      </c>
      <c r="CR301" s="1650">
        <f t="shared" si="928"/>
        <v>0</v>
      </c>
      <c r="CS301" s="1650">
        <f t="shared" si="929"/>
        <v>0</v>
      </c>
      <c r="CT301" s="1650">
        <f t="shared" si="930"/>
        <v>73.86</v>
      </c>
      <c r="CU301" s="1650">
        <f t="shared" si="931"/>
        <v>2120</v>
      </c>
      <c r="CV301" s="1653"/>
      <c r="CW301" s="1627" t="s">
        <v>6401</v>
      </c>
      <c r="CX301" s="1627" t="s">
        <v>7173</v>
      </c>
      <c r="CY301" s="1647"/>
      <c r="CZ301" s="1647" t="s">
        <v>6394</v>
      </c>
      <c r="DA301" s="1647" t="s">
        <v>6188</v>
      </c>
      <c r="DB301" s="1647" t="s">
        <v>6302</v>
      </c>
      <c r="DC301" s="1647" t="s">
        <v>6271</v>
      </c>
      <c r="DD301" s="1647"/>
      <c r="DE301" s="1647"/>
      <c r="DF301" s="1647"/>
      <c r="DG301" s="1647"/>
      <c r="DH301" s="1647"/>
      <c r="DJ301" s="1654" t="str">
        <f>VLOOKUP(X301,Hoja1!$A$4:$B$10,2,0)</f>
        <v>TÉCNICO SUPERIOR UNIVERSITARIO</v>
      </c>
      <c r="DK301" s="1654" t="str">
        <f>VLOOKUP(S301,Hoja1!$D$4:$F$77,3,0)</f>
        <v>TII - II</v>
      </c>
      <c r="DL301" s="1663" t="str">
        <f t="shared" si="932"/>
        <v>0</v>
      </c>
      <c r="DM301" s="1742" t="str">
        <f t="shared" si="933"/>
        <v>M</v>
      </c>
      <c r="DN301" s="1742"/>
    </row>
    <row r="302" spans="1:118" s="473" customFormat="1" ht="21.95" customHeight="1">
      <c r="A302" s="510" t="s">
        <v>2846</v>
      </c>
      <c r="B302" s="1390">
        <f t="shared" ca="1" si="822"/>
        <v>260</v>
      </c>
      <c r="C302" s="1194">
        <v>28096003</v>
      </c>
      <c r="D302" s="1195" t="s">
        <v>4927</v>
      </c>
      <c r="E302" s="1180" t="s">
        <v>4622</v>
      </c>
      <c r="F302" s="1196">
        <v>36719</v>
      </c>
      <c r="G302" s="1180" t="s">
        <v>4620</v>
      </c>
      <c r="H302" s="1196">
        <v>44228</v>
      </c>
      <c r="I302" s="1185">
        <f t="shared" si="906"/>
        <v>3</v>
      </c>
      <c r="J302" s="1177">
        <v>0</v>
      </c>
      <c r="K302" s="1185">
        <f t="shared" si="907"/>
        <v>3</v>
      </c>
      <c r="L302" s="1191" t="s">
        <v>5542</v>
      </c>
      <c r="M302" s="1177"/>
      <c r="N302" s="1177"/>
      <c r="O302" s="1040" t="s">
        <v>5222</v>
      </c>
      <c r="P302" s="1177" t="s">
        <v>5464</v>
      </c>
      <c r="Q302" s="1391" t="str">
        <f>IFERROR(VLOOKUP(O302,CARGOS!A:E,2,0),"")</f>
        <v>79511</v>
      </c>
      <c r="R302" s="1403" t="s">
        <v>5222</v>
      </c>
      <c r="S302" s="1192" t="s">
        <v>5490</v>
      </c>
      <c r="T302" s="1150">
        <f>IFERROR(VLOOKUP(S302,'TAB EMP'!A:B,2,0),0)</f>
        <v>150</v>
      </c>
      <c r="U302" s="1151">
        <v>0</v>
      </c>
      <c r="V302" s="1150">
        <f t="shared" si="739"/>
        <v>150</v>
      </c>
      <c r="W302" s="1151">
        <f t="shared" si="740"/>
        <v>75</v>
      </c>
      <c r="X302" s="1180" t="s">
        <v>2884</v>
      </c>
      <c r="Y302" s="1180"/>
      <c r="Z302" s="1180">
        <v>0</v>
      </c>
      <c r="AA302" s="1150">
        <f>ROUND(IF(H302&lt;&gt;"",VLOOKUP(SUM(I302+J302),'CONCEPTOS Y PARAMETROS'!F:G,2,0)*V302,0),2)</f>
        <v>4.5</v>
      </c>
      <c r="AB302" s="1150">
        <f>IF(S302&lt;&gt;"",IF(M302="",'CONCEPTOS Y PARAMETROS'!$C$4,0),0)</f>
        <v>130</v>
      </c>
      <c r="AC302" s="1150">
        <f>IF(S302&lt;&gt;"",IF(M302="",'CONCEPTOS Y PARAMETROS'!$C$7*Z302,0),0)</f>
        <v>0</v>
      </c>
      <c r="AD302" s="1150">
        <f>IFERROR(ROUND(VLOOKUP($X302,'CONCEPTOS Y PARAMETROS'!H:I,2,0)*($V302+AA302+AB302+AC302),2),0)</f>
        <v>0</v>
      </c>
      <c r="AE302" s="1150">
        <f t="shared" si="701"/>
        <v>134.5</v>
      </c>
      <c r="AF302" s="1150">
        <f t="shared" si="741"/>
        <v>2.25</v>
      </c>
      <c r="AG302" s="1150">
        <f t="shared" si="742"/>
        <v>2.25</v>
      </c>
      <c r="AH302" s="1150">
        <f t="shared" si="743"/>
        <v>65</v>
      </c>
      <c r="AI302" s="1150">
        <f t="shared" si="744"/>
        <v>65</v>
      </c>
      <c r="AJ302" s="1150">
        <f t="shared" si="745"/>
        <v>0</v>
      </c>
      <c r="AK302" s="1150">
        <f t="shared" si="746"/>
        <v>0</v>
      </c>
      <c r="AL302" s="1151">
        <f t="shared" si="747"/>
        <v>67.25</v>
      </c>
      <c r="AM302" s="1151">
        <f t="shared" si="748"/>
        <v>67.25</v>
      </c>
      <c r="AN302" s="1028">
        <v>0</v>
      </c>
      <c r="AO302" s="1193">
        <f>'CONCEPTOS Y PARAMETROS'!$C$18*AN302</f>
        <v>0</v>
      </c>
      <c r="AP302" s="1028">
        <v>0</v>
      </c>
      <c r="AQ302" s="1193">
        <f>'CONCEPTOS Y PARAMETROS'!$C$21*AP302</f>
        <v>0</v>
      </c>
      <c r="AR302" s="1394">
        <v>12.5</v>
      </c>
      <c r="AS302" s="1394">
        <v>0</v>
      </c>
      <c r="AT302" s="1394">
        <f t="shared" si="824"/>
        <v>12.5</v>
      </c>
      <c r="AU302" s="1151">
        <f t="shared" si="749"/>
        <v>369.85</v>
      </c>
      <c r="AV302" s="1178" t="s">
        <v>5080</v>
      </c>
      <c r="AW302" s="1151">
        <f t="shared" si="826"/>
        <v>85.35</v>
      </c>
      <c r="AX302" s="1150">
        <f>IF(T302&lt;&gt;"0",(ROUND(IF(A302="EMPLEADO",eval_formula('CONCEPTOS Y PARAMETROS'!$C$8,NOMINA!V302,NOMINA!$AU302,NOMINA!I302+NOMINA!J302),eval_formula('CONCEPTOS Y PARAMETROS'!$D$8,NOMINA!V302,NOMINA!$AU302,NOMINA!I302+NOMINA!J302)),2))*IF(H302&lt;&gt;"",IF(MONTH(H302)=$BR$8,IF(YEAR(H302)&lt;$BT$7,1,0),0)))</f>
        <v>0</v>
      </c>
      <c r="AY302" s="1151">
        <v>180</v>
      </c>
      <c r="AZ302" s="1150">
        <f>IFERROR(VLOOKUP(AY302,'CONCEPTOS Y PARAMETROS'!Y:Z,2,0),0)</f>
        <v>150</v>
      </c>
      <c r="BA302" s="1150">
        <f t="shared" si="750"/>
        <v>2773.88</v>
      </c>
      <c r="BB302" s="1150">
        <f t="shared" ref="BB302:BB309" si="934">ROUND(AU302/30*$BB$10,2)</f>
        <v>0</v>
      </c>
      <c r="BC302" s="1028">
        <v>0</v>
      </c>
      <c r="BD302" s="1150" t="str">
        <f t="shared" si="751"/>
        <v>0</v>
      </c>
      <c r="BE302" s="1028">
        <v>3</v>
      </c>
      <c r="BF302" s="1150">
        <f t="shared" si="845"/>
        <v>55.48</v>
      </c>
      <c r="BG302" s="1151">
        <v>300</v>
      </c>
      <c r="BH302" s="1151">
        <f t="shared" si="909"/>
        <v>0</v>
      </c>
      <c r="BI302" s="1180">
        <v>0</v>
      </c>
      <c r="BJ302" s="1180">
        <f t="shared" si="910"/>
        <v>0</v>
      </c>
      <c r="BK302" s="1151">
        <v>0</v>
      </c>
      <c r="BL302" s="1150">
        <f t="shared" si="696"/>
        <v>13.66</v>
      </c>
      <c r="BM302" s="1150">
        <f t="shared" si="697"/>
        <v>1.71</v>
      </c>
      <c r="BN302" s="1150">
        <f t="shared" si="911"/>
        <v>3.7</v>
      </c>
      <c r="BO302" s="1150">
        <v>0</v>
      </c>
      <c r="BP302" s="1150">
        <v>0</v>
      </c>
      <c r="BQ302" s="1396">
        <f t="shared" si="677"/>
        <v>19.07</v>
      </c>
      <c r="BR302" s="1150">
        <f t="shared" si="699"/>
        <v>30.73</v>
      </c>
      <c r="BS302" s="1150">
        <f t="shared" si="700"/>
        <v>6.83</v>
      </c>
      <c r="BT302" s="1150">
        <f t="shared" si="913"/>
        <v>7.4</v>
      </c>
      <c r="BU302" s="1150">
        <v>0</v>
      </c>
      <c r="BV302" s="1151">
        <f t="shared" si="678"/>
        <v>44.96</v>
      </c>
      <c r="BW302" s="1155">
        <f t="shared" si="679"/>
        <v>64.03</v>
      </c>
      <c r="BX302" s="1155">
        <f t="shared" si="904"/>
        <v>693.47</v>
      </c>
      <c r="BY302" s="1151">
        <v>0</v>
      </c>
      <c r="BZ302" s="1151">
        <f t="shared" si="905"/>
        <v>693.47</v>
      </c>
      <c r="CA302" s="1397">
        <f>'CONCEPTOS Y PARAMETROS'!$A$102</f>
        <v>2120</v>
      </c>
      <c r="CB302" s="1155">
        <f t="shared" si="916"/>
        <v>123.18</v>
      </c>
      <c r="CC302" s="1156">
        <f t="shared" si="917"/>
        <v>595.58000000000004</v>
      </c>
      <c r="CD302" s="514"/>
      <c r="CE302" s="514"/>
      <c r="CF302" s="520"/>
      <c r="CG302" s="497">
        <f t="shared" si="918"/>
        <v>123.18</v>
      </c>
      <c r="CH302" s="1711">
        <f t="shared" si="919"/>
        <v>300</v>
      </c>
      <c r="CI302" s="497">
        <f t="shared" si="920"/>
        <v>442.25</v>
      </c>
      <c r="CJ302" s="497">
        <f t="shared" si="921"/>
        <v>442.25</v>
      </c>
      <c r="CK302" s="497">
        <f t="shared" si="922"/>
        <v>0</v>
      </c>
      <c r="CL302" s="497">
        <f t="shared" si="923"/>
        <v>0</v>
      </c>
      <c r="CM302" s="497">
        <f t="shared" si="924"/>
        <v>0</v>
      </c>
      <c r="CN302" s="498">
        <f t="shared" si="925"/>
        <v>55.48</v>
      </c>
      <c r="CO302" s="499">
        <v>0</v>
      </c>
      <c r="CP302" s="498">
        <f t="shared" si="926"/>
        <v>85.35</v>
      </c>
      <c r="CQ302" s="500">
        <f t="shared" si="927"/>
        <v>12.5</v>
      </c>
      <c r="CR302" s="498">
        <f t="shared" si="928"/>
        <v>0</v>
      </c>
      <c r="CS302" s="498">
        <f t="shared" si="929"/>
        <v>153.32999999999998</v>
      </c>
      <c r="CT302" s="498">
        <f t="shared" si="930"/>
        <v>64.03</v>
      </c>
      <c r="CU302" s="498">
        <f t="shared" si="931"/>
        <v>2120</v>
      </c>
      <c r="CV302" s="1554"/>
      <c r="CW302" s="1195" t="s">
        <v>7081</v>
      </c>
      <c r="CX302" s="1195" t="s">
        <v>6935</v>
      </c>
      <c r="CY302" s="472"/>
      <c r="CZ302" s="514" t="s">
        <v>6339</v>
      </c>
      <c r="DA302" s="514" t="s">
        <v>6198</v>
      </c>
      <c r="DB302" s="514" t="s">
        <v>6265</v>
      </c>
      <c r="DC302" s="514" t="s">
        <v>6340</v>
      </c>
      <c r="DD302" s="514"/>
      <c r="DE302" s="514"/>
      <c r="DF302" s="472"/>
      <c r="DG302" s="472"/>
      <c r="DH302" s="472"/>
      <c r="DJ302" s="473" t="str">
        <f>VLOOKUP(X302,Hoja1!$A$4:$B$10,2,0)</f>
        <v>BACHILLER</v>
      </c>
      <c r="DK302" s="473" t="str">
        <f>VLOOKUP(S302,Hoja1!$D$4:$F$77,3,0)</f>
        <v>BII - II</v>
      </c>
      <c r="DL302" s="1216" t="str">
        <f t="shared" si="932"/>
        <v>SI</v>
      </c>
      <c r="DM302" s="1741" t="str">
        <f t="shared" si="933"/>
        <v>F</v>
      </c>
      <c r="DN302" s="1741"/>
    </row>
    <row r="303" spans="1:118" s="1654" customFormat="1" ht="21.95" customHeight="1">
      <c r="A303" s="1624" t="s">
        <v>2846</v>
      </c>
      <c r="B303" s="1625">
        <f t="shared" ca="1" si="822"/>
        <v>261</v>
      </c>
      <c r="C303" s="1626">
        <v>28096576</v>
      </c>
      <c r="D303" s="1627" t="s">
        <v>5748</v>
      </c>
      <c r="E303" s="1628" t="s">
        <v>4622</v>
      </c>
      <c r="F303" s="1629">
        <v>36652</v>
      </c>
      <c r="G303" s="1628" t="s">
        <v>4620</v>
      </c>
      <c r="H303" s="1629">
        <v>45017</v>
      </c>
      <c r="I303" s="1630">
        <f t="shared" si="906"/>
        <v>1</v>
      </c>
      <c r="J303" s="1631">
        <v>0</v>
      </c>
      <c r="K303" s="1630">
        <f t="shared" si="907"/>
        <v>1</v>
      </c>
      <c r="L303" s="1632" t="s">
        <v>6149</v>
      </c>
      <c r="M303" s="1631"/>
      <c r="N303" s="1631"/>
      <c r="O303" s="1633" t="s">
        <v>5235</v>
      </c>
      <c r="P303" s="1631" t="s">
        <v>5521</v>
      </c>
      <c r="Q303" s="1634" t="str">
        <f>IFERROR(VLOOKUP(O303,CARGOS!A:E,2,0),"")</f>
        <v>12111</v>
      </c>
      <c r="R303" s="1635" t="s">
        <v>5235</v>
      </c>
      <c r="S303" s="1636" t="s">
        <v>5483</v>
      </c>
      <c r="T303" s="1637">
        <f>IFERROR(VLOOKUP(S303,'TAB EMP'!A:B,2,0),0)</f>
        <v>130</v>
      </c>
      <c r="U303" s="1638">
        <v>0</v>
      </c>
      <c r="V303" s="1637">
        <f t="shared" ref="V303" si="935">T303-U303</f>
        <v>130</v>
      </c>
      <c r="W303" s="1638">
        <f t="shared" ref="W303" si="936">ROUND(V303/2,2)</f>
        <v>65</v>
      </c>
      <c r="X303" s="1628" t="s">
        <v>2884</v>
      </c>
      <c r="Y303" s="1628"/>
      <c r="Z303" s="1628">
        <v>2</v>
      </c>
      <c r="AA303" s="1637">
        <f>ROUND(IF(H303&lt;&gt;"",VLOOKUP(SUM(I303+J303),'CONCEPTOS Y PARAMETROS'!F:G,2,0)*V303,0),2)</f>
        <v>1.3</v>
      </c>
      <c r="AB303" s="1637">
        <f>IF(S303&lt;&gt;"",IF(M303="",'CONCEPTOS Y PARAMETROS'!$C$4,0),0)</f>
        <v>130</v>
      </c>
      <c r="AC303" s="1637">
        <f>IF(S303&lt;&gt;"",IF(M303="",'CONCEPTOS Y PARAMETROS'!$C$7*Z303,0),0)</f>
        <v>25</v>
      </c>
      <c r="AD303" s="1637">
        <f>IFERROR(ROUND(VLOOKUP($X303,'CONCEPTOS Y PARAMETROS'!H:I,2,0)*($V303+AA303+AB303+AC303),2),0)</f>
        <v>0</v>
      </c>
      <c r="AE303" s="1637">
        <f t="shared" ref="AE303" si="937">SUM(AA303:AD303)</f>
        <v>156.30000000000001</v>
      </c>
      <c r="AF303" s="1637">
        <f t="shared" ref="AF303" si="938">ROUND(AA303/2,2)</f>
        <v>0.65</v>
      </c>
      <c r="AG303" s="1637">
        <f t="shared" ref="AG303" si="939">ROUND(AA303-AF303,2)</f>
        <v>0.65</v>
      </c>
      <c r="AH303" s="1637">
        <f t="shared" ref="AH303" si="940">ROUND(AB303/2,2)</f>
        <v>65</v>
      </c>
      <c r="AI303" s="1637">
        <f t="shared" ref="AI303" si="941">ROUND(AB303-AH303,2)</f>
        <v>65</v>
      </c>
      <c r="AJ303" s="1637">
        <f t="shared" ref="AJ303" si="942">ROUND(AD303/2,2)</f>
        <v>0</v>
      </c>
      <c r="AK303" s="1637">
        <f t="shared" ref="AK303" si="943">ROUND(AD303-AJ303,2)</f>
        <v>0</v>
      </c>
      <c r="AL303" s="1638">
        <f t="shared" ref="AL303" si="944">ROUND(AF303+AH303+AJ303+AC303,2)</f>
        <v>90.65</v>
      </c>
      <c r="AM303" s="1638">
        <f t="shared" ref="AM303" si="945">ROUND(AG303+AI303+AK303,2)</f>
        <v>65.650000000000006</v>
      </c>
      <c r="AN303" s="1639">
        <v>0</v>
      </c>
      <c r="AO303" s="1640">
        <f>'CONCEPTOS Y PARAMETROS'!$C$18*AN303</f>
        <v>0</v>
      </c>
      <c r="AP303" s="1639">
        <v>0</v>
      </c>
      <c r="AQ303" s="1640">
        <f>'CONCEPTOS Y PARAMETROS'!$C$21*AP303</f>
        <v>0</v>
      </c>
      <c r="AR303" s="1641">
        <v>0</v>
      </c>
      <c r="AS303" s="1641">
        <v>0</v>
      </c>
      <c r="AT303" s="1641">
        <f t="shared" ref="AT303" si="946">+AO303+AQ303+AR303+AS303</f>
        <v>0</v>
      </c>
      <c r="AU303" s="1638">
        <f t="shared" ref="AU303" si="947">V303+AE303+AW303</f>
        <v>286.3</v>
      </c>
      <c r="AV303" s="1642">
        <v>0</v>
      </c>
      <c r="AW303" s="1638">
        <f t="shared" ref="AW303" si="948">ROUND(IF(AV303="NOCTURN",(V303+AE303)*30%,0),2)</f>
        <v>0</v>
      </c>
      <c r="AX303" s="1637">
        <f>IF(T303&lt;&gt;"0",(ROUND(IF(A303="EMPLEADO",eval_formula('CONCEPTOS Y PARAMETROS'!$C$8,NOMINA!V303,NOMINA!$AU303,NOMINA!I303+NOMINA!J303),eval_formula('CONCEPTOS Y PARAMETROS'!$D$8,NOMINA!V303,NOMINA!$AU303,NOMINA!I303+NOMINA!J303)),2))*IF(H303&lt;&gt;"",IF(MONTH(H303)=$BR$8,IF(YEAR(H303)&lt;$BT$7,1,0),0)))</f>
        <v>0</v>
      </c>
      <c r="AY303" s="1638">
        <v>180</v>
      </c>
      <c r="AZ303" s="1637">
        <f>IFERROR(VLOOKUP(AY303,'CONCEPTOS Y PARAMETROS'!Y:Z,2,0),0)</f>
        <v>150</v>
      </c>
      <c r="BA303" s="1637">
        <f t="shared" ref="BA303" si="949">ROUND((((AU303))/30*AY303/12+(AU303))/30*AZ303,2)</f>
        <v>2147.25</v>
      </c>
      <c r="BB303" s="1637">
        <f t="shared" ref="BB303" si="950">ROUND(AU303/30*$BB$10,2)</f>
        <v>0</v>
      </c>
      <c r="BC303" s="1639">
        <v>0</v>
      </c>
      <c r="BD303" s="1637" t="str">
        <f t="shared" ref="BD303" si="951">IF(BC303&gt;0,((((((V303+AA303+AB303+AC303+AD303)/30)/8)*50%)+((((V303+AA303+AB303+AC303+AD303)/30)/8)))*30%+(((((V303+AA303+AB303+AC303+AD303)/30)/8)*50%)+((((V303+AA303+AB303+AC303+AD303)/30)/8))))*BC303,"0")</f>
        <v>0</v>
      </c>
      <c r="BE303" s="1639">
        <v>0</v>
      </c>
      <c r="BF303" s="1637">
        <f t="shared" si="845"/>
        <v>0</v>
      </c>
      <c r="BG303" s="1638">
        <v>300</v>
      </c>
      <c r="BH303" s="1638">
        <f t="shared" si="909"/>
        <v>0</v>
      </c>
      <c r="BI303" s="1628">
        <v>0</v>
      </c>
      <c r="BJ303" s="1628">
        <f t="shared" ref="BJ303" si="952">+IF(BI303&lt;&gt;0,(BI303*12.5),0)</f>
        <v>0</v>
      </c>
      <c r="BK303" s="1638">
        <v>0</v>
      </c>
      <c r="BL303" s="1637">
        <f t="shared" si="696"/>
        <v>10.57</v>
      </c>
      <c r="BM303" s="1637">
        <f t="shared" si="697"/>
        <v>1.32</v>
      </c>
      <c r="BN303" s="1637">
        <f t="shared" si="911"/>
        <v>2.86</v>
      </c>
      <c r="BO303" s="1637">
        <v>0</v>
      </c>
      <c r="BP303" s="1637">
        <v>0</v>
      </c>
      <c r="BQ303" s="1643">
        <f t="shared" ref="BQ303" si="953">ROUND(SUM(BL303:BP303),2)</f>
        <v>14.75</v>
      </c>
      <c r="BR303" s="1637">
        <f t="shared" si="699"/>
        <v>23.78</v>
      </c>
      <c r="BS303" s="1637">
        <f t="shared" si="700"/>
        <v>5.29</v>
      </c>
      <c r="BT303" s="1637">
        <f t="shared" si="913"/>
        <v>5.72</v>
      </c>
      <c r="BU303" s="1637">
        <v>0</v>
      </c>
      <c r="BV303" s="1638">
        <f t="shared" ref="BV303" si="954">ROUND(SUM(BR303:BT303),2)</f>
        <v>34.79</v>
      </c>
      <c r="BW303" s="1644">
        <f t="shared" ref="BW303" si="955">BQ303+BV303</f>
        <v>49.54</v>
      </c>
      <c r="BX303" s="1644">
        <f t="shared" si="904"/>
        <v>536.80999999999995</v>
      </c>
      <c r="BY303" s="1638">
        <v>0</v>
      </c>
      <c r="BZ303" s="1638">
        <f t="shared" ref="BZ303" si="956">+BX303+BY303</f>
        <v>536.80999999999995</v>
      </c>
      <c r="CA303" s="1645">
        <f>'CONCEPTOS Y PARAMETROS'!$A$102</f>
        <v>2120</v>
      </c>
      <c r="CB303" s="1644">
        <f t="shared" si="916"/>
        <v>140.9</v>
      </c>
      <c r="CC303" s="1646">
        <f t="shared" si="917"/>
        <v>430.65</v>
      </c>
      <c r="CD303" s="1647"/>
      <c r="CE303" s="1647"/>
      <c r="CF303" s="1648"/>
      <c r="CG303" s="1649">
        <f t="shared" si="918"/>
        <v>140.9</v>
      </c>
      <c r="CH303" s="1713">
        <f t="shared" si="919"/>
        <v>300</v>
      </c>
      <c r="CI303" s="1649">
        <f t="shared" si="920"/>
        <v>430.65</v>
      </c>
      <c r="CJ303" s="1649">
        <f t="shared" si="921"/>
        <v>430.65</v>
      </c>
      <c r="CK303" s="1649">
        <f t="shared" si="922"/>
        <v>0</v>
      </c>
      <c r="CL303" s="1649">
        <f t="shared" si="923"/>
        <v>0</v>
      </c>
      <c r="CM303" s="1649">
        <f t="shared" si="924"/>
        <v>0</v>
      </c>
      <c r="CN303" s="1650">
        <f t="shared" si="925"/>
        <v>0</v>
      </c>
      <c r="CO303" s="1651">
        <v>0</v>
      </c>
      <c r="CP303" s="1650">
        <f t="shared" si="926"/>
        <v>0</v>
      </c>
      <c r="CQ303" s="1652">
        <f t="shared" si="927"/>
        <v>0</v>
      </c>
      <c r="CR303" s="1650">
        <f t="shared" si="928"/>
        <v>0</v>
      </c>
      <c r="CS303" s="1650">
        <f t="shared" si="929"/>
        <v>0</v>
      </c>
      <c r="CT303" s="1650">
        <f t="shared" si="930"/>
        <v>49.54</v>
      </c>
      <c r="CU303" s="1650">
        <f t="shared" si="931"/>
        <v>2120</v>
      </c>
      <c r="CV303" s="1653"/>
      <c r="CW303" s="1627" t="s">
        <v>7081</v>
      </c>
      <c r="CX303" s="1627" t="s">
        <v>6935</v>
      </c>
      <c r="CY303" s="1647"/>
      <c r="CZ303" s="1647" t="s">
        <v>6339</v>
      </c>
      <c r="DA303" s="1647" t="s">
        <v>6198</v>
      </c>
      <c r="DB303" s="1647" t="s">
        <v>6265</v>
      </c>
      <c r="DC303" s="1647" t="s">
        <v>6340</v>
      </c>
      <c r="DD303" s="1647"/>
      <c r="DE303" s="1647"/>
      <c r="DF303" s="1647"/>
      <c r="DG303" s="1647"/>
      <c r="DH303" s="1647"/>
      <c r="DJ303" s="1654" t="str">
        <f>VLOOKUP(X303,Hoja1!$A$4:$B$10,2,0)</f>
        <v>BACHILLER</v>
      </c>
      <c r="DK303" s="1654" t="str">
        <f>VLOOKUP(S303,Hoja1!$D$4:$F$77,3,0)</f>
        <v>BI</v>
      </c>
      <c r="DL303" s="1679" t="str">
        <f t="shared" si="932"/>
        <v>0</v>
      </c>
      <c r="DM303" s="1742" t="str">
        <f t="shared" si="933"/>
        <v>F</v>
      </c>
      <c r="DN303" s="1742"/>
    </row>
    <row r="304" spans="1:118" s="1654" customFormat="1" ht="21.95" customHeight="1">
      <c r="A304" s="1624" t="s">
        <v>2846</v>
      </c>
      <c r="B304" s="1625">
        <f t="shared" ca="1" si="822"/>
        <v>262</v>
      </c>
      <c r="C304" s="1626">
        <v>28445465</v>
      </c>
      <c r="D304" s="1627" t="s">
        <v>4928</v>
      </c>
      <c r="E304" s="1628" t="s">
        <v>4622</v>
      </c>
      <c r="F304" s="1629">
        <v>37194</v>
      </c>
      <c r="G304" s="1628" t="s">
        <v>4620</v>
      </c>
      <c r="H304" s="1629">
        <v>43770</v>
      </c>
      <c r="I304" s="1630">
        <f t="shared" si="906"/>
        <v>5</v>
      </c>
      <c r="J304" s="1631">
        <v>0</v>
      </c>
      <c r="K304" s="1630">
        <f t="shared" si="907"/>
        <v>5</v>
      </c>
      <c r="L304" s="1632" t="s">
        <v>5538</v>
      </c>
      <c r="M304" s="1631"/>
      <c r="N304" s="1631"/>
      <c r="O304" s="1633" t="s">
        <v>7422</v>
      </c>
      <c r="P304" s="1631" t="s">
        <v>5465</v>
      </c>
      <c r="Q304" s="1634" t="str">
        <f>IFERROR(VLOOKUP(O304,CARGOS!A:E,2,0),"")</f>
        <v>12112</v>
      </c>
      <c r="R304" s="1635" t="s">
        <v>7422</v>
      </c>
      <c r="S304" s="1636" t="s">
        <v>5490</v>
      </c>
      <c r="T304" s="1637">
        <f>IFERROR(VLOOKUP(S304,'TAB EMP'!A:B,2,0),0)</f>
        <v>150</v>
      </c>
      <c r="U304" s="1638">
        <v>0</v>
      </c>
      <c r="V304" s="1637">
        <f t="shared" si="739"/>
        <v>150</v>
      </c>
      <c r="W304" s="1638">
        <f t="shared" si="740"/>
        <v>75</v>
      </c>
      <c r="X304" s="1628" t="s">
        <v>2884</v>
      </c>
      <c r="Y304" s="1628"/>
      <c r="Z304" s="1628">
        <v>0</v>
      </c>
      <c r="AA304" s="1637">
        <f>ROUND(IF(H304&lt;&gt;"",VLOOKUP(SUM(I304+J304),'CONCEPTOS Y PARAMETROS'!F:G,2,0)*V304,0),2)</f>
        <v>7.5</v>
      </c>
      <c r="AB304" s="1637">
        <f>IF(S304&lt;&gt;"",IF(M304="",'CONCEPTOS Y PARAMETROS'!$C$4,0),0)</f>
        <v>130</v>
      </c>
      <c r="AC304" s="1637">
        <f>IF(S304&lt;&gt;"",IF(M304="",'CONCEPTOS Y PARAMETROS'!$C$7*Z304,0),0)</f>
        <v>0</v>
      </c>
      <c r="AD304" s="1637">
        <f>IFERROR(ROUND(VLOOKUP($X304,'CONCEPTOS Y PARAMETROS'!H:I,2,0)*($V304+AA304+AB304+AC304),2),0)</f>
        <v>0</v>
      </c>
      <c r="AE304" s="1637">
        <f t="shared" si="701"/>
        <v>137.5</v>
      </c>
      <c r="AF304" s="1637">
        <f t="shared" si="741"/>
        <v>3.75</v>
      </c>
      <c r="AG304" s="1637">
        <f t="shared" si="742"/>
        <v>3.75</v>
      </c>
      <c r="AH304" s="1637">
        <f t="shared" si="743"/>
        <v>65</v>
      </c>
      <c r="AI304" s="1637">
        <f t="shared" si="744"/>
        <v>65</v>
      </c>
      <c r="AJ304" s="1637">
        <f t="shared" si="745"/>
        <v>0</v>
      </c>
      <c r="AK304" s="1637">
        <f t="shared" si="746"/>
        <v>0</v>
      </c>
      <c r="AL304" s="1638">
        <f t="shared" si="747"/>
        <v>68.75</v>
      </c>
      <c r="AM304" s="1638">
        <f t="shared" si="748"/>
        <v>68.75</v>
      </c>
      <c r="AN304" s="1639">
        <v>0</v>
      </c>
      <c r="AO304" s="1640">
        <f>'CONCEPTOS Y PARAMETROS'!$C$18*AN304</f>
        <v>0</v>
      </c>
      <c r="AP304" s="1639">
        <v>0</v>
      </c>
      <c r="AQ304" s="1640">
        <f>'CONCEPTOS Y PARAMETROS'!$C$21*AP304</f>
        <v>0</v>
      </c>
      <c r="AR304" s="1667">
        <v>12.5</v>
      </c>
      <c r="AS304" s="1641">
        <v>0</v>
      </c>
      <c r="AT304" s="1641">
        <f t="shared" si="824"/>
        <v>12.5</v>
      </c>
      <c r="AU304" s="1638">
        <f t="shared" si="749"/>
        <v>287.5</v>
      </c>
      <c r="AV304" s="1642">
        <v>0</v>
      </c>
      <c r="AW304" s="1638">
        <f t="shared" si="826"/>
        <v>0</v>
      </c>
      <c r="AX304" s="1637">
        <f>IF(T304&lt;&gt;"0",(ROUND(IF(A304="EMPLEADO",eval_formula('CONCEPTOS Y PARAMETROS'!$C$8,NOMINA!V304,NOMINA!$AU304,NOMINA!I304+NOMINA!J304),eval_formula('CONCEPTOS Y PARAMETROS'!$D$8,NOMINA!V304,NOMINA!$AU304,NOMINA!I304+NOMINA!J304)),2))*IF(H304&lt;&gt;"",IF(MONTH(H304)=$BR$8,IF(YEAR(H304)&lt;$BT$7,1,0),0)))</f>
        <v>0</v>
      </c>
      <c r="AY304" s="1638">
        <v>180</v>
      </c>
      <c r="AZ304" s="1637">
        <f>IFERROR(VLOOKUP(AY304,'CONCEPTOS Y PARAMETROS'!Y:Z,2,0),0)</f>
        <v>150</v>
      </c>
      <c r="BA304" s="1637">
        <f t="shared" si="750"/>
        <v>2156.25</v>
      </c>
      <c r="BB304" s="1637">
        <f t="shared" si="934"/>
        <v>0</v>
      </c>
      <c r="BC304" s="1639">
        <v>0</v>
      </c>
      <c r="BD304" s="1637" t="str">
        <f t="shared" si="751"/>
        <v>0</v>
      </c>
      <c r="BE304" s="1639">
        <v>0</v>
      </c>
      <c r="BF304" s="1637">
        <f t="shared" si="845"/>
        <v>0</v>
      </c>
      <c r="BG304" s="1638">
        <v>300</v>
      </c>
      <c r="BH304" s="1638">
        <f t="shared" si="909"/>
        <v>0</v>
      </c>
      <c r="BI304" s="1628">
        <v>0</v>
      </c>
      <c r="BJ304" s="1628">
        <f t="shared" si="910"/>
        <v>0</v>
      </c>
      <c r="BK304" s="1638">
        <v>0</v>
      </c>
      <c r="BL304" s="1637">
        <f t="shared" si="696"/>
        <v>10.62</v>
      </c>
      <c r="BM304" s="1637">
        <f t="shared" si="697"/>
        <v>1.33</v>
      </c>
      <c r="BN304" s="1637">
        <f t="shared" si="911"/>
        <v>2.88</v>
      </c>
      <c r="BO304" s="1637">
        <v>0</v>
      </c>
      <c r="BP304" s="1637">
        <v>0</v>
      </c>
      <c r="BQ304" s="1643">
        <f t="shared" si="677"/>
        <v>14.83</v>
      </c>
      <c r="BR304" s="1637">
        <f t="shared" si="699"/>
        <v>23.88</v>
      </c>
      <c r="BS304" s="1637">
        <f t="shared" si="700"/>
        <v>5.31</v>
      </c>
      <c r="BT304" s="1637">
        <f t="shared" si="913"/>
        <v>5.76</v>
      </c>
      <c r="BU304" s="1637">
        <v>0</v>
      </c>
      <c r="BV304" s="1638">
        <f t="shared" si="678"/>
        <v>34.950000000000003</v>
      </c>
      <c r="BW304" s="1644">
        <f t="shared" si="679"/>
        <v>49.78</v>
      </c>
      <c r="BX304" s="1644">
        <f t="shared" si="904"/>
        <v>539.05999999999995</v>
      </c>
      <c r="BY304" s="1638">
        <v>0</v>
      </c>
      <c r="BZ304" s="1638">
        <f t="shared" si="905"/>
        <v>539.05999999999995</v>
      </c>
      <c r="CA304" s="1645">
        <f>'CONCEPTOS Y PARAMETROS'!$A$102</f>
        <v>2120</v>
      </c>
      <c r="CB304" s="1644">
        <f t="shared" si="916"/>
        <v>128.91999999999999</v>
      </c>
      <c r="CC304" s="1646">
        <f t="shared" si="917"/>
        <v>456.25</v>
      </c>
      <c r="CD304" s="1647"/>
      <c r="CE304" s="1647"/>
      <c r="CF304" s="1648"/>
      <c r="CG304" s="1649">
        <f t="shared" si="918"/>
        <v>128.91999999999999</v>
      </c>
      <c r="CH304" s="1713">
        <f t="shared" si="919"/>
        <v>300</v>
      </c>
      <c r="CI304" s="1649">
        <f t="shared" si="920"/>
        <v>443.75</v>
      </c>
      <c r="CJ304" s="1649">
        <f t="shared" si="921"/>
        <v>443.75</v>
      </c>
      <c r="CK304" s="1649">
        <f t="shared" si="922"/>
        <v>0</v>
      </c>
      <c r="CL304" s="1649">
        <f t="shared" si="923"/>
        <v>0</v>
      </c>
      <c r="CM304" s="1649">
        <f t="shared" si="924"/>
        <v>0</v>
      </c>
      <c r="CN304" s="1650">
        <f t="shared" si="925"/>
        <v>0</v>
      </c>
      <c r="CO304" s="1651">
        <v>0</v>
      </c>
      <c r="CP304" s="1650">
        <f t="shared" si="926"/>
        <v>0</v>
      </c>
      <c r="CQ304" s="1652">
        <f t="shared" si="927"/>
        <v>12.5</v>
      </c>
      <c r="CR304" s="1650">
        <f t="shared" si="928"/>
        <v>0</v>
      </c>
      <c r="CS304" s="1650">
        <f t="shared" si="929"/>
        <v>12.5</v>
      </c>
      <c r="CT304" s="1650">
        <f t="shared" si="930"/>
        <v>49.78</v>
      </c>
      <c r="CU304" s="1650">
        <f t="shared" si="931"/>
        <v>2120</v>
      </c>
      <c r="CV304" s="1653"/>
      <c r="CW304" s="1627" t="s">
        <v>7174</v>
      </c>
      <c r="CX304" s="1627" t="s">
        <v>7040</v>
      </c>
      <c r="CY304" s="1647"/>
      <c r="CZ304" s="1647" t="s">
        <v>6456</v>
      </c>
      <c r="DA304" s="1647" t="s">
        <v>6171</v>
      </c>
      <c r="DB304" s="1647" t="s">
        <v>6457</v>
      </c>
      <c r="DC304" s="1647" t="s">
        <v>6523</v>
      </c>
      <c r="DD304" s="1647"/>
      <c r="DE304" s="1647"/>
      <c r="DF304" s="1647"/>
      <c r="DG304" s="1647"/>
      <c r="DH304" s="1647"/>
      <c r="DJ304" s="1654" t="str">
        <f>VLOOKUP(X304,Hoja1!$A$4:$B$10,2,0)</f>
        <v>BACHILLER</v>
      </c>
      <c r="DK304" s="1654" t="str">
        <f>VLOOKUP(S304,Hoja1!$D$4:$F$77,3,0)</f>
        <v>BII - II</v>
      </c>
      <c r="DL304" s="1663" t="str">
        <f t="shared" si="932"/>
        <v>0</v>
      </c>
      <c r="DM304" s="1742" t="str">
        <f t="shared" si="933"/>
        <v>F</v>
      </c>
      <c r="DN304" s="1742"/>
    </row>
    <row r="305" spans="1:118" s="1654" customFormat="1" ht="21.95" customHeight="1">
      <c r="A305" s="1624" t="s">
        <v>2846</v>
      </c>
      <c r="B305" s="1625">
        <f t="shared" ca="1" si="822"/>
        <v>263</v>
      </c>
      <c r="C305" s="1626">
        <v>29585477</v>
      </c>
      <c r="D305" s="1627" t="s">
        <v>4929</v>
      </c>
      <c r="E305" s="1628" t="s">
        <v>4622</v>
      </c>
      <c r="F305" s="1629">
        <v>36639</v>
      </c>
      <c r="G305" s="1628" t="s">
        <v>4620</v>
      </c>
      <c r="H305" s="1629">
        <v>43512</v>
      </c>
      <c r="I305" s="1630">
        <f t="shared" si="906"/>
        <v>5</v>
      </c>
      <c r="J305" s="1631">
        <v>0</v>
      </c>
      <c r="K305" s="1630">
        <f t="shared" si="907"/>
        <v>5</v>
      </c>
      <c r="L305" s="1632" t="s">
        <v>5547</v>
      </c>
      <c r="M305" s="1631"/>
      <c r="N305" s="1631"/>
      <c r="O305" s="1633" t="s">
        <v>5270</v>
      </c>
      <c r="P305" s="1631" t="s">
        <v>5466</v>
      </c>
      <c r="Q305" s="1634" t="str">
        <f>IFERROR(VLOOKUP(O305,CARGOS!A:E,2,0),"")</f>
        <v>34232</v>
      </c>
      <c r="R305" s="1635" t="s">
        <v>5270</v>
      </c>
      <c r="S305" s="1636" t="s">
        <v>5490</v>
      </c>
      <c r="T305" s="1637">
        <f>IFERROR(VLOOKUP(S305,'TAB EMP'!A:B,2,0),0)</f>
        <v>150</v>
      </c>
      <c r="U305" s="1638">
        <v>0</v>
      </c>
      <c r="V305" s="1637">
        <f t="shared" si="739"/>
        <v>150</v>
      </c>
      <c r="W305" s="1638">
        <f t="shared" si="740"/>
        <v>75</v>
      </c>
      <c r="X305" s="1628" t="s">
        <v>2884</v>
      </c>
      <c r="Y305" s="1628"/>
      <c r="Z305" s="1628">
        <v>1</v>
      </c>
      <c r="AA305" s="1637">
        <f>ROUND(IF(H305&lt;&gt;"",VLOOKUP(SUM(I305+J305),'CONCEPTOS Y PARAMETROS'!F:G,2,0)*V305,0),2)</f>
        <v>7.5</v>
      </c>
      <c r="AB305" s="1637">
        <f>IF(S305&lt;&gt;"",IF(M305="",'CONCEPTOS Y PARAMETROS'!$C$4,0),0)</f>
        <v>130</v>
      </c>
      <c r="AC305" s="1637">
        <f>IF(S305&lt;&gt;"",IF(M305="",'CONCEPTOS Y PARAMETROS'!$C$7*Z305,0),0)</f>
        <v>12.5</v>
      </c>
      <c r="AD305" s="1637">
        <f>IFERROR(ROUND(VLOOKUP($X305,'CONCEPTOS Y PARAMETROS'!H:I,2,0)*($V305+AA305+AB305+AC305),2),0)</f>
        <v>0</v>
      </c>
      <c r="AE305" s="1637">
        <f t="shared" si="701"/>
        <v>150</v>
      </c>
      <c r="AF305" s="1637">
        <f t="shared" si="741"/>
        <v>3.75</v>
      </c>
      <c r="AG305" s="1637">
        <f t="shared" si="742"/>
        <v>3.75</v>
      </c>
      <c r="AH305" s="1637">
        <f t="shared" si="743"/>
        <v>65</v>
      </c>
      <c r="AI305" s="1637">
        <f t="shared" si="744"/>
        <v>65</v>
      </c>
      <c r="AJ305" s="1637">
        <f t="shared" si="745"/>
        <v>0</v>
      </c>
      <c r="AK305" s="1637">
        <f t="shared" si="746"/>
        <v>0</v>
      </c>
      <c r="AL305" s="1638">
        <f t="shared" si="747"/>
        <v>81.25</v>
      </c>
      <c r="AM305" s="1638">
        <f t="shared" si="748"/>
        <v>68.75</v>
      </c>
      <c r="AN305" s="1639">
        <v>0</v>
      </c>
      <c r="AO305" s="1640">
        <f>'CONCEPTOS Y PARAMETROS'!$C$18*AN305</f>
        <v>0</v>
      </c>
      <c r="AP305" s="1639">
        <v>0</v>
      </c>
      <c r="AQ305" s="1640">
        <f>'CONCEPTOS Y PARAMETROS'!$C$21*AP305</f>
        <v>0</v>
      </c>
      <c r="AR305" s="1641">
        <v>0</v>
      </c>
      <c r="AS305" s="1641">
        <v>0</v>
      </c>
      <c r="AT305" s="1641">
        <f t="shared" si="824"/>
        <v>0</v>
      </c>
      <c r="AU305" s="1638">
        <f t="shared" si="749"/>
        <v>300</v>
      </c>
      <c r="AV305" s="1642">
        <v>0</v>
      </c>
      <c r="AW305" s="1638">
        <f t="shared" si="826"/>
        <v>0</v>
      </c>
      <c r="AX305" s="1637">
        <f>IF(T305&lt;&gt;"0",(ROUND(IF(A305="EMPLEADO",eval_formula('CONCEPTOS Y PARAMETROS'!$C$8,NOMINA!V305,NOMINA!$AU305,NOMINA!I305+NOMINA!J305),eval_formula('CONCEPTOS Y PARAMETROS'!$D$8,NOMINA!V305,NOMINA!$AU305,NOMINA!I305+NOMINA!J305)),2))*IF(H305&lt;&gt;"",IF(MONTH(H305)=$BR$8,IF(YEAR(H305)&lt;$BT$7,1,0),0)))</f>
        <v>0</v>
      </c>
      <c r="AY305" s="1638">
        <v>180</v>
      </c>
      <c r="AZ305" s="1637">
        <f>IFERROR(VLOOKUP(AY305,'CONCEPTOS Y PARAMETROS'!Y:Z,2,0),0)</f>
        <v>150</v>
      </c>
      <c r="BA305" s="1637">
        <f t="shared" si="750"/>
        <v>2250</v>
      </c>
      <c r="BB305" s="1637">
        <f t="shared" si="934"/>
        <v>0</v>
      </c>
      <c r="BC305" s="1639">
        <v>0</v>
      </c>
      <c r="BD305" s="1637" t="str">
        <f t="shared" si="751"/>
        <v>0</v>
      </c>
      <c r="BE305" s="1639">
        <v>0</v>
      </c>
      <c r="BF305" s="1637">
        <f t="shared" si="845"/>
        <v>0</v>
      </c>
      <c r="BG305" s="1638">
        <v>300</v>
      </c>
      <c r="BH305" s="1638">
        <f t="shared" si="909"/>
        <v>0</v>
      </c>
      <c r="BI305" s="1628">
        <v>0</v>
      </c>
      <c r="BJ305" s="1628">
        <f t="shared" si="910"/>
        <v>0</v>
      </c>
      <c r="BK305" s="1638">
        <v>0</v>
      </c>
      <c r="BL305" s="1637">
        <f t="shared" si="696"/>
        <v>11.08</v>
      </c>
      <c r="BM305" s="1637">
        <f t="shared" si="697"/>
        <v>1.38</v>
      </c>
      <c r="BN305" s="1637">
        <f t="shared" si="911"/>
        <v>3</v>
      </c>
      <c r="BO305" s="1637">
        <v>0</v>
      </c>
      <c r="BP305" s="1637">
        <v>0</v>
      </c>
      <c r="BQ305" s="1643">
        <f t="shared" si="677"/>
        <v>15.46</v>
      </c>
      <c r="BR305" s="1637">
        <f t="shared" si="699"/>
        <v>24.92</v>
      </c>
      <c r="BS305" s="1637">
        <f t="shared" si="700"/>
        <v>5.54</v>
      </c>
      <c r="BT305" s="1637">
        <f t="shared" si="913"/>
        <v>6</v>
      </c>
      <c r="BU305" s="1637">
        <v>0</v>
      </c>
      <c r="BV305" s="1638">
        <f t="shared" si="678"/>
        <v>36.46</v>
      </c>
      <c r="BW305" s="1644">
        <f t="shared" si="679"/>
        <v>51.92</v>
      </c>
      <c r="BX305" s="1644">
        <f t="shared" si="904"/>
        <v>562.5</v>
      </c>
      <c r="BY305" s="1638">
        <v>0</v>
      </c>
      <c r="BZ305" s="1638">
        <f t="shared" si="905"/>
        <v>562.5</v>
      </c>
      <c r="CA305" s="1645">
        <f>'CONCEPTOS Y PARAMETROS'!$A$102</f>
        <v>2120</v>
      </c>
      <c r="CB305" s="1644">
        <f t="shared" si="916"/>
        <v>140.79</v>
      </c>
      <c r="CC305" s="1646">
        <f t="shared" si="917"/>
        <v>443.75</v>
      </c>
      <c r="CD305" s="1647"/>
      <c r="CE305" s="1647"/>
      <c r="CF305" s="1648"/>
      <c r="CG305" s="1649">
        <f t="shared" si="918"/>
        <v>140.79</v>
      </c>
      <c r="CH305" s="1713">
        <f t="shared" si="919"/>
        <v>300</v>
      </c>
      <c r="CI305" s="1649">
        <f t="shared" si="920"/>
        <v>443.75</v>
      </c>
      <c r="CJ305" s="1649">
        <f t="shared" si="921"/>
        <v>443.75</v>
      </c>
      <c r="CK305" s="1649">
        <f t="shared" si="922"/>
        <v>0</v>
      </c>
      <c r="CL305" s="1649">
        <f t="shared" si="923"/>
        <v>0</v>
      </c>
      <c r="CM305" s="1649">
        <f t="shared" si="924"/>
        <v>0</v>
      </c>
      <c r="CN305" s="1650">
        <f t="shared" si="925"/>
        <v>0</v>
      </c>
      <c r="CO305" s="1651">
        <v>0</v>
      </c>
      <c r="CP305" s="1650">
        <f t="shared" si="926"/>
        <v>0</v>
      </c>
      <c r="CQ305" s="1652">
        <f t="shared" si="927"/>
        <v>0</v>
      </c>
      <c r="CR305" s="1650">
        <f t="shared" si="928"/>
        <v>0</v>
      </c>
      <c r="CS305" s="1650">
        <f t="shared" si="929"/>
        <v>0</v>
      </c>
      <c r="CT305" s="1650">
        <f t="shared" si="930"/>
        <v>51.92</v>
      </c>
      <c r="CU305" s="1650">
        <f t="shared" si="931"/>
        <v>2120</v>
      </c>
      <c r="CV305" s="1653"/>
      <c r="CW305" s="1627" t="s">
        <v>7095</v>
      </c>
      <c r="CX305" s="1627" t="s">
        <v>7175</v>
      </c>
      <c r="CY305" s="1647"/>
      <c r="CZ305" s="1647" t="s">
        <v>6379</v>
      </c>
      <c r="DA305" s="1657" t="s">
        <v>6173</v>
      </c>
      <c r="DB305" s="1657" t="s">
        <v>6185</v>
      </c>
      <c r="DC305" s="1647" t="s">
        <v>6579</v>
      </c>
      <c r="DD305" s="1647"/>
      <c r="DE305" s="1647"/>
      <c r="DF305" s="1647"/>
      <c r="DG305" s="1647"/>
      <c r="DH305" s="1647"/>
      <c r="DJ305" s="1654" t="str">
        <f>VLOOKUP(X305,Hoja1!$A$4:$B$10,2,0)</f>
        <v>BACHILLER</v>
      </c>
      <c r="DK305" s="1654" t="str">
        <f>VLOOKUP(S305,Hoja1!$D$4:$F$77,3,0)</f>
        <v>BII - II</v>
      </c>
      <c r="DL305" s="1663" t="str">
        <f t="shared" si="932"/>
        <v>0</v>
      </c>
      <c r="DM305" s="1742" t="str">
        <f t="shared" si="933"/>
        <v>F</v>
      </c>
      <c r="DN305" s="1742"/>
    </row>
    <row r="306" spans="1:118" s="473" customFormat="1" ht="21.95" customHeight="1">
      <c r="A306" s="510" t="s">
        <v>2846</v>
      </c>
      <c r="B306" s="1390">
        <f t="shared" ca="1" si="822"/>
        <v>264</v>
      </c>
      <c r="C306" s="1194">
        <v>29916508</v>
      </c>
      <c r="D306" s="1195" t="s">
        <v>4930</v>
      </c>
      <c r="E306" s="1180" t="s">
        <v>4622</v>
      </c>
      <c r="F306" s="1196">
        <v>37778</v>
      </c>
      <c r="G306" s="1180" t="s">
        <v>4621</v>
      </c>
      <c r="H306" s="1196">
        <v>44378</v>
      </c>
      <c r="I306" s="1185">
        <f t="shared" si="906"/>
        <v>3</v>
      </c>
      <c r="J306" s="1177">
        <v>0</v>
      </c>
      <c r="K306" s="1185">
        <f t="shared" si="907"/>
        <v>3</v>
      </c>
      <c r="L306" s="1191" t="s">
        <v>5551</v>
      </c>
      <c r="M306" s="1177"/>
      <c r="N306" s="1177"/>
      <c r="O306" s="1040" t="s">
        <v>5222</v>
      </c>
      <c r="P306" s="1177" t="s">
        <v>5467</v>
      </c>
      <c r="Q306" s="1391" t="str">
        <f>IFERROR(VLOOKUP(O306,CARGOS!A:E,2,0),"")</f>
        <v>79511</v>
      </c>
      <c r="R306" s="1403" t="s">
        <v>5222</v>
      </c>
      <c r="S306" s="1192" t="s">
        <v>5490</v>
      </c>
      <c r="T306" s="1150">
        <f>IFERROR(VLOOKUP(S306,'TAB EMP'!A:B,2,0),0)</f>
        <v>150</v>
      </c>
      <c r="U306" s="1151">
        <v>0</v>
      </c>
      <c r="V306" s="1150">
        <f t="shared" si="739"/>
        <v>150</v>
      </c>
      <c r="W306" s="1151">
        <f t="shared" si="740"/>
        <v>75</v>
      </c>
      <c r="X306" s="1180" t="s">
        <v>2884</v>
      </c>
      <c r="Y306" s="1180"/>
      <c r="Z306" s="1180">
        <v>0</v>
      </c>
      <c r="AA306" s="1150">
        <f>ROUND(IF(H306&lt;&gt;"",VLOOKUP(SUM(I306+J306),'CONCEPTOS Y PARAMETROS'!F:G,2,0)*V306,0),2)</f>
        <v>4.5</v>
      </c>
      <c r="AB306" s="1150">
        <f>IF(S306&lt;&gt;"",IF(M306="",'CONCEPTOS Y PARAMETROS'!$C$4,0),0)</f>
        <v>130</v>
      </c>
      <c r="AC306" s="1150">
        <f>IF(S306&lt;&gt;"",IF(M306="",'CONCEPTOS Y PARAMETROS'!$C$7*Z306,0),0)</f>
        <v>0</v>
      </c>
      <c r="AD306" s="1150">
        <f>IFERROR(ROUND(VLOOKUP($X306,'CONCEPTOS Y PARAMETROS'!H:I,2,0)*($V306+AA306+AB306+AC306),2),0)</f>
        <v>0</v>
      </c>
      <c r="AE306" s="1150">
        <f t="shared" si="701"/>
        <v>134.5</v>
      </c>
      <c r="AF306" s="1150">
        <f t="shared" si="741"/>
        <v>2.25</v>
      </c>
      <c r="AG306" s="1150">
        <f t="shared" si="742"/>
        <v>2.25</v>
      </c>
      <c r="AH306" s="1150">
        <f t="shared" si="743"/>
        <v>65</v>
      </c>
      <c r="AI306" s="1150">
        <f t="shared" si="744"/>
        <v>65</v>
      </c>
      <c r="AJ306" s="1150">
        <f t="shared" si="745"/>
        <v>0</v>
      </c>
      <c r="AK306" s="1150">
        <f t="shared" si="746"/>
        <v>0</v>
      </c>
      <c r="AL306" s="1151">
        <f t="shared" si="747"/>
        <v>67.25</v>
      </c>
      <c r="AM306" s="1151">
        <f t="shared" si="748"/>
        <v>67.25</v>
      </c>
      <c r="AN306" s="1028">
        <v>0</v>
      </c>
      <c r="AO306" s="1193">
        <f>'CONCEPTOS Y PARAMETROS'!$C$18*AN306</f>
        <v>0</v>
      </c>
      <c r="AP306" s="1028">
        <v>0</v>
      </c>
      <c r="AQ306" s="1193">
        <f>'CONCEPTOS Y PARAMETROS'!$C$21*AP306</f>
        <v>0</v>
      </c>
      <c r="AR306" s="1585">
        <v>12.5</v>
      </c>
      <c r="AS306" s="1394">
        <v>0</v>
      </c>
      <c r="AT306" s="1394">
        <f t="shared" si="824"/>
        <v>12.5</v>
      </c>
      <c r="AU306" s="1151">
        <f t="shared" si="749"/>
        <v>369.85</v>
      </c>
      <c r="AV306" s="1178" t="s">
        <v>5080</v>
      </c>
      <c r="AW306" s="1151">
        <f t="shared" si="826"/>
        <v>85.35</v>
      </c>
      <c r="AX306" s="1150">
        <f>IF(T306&lt;&gt;"0",(ROUND(IF(A306="EMPLEADO",eval_formula('CONCEPTOS Y PARAMETROS'!$C$8,NOMINA!V306,NOMINA!$AU306,NOMINA!I306+NOMINA!J306),eval_formula('CONCEPTOS Y PARAMETROS'!$D$8,NOMINA!V306,NOMINA!$AU306,NOMINA!I306+NOMINA!J306)),2))*IF(H306&lt;&gt;"",IF(MONTH(H306)=$BR$8,IF(YEAR(H306)&lt;$BT$7,1,0),0)))</f>
        <v>0</v>
      </c>
      <c r="AY306" s="1151">
        <v>180</v>
      </c>
      <c r="AZ306" s="1150">
        <f>IFERROR(VLOOKUP(AY306,'CONCEPTOS Y PARAMETROS'!Y:Z,2,0),0)</f>
        <v>150</v>
      </c>
      <c r="BA306" s="1150">
        <f t="shared" si="750"/>
        <v>2773.88</v>
      </c>
      <c r="BB306" s="1150">
        <f t="shared" si="934"/>
        <v>0</v>
      </c>
      <c r="BC306" s="1028">
        <v>0</v>
      </c>
      <c r="BD306" s="1150" t="str">
        <f t="shared" si="751"/>
        <v>0</v>
      </c>
      <c r="BE306" s="1028">
        <v>3</v>
      </c>
      <c r="BF306" s="1150">
        <f t="shared" si="845"/>
        <v>55.48</v>
      </c>
      <c r="BG306" s="1151">
        <v>300</v>
      </c>
      <c r="BH306" s="1151">
        <f t="shared" si="909"/>
        <v>0</v>
      </c>
      <c r="BI306" s="1180">
        <v>0</v>
      </c>
      <c r="BJ306" s="1180">
        <f t="shared" si="910"/>
        <v>0</v>
      </c>
      <c r="BK306" s="1151">
        <v>0</v>
      </c>
      <c r="BL306" s="1150">
        <f t="shared" si="696"/>
        <v>13.66</v>
      </c>
      <c r="BM306" s="1150">
        <f t="shared" si="697"/>
        <v>1.71</v>
      </c>
      <c r="BN306" s="1150">
        <f t="shared" si="911"/>
        <v>3.7</v>
      </c>
      <c r="BO306" s="1150">
        <v>0</v>
      </c>
      <c r="BP306" s="1150">
        <v>0</v>
      </c>
      <c r="BQ306" s="1396">
        <f t="shared" si="677"/>
        <v>19.07</v>
      </c>
      <c r="BR306" s="1150">
        <f t="shared" si="699"/>
        <v>30.73</v>
      </c>
      <c r="BS306" s="1150">
        <f t="shared" si="700"/>
        <v>6.83</v>
      </c>
      <c r="BT306" s="1150">
        <f t="shared" si="913"/>
        <v>7.4</v>
      </c>
      <c r="BU306" s="1150">
        <v>0</v>
      </c>
      <c r="BV306" s="1151">
        <f t="shared" si="678"/>
        <v>44.96</v>
      </c>
      <c r="BW306" s="1155">
        <f t="shared" si="679"/>
        <v>64.03</v>
      </c>
      <c r="BX306" s="1155">
        <f t="shared" si="904"/>
        <v>693.47</v>
      </c>
      <c r="BY306" s="1151">
        <v>0</v>
      </c>
      <c r="BZ306" s="1151">
        <f t="shared" si="905"/>
        <v>693.47</v>
      </c>
      <c r="CA306" s="1397">
        <f>'CONCEPTOS Y PARAMETROS'!$A$102</f>
        <v>2120</v>
      </c>
      <c r="CB306" s="1155">
        <f t="shared" si="916"/>
        <v>123.18</v>
      </c>
      <c r="CC306" s="1156">
        <f t="shared" si="917"/>
        <v>595.58000000000004</v>
      </c>
      <c r="CD306" s="514"/>
      <c r="CE306" s="514"/>
      <c r="CF306" s="520"/>
      <c r="CG306" s="497">
        <f t="shared" si="918"/>
        <v>123.18</v>
      </c>
      <c r="CH306" s="1711">
        <f t="shared" si="919"/>
        <v>300</v>
      </c>
      <c r="CI306" s="497">
        <f t="shared" si="920"/>
        <v>442.25</v>
      </c>
      <c r="CJ306" s="497">
        <f t="shared" si="921"/>
        <v>442.25</v>
      </c>
      <c r="CK306" s="497">
        <f t="shared" si="922"/>
        <v>0</v>
      </c>
      <c r="CL306" s="497">
        <f t="shared" si="923"/>
        <v>0</v>
      </c>
      <c r="CM306" s="497">
        <f t="shared" si="924"/>
        <v>0</v>
      </c>
      <c r="CN306" s="498">
        <f t="shared" si="925"/>
        <v>55.48</v>
      </c>
      <c r="CO306" s="499">
        <v>0</v>
      </c>
      <c r="CP306" s="498">
        <f t="shared" si="926"/>
        <v>85.35</v>
      </c>
      <c r="CQ306" s="500">
        <f t="shared" si="927"/>
        <v>12.5</v>
      </c>
      <c r="CR306" s="498">
        <f t="shared" si="928"/>
        <v>0</v>
      </c>
      <c r="CS306" s="498">
        <f t="shared" si="929"/>
        <v>153.32999999999998</v>
      </c>
      <c r="CT306" s="498">
        <f t="shared" si="930"/>
        <v>64.03</v>
      </c>
      <c r="CU306" s="498">
        <f t="shared" si="931"/>
        <v>2120</v>
      </c>
      <c r="CV306" s="1554"/>
      <c r="CW306" s="1195" t="s">
        <v>7210</v>
      </c>
      <c r="CX306" s="1195" t="s">
        <v>7283</v>
      </c>
      <c r="CY306" s="472"/>
      <c r="CZ306" s="514" t="s">
        <v>6434</v>
      </c>
      <c r="DA306" s="514" t="s">
        <v>6423</v>
      </c>
      <c r="DB306" s="514" t="s">
        <v>6280</v>
      </c>
      <c r="DC306" s="514" t="s">
        <v>6429</v>
      </c>
      <c r="DD306" s="514"/>
      <c r="DE306" s="514"/>
      <c r="DF306" s="472"/>
      <c r="DG306" s="472"/>
      <c r="DH306" s="472"/>
      <c r="DJ306" s="473" t="str">
        <f>VLOOKUP(X306,Hoja1!$A$4:$B$10,2,0)</f>
        <v>BACHILLER</v>
      </c>
      <c r="DK306" s="473" t="str">
        <f>VLOOKUP(S306,Hoja1!$D$4:$F$77,3,0)</f>
        <v>BII - II</v>
      </c>
      <c r="DL306" s="1216" t="str">
        <f t="shared" si="932"/>
        <v>SI</v>
      </c>
      <c r="DM306" s="1741" t="str">
        <f t="shared" si="933"/>
        <v>M</v>
      </c>
      <c r="DN306" s="1741"/>
    </row>
    <row r="307" spans="1:118" s="473" customFormat="1" ht="21.95" customHeight="1">
      <c r="A307" s="510" t="s">
        <v>2846</v>
      </c>
      <c r="B307" s="1390">
        <f t="shared" ca="1" si="822"/>
        <v>265</v>
      </c>
      <c r="C307" s="1194">
        <v>30190238</v>
      </c>
      <c r="D307" s="1195" t="s">
        <v>5802</v>
      </c>
      <c r="E307" s="1180" t="s">
        <v>4622</v>
      </c>
      <c r="F307" s="1196">
        <v>37972</v>
      </c>
      <c r="G307" s="1180" t="s">
        <v>4620</v>
      </c>
      <c r="H307" s="1196">
        <v>45200</v>
      </c>
      <c r="I307" s="1185">
        <f t="shared" si="906"/>
        <v>1</v>
      </c>
      <c r="J307" s="1177">
        <v>0</v>
      </c>
      <c r="K307" s="1185">
        <f t="shared" si="907"/>
        <v>1</v>
      </c>
      <c r="L307" s="1191" t="s">
        <v>6147</v>
      </c>
      <c r="M307" s="1177"/>
      <c r="N307" s="1177"/>
      <c r="O307" s="1040" t="s">
        <v>5222</v>
      </c>
      <c r="P307" s="1197" t="s">
        <v>5817</v>
      </c>
      <c r="Q307" s="1391" t="s">
        <v>1161</v>
      </c>
      <c r="R307" s="1403" t="s">
        <v>5222</v>
      </c>
      <c r="S307" s="1192" t="s">
        <v>5483</v>
      </c>
      <c r="T307" s="1150">
        <f>IFERROR(VLOOKUP(S307,'TAB EMP'!A:B,2,0),0)</f>
        <v>130</v>
      </c>
      <c r="U307" s="1151">
        <v>0</v>
      </c>
      <c r="V307" s="1150">
        <f t="shared" si="739"/>
        <v>130</v>
      </c>
      <c r="W307" s="1151">
        <f t="shared" si="740"/>
        <v>65</v>
      </c>
      <c r="X307" s="1180" t="s">
        <v>2884</v>
      </c>
      <c r="Y307" s="1180"/>
      <c r="Z307" s="1180">
        <v>0</v>
      </c>
      <c r="AA307" s="1150">
        <f>ROUND(IF(H307&lt;&gt;"",VLOOKUP(SUM(I307+J307),'CONCEPTOS Y PARAMETROS'!F:G,2,0)*V307,0),2)</f>
        <v>1.3</v>
      </c>
      <c r="AB307" s="1150">
        <f>IF(S307&lt;&gt;"",IF(M307="",'CONCEPTOS Y PARAMETROS'!$C$4,0),0)</f>
        <v>130</v>
      </c>
      <c r="AC307" s="1150">
        <f>IF(S307&lt;&gt;"",IF(M307="",'CONCEPTOS Y PARAMETROS'!$C$7*Z307,0),0)</f>
        <v>0</v>
      </c>
      <c r="AD307" s="1150">
        <f>IFERROR(ROUND(VLOOKUP($X307,'CONCEPTOS Y PARAMETROS'!H:I,2,0)*($V307+AA307+AB307+AC307),2),0)</f>
        <v>0</v>
      </c>
      <c r="AE307" s="1150">
        <f t="shared" si="701"/>
        <v>131.30000000000001</v>
      </c>
      <c r="AF307" s="1150">
        <f t="shared" si="741"/>
        <v>0.65</v>
      </c>
      <c r="AG307" s="1150">
        <f t="shared" si="742"/>
        <v>0.65</v>
      </c>
      <c r="AH307" s="1150">
        <f t="shared" si="743"/>
        <v>65</v>
      </c>
      <c r="AI307" s="1150">
        <f t="shared" si="744"/>
        <v>65</v>
      </c>
      <c r="AJ307" s="1150">
        <f t="shared" si="745"/>
        <v>0</v>
      </c>
      <c r="AK307" s="1150">
        <f t="shared" si="746"/>
        <v>0</v>
      </c>
      <c r="AL307" s="1151">
        <f t="shared" si="747"/>
        <v>65.650000000000006</v>
      </c>
      <c r="AM307" s="1151">
        <f t="shared" si="748"/>
        <v>65.650000000000006</v>
      </c>
      <c r="AN307" s="1028">
        <v>0</v>
      </c>
      <c r="AO307" s="1193">
        <f>'CONCEPTOS Y PARAMETROS'!$C$18*AN307</f>
        <v>0</v>
      </c>
      <c r="AP307" s="1028">
        <v>0</v>
      </c>
      <c r="AQ307" s="1193">
        <f>'CONCEPTOS Y PARAMETROS'!$C$21*AP307</f>
        <v>0</v>
      </c>
      <c r="AR307" s="1394">
        <v>0</v>
      </c>
      <c r="AS307" s="1394">
        <v>0</v>
      </c>
      <c r="AT307" s="1394">
        <f t="shared" si="824"/>
        <v>0</v>
      </c>
      <c r="AU307" s="1151">
        <f t="shared" si="749"/>
        <v>339.69</v>
      </c>
      <c r="AV307" s="1178" t="s">
        <v>5080</v>
      </c>
      <c r="AW307" s="1151">
        <f t="shared" si="826"/>
        <v>78.39</v>
      </c>
      <c r="AX307" s="1150">
        <f>IF(T307&lt;&gt;"0",(ROUND(IF(A307="EMPLEADO",eval_formula('CONCEPTOS Y PARAMETROS'!$C$8,NOMINA!V307,NOMINA!$AU307,NOMINA!I307+NOMINA!J307),eval_formula('CONCEPTOS Y PARAMETROS'!$D$8,NOMINA!V307,NOMINA!$AU307,NOMINA!I307+NOMINA!J307)),2))*IF(H307&lt;&gt;"",IF(MONTH(H307)=$BR$8,IF(YEAR(H307)&lt;$BT$7,1,0),0)))</f>
        <v>0</v>
      </c>
      <c r="AY307" s="1151">
        <v>180</v>
      </c>
      <c r="AZ307" s="1150">
        <f>IFERROR(VLOOKUP(AY307,'CONCEPTOS Y PARAMETROS'!Y:Z,2,0),0)</f>
        <v>150</v>
      </c>
      <c r="BA307" s="1150">
        <f t="shared" si="750"/>
        <v>2547.6799999999998</v>
      </c>
      <c r="BB307" s="1150">
        <f t="shared" si="934"/>
        <v>0</v>
      </c>
      <c r="BC307" s="1028">
        <v>0</v>
      </c>
      <c r="BD307" s="1150" t="str">
        <f t="shared" si="751"/>
        <v>0</v>
      </c>
      <c r="BE307" s="1028">
        <v>3</v>
      </c>
      <c r="BF307" s="1150">
        <f t="shared" si="845"/>
        <v>50.95</v>
      </c>
      <c r="BG307" s="1151">
        <v>300</v>
      </c>
      <c r="BH307" s="1151">
        <f t="shared" si="909"/>
        <v>0</v>
      </c>
      <c r="BI307" s="1180">
        <v>0</v>
      </c>
      <c r="BJ307" s="1180">
        <f t="shared" si="910"/>
        <v>0</v>
      </c>
      <c r="BK307" s="1151">
        <v>0</v>
      </c>
      <c r="BL307" s="1150">
        <f t="shared" si="696"/>
        <v>12.54</v>
      </c>
      <c r="BM307" s="1150">
        <f t="shared" si="697"/>
        <v>1.57</v>
      </c>
      <c r="BN307" s="1150">
        <f t="shared" si="911"/>
        <v>3.4</v>
      </c>
      <c r="BO307" s="1150">
        <v>0</v>
      </c>
      <c r="BP307" s="1150">
        <v>0</v>
      </c>
      <c r="BQ307" s="1396">
        <f t="shared" ref="BQ307:BQ308" si="957">ROUND(SUM(BL307:BP307),2)</f>
        <v>17.510000000000002</v>
      </c>
      <c r="BR307" s="1150">
        <f t="shared" si="699"/>
        <v>28.22</v>
      </c>
      <c r="BS307" s="1150">
        <f t="shared" si="700"/>
        <v>6.27</v>
      </c>
      <c r="BT307" s="1150">
        <f t="shared" si="913"/>
        <v>6.8</v>
      </c>
      <c r="BU307" s="1150">
        <v>0</v>
      </c>
      <c r="BV307" s="1151">
        <f t="shared" ref="BV307:BV309" si="958">ROUND(SUM(BR307:BT307),2)</f>
        <v>41.29</v>
      </c>
      <c r="BW307" s="1155">
        <f t="shared" ref="BW307:BW309" si="959">BQ307+BV307</f>
        <v>58.8</v>
      </c>
      <c r="BX307" s="1155">
        <f t="shared" si="904"/>
        <v>636.91999999999996</v>
      </c>
      <c r="BY307" s="1151">
        <v>0</v>
      </c>
      <c r="BZ307" s="1151">
        <f t="shared" si="905"/>
        <v>636.91999999999996</v>
      </c>
      <c r="CA307" s="1397">
        <f>'CONCEPTOS Y PARAMETROS'!$A$102</f>
        <v>2120</v>
      </c>
      <c r="CB307" s="1155">
        <f t="shared" si="916"/>
        <v>113.14</v>
      </c>
      <c r="CC307" s="1156">
        <f t="shared" si="917"/>
        <v>559.99</v>
      </c>
      <c r="CD307" s="514"/>
      <c r="CE307" s="514"/>
      <c r="CF307" s="521"/>
      <c r="CG307" s="511">
        <f t="shared" si="918"/>
        <v>113.14</v>
      </c>
      <c r="CH307" s="1712">
        <f t="shared" si="919"/>
        <v>300</v>
      </c>
      <c r="CI307" s="511">
        <f t="shared" si="920"/>
        <v>430.65</v>
      </c>
      <c r="CJ307" s="511">
        <f t="shared" si="921"/>
        <v>430.65</v>
      </c>
      <c r="CK307" s="511">
        <f t="shared" si="922"/>
        <v>0</v>
      </c>
      <c r="CL307" s="497">
        <f t="shared" si="923"/>
        <v>0</v>
      </c>
      <c r="CM307" s="497">
        <f t="shared" si="924"/>
        <v>0</v>
      </c>
      <c r="CN307" s="512">
        <f t="shared" si="925"/>
        <v>50.95</v>
      </c>
      <c r="CO307" s="513">
        <v>0</v>
      </c>
      <c r="CP307" s="512">
        <f t="shared" si="926"/>
        <v>78.39</v>
      </c>
      <c r="CQ307" s="500">
        <f t="shared" si="927"/>
        <v>0</v>
      </c>
      <c r="CR307" s="512">
        <f t="shared" si="928"/>
        <v>0</v>
      </c>
      <c r="CS307" s="512">
        <f t="shared" si="929"/>
        <v>129.34</v>
      </c>
      <c r="CT307" s="512">
        <f t="shared" si="930"/>
        <v>58.8</v>
      </c>
      <c r="CU307" s="512">
        <f t="shared" si="931"/>
        <v>2120</v>
      </c>
      <c r="CV307" s="1556"/>
      <c r="CW307" s="1195" t="s">
        <v>6401</v>
      </c>
      <c r="CX307" s="1195" t="s">
        <v>7284</v>
      </c>
      <c r="CY307" s="514"/>
      <c r="CZ307" s="1199" t="s">
        <v>6603</v>
      </c>
      <c r="DA307" s="514" t="s">
        <v>6173</v>
      </c>
      <c r="DB307" s="514" t="s">
        <v>6202</v>
      </c>
      <c r="DC307" s="514" t="s">
        <v>6622</v>
      </c>
      <c r="DD307" s="514"/>
      <c r="DE307" s="514"/>
      <c r="DF307" s="514"/>
      <c r="DG307" s="514"/>
      <c r="DH307" s="514"/>
      <c r="DI307" s="478"/>
      <c r="DJ307" s="473" t="str">
        <f>VLOOKUP(X307,Hoja1!$A$4:$B$10,2,0)</f>
        <v>BACHILLER</v>
      </c>
      <c r="DK307" s="473" t="str">
        <f>VLOOKUP(S307,Hoja1!$D$4:$F$77,3,0)</f>
        <v>BI</v>
      </c>
      <c r="DL307" s="1216" t="str">
        <f t="shared" si="932"/>
        <v>SI</v>
      </c>
      <c r="DM307" s="1741" t="str">
        <f t="shared" si="933"/>
        <v>F</v>
      </c>
      <c r="DN307" s="1741"/>
    </row>
    <row r="308" spans="1:118" s="1654" customFormat="1" ht="21.95" customHeight="1">
      <c r="A308" s="1624" t="s">
        <v>2846</v>
      </c>
      <c r="B308" s="1625">
        <f t="shared" ca="1" si="822"/>
        <v>266</v>
      </c>
      <c r="C308" s="1626">
        <v>30438508</v>
      </c>
      <c r="D308" s="1627" t="s">
        <v>5815</v>
      </c>
      <c r="E308" s="1628" t="s">
        <v>4622</v>
      </c>
      <c r="F308" s="1629">
        <v>37311</v>
      </c>
      <c r="G308" s="1628" t="s">
        <v>4620</v>
      </c>
      <c r="H308" s="1629">
        <v>45200</v>
      </c>
      <c r="I308" s="1630">
        <f t="shared" si="906"/>
        <v>1</v>
      </c>
      <c r="J308" s="1631">
        <v>4</v>
      </c>
      <c r="K308" s="1630">
        <f t="shared" si="907"/>
        <v>5</v>
      </c>
      <c r="L308" s="1632" t="s">
        <v>5552</v>
      </c>
      <c r="M308" s="1631"/>
      <c r="N308" s="1631"/>
      <c r="O308" s="1633" t="s">
        <v>7422</v>
      </c>
      <c r="P308" s="1659" t="s">
        <v>5816</v>
      </c>
      <c r="Q308" s="1634" t="s">
        <v>321</v>
      </c>
      <c r="R308" s="1635" t="s">
        <v>7422</v>
      </c>
      <c r="S308" s="1636" t="s">
        <v>5490</v>
      </c>
      <c r="T308" s="1637">
        <f>IFERROR(VLOOKUP(S308,'TAB EMP'!A:B,2,0),0)</f>
        <v>150</v>
      </c>
      <c r="U308" s="1638">
        <v>0</v>
      </c>
      <c r="V308" s="1637">
        <f t="shared" si="739"/>
        <v>150</v>
      </c>
      <c r="W308" s="1638">
        <f t="shared" si="740"/>
        <v>75</v>
      </c>
      <c r="X308" s="1628" t="s">
        <v>2884</v>
      </c>
      <c r="Y308" s="1628"/>
      <c r="Z308" s="1628">
        <v>0</v>
      </c>
      <c r="AA308" s="1637">
        <f>ROUND(IF(H308&lt;&gt;"",VLOOKUP(SUM(I308+J308),'CONCEPTOS Y PARAMETROS'!F:G,2,0)*V308,0),2)</f>
        <v>7.5</v>
      </c>
      <c r="AB308" s="1637">
        <f>IF(S308&lt;&gt;"",IF(M308="",'CONCEPTOS Y PARAMETROS'!$C$4,0),0)</f>
        <v>130</v>
      </c>
      <c r="AC308" s="1637">
        <f>IF(S308&lt;&gt;"",IF(M308="",'CONCEPTOS Y PARAMETROS'!$C$7*Z308,0),0)</f>
        <v>0</v>
      </c>
      <c r="AD308" s="1637">
        <f>IFERROR(ROUND(VLOOKUP($X308,'CONCEPTOS Y PARAMETROS'!H:I,2,0)*($V308+AA308+AB308+AC308),2),0)</f>
        <v>0</v>
      </c>
      <c r="AE308" s="1637">
        <f t="shared" si="701"/>
        <v>137.5</v>
      </c>
      <c r="AF308" s="1637">
        <f t="shared" si="741"/>
        <v>3.75</v>
      </c>
      <c r="AG308" s="1637">
        <f t="shared" si="742"/>
        <v>3.75</v>
      </c>
      <c r="AH308" s="1637">
        <f t="shared" si="743"/>
        <v>65</v>
      </c>
      <c r="AI308" s="1637">
        <f t="shared" si="744"/>
        <v>65</v>
      </c>
      <c r="AJ308" s="1637">
        <f t="shared" si="745"/>
        <v>0</v>
      </c>
      <c r="AK308" s="1637">
        <f t="shared" si="746"/>
        <v>0</v>
      </c>
      <c r="AL308" s="1638">
        <f t="shared" si="747"/>
        <v>68.75</v>
      </c>
      <c r="AM308" s="1638">
        <f t="shared" si="748"/>
        <v>68.75</v>
      </c>
      <c r="AN308" s="1639">
        <v>0</v>
      </c>
      <c r="AO308" s="1640">
        <f>'CONCEPTOS Y PARAMETROS'!$C$18*AN308</f>
        <v>0</v>
      </c>
      <c r="AP308" s="1639">
        <v>0</v>
      </c>
      <c r="AQ308" s="1640">
        <f>'CONCEPTOS Y PARAMETROS'!$C$21*AP308</f>
        <v>0</v>
      </c>
      <c r="AR308" s="1641">
        <v>12.5</v>
      </c>
      <c r="AS308" s="1641">
        <v>0</v>
      </c>
      <c r="AT308" s="1641">
        <f t="shared" si="824"/>
        <v>12.5</v>
      </c>
      <c r="AU308" s="1638">
        <f t="shared" si="749"/>
        <v>287.5</v>
      </c>
      <c r="AV308" s="1642">
        <v>0</v>
      </c>
      <c r="AW308" s="1638">
        <f t="shared" si="826"/>
        <v>0</v>
      </c>
      <c r="AX308" s="1637">
        <f>IF(T308&lt;&gt;"0",(ROUND(IF(A308="EMPLEADO",eval_formula('CONCEPTOS Y PARAMETROS'!$C$8,NOMINA!V308,NOMINA!$AU308,NOMINA!I308+NOMINA!J308),eval_formula('CONCEPTOS Y PARAMETROS'!$D$8,NOMINA!V308,NOMINA!$AU308,NOMINA!I308+NOMINA!J308)),2))*IF(H308&lt;&gt;"",IF(MONTH(H308)=$BR$8,IF(YEAR(H308)&lt;$BT$7,1,0),0)))</f>
        <v>0</v>
      </c>
      <c r="AY308" s="1638">
        <v>180</v>
      </c>
      <c r="AZ308" s="1637">
        <f>IFERROR(VLOOKUP(AY308,'CONCEPTOS Y PARAMETROS'!Y:Z,2,0),0)</f>
        <v>150</v>
      </c>
      <c r="BA308" s="1637">
        <f t="shared" si="750"/>
        <v>2156.25</v>
      </c>
      <c r="BB308" s="1637">
        <f t="shared" si="934"/>
        <v>0</v>
      </c>
      <c r="BC308" s="1639">
        <v>0</v>
      </c>
      <c r="BD308" s="1637" t="str">
        <f t="shared" si="751"/>
        <v>0</v>
      </c>
      <c r="BE308" s="1639">
        <v>0</v>
      </c>
      <c r="BF308" s="1637">
        <f t="shared" si="845"/>
        <v>0</v>
      </c>
      <c r="BG308" s="1638">
        <v>300</v>
      </c>
      <c r="BH308" s="1638">
        <f t="shared" si="909"/>
        <v>0</v>
      </c>
      <c r="BI308" s="1628">
        <v>0</v>
      </c>
      <c r="BJ308" s="1628">
        <f t="shared" si="910"/>
        <v>0</v>
      </c>
      <c r="BK308" s="1638">
        <v>0</v>
      </c>
      <c r="BL308" s="1637">
        <f t="shared" si="696"/>
        <v>10.62</v>
      </c>
      <c r="BM308" s="1637">
        <f t="shared" si="697"/>
        <v>1.33</v>
      </c>
      <c r="BN308" s="1637">
        <f t="shared" si="911"/>
        <v>2.88</v>
      </c>
      <c r="BO308" s="1637">
        <v>0</v>
      </c>
      <c r="BP308" s="1637">
        <v>0</v>
      </c>
      <c r="BQ308" s="1643">
        <f t="shared" si="957"/>
        <v>14.83</v>
      </c>
      <c r="BR308" s="1637">
        <f t="shared" si="699"/>
        <v>23.88</v>
      </c>
      <c r="BS308" s="1637">
        <f t="shared" si="700"/>
        <v>5.31</v>
      </c>
      <c r="BT308" s="1637">
        <f t="shared" si="913"/>
        <v>5.76</v>
      </c>
      <c r="BU308" s="1637">
        <v>0</v>
      </c>
      <c r="BV308" s="1638">
        <f t="shared" si="958"/>
        <v>34.950000000000003</v>
      </c>
      <c r="BW308" s="1644">
        <f t="shared" si="959"/>
        <v>49.78</v>
      </c>
      <c r="BX308" s="1644">
        <f t="shared" si="904"/>
        <v>539.05999999999995</v>
      </c>
      <c r="BY308" s="1638">
        <v>0</v>
      </c>
      <c r="BZ308" s="1638">
        <f t="shared" si="905"/>
        <v>539.05999999999995</v>
      </c>
      <c r="CA308" s="1645">
        <f>'CONCEPTOS Y PARAMETROS'!$A$102</f>
        <v>2120</v>
      </c>
      <c r="CB308" s="1644">
        <f t="shared" si="916"/>
        <v>128.91999999999999</v>
      </c>
      <c r="CC308" s="1646">
        <f t="shared" si="917"/>
        <v>456.25</v>
      </c>
      <c r="CD308" s="1647"/>
      <c r="CE308" s="1647"/>
      <c r="CF308" s="1648"/>
      <c r="CG308" s="1649">
        <f t="shared" si="918"/>
        <v>128.91999999999999</v>
      </c>
      <c r="CH308" s="1713">
        <f t="shared" si="919"/>
        <v>300</v>
      </c>
      <c r="CI308" s="1649">
        <f t="shared" si="920"/>
        <v>443.75</v>
      </c>
      <c r="CJ308" s="1649">
        <f t="shared" si="921"/>
        <v>443.75</v>
      </c>
      <c r="CK308" s="1649">
        <f t="shared" si="922"/>
        <v>0</v>
      </c>
      <c r="CL308" s="1649">
        <f t="shared" si="923"/>
        <v>0</v>
      </c>
      <c r="CM308" s="1649">
        <f t="shared" si="924"/>
        <v>0</v>
      </c>
      <c r="CN308" s="1650">
        <f t="shared" si="925"/>
        <v>0</v>
      </c>
      <c r="CO308" s="1651">
        <v>0</v>
      </c>
      <c r="CP308" s="1650">
        <f t="shared" si="926"/>
        <v>0</v>
      </c>
      <c r="CQ308" s="1652">
        <f t="shared" si="927"/>
        <v>12.5</v>
      </c>
      <c r="CR308" s="1650">
        <f t="shared" si="928"/>
        <v>0</v>
      </c>
      <c r="CS308" s="1650">
        <f t="shared" si="929"/>
        <v>12.5</v>
      </c>
      <c r="CT308" s="1650">
        <f t="shared" si="930"/>
        <v>49.78</v>
      </c>
      <c r="CU308" s="1650">
        <f t="shared" si="931"/>
        <v>2120</v>
      </c>
      <c r="CV308" s="1653"/>
      <c r="CW308" s="1627" t="s">
        <v>7203</v>
      </c>
      <c r="CX308" s="1627" t="s">
        <v>7285</v>
      </c>
      <c r="CY308" s="1647"/>
      <c r="CZ308" s="1657" t="s">
        <v>6604</v>
      </c>
      <c r="DA308" s="1657" t="s">
        <v>6161</v>
      </c>
      <c r="DB308" s="1657" t="s">
        <v>6623</v>
      </c>
      <c r="DC308" s="1647" t="s">
        <v>6624</v>
      </c>
      <c r="DD308" s="1647"/>
      <c r="DE308" s="1647"/>
      <c r="DF308" s="1647"/>
      <c r="DG308" s="1647"/>
      <c r="DH308" s="1647"/>
      <c r="DJ308" s="1654" t="str">
        <f>VLOOKUP(X308,Hoja1!$A$4:$B$10,2,0)</f>
        <v>BACHILLER</v>
      </c>
      <c r="DK308" s="1654" t="str">
        <f>VLOOKUP(S308,Hoja1!$D$4:$F$77,3,0)</f>
        <v>BII - II</v>
      </c>
      <c r="DL308" s="1663" t="str">
        <f t="shared" si="932"/>
        <v>0</v>
      </c>
      <c r="DM308" s="1742" t="str">
        <f t="shared" si="933"/>
        <v>F</v>
      </c>
      <c r="DN308" s="1742"/>
    </row>
    <row r="309" spans="1:118" s="1215" customFormat="1" ht="21.95" customHeight="1" thickBot="1">
      <c r="A309" s="1489" t="s">
        <v>2846</v>
      </c>
      <c r="B309" s="1490">
        <f t="shared" ca="1" si="822"/>
        <v>267</v>
      </c>
      <c r="C309" s="1491">
        <v>30600641</v>
      </c>
      <c r="D309" s="1492" t="s">
        <v>4931</v>
      </c>
      <c r="E309" s="1493" t="s">
        <v>4622</v>
      </c>
      <c r="F309" s="1494">
        <v>38314</v>
      </c>
      <c r="G309" s="1493" t="s">
        <v>4620</v>
      </c>
      <c r="H309" s="1494">
        <v>44455</v>
      </c>
      <c r="I309" s="1495">
        <f t="shared" si="906"/>
        <v>3</v>
      </c>
      <c r="J309" s="1496">
        <v>0</v>
      </c>
      <c r="K309" s="1495">
        <f t="shared" si="907"/>
        <v>3</v>
      </c>
      <c r="L309" s="1497" t="s">
        <v>5545</v>
      </c>
      <c r="M309" s="1496"/>
      <c r="N309" s="1496"/>
      <c r="O309" s="1498" t="s">
        <v>5235</v>
      </c>
      <c r="P309" s="1496" t="s">
        <v>5468</v>
      </c>
      <c r="Q309" s="1499" t="str">
        <f>IFERROR(VLOOKUP(O309,CARGOS!A:E,2,0),"")</f>
        <v>12111</v>
      </c>
      <c r="R309" s="1500" t="s">
        <v>5235</v>
      </c>
      <c r="S309" s="1501" t="s">
        <v>5490</v>
      </c>
      <c r="T309" s="1502">
        <f>IFERROR(VLOOKUP(S309,'TAB EMP'!A:B,2,0),0)*0</f>
        <v>0</v>
      </c>
      <c r="U309" s="1503">
        <v>0</v>
      </c>
      <c r="V309" s="1502">
        <f t="shared" ref="V309" si="960">T309-U309</f>
        <v>0</v>
      </c>
      <c r="W309" s="1503">
        <f t="shared" ref="W309" si="961">ROUND(V309/2,2)</f>
        <v>0</v>
      </c>
      <c r="X309" s="1493" t="s">
        <v>2884</v>
      </c>
      <c r="Y309" s="1493"/>
      <c r="Z309" s="1493">
        <v>0</v>
      </c>
      <c r="AA309" s="1502">
        <f>ROUND(IF(H309&lt;&gt;"",VLOOKUP(SUM(I309+J309),'CONCEPTOS Y PARAMETROS'!F:G,2,0)*V309,0),2)</f>
        <v>0</v>
      </c>
      <c r="AB309" s="1502">
        <f>IF(S309&lt;&gt;"",IF(M309="",'CONCEPTOS Y PARAMETROS'!$C$4,0),0)*0</f>
        <v>0</v>
      </c>
      <c r="AC309" s="1502">
        <f>IF(S309&lt;&gt;"",IF(M309="",'CONCEPTOS Y PARAMETROS'!$C$7*Z309,0),0)</f>
        <v>0</v>
      </c>
      <c r="AD309" s="1502">
        <f>IFERROR(ROUND(VLOOKUP($X309,'CONCEPTOS Y PARAMETROS'!H:I,2,0)*($V309+AA309+AB309+AC309),2),0)</f>
        <v>0</v>
      </c>
      <c r="AE309" s="1502">
        <f t="shared" ref="AE309" si="962">SUM(AA309:AD309)</f>
        <v>0</v>
      </c>
      <c r="AF309" s="1502">
        <f t="shared" ref="AF309" si="963">ROUND(AA309/2,2)</f>
        <v>0</v>
      </c>
      <c r="AG309" s="1502">
        <f t="shared" ref="AG309" si="964">ROUND(AA309-AF309,2)</f>
        <v>0</v>
      </c>
      <c r="AH309" s="1502">
        <f t="shared" ref="AH309" si="965">ROUND(AB309/2,2)</f>
        <v>0</v>
      </c>
      <c r="AI309" s="1502">
        <f t="shared" ref="AI309" si="966">ROUND(AB309-AH309,2)</f>
        <v>0</v>
      </c>
      <c r="AJ309" s="1502">
        <f t="shared" ref="AJ309" si="967">ROUND(AD309/2,2)</f>
        <v>0</v>
      </c>
      <c r="AK309" s="1502">
        <f t="shared" ref="AK309" si="968">ROUND(AD309-AJ309,2)</f>
        <v>0</v>
      </c>
      <c r="AL309" s="1503">
        <f t="shared" ref="AL309" si="969">ROUND(AF309+AH309+AJ309+AC309,2)</f>
        <v>0</v>
      </c>
      <c r="AM309" s="1503">
        <f t="shared" ref="AM309" si="970">ROUND(AG309+AI309+AK309,2)</f>
        <v>0</v>
      </c>
      <c r="AN309" s="1504">
        <v>0</v>
      </c>
      <c r="AO309" s="1505">
        <f>'CONCEPTOS Y PARAMETROS'!$C$18*AN309</f>
        <v>0</v>
      </c>
      <c r="AP309" s="1504">
        <v>0</v>
      </c>
      <c r="AQ309" s="1505">
        <f>'CONCEPTOS Y PARAMETROS'!$C$21*AP309</f>
        <v>0</v>
      </c>
      <c r="AR309" s="1506">
        <v>0</v>
      </c>
      <c r="AS309" s="1506">
        <v>0</v>
      </c>
      <c r="AT309" s="1506">
        <f t="shared" ref="AT309" si="971">+AO309+AQ309+AR309+AS309</f>
        <v>0</v>
      </c>
      <c r="AU309" s="1503">
        <f t="shared" ref="AU309" si="972">V309+AE309+AW309</f>
        <v>0</v>
      </c>
      <c r="AV309" s="1507">
        <v>0</v>
      </c>
      <c r="AW309" s="1503">
        <f t="shared" ref="AW309" si="973">ROUND(IF(AV309="NOCTURN",(V309+AE309)*30%,0),2)</f>
        <v>0</v>
      </c>
      <c r="AX309" s="1502">
        <f>IF(T309&lt;&gt;"0",(ROUND(IF(A309="EMPLEADO",eval_formula('CONCEPTOS Y PARAMETROS'!$C$8,NOMINA!V309,NOMINA!$AU309,NOMINA!I309+NOMINA!J309),eval_formula('CONCEPTOS Y PARAMETROS'!$D$8,NOMINA!V309,NOMINA!$AU309,NOMINA!I309+NOMINA!J309)),2))*IF(H309&lt;&gt;"",IF(MONTH(H309)=$BR$8,IF(YEAR(H309)&lt;$BT$7,1,0),0)))</f>
        <v>0</v>
      </c>
      <c r="AY309" s="1503">
        <v>180</v>
      </c>
      <c r="AZ309" s="1502">
        <f>IFERROR(VLOOKUP(AY309,'CONCEPTOS Y PARAMETROS'!Y:Z,2,0),0)</f>
        <v>150</v>
      </c>
      <c r="BA309" s="1502">
        <f t="shared" ref="BA309" si="974">ROUND((((AU309))/30*AY309/12+(AU309))/30*AZ309,2)</f>
        <v>0</v>
      </c>
      <c r="BB309" s="1502">
        <f t="shared" si="934"/>
        <v>0</v>
      </c>
      <c r="BC309" s="1504">
        <v>0</v>
      </c>
      <c r="BD309" s="1502" t="str">
        <f t="shared" ref="BD309" si="975">IF(BC309&gt;0,((((((V309+AA309+AB309+AC309+AD309)/30)/8)*50%)+((((V309+AA309+AB309+AC309+AD309)/30)/8)))*30%+(((((V309+AA309+AB309+AC309+AD309)/30)/8)*50%)+((((V309+AA309+AB309+AC309+AD309)/30)/8))))*BC309,"0")</f>
        <v>0</v>
      </c>
      <c r="BE309" s="1552">
        <v>0</v>
      </c>
      <c r="BF309" s="1502">
        <f t="shared" si="845"/>
        <v>0</v>
      </c>
      <c r="BG309" s="1503">
        <v>0</v>
      </c>
      <c r="BH309" s="1503">
        <f t="shared" si="909"/>
        <v>0</v>
      </c>
      <c r="BI309" s="1493">
        <v>0</v>
      </c>
      <c r="BJ309" s="1493">
        <f t="shared" si="910"/>
        <v>0</v>
      </c>
      <c r="BK309" s="1503">
        <v>0</v>
      </c>
      <c r="BL309" s="1502">
        <f t="shared" si="696"/>
        <v>0</v>
      </c>
      <c r="BM309" s="1502">
        <f t="shared" si="697"/>
        <v>0</v>
      </c>
      <c r="BN309" s="1502">
        <f t="shared" si="911"/>
        <v>0</v>
      </c>
      <c r="BO309" s="1502">
        <v>0</v>
      </c>
      <c r="BP309" s="1502">
        <v>0</v>
      </c>
      <c r="BQ309" s="1508">
        <f t="shared" ref="BQ309" si="976">ROUND(SUM(BL309:BP309),2)</f>
        <v>0</v>
      </c>
      <c r="BR309" s="1502">
        <f t="shared" si="699"/>
        <v>0</v>
      </c>
      <c r="BS309" s="1502">
        <f t="shared" si="700"/>
        <v>0</v>
      </c>
      <c r="BT309" s="1502">
        <f t="shared" si="913"/>
        <v>0</v>
      </c>
      <c r="BU309" s="1502">
        <v>0</v>
      </c>
      <c r="BV309" s="1503">
        <f t="shared" si="958"/>
        <v>0</v>
      </c>
      <c r="BW309" s="1509">
        <f t="shared" si="959"/>
        <v>0</v>
      </c>
      <c r="BX309" s="1509">
        <f t="shared" si="904"/>
        <v>0</v>
      </c>
      <c r="BY309" s="1503">
        <v>0</v>
      </c>
      <c r="BZ309" s="1503">
        <f t="shared" si="905"/>
        <v>0</v>
      </c>
      <c r="CA309" s="1510">
        <f>'CONCEPTOS Y PARAMETROS'!$A$102*0</f>
        <v>0</v>
      </c>
      <c r="CB309" s="1511">
        <f t="shared" si="916"/>
        <v>0</v>
      </c>
      <c r="CC309" s="1512">
        <f t="shared" si="917"/>
        <v>0</v>
      </c>
      <c r="CD309" s="1208"/>
      <c r="CE309" s="1208"/>
      <c r="CF309" s="1209"/>
      <c r="CG309" s="1210">
        <f t="shared" si="918"/>
        <v>0</v>
      </c>
      <c r="CH309" s="1715">
        <f t="shared" si="919"/>
        <v>0</v>
      </c>
      <c r="CI309" s="1210">
        <f t="shared" si="920"/>
        <v>0</v>
      </c>
      <c r="CJ309" s="1210">
        <f t="shared" si="921"/>
        <v>0</v>
      </c>
      <c r="CK309" s="1210">
        <f t="shared" si="922"/>
        <v>0</v>
      </c>
      <c r="CL309" s="1210">
        <f t="shared" si="923"/>
        <v>0</v>
      </c>
      <c r="CM309" s="1210">
        <f t="shared" si="924"/>
        <v>0</v>
      </c>
      <c r="CN309" s="1211">
        <f t="shared" si="925"/>
        <v>0</v>
      </c>
      <c r="CO309" s="1212">
        <v>0</v>
      </c>
      <c r="CP309" s="1211">
        <f t="shared" si="926"/>
        <v>0</v>
      </c>
      <c r="CQ309" s="1213">
        <f t="shared" si="927"/>
        <v>0</v>
      </c>
      <c r="CR309" s="1211">
        <f t="shared" si="928"/>
        <v>0</v>
      </c>
      <c r="CS309" s="1211">
        <f t="shared" si="929"/>
        <v>0</v>
      </c>
      <c r="CT309" s="1211">
        <f t="shared" si="930"/>
        <v>0</v>
      </c>
      <c r="CU309" s="1211">
        <f t="shared" si="931"/>
        <v>0</v>
      </c>
      <c r="CV309" s="1558"/>
      <c r="CW309" s="1492" t="s">
        <v>6998</v>
      </c>
      <c r="CX309" s="1492" t="s">
        <v>7286</v>
      </c>
      <c r="CY309" s="1208"/>
      <c r="CZ309" s="1214" t="s">
        <v>6685</v>
      </c>
      <c r="DA309" s="1208" t="s">
        <v>6173</v>
      </c>
      <c r="DB309" s="1208" t="s">
        <v>6202</v>
      </c>
      <c r="DC309" s="1208" t="s">
        <v>6495</v>
      </c>
      <c r="DD309" s="1208"/>
      <c r="DE309" s="1208"/>
      <c r="DF309" s="1208"/>
      <c r="DG309" s="1208"/>
      <c r="DH309" s="1208"/>
      <c r="DJ309" s="1215" t="str">
        <f>VLOOKUP(X309,Hoja1!$A$4:$B$10,2,0)</f>
        <v>BACHILLER</v>
      </c>
      <c r="DK309" s="1215" t="str">
        <f>VLOOKUP(S309,Hoja1!$D$4:$F$77,3,0)</f>
        <v>BII - II</v>
      </c>
      <c r="DL309" s="1219" t="str">
        <f t="shared" si="932"/>
        <v>0</v>
      </c>
      <c r="DM309" s="1744" t="str">
        <f t="shared" si="933"/>
        <v>F</v>
      </c>
      <c r="DN309" s="1744"/>
    </row>
    <row r="310" spans="1:118" s="473" customFormat="1" ht="24.95" customHeight="1" thickBot="1">
      <c r="A310" s="526"/>
      <c r="B310" s="411">
        <f ca="1">COUNT(B43:B309)</f>
        <v>267</v>
      </c>
      <c r="C310" s="527" t="s">
        <v>4562</v>
      </c>
      <c r="D310" s="528"/>
      <c r="E310" s="528"/>
      <c r="F310" s="529"/>
      <c r="G310" s="528"/>
      <c r="H310" s="528"/>
      <c r="I310" s="412">
        <f t="shared" ref="I310:K310" si="977">SUM(I43:I309)</f>
        <v>1950</v>
      </c>
      <c r="J310" s="412">
        <f t="shared" si="977"/>
        <v>355</v>
      </c>
      <c r="K310" s="412">
        <f t="shared" si="977"/>
        <v>2305</v>
      </c>
      <c r="L310" s="528"/>
      <c r="M310" s="528"/>
      <c r="N310" s="528"/>
      <c r="O310" s="530"/>
      <c r="P310" s="528"/>
      <c r="Q310" s="529"/>
      <c r="R310" s="531"/>
      <c r="S310" s="531"/>
      <c r="T310" s="412">
        <f t="shared" ref="T310:AU310" si="978">SUM(T43:T309)</f>
        <v>52570</v>
      </c>
      <c r="U310" s="412">
        <f t="shared" si="978"/>
        <v>0</v>
      </c>
      <c r="V310" s="412">
        <f t="shared" si="978"/>
        <v>52570</v>
      </c>
      <c r="W310" s="412">
        <f t="shared" si="978"/>
        <v>26285</v>
      </c>
      <c r="X310" s="412">
        <f t="shared" si="978"/>
        <v>0</v>
      </c>
      <c r="Y310" s="412">
        <f t="shared" si="978"/>
        <v>0</v>
      </c>
      <c r="Z310" s="413">
        <f t="shared" si="978"/>
        <v>207</v>
      </c>
      <c r="AA310" s="412">
        <f t="shared" si="978"/>
        <v>5413.7500000000055</v>
      </c>
      <c r="AB310" s="412">
        <f t="shared" si="978"/>
        <v>31980</v>
      </c>
      <c r="AC310" s="412">
        <f t="shared" si="978"/>
        <v>2587.5</v>
      </c>
      <c r="AD310" s="412">
        <f t="shared" si="978"/>
        <v>15955.939999999997</v>
      </c>
      <c r="AE310" s="412">
        <f t="shared" si="978"/>
        <v>55937.190000000031</v>
      </c>
      <c r="AF310" s="412">
        <f t="shared" si="978"/>
        <v>2707.1900000000014</v>
      </c>
      <c r="AG310" s="412">
        <f t="shared" si="978"/>
        <v>2706.5600000000027</v>
      </c>
      <c r="AH310" s="412">
        <f t="shared" si="978"/>
        <v>15990</v>
      </c>
      <c r="AI310" s="412">
        <f t="shared" si="978"/>
        <v>15990</v>
      </c>
      <c r="AJ310" s="412">
        <f t="shared" si="978"/>
        <v>7978.3700000000035</v>
      </c>
      <c r="AK310" s="412">
        <f t="shared" si="978"/>
        <v>7977.57</v>
      </c>
      <c r="AL310" s="412">
        <f t="shared" si="978"/>
        <v>29263.06</v>
      </c>
      <c r="AM310" s="412">
        <f t="shared" si="978"/>
        <v>26674.130000000016</v>
      </c>
      <c r="AN310" s="414">
        <f t="shared" si="978"/>
        <v>96</v>
      </c>
      <c r="AO310" s="412">
        <f t="shared" si="978"/>
        <v>1200</v>
      </c>
      <c r="AP310" s="414">
        <f t="shared" si="978"/>
        <v>2</v>
      </c>
      <c r="AQ310" s="412">
        <f t="shared" si="978"/>
        <v>25</v>
      </c>
      <c r="AR310" s="412">
        <f t="shared" si="978"/>
        <v>62.5</v>
      </c>
      <c r="AS310" s="412">
        <f t="shared" si="978"/>
        <v>12.5</v>
      </c>
      <c r="AT310" s="412">
        <f t="shared" si="978"/>
        <v>1300</v>
      </c>
      <c r="AU310" s="412">
        <f t="shared" si="978"/>
        <v>119069.19000000005</v>
      </c>
      <c r="AV310" s="412"/>
      <c r="AW310" s="412">
        <f t="shared" ref="AW310:CC310" si="979">SUM(AW43:AW309)</f>
        <v>10562</v>
      </c>
      <c r="AX310" s="412">
        <f t="shared" si="979"/>
        <v>84059.28</v>
      </c>
      <c r="AY310" s="412">
        <f t="shared" si="979"/>
        <v>44505</v>
      </c>
      <c r="AZ310" s="412">
        <f t="shared" si="979"/>
        <v>37087.5</v>
      </c>
      <c r="BA310" s="412">
        <f t="shared" si="979"/>
        <v>820687.43000000017</v>
      </c>
      <c r="BB310" s="412">
        <f t="shared" si="979"/>
        <v>0</v>
      </c>
      <c r="BC310" s="412">
        <f t="shared" si="979"/>
        <v>0</v>
      </c>
      <c r="BD310" s="412">
        <f t="shared" si="979"/>
        <v>0</v>
      </c>
      <c r="BE310" s="412">
        <f t="shared" si="979"/>
        <v>299</v>
      </c>
      <c r="BF310" s="412">
        <f t="shared" si="979"/>
        <v>7387.1900000000023</v>
      </c>
      <c r="BG310" s="412">
        <f t="shared" si="979"/>
        <v>73800</v>
      </c>
      <c r="BH310" s="412">
        <f t="shared" si="979"/>
        <v>0</v>
      </c>
      <c r="BI310" s="412">
        <f t="shared" si="979"/>
        <v>0</v>
      </c>
      <c r="BJ310" s="412">
        <f t="shared" si="979"/>
        <v>0</v>
      </c>
      <c r="BK310" s="412">
        <f t="shared" si="979"/>
        <v>0</v>
      </c>
      <c r="BL310" s="412">
        <f t="shared" si="979"/>
        <v>4360.0999999999967</v>
      </c>
      <c r="BM310" s="412">
        <f t="shared" si="979"/>
        <v>545.07000000000016</v>
      </c>
      <c r="BN310" s="412">
        <f t="shared" si="979"/>
        <v>1190.7600000000009</v>
      </c>
      <c r="BO310" s="412">
        <f t="shared" si="979"/>
        <v>0</v>
      </c>
      <c r="BP310" s="412">
        <f t="shared" si="979"/>
        <v>1.9899999999999998</v>
      </c>
      <c r="BQ310" s="412">
        <f t="shared" si="979"/>
        <v>6097.9200000000028</v>
      </c>
      <c r="BR310" s="412">
        <f t="shared" si="979"/>
        <v>9810.139999999994</v>
      </c>
      <c r="BS310" s="412">
        <f t="shared" si="979"/>
        <v>2180.02</v>
      </c>
      <c r="BT310" s="412">
        <f t="shared" si="979"/>
        <v>2381.5200000000018</v>
      </c>
      <c r="BU310" s="412">
        <f t="shared" si="979"/>
        <v>0</v>
      </c>
      <c r="BV310" s="412">
        <f t="shared" si="979"/>
        <v>14371.680000000008</v>
      </c>
      <c r="BW310" s="412">
        <f t="shared" si="979"/>
        <v>20469.600000000002</v>
      </c>
      <c r="BX310" s="412">
        <f t="shared" si="979"/>
        <v>206004.4500000001</v>
      </c>
      <c r="BY310" s="412">
        <f t="shared" si="979"/>
        <v>0</v>
      </c>
      <c r="BZ310" s="412">
        <f t="shared" si="979"/>
        <v>206004.4500000001</v>
      </c>
      <c r="CA310" s="412">
        <f t="shared" si="979"/>
        <v>513040</v>
      </c>
      <c r="CB310" s="412">
        <f t="shared" si="979"/>
        <v>49450.140000000029</v>
      </c>
      <c r="CC310" s="412">
        <f t="shared" si="979"/>
        <v>230067.59999999983</v>
      </c>
      <c r="CD310" s="520"/>
      <c r="CE310" s="520"/>
      <c r="CF310" s="520"/>
      <c r="CG310" s="532">
        <f t="shared" ref="CG310:CU310" si="980">SUM(CG43:CG309)</f>
        <v>49450.140000000029</v>
      </c>
      <c r="CH310" s="470">
        <f>SUM(CH43:CH309)</f>
        <v>73800</v>
      </c>
      <c r="CI310" s="532">
        <f>SUM(CI43:CI309)</f>
        <v>126759.13</v>
      </c>
      <c r="CJ310" s="532">
        <f t="shared" si="980"/>
        <v>108599.62999999999</v>
      </c>
      <c r="CK310" s="532">
        <f t="shared" si="980"/>
        <v>18159.5</v>
      </c>
      <c r="CL310" s="532">
        <f t="shared" si="980"/>
        <v>0</v>
      </c>
      <c r="CM310" s="532">
        <f t="shared" si="980"/>
        <v>0</v>
      </c>
      <c r="CN310" s="532">
        <f t="shared" si="980"/>
        <v>7387.1900000000023</v>
      </c>
      <c r="CO310" s="532">
        <f t="shared" si="980"/>
        <v>0</v>
      </c>
      <c r="CP310" s="532">
        <f t="shared" si="980"/>
        <v>10562</v>
      </c>
      <c r="CQ310" s="532">
        <f t="shared" si="980"/>
        <v>1300</v>
      </c>
      <c r="CR310" s="532">
        <f t="shared" si="980"/>
        <v>84059.28</v>
      </c>
      <c r="CS310" s="532">
        <f t="shared" si="980"/>
        <v>103308.47000000006</v>
      </c>
      <c r="CT310" s="532">
        <f t="shared" si="980"/>
        <v>20469.600000000002</v>
      </c>
      <c r="CU310" s="532">
        <f t="shared" si="980"/>
        <v>513040</v>
      </c>
      <c r="CV310" s="1561"/>
      <c r="CW310" s="1561"/>
      <c r="CX310" s="1561"/>
      <c r="CY310" s="472"/>
      <c r="CZ310" s="514"/>
      <c r="DA310" s="514"/>
      <c r="DB310" s="514"/>
      <c r="DC310" s="514"/>
      <c r="DD310" s="514"/>
      <c r="DE310" s="691"/>
      <c r="DF310" s="472"/>
      <c r="DG310" s="472"/>
      <c r="DH310" s="472"/>
      <c r="DJ310" s="520"/>
      <c r="DK310" s="520"/>
      <c r="DL310" s="1216"/>
    </row>
    <row r="311" spans="1:118" s="473" customFormat="1" ht="24.95" customHeight="1" thickBot="1">
      <c r="A311" s="365" t="s">
        <v>4563</v>
      </c>
      <c r="B311" s="534"/>
      <c r="C311" s="535"/>
      <c r="D311" s="220"/>
      <c r="E311" s="184"/>
      <c r="F311" s="423"/>
      <c r="G311" s="185"/>
      <c r="H311" s="185"/>
      <c r="I311" s="186"/>
      <c r="J311" s="186"/>
      <c r="K311" s="186"/>
      <c r="L311" s="186"/>
      <c r="M311" s="186"/>
      <c r="N311" s="186"/>
      <c r="O311" s="187"/>
      <c r="P311" s="186"/>
      <c r="Q311" s="186"/>
      <c r="R311" s="273"/>
      <c r="S311" s="273"/>
      <c r="T311" s="186"/>
      <c r="U311" s="186"/>
      <c r="V311" s="186"/>
      <c r="W311" s="186"/>
      <c r="X311" s="186"/>
      <c r="Y311" s="186"/>
      <c r="Z311" s="372"/>
      <c r="AA311" s="189"/>
      <c r="AB311" s="189"/>
      <c r="AC311" s="189"/>
      <c r="AD311" s="189"/>
      <c r="AE311" s="189"/>
      <c r="AF311" s="189"/>
      <c r="AG311" s="189"/>
      <c r="AH311" s="189"/>
      <c r="AI311" s="189"/>
      <c r="AJ311" s="189"/>
      <c r="AK311" s="189"/>
      <c r="AL311" s="189"/>
      <c r="AM311" s="189"/>
      <c r="AN311" s="189"/>
      <c r="AO311" s="190"/>
      <c r="AP311" s="190"/>
      <c r="AQ311" s="190"/>
      <c r="AR311" s="190"/>
      <c r="AS311" s="190"/>
      <c r="AT311" s="190"/>
      <c r="AU311" s="186"/>
      <c r="AV311" s="339"/>
      <c r="AW311" s="189"/>
      <c r="AX311" s="189"/>
      <c r="AY311" s="189"/>
      <c r="AZ311" s="597"/>
      <c r="BA311" s="597"/>
      <c r="BB311" s="186"/>
      <c r="BC311" s="186"/>
      <c r="BD311" s="186"/>
      <c r="BE311" s="474"/>
      <c r="BF311" s="189"/>
      <c r="BG311" s="189"/>
      <c r="BH311" s="189"/>
      <c r="BI311" s="189"/>
      <c r="BJ311" s="189"/>
      <c r="BK311" s="189"/>
      <c r="BL311" s="186"/>
      <c r="BM311" s="186"/>
      <c r="BN311" s="186"/>
      <c r="BO311" s="186"/>
      <c r="BP311" s="186"/>
      <c r="BQ311" s="186"/>
      <c r="BR311" s="189"/>
      <c r="BS311" s="189"/>
      <c r="BT311" s="189"/>
      <c r="BU311" s="189"/>
      <c r="BV311" s="189"/>
      <c r="BW311" s="189"/>
      <c r="BX311" s="189"/>
      <c r="BY311" s="189"/>
      <c r="BZ311" s="189"/>
      <c r="CA311" s="189"/>
      <c r="CB311" s="191"/>
      <c r="CC311" s="191"/>
      <c r="CD311" s="191"/>
      <c r="CE311" s="191"/>
      <c r="CF311" s="191"/>
      <c r="CG311" s="497"/>
      <c r="CH311" s="497"/>
      <c r="CI311" s="497"/>
      <c r="CJ311" s="497"/>
      <c r="CK311" s="497"/>
      <c r="CL311" s="191"/>
      <c r="CM311" s="191"/>
      <c r="CN311" s="191"/>
      <c r="CO311" s="191"/>
      <c r="CP311" s="191"/>
      <c r="CQ311" s="191"/>
      <c r="CR311" s="191"/>
      <c r="CS311" s="191"/>
      <c r="CT311" s="191"/>
      <c r="CU311" s="191"/>
      <c r="CV311" s="191"/>
      <c r="CW311" s="191"/>
      <c r="CX311" s="191"/>
      <c r="CY311" s="191"/>
      <c r="CZ311" s="514"/>
      <c r="DA311" s="514"/>
      <c r="DB311" s="514"/>
      <c r="DC311" s="514"/>
      <c r="DD311" s="691"/>
      <c r="DE311" s="514"/>
      <c r="DF311" s="191"/>
      <c r="DG311" s="191"/>
      <c r="DH311" s="191"/>
      <c r="DI311" s="192"/>
      <c r="DJ311" s="520"/>
      <c r="DK311" s="191"/>
      <c r="DL311" s="1216"/>
      <c r="DN311" s="192"/>
    </row>
    <row r="312" spans="1:118" s="473" customFormat="1" ht="21.95" customHeight="1">
      <c r="A312" s="1516" t="s">
        <v>2834</v>
      </c>
      <c r="B312" s="194">
        <v>1</v>
      </c>
      <c r="C312" s="344">
        <v>5505183</v>
      </c>
      <c r="D312" s="536" t="s">
        <v>4959</v>
      </c>
      <c r="E312" s="366" t="s">
        <v>4622</v>
      </c>
      <c r="F312" s="421">
        <v>21214</v>
      </c>
      <c r="G312" s="366" t="s">
        <v>4621</v>
      </c>
      <c r="H312" s="421">
        <v>44562</v>
      </c>
      <c r="I312" s="1517">
        <f t="shared" ref="I312:I343" si="981">IF(AND(YEAR(H312)&lt;YEAR($H$10),MONTH(H312)&gt;$BR$8),YEAR($H$10)-YEAR(H312)-1,IF(OR(H312="",YEAR(H312)&gt;YEAR($H$10)),0,YEAR($H$10)-YEAR(H312)))</f>
        <v>3</v>
      </c>
      <c r="J312" s="379">
        <v>9</v>
      </c>
      <c r="K312" s="1517">
        <f t="shared" ref="K312:K343" si="982">I312+J312</f>
        <v>12</v>
      </c>
      <c r="L312" s="1176" t="s">
        <v>5565</v>
      </c>
      <c r="M312" s="379"/>
      <c r="N312" s="379"/>
      <c r="O312" s="380" t="s">
        <v>5084</v>
      </c>
      <c r="P312" s="379" t="s">
        <v>5103</v>
      </c>
      <c r="Q312" s="1518">
        <v>7152</v>
      </c>
      <c r="R312" s="1543" t="s">
        <v>5084</v>
      </c>
      <c r="S312" s="417">
        <v>3</v>
      </c>
      <c r="T312" s="844">
        <f>IFERROR(VLOOKUP(S312,'TAB OBR'!A:B,2,0),0)</f>
        <v>152</v>
      </c>
      <c r="U312" s="343">
        <v>0</v>
      </c>
      <c r="V312" s="844">
        <f t="shared" ref="V312:V343" si="983">T312-U312</f>
        <v>152</v>
      </c>
      <c r="W312" s="343">
        <f t="shared" ref="W312:W376" si="984">ROUND(V312/2,2)</f>
        <v>76</v>
      </c>
      <c r="X312" s="366" t="s">
        <v>2884</v>
      </c>
      <c r="Y312" s="366" t="s">
        <v>2884</v>
      </c>
      <c r="Z312" s="366">
        <v>0</v>
      </c>
      <c r="AA312" s="844">
        <f>ROUND(IF(H312&lt;&gt;"",VLOOKUP(SUM(I312+J312),'CONCEPTOS Y PARAMETROS'!F:G,2,0)*V312,0),2)</f>
        <v>20.98</v>
      </c>
      <c r="AB312" s="844">
        <f>IF(S312&lt;&gt;"",IF(M312="",'CONCEPTOS Y PARAMETROS'!$C$4,0),0)</f>
        <v>130</v>
      </c>
      <c r="AC312" s="844">
        <f>IF(S312&lt;&gt;"",IF(M312="",'CONCEPTOS Y PARAMETROS'!$C$7*Z312,0),0)</f>
        <v>0</v>
      </c>
      <c r="AD312" s="844">
        <f>IFERROR(ROUND(VLOOKUP($X312,'CONCEPTOS Y PARAMETROS'!H:I,2,0)*($V312+AA312+AB312+AC312),2),0)</f>
        <v>0</v>
      </c>
      <c r="AE312" s="844">
        <f t="shared" ref="AE312:AE343" si="985">SUM(AA312:AD312)</f>
        <v>150.97999999999999</v>
      </c>
      <c r="AF312" s="844">
        <f t="shared" ref="AF312:AF376" si="986">ROUND(AA312/2,2)</f>
        <v>10.49</v>
      </c>
      <c r="AG312" s="844">
        <f t="shared" ref="AG312:AG376" si="987">ROUND(AA312-AF312,2)</f>
        <v>10.49</v>
      </c>
      <c r="AH312" s="844">
        <f t="shared" ref="AH312:AH376" si="988">ROUND(AB312/2,2)</f>
        <v>65</v>
      </c>
      <c r="AI312" s="844">
        <f t="shared" ref="AI312:AI376" si="989">ROUND(AB312-AH312,2)</f>
        <v>65</v>
      </c>
      <c r="AJ312" s="844">
        <f t="shared" ref="AJ312:AJ376" si="990">ROUND(AD312/2,2)</f>
        <v>0</v>
      </c>
      <c r="AK312" s="844">
        <f t="shared" ref="AK312:AK376" si="991">ROUND(AD312-AJ312,2)</f>
        <v>0</v>
      </c>
      <c r="AL312" s="343">
        <f t="shared" ref="AL312:AL376" si="992">ROUND(AF312+AH312+AJ312+AC312,2)</f>
        <v>75.489999999999995</v>
      </c>
      <c r="AM312" s="343">
        <f t="shared" ref="AM312:AM376" si="993">ROUND(AG312+AI312+AK312,2)</f>
        <v>75.489999999999995</v>
      </c>
      <c r="AN312" s="344">
        <v>0</v>
      </c>
      <c r="AO312" s="1521">
        <f>'CONCEPTOS Y PARAMETROS'!$C$18*AN312</f>
        <v>0</v>
      </c>
      <c r="AP312" s="344">
        <v>0</v>
      </c>
      <c r="AQ312" s="1521">
        <f>'CONCEPTOS Y PARAMETROS'!$C$21*AP312</f>
        <v>0</v>
      </c>
      <c r="AR312" s="1522">
        <v>0</v>
      </c>
      <c r="AS312" s="1522">
        <v>0</v>
      </c>
      <c r="AT312" s="1522">
        <f t="shared" ref="AT312:AT342" si="994">+AO312+AQ312+AR312+AS312</f>
        <v>0</v>
      </c>
      <c r="AU312" s="343">
        <f t="shared" ref="AU312:AU343" si="995">V312+AE312+AW312</f>
        <v>302.98</v>
      </c>
      <c r="AV312" s="1523">
        <v>0</v>
      </c>
      <c r="AW312" s="343">
        <f t="shared" ref="AW312:AW343" si="996">ROUND(IF(AV312="NOCTURN",(V312+AE312)*30%,0),2)</f>
        <v>0</v>
      </c>
      <c r="AX312" s="844">
        <f>IF(T312&lt;&gt;"0",(ROUND(IF(A312="EMPLEADO",eval_formula('CONCEPTOS Y PARAMETROS'!$C$8,NOMINA!V312,NOMINA!$AU312,NOMINA!I312+NOMINA!J312),eval_formula('CONCEPTOS Y PARAMETROS'!$D$8,NOMINA!V312,NOMINA!$AU312,NOMINA!I312+NOMINA!J312)),2))*IF(H312&lt;&gt;"",IF(MONTH(H312)=$BR$8,IF(YEAR(H312)&lt;$BT$7,1,0),0)))</f>
        <v>2423.84</v>
      </c>
      <c r="AY312" s="343">
        <v>180</v>
      </c>
      <c r="AZ312" s="844">
        <f>IFERROR(VLOOKUP(AY312,'CONCEPTOS Y PARAMETROS'!Y:Z,2,0),0)</f>
        <v>150</v>
      </c>
      <c r="BA312" s="844">
        <f t="shared" ref="BA312:BA376" si="997">ROUND((((AU312))/30*AY312/12+(AU312))/30*AZ312,2)</f>
        <v>2272.35</v>
      </c>
      <c r="BB312" s="844">
        <f t="shared" ref="BB312:BB376" si="998">ROUND(AU312/30*$BB$10,2)</f>
        <v>0</v>
      </c>
      <c r="BC312" s="344">
        <v>0</v>
      </c>
      <c r="BD312" s="844" t="str">
        <f t="shared" ref="BD312:BD343" si="999">IF(BC312&gt;0,((((((V312+AA312+AB312+AC312+AD312)/30)/8)*50%)+((((V312+AA312+AB312+AC312+AD312)/30)/8)))*30%+(((((V312+AA312+AB312+AC312+AD312)/30)/8)*50%)+((((V312+AA312+AB312+AC312+AD312)/30)/8))))*BC312,"0")</f>
        <v>0</v>
      </c>
      <c r="BE312" s="344">
        <v>0</v>
      </c>
      <c r="BF312" s="844">
        <f t="shared" ref="BF312:BF343" si="1000">ROUND(IF(BE312&gt;0,(((V312+AA312+AB312+AC312+AD312+AW312)/30)*50%+((V312+AA312+AB312+AC312+AD312+AW312)/30))*BE312,"0"),2)</f>
        <v>0</v>
      </c>
      <c r="BG312" s="343">
        <v>290</v>
      </c>
      <c r="BH312" s="343">
        <f t="shared" ref="BH312:BH343" si="1001">+IF(AND(Z312&gt;0,G312="M"),12.5,0)*0</f>
        <v>0</v>
      </c>
      <c r="BI312" s="343">
        <v>0</v>
      </c>
      <c r="BJ312" s="343">
        <f t="shared" ref="BJ312:BJ375" si="1002">+IF(BI312&lt;&gt;0,(BI312*12.5),0)</f>
        <v>0</v>
      </c>
      <c r="BK312" s="343">
        <v>0</v>
      </c>
      <c r="BL312" s="844">
        <f>ROUND(IF(M312="", (((AU312*12)/52)*4%)*$BS$8,0),2)</f>
        <v>11.19</v>
      </c>
      <c r="BM312" s="844">
        <f>ROUND(IF(M312="",(((AU312*12)/52)*0.5%)*$BS$8,0),2)</f>
        <v>1.4</v>
      </c>
      <c r="BN312" s="844">
        <f t="shared" ref="BN312:BN343" si="1003">ROUND(IF(M312="",(AU312*1%),0),2)</f>
        <v>3.03</v>
      </c>
      <c r="BO312" s="844">
        <v>0</v>
      </c>
      <c r="BP312" s="844">
        <v>0</v>
      </c>
      <c r="BQ312" s="1525">
        <f t="shared" ref="BQ312:BQ376" si="1004">ROUND(SUM(BL312:BP312),2)</f>
        <v>15.62</v>
      </c>
      <c r="BR312" s="844">
        <f>ROUND(IF(M312="", (((AU312*12)/52)*9%)*$BS$8,0),2)</f>
        <v>25.17</v>
      </c>
      <c r="BS312" s="844">
        <f>ROUND(IF(M312="",(((AU312*12)/52)*2%)*$BS$8,0),2)</f>
        <v>5.59</v>
      </c>
      <c r="BT312" s="844">
        <f t="shared" ref="BT312:BT343" si="1005">ROUND(IF(M312="",(BN312*2),0),2)</f>
        <v>6.06</v>
      </c>
      <c r="BU312" s="844">
        <v>0</v>
      </c>
      <c r="BV312" s="343">
        <f t="shared" ref="BV312:BV342" si="1006">ROUND(SUM(BR312:BT312),2)</f>
        <v>36.82</v>
      </c>
      <c r="BW312" s="673">
        <f t="shared" ref="BW312:BW342" si="1007">BQ312+BV312</f>
        <v>52.44</v>
      </c>
      <c r="BX312" s="673">
        <f t="shared" ref="BX312:BX330" si="1008">ROUND(BA312/4,2)</f>
        <v>568.09</v>
      </c>
      <c r="BY312" s="343">
        <v>0</v>
      </c>
      <c r="BZ312" s="343">
        <f t="shared" ref="BZ312:BZ375" si="1009">+BX312+BY312</f>
        <v>568.09</v>
      </c>
      <c r="CA312" s="1526">
        <f>'CONCEPTOS Y PARAMETROS'!$A$102</f>
        <v>2120</v>
      </c>
      <c r="CB312" s="673">
        <f t="shared" ref="CB312:CB375" si="1010">W312+AL312-BQ312</f>
        <v>135.87</v>
      </c>
      <c r="CC312" s="674">
        <f t="shared" ref="CC312:CC375" si="1011">ROUND((W312+AM312+AT312+AW312+AX312+BB312+BD312+BF312+BJ312+BK312+BG312),2)</f>
        <v>2865.33</v>
      </c>
      <c r="CD312" s="514"/>
      <c r="CE312" s="514"/>
      <c r="CF312" s="520"/>
      <c r="CG312" s="497">
        <f t="shared" ref="CG312:CG375" si="1012">W312+AL312-BQ312</f>
        <v>135.87</v>
      </c>
      <c r="CH312" s="1711">
        <f t="shared" ref="CH312:CH343" si="1013">BG312</f>
        <v>290</v>
      </c>
      <c r="CI312" s="497">
        <f t="shared" ref="CI312:CI375" si="1014">W312+AM312+BG312</f>
        <v>441.49</v>
      </c>
      <c r="CJ312" s="497">
        <f t="shared" ref="CJ312:CJ375" si="1015">ROUND(IF(CI312&gt;560,CI312*48%,CI312),2)</f>
        <v>441.49</v>
      </c>
      <c r="CK312" s="497">
        <f t="shared" ref="CK312:CK375" si="1016">+CI312-CJ312</f>
        <v>0</v>
      </c>
      <c r="CL312" s="497">
        <f t="shared" ref="CL312:CL343" si="1017">+BJ312</f>
        <v>0</v>
      </c>
      <c r="CM312" s="497">
        <f t="shared" ref="CM312:CM343" si="1018">+BK312</f>
        <v>0</v>
      </c>
      <c r="CN312" s="498">
        <f t="shared" ref="CN312:CN343" si="1019">BF312+BB312</f>
        <v>0</v>
      </c>
      <c r="CO312" s="499">
        <v>0</v>
      </c>
      <c r="CP312" s="498">
        <f t="shared" ref="CP312:CP343" si="1020">AW312</f>
        <v>0</v>
      </c>
      <c r="CQ312" s="500">
        <f t="shared" ref="CQ312:CQ343" si="1021">AT312+CL312+CM312</f>
        <v>0</v>
      </c>
      <c r="CR312" s="498">
        <f t="shared" ref="CR312:CR343" si="1022">AX312</f>
        <v>2423.84</v>
      </c>
      <c r="CS312" s="498">
        <f t="shared" ref="CS312:CS343" si="1023">SUM(CL312:CR312)</f>
        <v>2423.84</v>
      </c>
      <c r="CT312" s="498">
        <f t="shared" ref="CT312:CT343" si="1024">BQ312+BV312</f>
        <v>52.44</v>
      </c>
      <c r="CU312" s="498">
        <f t="shared" ref="CU312:CU343" si="1025">CA312</f>
        <v>2120</v>
      </c>
      <c r="CV312" s="1554"/>
      <c r="CW312" s="536" t="s">
        <v>7214</v>
      </c>
      <c r="CX312" s="536" t="s">
        <v>7084</v>
      </c>
      <c r="CY312" s="472"/>
      <c r="CZ312" s="514" t="s">
        <v>6494</v>
      </c>
      <c r="DA312" s="514" t="s">
        <v>6173</v>
      </c>
      <c r="DB312" s="514" t="s">
        <v>6202</v>
      </c>
      <c r="DC312" s="514" t="s">
        <v>6645</v>
      </c>
      <c r="DD312" s="514"/>
      <c r="DE312" s="514"/>
      <c r="DF312" s="472"/>
      <c r="DG312" s="472"/>
      <c r="DH312" s="472"/>
      <c r="DJ312" s="473" t="str">
        <f>VLOOKUP(X312,Hoja1!$A$4:$B$10,2,0)</f>
        <v>BACHILLER</v>
      </c>
      <c r="DK312" s="473" t="str">
        <f>VLOOKUP(S312,Hoja1!$D$4:$F$77,3,0)</f>
        <v>GRADO (3) - MÁX</v>
      </c>
      <c r="DL312" s="1216" t="str">
        <f t="shared" ref="DL312:DL343" si="1026">IF(AV312="NOCTURN","SI","0")</f>
        <v>0</v>
      </c>
      <c r="DM312" s="1741" t="str">
        <f t="shared" ref="DM312:DM343" si="1027">+G312</f>
        <v>M</v>
      </c>
      <c r="DN312" s="1741"/>
    </row>
    <row r="313" spans="1:118" s="473" customFormat="1" ht="21.95" customHeight="1">
      <c r="A313" s="510" t="s">
        <v>2834</v>
      </c>
      <c r="B313" s="1390">
        <f ca="1">OFFSET(B313,-1,0)+1</f>
        <v>2</v>
      </c>
      <c r="C313" s="1028">
        <v>5757455</v>
      </c>
      <c r="D313" s="1343" t="s">
        <v>4960</v>
      </c>
      <c r="E313" s="1180" t="s">
        <v>4622</v>
      </c>
      <c r="F313" s="1161">
        <v>21728</v>
      </c>
      <c r="G313" s="1180" t="s">
        <v>4620</v>
      </c>
      <c r="H313" s="1161">
        <v>39409</v>
      </c>
      <c r="I313" s="1185">
        <f t="shared" si="981"/>
        <v>17</v>
      </c>
      <c r="J313" s="1177">
        <v>0</v>
      </c>
      <c r="K313" s="1185">
        <f t="shared" si="982"/>
        <v>17</v>
      </c>
      <c r="L313" s="1191" t="s">
        <v>5566</v>
      </c>
      <c r="M313" s="1177"/>
      <c r="N313" s="1177"/>
      <c r="O313" s="1040" t="s">
        <v>5085</v>
      </c>
      <c r="P313" s="1177" t="s">
        <v>5104</v>
      </c>
      <c r="Q313" s="1391">
        <v>2202</v>
      </c>
      <c r="R313" s="1514" t="s">
        <v>5085</v>
      </c>
      <c r="S313" s="1513">
        <v>5</v>
      </c>
      <c r="T313" s="1150">
        <f>IFERROR(VLOOKUP(S313,'TAB OBR'!A:B,2,0),0)</f>
        <v>171</v>
      </c>
      <c r="U313" s="1151">
        <v>0</v>
      </c>
      <c r="V313" s="1150">
        <f t="shared" si="983"/>
        <v>171</v>
      </c>
      <c r="W313" s="1151">
        <f t="shared" si="984"/>
        <v>85.5</v>
      </c>
      <c r="X313" s="1180" t="s">
        <v>2884</v>
      </c>
      <c r="Y313" s="1180" t="s">
        <v>2884</v>
      </c>
      <c r="Z313" s="1180">
        <v>0</v>
      </c>
      <c r="AA313" s="1150">
        <f>ROUND(IF(H313&lt;&gt;"",VLOOKUP(SUM(I313+J313),'CONCEPTOS Y PARAMETROS'!F:G,2,0)*V313,0),2)</f>
        <v>36.25</v>
      </c>
      <c r="AB313" s="1150">
        <f>IF(S313&lt;&gt;"",IF(M313="",'CONCEPTOS Y PARAMETROS'!$C$4,0),0)</f>
        <v>130</v>
      </c>
      <c r="AC313" s="1150">
        <f>IF(S313&lt;&gt;"",IF(M313="",'CONCEPTOS Y PARAMETROS'!$C$7*Z313,0),0)</f>
        <v>0</v>
      </c>
      <c r="AD313" s="1150">
        <f>IFERROR(ROUND(VLOOKUP($X313,'CONCEPTOS Y PARAMETROS'!H:I,2,0)*($V313+AA313+AB313+AC313),2),0)</f>
        <v>0</v>
      </c>
      <c r="AE313" s="1150">
        <f t="shared" si="985"/>
        <v>166.25</v>
      </c>
      <c r="AF313" s="1150">
        <f t="shared" si="986"/>
        <v>18.13</v>
      </c>
      <c r="AG313" s="1150">
        <f t="shared" si="987"/>
        <v>18.12</v>
      </c>
      <c r="AH313" s="1150">
        <f t="shared" si="988"/>
        <v>65</v>
      </c>
      <c r="AI313" s="1150">
        <f t="shared" si="989"/>
        <v>65</v>
      </c>
      <c r="AJ313" s="1150">
        <f t="shared" si="990"/>
        <v>0</v>
      </c>
      <c r="AK313" s="1150">
        <f t="shared" si="991"/>
        <v>0</v>
      </c>
      <c r="AL313" s="1151">
        <f t="shared" si="992"/>
        <v>83.13</v>
      </c>
      <c r="AM313" s="1151">
        <f t="shared" si="993"/>
        <v>83.12</v>
      </c>
      <c r="AN313" s="1028">
        <v>0</v>
      </c>
      <c r="AO313" s="1193">
        <f>'CONCEPTOS Y PARAMETROS'!$C$18*AN313</f>
        <v>0</v>
      </c>
      <c r="AP313" s="1028">
        <v>0</v>
      </c>
      <c r="AQ313" s="1193">
        <f>'CONCEPTOS Y PARAMETROS'!$C$21*AP313</f>
        <v>0</v>
      </c>
      <c r="AR313" s="1394">
        <v>0</v>
      </c>
      <c r="AS313" s="1394">
        <v>0</v>
      </c>
      <c r="AT313" s="1394">
        <f t="shared" si="994"/>
        <v>0</v>
      </c>
      <c r="AU313" s="1151">
        <f t="shared" si="995"/>
        <v>337.25</v>
      </c>
      <c r="AV313" s="1178">
        <v>0</v>
      </c>
      <c r="AW313" s="1151">
        <f t="shared" si="996"/>
        <v>0</v>
      </c>
      <c r="AX313" s="1150">
        <f>IF(T313&lt;&gt;"0",(ROUND(IF(A313="EMPLEADO",eval_formula('CONCEPTOS Y PARAMETROS'!$C$8,NOMINA!V313,NOMINA!$AU313,NOMINA!I313+NOMINA!J313),eval_formula('CONCEPTOS Y PARAMETROS'!$D$8,NOMINA!V313,NOMINA!$AU313,NOMINA!I313+NOMINA!J313)),2))*IF(H313&lt;&gt;"",IF(MONTH(H313)=$BR$8,IF(YEAR(H313)&lt;$BT$7,1,0),0)))</f>
        <v>0</v>
      </c>
      <c r="AY313" s="1151">
        <v>180</v>
      </c>
      <c r="AZ313" s="1150">
        <f>IFERROR(VLOOKUP(AY313,'CONCEPTOS Y PARAMETROS'!Y:Z,2,0),0)</f>
        <v>150</v>
      </c>
      <c r="BA313" s="1150">
        <f t="shared" si="997"/>
        <v>2529.38</v>
      </c>
      <c r="BB313" s="1150">
        <f t="shared" si="998"/>
        <v>0</v>
      </c>
      <c r="BC313" s="1028">
        <v>0</v>
      </c>
      <c r="BD313" s="1150" t="str">
        <f t="shared" si="999"/>
        <v>0</v>
      </c>
      <c r="BE313" s="1028">
        <v>2</v>
      </c>
      <c r="BF313" s="1150">
        <f t="shared" si="1000"/>
        <v>33.729999999999997</v>
      </c>
      <c r="BG313" s="1151">
        <v>290</v>
      </c>
      <c r="BH313" s="1151">
        <f t="shared" si="1001"/>
        <v>0</v>
      </c>
      <c r="BI313" s="1151">
        <v>0</v>
      </c>
      <c r="BJ313" s="1151">
        <f t="shared" si="1002"/>
        <v>0</v>
      </c>
      <c r="BK313" s="1151">
        <v>0</v>
      </c>
      <c r="BL313" s="1150">
        <v>0</v>
      </c>
      <c r="BM313" s="1150">
        <v>0</v>
      </c>
      <c r="BN313" s="1150">
        <f t="shared" si="1003"/>
        <v>3.37</v>
      </c>
      <c r="BO313" s="1150">
        <v>0</v>
      </c>
      <c r="BP313" s="1150">
        <v>0</v>
      </c>
      <c r="BQ313" s="1396">
        <f t="shared" si="1004"/>
        <v>3.37</v>
      </c>
      <c r="BR313" s="1150">
        <v>0</v>
      </c>
      <c r="BS313" s="1150">
        <v>0</v>
      </c>
      <c r="BT313" s="1150">
        <f t="shared" si="1005"/>
        <v>6.74</v>
      </c>
      <c r="BU313" s="1150">
        <v>0</v>
      </c>
      <c r="BV313" s="1151">
        <f t="shared" si="1006"/>
        <v>6.74</v>
      </c>
      <c r="BW313" s="1155">
        <f t="shared" si="1007"/>
        <v>10.11</v>
      </c>
      <c r="BX313" s="1155">
        <f t="shared" si="1008"/>
        <v>632.35</v>
      </c>
      <c r="BY313" s="1151">
        <v>0</v>
      </c>
      <c r="BZ313" s="1151">
        <f t="shared" si="1009"/>
        <v>632.35</v>
      </c>
      <c r="CA313" s="1397">
        <f>'CONCEPTOS Y PARAMETROS'!$A$102</f>
        <v>2120</v>
      </c>
      <c r="CB313" s="1155">
        <f t="shared" si="1010"/>
        <v>165.26</v>
      </c>
      <c r="CC313" s="1156">
        <f t="shared" si="1011"/>
        <v>492.35</v>
      </c>
      <c r="CD313" s="514"/>
      <c r="CE313" s="514"/>
      <c r="CF313" s="520"/>
      <c r="CG313" s="497">
        <f t="shared" si="1012"/>
        <v>165.26</v>
      </c>
      <c r="CH313" s="1711">
        <f t="shared" si="1013"/>
        <v>290</v>
      </c>
      <c r="CI313" s="497">
        <f t="shared" si="1014"/>
        <v>458.62</v>
      </c>
      <c r="CJ313" s="497">
        <f t="shared" si="1015"/>
        <v>458.62</v>
      </c>
      <c r="CK313" s="497">
        <f t="shared" si="1016"/>
        <v>0</v>
      </c>
      <c r="CL313" s="497">
        <f t="shared" si="1017"/>
        <v>0</v>
      </c>
      <c r="CM313" s="497">
        <f t="shared" si="1018"/>
        <v>0</v>
      </c>
      <c r="CN313" s="498">
        <f t="shared" si="1019"/>
        <v>33.729999999999997</v>
      </c>
      <c r="CO313" s="499">
        <v>0</v>
      </c>
      <c r="CP313" s="498">
        <f t="shared" si="1020"/>
        <v>0</v>
      </c>
      <c r="CQ313" s="500">
        <f t="shared" si="1021"/>
        <v>0</v>
      </c>
      <c r="CR313" s="498">
        <f t="shared" si="1022"/>
        <v>0</v>
      </c>
      <c r="CS313" s="498">
        <f t="shared" si="1023"/>
        <v>33.729999999999997</v>
      </c>
      <c r="CT313" s="498">
        <f t="shared" si="1024"/>
        <v>10.11</v>
      </c>
      <c r="CU313" s="498">
        <f t="shared" si="1025"/>
        <v>2120</v>
      </c>
      <c r="CV313" s="1554"/>
      <c r="CW313" s="1343" t="s">
        <v>7091</v>
      </c>
      <c r="CX313" s="1343" t="s">
        <v>6935</v>
      </c>
      <c r="CY313" s="472"/>
      <c r="CZ313" s="1199" t="s">
        <v>6686</v>
      </c>
      <c r="DA313" s="514" t="s">
        <v>6188</v>
      </c>
      <c r="DB313" s="514" t="s">
        <v>6302</v>
      </c>
      <c r="DC313" s="514" t="s">
        <v>6724</v>
      </c>
      <c r="DD313" s="514"/>
      <c r="DE313" s="514"/>
      <c r="DF313" s="472"/>
      <c r="DG313" s="472"/>
      <c r="DH313" s="472"/>
      <c r="DJ313" s="473" t="str">
        <f>VLOOKUP(X313,Hoja1!$A$4:$B$10,2,0)</f>
        <v>BACHILLER</v>
      </c>
      <c r="DK313" s="473" t="str">
        <f>VLOOKUP(S313,Hoja1!$D$4:$F$77,3,0)</f>
        <v>GRADO (5) - MÁX</v>
      </c>
      <c r="DL313" s="1216" t="str">
        <f t="shared" si="1026"/>
        <v>0</v>
      </c>
      <c r="DM313" s="1741" t="str">
        <f t="shared" si="1027"/>
        <v>F</v>
      </c>
      <c r="DN313" s="1741"/>
    </row>
    <row r="314" spans="1:118" s="473" customFormat="1" ht="21.95" customHeight="1">
      <c r="A314" s="510" t="s">
        <v>2834</v>
      </c>
      <c r="B314" s="1390">
        <f t="shared" ref="B314:B378" ca="1" si="1028">OFFSET(B314,-1,0)+1</f>
        <v>3</v>
      </c>
      <c r="C314" s="1028">
        <v>5762185</v>
      </c>
      <c r="D314" s="1343" t="s">
        <v>4961</v>
      </c>
      <c r="E314" s="1180" t="s">
        <v>4622</v>
      </c>
      <c r="F314" s="1161">
        <v>22999</v>
      </c>
      <c r="G314" s="1180" t="s">
        <v>4621</v>
      </c>
      <c r="H314" s="1161">
        <v>37622</v>
      </c>
      <c r="I314" s="1185">
        <f t="shared" si="981"/>
        <v>22</v>
      </c>
      <c r="J314" s="1177">
        <v>0</v>
      </c>
      <c r="K314" s="1185">
        <f t="shared" si="982"/>
        <v>22</v>
      </c>
      <c r="L314" s="1191" t="s">
        <v>5565</v>
      </c>
      <c r="M314" s="1177"/>
      <c r="N314" s="1177"/>
      <c r="O314" s="1040" t="s">
        <v>5086</v>
      </c>
      <c r="P314" s="1177" t="s">
        <v>5105</v>
      </c>
      <c r="Q314" s="1391">
        <v>8201</v>
      </c>
      <c r="R314" s="1514" t="s">
        <v>5086</v>
      </c>
      <c r="S314" s="1513">
        <v>5</v>
      </c>
      <c r="T314" s="1150">
        <f>IFERROR(VLOOKUP(S314,'TAB OBR'!A:B,2,0),0)</f>
        <v>171</v>
      </c>
      <c r="U314" s="1151">
        <v>0</v>
      </c>
      <c r="V314" s="1150">
        <f t="shared" si="983"/>
        <v>171</v>
      </c>
      <c r="W314" s="1151">
        <f t="shared" si="984"/>
        <v>85.5</v>
      </c>
      <c r="X314" s="1180" t="s">
        <v>2884</v>
      </c>
      <c r="Y314" s="1180" t="s">
        <v>2884</v>
      </c>
      <c r="Z314" s="1180">
        <v>0</v>
      </c>
      <c r="AA314" s="1150">
        <f>ROUND(IF(H314&lt;&gt;"",VLOOKUP(SUM(I314+J314),'CONCEPTOS Y PARAMETROS'!F:G,2,0)*V314,0),2)</f>
        <v>50.62</v>
      </c>
      <c r="AB314" s="1150">
        <f>IF(S314&lt;&gt;"",IF(M314="",'CONCEPTOS Y PARAMETROS'!$C$4,0),0)</f>
        <v>130</v>
      </c>
      <c r="AC314" s="1150">
        <f>IF(S314&lt;&gt;"",IF(M314="",'CONCEPTOS Y PARAMETROS'!$C$7*Z314,0),0)</f>
        <v>0</v>
      </c>
      <c r="AD314" s="1150">
        <f>IFERROR(ROUND(VLOOKUP($X314,'CONCEPTOS Y PARAMETROS'!H:I,2,0)*($V314+AA314+AB314+AC314),2),0)</f>
        <v>0</v>
      </c>
      <c r="AE314" s="1150">
        <f t="shared" si="985"/>
        <v>180.62</v>
      </c>
      <c r="AF314" s="1150">
        <f t="shared" si="986"/>
        <v>25.31</v>
      </c>
      <c r="AG314" s="1150">
        <f t="shared" si="987"/>
        <v>25.31</v>
      </c>
      <c r="AH314" s="1150">
        <f t="shared" si="988"/>
        <v>65</v>
      </c>
      <c r="AI314" s="1150">
        <f t="shared" si="989"/>
        <v>65</v>
      </c>
      <c r="AJ314" s="1150">
        <f t="shared" si="990"/>
        <v>0</v>
      </c>
      <c r="AK314" s="1150">
        <f t="shared" si="991"/>
        <v>0</v>
      </c>
      <c r="AL314" s="1151">
        <f t="shared" si="992"/>
        <v>90.31</v>
      </c>
      <c r="AM314" s="1151">
        <f t="shared" si="993"/>
        <v>90.31</v>
      </c>
      <c r="AN314" s="1028">
        <v>0</v>
      </c>
      <c r="AO314" s="1193">
        <f>'CONCEPTOS Y PARAMETROS'!$C$18*AN314</f>
        <v>0</v>
      </c>
      <c r="AP314" s="1028">
        <v>0</v>
      </c>
      <c r="AQ314" s="1193">
        <f>'CONCEPTOS Y PARAMETROS'!$C$21*AP314</f>
        <v>0</v>
      </c>
      <c r="AR314" s="1394">
        <v>0</v>
      </c>
      <c r="AS314" s="1394">
        <v>0</v>
      </c>
      <c r="AT314" s="1394">
        <f t="shared" si="994"/>
        <v>0</v>
      </c>
      <c r="AU314" s="1151">
        <f t="shared" si="995"/>
        <v>351.62</v>
      </c>
      <c r="AV314" s="1178">
        <v>0</v>
      </c>
      <c r="AW314" s="1151">
        <f t="shared" si="996"/>
        <v>0</v>
      </c>
      <c r="AX314" s="1150">
        <f>IF(T314&lt;&gt;"0",(ROUND(IF(A314="EMPLEADO",eval_formula('CONCEPTOS Y PARAMETROS'!$C$8,NOMINA!V314,NOMINA!$AU314,NOMINA!I314+NOMINA!J314),eval_formula('CONCEPTOS Y PARAMETROS'!$D$8,NOMINA!V314,NOMINA!$AU314,NOMINA!I314+NOMINA!J314)),2))*IF(H314&lt;&gt;"",IF(MONTH(H314)=$BR$8,IF(YEAR(H314)&lt;$BT$7,1,0),0)))</f>
        <v>2812.96</v>
      </c>
      <c r="AY314" s="1151">
        <v>180</v>
      </c>
      <c r="AZ314" s="1150">
        <f>IFERROR(VLOOKUP(AY314,'CONCEPTOS Y PARAMETROS'!Y:Z,2,0),0)</f>
        <v>150</v>
      </c>
      <c r="BA314" s="1150">
        <f t="shared" si="997"/>
        <v>2637.15</v>
      </c>
      <c r="BB314" s="1150">
        <f t="shared" si="998"/>
        <v>0</v>
      </c>
      <c r="BC314" s="1028">
        <v>0</v>
      </c>
      <c r="BD314" s="1150" t="str">
        <f t="shared" si="999"/>
        <v>0</v>
      </c>
      <c r="BE314" s="1028">
        <v>0</v>
      </c>
      <c r="BF314" s="1150">
        <f t="shared" si="1000"/>
        <v>0</v>
      </c>
      <c r="BG314" s="1151">
        <v>290</v>
      </c>
      <c r="BH314" s="1151">
        <f t="shared" si="1001"/>
        <v>0</v>
      </c>
      <c r="BI314" s="1151">
        <v>0</v>
      </c>
      <c r="BJ314" s="1151">
        <f t="shared" si="1002"/>
        <v>0</v>
      </c>
      <c r="BK314" s="1151">
        <v>0</v>
      </c>
      <c r="BL314" s="1150">
        <f>ROUND(IF(M314="", (((AU314*12)/52)*4%)*$BS$8,0),2)</f>
        <v>12.98</v>
      </c>
      <c r="BM314" s="1150">
        <f>ROUND(IF(M314="",(((AU314*12)/52)*0.5%)*$BS$8,0),2)</f>
        <v>1.62</v>
      </c>
      <c r="BN314" s="1150">
        <f t="shared" si="1003"/>
        <v>3.52</v>
      </c>
      <c r="BO314" s="1150">
        <v>0</v>
      </c>
      <c r="BP314" s="1150">
        <v>0</v>
      </c>
      <c r="BQ314" s="1396">
        <f t="shared" si="1004"/>
        <v>18.12</v>
      </c>
      <c r="BR314" s="1150">
        <f>ROUND(IF(M314="", (((AU314*12)/52)*9%)*$BS$8,0),2)</f>
        <v>29.21</v>
      </c>
      <c r="BS314" s="1150">
        <f>ROUND(IF(M314="",(((AU314*12)/52)*2%)*$BS$8,0),2)</f>
        <v>6.49</v>
      </c>
      <c r="BT314" s="1150">
        <f t="shared" si="1005"/>
        <v>7.04</v>
      </c>
      <c r="BU314" s="1150">
        <v>0</v>
      </c>
      <c r="BV314" s="1151">
        <f t="shared" si="1006"/>
        <v>42.74</v>
      </c>
      <c r="BW314" s="1155">
        <f t="shared" si="1007"/>
        <v>60.86</v>
      </c>
      <c r="BX314" s="1155">
        <f t="shared" si="1008"/>
        <v>659.29</v>
      </c>
      <c r="BY314" s="1151">
        <v>0</v>
      </c>
      <c r="BZ314" s="1151">
        <f t="shared" si="1009"/>
        <v>659.29</v>
      </c>
      <c r="CA314" s="1397">
        <f>'CONCEPTOS Y PARAMETROS'!$A$102</f>
        <v>2120</v>
      </c>
      <c r="CB314" s="1155">
        <f t="shared" si="1010"/>
        <v>157.69</v>
      </c>
      <c r="CC314" s="1156">
        <f t="shared" si="1011"/>
        <v>3278.77</v>
      </c>
      <c r="CD314" s="514"/>
      <c r="CE314" s="514"/>
      <c r="CF314" s="520"/>
      <c r="CG314" s="497">
        <f t="shared" si="1012"/>
        <v>157.69</v>
      </c>
      <c r="CH314" s="1711">
        <f t="shared" si="1013"/>
        <v>290</v>
      </c>
      <c r="CI314" s="497">
        <f t="shared" si="1014"/>
        <v>465.81</v>
      </c>
      <c r="CJ314" s="497">
        <f t="shared" si="1015"/>
        <v>465.81</v>
      </c>
      <c r="CK314" s="497">
        <f t="shared" si="1016"/>
        <v>0</v>
      </c>
      <c r="CL314" s="497">
        <f t="shared" si="1017"/>
        <v>0</v>
      </c>
      <c r="CM314" s="497">
        <f t="shared" si="1018"/>
        <v>0</v>
      </c>
      <c r="CN314" s="498">
        <f t="shared" si="1019"/>
        <v>0</v>
      </c>
      <c r="CO314" s="499">
        <v>0</v>
      </c>
      <c r="CP314" s="498">
        <f t="shared" si="1020"/>
        <v>0</v>
      </c>
      <c r="CQ314" s="500">
        <f t="shared" si="1021"/>
        <v>0</v>
      </c>
      <c r="CR314" s="498">
        <f t="shared" si="1022"/>
        <v>2812.96</v>
      </c>
      <c r="CS314" s="498">
        <f t="shared" si="1023"/>
        <v>2812.96</v>
      </c>
      <c r="CT314" s="498">
        <f t="shared" si="1024"/>
        <v>60.86</v>
      </c>
      <c r="CU314" s="498">
        <f t="shared" si="1025"/>
        <v>2120</v>
      </c>
      <c r="CV314" s="1554"/>
      <c r="CW314" s="1343" t="s">
        <v>7287</v>
      </c>
      <c r="CX314" s="1343" t="s">
        <v>6944</v>
      </c>
      <c r="CY314" s="472"/>
      <c r="CZ314" s="1199" t="s">
        <v>6708</v>
      </c>
      <c r="DA314" s="514" t="s">
        <v>6173</v>
      </c>
      <c r="DB314" s="514" t="s">
        <v>6202</v>
      </c>
      <c r="DC314" s="514" t="s">
        <v>6495</v>
      </c>
      <c r="DD314" s="514"/>
      <c r="DE314" s="514"/>
      <c r="DF314" s="472"/>
      <c r="DG314" s="472"/>
      <c r="DH314" s="472"/>
      <c r="DJ314" s="473" t="str">
        <f>VLOOKUP(X314,Hoja1!$A$4:$B$10,2,0)</f>
        <v>BACHILLER</v>
      </c>
      <c r="DK314" s="473" t="str">
        <f>VLOOKUP(S314,Hoja1!$D$4:$F$77,3,0)</f>
        <v>GRADO (5) - MÁX</v>
      </c>
      <c r="DL314" s="1216" t="str">
        <f t="shared" si="1026"/>
        <v>0</v>
      </c>
      <c r="DM314" s="1741" t="str">
        <f t="shared" si="1027"/>
        <v>M</v>
      </c>
      <c r="DN314" s="1741"/>
    </row>
    <row r="315" spans="1:118" s="473" customFormat="1" ht="21.95" customHeight="1">
      <c r="A315" s="510" t="s">
        <v>2834</v>
      </c>
      <c r="B315" s="1390">
        <f t="shared" ca="1" si="1028"/>
        <v>4</v>
      </c>
      <c r="C315" s="1028">
        <v>6332524</v>
      </c>
      <c r="D315" s="1343" t="s">
        <v>4962</v>
      </c>
      <c r="E315" s="1180" t="s">
        <v>4622</v>
      </c>
      <c r="F315" s="1161">
        <v>25126</v>
      </c>
      <c r="G315" s="1180" t="s">
        <v>4620</v>
      </c>
      <c r="H315" s="1161">
        <v>42948</v>
      </c>
      <c r="I315" s="1185">
        <f t="shared" si="981"/>
        <v>7</v>
      </c>
      <c r="J315" s="1177">
        <v>0</v>
      </c>
      <c r="K315" s="1185">
        <f t="shared" si="982"/>
        <v>7</v>
      </c>
      <c r="L315" s="1191" t="s">
        <v>5566</v>
      </c>
      <c r="M315" s="1177"/>
      <c r="N315" s="1177"/>
      <c r="O315" s="1040" t="s">
        <v>5085</v>
      </c>
      <c r="P315" s="1177" t="s">
        <v>5106</v>
      </c>
      <c r="Q315" s="1391">
        <v>2202</v>
      </c>
      <c r="R315" s="1514" t="s">
        <v>5085</v>
      </c>
      <c r="S315" s="1513">
        <v>5</v>
      </c>
      <c r="T315" s="1150">
        <f>IFERROR(VLOOKUP(S315,'TAB OBR'!A:B,2,0),0)</f>
        <v>171</v>
      </c>
      <c r="U315" s="1151">
        <v>0</v>
      </c>
      <c r="V315" s="1150">
        <f t="shared" si="983"/>
        <v>171</v>
      </c>
      <c r="W315" s="1151">
        <f t="shared" si="984"/>
        <v>85.5</v>
      </c>
      <c r="X315" s="1180" t="s">
        <v>2884</v>
      </c>
      <c r="Y315" s="1180" t="s">
        <v>2884</v>
      </c>
      <c r="Z315" s="1180">
        <v>0</v>
      </c>
      <c r="AA315" s="1150">
        <f>ROUND(IF(H315&lt;&gt;"",VLOOKUP(SUM(I315+J315),'CONCEPTOS Y PARAMETROS'!F:G,2,0)*V315,0),2)</f>
        <v>12.65</v>
      </c>
      <c r="AB315" s="1150">
        <f>IF(S315&lt;&gt;"",IF(M315="",'CONCEPTOS Y PARAMETROS'!$C$4,0),0)</f>
        <v>130</v>
      </c>
      <c r="AC315" s="1150">
        <f>IF(S315&lt;&gt;"",IF(M315="",'CONCEPTOS Y PARAMETROS'!$C$7*Z315,0),0)</f>
        <v>0</v>
      </c>
      <c r="AD315" s="1150">
        <f>IFERROR(ROUND(VLOOKUP($X315,'CONCEPTOS Y PARAMETROS'!H:I,2,0)*($V315+AA315+AB315+AC315),2),0)</f>
        <v>0</v>
      </c>
      <c r="AE315" s="1150">
        <f t="shared" si="985"/>
        <v>142.65</v>
      </c>
      <c r="AF315" s="1150">
        <f t="shared" si="986"/>
        <v>6.33</v>
      </c>
      <c r="AG315" s="1150">
        <f t="shared" si="987"/>
        <v>6.32</v>
      </c>
      <c r="AH315" s="1150">
        <f t="shared" si="988"/>
        <v>65</v>
      </c>
      <c r="AI315" s="1150">
        <f t="shared" si="989"/>
        <v>65</v>
      </c>
      <c r="AJ315" s="1150">
        <f t="shared" si="990"/>
        <v>0</v>
      </c>
      <c r="AK315" s="1150">
        <f t="shared" si="991"/>
        <v>0</v>
      </c>
      <c r="AL315" s="1151">
        <f t="shared" si="992"/>
        <v>71.33</v>
      </c>
      <c r="AM315" s="1151">
        <f t="shared" si="993"/>
        <v>71.319999999999993</v>
      </c>
      <c r="AN315" s="1028">
        <v>0</v>
      </c>
      <c r="AO315" s="1193">
        <f>'CONCEPTOS Y PARAMETROS'!$C$18*AN315</f>
        <v>0</v>
      </c>
      <c r="AP315" s="1028">
        <v>0</v>
      </c>
      <c r="AQ315" s="1193">
        <f>'CONCEPTOS Y PARAMETROS'!$C$21*AP315</f>
        <v>0</v>
      </c>
      <c r="AR315" s="1394">
        <v>0</v>
      </c>
      <c r="AS315" s="1394">
        <v>0</v>
      </c>
      <c r="AT315" s="1394">
        <f t="shared" si="994"/>
        <v>0</v>
      </c>
      <c r="AU315" s="1151">
        <f t="shared" si="995"/>
        <v>313.64999999999998</v>
      </c>
      <c r="AV315" s="1178">
        <v>0</v>
      </c>
      <c r="AW315" s="1151">
        <f t="shared" si="996"/>
        <v>0</v>
      </c>
      <c r="AX315" s="1150">
        <f>IF(T315&lt;&gt;"0",(ROUND(IF(A315="EMPLEADO",eval_formula('CONCEPTOS Y PARAMETROS'!$C$8,NOMINA!V315,NOMINA!$AU315,NOMINA!I315+NOMINA!J315),eval_formula('CONCEPTOS Y PARAMETROS'!$D$8,NOMINA!V315,NOMINA!$AU315,NOMINA!I315+NOMINA!J315)),2))*IF(H315&lt;&gt;"",IF(MONTH(H315)=$BR$8,IF(YEAR(H315)&lt;$BT$7,1,0),0)))</f>
        <v>0</v>
      </c>
      <c r="AY315" s="1151">
        <v>180</v>
      </c>
      <c r="AZ315" s="1150">
        <f>IFERROR(VLOOKUP(AY315,'CONCEPTOS Y PARAMETROS'!Y:Z,2,0),0)</f>
        <v>150</v>
      </c>
      <c r="BA315" s="1150">
        <f t="shared" si="997"/>
        <v>2352.38</v>
      </c>
      <c r="BB315" s="1150">
        <f t="shared" si="998"/>
        <v>0</v>
      </c>
      <c r="BC315" s="1028">
        <v>0</v>
      </c>
      <c r="BD315" s="1150" t="str">
        <f t="shared" si="999"/>
        <v>0</v>
      </c>
      <c r="BE315" s="1028">
        <v>2</v>
      </c>
      <c r="BF315" s="1150">
        <f t="shared" si="1000"/>
        <v>31.37</v>
      </c>
      <c r="BG315" s="1151">
        <v>290</v>
      </c>
      <c r="BH315" s="1151">
        <f t="shared" si="1001"/>
        <v>0</v>
      </c>
      <c r="BI315" s="1151">
        <v>0</v>
      </c>
      <c r="BJ315" s="1151">
        <f t="shared" si="1002"/>
        <v>0</v>
      </c>
      <c r="BK315" s="1151">
        <v>0</v>
      </c>
      <c r="BL315" s="1150">
        <f>ROUND(IF(M315="", (((AU315*12)/52)*4%)*$BS$8,0),2)</f>
        <v>11.58</v>
      </c>
      <c r="BM315" s="1150">
        <f>ROUND(IF(M315="",(((AU315*12)/52)*0.5%)*$BS$8,0),2)</f>
        <v>1.45</v>
      </c>
      <c r="BN315" s="1150">
        <f t="shared" si="1003"/>
        <v>3.14</v>
      </c>
      <c r="BO315" s="1150">
        <v>0</v>
      </c>
      <c r="BP315" s="1150">
        <v>0</v>
      </c>
      <c r="BQ315" s="1396">
        <f t="shared" si="1004"/>
        <v>16.170000000000002</v>
      </c>
      <c r="BR315" s="1150">
        <f>ROUND(IF(M315="", (((AU315*12)/52)*9%)*$BS$8,0),2)</f>
        <v>26.06</v>
      </c>
      <c r="BS315" s="1150">
        <f>ROUND(IF(M315="",(((AU315*12)/52)*2%)*$BS$8,0),2)</f>
        <v>5.79</v>
      </c>
      <c r="BT315" s="1150">
        <f t="shared" si="1005"/>
        <v>6.28</v>
      </c>
      <c r="BU315" s="1150">
        <v>0</v>
      </c>
      <c r="BV315" s="1151">
        <f t="shared" si="1006"/>
        <v>38.130000000000003</v>
      </c>
      <c r="BW315" s="1155">
        <f t="shared" si="1007"/>
        <v>54.300000000000004</v>
      </c>
      <c r="BX315" s="1155">
        <f t="shared" si="1008"/>
        <v>588.1</v>
      </c>
      <c r="BY315" s="1151">
        <v>0</v>
      </c>
      <c r="BZ315" s="1151">
        <f t="shared" si="1009"/>
        <v>588.1</v>
      </c>
      <c r="CA315" s="1397">
        <f>'CONCEPTOS Y PARAMETROS'!$A$102</f>
        <v>2120</v>
      </c>
      <c r="CB315" s="1155">
        <f t="shared" si="1010"/>
        <v>140.65999999999997</v>
      </c>
      <c r="CC315" s="1156">
        <f t="shared" si="1011"/>
        <v>478.19</v>
      </c>
      <c r="CD315" s="514"/>
      <c r="CE315" s="514"/>
      <c r="CF315" s="520"/>
      <c r="CG315" s="497">
        <f t="shared" si="1012"/>
        <v>140.65999999999997</v>
      </c>
      <c r="CH315" s="1711">
        <f t="shared" si="1013"/>
        <v>290</v>
      </c>
      <c r="CI315" s="497">
        <f t="shared" si="1014"/>
        <v>446.82</v>
      </c>
      <c r="CJ315" s="497">
        <f t="shared" si="1015"/>
        <v>446.82</v>
      </c>
      <c r="CK315" s="497">
        <f t="shared" si="1016"/>
        <v>0</v>
      </c>
      <c r="CL315" s="497">
        <f t="shared" si="1017"/>
        <v>0</v>
      </c>
      <c r="CM315" s="497">
        <f t="shared" si="1018"/>
        <v>0</v>
      </c>
      <c r="CN315" s="498">
        <f t="shared" si="1019"/>
        <v>31.37</v>
      </c>
      <c r="CO315" s="499">
        <v>0</v>
      </c>
      <c r="CP315" s="498">
        <f t="shared" si="1020"/>
        <v>0</v>
      </c>
      <c r="CQ315" s="500">
        <f t="shared" si="1021"/>
        <v>0</v>
      </c>
      <c r="CR315" s="498">
        <f t="shared" si="1022"/>
        <v>0</v>
      </c>
      <c r="CS315" s="498">
        <f t="shared" si="1023"/>
        <v>31.37</v>
      </c>
      <c r="CT315" s="498">
        <f t="shared" si="1024"/>
        <v>54.300000000000004</v>
      </c>
      <c r="CU315" s="498">
        <f t="shared" si="1025"/>
        <v>2120</v>
      </c>
      <c r="CV315" s="1554"/>
      <c r="CW315" s="1343" t="s">
        <v>7288</v>
      </c>
      <c r="CX315" s="1343" t="s">
        <v>7120</v>
      </c>
      <c r="CY315" s="472"/>
      <c r="CZ315" s="514" t="s">
        <v>6496</v>
      </c>
      <c r="DA315" s="514" t="s">
        <v>6188</v>
      </c>
      <c r="DB315" s="514" t="s">
        <v>6229</v>
      </c>
      <c r="DC315" s="514" t="s">
        <v>6613</v>
      </c>
      <c r="DD315" s="514"/>
      <c r="DE315" s="514"/>
      <c r="DF315" s="472"/>
      <c r="DG315" s="472"/>
      <c r="DH315" s="472"/>
      <c r="DJ315" s="473" t="str">
        <f>VLOOKUP(X315,Hoja1!$A$4:$B$10,2,0)</f>
        <v>BACHILLER</v>
      </c>
      <c r="DK315" s="473" t="str">
        <f>VLOOKUP(S315,Hoja1!$D$4:$F$77,3,0)</f>
        <v>GRADO (5) - MÁX</v>
      </c>
      <c r="DL315" s="1216" t="str">
        <f t="shared" si="1026"/>
        <v>0</v>
      </c>
      <c r="DM315" s="1741" t="str">
        <f t="shared" si="1027"/>
        <v>F</v>
      </c>
      <c r="DN315" s="1741"/>
    </row>
    <row r="316" spans="1:118" s="473" customFormat="1" ht="21.95" customHeight="1">
      <c r="A316" s="510" t="s">
        <v>2834</v>
      </c>
      <c r="B316" s="1390">
        <f t="shared" ca="1" si="1028"/>
        <v>5</v>
      </c>
      <c r="C316" s="1028">
        <v>6902701</v>
      </c>
      <c r="D316" s="1343" t="s">
        <v>4963</v>
      </c>
      <c r="E316" s="1180" t="s">
        <v>4622</v>
      </c>
      <c r="F316" s="1161">
        <v>23528</v>
      </c>
      <c r="G316" s="1180" t="s">
        <v>4621</v>
      </c>
      <c r="H316" s="1161">
        <v>44228</v>
      </c>
      <c r="I316" s="1185">
        <f t="shared" si="981"/>
        <v>3</v>
      </c>
      <c r="J316" s="1177">
        <v>0</v>
      </c>
      <c r="K316" s="1185">
        <f t="shared" si="982"/>
        <v>3</v>
      </c>
      <c r="L316" s="1191" t="s">
        <v>5565</v>
      </c>
      <c r="M316" s="1177"/>
      <c r="N316" s="1177"/>
      <c r="O316" s="1040" t="s">
        <v>5087</v>
      </c>
      <c r="P316" s="1177" t="s">
        <v>5107</v>
      </c>
      <c r="Q316" s="1391">
        <v>7129</v>
      </c>
      <c r="R316" s="1514" t="s">
        <v>5087</v>
      </c>
      <c r="S316" s="1513">
        <v>2</v>
      </c>
      <c r="T316" s="1150">
        <f>IFERROR(VLOOKUP(S316,'TAB OBR'!A:B,2,0),0)</f>
        <v>142</v>
      </c>
      <c r="U316" s="1151">
        <v>0</v>
      </c>
      <c r="V316" s="1150">
        <f t="shared" si="983"/>
        <v>142</v>
      </c>
      <c r="W316" s="1151">
        <f t="shared" si="984"/>
        <v>71</v>
      </c>
      <c r="X316" s="1180" t="s">
        <v>2884</v>
      </c>
      <c r="Y316" s="1180" t="s">
        <v>2884</v>
      </c>
      <c r="Z316" s="1180">
        <v>1</v>
      </c>
      <c r="AA316" s="1150">
        <f>ROUND(IF(H316&lt;&gt;"",VLOOKUP(SUM(I316+J316),'CONCEPTOS Y PARAMETROS'!F:G,2,0)*V316,0),2)</f>
        <v>4.26</v>
      </c>
      <c r="AB316" s="1150">
        <f>IF(S316&lt;&gt;"",IF(M316="",'CONCEPTOS Y PARAMETROS'!$C$4,0),0)</f>
        <v>130</v>
      </c>
      <c r="AC316" s="1150">
        <f>IF(S316&lt;&gt;"",IF(M316="",'CONCEPTOS Y PARAMETROS'!$C$7*Z316,0),0)</f>
        <v>12.5</v>
      </c>
      <c r="AD316" s="1150">
        <f>IFERROR(ROUND(VLOOKUP($X316,'CONCEPTOS Y PARAMETROS'!H:I,2,0)*($V316+AA316+AB316+AC316),2),0)</f>
        <v>0</v>
      </c>
      <c r="AE316" s="1150">
        <f t="shared" si="985"/>
        <v>146.76</v>
      </c>
      <c r="AF316" s="1150">
        <f t="shared" si="986"/>
        <v>2.13</v>
      </c>
      <c r="AG316" s="1150">
        <f t="shared" si="987"/>
        <v>2.13</v>
      </c>
      <c r="AH316" s="1150">
        <f t="shared" si="988"/>
        <v>65</v>
      </c>
      <c r="AI316" s="1150">
        <f t="shared" si="989"/>
        <v>65</v>
      </c>
      <c r="AJ316" s="1150">
        <f t="shared" si="990"/>
        <v>0</v>
      </c>
      <c r="AK316" s="1150">
        <f t="shared" si="991"/>
        <v>0</v>
      </c>
      <c r="AL316" s="1151">
        <f t="shared" si="992"/>
        <v>79.63</v>
      </c>
      <c r="AM316" s="1151">
        <f t="shared" si="993"/>
        <v>67.13</v>
      </c>
      <c r="AN316" s="1028">
        <v>0</v>
      </c>
      <c r="AO316" s="1193">
        <f>'CONCEPTOS Y PARAMETROS'!$C$18*AN316</f>
        <v>0</v>
      </c>
      <c r="AP316" s="1028">
        <v>0</v>
      </c>
      <c r="AQ316" s="1193">
        <f>'CONCEPTOS Y PARAMETROS'!$C$21*AP316</f>
        <v>0</v>
      </c>
      <c r="AR316" s="1394">
        <v>0</v>
      </c>
      <c r="AS316" s="1394">
        <v>0</v>
      </c>
      <c r="AT316" s="1394">
        <f t="shared" si="994"/>
        <v>0</v>
      </c>
      <c r="AU316" s="1151">
        <f t="shared" si="995"/>
        <v>288.76</v>
      </c>
      <c r="AV316" s="1178">
        <v>0</v>
      </c>
      <c r="AW316" s="1151">
        <f t="shared" si="996"/>
        <v>0</v>
      </c>
      <c r="AX316" s="1150">
        <f>IF(T316&lt;&gt;"0",(ROUND(IF(A316="EMPLEADO",eval_formula('CONCEPTOS Y PARAMETROS'!$C$8,NOMINA!V316,NOMINA!$AU316,NOMINA!I316+NOMINA!J316),eval_formula('CONCEPTOS Y PARAMETROS'!$D$8,NOMINA!V316,NOMINA!$AU316,NOMINA!I316+NOMINA!J316)),2))*IF(H316&lt;&gt;"",IF(MONTH(H316)=$BR$8,IF(YEAR(H316)&lt;$BT$7,1,0),0)))</f>
        <v>0</v>
      </c>
      <c r="AY316" s="1151">
        <v>180</v>
      </c>
      <c r="AZ316" s="1150">
        <f>IFERROR(VLOOKUP(AY316,'CONCEPTOS Y PARAMETROS'!Y:Z,2,0),0)</f>
        <v>150</v>
      </c>
      <c r="BA316" s="1150">
        <f t="shared" si="997"/>
        <v>2165.6999999999998</v>
      </c>
      <c r="BB316" s="1150">
        <f t="shared" si="998"/>
        <v>0</v>
      </c>
      <c r="BC316" s="1028">
        <v>0</v>
      </c>
      <c r="BD316" s="1150" t="str">
        <f t="shared" si="999"/>
        <v>0</v>
      </c>
      <c r="BE316" s="1028">
        <v>1</v>
      </c>
      <c r="BF316" s="1150">
        <f t="shared" si="1000"/>
        <v>14.44</v>
      </c>
      <c r="BG316" s="1151">
        <v>290</v>
      </c>
      <c r="BH316" s="1151">
        <f t="shared" si="1001"/>
        <v>0</v>
      </c>
      <c r="BI316" s="1151">
        <v>0</v>
      </c>
      <c r="BJ316" s="1151">
        <f t="shared" si="1002"/>
        <v>0</v>
      </c>
      <c r="BK316" s="1151">
        <v>0</v>
      </c>
      <c r="BL316" s="1150">
        <f>ROUND(IF(M316="", (((AU316*12)/52)*4%)*$BS$8,0),2)</f>
        <v>10.66</v>
      </c>
      <c r="BM316" s="1150">
        <f>ROUND(IF(M316="",(((AU316*12)/52)*0.5%)*$BS$8,0),2)</f>
        <v>1.33</v>
      </c>
      <c r="BN316" s="1150">
        <f t="shared" si="1003"/>
        <v>2.89</v>
      </c>
      <c r="BO316" s="1150">
        <v>0</v>
      </c>
      <c r="BP316" s="1150">
        <v>0</v>
      </c>
      <c r="BQ316" s="1396">
        <f t="shared" si="1004"/>
        <v>14.88</v>
      </c>
      <c r="BR316" s="1150">
        <f>ROUND(IF(M316="", (((AU316*12)/52)*9%)*$BS$8,0),2)</f>
        <v>23.99</v>
      </c>
      <c r="BS316" s="1150">
        <f>ROUND(IF(M316="",(((AU316*12)/52)*2%)*$BS$8,0),2)</f>
        <v>5.33</v>
      </c>
      <c r="BT316" s="1150">
        <f t="shared" si="1005"/>
        <v>5.78</v>
      </c>
      <c r="BU316" s="1150">
        <v>0</v>
      </c>
      <c r="BV316" s="1151">
        <f t="shared" si="1006"/>
        <v>35.1</v>
      </c>
      <c r="BW316" s="1155">
        <f t="shared" si="1007"/>
        <v>49.980000000000004</v>
      </c>
      <c r="BX316" s="1155">
        <f t="shared" si="1008"/>
        <v>541.42999999999995</v>
      </c>
      <c r="BY316" s="1151">
        <v>0</v>
      </c>
      <c r="BZ316" s="1151">
        <f t="shared" si="1009"/>
        <v>541.42999999999995</v>
      </c>
      <c r="CA316" s="1397">
        <f>'CONCEPTOS Y PARAMETROS'!$A$102</f>
        <v>2120</v>
      </c>
      <c r="CB316" s="1155">
        <f t="shared" si="1010"/>
        <v>135.75</v>
      </c>
      <c r="CC316" s="1156">
        <f t="shared" si="1011"/>
        <v>442.57</v>
      </c>
      <c r="CD316" s="514"/>
      <c r="CE316" s="514"/>
      <c r="CF316" s="520"/>
      <c r="CG316" s="497">
        <f t="shared" si="1012"/>
        <v>135.75</v>
      </c>
      <c r="CH316" s="1711">
        <f t="shared" si="1013"/>
        <v>290</v>
      </c>
      <c r="CI316" s="497">
        <f t="shared" si="1014"/>
        <v>428.13</v>
      </c>
      <c r="CJ316" s="497">
        <f t="shared" si="1015"/>
        <v>428.13</v>
      </c>
      <c r="CK316" s="497">
        <f t="shared" si="1016"/>
        <v>0</v>
      </c>
      <c r="CL316" s="497">
        <f t="shared" si="1017"/>
        <v>0</v>
      </c>
      <c r="CM316" s="497">
        <f t="shared" si="1018"/>
        <v>0</v>
      </c>
      <c r="CN316" s="498">
        <f t="shared" si="1019"/>
        <v>14.44</v>
      </c>
      <c r="CO316" s="499">
        <v>0</v>
      </c>
      <c r="CP316" s="498">
        <f t="shared" si="1020"/>
        <v>0</v>
      </c>
      <c r="CQ316" s="500">
        <f t="shared" si="1021"/>
        <v>0</v>
      </c>
      <c r="CR316" s="498">
        <f t="shared" si="1022"/>
        <v>0</v>
      </c>
      <c r="CS316" s="498">
        <f t="shared" si="1023"/>
        <v>14.44</v>
      </c>
      <c r="CT316" s="498">
        <f t="shared" si="1024"/>
        <v>49.980000000000004</v>
      </c>
      <c r="CU316" s="498">
        <f t="shared" si="1025"/>
        <v>2120</v>
      </c>
      <c r="CV316" s="1554"/>
      <c r="CW316" s="1343" t="s">
        <v>7289</v>
      </c>
      <c r="CX316" s="1343" t="s">
        <v>6944</v>
      </c>
      <c r="CY316" s="472"/>
      <c r="CZ316" s="478" t="s">
        <v>6497</v>
      </c>
      <c r="DA316" s="514" t="s">
        <v>6173</v>
      </c>
      <c r="DB316" s="514" t="s">
        <v>6234</v>
      </c>
      <c r="DC316" s="514" t="s">
        <v>6711</v>
      </c>
      <c r="DD316" s="514"/>
      <c r="DE316" s="514"/>
      <c r="DF316" s="472"/>
      <c r="DG316" s="472"/>
      <c r="DH316" s="472"/>
      <c r="DJ316" s="473" t="str">
        <f>VLOOKUP(X316,Hoja1!$A$4:$B$10,2,0)</f>
        <v>BACHILLER</v>
      </c>
      <c r="DK316" s="473" t="str">
        <f>VLOOKUP(S316,Hoja1!$D$4:$F$77,3,0)</f>
        <v>GRADO (2) - MÁX</v>
      </c>
      <c r="DL316" s="1216" t="str">
        <f t="shared" si="1026"/>
        <v>0</v>
      </c>
      <c r="DM316" s="1741" t="str">
        <f t="shared" si="1027"/>
        <v>M</v>
      </c>
      <c r="DN316" s="1741"/>
    </row>
    <row r="317" spans="1:118" s="473" customFormat="1" ht="21.95" customHeight="1">
      <c r="A317" s="510" t="s">
        <v>2834</v>
      </c>
      <c r="B317" s="1390">
        <f t="shared" ca="1" si="1028"/>
        <v>6</v>
      </c>
      <c r="C317" s="1028">
        <v>7252065</v>
      </c>
      <c r="D317" s="1343" t="s">
        <v>4964</v>
      </c>
      <c r="E317" s="1180" t="s">
        <v>4622</v>
      </c>
      <c r="F317" s="1161">
        <v>23394</v>
      </c>
      <c r="G317" s="1180" t="s">
        <v>4621</v>
      </c>
      <c r="H317" s="1161">
        <v>43891</v>
      </c>
      <c r="I317" s="1185">
        <f t="shared" si="981"/>
        <v>4</v>
      </c>
      <c r="J317" s="1177">
        <v>0</v>
      </c>
      <c r="K317" s="1185">
        <f t="shared" si="982"/>
        <v>4</v>
      </c>
      <c r="L317" s="1191" t="s">
        <v>5565</v>
      </c>
      <c r="M317" s="1177"/>
      <c r="N317" s="1177"/>
      <c r="O317" s="1040" t="s">
        <v>5084</v>
      </c>
      <c r="P317" s="1177" t="s">
        <v>5108</v>
      </c>
      <c r="Q317" s="1391">
        <v>7152</v>
      </c>
      <c r="R317" s="1514" t="s">
        <v>5084</v>
      </c>
      <c r="S317" s="1513">
        <v>3</v>
      </c>
      <c r="T317" s="1150">
        <f>IFERROR(VLOOKUP(S317,'TAB OBR'!A:B,2,0),0)</f>
        <v>152</v>
      </c>
      <c r="U317" s="1151">
        <v>0</v>
      </c>
      <c r="V317" s="1150">
        <f t="shared" si="983"/>
        <v>152</v>
      </c>
      <c r="W317" s="1151">
        <f t="shared" si="984"/>
        <v>76</v>
      </c>
      <c r="X317" s="1180" t="s">
        <v>2884</v>
      </c>
      <c r="Y317" s="1180" t="s">
        <v>2884</v>
      </c>
      <c r="Z317" s="1180">
        <v>0</v>
      </c>
      <c r="AA317" s="1150">
        <f>ROUND(IF(H317&lt;&gt;"",VLOOKUP(SUM(I317+J317),'CONCEPTOS Y PARAMETROS'!F:G,2,0)*V317,0),2)</f>
        <v>6.08</v>
      </c>
      <c r="AB317" s="1150">
        <f>IF(S317&lt;&gt;"",IF(M317="",'CONCEPTOS Y PARAMETROS'!$C$4,0),0)</f>
        <v>130</v>
      </c>
      <c r="AC317" s="1150">
        <f>IF(S317&lt;&gt;"",IF(M317="",'CONCEPTOS Y PARAMETROS'!$C$7*Z317,0),0)</f>
        <v>0</v>
      </c>
      <c r="AD317" s="1150">
        <f>IFERROR(ROUND(VLOOKUP($X317,'CONCEPTOS Y PARAMETROS'!H:I,2,0)*($V317+AA317+AB317+AC317),2),0)</f>
        <v>0</v>
      </c>
      <c r="AE317" s="1150">
        <f t="shared" si="985"/>
        <v>136.08000000000001</v>
      </c>
      <c r="AF317" s="1150">
        <f t="shared" si="986"/>
        <v>3.04</v>
      </c>
      <c r="AG317" s="1150">
        <f t="shared" si="987"/>
        <v>3.04</v>
      </c>
      <c r="AH317" s="1150">
        <f t="shared" si="988"/>
        <v>65</v>
      </c>
      <c r="AI317" s="1150">
        <f t="shared" si="989"/>
        <v>65</v>
      </c>
      <c r="AJ317" s="1150">
        <f t="shared" si="990"/>
        <v>0</v>
      </c>
      <c r="AK317" s="1150">
        <f t="shared" si="991"/>
        <v>0</v>
      </c>
      <c r="AL317" s="1151">
        <f t="shared" si="992"/>
        <v>68.040000000000006</v>
      </c>
      <c r="AM317" s="1151">
        <f t="shared" si="993"/>
        <v>68.040000000000006</v>
      </c>
      <c r="AN317" s="1028">
        <v>0</v>
      </c>
      <c r="AO317" s="1193">
        <f>'CONCEPTOS Y PARAMETROS'!$C$18*AN317</f>
        <v>0</v>
      </c>
      <c r="AP317" s="1028">
        <v>0</v>
      </c>
      <c r="AQ317" s="1193">
        <f>'CONCEPTOS Y PARAMETROS'!$C$21*AP317</f>
        <v>0</v>
      </c>
      <c r="AR317" s="1394">
        <v>0</v>
      </c>
      <c r="AS317" s="1394">
        <v>0</v>
      </c>
      <c r="AT317" s="1394">
        <f t="shared" si="994"/>
        <v>0</v>
      </c>
      <c r="AU317" s="1151">
        <f t="shared" si="995"/>
        <v>374.50000000000006</v>
      </c>
      <c r="AV317" s="1178" t="s">
        <v>5080</v>
      </c>
      <c r="AW317" s="1151">
        <f t="shared" si="996"/>
        <v>86.42</v>
      </c>
      <c r="AX317" s="1150">
        <f>IF(T317&lt;&gt;"0",(ROUND(IF(A317="EMPLEADO",eval_formula('CONCEPTOS Y PARAMETROS'!$C$8,NOMINA!V317,NOMINA!$AU317,NOMINA!I317+NOMINA!J317),eval_formula('CONCEPTOS Y PARAMETROS'!$D$8,NOMINA!V317,NOMINA!$AU317,NOMINA!I317+NOMINA!J317)),2))*IF(H317&lt;&gt;"",IF(MONTH(H317)=$BR$8,IF(YEAR(H317)&lt;$BT$7,1,0),0)))</f>
        <v>0</v>
      </c>
      <c r="AY317" s="1151">
        <v>180</v>
      </c>
      <c r="AZ317" s="1150">
        <f>IFERROR(VLOOKUP(AY317,'CONCEPTOS Y PARAMETROS'!Y:Z,2,0),0)</f>
        <v>150</v>
      </c>
      <c r="BA317" s="1150">
        <f t="shared" si="997"/>
        <v>2808.75</v>
      </c>
      <c r="BB317" s="1150">
        <f t="shared" si="998"/>
        <v>0</v>
      </c>
      <c r="BC317" s="1028">
        <v>0</v>
      </c>
      <c r="BD317" s="1150" t="str">
        <f t="shared" si="999"/>
        <v>0</v>
      </c>
      <c r="BE317" s="1028">
        <v>0</v>
      </c>
      <c r="BF317" s="1150">
        <f t="shared" si="1000"/>
        <v>0</v>
      </c>
      <c r="BG317" s="1151">
        <v>290</v>
      </c>
      <c r="BH317" s="1151">
        <f t="shared" si="1001"/>
        <v>0</v>
      </c>
      <c r="BI317" s="1151">
        <v>0</v>
      </c>
      <c r="BJ317" s="1151">
        <f t="shared" si="1002"/>
        <v>0</v>
      </c>
      <c r="BK317" s="1151">
        <v>0</v>
      </c>
      <c r="BL317" s="1150">
        <f>ROUND(IF(M317="", (((AU317*12)/52)*4%)*$BS$8,0),2)</f>
        <v>13.83</v>
      </c>
      <c r="BM317" s="1150">
        <f>ROUND(IF(M317="",(((AU317*12)/52)*0.5%)*$BS$8,0),2)</f>
        <v>1.73</v>
      </c>
      <c r="BN317" s="1150">
        <f t="shared" si="1003"/>
        <v>3.75</v>
      </c>
      <c r="BO317" s="1150">
        <v>0</v>
      </c>
      <c r="BP317" s="1150">
        <v>0</v>
      </c>
      <c r="BQ317" s="1396">
        <f t="shared" si="1004"/>
        <v>19.309999999999999</v>
      </c>
      <c r="BR317" s="1150">
        <f>ROUND(IF(M317="", (((AU317*12)/52)*9%)*$BS$8,0),2)</f>
        <v>31.11</v>
      </c>
      <c r="BS317" s="1150">
        <f>ROUND(IF(M317="",(((AU317*12)/52)*2%)*$BS$8,0),2)</f>
        <v>6.91</v>
      </c>
      <c r="BT317" s="1150">
        <f t="shared" si="1005"/>
        <v>7.5</v>
      </c>
      <c r="BU317" s="1150">
        <v>0</v>
      </c>
      <c r="BV317" s="1151">
        <f t="shared" si="1006"/>
        <v>45.52</v>
      </c>
      <c r="BW317" s="1155">
        <f t="shared" si="1007"/>
        <v>64.83</v>
      </c>
      <c r="BX317" s="1155">
        <f t="shared" si="1008"/>
        <v>702.19</v>
      </c>
      <c r="BY317" s="1151">
        <v>0</v>
      </c>
      <c r="BZ317" s="1151">
        <f t="shared" si="1009"/>
        <v>702.19</v>
      </c>
      <c r="CA317" s="1397">
        <f>'CONCEPTOS Y PARAMETROS'!$A$102</f>
        <v>2120</v>
      </c>
      <c r="CB317" s="1155">
        <f t="shared" si="1010"/>
        <v>124.73000000000002</v>
      </c>
      <c r="CC317" s="1156">
        <f t="shared" si="1011"/>
        <v>520.46</v>
      </c>
      <c r="CD317" s="514"/>
      <c r="CE317" s="514"/>
      <c r="CF317" s="520"/>
      <c r="CG317" s="497">
        <f t="shared" si="1012"/>
        <v>124.73000000000002</v>
      </c>
      <c r="CH317" s="1711">
        <f t="shared" si="1013"/>
        <v>290</v>
      </c>
      <c r="CI317" s="497">
        <f t="shared" si="1014"/>
        <v>434.04</v>
      </c>
      <c r="CJ317" s="497">
        <f t="shared" si="1015"/>
        <v>434.04</v>
      </c>
      <c r="CK317" s="497">
        <f t="shared" si="1016"/>
        <v>0</v>
      </c>
      <c r="CL317" s="497">
        <f t="shared" si="1017"/>
        <v>0</v>
      </c>
      <c r="CM317" s="497">
        <f t="shared" si="1018"/>
        <v>0</v>
      </c>
      <c r="CN317" s="498">
        <f t="shared" si="1019"/>
        <v>0</v>
      </c>
      <c r="CO317" s="499">
        <v>0</v>
      </c>
      <c r="CP317" s="498">
        <f t="shared" si="1020"/>
        <v>86.42</v>
      </c>
      <c r="CQ317" s="500">
        <f t="shared" si="1021"/>
        <v>0</v>
      </c>
      <c r="CR317" s="498">
        <f t="shared" si="1022"/>
        <v>0</v>
      </c>
      <c r="CS317" s="498">
        <f t="shared" si="1023"/>
        <v>86.42</v>
      </c>
      <c r="CT317" s="498">
        <f t="shared" si="1024"/>
        <v>64.83</v>
      </c>
      <c r="CU317" s="498">
        <f t="shared" si="1025"/>
        <v>2120</v>
      </c>
      <c r="CV317" s="1554"/>
      <c r="CW317" s="1343" t="s">
        <v>7014</v>
      </c>
      <c r="CX317" s="1343" t="s">
        <v>6944</v>
      </c>
      <c r="CY317" s="472"/>
      <c r="CZ317" s="478" t="s">
        <v>6498</v>
      </c>
      <c r="DA317" s="478" t="s">
        <v>6173</v>
      </c>
      <c r="DB317" s="478" t="s">
        <v>6202</v>
      </c>
      <c r="DC317" s="514" t="s">
        <v>6271</v>
      </c>
      <c r="DD317" s="514"/>
      <c r="DE317" s="514"/>
      <c r="DF317" s="472"/>
      <c r="DG317" s="472"/>
      <c r="DH317" s="472"/>
      <c r="DJ317" s="473" t="str">
        <f>VLOOKUP(X317,Hoja1!$A$4:$B$10,2,0)</f>
        <v>BACHILLER</v>
      </c>
      <c r="DK317" s="473" t="str">
        <f>VLOOKUP(S317,Hoja1!$D$4:$F$77,3,0)</f>
        <v>GRADO (3) - MÁX</v>
      </c>
      <c r="DL317" s="1216" t="str">
        <f t="shared" si="1026"/>
        <v>SI</v>
      </c>
      <c r="DM317" s="1741" t="str">
        <f t="shared" si="1027"/>
        <v>M</v>
      </c>
      <c r="DN317" s="1741"/>
    </row>
    <row r="318" spans="1:118" s="473" customFormat="1" ht="21.95" customHeight="1">
      <c r="A318" s="510" t="s">
        <v>2834</v>
      </c>
      <c r="B318" s="1390">
        <f t="shared" ca="1" si="1028"/>
        <v>7</v>
      </c>
      <c r="C318" s="1028">
        <v>9008311</v>
      </c>
      <c r="D318" s="1343" t="s">
        <v>4966</v>
      </c>
      <c r="E318" s="1180" t="s">
        <v>4622</v>
      </c>
      <c r="F318" s="1161">
        <v>21350</v>
      </c>
      <c r="G318" s="1180" t="s">
        <v>4621</v>
      </c>
      <c r="H318" s="1161">
        <v>39265</v>
      </c>
      <c r="I318" s="1185">
        <f t="shared" si="981"/>
        <v>17</v>
      </c>
      <c r="J318" s="1177">
        <v>0</v>
      </c>
      <c r="K318" s="1185">
        <f t="shared" si="982"/>
        <v>17</v>
      </c>
      <c r="L318" s="1191" t="s">
        <v>5545</v>
      </c>
      <c r="M318" s="1177"/>
      <c r="N318" s="1177"/>
      <c r="O318" s="1040" t="s">
        <v>5084</v>
      </c>
      <c r="P318" s="1177" t="s">
        <v>5109</v>
      </c>
      <c r="Q318" s="1391">
        <v>7152</v>
      </c>
      <c r="R318" s="1514" t="s">
        <v>5084</v>
      </c>
      <c r="S318" s="1513">
        <v>3</v>
      </c>
      <c r="T318" s="1150">
        <f>IFERROR(VLOOKUP(S318,'TAB OBR'!A:B,2,0),0)</f>
        <v>152</v>
      </c>
      <c r="U318" s="1151">
        <v>0</v>
      </c>
      <c r="V318" s="1150">
        <f t="shared" si="983"/>
        <v>152</v>
      </c>
      <c r="W318" s="1151">
        <f t="shared" si="984"/>
        <v>76</v>
      </c>
      <c r="X318" s="1180" t="s">
        <v>2884</v>
      </c>
      <c r="Y318" s="1180" t="s">
        <v>2884</v>
      </c>
      <c r="Z318" s="1180">
        <v>0</v>
      </c>
      <c r="AA318" s="1150">
        <f>ROUND(IF(H318&lt;&gt;"",VLOOKUP(SUM(I318+J318),'CONCEPTOS Y PARAMETROS'!F:G,2,0)*V318,0),2)</f>
        <v>32.22</v>
      </c>
      <c r="AB318" s="1150">
        <f>IF(S318&lt;&gt;"",IF(M318="",'CONCEPTOS Y PARAMETROS'!$C$4,0),0)</f>
        <v>130</v>
      </c>
      <c r="AC318" s="1150">
        <f>IF(S318&lt;&gt;"",IF(M318="",'CONCEPTOS Y PARAMETROS'!$C$7*Z318,0),0)</f>
        <v>0</v>
      </c>
      <c r="AD318" s="1150">
        <f>IFERROR(ROUND(VLOOKUP($X318,'CONCEPTOS Y PARAMETROS'!H:I,2,0)*($V318+AA318+AB318+AC318),2),0)</f>
        <v>0</v>
      </c>
      <c r="AE318" s="1150">
        <f t="shared" si="985"/>
        <v>162.22</v>
      </c>
      <c r="AF318" s="1150">
        <f t="shared" si="986"/>
        <v>16.11</v>
      </c>
      <c r="AG318" s="1150">
        <f t="shared" si="987"/>
        <v>16.11</v>
      </c>
      <c r="AH318" s="1150">
        <f t="shared" si="988"/>
        <v>65</v>
      </c>
      <c r="AI318" s="1150">
        <f t="shared" si="989"/>
        <v>65</v>
      </c>
      <c r="AJ318" s="1150">
        <f t="shared" si="990"/>
        <v>0</v>
      </c>
      <c r="AK318" s="1150">
        <f t="shared" si="991"/>
        <v>0</v>
      </c>
      <c r="AL318" s="1151">
        <f t="shared" si="992"/>
        <v>81.11</v>
      </c>
      <c r="AM318" s="1151">
        <f t="shared" si="993"/>
        <v>81.11</v>
      </c>
      <c r="AN318" s="1028">
        <v>0</v>
      </c>
      <c r="AO318" s="1193">
        <f>'CONCEPTOS Y PARAMETROS'!$C$18*AN318</f>
        <v>0</v>
      </c>
      <c r="AP318" s="1028">
        <v>0</v>
      </c>
      <c r="AQ318" s="1193">
        <f>'CONCEPTOS Y PARAMETROS'!$C$21*AP318</f>
        <v>0</v>
      </c>
      <c r="AR318" s="1394">
        <v>0</v>
      </c>
      <c r="AS318" s="1394">
        <v>0</v>
      </c>
      <c r="AT318" s="1394">
        <f t="shared" si="994"/>
        <v>0</v>
      </c>
      <c r="AU318" s="1151">
        <f t="shared" si="995"/>
        <v>314.22000000000003</v>
      </c>
      <c r="AV318" s="1178">
        <v>0</v>
      </c>
      <c r="AW318" s="1151">
        <f t="shared" si="996"/>
        <v>0</v>
      </c>
      <c r="AX318" s="1150">
        <f>IF(T318&lt;&gt;"0",(ROUND(IF(A318="EMPLEADO",eval_formula('CONCEPTOS Y PARAMETROS'!$C$8,NOMINA!V318,NOMINA!$AU318,NOMINA!I318+NOMINA!J318),eval_formula('CONCEPTOS Y PARAMETROS'!$D$8,NOMINA!V318,NOMINA!$AU318,NOMINA!I318+NOMINA!J318)),2))*IF(H318&lt;&gt;"",IF(MONTH(H318)=$BR$8,IF(YEAR(H318)&lt;$BT$7,1,0),0)))</f>
        <v>0</v>
      </c>
      <c r="AY318" s="1151">
        <v>180</v>
      </c>
      <c r="AZ318" s="1150">
        <f>IFERROR(VLOOKUP(AY318,'CONCEPTOS Y PARAMETROS'!Y:Z,2,0),0)</f>
        <v>150</v>
      </c>
      <c r="BA318" s="1150">
        <f t="shared" si="997"/>
        <v>2356.65</v>
      </c>
      <c r="BB318" s="1150">
        <f t="shared" si="998"/>
        <v>0</v>
      </c>
      <c r="BC318" s="1028">
        <v>0</v>
      </c>
      <c r="BD318" s="1150" t="str">
        <f t="shared" si="999"/>
        <v>0</v>
      </c>
      <c r="BE318" s="1028">
        <v>0</v>
      </c>
      <c r="BF318" s="1150">
        <f t="shared" si="1000"/>
        <v>0</v>
      </c>
      <c r="BG318" s="1151">
        <v>290</v>
      </c>
      <c r="BH318" s="1151">
        <f t="shared" si="1001"/>
        <v>0</v>
      </c>
      <c r="BI318" s="1151">
        <v>0</v>
      </c>
      <c r="BJ318" s="1151">
        <f t="shared" si="1002"/>
        <v>0</v>
      </c>
      <c r="BK318" s="1151">
        <v>0</v>
      </c>
      <c r="BL318" s="1150">
        <f>ROUND(IF(M318="", (((AU318*12)/52)*4%)*$BS$8,0),2)</f>
        <v>11.6</v>
      </c>
      <c r="BM318" s="1150">
        <f>ROUND(IF(M318="",(((AU318*12)/52)*0.5%)*$BS$8,0),2)</f>
        <v>1.45</v>
      </c>
      <c r="BN318" s="1150">
        <f t="shared" si="1003"/>
        <v>3.14</v>
      </c>
      <c r="BO318" s="1150">
        <v>0</v>
      </c>
      <c r="BP318" s="1150">
        <v>0</v>
      </c>
      <c r="BQ318" s="1396">
        <f t="shared" si="1004"/>
        <v>16.190000000000001</v>
      </c>
      <c r="BR318" s="1150">
        <f>ROUND(IF(M318="", (((AU318*12)/52)*9%)*$BS$8,0),2)</f>
        <v>26.1</v>
      </c>
      <c r="BS318" s="1150">
        <f>ROUND(IF(M318="",(((AU318*12)/52)*2%)*$BS$8,0),2)</f>
        <v>5.8</v>
      </c>
      <c r="BT318" s="1150">
        <f t="shared" si="1005"/>
        <v>6.28</v>
      </c>
      <c r="BU318" s="1150">
        <v>0</v>
      </c>
      <c r="BV318" s="1151">
        <f t="shared" si="1006"/>
        <v>38.18</v>
      </c>
      <c r="BW318" s="1155">
        <f t="shared" si="1007"/>
        <v>54.370000000000005</v>
      </c>
      <c r="BX318" s="1155">
        <f t="shared" si="1008"/>
        <v>589.16</v>
      </c>
      <c r="BY318" s="1151">
        <v>0</v>
      </c>
      <c r="BZ318" s="1151">
        <f t="shared" si="1009"/>
        <v>589.16</v>
      </c>
      <c r="CA318" s="1397">
        <f>'CONCEPTOS Y PARAMETROS'!$A$102</f>
        <v>2120</v>
      </c>
      <c r="CB318" s="1155">
        <f t="shared" si="1010"/>
        <v>140.92000000000002</v>
      </c>
      <c r="CC318" s="1156">
        <f t="shared" si="1011"/>
        <v>447.11</v>
      </c>
      <c r="CD318" s="514"/>
      <c r="CE318" s="514"/>
      <c r="CF318" s="520"/>
      <c r="CG318" s="497">
        <f t="shared" si="1012"/>
        <v>140.92000000000002</v>
      </c>
      <c r="CH318" s="1711">
        <f t="shared" si="1013"/>
        <v>290</v>
      </c>
      <c r="CI318" s="497">
        <f t="shared" si="1014"/>
        <v>447.11</v>
      </c>
      <c r="CJ318" s="497">
        <f t="shared" si="1015"/>
        <v>447.11</v>
      </c>
      <c r="CK318" s="497">
        <f t="shared" si="1016"/>
        <v>0</v>
      </c>
      <c r="CL318" s="497">
        <f t="shared" si="1017"/>
        <v>0</v>
      </c>
      <c r="CM318" s="497">
        <f t="shared" si="1018"/>
        <v>0</v>
      </c>
      <c r="CN318" s="498">
        <f t="shared" si="1019"/>
        <v>0</v>
      </c>
      <c r="CO318" s="499">
        <v>0</v>
      </c>
      <c r="CP318" s="498">
        <f t="shared" si="1020"/>
        <v>0</v>
      </c>
      <c r="CQ318" s="500">
        <f t="shared" si="1021"/>
        <v>0</v>
      </c>
      <c r="CR318" s="498">
        <f t="shared" si="1022"/>
        <v>0</v>
      </c>
      <c r="CS318" s="498">
        <f t="shared" si="1023"/>
        <v>0</v>
      </c>
      <c r="CT318" s="498">
        <f t="shared" si="1024"/>
        <v>54.370000000000005</v>
      </c>
      <c r="CU318" s="498">
        <f t="shared" si="1025"/>
        <v>2120</v>
      </c>
      <c r="CV318" s="1554"/>
      <c r="CW318" s="1343" t="s">
        <v>7290</v>
      </c>
      <c r="CX318" s="1343" t="s">
        <v>7291</v>
      </c>
      <c r="CY318" s="472"/>
      <c r="CZ318" s="1187" t="s">
        <v>6556</v>
      </c>
      <c r="DA318" s="514" t="s">
        <v>6173</v>
      </c>
      <c r="DB318" s="514" t="s">
        <v>6185</v>
      </c>
      <c r="DC318" s="514" t="s">
        <v>6613</v>
      </c>
      <c r="DD318" s="514"/>
      <c r="DE318" s="514"/>
      <c r="DF318" s="472"/>
      <c r="DG318" s="472"/>
      <c r="DH318" s="472"/>
      <c r="DJ318" s="473" t="str">
        <f>VLOOKUP(X318,Hoja1!$A$4:$B$10,2,0)</f>
        <v>BACHILLER</v>
      </c>
      <c r="DK318" s="473" t="str">
        <f>VLOOKUP(S318,Hoja1!$D$4:$F$77,3,0)</f>
        <v>GRADO (3) - MÁX</v>
      </c>
      <c r="DL318" s="1216" t="str">
        <f t="shared" si="1026"/>
        <v>0</v>
      </c>
      <c r="DM318" s="1741" t="str">
        <f t="shared" si="1027"/>
        <v>M</v>
      </c>
      <c r="DN318" s="1741"/>
    </row>
    <row r="319" spans="1:118" s="473" customFormat="1" ht="21.95" customHeight="1">
      <c r="A319" s="510" t="s">
        <v>2834</v>
      </c>
      <c r="B319" s="1390">
        <f t="shared" ca="1" si="1028"/>
        <v>8</v>
      </c>
      <c r="C319" s="1028">
        <v>9011963</v>
      </c>
      <c r="D319" s="1343" t="s">
        <v>4967</v>
      </c>
      <c r="E319" s="1180" t="s">
        <v>4622</v>
      </c>
      <c r="F319" s="1161">
        <v>18326</v>
      </c>
      <c r="G319" s="1180" t="s">
        <v>4621</v>
      </c>
      <c r="H319" s="1161">
        <v>39820</v>
      </c>
      <c r="I319" s="1185">
        <f t="shared" si="981"/>
        <v>16</v>
      </c>
      <c r="J319" s="1177">
        <v>0</v>
      </c>
      <c r="K319" s="1185">
        <f t="shared" si="982"/>
        <v>16</v>
      </c>
      <c r="L319" s="1191" t="s">
        <v>5565</v>
      </c>
      <c r="M319" s="1177"/>
      <c r="N319" s="1177"/>
      <c r="O319" s="1040" t="s">
        <v>5084</v>
      </c>
      <c r="P319" s="1177" t="s">
        <v>5110</v>
      </c>
      <c r="Q319" s="1391">
        <v>7152</v>
      </c>
      <c r="R319" s="1514" t="s">
        <v>5084</v>
      </c>
      <c r="S319" s="1513">
        <v>3</v>
      </c>
      <c r="T319" s="1150">
        <f>IFERROR(VLOOKUP(S319,'TAB OBR'!A:B,2,0),0)</f>
        <v>152</v>
      </c>
      <c r="U319" s="1151">
        <v>0</v>
      </c>
      <c r="V319" s="1150">
        <f t="shared" si="983"/>
        <v>152</v>
      </c>
      <c r="W319" s="1151">
        <f t="shared" si="984"/>
        <v>76</v>
      </c>
      <c r="X319" s="1180" t="s">
        <v>2884</v>
      </c>
      <c r="Y319" s="1180" t="s">
        <v>2884</v>
      </c>
      <c r="Z319" s="1180">
        <v>0</v>
      </c>
      <c r="AA319" s="1150">
        <f>ROUND(IF(H319&lt;&gt;"",VLOOKUP(SUM(I319+J319),'CONCEPTOS Y PARAMETROS'!F:G,2,0)*V319,0),2)</f>
        <v>29.79</v>
      </c>
      <c r="AB319" s="1150">
        <f>IF(S319&lt;&gt;"",IF(M319="",'CONCEPTOS Y PARAMETROS'!$C$4,0),0)</f>
        <v>130</v>
      </c>
      <c r="AC319" s="1150">
        <f>IF(S319&lt;&gt;"",IF(M319="",'CONCEPTOS Y PARAMETROS'!$C$7*Z319,0),0)</f>
        <v>0</v>
      </c>
      <c r="AD319" s="1150">
        <f>IFERROR(ROUND(VLOOKUP($X319,'CONCEPTOS Y PARAMETROS'!H:I,2,0)*($V319+AA319+AB319+AC319),2),0)</f>
        <v>0</v>
      </c>
      <c r="AE319" s="1150">
        <f t="shared" si="985"/>
        <v>159.79</v>
      </c>
      <c r="AF319" s="1150">
        <f t="shared" si="986"/>
        <v>14.9</v>
      </c>
      <c r="AG319" s="1150">
        <f t="shared" si="987"/>
        <v>14.89</v>
      </c>
      <c r="AH319" s="1150">
        <f t="shared" si="988"/>
        <v>65</v>
      </c>
      <c r="AI319" s="1150">
        <f t="shared" si="989"/>
        <v>65</v>
      </c>
      <c r="AJ319" s="1150">
        <f t="shared" si="990"/>
        <v>0</v>
      </c>
      <c r="AK319" s="1150">
        <f t="shared" si="991"/>
        <v>0</v>
      </c>
      <c r="AL319" s="1151">
        <f t="shared" si="992"/>
        <v>79.900000000000006</v>
      </c>
      <c r="AM319" s="1151">
        <f t="shared" si="993"/>
        <v>79.89</v>
      </c>
      <c r="AN319" s="1028">
        <v>0</v>
      </c>
      <c r="AO319" s="1193">
        <f>'CONCEPTOS Y PARAMETROS'!$C$18*AN319</f>
        <v>0</v>
      </c>
      <c r="AP319" s="1028">
        <v>0</v>
      </c>
      <c r="AQ319" s="1193">
        <f>'CONCEPTOS Y PARAMETROS'!$C$21*AP319</f>
        <v>0</v>
      </c>
      <c r="AR319" s="1394">
        <v>0</v>
      </c>
      <c r="AS319" s="1394">
        <v>0</v>
      </c>
      <c r="AT319" s="1394">
        <f t="shared" si="994"/>
        <v>0</v>
      </c>
      <c r="AU319" s="1151">
        <f t="shared" si="995"/>
        <v>311.78999999999996</v>
      </c>
      <c r="AV319" s="1178">
        <v>0</v>
      </c>
      <c r="AW319" s="1151">
        <f t="shared" si="996"/>
        <v>0</v>
      </c>
      <c r="AX319" s="1150">
        <f>IF(T319&lt;&gt;"0",(ROUND(IF(A319="EMPLEADO",eval_formula('CONCEPTOS Y PARAMETROS'!$C$8,NOMINA!V319,NOMINA!$AU319,NOMINA!I319+NOMINA!J319),eval_formula('CONCEPTOS Y PARAMETROS'!$D$8,NOMINA!V319,NOMINA!$AU319,NOMINA!I319+NOMINA!J319)),2))*IF(H319&lt;&gt;"",IF(MONTH(H319)=$BR$8,IF(YEAR(H319)&lt;$BT$7,1,0),0)))</f>
        <v>2494.3200000000002</v>
      </c>
      <c r="AY319" s="1151">
        <v>180</v>
      </c>
      <c r="AZ319" s="1150">
        <f>IFERROR(VLOOKUP(AY319,'CONCEPTOS Y PARAMETROS'!Y:Z,2,0),0)</f>
        <v>150</v>
      </c>
      <c r="BA319" s="1150">
        <f t="shared" si="997"/>
        <v>2338.4299999999998</v>
      </c>
      <c r="BB319" s="1150">
        <f t="shared" si="998"/>
        <v>0</v>
      </c>
      <c r="BC319" s="1028">
        <v>0</v>
      </c>
      <c r="BD319" s="1150" t="str">
        <f t="shared" si="999"/>
        <v>0</v>
      </c>
      <c r="BE319" s="1028">
        <v>0</v>
      </c>
      <c r="BF319" s="1150">
        <f t="shared" si="1000"/>
        <v>0</v>
      </c>
      <c r="BG319" s="1151">
        <v>290</v>
      </c>
      <c r="BH319" s="1151">
        <f t="shared" si="1001"/>
        <v>0</v>
      </c>
      <c r="BI319" s="1151">
        <v>0</v>
      </c>
      <c r="BJ319" s="1151">
        <f t="shared" si="1002"/>
        <v>0</v>
      </c>
      <c r="BK319" s="1151">
        <v>0</v>
      </c>
      <c r="BL319" s="1150">
        <v>0</v>
      </c>
      <c r="BM319" s="1150">
        <v>0</v>
      </c>
      <c r="BN319" s="1150">
        <f t="shared" si="1003"/>
        <v>3.12</v>
      </c>
      <c r="BO319" s="1150">
        <v>0</v>
      </c>
      <c r="BP319" s="1150">
        <v>0</v>
      </c>
      <c r="BQ319" s="1396">
        <f t="shared" si="1004"/>
        <v>3.12</v>
      </c>
      <c r="BR319" s="1150">
        <v>0</v>
      </c>
      <c r="BS319" s="1150">
        <v>0</v>
      </c>
      <c r="BT319" s="1150">
        <f t="shared" si="1005"/>
        <v>6.24</v>
      </c>
      <c r="BU319" s="1150">
        <v>0</v>
      </c>
      <c r="BV319" s="1151">
        <f t="shared" si="1006"/>
        <v>6.24</v>
      </c>
      <c r="BW319" s="1155">
        <f t="shared" si="1007"/>
        <v>9.36</v>
      </c>
      <c r="BX319" s="1155">
        <f t="shared" si="1008"/>
        <v>584.61</v>
      </c>
      <c r="BY319" s="1151">
        <v>0</v>
      </c>
      <c r="BZ319" s="1151">
        <f t="shared" si="1009"/>
        <v>584.61</v>
      </c>
      <c r="CA319" s="1397">
        <f>'CONCEPTOS Y PARAMETROS'!$A$102</f>
        <v>2120</v>
      </c>
      <c r="CB319" s="1155">
        <f t="shared" si="1010"/>
        <v>152.78</v>
      </c>
      <c r="CC319" s="1156">
        <f t="shared" si="1011"/>
        <v>2940.21</v>
      </c>
      <c r="CD319" s="514"/>
      <c r="CE319" s="514"/>
      <c r="CF319" s="520"/>
      <c r="CG319" s="497">
        <f t="shared" si="1012"/>
        <v>152.78</v>
      </c>
      <c r="CH319" s="1711">
        <f t="shared" si="1013"/>
        <v>290</v>
      </c>
      <c r="CI319" s="497">
        <f t="shared" si="1014"/>
        <v>445.89</v>
      </c>
      <c r="CJ319" s="497">
        <f t="shared" si="1015"/>
        <v>445.89</v>
      </c>
      <c r="CK319" s="497">
        <f t="shared" si="1016"/>
        <v>0</v>
      </c>
      <c r="CL319" s="497">
        <f t="shared" si="1017"/>
        <v>0</v>
      </c>
      <c r="CM319" s="497">
        <f t="shared" si="1018"/>
        <v>0</v>
      </c>
      <c r="CN319" s="498">
        <f t="shared" si="1019"/>
        <v>0</v>
      </c>
      <c r="CO319" s="499">
        <v>0</v>
      </c>
      <c r="CP319" s="498">
        <f t="shared" si="1020"/>
        <v>0</v>
      </c>
      <c r="CQ319" s="500">
        <f t="shared" si="1021"/>
        <v>0</v>
      </c>
      <c r="CR319" s="498">
        <f t="shared" si="1022"/>
        <v>2494.3200000000002</v>
      </c>
      <c r="CS319" s="498">
        <f t="shared" si="1023"/>
        <v>2494.3200000000002</v>
      </c>
      <c r="CT319" s="498">
        <f t="shared" si="1024"/>
        <v>9.36</v>
      </c>
      <c r="CU319" s="498">
        <f t="shared" si="1025"/>
        <v>2120</v>
      </c>
      <c r="CV319" s="1554"/>
      <c r="CW319" s="1343" t="s">
        <v>7292</v>
      </c>
      <c r="CX319" s="1343" t="s">
        <v>7293</v>
      </c>
      <c r="CY319" s="472"/>
      <c r="CZ319" s="1199" t="s">
        <v>6667</v>
      </c>
      <c r="DA319" s="514" t="s">
        <v>6173</v>
      </c>
      <c r="DB319" s="1199" t="s">
        <v>6291</v>
      </c>
      <c r="DC319" s="514" t="s">
        <v>6381</v>
      </c>
      <c r="DD319" s="514"/>
      <c r="DE319" s="514"/>
      <c r="DF319" s="472"/>
      <c r="DG319" s="472"/>
      <c r="DH319" s="472"/>
      <c r="DJ319" s="473" t="str">
        <f>VLOOKUP(X319,Hoja1!$A$4:$B$10,2,0)</f>
        <v>BACHILLER</v>
      </c>
      <c r="DK319" s="473" t="str">
        <f>VLOOKUP(S319,Hoja1!$D$4:$F$77,3,0)</f>
        <v>GRADO (3) - MÁX</v>
      </c>
      <c r="DL319" s="1216" t="str">
        <f t="shared" si="1026"/>
        <v>0</v>
      </c>
      <c r="DM319" s="1741" t="str">
        <f t="shared" si="1027"/>
        <v>M</v>
      </c>
      <c r="DN319" s="1741"/>
    </row>
    <row r="320" spans="1:118" s="473" customFormat="1" ht="21.95" customHeight="1">
      <c r="A320" s="510" t="s">
        <v>2834</v>
      </c>
      <c r="B320" s="1390">
        <f t="shared" ca="1" si="1028"/>
        <v>9</v>
      </c>
      <c r="C320" s="1028">
        <v>9100500</v>
      </c>
      <c r="D320" s="1343" t="s">
        <v>4968</v>
      </c>
      <c r="E320" s="1180" t="s">
        <v>4622</v>
      </c>
      <c r="F320" s="1161">
        <v>21654</v>
      </c>
      <c r="G320" s="1180" t="s">
        <v>4620</v>
      </c>
      <c r="H320" s="1161">
        <v>39496</v>
      </c>
      <c r="I320" s="1185">
        <f t="shared" si="981"/>
        <v>16</v>
      </c>
      <c r="J320" s="1177">
        <v>0</v>
      </c>
      <c r="K320" s="1185">
        <f t="shared" si="982"/>
        <v>16</v>
      </c>
      <c r="L320" s="1191" t="s">
        <v>5543</v>
      </c>
      <c r="M320" s="1177"/>
      <c r="N320" s="1177"/>
      <c r="O320" s="1040" t="s">
        <v>5088</v>
      </c>
      <c r="P320" s="1177" t="s">
        <v>5111</v>
      </c>
      <c r="Q320" s="1391">
        <v>7102</v>
      </c>
      <c r="R320" s="1514" t="s">
        <v>5088</v>
      </c>
      <c r="S320" s="1513">
        <v>1</v>
      </c>
      <c r="T320" s="1150">
        <f>IFERROR(VLOOKUP(S320,'TAB OBR'!A:B,2,0),0)</f>
        <v>130</v>
      </c>
      <c r="U320" s="1151">
        <v>0</v>
      </c>
      <c r="V320" s="1150">
        <f t="shared" si="983"/>
        <v>130</v>
      </c>
      <c r="W320" s="1151">
        <f t="shared" si="984"/>
        <v>65</v>
      </c>
      <c r="X320" s="1180" t="s">
        <v>2884</v>
      </c>
      <c r="Y320" s="1180" t="s">
        <v>2884</v>
      </c>
      <c r="Z320" s="1180">
        <v>0</v>
      </c>
      <c r="AA320" s="1150">
        <f>ROUND(IF(H320&lt;&gt;"",VLOOKUP(SUM(I320+J320),'CONCEPTOS Y PARAMETROS'!F:G,2,0)*V320,0),2)</f>
        <v>25.48</v>
      </c>
      <c r="AB320" s="1150">
        <f>IF(S320&lt;&gt;"",IF(M320="",'CONCEPTOS Y PARAMETROS'!$C$4,0),0)</f>
        <v>130</v>
      </c>
      <c r="AC320" s="1150">
        <f>IF(S320&lt;&gt;"",IF(M320="",'CONCEPTOS Y PARAMETROS'!$C$7*Z320,0),0)</f>
        <v>0</v>
      </c>
      <c r="AD320" s="1150">
        <f>IFERROR(ROUND(VLOOKUP($X320,'CONCEPTOS Y PARAMETROS'!H:I,2,0)*($V320+AA320+AB320+AC320),2),0)</f>
        <v>0</v>
      </c>
      <c r="AE320" s="1150">
        <f t="shared" si="985"/>
        <v>155.47999999999999</v>
      </c>
      <c r="AF320" s="1150">
        <f t="shared" si="986"/>
        <v>12.74</v>
      </c>
      <c r="AG320" s="1150">
        <f t="shared" si="987"/>
        <v>12.74</v>
      </c>
      <c r="AH320" s="1150">
        <f t="shared" si="988"/>
        <v>65</v>
      </c>
      <c r="AI320" s="1150">
        <f t="shared" si="989"/>
        <v>65</v>
      </c>
      <c r="AJ320" s="1150">
        <f t="shared" si="990"/>
        <v>0</v>
      </c>
      <c r="AK320" s="1150">
        <f t="shared" si="991"/>
        <v>0</v>
      </c>
      <c r="AL320" s="1151">
        <f t="shared" si="992"/>
        <v>77.739999999999995</v>
      </c>
      <c r="AM320" s="1151">
        <f t="shared" si="993"/>
        <v>77.739999999999995</v>
      </c>
      <c r="AN320" s="1028">
        <v>0</v>
      </c>
      <c r="AO320" s="1193">
        <f>'CONCEPTOS Y PARAMETROS'!$C$18*AN320</f>
        <v>0</v>
      </c>
      <c r="AP320" s="1028">
        <v>0</v>
      </c>
      <c r="AQ320" s="1193">
        <f>'CONCEPTOS Y PARAMETROS'!$C$21*AP320</f>
        <v>0</v>
      </c>
      <c r="AR320" s="1394">
        <v>0</v>
      </c>
      <c r="AS320" s="1394">
        <v>0</v>
      </c>
      <c r="AT320" s="1394">
        <f t="shared" si="994"/>
        <v>0</v>
      </c>
      <c r="AU320" s="1151">
        <f t="shared" si="995"/>
        <v>285.48</v>
      </c>
      <c r="AV320" s="1178">
        <v>0</v>
      </c>
      <c r="AW320" s="1151">
        <f t="shared" si="996"/>
        <v>0</v>
      </c>
      <c r="AX320" s="1150">
        <f>IF(T320&lt;&gt;"0",(ROUND(IF(A320="EMPLEADO",eval_formula('CONCEPTOS Y PARAMETROS'!$C$8,NOMINA!V320,NOMINA!$AU320,NOMINA!I320+NOMINA!J320),eval_formula('CONCEPTOS Y PARAMETROS'!$D$8,NOMINA!V320,NOMINA!$AU320,NOMINA!I320+NOMINA!J320)),2))*IF(H320&lt;&gt;"",IF(MONTH(H320)=$BR$8,IF(YEAR(H320)&lt;$BT$7,1,0),0)))</f>
        <v>0</v>
      </c>
      <c r="AY320" s="1151">
        <v>180</v>
      </c>
      <c r="AZ320" s="1150">
        <f>IFERROR(VLOOKUP(AY320,'CONCEPTOS Y PARAMETROS'!Y:Z,2,0),0)</f>
        <v>150</v>
      </c>
      <c r="BA320" s="1150">
        <f t="shared" si="997"/>
        <v>2141.1</v>
      </c>
      <c r="BB320" s="1150">
        <f t="shared" si="998"/>
        <v>0</v>
      </c>
      <c r="BC320" s="1028">
        <v>0</v>
      </c>
      <c r="BD320" s="1150" t="str">
        <f t="shared" si="999"/>
        <v>0</v>
      </c>
      <c r="BE320" s="1028">
        <v>0</v>
      </c>
      <c r="BF320" s="1150">
        <f t="shared" si="1000"/>
        <v>0</v>
      </c>
      <c r="BG320" s="1151">
        <v>290</v>
      </c>
      <c r="BH320" s="1151">
        <f t="shared" si="1001"/>
        <v>0</v>
      </c>
      <c r="BI320" s="1151">
        <v>0</v>
      </c>
      <c r="BJ320" s="1151">
        <f t="shared" si="1002"/>
        <v>0</v>
      </c>
      <c r="BK320" s="1151">
        <v>0</v>
      </c>
      <c r="BL320" s="1150">
        <f t="shared" ref="BL320:BL351" si="1029">ROUND(IF(M320="", (((AU320*12)/52)*4%)*$BS$8,0),2)</f>
        <v>10.54</v>
      </c>
      <c r="BM320" s="1150">
        <f t="shared" ref="BM320:BM351" si="1030">ROUND(IF(M320="",(((AU320*12)/52)*0.5%)*$BS$8,0),2)</f>
        <v>1.32</v>
      </c>
      <c r="BN320" s="1150">
        <f t="shared" si="1003"/>
        <v>2.85</v>
      </c>
      <c r="BO320" s="1150">
        <v>0</v>
      </c>
      <c r="BP320" s="1150">
        <v>0</v>
      </c>
      <c r="BQ320" s="1396">
        <f t="shared" si="1004"/>
        <v>14.71</v>
      </c>
      <c r="BR320" s="1150">
        <f t="shared" ref="BR320:BR351" si="1031">ROUND(IF(M320="", (((AU320*12)/52)*9%)*$BS$8,0),2)</f>
        <v>23.72</v>
      </c>
      <c r="BS320" s="1150">
        <f t="shared" ref="BS320:BS351" si="1032">ROUND(IF(M320="",(((AU320*12)/52)*2%)*$BS$8,0),2)</f>
        <v>5.27</v>
      </c>
      <c r="BT320" s="1150">
        <f t="shared" si="1005"/>
        <v>5.7</v>
      </c>
      <c r="BU320" s="1150">
        <v>0</v>
      </c>
      <c r="BV320" s="1151">
        <f t="shared" si="1006"/>
        <v>34.69</v>
      </c>
      <c r="BW320" s="1155">
        <f t="shared" si="1007"/>
        <v>49.4</v>
      </c>
      <c r="BX320" s="1155">
        <f t="shared" si="1008"/>
        <v>535.28</v>
      </c>
      <c r="BY320" s="1151">
        <v>0</v>
      </c>
      <c r="BZ320" s="1151">
        <f t="shared" si="1009"/>
        <v>535.28</v>
      </c>
      <c r="CA320" s="1397">
        <f>'CONCEPTOS Y PARAMETROS'!$A$102</f>
        <v>2120</v>
      </c>
      <c r="CB320" s="1155">
        <f t="shared" si="1010"/>
        <v>128.03</v>
      </c>
      <c r="CC320" s="1156">
        <f t="shared" si="1011"/>
        <v>432.74</v>
      </c>
      <c r="CD320" s="514"/>
      <c r="CE320" s="514"/>
      <c r="CF320" s="520"/>
      <c r="CG320" s="497">
        <f t="shared" si="1012"/>
        <v>128.03</v>
      </c>
      <c r="CH320" s="1711">
        <f t="shared" si="1013"/>
        <v>290</v>
      </c>
      <c r="CI320" s="497">
        <f t="shared" si="1014"/>
        <v>432.74</v>
      </c>
      <c r="CJ320" s="497">
        <f t="shared" si="1015"/>
        <v>432.74</v>
      </c>
      <c r="CK320" s="497">
        <f t="shared" si="1016"/>
        <v>0</v>
      </c>
      <c r="CL320" s="497">
        <f t="shared" si="1017"/>
        <v>0</v>
      </c>
      <c r="CM320" s="497">
        <f t="shared" si="1018"/>
        <v>0</v>
      </c>
      <c r="CN320" s="498">
        <f t="shared" si="1019"/>
        <v>0</v>
      </c>
      <c r="CO320" s="499">
        <v>0</v>
      </c>
      <c r="CP320" s="498">
        <f t="shared" si="1020"/>
        <v>0</v>
      </c>
      <c r="CQ320" s="500">
        <f t="shared" si="1021"/>
        <v>0</v>
      </c>
      <c r="CR320" s="498">
        <f t="shared" si="1022"/>
        <v>0</v>
      </c>
      <c r="CS320" s="498">
        <f t="shared" si="1023"/>
        <v>0</v>
      </c>
      <c r="CT320" s="498">
        <f t="shared" si="1024"/>
        <v>49.4</v>
      </c>
      <c r="CU320" s="498">
        <f t="shared" si="1025"/>
        <v>2120</v>
      </c>
      <c r="CV320" s="1554"/>
      <c r="CW320" s="1343" t="s">
        <v>7100</v>
      </c>
      <c r="CX320" s="1343" t="s">
        <v>7294</v>
      </c>
      <c r="CY320" s="472"/>
      <c r="CZ320" s="514" t="s">
        <v>6499</v>
      </c>
      <c r="DA320" s="514" t="s">
        <v>6161</v>
      </c>
      <c r="DB320" s="514" t="s">
        <v>6417</v>
      </c>
      <c r="DC320" s="514" t="s">
        <v>6500</v>
      </c>
      <c r="DD320" s="514"/>
      <c r="DE320" s="514"/>
      <c r="DF320" s="472"/>
      <c r="DG320" s="472"/>
      <c r="DH320" s="472"/>
      <c r="DJ320" s="473" t="str">
        <f>VLOOKUP(X320,Hoja1!$A$4:$B$10,2,0)</f>
        <v>BACHILLER</v>
      </c>
      <c r="DK320" s="473" t="str">
        <f>VLOOKUP(S320,Hoja1!$D$4:$F$77,3,0)</f>
        <v>GRADO (1) - MIN</v>
      </c>
      <c r="DL320" s="1216" t="str">
        <f t="shared" si="1026"/>
        <v>0</v>
      </c>
      <c r="DM320" s="1741" t="str">
        <f t="shared" si="1027"/>
        <v>F</v>
      </c>
      <c r="DN320" s="1741"/>
    </row>
    <row r="321" spans="1:118" s="478" customFormat="1" ht="21.95" customHeight="1">
      <c r="A321" s="510" t="s">
        <v>2834</v>
      </c>
      <c r="B321" s="1390">
        <f t="shared" ca="1" si="1028"/>
        <v>10</v>
      </c>
      <c r="C321" s="1028">
        <v>9110498</v>
      </c>
      <c r="D321" s="1343" t="s">
        <v>4969</v>
      </c>
      <c r="E321" s="1180" t="s">
        <v>4622</v>
      </c>
      <c r="F321" s="1161">
        <v>20157</v>
      </c>
      <c r="G321" s="1180" t="s">
        <v>4621</v>
      </c>
      <c r="H321" s="1161">
        <v>37508</v>
      </c>
      <c r="I321" s="1185">
        <f t="shared" si="981"/>
        <v>22</v>
      </c>
      <c r="J321" s="1177">
        <v>0</v>
      </c>
      <c r="K321" s="1185">
        <f t="shared" si="982"/>
        <v>22</v>
      </c>
      <c r="L321" s="1191" t="s">
        <v>5554</v>
      </c>
      <c r="M321" s="1177"/>
      <c r="N321" s="1177"/>
      <c r="O321" s="1040" t="s">
        <v>5084</v>
      </c>
      <c r="P321" s="1177" t="s">
        <v>5112</v>
      </c>
      <c r="Q321" s="1391">
        <v>7152</v>
      </c>
      <c r="R321" s="1514" t="s">
        <v>5084</v>
      </c>
      <c r="S321" s="1513">
        <v>3</v>
      </c>
      <c r="T321" s="1150">
        <f>IFERROR(VLOOKUP(S321,'TAB OBR'!A:B,2,0),0)</f>
        <v>152</v>
      </c>
      <c r="U321" s="1151">
        <v>0</v>
      </c>
      <c r="V321" s="1150">
        <f t="shared" si="983"/>
        <v>152</v>
      </c>
      <c r="W321" s="1151">
        <f t="shared" si="984"/>
        <v>76</v>
      </c>
      <c r="X321" s="1180" t="s">
        <v>2884</v>
      </c>
      <c r="Y321" s="1180" t="s">
        <v>2884</v>
      </c>
      <c r="Z321" s="1180">
        <v>0</v>
      </c>
      <c r="AA321" s="1150">
        <f>ROUND(IF(H321&lt;&gt;"",VLOOKUP(SUM(I321+J321),'CONCEPTOS Y PARAMETROS'!F:G,2,0)*V321,0),2)</f>
        <v>44.99</v>
      </c>
      <c r="AB321" s="1150">
        <f>IF(S321&lt;&gt;"",IF(M321="",'CONCEPTOS Y PARAMETROS'!$C$4,0),0)</f>
        <v>130</v>
      </c>
      <c r="AC321" s="1150">
        <f>IF(S321&lt;&gt;"",IF(M321="",'CONCEPTOS Y PARAMETROS'!$C$7*Z321,0),0)</f>
        <v>0</v>
      </c>
      <c r="AD321" s="1150">
        <f>IFERROR(ROUND(VLOOKUP($X321,'CONCEPTOS Y PARAMETROS'!H:I,2,0)*($V321+AA321+AB321+AC321),2),0)</f>
        <v>0</v>
      </c>
      <c r="AE321" s="1150">
        <f t="shared" si="985"/>
        <v>174.99</v>
      </c>
      <c r="AF321" s="1150">
        <f t="shared" si="986"/>
        <v>22.5</v>
      </c>
      <c r="AG321" s="1150">
        <f t="shared" si="987"/>
        <v>22.49</v>
      </c>
      <c r="AH321" s="1150">
        <f t="shared" si="988"/>
        <v>65</v>
      </c>
      <c r="AI321" s="1150">
        <f t="shared" si="989"/>
        <v>65</v>
      </c>
      <c r="AJ321" s="1150">
        <f t="shared" si="990"/>
        <v>0</v>
      </c>
      <c r="AK321" s="1150">
        <f t="shared" si="991"/>
        <v>0</v>
      </c>
      <c r="AL321" s="1151">
        <f t="shared" si="992"/>
        <v>87.5</v>
      </c>
      <c r="AM321" s="1151">
        <f t="shared" si="993"/>
        <v>87.49</v>
      </c>
      <c r="AN321" s="1028">
        <v>0</v>
      </c>
      <c r="AO321" s="1193">
        <f>'CONCEPTOS Y PARAMETROS'!$C$18*AN321</f>
        <v>0</v>
      </c>
      <c r="AP321" s="1028">
        <v>0</v>
      </c>
      <c r="AQ321" s="1193">
        <f>'CONCEPTOS Y PARAMETROS'!$C$21*AP321</f>
        <v>0</v>
      </c>
      <c r="AR321" s="1394">
        <v>0</v>
      </c>
      <c r="AS321" s="1394">
        <v>0</v>
      </c>
      <c r="AT321" s="1394">
        <f t="shared" si="994"/>
        <v>0</v>
      </c>
      <c r="AU321" s="1151">
        <f t="shared" si="995"/>
        <v>326.99</v>
      </c>
      <c r="AV321" s="1178">
        <v>0</v>
      </c>
      <c r="AW321" s="1151">
        <f t="shared" si="996"/>
        <v>0</v>
      </c>
      <c r="AX321" s="1150">
        <f>IF(T321&lt;&gt;"0",(ROUND(IF(A321="EMPLEADO",eval_formula('CONCEPTOS Y PARAMETROS'!$C$8,NOMINA!V321,NOMINA!$AU321,NOMINA!I321+NOMINA!J321),eval_formula('CONCEPTOS Y PARAMETROS'!$D$8,NOMINA!V321,NOMINA!$AU321,NOMINA!I321+NOMINA!J321)),2))*IF(H321&lt;&gt;"",IF(MONTH(H321)=$BR$8,IF(YEAR(H321)&lt;$BT$7,1,0),0)))</f>
        <v>0</v>
      </c>
      <c r="AY321" s="1151">
        <v>180</v>
      </c>
      <c r="AZ321" s="1150">
        <f>IFERROR(VLOOKUP(AY321,'CONCEPTOS Y PARAMETROS'!Y:Z,2,0),0)</f>
        <v>150</v>
      </c>
      <c r="BA321" s="1150">
        <f t="shared" si="997"/>
        <v>2452.4299999999998</v>
      </c>
      <c r="BB321" s="1150">
        <f t="shared" si="998"/>
        <v>0</v>
      </c>
      <c r="BC321" s="1028">
        <v>0</v>
      </c>
      <c r="BD321" s="1150" t="str">
        <f t="shared" si="999"/>
        <v>0</v>
      </c>
      <c r="BE321" s="1028">
        <v>0</v>
      </c>
      <c r="BF321" s="1150">
        <f t="shared" si="1000"/>
        <v>0</v>
      </c>
      <c r="BG321" s="1151">
        <v>290</v>
      </c>
      <c r="BH321" s="1151">
        <f t="shared" si="1001"/>
        <v>0</v>
      </c>
      <c r="BI321" s="1151">
        <v>0</v>
      </c>
      <c r="BJ321" s="1151">
        <f t="shared" si="1002"/>
        <v>0</v>
      </c>
      <c r="BK321" s="1151">
        <v>0</v>
      </c>
      <c r="BL321" s="1150">
        <f t="shared" si="1029"/>
        <v>12.07</v>
      </c>
      <c r="BM321" s="1150">
        <f t="shared" si="1030"/>
        <v>1.51</v>
      </c>
      <c r="BN321" s="1150">
        <f t="shared" si="1003"/>
        <v>3.27</v>
      </c>
      <c r="BO321" s="1150">
        <v>1.52</v>
      </c>
      <c r="BP321" s="1150">
        <v>0</v>
      </c>
      <c r="BQ321" s="1396">
        <f t="shared" si="1004"/>
        <v>18.37</v>
      </c>
      <c r="BR321" s="1150">
        <f t="shared" si="1031"/>
        <v>27.17</v>
      </c>
      <c r="BS321" s="1150">
        <f t="shared" si="1032"/>
        <v>6.04</v>
      </c>
      <c r="BT321" s="1150">
        <f t="shared" si="1005"/>
        <v>6.54</v>
      </c>
      <c r="BU321" s="1150">
        <v>0</v>
      </c>
      <c r="BV321" s="1151">
        <f t="shared" si="1006"/>
        <v>39.75</v>
      </c>
      <c r="BW321" s="1155">
        <f t="shared" si="1007"/>
        <v>58.120000000000005</v>
      </c>
      <c r="BX321" s="1155">
        <f t="shared" si="1008"/>
        <v>613.11</v>
      </c>
      <c r="BY321" s="1151">
        <v>0</v>
      </c>
      <c r="BZ321" s="1151">
        <f t="shared" si="1009"/>
        <v>613.11</v>
      </c>
      <c r="CA321" s="1397">
        <f>'CONCEPTOS Y PARAMETROS'!$A$102</f>
        <v>2120</v>
      </c>
      <c r="CB321" s="1155">
        <f t="shared" si="1010"/>
        <v>145.13</v>
      </c>
      <c r="CC321" s="1156">
        <f t="shared" si="1011"/>
        <v>453.49</v>
      </c>
      <c r="CD321" s="514"/>
      <c r="CE321" s="514"/>
      <c r="CF321" s="520"/>
      <c r="CG321" s="497">
        <f t="shared" si="1012"/>
        <v>145.13</v>
      </c>
      <c r="CH321" s="1711">
        <f t="shared" si="1013"/>
        <v>290</v>
      </c>
      <c r="CI321" s="497">
        <f t="shared" si="1014"/>
        <v>453.49</v>
      </c>
      <c r="CJ321" s="497">
        <f t="shared" si="1015"/>
        <v>453.49</v>
      </c>
      <c r="CK321" s="497">
        <f t="shared" si="1016"/>
        <v>0</v>
      </c>
      <c r="CL321" s="497">
        <f t="shared" si="1017"/>
        <v>0</v>
      </c>
      <c r="CM321" s="497">
        <f t="shared" si="1018"/>
        <v>0</v>
      </c>
      <c r="CN321" s="498">
        <f t="shared" si="1019"/>
        <v>0</v>
      </c>
      <c r="CO321" s="499">
        <v>0</v>
      </c>
      <c r="CP321" s="498">
        <f t="shared" si="1020"/>
        <v>0</v>
      </c>
      <c r="CQ321" s="500">
        <f t="shared" si="1021"/>
        <v>0</v>
      </c>
      <c r="CR321" s="498">
        <f t="shared" si="1022"/>
        <v>0</v>
      </c>
      <c r="CS321" s="498">
        <f t="shared" si="1023"/>
        <v>0</v>
      </c>
      <c r="CT321" s="498">
        <f t="shared" si="1024"/>
        <v>58.120000000000005</v>
      </c>
      <c r="CU321" s="498">
        <f t="shared" si="1025"/>
        <v>2120</v>
      </c>
      <c r="CV321" s="1554"/>
      <c r="CW321" s="1343" t="s">
        <v>6959</v>
      </c>
      <c r="CX321" s="1343" t="s">
        <v>7295</v>
      </c>
      <c r="CY321" s="472"/>
      <c r="CZ321" s="514" t="s">
        <v>6501</v>
      </c>
      <c r="DA321" s="1199" t="s">
        <v>6175</v>
      </c>
      <c r="DB321" s="514" t="s">
        <v>6260</v>
      </c>
      <c r="DC321" s="514" t="s">
        <v>6261</v>
      </c>
      <c r="DD321" s="514"/>
      <c r="DE321" s="514"/>
      <c r="DF321" s="472"/>
      <c r="DG321" s="472"/>
      <c r="DH321" s="472"/>
      <c r="DI321" s="473"/>
      <c r="DJ321" s="473" t="str">
        <f>VLOOKUP(X321,Hoja1!$A$4:$B$10,2,0)</f>
        <v>BACHILLER</v>
      </c>
      <c r="DK321" s="473" t="str">
        <f>VLOOKUP(S321,Hoja1!$D$4:$F$77,3,0)</f>
        <v>GRADO (3) - MÁX</v>
      </c>
      <c r="DL321" s="1216" t="str">
        <f t="shared" si="1026"/>
        <v>0</v>
      </c>
      <c r="DM321" s="1741" t="str">
        <f t="shared" si="1027"/>
        <v>M</v>
      </c>
      <c r="DN321" s="1741"/>
    </row>
    <row r="322" spans="1:118" s="473" customFormat="1" ht="21.95" customHeight="1">
      <c r="A322" s="510" t="s">
        <v>2834</v>
      </c>
      <c r="B322" s="1390">
        <f t="shared" ca="1" si="1028"/>
        <v>11</v>
      </c>
      <c r="C322" s="1028">
        <v>9163994</v>
      </c>
      <c r="D322" s="1343" t="s">
        <v>4970</v>
      </c>
      <c r="E322" s="1180" t="s">
        <v>4622</v>
      </c>
      <c r="F322" s="1161">
        <v>22301</v>
      </c>
      <c r="G322" s="1180" t="s">
        <v>4621</v>
      </c>
      <c r="H322" s="1161">
        <v>43770</v>
      </c>
      <c r="I322" s="1185">
        <f t="shared" si="981"/>
        <v>5</v>
      </c>
      <c r="J322" s="1177">
        <v>0</v>
      </c>
      <c r="K322" s="1185">
        <f t="shared" si="982"/>
        <v>5</v>
      </c>
      <c r="L322" s="1191" t="s">
        <v>5553</v>
      </c>
      <c r="M322" s="1177"/>
      <c r="N322" s="1177"/>
      <c r="O322" s="1040" t="s">
        <v>5089</v>
      </c>
      <c r="P322" s="1177" t="s">
        <v>5113</v>
      </c>
      <c r="Q322" s="1391">
        <v>7201</v>
      </c>
      <c r="R322" s="1514" t="s">
        <v>5089</v>
      </c>
      <c r="S322" s="1513">
        <v>5</v>
      </c>
      <c r="T322" s="1150">
        <f>IFERROR(VLOOKUP(S322,'TAB OBR'!A:B,2,0),0)</f>
        <v>171</v>
      </c>
      <c r="U322" s="1151">
        <v>0</v>
      </c>
      <c r="V322" s="1150">
        <f t="shared" si="983"/>
        <v>171</v>
      </c>
      <c r="W322" s="1151">
        <f t="shared" si="984"/>
        <v>85.5</v>
      </c>
      <c r="X322" s="1180" t="s">
        <v>2884</v>
      </c>
      <c r="Y322" s="1180" t="s">
        <v>2884</v>
      </c>
      <c r="Z322" s="1180">
        <v>0</v>
      </c>
      <c r="AA322" s="1150">
        <f>ROUND(IF(H322&lt;&gt;"",VLOOKUP(SUM(I322+J322),'CONCEPTOS Y PARAMETROS'!F:G,2,0)*V322,0),2)</f>
        <v>8.5500000000000007</v>
      </c>
      <c r="AB322" s="1150">
        <f>IF(S322&lt;&gt;"",IF(M322="",'CONCEPTOS Y PARAMETROS'!$C$4,0),0)</f>
        <v>130</v>
      </c>
      <c r="AC322" s="1150">
        <f>IF(S322&lt;&gt;"",IF(M322="",'CONCEPTOS Y PARAMETROS'!$C$7*Z322,0),0)</f>
        <v>0</v>
      </c>
      <c r="AD322" s="1150">
        <f>IFERROR(ROUND(VLOOKUP($X322,'CONCEPTOS Y PARAMETROS'!H:I,2,0)*($V322+AA322+AB322+AC322),2),0)</f>
        <v>0</v>
      </c>
      <c r="AE322" s="1150">
        <f t="shared" si="985"/>
        <v>138.55000000000001</v>
      </c>
      <c r="AF322" s="1150">
        <f t="shared" si="986"/>
        <v>4.28</v>
      </c>
      <c r="AG322" s="1150">
        <f t="shared" si="987"/>
        <v>4.2699999999999996</v>
      </c>
      <c r="AH322" s="1150">
        <f t="shared" si="988"/>
        <v>65</v>
      </c>
      <c r="AI322" s="1150">
        <f t="shared" si="989"/>
        <v>65</v>
      </c>
      <c r="AJ322" s="1150">
        <f t="shared" si="990"/>
        <v>0</v>
      </c>
      <c r="AK322" s="1150">
        <f t="shared" si="991"/>
        <v>0</v>
      </c>
      <c r="AL322" s="1151">
        <f t="shared" si="992"/>
        <v>69.28</v>
      </c>
      <c r="AM322" s="1151">
        <f t="shared" si="993"/>
        <v>69.27</v>
      </c>
      <c r="AN322" s="1028">
        <v>0</v>
      </c>
      <c r="AO322" s="1193">
        <f>'CONCEPTOS Y PARAMETROS'!$C$18*AN322</f>
        <v>0</v>
      </c>
      <c r="AP322" s="1028">
        <v>0</v>
      </c>
      <c r="AQ322" s="1193">
        <f>'CONCEPTOS Y PARAMETROS'!$C$21*AP322</f>
        <v>0</v>
      </c>
      <c r="AR322" s="1394">
        <v>0</v>
      </c>
      <c r="AS322" s="1394">
        <v>0</v>
      </c>
      <c r="AT322" s="1394">
        <f t="shared" si="994"/>
        <v>0</v>
      </c>
      <c r="AU322" s="1151">
        <f t="shared" si="995"/>
        <v>309.55</v>
      </c>
      <c r="AV322" s="1178">
        <v>0</v>
      </c>
      <c r="AW322" s="1151">
        <f t="shared" si="996"/>
        <v>0</v>
      </c>
      <c r="AX322" s="1150">
        <f>IF(T322&lt;&gt;"0",(ROUND(IF(A322="EMPLEADO",eval_formula('CONCEPTOS Y PARAMETROS'!$C$8,NOMINA!V322,NOMINA!$AU322,NOMINA!I322+NOMINA!J322),eval_formula('CONCEPTOS Y PARAMETROS'!$D$8,NOMINA!V322,NOMINA!$AU322,NOMINA!I322+NOMINA!J322)),2))*IF(H322&lt;&gt;"",IF(MONTH(H322)=$BR$8,IF(YEAR(H322)&lt;$BT$7,1,0),0)))</f>
        <v>0</v>
      </c>
      <c r="AY322" s="1151">
        <v>180</v>
      </c>
      <c r="AZ322" s="1150">
        <f>IFERROR(VLOOKUP(AY322,'CONCEPTOS Y PARAMETROS'!Y:Z,2,0),0)</f>
        <v>150</v>
      </c>
      <c r="BA322" s="1150">
        <f t="shared" si="997"/>
        <v>2321.63</v>
      </c>
      <c r="BB322" s="1150">
        <f t="shared" si="998"/>
        <v>0</v>
      </c>
      <c r="BC322" s="1028">
        <v>0</v>
      </c>
      <c r="BD322" s="1150" t="str">
        <f t="shared" si="999"/>
        <v>0</v>
      </c>
      <c r="BE322" s="1028">
        <v>0</v>
      </c>
      <c r="BF322" s="1150">
        <f t="shared" si="1000"/>
        <v>0</v>
      </c>
      <c r="BG322" s="1151">
        <v>290</v>
      </c>
      <c r="BH322" s="1151">
        <f t="shared" si="1001"/>
        <v>0</v>
      </c>
      <c r="BI322" s="1151">
        <v>0</v>
      </c>
      <c r="BJ322" s="1151">
        <f t="shared" si="1002"/>
        <v>0</v>
      </c>
      <c r="BK322" s="1151">
        <v>0</v>
      </c>
      <c r="BL322" s="1150">
        <f t="shared" si="1029"/>
        <v>11.43</v>
      </c>
      <c r="BM322" s="1150">
        <f t="shared" si="1030"/>
        <v>1.43</v>
      </c>
      <c r="BN322" s="1150">
        <f t="shared" si="1003"/>
        <v>3.1</v>
      </c>
      <c r="BO322" s="1150">
        <v>0</v>
      </c>
      <c r="BP322" s="1150">
        <v>0</v>
      </c>
      <c r="BQ322" s="1396">
        <f t="shared" si="1004"/>
        <v>15.96</v>
      </c>
      <c r="BR322" s="1150">
        <f t="shared" si="1031"/>
        <v>25.72</v>
      </c>
      <c r="BS322" s="1150">
        <f t="shared" si="1032"/>
        <v>5.71</v>
      </c>
      <c r="BT322" s="1150">
        <f t="shared" si="1005"/>
        <v>6.2</v>
      </c>
      <c r="BU322" s="1150">
        <v>0</v>
      </c>
      <c r="BV322" s="1151">
        <f t="shared" si="1006"/>
        <v>37.630000000000003</v>
      </c>
      <c r="BW322" s="1155">
        <f t="shared" si="1007"/>
        <v>53.59</v>
      </c>
      <c r="BX322" s="1155">
        <f t="shared" si="1008"/>
        <v>580.41</v>
      </c>
      <c r="BY322" s="1151">
        <v>0</v>
      </c>
      <c r="BZ322" s="1151">
        <f t="shared" si="1009"/>
        <v>580.41</v>
      </c>
      <c r="CA322" s="1397">
        <f>'CONCEPTOS Y PARAMETROS'!$A$102</f>
        <v>2120</v>
      </c>
      <c r="CB322" s="1155">
        <f t="shared" si="1010"/>
        <v>138.82</v>
      </c>
      <c r="CC322" s="1156">
        <f t="shared" si="1011"/>
        <v>444.77</v>
      </c>
      <c r="CD322" s="514"/>
      <c r="CE322" s="514"/>
      <c r="CF322" s="520"/>
      <c r="CG322" s="497">
        <f t="shared" si="1012"/>
        <v>138.82</v>
      </c>
      <c r="CH322" s="1711">
        <f t="shared" si="1013"/>
        <v>290</v>
      </c>
      <c r="CI322" s="497">
        <f t="shared" si="1014"/>
        <v>444.77</v>
      </c>
      <c r="CJ322" s="497">
        <f t="shared" si="1015"/>
        <v>444.77</v>
      </c>
      <c r="CK322" s="497">
        <f t="shared" si="1016"/>
        <v>0</v>
      </c>
      <c r="CL322" s="497">
        <f t="shared" si="1017"/>
        <v>0</v>
      </c>
      <c r="CM322" s="497">
        <f t="shared" si="1018"/>
        <v>0</v>
      </c>
      <c r="CN322" s="498">
        <f t="shared" si="1019"/>
        <v>0</v>
      </c>
      <c r="CO322" s="499">
        <v>0</v>
      </c>
      <c r="CP322" s="498">
        <f t="shared" si="1020"/>
        <v>0</v>
      </c>
      <c r="CQ322" s="500">
        <f t="shared" si="1021"/>
        <v>0</v>
      </c>
      <c r="CR322" s="498">
        <f t="shared" si="1022"/>
        <v>0</v>
      </c>
      <c r="CS322" s="498">
        <f t="shared" si="1023"/>
        <v>0</v>
      </c>
      <c r="CT322" s="498">
        <f t="shared" si="1024"/>
        <v>53.59</v>
      </c>
      <c r="CU322" s="498">
        <f t="shared" si="1025"/>
        <v>2120</v>
      </c>
      <c r="CV322" s="1554"/>
      <c r="CW322" s="1343" t="s">
        <v>7090</v>
      </c>
      <c r="CX322" s="1343" t="s">
        <v>7217</v>
      </c>
      <c r="CY322" s="472"/>
      <c r="CZ322" s="514" t="s">
        <v>6502</v>
      </c>
      <c r="DA322" s="514" t="s">
        <v>6173</v>
      </c>
      <c r="DB322" s="1199" t="s">
        <v>6291</v>
      </c>
      <c r="DC322" s="514" t="s">
        <v>6572</v>
      </c>
      <c r="DD322" s="514"/>
      <c r="DE322" s="514"/>
      <c r="DF322" s="472"/>
      <c r="DG322" s="472"/>
      <c r="DH322" s="472"/>
      <c r="DJ322" s="473" t="str">
        <f>VLOOKUP(X322,Hoja1!$A$4:$B$10,2,0)</f>
        <v>BACHILLER</v>
      </c>
      <c r="DK322" s="473" t="str">
        <f>VLOOKUP(S322,Hoja1!$D$4:$F$77,3,0)</f>
        <v>GRADO (5) - MÁX</v>
      </c>
      <c r="DL322" s="1216" t="str">
        <f t="shared" si="1026"/>
        <v>0</v>
      </c>
      <c r="DM322" s="1741" t="str">
        <f t="shared" si="1027"/>
        <v>M</v>
      </c>
      <c r="DN322" s="1741"/>
    </row>
    <row r="323" spans="1:118" s="473" customFormat="1" ht="21.95" customHeight="1">
      <c r="A323" s="510" t="s">
        <v>2834</v>
      </c>
      <c r="B323" s="1390">
        <f t="shared" ca="1" si="1028"/>
        <v>12</v>
      </c>
      <c r="C323" s="1028">
        <v>9167342</v>
      </c>
      <c r="D323" s="1343" t="s">
        <v>4971</v>
      </c>
      <c r="E323" s="1180" t="s">
        <v>4622</v>
      </c>
      <c r="F323" s="1161">
        <v>23630</v>
      </c>
      <c r="G323" s="1180" t="s">
        <v>4621</v>
      </c>
      <c r="H323" s="1161">
        <v>43845</v>
      </c>
      <c r="I323" s="1185">
        <f t="shared" si="981"/>
        <v>5</v>
      </c>
      <c r="J323" s="1177">
        <v>0</v>
      </c>
      <c r="K323" s="1185">
        <f t="shared" si="982"/>
        <v>5</v>
      </c>
      <c r="L323" s="1191" t="s">
        <v>5565</v>
      </c>
      <c r="M323" s="1177"/>
      <c r="N323" s="1177"/>
      <c r="O323" s="1040" t="s">
        <v>5090</v>
      </c>
      <c r="P323" s="1177" t="s">
        <v>5114</v>
      </c>
      <c r="Q323" s="1391">
        <v>1151</v>
      </c>
      <c r="R323" s="1514" t="s">
        <v>5090</v>
      </c>
      <c r="S323" s="1513">
        <v>3</v>
      </c>
      <c r="T323" s="1150">
        <f>IFERROR(VLOOKUP(S323,'TAB OBR'!A:B,2,0),0)</f>
        <v>152</v>
      </c>
      <c r="U323" s="1151">
        <v>0</v>
      </c>
      <c r="V323" s="1150">
        <f t="shared" si="983"/>
        <v>152</v>
      </c>
      <c r="W323" s="1151">
        <f t="shared" si="984"/>
        <v>76</v>
      </c>
      <c r="X323" s="1180" t="s">
        <v>2884</v>
      </c>
      <c r="Y323" s="1180" t="s">
        <v>2884</v>
      </c>
      <c r="Z323" s="1180">
        <v>0</v>
      </c>
      <c r="AA323" s="1150">
        <f>ROUND(IF(H323&lt;&gt;"",VLOOKUP(SUM(I323+J323),'CONCEPTOS Y PARAMETROS'!F:G,2,0)*V323,0),2)</f>
        <v>7.6</v>
      </c>
      <c r="AB323" s="1150">
        <f>IF(S323&lt;&gt;"",IF(M323="",'CONCEPTOS Y PARAMETROS'!$C$4,0),0)</f>
        <v>130</v>
      </c>
      <c r="AC323" s="1150">
        <f>IF(S323&lt;&gt;"",IF(M323="",'CONCEPTOS Y PARAMETROS'!$C$7*Z323,0),0)</f>
        <v>0</v>
      </c>
      <c r="AD323" s="1150">
        <f>IFERROR(ROUND(VLOOKUP($X323,'CONCEPTOS Y PARAMETROS'!H:I,2,0)*($V323+AA323+AB323+AC323),2),0)</f>
        <v>0</v>
      </c>
      <c r="AE323" s="1150">
        <f t="shared" si="985"/>
        <v>137.6</v>
      </c>
      <c r="AF323" s="1150">
        <f t="shared" si="986"/>
        <v>3.8</v>
      </c>
      <c r="AG323" s="1150">
        <f t="shared" si="987"/>
        <v>3.8</v>
      </c>
      <c r="AH323" s="1150">
        <f t="shared" si="988"/>
        <v>65</v>
      </c>
      <c r="AI323" s="1150">
        <f t="shared" si="989"/>
        <v>65</v>
      </c>
      <c r="AJ323" s="1150">
        <f t="shared" si="990"/>
        <v>0</v>
      </c>
      <c r="AK323" s="1150">
        <f t="shared" si="991"/>
        <v>0</v>
      </c>
      <c r="AL323" s="1151">
        <f t="shared" si="992"/>
        <v>68.8</v>
      </c>
      <c r="AM323" s="1151">
        <f t="shared" si="993"/>
        <v>68.8</v>
      </c>
      <c r="AN323" s="1028">
        <v>0</v>
      </c>
      <c r="AO323" s="1193">
        <f>'CONCEPTOS Y PARAMETROS'!$C$18*AN323</f>
        <v>0</v>
      </c>
      <c r="AP323" s="1028">
        <v>0</v>
      </c>
      <c r="AQ323" s="1193">
        <f>'CONCEPTOS Y PARAMETROS'!$C$21*AP323</f>
        <v>0</v>
      </c>
      <c r="AR323" s="1394">
        <v>0</v>
      </c>
      <c r="AS323" s="1394">
        <v>0</v>
      </c>
      <c r="AT323" s="1394">
        <f t="shared" si="994"/>
        <v>0</v>
      </c>
      <c r="AU323" s="1151">
        <f t="shared" si="995"/>
        <v>289.60000000000002</v>
      </c>
      <c r="AV323" s="1178">
        <v>0</v>
      </c>
      <c r="AW323" s="1151">
        <f t="shared" si="996"/>
        <v>0</v>
      </c>
      <c r="AX323" s="1150">
        <f>IF(T323&lt;&gt;"0",(ROUND(IF(A323="EMPLEADO",eval_formula('CONCEPTOS Y PARAMETROS'!$C$8,NOMINA!V323,NOMINA!$AU323,NOMINA!I323+NOMINA!J323),eval_formula('CONCEPTOS Y PARAMETROS'!$D$8,NOMINA!V323,NOMINA!$AU323,NOMINA!I323+NOMINA!J323)),2))*IF(H323&lt;&gt;"",IF(MONTH(H323)=$BR$8,IF(YEAR(H323)&lt;$BT$7,1,0),0)))</f>
        <v>2316.8000000000002</v>
      </c>
      <c r="AY323" s="1151">
        <v>180</v>
      </c>
      <c r="AZ323" s="1150">
        <f>IFERROR(VLOOKUP(AY323,'CONCEPTOS Y PARAMETROS'!Y:Z,2,0),0)</f>
        <v>150</v>
      </c>
      <c r="BA323" s="1150">
        <f t="shared" si="997"/>
        <v>2172</v>
      </c>
      <c r="BB323" s="1150">
        <f t="shared" si="998"/>
        <v>0</v>
      </c>
      <c r="BC323" s="1028">
        <v>0</v>
      </c>
      <c r="BD323" s="1150" t="str">
        <f t="shared" si="999"/>
        <v>0</v>
      </c>
      <c r="BE323" s="1028">
        <v>0</v>
      </c>
      <c r="BF323" s="1150">
        <f t="shared" si="1000"/>
        <v>0</v>
      </c>
      <c r="BG323" s="1151">
        <v>290</v>
      </c>
      <c r="BH323" s="1151">
        <f t="shared" si="1001"/>
        <v>0</v>
      </c>
      <c r="BI323" s="1151">
        <v>0</v>
      </c>
      <c r="BJ323" s="1151">
        <f t="shared" si="1002"/>
        <v>0</v>
      </c>
      <c r="BK323" s="1151">
        <v>0</v>
      </c>
      <c r="BL323" s="1150">
        <f t="shared" si="1029"/>
        <v>10.69</v>
      </c>
      <c r="BM323" s="1150">
        <f t="shared" si="1030"/>
        <v>1.34</v>
      </c>
      <c r="BN323" s="1150">
        <f t="shared" si="1003"/>
        <v>2.9</v>
      </c>
      <c r="BO323" s="1150">
        <v>0</v>
      </c>
      <c r="BP323" s="1150">
        <v>0</v>
      </c>
      <c r="BQ323" s="1396">
        <f t="shared" si="1004"/>
        <v>14.93</v>
      </c>
      <c r="BR323" s="1150">
        <f t="shared" si="1031"/>
        <v>24.06</v>
      </c>
      <c r="BS323" s="1150">
        <f t="shared" si="1032"/>
        <v>5.35</v>
      </c>
      <c r="BT323" s="1150">
        <f t="shared" si="1005"/>
        <v>5.8</v>
      </c>
      <c r="BU323" s="1150">
        <v>0</v>
      </c>
      <c r="BV323" s="1151">
        <f t="shared" si="1006"/>
        <v>35.21</v>
      </c>
      <c r="BW323" s="1155">
        <f t="shared" si="1007"/>
        <v>50.14</v>
      </c>
      <c r="BX323" s="1155">
        <f t="shared" si="1008"/>
        <v>543</v>
      </c>
      <c r="BY323" s="1151">
        <v>0</v>
      </c>
      <c r="BZ323" s="1151">
        <f t="shared" si="1009"/>
        <v>543</v>
      </c>
      <c r="CA323" s="1397">
        <f>'CONCEPTOS Y PARAMETROS'!$A$102</f>
        <v>2120</v>
      </c>
      <c r="CB323" s="1155">
        <f t="shared" si="1010"/>
        <v>129.87</v>
      </c>
      <c r="CC323" s="1156">
        <f t="shared" si="1011"/>
        <v>2751.6</v>
      </c>
      <c r="CD323" s="514"/>
      <c r="CE323" s="514"/>
      <c r="CF323" s="520"/>
      <c r="CG323" s="497">
        <f t="shared" si="1012"/>
        <v>129.87</v>
      </c>
      <c r="CH323" s="1711">
        <f t="shared" si="1013"/>
        <v>290</v>
      </c>
      <c r="CI323" s="497">
        <f t="shared" si="1014"/>
        <v>434.8</v>
      </c>
      <c r="CJ323" s="497">
        <f t="shared" si="1015"/>
        <v>434.8</v>
      </c>
      <c r="CK323" s="497">
        <f t="shared" si="1016"/>
        <v>0</v>
      </c>
      <c r="CL323" s="497">
        <f t="shared" si="1017"/>
        <v>0</v>
      </c>
      <c r="CM323" s="497">
        <f t="shared" si="1018"/>
        <v>0</v>
      </c>
      <c r="CN323" s="498">
        <f t="shared" si="1019"/>
        <v>0</v>
      </c>
      <c r="CO323" s="499">
        <v>0</v>
      </c>
      <c r="CP323" s="498">
        <f t="shared" si="1020"/>
        <v>0</v>
      </c>
      <c r="CQ323" s="500">
        <f t="shared" si="1021"/>
        <v>0</v>
      </c>
      <c r="CR323" s="498">
        <f t="shared" si="1022"/>
        <v>2316.8000000000002</v>
      </c>
      <c r="CS323" s="498">
        <f t="shared" si="1023"/>
        <v>2316.8000000000002</v>
      </c>
      <c r="CT323" s="498">
        <f t="shared" si="1024"/>
        <v>50.14</v>
      </c>
      <c r="CU323" s="498">
        <f t="shared" si="1025"/>
        <v>2120</v>
      </c>
      <c r="CV323" s="1554"/>
      <c r="CW323" s="1343" t="s">
        <v>7296</v>
      </c>
      <c r="CX323" s="1343" t="s">
        <v>6944</v>
      </c>
      <c r="CY323" s="472"/>
      <c r="CZ323" s="514" t="s">
        <v>6503</v>
      </c>
      <c r="DA323" s="514" t="s">
        <v>6173</v>
      </c>
      <c r="DB323" s="514" t="s">
        <v>6202</v>
      </c>
      <c r="DC323" s="514" t="s">
        <v>6271</v>
      </c>
      <c r="DD323" s="514"/>
      <c r="DE323" s="514"/>
      <c r="DF323" s="472"/>
      <c r="DG323" s="472"/>
      <c r="DH323" s="472"/>
      <c r="DJ323" s="473" t="str">
        <f>VLOOKUP(X323,Hoja1!$A$4:$B$10,2,0)</f>
        <v>BACHILLER</v>
      </c>
      <c r="DK323" s="473" t="str">
        <f>VLOOKUP(S323,Hoja1!$D$4:$F$77,3,0)</f>
        <v>GRADO (3) - MÁX</v>
      </c>
      <c r="DL323" s="1216" t="str">
        <f t="shared" si="1026"/>
        <v>0</v>
      </c>
      <c r="DM323" s="1741" t="str">
        <f t="shared" si="1027"/>
        <v>M</v>
      </c>
      <c r="DN323" s="1741"/>
    </row>
    <row r="324" spans="1:118" s="473" customFormat="1" ht="21.95" customHeight="1">
      <c r="A324" s="510" t="s">
        <v>2834</v>
      </c>
      <c r="B324" s="1390">
        <f t="shared" ca="1" si="1028"/>
        <v>13</v>
      </c>
      <c r="C324" s="1028">
        <v>9310477</v>
      </c>
      <c r="D324" s="1343" t="s">
        <v>4973</v>
      </c>
      <c r="E324" s="1180" t="s">
        <v>4622</v>
      </c>
      <c r="F324" s="1161">
        <v>23350</v>
      </c>
      <c r="G324" s="1180" t="s">
        <v>4621</v>
      </c>
      <c r="H324" s="1161">
        <v>44075</v>
      </c>
      <c r="I324" s="1185">
        <f t="shared" si="981"/>
        <v>4</v>
      </c>
      <c r="J324" s="1177">
        <v>0</v>
      </c>
      <c r="K324" s="1185">
        <f t="shared" si="982"/>
        <v>4</v>
      </c>
      <c r="L324" s="1191" t="s">
        <v>5565</v>
      </c>
      <c r="M324" s="1177"/>
      <c r="N324" s="1177"/>
      <c r="O324" s="1040" t="s">
        <v>5090</v>
      </c>
      <c r="P324" s="1177" t="s">
        <v>5115</v>
      </c>
      <c r="Q324" s="1391">
        <v>1151</v>
      </c>
      <c r="R324" s="1514" t="s">
        <v>5090</v>
      </c>
      <c r="S324" s="1513">
        <v>3</v>
      </c>
      <c r="T324" s="1150">
        <f>IFERROR(VLOOKUP(S324,'TAB OBR'!A:B,2,0),0)</f>
        <v>152</v>
      </c>
      <c r="U324" s="1151">
        <v>0</v>
      </c>
      <c r="V324" s="1150">
        <f t="shared" si="983"/>
        <v>152</v>
      </c>
      <c r="W324" s="1151">
        <f t="shared" si="984"/>
        <v>76</v>
      </c>
      <c r="X324" s="1180" t="s">
        <v>2884</v>
      </c>
      <c r="Y324" s="1180" t="s">
        <v>2884</v>
      </c>
      <c r="Z324" s="1180">
        <v>0</v>
      </c>
      <c r="AA324" s="1150">
        <f>ROUND(IF(H324&lt;&gt;"",VLOOKUP(SUM(I324+J324),'CONCEPTOS Y PARAMETROS'!F:G,2,0)*V324,0),2)</f>
        <v>6.08</v>
      </c>
      <c r="AB324" s="1150">
        <f>IF(S324&lt;&gt;"",IF(M324="",'CONCEPTOS Y PARAMETROS'!$C$4,0),0)</f>
        <v>130</v>
      </c>
      <c r="AC324" s="1150">
        <f>IF(S324&lt;&gt;"",IF(M324="",'CONCEPTOS Y PARAMETROS'!$C$7*Z324,0),0)</f>
        <v>0</v>
      </c>
      <c r="AD324" s="1150">
        <f>IFERROR(ROUND(VLOOKUP($X324,'CONCEPTOS Y PARAMETROS'!H:I,2,0)*($V324+AA324+AB324+AC324),2),0)</f>
        <v>0</v>
      </c>
      <c r="AE324" s="1150">
        <f t="shared" si="985"/>
        <v>136.08000000000001</v>
      </c>
      <c r="AF324" s="1150">
        <f t="shared" si="986"/>
        <v>3.04</v>
      </c>
      <c r="AG324" s="1150">
        <f t="shared" si="987"/>
        <v>3.04</v>
      </c>
      <c r="AH324" s="1150">
        <f t="shared" si="988"/>
        <v>65</v>
      </c>
      <c r="AI324" s="1150">
        <f t="shared" si="989"/>
        <v>65</v>
      </c>
      <c r="AJ324" s="1150">
        <f t="shared" si="990"/>
        <v>0</v>
      </c>
      <c r="AK324" s="1150">
        <f t="shared" si="991"/>
        <v>0</v>
      </c>
      <c r="AL324" s="1151">
        <f t="shared" si="992"/>
        <v>68.040000000000006</v>
      </c>
      <c r="AM324" s="1151">
        <f t="shared" si="993"/>
        <v>68.040000000000006</v>
      </c>
      <c r="AN324" s="1028">
        <v>0</v>
      </c>
      <c r="AO324" s="1193">
        <f>'CONCEPTOS Y PARAMETROS'!$C$18*AN324</f>
        <v>0</v>
      </c>
      <c r="AP324" s="1028">
        <v>0</v>
      </c>
      <c r="AQ324" s="1193">
        <f>'CONCEPTOS Y PARAMETROS'!$C$21*AP324</f>
        <v>0</v>
      </c>
      <c r="AR324" s="1394">
        <v>0</v>
      </c>
      <c r="AS324" s="1394">
        <v>0</v>
      </c>
      <c r="AT324" s="1394">
        <f t="shared" si="994"/>
        <v>0</v>
      </c>
      <c r="AU324" s="1151">
        <f t="shared" si="995"/>
        <v>288.08000000000004</v>
      </c>
      <c r="AV324" s="1178">
        <v>0</v>
      </c>
      <c r="AW324" s="1151">
        <f t="shared" si="996"/>
        <v>0</v>
      </c>
      <c r="AX324" s="1150">
        <f>IF(T324&lt;&gt;"0",(ROUND(IF(A324="EMPLEADO",eval_formula('CONCEPTOS Y PARAMETROS'!$C$8,NOMINA!V324,NOMINA!$AU324,NOMINA!I324+NOMINA!J324),eval_formula('CONCEPTOS Y PARAMETROS'!$D$8,NOMINA!V324,NOMINA!$AU324,NOMINA!I324+NOMINA!J324)),2))*IF(H324&lt;&gt;"",IF(MONTH(H324)=$BR$8,IF(YEAR(H324)&lt;$BT$7,1,0),0)))</f>
        <v>0</v>
      </c>
      <c r="AY324" s="1151">
        <v>180</v>
      </c>
      <c r="AZ324" s="1150">
        <f>IFERROR(VLOOKUP(AY324,'CONCEPTOS Y PARAMETROS'!Y:Z,2,0),0)</f>
        <v>150</v>
      </c>
      <c r="BA324" s="1150">
        <f t="shared" si="997"/>
        <v>2160.6</v>
      </c>
      <c r="BB324" s="1150">
        <f t="shared" si="998"/>
        <v>0</v>
      </c>
      <c r="BC324" s="1028">
        <v>0</v>
      </c>
      <c r="BD324" s="1150" t="str">
        <f t="shared" si="999"/>
        <v>0</v>
      </c>
      <c r="BE324" s="1028">
        <v>0</v>
      </c>
      <c r="BF324" s="1150">
        <f t="shared" si="1000"/>
        <v>0</v>
      </c>
      <c r="BG324" s="1151">
        <v>290</v>
      </c>
      <c r="BH324" s="1151">
        <f t="shared" si="1001"/>
        <v>0</v>
      </c>
      <c r="BI324" s="1151">
        <v>0</v>
      </c>
      <c r="BJ324" s="1151">
        <f t="shared" si="1002"/>
        <v>0</v>
      </c>
      <c r="BK324" s="1151">
        <v>0</v>
      </c>
      <c r="BL324" s="1150">
        <f t="shared" si="1029"/>
        <v>10.64</v>
      </c>
      <c r="BM324" s="1150">
        <f t="shared" si="1030"/>
        <v>1.33</v>
      </c>
      <c r="BN324" s="1150">
        <f t="shared" si="1003"/>
        <v>2.88</v>
      </c>
      <c r="BO324" s="1150">
        <v>0</v>
      </c>
      <c r="BP324" s="1150">
        <v>0</v>
      </c>
      <c r="BQ324" s="1396">
        <f t="shared" si="1004"/>
        <v>14.85</v>
      </c>
      <c r="BR324" s="1150">
        <f t="shared" si="1031"/>
        <v>23.93</v>
      </c>
      <c r="BS324" s="1150">
        <f t="shared" si="1032"/>
        <v>5.32</v>
      </c>
      <c r="BT324" s="1150">
        <f t="shared" si="1005"/>
        <v>5.76</v>
      </c>
      <c r="BU324" s="1150">
        <v>0</v>
      </c>
      <c r="BV324" s="1151">
        <f t="shared" si="1006"/>
        <v>35.01</v>
      </c>
      <c r="BW324" s="1155">
        <f t="shared" si="1007"/>
        <v>49.86</v>
      </c>
      <c r="BX324" s="1155">
        <f t="shared" si="1008"/>
        <v>540.15</v>
      </c>
      <c r="BY324" s="1151">
        <v>0</v>
      </c>
      <c r="BZ324" s="1151">
        <f t="shared" si="1009"/>
        <v>540.15</v>
      </c>
      <c r="CA324" s="1397">
        <f>'CONCEPTOS Y PARAMETROS'!$A$102</f>
        <v>2120</v>
      </c>
      <c r="CB324" s="1155">
        <f t="shared" si="1010"/>
        <v>129.19000000000003</v>
      </c>
      <c r="CC324" s="1156">
        <f t="shared" si="1011"/>
        <v>434.04</v>
      </c>
      <c r="CD324" s="514"/>
      <c r="CE324" s="514"/>
      <c r="CF324" s="520"/>
      <c r="CG324" s="497">
        <f t="shared" si="1012"/>
        <v>129.19000000000003</v>
      </c>
      <c r="CH324" s="1711">
        <f t="shared" si="1013"/>
        <v>290</v>
      </c>
      <c r="CI324" s="497">
        <f t="shared" si="1014"/>
        <v>434.04</v>
      </c>
      <c r="CJ324" s="497">
        <f t="shared" si="1015"/>
        <v>434.04</v>
      </c>
      <c r="CK324" s="497">
        <f t="shared" si="1016"/>
        <v>0</v>
      </c>
      <c r="CL324" s="497">
        <f t="shared" si="1017"/>
        <v>0</v>
      </c>
      <c r="CM324" s="497">
        <f t="shared" si="1018"/>
        <v>0</v>
      </c>
      <c r="CN324" s="498">
        <f t="shared" si="1019"/>
        <v>0</v>
      </c>
      <c r="CO324" s="499">
        <v>0</v>
      </c>
      <c r="CP324" s="498">
        <f t="shared" si="1020"/>
        <v>0</v>
      </c>
      <c r="CQ324" s="500">
        <f t="shared" si="1021"/>
        <v>0</v>
      </c>
      <c r="CR324" s="498">
        <f t="shared" si="1022"/>
        <v>0</v>
      </c>
      <c r="CS324" s="498">
        <f t="shared" si="1023"/>
        <v>0</v>
      </c>
      <c r="CT324" s="498">
        <f t="shared" si="1024"/>
        <v>49.86</v>
      </c>
      <c r="CU324" s="498">
        <f t="shared" si="1025"/>
        <v>2120</v>
      </c>
      <c r="CV324" s="1554"/>
      <c r="CW324" s="1343" t="s">
        <v>7184</v>
      </c>
      <c r="CX324" s="1343" t="s">
        <v>7145</v>
      </c>
      <c r="CY324" s="472"/>
      <c r="CZ324" s="514" t="s">
        <v>6505</v>
      </c>
      <c r="DA324" s="514" t="s">
        <v>6173</v>
      </c>
      <c r="DB324" s="514" t="s">
        <v>6185</v>
      </c>
      <c r="DC324" s="514" t="s">
        <v>6541</v>
      </c>
      <c r="DD324" s="514"/>
      <c r="DE324" s="514"/>
      <c r="DF324" s="472"/>
      <c r="DG324" s="472"/>
      <c r="DH324" s="472"/>
      <c r="DJ324" s="473" t="str">
        <f>VLOOKUP(X324,Hoja1!$A$4:$B$10,2,0)</f>
        <v>BACHILLER</v>
      </c>
      <c r="DK324" s="473" t="str">
        <f>VLOOKUP(S324,Hoja1!$D$4:$F$77,3,0)</f>
        <v>GRADO (3) - MÁX</v>
      </c>
      <c r="DL324" s="1216" t="str">
        <f t="shared" si="1026"/>
        <v>0</v>
      </c>
      <c r="DM324" s="1741" t="str">
        <f t="shared" si="1027"/>
        <v>M</v>
      </c>
      <c r="DN324" s="1741"/>
    </row>
    <row r="325" spans="1:118" s="473" customFormat="1" ht="21.95" customHeight="1">
      <c r="A325" s="510" t="s">
        <v>2834</v>
      </c>
      <c r="B325" s="1390">
        <f t="shared" ca="1" si="1028"/>
        <v>14</v>
      </c>
      <c r="C325" s="1028">
        <v>9323739</v>
      </c>
      <c r="D325" s="1343" t="s">
        <v>4974</v>
      </c>
      <c r="E325" s="1180" t="s">
        <v>4622</v>
      </c>
      <c r="F325" s="1161">
        <v>22421</v>
      </c>
      <c r="G325" s="1180" t="s">
        <v>4621</v>
      </c>
      <c r="H325" s="1161">
        <v>39300</v>
      </c>
      <c r="I325" s="1185">
        <f t="shared" si="981"/>
        <v>17</v>
      </c>
      <c r="J325" s="1177">
        <v>0</v>
      </c>
      <c r="K325" s="1185">
        <f t="shared" si="982"/>
        <v>17</v>
      </c>
      <c r="L325" s="1191" t="s">
        <v>5565</v>
      </c>
      <c r="M325" s="1177"/>
      <c r="N325" s="1177"/>
      <c r="O325" s="1040" t="s">
        <v>5084</v>
      </c>
      <c r="P325" s="1177" t="s">
        <v>5116</v>
      </c>
      <c r="Q325" s="1391">
        <v>7152</v>
      </c>
      <c r="R325" s="1514" t="s">
        <v>5084</v>
      </c>
      <c r="S325" s="1513">
        <v>3</v>
      </c>
      <c r="T325" s="1150">
        <f>IFERROR(VLOOKUP(S325,'TAB OBR'!A:B,2,0),0)</f>
        <v>152</v>
      </c>
      <c r="U325" s="1151">
        <v>0</v>
      </c>
      <c r="V325" s="1150">
        <f t="shared" si="983"/>
        <v>152</v>
      </c>
      <c r="W325" s="1151">
        <f t="shared" si="984"/>
        <v>76</v>
      </c>
      <c r="X325" s="1180" t="s">
        <v>2884</v>
      </c>
      <c r="Y325" s="1180" t="s">
        <v>2884</v>
      </c>
      <c r="Z325" s="1180">
        <v>0</v>
      </c>
      <c r="AA325" s="1150">
        <f>ROUND(IF(H325&lt;&gt;"",VLOOKUP(SUM(I325+J325),'CONCEPTOS Y PARAMETROS'!F:G,2,0)*V325,0),2)</f>
        <v>32.22</v>
      </c>
      <c r="AB325" s="1150">
        <f>IF(S325&lt;&gt;"",IF(M325="",'CONCEPTOS Y PARAMETROS'!$C$4,0),0)</f>
        <v>130</v>
      </c>
      <c r="AC325" s="1150">
        <f>IF(S325&lt;&gt;"",IF(M325="",'CONCEPTOS Y PARAMETROS'!$C$7*Z325,0),0)</f>
        <v>0</v>
      </c>
      <c r="AD325" s="1150">
        <f>IFERROR(ROUND(VLOOKUP($X325,'CONCEPTOS Y PARAMETROS'!H:I,2,0)*($V325+AA325+AB325+AC325),2),0)</f>
        <v>0</v>
      </c>
      <c r="AE325" s="1150">
        <f t="shared" si="985"/>
        <v>162.22</v>
      </c>
      <c r="AF325" s="1150">
        <f t="shared" si="986"/>
        <v>16.11</v>
      </c>
      <c r="AG325" s="1150">
        <f t="shared" si="987"/>
        <v>16.11</v>
      </c>
      <c r="AH325" s="1150">
        <f t="shared" si="988"/>
        <v>65</v>
      </c>
      <c r="AI325" s="1150">
        <f t="shared" si="989"/>
        <v>65</v>
      </c>
      <c r="AJ325" s="1150">
        <f t="shared" si="990"/>
        <v>0</v>
      </c>
      <c r="AK325" s="1150">
        <f t="shared" si="991"/>
        <v>0</v>
      </c>
      <c r="AL325" s="1151">
        <f t="shared" si="992"/>
        <v>81.11</v>
      </c>
      <c r="AM325" s="1151">
        <f t="shared" si="993"/>
        <v>81.11</v>
      </c>
      <c r="AN325" s="1028">
        <v>0</v>
      </c>
      <c r="AO325" s="1193">
        <f>'CONCEPTOS Y PARAMETROS'!$C$18*AN325</f>
        <v>0</v>
      </c>
      <c r="AP325" s="1028">
        <v>0</v>
      </c>
      <c r="AQ325" s="1193">
        <f>'CONCEPTOS Y PARAMETROS'!$C$21*AP325</f>
        <v>0</v>
      </c>
      <c r="AR325" s="1394">
        <v>0</v>
      </c>
      <c r="AS325" s="1394">
        <v>0</v>
      </c>
      <c r="AT325" s="1394">
        <f t="shared" si="994"/>
        <v>0</v>
      </c>
      <c r="AU325" s="1151">
        <f t="shared" si="995"/>
        <v>314.22000000000003</v>
      </c>
      <c r="AV325" s="1178">
        <v>0</v>
      </c>
      <c r="AW325" s="1151">
        <f t="shared" si="996"/>
        <v>0</v>
      </c>
      <c r="AX325" s="1150">
        <f>IF(T325&lt;&gt;"0",(ROUND(IF(A325="EMPLEADO",eval_formula('CONCEPTOS Y PARAMETROS'!$C$8,NOMINA!V325,NOMINA!$AU325,NOMINA!I325+NOMINA!J325),eval_formula('CONCEPTOS Y PARAMETROS'!$D$8,NOMINA!V325,NOMINA!$AU325,NOMINA!I325+NOMINA!J325)),2))*IF(H325&lt;&gt;"",IF(MONTH(H325)=$BR$8,IF(YEAR(H325)&lt;$BT$7,1,0),0)))</f>
        <v>0</v>
      </c>
      <c r="AY325" s="1151">
        <v>180</v>
      </c>
      <c r="AZ325" s="1150">
        <f>IFERROR(VLOOKUP(AY325,'CONCEPTOS Y PARAMETROS'!Y:Z,2,0),0)</f>
        <v>150</v>
      </c>
      <c r="BA325" s="1150">
        <f t="shared" si="997"/>
        <v>2356.65</v>
      </c>
      <c r="BB325" s="1150">
        <f t="shared" si="998"/>
        <v>0</v>
      </c>
      <c r="BC325" s="1028">
        <v>0</v>
      </c>
      <c r="BD325" s="1150" t="str">
        <f t="shared" si="999"/>
        <v>0</v>
      </c>
      <c r="BE325" s="1028">
        <v>0</v>
      </c>
      <c r="BF325" s="1150">
        <f t="shared" si="1000"/>
        <v>0</v>
      </c>
      <c r="BG325" s="1151">
        <v>290</v>
      </c>
      <c r="BH325" s="1151">
        <f t="shared" si="1001"/>
        <v>0</v>
      </c>
      <c r="BI325" s="1151">
        <v>0</v>
      </c>
      <c r="BJ325" s="1151">
        <f t="shared" si="1002"/>
        <v>0</v>
      </c>
      <c r="BK325" s="1151">
        <v>0</v>
      </c>
      <c r="BL325" s="1150">
        <f t="shared" si="1029"/>
        <v>11.6</v>
      </c>
      <c r="BM325" s="1150">
        <f t="shared" si="1030"/>
        <v>1.45</v>
      </c>
      <c r="BN325" s="1150">
        <f t="shared" si="1003"/>
        <v>3.14</v>
      </c>
      <c r="BO325" s="1150">
        <v>0</v>
      </c>
      <c r="BP325" s="1150">
        <v>0</v>
      </c>
      <c r="BQ325" s="1396">
        <f t="shared" si="1004"/>
        <v>16.190000000000001</v>
      </c>
      <c r="BR325" s="1150">
        <f t="shared" si="1031"/>
        <v>26.1</v>
      </c>
      <c r="BS325" s="1150">
        <f t="shared" si="1032"/>
        <v>5.8</v>
      </c>
      <c r="BT325" s="1150">
        <f t="shared" si="1005"/>
        <v>6.28</v>
      </c>
      <c r="BU325" s="1150">
        <v>0</v>
      </c>
      <c r="BV325" s="1151">
        <f t="shared" si="1006"/>
        <v>38.18</v>
      </c>
      <c r="BW325" s="1155">
        <f t="shared" si="1007"/>
        <v>54.370000000000005</v>
      </c>
      <c r="BX325" s="1155">
        <f t="shared" si="1008"/>
        <v>589.16</v>
      </c>
      <c r="BY325" s="1151">
        <v>0</v>
      </c>
      <c r="BZ325" s="1151">
        <f t="shared" si="1009"/>
        <v>589.16</v>
      </c>
      <c r="CA325" s="1397">
        <f>'CONCEPTOS Y PARAMETROS'!$A$102</f>
        <v>2120</v>
      </c>
      <c r="CB325" s="1155">
        <f t="shared" si="1010"/>
        <v>140.92000000000002</v>
      </c>
      <c r="CC325" s="1156">
        <f t="shared" si="1011"/>
        <v>447.11</v>
      </c>
      <c r="CD325" s="514"/>
      <c r="CE325" s="514"/>
      <c r="CF325" s="520"/>
      <c r="CG325" s="497">
        <f t="shared" si="1012"/>
        <v>140.92000000000002</v>
      </c>
      <c r="CH325" s="1711">
        <f t="shared" si="1013"/>
        <v>290</v>
      </c>
      <c r="CI325" s="497">
        <f t="shared" si="1014"/>
        <v>447.11</v>
      </c>
      <c r="CJ325" s="497">
        <f t="shared" si="1015"/>
        <v>447.11</v>
      </c>
      <c r="CK325" s="497">
        <f t="shared" si="1016"/>
        <v>0</v>
      </c>
      <c r="CL325" s="497">
        <f t="shared" si="1017"/>
        <v>0</v>
      </c>
      <c r="CM325" s="497">
        <f t="shared" si="1018"/>
        <v>0</v>
      </c>
      <c r="CN325" s="498">
        <f t="shared" si="1019"/>
        <v>0</v>
      </c>
      <c r="CO325" s="499">
        <v>0</v>
      </c>
      <c r="CP325" s="498">
        <f t="shared" si="1020"/>
        <v>0</v>
      </c>
      <c r="CQ325" s="500">
        <f t="shared" si="1021"/>
        <v>0</v>
      </c>
      <c r="CR325" s="498">
        <f t="shared" si="1022"/>
        <v>0</v>
      </c>
      <c r="CS325" s="498">
        <f t="shared" si="1023"/>
        <v>0</v>
      </c>
      <c r="CT325" s="498">
        <f t="shared" si="1024"/>
        <v>54.370000000000005</v>
      </c>
      <c r="CU325" s="498">
        <f t="shared" si="1025"/>
        <v>2120</v>
      </c>
      <c r="CV325" s="1554"/>
      <c r="CW325" s="1343" t="s">
        <v>7297</v>
      </c>
      <c r="CX325" s="1343" t="s">
        <v>6944</v>
      </c>
      <c r="CY325" s="472"/>
      <c r="CZ325" s="1199" t="s">
        <v>6687</v>
      </c>
      <c r="DA325" s="514" t="s">
        <v>6173</v>
      </c>
      <c r="DB325" s="514" t="s">
        <v>6202</v>
      </c>
      <c r="DC325" s="514" t="s">
        <v>6303</v>
      </c>
      <c r="DD325" s="514"/>
      <c r="DE325" s="514"/>
      <c r="DF325" s="472"/>
      <c r="DG325" s="472"/>
      <c r="DH325" s="472"/>
      <c r="DJ325" s="473" t="str">
        <f>VLOOKUP(X325,Hoja1!$A$4:$B$10,2,0)</f>
        <v>BACHILLER</v>
      </c>
      <c r="DK325" s="473" t="str">
        <f>VLOOKUP(S325,Hoja1!$D$4:$F$77,3,0)</f>
        <v>GRADO (3) - MÁX</v>
      </c>
      <c r="DL325" s="1216" t="str">
        <f t="shared" si="1026"/>
        <v>0</v>
      </c>
      <c r="DM325" s="1741" t="str">
        <f t="shared" si="1027"/>
        <v>M</v>
      </c>
      <c r="DN325" s="1741"/>
    </row>
    <row r="326" spans="1:118" s="473" customFormat="1" ht="21.95" customHeight="1">
      <c r="A326" s="510" t="s">
        <v>2834</v>
      </c>
      <c r="B326" s="1390">
        <f t="shared" ca="1" si="1028"/>
        <v>15</v>
      </c>
      <c r="C326" s="1028">
        <v>9325664</v>
      </c>
      <c r="D326" s="1343" t="s">
        <v>4975</v>
      </c>
      <c r="E326" s="1180" t="s">
        <v>4622</v>
      </c>
      <c r="F326" s="1161">
        <v>24797</v>
      </c>
      <c r="G326" s="1180" t="s">
        <v>4620</v>
      </c>
      <c r="H326" s="1161">
        <v>42948</v>
      </c>
      <c r="I326" s="1185">
        <f t="shared" si="981"/>
        <v>7</v>
      </c>
      <c r="J326" s="1177">
        <v>0</v>
      </c>
      <c r="K326" s="1185">
        <f t="shared" si="982"/>
        <v>7</v>
      </c>
      <c r="L326" s="1191" t="s">
        <v>5544</v>
      </c>
      <c r="M326" s="1177"/>
      <c r="N326" s="1177"/>
      <c r="O326" s="1040" t="s">
        <v>5084</v>
      </c>
      <c r="P326" s="1177" t="s">
        <v>5117</v>
      </c>
      <c r="Q326" s="1391">
        <v>7102</v>
      </c>
      <c r="R326" s="1514" t="s">
        <v>5084</v>
      </c>
      <c r="S326" s="1513">
        <v>3</v>
      </c>
      <c r="T326" s="1150">
        <f>IFERROR(VLOOKUP(S326,'TAB OBR'!A:B,2,0),0)</f>
        <v>152</v>
      </c>
      <c r="U326" s="1151">
        <v>0</v>
      </c>
      <c r="V326" s="1150">
        <f t="shared" si="983"/>
        <v>152</v>
      </c>
      <c r="W326" s="1151">
        <f t="shared" si="984"/>
        <v>76</v>
      </c>
      <c r="X326" s="1180" t="s">
        <v>2884</v>
      </c>
      <c r="Y326" s="1180" t="s">
        <v>2884</v>
      </c>
      <c r="Z326" s="1180">
        <v>0</v>
      </c>
      <c r="AA326" s="1150">
        <f>ROUND(IF(H326&lt;&gt;"",VLOOKUP(SUM(I326+J326),'CONCEPTOS Y PARAMETROS'!F:G,2,0)*V326,0),2)</f>
        <v>11.25</v>
      </c>
      <c r="AB326" s="1150">
        <f>IF(S326&lt;&gt;"",IF(M326="",'CONCEPTOS Y PARAMETROS'!$C$4,0),0)</f>
        <v>130</v>
      </c>
      <c r="AC326" s="1150">
        <f>IF(S326&lt;&gt;"",IF(M326="",'CONCEPTOS Y PARAMETROS'!$C$7*Z326,0),0)</f>
        <v>0</v>
      </c>
      <c r="AD326" s="1150">
        <f>IFERROR(ROUND(VLOOKUP($X326,'CONCEPTOS Y PARAMETROS'!H:I,2,0)*($V326+AA326+AB326+AC326),2),0)</f>
        <v>0</v>
      </c>
      <c r="AE326" s="1150">
        <f t="shared" si="985"/>
        <v>141.25</v>
      </c>
      <c r="AF326" s="1150">
        <f t="shared" si="986"/>
        <v>5.63</v>
      </c>
      <c r="AG326" s="1150">
        <f t="shared" si="987"/>
        <v>5.62</v>
      </c>
      <c r="AH326" s="1150">
        <f t="shared" si="988"/>
        <v>65</v>
      </c>
      <c r="AI326" s="1150">
        <f t="shared" si="989"/>
        <v>65</v>
      </c>
      <c r="AJ326" s="1150">
        <f t="shared" si="990"/>
        <v>0</v>
      </c>
      <c r="AK326" s="1150">
        <f t="shared" si="991"/>
        <v>0</v>
      </c>
      <c r="AL326" s="1151">
        <f t="shared" si="992"/>
        <v>70.63</v>
      </c>
      <c r="AM326" s="1151">
        <f t="shared" si="993"/>
        <v>70.62</v>
      </c>
      <c r="AN326" s="1028">
        <v>0</v>
      </c>
      <c r="AO326" s="1193">
        <f>'CONCEPTOS Y PARAMETROS'!$C$18*AN326</f>
        <v>0</v>
      </c>
      <c r="AP326" s="1028">
        <v>0</v>
      </c>
      <c r="AQ326" s="1193">
        <f>'CONCEPTOS Y PARAMETROS'!$C$21*AP326</f>
        <v>0</v>
      </c>
      <c r="AR326" s="1394">
        <v>0</v>
      </c>
      <c r="AS326" s="1394">
        <v>0</v>
      </c>
      <c r="AT326" s="1394">
        <f t="shared" si="994"/>
        <v>0</v>
      </c>
      <c r="AU326" s="1151">
        <f t="shared" si="995"/>
        <v>293.25</v>
      </c>
      <c r="AV326" s="1178">
        <v>0</v>
      </c>
      <c r="AW326" s="1151">
        <f t="shared" si="996"/>
        <v>0</v>
      </c>
      <c r="AX326" s="1150">
        <f>IF(T326&lt;&gt;"0",(ROUND(IF(A326="EMPLEADO",eval_formula('CONCEPTOS Y PARAMETROS'!$C$8,NOMINA!V326,NOMINA!$AU326,NOMINA!I326+NOMINA!J326),eval_formula('CONCEPTOS Y PARAMETROS'!$D$8,NOMINA!V326,NOMINA!$AU326,NOMINA!I326+NOMINA!J326)),2))*IF(H326&lt;&gt;"",IF(MONTH(H326)=$BR$8,IF(YEAR(H326)&lt;$BT$7,1,0),0)))</f>
        <v>0</v>
      </c>
      <c r="AY326" s="1151">
        <v>180</v>
      </c>
      <c r="AZ326" s="1150">
        <f>IFERROR(VLOOKUP(AY326,'CONCEPTOS Y PARAMETROS'!Y:Z,2,0),0)</f>
        <v>150</v>
      </c>
      <c r="BA326" s="1150">
        <f t="shared" si="997"/>
        <v>2199.38</v>
      </c>
      <c r="BB326" s="1150">
        <f t="shared" si="998"/>
        <v>0</v>
      </c>
      <c r="BC326" s="1028">
        <v>0</v>
      </c>
      <c r="BD326" s="1150" t="str">
        <f t="shared" si="999"/>
        <v>0</v>
      </c>
      <c r="BE326" s="1028">
        <v>0</v>
      </c>
      <c r="BF326" s="1150">
        <f t="shared" si="1000"/>
        <v>0</v>
      </c>
      <c r="BG326" s="1151">
        <v>290</v>
      </c>
      <c r="BH326" s="1151">
        <f t="shared" si="1001"/>
        <v>0</v>
      </c>
      <c r="BI326" s="1151">
        <v>0</v>
      </c>
      <c r="BJ326" s="1151">
        <f t="shared" si="1002"/>
        <v>0</v>
      </c>
      <c r="BK326" s="1151">
        <v>0</v>
      </c>
      <c r="BL326" s="1150">
        <f t="shared" si="1029"/>
        <v>10.83</v>
      </c>
      <c r="BM326" s="1150">
        <f t="shared" si="1030"/>
        <v>1.35</v>
      </c>
      <c r="BN326" s="1150">
        <f t="shared" si="1003"/>
        <v>2.93</v>
      </c>
      <c r="BO326" s="1150">
        <v>0</v>
      </c>
      <c r="BP326" s="1150">
        <v>0</v>
      </c>
      <c r="BQ326" s="1396">
        <f t="shared" si="1004"/>
        <v>15.11</v>
      </c>
      <c r="BR326" s="1150">
        <f t="shared" si="1031"/>
        <v>24.36</v>
      </c>
      <c r="BS326" s="1150">
        <f t="shared" si="1032"/>
        <v>5.41</v>
      </c>
      <c r="BT326" s="1150">
        <f t="shared" si="1005"/>
        <v>5.86</v>
      </c>
      <c r="BU326" s="1150">
        <v>0</v>
      </c>
      <c r="BV326" s="1151">
        <f t="shared" si="1006"/>
        <v>35.630000000000003</v>
      </c>
      <c r="BW326" s="1155">
        <f t="shared" si="1007"/>
        <v>50.74</v>
      </c>
      <c r="BX326" s="1155">
        <f t="shared" si="1008"/>
        <v>549.85</v>
      </c>
      <c r="BY326" s="1151">
        <v>0</v>
      </c>
      <c r="BZ326" s="1151">
        <f t="shared" si="1009"/>
        <v>549.85</v>
      </c>
      <c r="CA326" s="1397">
        <f>'CONCEPTOS Y PARAMETROS'!$A$102</f>
        <v>2120</v>
      </c>
      <c r="CB326" s="1155">
        <f t="shared" si="1010"/>
        <v>131.51999999999998</v>
      </c>
      <c r="CC326" s="1156">
        <f t="shared" si="1011"/>
        <v>436.62</v>
      </c>
      <c r="CD326" s="514"/>
      <c r="CE326" s="514"/>
      <c r="CF326" s="520"/>
      <c r="CG326" s="497">
        <f t="shared" si="1012"/>
        <v>131.51999999999998</v>
      </c>
      <c r="CH326" s="1711">
        <f t="shared" si="1013"/>
        <v>290</v>
      </c>
      <c r="CI326" s="497">
        <f t="shared" si="1014"/>
        <v>436.62</v>
      </c>
      <c r="CJ326" s="497">
        <f t="shared" si="1015"/>
        <v>436.62</v>
      </c>
      <c r="CK326" s="497">
        <f t="shared" si="1016"/>
        <v>0</v>
      </c>
      <c r="CL326" s="497">
        <f t="shared" si="1017"/>
        <v>0</v>
      </c>
      <c r="CM326" s="497">
        <f t="shared" si="1018"/>
        <v>0</v>
      </c>
      <c r="CN326" s="498">
        <f t="shared" si="1019"/>
        <v>0</v>
      </c>
      <c r="CO326" s="499">
        <v>0</v>
      </c>
      <c r="CP326" s="498">
        <f t="shared" si="1020"/>
        <v>0</v>
      </c>
      <c r="CQ326" s="500">
        <f t="shared" si="1021"/>
        <v>0</v>
      </c>
      <c r="CR326" s="498">
        <f t="shared" si="1022"/>
        <v>0</v>
      </c>
      <c r="CS326" s="498">
        <f t="shared" si="1023"/>
        <v>0</v>
      </c>
      <c r="CT326" s="498">
        <f t="shared" si="1024"/>
        <v>50.74</v>
      </c>
      <c r="CU326" s="498">
        <f t="shared" si="1025"/>
        <v>2120</v>
      </c>
      <c r="CV326" s="1554"/>
      <c r="CW326" s="1343" t="s">
        <v>7298</v>
      </c>
      <c r="CX326" s="1343" t="s">
        <v>7299</v>
      </c>
      <c r="CY326" s="472"/>
      <c r="CZ326" s="1199" t="s">
        <v>6667</v>
      </c>
      <c r="DA326" s="514" t="s">
        <v>6173</v>
      </c>
      <c r="DB326" s="514" t="s">
        <v>6219</v>
      </c>
      <c r="DC326" s="514" t="s">
        <v>6495</v>
      </c>
      <c r="DD326" s="514"/>
      <c r="DE326" s="514"/>
      <c r="DF326" s="472"/>
      <c r="DG326" s="472"/>
      <c r="DH326" s="472"/>
      <c r="DJ326" s="473" t="str">
        <f>VLOOKUP(X326,Hoja1!$A$4:$B$10,2,0)</f>
        <v>BACHILLER</v>
      </c>
      <c r="DK326" s="473" t="str">
        <f>VLOOKUP(S326,Hoja1!$D$4:$F$77,3,0)</f>
        <v>GRADO (3) - MÁX</v>
      </c>
      <c r="DL326" s="1216" t="str">
        <f t="shared" si="1026"/>
        <v>0</v>
      </c>
      <c r="DM326" s="1741" t="str">
        <f t="shared" si="1027"/>
        <v>F</v>
      </c>
      <c r="DN326" s="1741"/>
    </row>
    <row r="327" spans="1:118" s="473" customFormat="1" ht="21.95" customHeight="1">
      <c r="A327" s="510" t="s">
        <v>2834</v>
      </c>
      <c r="B327" s="1390">
        <f t="shared" ca="1" si="1028"/>
        <v>16</v>
      </c>
      <c r="C327" s="1028">
        <v>9328045</v>
      </c>
      <c r="D327" s="1343" t="s">
        <v>4976</v>
      </c>
      <c r="E327" s="1180" t="s">
        <v>4622</v>
      </c>
      <c r="F327" s="1161">
        <v>23056</v>
      </c>
      <c r="G327" s="1180" t="s">
        <v>4621</v>
      </c>
      <c r="H327" s="1161">
        <v>44212</v>
      </c>
      <c r="I327" s="1185">
        <f t="shared" si="981"/>
        <v>4</v>
      </c>
      <c r="J327" s="1177">
        <v>0</v>
      </c>
      <c r="K327" s="1185">
        <f t="shared" si="982"/>
        <v>4</v>
      </c>
      <c r="L327" s="1191" t="s">
        <v>5565</v>
      </c>
      <c r="M327" s="1177"/>
      <c r="N327" s="1177"/>
      <c r="O327" s="1040" t="s">
        <v>5084</v>
      </c>
      <c r="P327" s="1177" t="s">
        <v>5118</v>
      </c>
      <c r="Q327" s="1391">
        <v>7102</v>
      </c>
      <c r="R327" s="1514" t="s">
        <v>5084</v>
      </c>
      <c r="S327" s="1513">
        <v>3</v>
      </c>
      <c r="T327" s="1150">
        <f>IFERROR(VLOOKUP(S327,'TAB OBR'!A:B,2,0),0)</f>
        <v>152</v>
      </c>
      <c r="U327" s="1151">
        <v>0</v>
      </c>
      <c r="V327" s="1150">
        <f t="shared" si="983"/>
        <v>152</v>
      </c>
      <c r="W327" s="1151">
        <f t="shared" si="984"/>
        <v>76</v>
      </c>
      <c r="X327" s="1180" t="s">
        <v>2884</v>
      </c>
      <c r="Y327" s="1180" t="s">
        <v>2884</v>
      </c>
      <c r="Z327" s="1180">
        <v>0</v>
      </c>
      <c r="AA327" s="1150">
        <f>ROUND(IF(H327&lt;&gt;"",VLOOKUP(SUM(I327+J327),'CONCEPTOS Y PARAMETROS'!F:G,2,0)*V327,0),2)</f>
        <v>6.08</v>
      </c>
      <c r="AB327" s="1150">
        <f>IF(S327&lt;&gt;"",IF(M327="",'CONCEPTOS Y PARAMETROS'!$C$4,0),0)</f>
        <v>130</v>
      </c>
      <c r="AC327" s="1150">
        <f>IF(S327&lt;&gt;"",IF(M327="",'CONCEPTOS Y PARAMETROS'!$C$7*Z327,0),0)</f>
        <v>0</v>
      </c>
      <c r="AD327" s="1150">
        <f>IFERROR(ROUND(VLOOKUP($X327,'CONCEPTOS Y PARAMETROS'!H:I,2,0)*($V327+AA327+AB327+AC327),2),0)</f>
        <v>0</v>
      </c>
      <c r="AE327" s="1150">
        <f t="shared" si="985"/>
        <v>136.08000000000001</v>
      </c>
      <c r="AF327" s="1150">
        <f t="shared" si="986"/>
        <v>3.04</v>
      </c>
      <c r="AG327" s="1150">
        <f t="shared" si="987"/>
        <v>3.04</v>
      </c>
      <c r="AH327" s="1150">
        <f t="shared" si="988"/>
        <v>65</v>
      </c>
      <c r="AI327" s="1150">
        <f t="shared" si="989"/>
        <v>65</v>
      </c>
      <c r="AJ327" s="1150">
        <f t="shared" si="990"/>
        <v>0</v>
      </c>
      <c r="AK327" s="1150">
        <f t="shared" si="991"/>
        <v>0</v>
      </c>
      <c r="AL327" s="1151">
        <f t="shared" si="992"/>
        <v>68.040000000000006</v>
      </c>
      <c r="AM327" s="1151">
        <f t="shared" si="993"/>
        <v>68.040000000000006</v>
      </c>
      <c r="AN327" s="1028">
        <v>0</v>
      </c>
      <c r="AO327" s="1193">
        <f>'CONCEPTOS Y PARAMETROS'!$C$18*AN327</f>
        <v>0</v>
      </c>
      <c r="AP327" s="1028">
        <v>0</v>
      </c>
      <c r="AQ327" s="1193">
        <f>'CONCEPTOS Y PARAMETROS'!$C$21*AP327</f>
        <v>0</v>
      </c>
      <c r="AR327" s="1394">
        <v>0</v>
      </c>
      <c r="AS327" s="1394">
        <v>0</v>
      </c>
      <c r="AT327" s="1394">
        <f t="shared" si="994"/>
        <v>0</v>
      </c>
      <c r="AU327" s="1151">
        <f t="shared" si="995"/>
        <v>288.08000000000004</v>
      </c>
      <c r="AV327" s="1178">
        <v>0</v>
      </c>
      <c r="AW327" s="1151">
        <f t="shared" si="996"/>
        <v>0</v>
      </c>
      <c r="AX327" s="1150">
        <f>IF(T327&lt;&gt;"0",(ROUND(IF(A327="EMPLEADO",eval_formula('CONCEPTOS Y PARAMETROS'!$C$8,NOMINA!V327,NOMINA!$AU327,NOMINA!I327+NOMINA!J327),eval_formula('CONCEPTOS Y PARAMETROS'!$D$8,NOMINA!V327,NOMINA!$AU327,NOMINA!I327+NOMINA!J327)),2))*IF(H327&lt;&gt;"",IF(MONTH(H327)=$BR$8,IF(YEAR(H327)&lt;$BT$7,1,0),0)))</f>
        <v>2304.64</v>
      </c>
      <c r="AY327" s="1151">
        <v>180</v>
      </c>
      <c r="AZ327" s="1150">
        <f>IFERROR(VLOOKUP(AY327,'CONCEPTOS Y PARAMETROS'!Y:Z,2,0),0)</f>
        <v>150</v>
      </c>
      <c r="BA327" s="1150">
        <f t="shared" si="997"/>
        <v>2160.6</v>
      </c>
      <c r="BB327" s="1150">
        <f t="shared" si="998"/>
        <v>0</v>
      </c>
      <c r="BC327" s="1028">
        <v>0</v>
      </c>
      <c r="BD327" s="1150" t="str">
        <f t="shared" si="999"/>
        <v>0</v>
      </c>
      <c r="BE327" s="1028">
        <v>0</v>
      </c>
      <c r="BF327" s="1150">
        <f t="shared" si="1000"/>
        <v>0</v>
      </c>
      <c r="BG327" s="1151">
        <v>290</v>
      </c>
      <c r="BH327" s="1151">
        <f t="shared" si="1001"/>
        <v>0</v>
      </c>
      <c r="BI327" s="1151">
        <v>0</v>
      </c>
      <c r="BJ327" s="1151">
        <f t="shared" si="1002"/>
        <v>0</v>
      </c>
      <c r="BK327" s="1151">
        <v>0</v>
      </c>
      <c r="BL327" s="1150">
        <f t="shared" si="1029"/>
        <v>10.64</v>
      </c>
      <c r="BM327" s="1150">
        <f t="shared" si="1030"/>
        <v>1.33</v>
      </c>
      <c r="BN327" s="1150">
        <f t="shared" si="1003"/>
        <v>2.88</v>
      </c>
      <c r="BO327" s="1150">
        <v>0</v>
      </c>
      <c r="BP327" s="1150">
        <v>0</v>
      </c>
      <c r="BQ327" s="1396">
        <f t="shared" si="1004"/>
        <v>14.85</v>
      </c>
      <c r="BR327" s="1150">
        <f t="shared" si="1031"/>
        <v>23.93</v>
      </c>
      <c r="BS327" s="1150">
        <f t="shared" si="1032"/>
        <v>5.32</v>
      </c>
      <c r="BT327" s="1150">
        <f t="shared" si="1005"/>
        <v>5.76</v>
      </c>
      <c r="BU327" s="1150">
        <v>0</v>
      </c>
      <c r="BV327" s="1151">
        <f t="shared" si="1006"/>
        <v>35.01</v>
      </c>
      <c r="BW327" s="1155">
        <f t="shared" si="1007"/>
        <v>49.86</v>
      </c>
      <c r="BX327" s="1155">
        <f t="shared" si="1008"/>
        <v>540.15</v>
      </c>
      <c r="BY327" s="1151">
        <v>0</v>
      </c>
      <c r="BZ327" s="1151">
        <f t="shared" si="1009"/>
        <v>540.15</v>
      </c>
      <c r="CA327" s="1397">
        <f>'CONCEPTOS Y PARAMETROS'!$A$102</f>
        <v>2120</v>
      </c>
      <c r="CB327" s="1155">
        <f t="shared" si="1010"/>
        <v>129.19000000000003</v>
      </c>
      <c r="CC327" s="1156">
        <f t="shared" si="1011"/>
        <v>2738.68</v>
      </c>
      <c r="CD327" s="514"/>
      <c r="CE327" s="514"/>
      <c r="CF327" s="520"/>
      <c r="CG327" s="497">
        <f t="shared" si="1012"/>
        <v>129.19000000000003</v>
      </c>
      <c r="CH327" s="1711">
        <f t="shared" si="1013"/>
        <v>290</v>
      </c>
      <c r="CI327" s="497">
        <f t="shared" si="1014"/>
        <v>434.04</v>
      </c>
      <c r="CJ327" s="497">
        <f t="shared" si="1015"/>
        <v>434.04</v>
      </c>
      <c r="CK327" s="497">
        <f t="shared" si="1016"/>
        <v>0</v>
      </c>
      <c r="CL327" s="497">
        <f t="shared" si="1017"/>
        <v>0</v>
      </c>
      <c r="CM327" s="497">
        <f t="shared" si="1018"/>
        <v>0</v>
      </c>
      <c r="CN327" s="498">
        <f t="shared" si="1019"/>
        <v>0</v>
      </c>
      <c r="CO327" s="499">
        <v>0</v>
      </c>
      <c r="CP327" s="498">
        <f t="shared" si="1020"/>
        <v>0</v>
      </c>
      <c r="CQ327" s="500">
        <f t="shared" si="1021"/>
        <v>0</v>
      </c>
      <c r="CR327" s="498">
        <f t="shared" si="1022"/>
        <v>2304.64</v>
      </c>
      <c r="CS327" s="498">
        <f t="shared" si="1023"/>
        <v>2304.64</v>
      </c>
      <c r="CT327" s="498">
        <f t="shared" si="1024"/>
        <v>49.86</v>
      </c>
      <c r="CU327" s="498">
        <f t="shared" si="1025"/>
        <v>2120</v>
      </c>
      <c r="CV327" s="1554"/>
      <c r="CW327" s="1343" t="s">
        <v>7214</v>
      </c>
      <c r="CX327" s="1343" t="s">
        <v>6944</v>
      </c>
      <c r="CY327" s="472"/>
      <c r="CZ327" s="1199" t="s">
        <v>6688</v>
      </c>
      <c r="DA327" s="514" t="s">
        <v>6173</v>
      </c>
      <c r="DB327" s="514" t="s">
        <v>6219</v>
      </c>
      <c r="DC327" s="514" t="s">
        <v>6271</v>
      </c>
      <c r="DD327" s="514"/>
      <c r="DE327" s="514"/>
      <c r="DF327" s="472"/>
      <c r="DG327" s="472"/>
      <c r="DH327" s="472"/>
      <c r="DJ327" s="473" t="str">
        <f>VLOOKUP(X327,Hoja1!$A$4:$B$10,2,0)</f>
        <v>BACHILLER</v>
      </c>
      <c r="DK327" s="473" t="str">
        <f>VLOOKUP(S327,Hoja1!$D$4:$F$77,3,0)</f>
        <v>GRADO (3) - MÁX</v>
      </c>
      <c r="DL327" s="1216" t="str">
        <f t="shared" si="1026"/>
        <v>0</v>
      </c>
      <c r="DM327" s="1741" t="str">
        <f t="shared" si="1027"/>
        <v>M</v>
      </c>
      <c r="DN327" s="1741"/>
    </row>
    <row r="328" spans="1:118" s="473" customFormat="1" ht="21.95" customHeight="1">
      <c r="A328" s="510" t="s">
        <v>2834</v>
      </c>
      <c r="B328" s="1390">
        <f t="shared" ca="1" si="1028"/>
        <v>17</v>
      </c>
      <c r="C328" s="1028">
        <v>10178456</v>
      </c>
      <c r="D328" s="1343" t="s">
        <v>4972</v>
      </c>
      <c r="E328" s="1180" t="s">
        <v>4622</v>
      </c>
      <c r="F328" s="1161">
        <v>24850</v>
      </c>
      <c r="G328" s="1180" t="s">
        <v>4620</v>
      </c>
      <c r="H328" s="1161">
        <v>44287</v>
      </c>
      <c r="I328" s="1185">
        <f t="shared" si="981"/>
        <v>3</v>
      </c>
      <c r="J328" s="1177">
        <v>0</v>
      </c>
      <c r="K328" s="1185">
        <f t="shared" si="982"/>
        <v>3</v>
      </c>
      <c r="L328" s="1191" t="s">
        <v>5541</v>
      </c>
      <c r="M328" s="1177"/>
      <c r="N328" s="1177"/>
      <c r="O328" s="1040" t="s">
        <v>5088</v>
      </c>
      <c r="P328" s="1177" t="s">
        <v>5119</v>
      </c>
      <c r="Q328" s="1391">
        <v>7102</v>
      </c>
      <c r="R328" s="1514" t="s">
        <v>5088</v>
      </c>
      <c r="S328" s="1513">
        <v>1</v>
      </c>
      <c r="T328" s="1150">
        <f>IFERROR(VLOOKUP(S328,'TAB OBR'!A:B,2,0),0)</f>
        <v>130</v>
      </c>
      <c r="U328" s="1151">
        <v>0</v>
      </c>
      <c r="V328" s="1150">
        <f t="shared" si="983"/>
        <v>130</v>
      </c>
      <c r="W328" s="1151">
        <f t="shared" si="984"/>
        <v>65</v>
      </c>
      <c r="X328" s="1180" t="s">
        <v>2884</v>
      </c>
      <c r="Y328" s="1180" t="s">
        <v>2884</v>
      </c>
      <c r="Z328" s="1180">
        <v>0</v>
      </c>
      <c r="AA328" s="1150">
        <f>ROUND(IF(H328&lt;&gt;"",VLOOKUP(SUM(I328+J328),'CONCEPTOS Y PARAMETROS'!F:G,2,0)*V328,0),2)</f>
        <v>3.9</v>
      </c>
      <c r="AB328" s="1150">
        <f>IF(S328&lt;&gt;"",IF(M328="",'CONCEPTOS Y PARAMETROS'!$C$4,0),0)</f>
        <v>130</v>
      </c>
      <c r="AC328" s="1150">
        <f>IF(S328&lt;&gt;"",IF(M328="",'CONCEPTOS Y PARAMETROS'!$C$7*Z328,0),0)</f>
        <v>0</v>
      </c>
      <c r="AD328" s="1150">
        <f>IFERROR(ROUND(VLOOKUP($X328,'CONCEPTOS Y PARAMETROS'!H:I,2,0)*($V328+AA328+AB328+AC328),2),0)</f>
        <v>0</v>
      </c>
      <c r="AE328" s="1150">
        <f t="shared" si="985"/>
        <v>133.9</v>
      </c>
      <c r="AF328" s="1150">
        <f t="shared" si="986"/>
        <v>1.95</v>
      </c>
      <c r="AG328" s="1150">
        <f t="shared" si="987"/>
        <v>1.95</v>
      </c>
      <c r="AH328" s="1150">
        <f t="shared" si="988"/>
        <v>65</v>
      </c>
      <c r="AI328" s="1150">
        <f t="shared" si="989"/>
        <v>65</v>
      </c>
      <c r="AJ328" s="1150">
        <f t="shared" si="990"/>
        <v>0</v>
      </c>
      <c r="AK328" s="1150">
        <f t="shared" si="991"/>
        <v>0</v>
      </c>
      <c r="AL328" s="1151">
        <f t="shared" si="992"/>
        <v>66.95</v>
      </c>
      <c r="AM328" s="1151">
        <f t="shared" si="993"/>
        <v>66.95</v>
      </c>
      <c r="AN328" s="1028">
        <v>0</v>
      </c>
      <c r="AO328" s="1193">
        <f>'CONCEPTOS Y PARAMETROS'!$C$18*AN328</f>
        <v>0</v>
      </c>
      <c r="AP328" s="1028">
        <v>0</v>
      </c>
      <c r="AQ328" s="1193">
        <f>'CONCEPTOS Y PARAMETROS'!$C$21*AP328</f>
        <v>0</v>
      </c>
      <c r="AR328" s="1394">
        <v>0</v>
      </c>
      <c r="AS328" s="1394">
        <v>0</v>
      </c>
      <c r="AT328" s="1394">
        <f t="shared" si="994"/>
        <v>0</v>
      </c>
      <c r="AU328" s="1151">
        <f t="shared" si="995"/>
        <v>263.89999999999998</v>
      </c>
      <c r="AV328" s="1178">
        <v>0</v>
      </c>
      <c r="AW328" s="1151">
        <f t="shared" si="996"/>
        <v>0</v>
      </c>
      <c r="AX328" s="1150">
        <f>IF(T328&lt;&gt;"0",(ROUND(IF(A328="EMPLEADO",eval_formula('CONCEPTOS Y PARAMETROS'!$C$8,NOMINA!V328,NOMINA!$AU328,NOMINA!I328+NOMINA!J328),eval_formula('CONCEPTOS Y PARAMETROS'!$D$8,NOMINA!V328,NOMINA!$AU328,NOMINA!I328+NOMINA!J328)),2))*IF(H328&lt;&gt;"",IF(MONTH(H328)=$BR$8,IF(YEAR(H328)&lt;$BT$7,1,0),0)))</f>
        <v>0</v>
      </c>
      <c r="AY328" s="1151">
        <v>180</v>
      </c>
      <c r="AZ328" s="1150">
        <f>IFERROR(VLOOKUP(AY328,'CONCEPTOS Y PARAMETROS'!Y:Z,2,0),0)</f>
        <v>150</v>
      </c>
      <c r="BA328" s="1150">
        <f t="shared" si="997"/>
        <v>1979.25</v>
      </c>
      <c r="BB328" s="1150">
        <f t="shared" si="998"/>
        <v>0</v>
      </c>
      <c r="BC328" s="1028">
        <v>0</v>
      </c>
      <c r="BD328" s="1150" t="str">
        <f t="shared" si="999"/>
        <v>0</v>
      </c>
      <c r="BE328" s="1028">
        <v>0</v>
      </c>
      <c r="BF328" s="1150">
        <f t="shared" si="1000"/>
        <v>0</v>
      </c>
      <c r="BG328" s="1151">
        <v>290</v>
      </c>
      <c r="BH328" s="1151">
        <f t="shared" si="1001"/>
        <v>0</v>
      </c>
      <c r="BI328" s="1151">
        <v>0</v>
      </c>
      <c r="BJ328" s="1151">
        <f t="shared" si="1002"/>
        <v>0</v>
      </c>
      <c r="BK328" s="1151">
        <v>0</v>
      </c>
      <c r="BL328" s="1150">
        <f t="shared" si="1029"/>
        <v>9.74</v>
      </c>
      <c r="BM328" s="1150">
        <f t="shared" si="1030"/>
        <v>1.22</v>
      </c>
      <c r="BN328" s="1150">
        <f t="shared" si="1003"/>
        <v>2.64</v>
      </c>
      <c r="BO328" s="1150">
        <v>0</v>
      </c>
      <c r="BP328" s="1150">
        <v>0</v>
      </c>
      <c r="BQ328" s="1396">
        <f t="shared" si="1004"/>
        <v>13.6</v>
      </c>
      <c r="BR328" s="1150">
        <f t="shared" si="1031"/>
        <v>21.92</v>
      </c>
      <c r="BS328" s="1150">
        <f t="shared" si="1032"/>
        <v>4.87</v>
      </c>
      <c r="BT328" s="1150">
        <f t="shared" si="1005"/>
        <v>5.28</v>
      </c>
      <c r="BU328" s="1150">
        <v>0</v>
      </c>
      <c r="BV328" s="1151">
        <f t="shared" si="1006"/>
        <v>32.07</v>
      </c>
      <c r="BW328" s="1155">
        <f t="shared" si="1007"/>
        <v>45.67</v>
      </c>
      <c r="BX328" s="1155">
        <f t="shared" si="1008"/>
        <v>494.81</v>
      </c>
      <c r="BY328" s="1151">
        <v>0</v>
      </c>
      <c r="BZ328" s="1151">
        <f t="shared" si="1009"/>
        <v>494.81</v>
      </c>
      <c r="CA328" s="1397">
        <f>'CONCEPTOS Y PARAMETROS'!$A$102</f>
        <v>2120</v>
      </c>
      <c r="CB328" s="1155">
        <f t="shared" si="1010"/>
        <v>118.35</v>
      </c>
      <c r="CC328" s="1156">
        <f t="shared" si="1011"/>
        <v>421.95</v>
      </c>
      <c r="CD328" s="514"/>
      <c r="CE328" s="514"/>
      <c r="CF328" s="520"/>
      <c r="CG328" s="497">
        <f t="shared" si="1012"/>
        <v>118.35</v>
      </c>
      <c r="CH328" s="1711">
        <f t="shared" si="1013"/>
        <v>290</v>
      </c>
      <c r="CI328" s="497">
        <f t="shared" si="1014"/>
        <v>421.95</v>
      </c>
      <c r="CJ328" s="497">
        <f t="shared" si="1015"/>
        <v>421.95</v>
      </c>
      <c r="CK328" s="497">
        <f t="shared" si="1016"/>
        <v>0</v>
      </c>
      <c r="CL328" s="497">
        <f t="shared" si="1017"/>
        <v>0</v>
      </c>
      <c r="CM328" s="497">
        <f t="shared" si="1018"/>
        <v>0</v>
      </c>
      <c r="CN328" s="498">
        <f t="shared" si="1019"/>
        <v>0</v>
      </c>
      <c r="CO328" s="499">
        <v>0</v>
      </c>
      <c r="CP328" s="498">
        <f t="shared" si="1020"/>
        <v>0</v>
      </c>
      <c r="CQ328" s="500">
        <f t="shared" si="1021"/>
        <v>0</v>
      </c>
      <c r="CR328" s="498">
        <f t="shared" si="1022"/>
        <v>0</v>
      </c>
      <c r="CS328" s="498">
        <f t="shared" si="1023"/>
        <v>0</v>
      </c>
      <c r="CT328" s="498">
        <f t="shared" si="1024"/>
        <v>45.67</v>
      </c>
      <c r="CU328" s="498">
        <f t="shared" si="1025"/>
        <v>2120</v>
      </c>
      <c r="CV328" s="1554"/>
      <c r="CW328" s="1343" t="s">
        <v>7300</v>
      </c>
      <c r="CX328" s="1343" t="s">
        <v>7301</v>
      </c>
      <c r="CY328" s="472"/>
      <c r="CZ328" s="514" t="s">
        <v>6504</v>
      </c>
      <c r="DA328" s="1199" t="s">
        <v>6241</v>
      </c>
      <c r="DB328" s="514" t="s">
        <v>6238</v>
      </c>
      <c r="DC328" s="514" t="s">
        <v>6587</v>
      </c>
      <c r="DD328" s="514"/>
      <c r="DE328" s="514"/>
      <c r="DF328" s="472"/>
      <c r="DG328" s="472"/>
      <c r="DH328" s="472"/>
      <c r="DJ328" s="473" t="str">
        <f>VLOOKUP(X328,Hoja1!$A$4:$B$10,2,0)</f>
        <v>BACHILLER</v>
      </c>
      <c r="DK328" s="473" t="str">
        <f>VLOOKUP(S328,Hoja1!$D$4:$F$77,3,0)</f>
        <v>GRADO (1) - MIN</v>
      </c>
      <c r="DL328" s="1216" t="str">
        <f t="shared" si="1026"/>
        <v>0</v>
      </c>
      <c r="DM328" s="1741" t="str">
        <f t="shared" si="1027"/>
        <v>F</v>
      </c>
      <c r="DN328" s="1741"/>
    </row>
    <row r="329" spans="1:118" s="473" customFormat="1" ht="21.95" customHeight="1">
      <c r="A329" s="510" t="s">
        <v>2834</v>
      </c>
      <c r="B329" s="1390">
        <f t="shared" ca="1" si="1028"/>
        <v>18</v>
      </c>
      <c r="C329" s="1028">
        <v>10317435</v>
      </c>
      <c r="D329" s="1343" t="s">
        <v>4977</v>
      </c>
      <c r="E329" s="1180" t="s">
        <v>4622</v>
      </c>
      <c r="F329" s="1161">
        <v>24767</v>
      </c>
      <c r="G329" s="1180" t="s">
        <v>4620</v>
      </c>
      <c r="H329" s="1161">
        <v>39559</v>
      </c>
      <c r="I329" s="1185">
        <f t="shared" si="981"/>
        <v>16</v>
      </c>
      <c r="J329" s="1177">
        <v>0</v>
      </c>
      <c r="K329" s="1185">
        <f t="shared" si="982"/>
        <v>16</v>
      </c>
      <c r="L329" s="1191" t="s">
        <v>5543</v>
      </c>
      <c r="M329" s="1177"/>
      <c r="N329" s="1177"/>
      <c r="O329" s="1040" t="s">
        <v>5088</v>
      </c>
      <c r="P329" s="1177" t="s">
        <v>5120</v>
      </c>
      <c r="Q329" s="1391">
        <v>7102</v>
      </c>
      <c r="R329" s="1514" t="s">
        <v>5088</v>
      </c>
      <c r="S329" s="1513">
        <v>1</v>
      </c>
      <c r="T329" s="1150">
        <f>IFERROR(VLOOKUP(S329,'TAB OBR'!A:B,2,0),0)</f>
        <v>130</v>
      </c>
      <c r="U329" s="1151">
        <v>0</v>
      </c>
      <c r="V329" s="1150">
        <f t="shared" si="983"/>
        <v>130</v>
      </c>
      <c r="W329" s="1151">
        <f t="shared" si="984"/>
        <v>65</v>
      </c>
      <c r="X329" s="1180" t="s">
        <v>2884</v>
      </c>
      <c r="Y329" s="1180" t="s">
        <v>2884</v>
      </c>
      <c r="Z329" s="1180">
        <v>0</v>
      </c>
      <c r="AA329" s="1150">
        <f>ROUND(IF(H329&lt;&gt;"",VLOOKUP(SUM(I329+J329),'CONCEPTOS Y PARAMETROS'!F:G,2,0)*V329,0),2)</f>
        <v>25.48</v>
      </c>
      <c r="AB329" s="1150">
        <f>IF(S329&lt;&gt;"",IF(M329="",'CONCEPTOS Y PARAMETROS'!$C$4,0),0)</f>
        <v>130</v>
      </c>
      <c r="AC329" s="1150">
        <f>IF(S329&lt;&gt;"",IF(M329="",'CONCEPTOS Y PARAMETROS'!$C$7*Z329,0),0)</f>
        <v>0</v>
      </c>
      <c r="AD329" s="1150">
        <f>IFERROR(ROUND(VLOOKUP($X329,'CONCEPTOS Y PARAMETROS'!H:I,2,0)*($V329+AA329+AB329+AC329),2),0)</f>
        <v>0</v>
      </c>
      <c r="AE329" s="1150">
        <f t="shared" si="985"/>
        <v>155.47999999999999</v>
      </c>
      <c r="AF329" s="1150">
        <f t="shared" si="986"/>
        <v>12.74</v>
      </c>
      <c r="AG329" s="1150">
        <f t="shared" si="987"/>
        <v>12.74</v>
      </c>
      <c r="AH329" s="1150">
        <f t="shared" si="988"/>
        <v>65</v>
      </c>
      <c r="AI329" s="1150">
        <f t="shared" si="989"/>
        <v>65</v>
      </c>
      <c r="AJ329" s="1150">
        <f t="shared" si="990"/>
        <v>0</v>
      </c>
      <c r="AK329" s="1150">
        <f t="shared" si="991"/>
        <v>0</v>
      </c>
      <c r="AL329" s="1151">
        <f t="shared" si="992"/>
        <v>77.739999999999995</v>
      </c>
      <c r="AM329" s="1151">
        <f t="shared" si="993"/>
        <v>77.739999999999995</v>
      </c>
      <c r="AN329" s="1028">
        <v>0</v>
      </c>
      <c r="AO329" s="1193">
        <f>'CONCEPTOS Y PARAMETROS'!$C$18*AN329</f>
        <v>0</v>
      </c>
      <c r="AP329" s="1028">
        <v>0</v>
      </c>
      <c r="AQ329" s="1193">
        <f>'CONCEPTOS Y PARAMETROS'!$C$21*AP329</f>
        <v>0</v>
      </c>
      <c r="AR329" s="1394">
        <v>0</v>
      </c>
      <c r="AS329" s="1394">
        <v>0</v>
      </c>
      <c r="AT329" s="1394">
        <f t="shared" si="994"/>
        <v>0</v>
      </c>
      <c r="AU329" s="1151">
        <f t="shared" si="995"/>
        <v>285.48</v>
      </c>
      <c r="AV329" s="1178">
        <v>0</v>
      </c>
      <c r="AW329" s="1151">
        <f t="shared" si="996"/>
        <v>0</v>
      </c>
      <c r="AX329" s="1150">
        <f>IF(T329&lt;&gt;"0",(ROUND(IF(A329="EMPLEADO",eval_formula('CONCEPTOS Y PARAMETROS'!$C$8,NOMINA!V329,NOMINA!$AU329,NOMINA!I329+NOMINA!J329),eval_formula('CONCEPTOS Y PARAMETROS'!$D$8,NOMINA!V329,NOMINA!$AU329,NOMINA!I329+NOMINA!J329)),2))*IF(H329&lt;&gt;"",IF(MONTH(H329)=$BR$8,IF(YEAR(H329)&lt;$BT$7,1,0),0)))</f>
        <v>0</v>
      </c>
      <c r="AY329" s="1151">
        <v>180</v>
      </c>
      <c r="AZ329" s="1150">
        <f>IFERROR(VLOOKUP(AY329,'CONCEPTOS Y PARAMETROS'!Y:Z,2,0),0)</f>
        <v>150</v>
      </c>
      <c r="BA329" s="1150">
        <f t="shared" si="997"/>
        <v>2141.1</v>
      </c>
      <c r="BB329" s="1150">
        <f t="shared" si="998"/>
        <v>0</v>
      </c>
      <c r="BC329" s="1028">
        <v>0</v>
      </c>
      <c r="BD329" s="1150" t="str">
        <f t="shared" si="999"/>
        <v>0</v>
      </c>
      <c r="BE329" s="1028">
        <v>0</v>
      </c>
      <c r="BF329" s="1150">
        <f t="shared" si="1000"/>
        <v>0</v>
      </c>
      <c r="BG329" s="1151">
        <v>290</v>
      </c>
      <c r="BH329" s="1151">
        <f t="shared" si="1001"/>
        <v>0</v>
      </c>
      <c r="BI329" s="1151">
        <v>0</v>
      </c>
      <c r="BJ329" s="1151">
        <f t="shared" si="1002"/>
        <v>0</v>
      </c>
      <c r="BK329" s="1151">
        <v>0</v>
      </c>
      <c r="BL329" s="1150">
        <f t="shared" si="1029"/>
        <v>10.54</v>
      </c>
      <c r="BM329" s="1150">
        <f t="shared" si="1030"/>
        <v>1.32</v>
      </c>
      <c r="BN329" s="1150">
        <f t="shared" si="1003"/>
        <v>2.85</v>
      </c>
      <c r="BO329" s="1150">
        <v>0</v>
      </c>
      <c r="BP329" s="1150">
        <v>0</v>
      </c>
      <c r="BQ329" s="1396">
        <f t="shared" si="1004"/>
        <v>14.71</v>
      </c>
      <c r="BR329" s="1150">
        <f t="shared" si="1031"/>
        <v>23.72</v>
      </c>
      <c r="BS329" s="1150">
        <f t="shared" si="1032"/>
        <v>5.27</v>
      </c>
      <c r="BT329" s="1150">
        <f t="shared" si="1005"/>
        <v>5.7</v>
      </c>
      <c r="BU329" s="1150">
        <v>0</v>
      </c>
      <c r="BV329" s="1151">
        <f t="shared" si="1006"/>
        <v>34.69</v>
      </c>
      <c r="BW329" s="1155">
        <f t="shared" si="1007"/>
        <v>49.4</v>
      </c>
      <c r="BX329" s="1155">
        <f t="shared" si="1008"/>
        <v>535.28</v>
      </c>
      <c r="BY329" s="1151">
        <v>0</v>
      </c>
      <c r="BZ329" s="1151">
        <f t="shared" si="1009"/>
        <v>535.28</v>
      </c>
      <c r="CA329" s="1397">
        <f>'CONCEPTOS Y PARAMETROS'!$A$102</f>
        <v>2120</v>
      </c>
      <c r="CB329" s="1155">
        <f t="shared" si="1010"/>
        <v>128.03</v>
      </c>
      <c r="CC329" s="1156">
        <f t="shared" si="1011"/>
        <v>432.74</v>
      </c>
      <c r="CD329" s="514"/>
      <c r="CE329" s="514"/>
      <c r="CF329" s="520"/>
      <c r="CG329" s="497">
        <f t="shared" si="1012"/>
        <v>128.03</v>
      </c>
      <c r="CH329" s="1711">
        <f t="shared" si="1013"/>
        <v>290</v>
      </c>
      <c r="CI329" s="497">
        <f t="shared" si="1014"/>
        <v>432.74</v>
      </c>
      <c r="CJ329" s="497">
        <f t="shared" si="1015"/>
        <v>432.74</v>
      </c>
      <c r="CK329" s="497">
        <f t="shared" si="1016"/>
        <v>0</v>
      </c>
      <c r="CL329" s="497">
        <f t="shared" si="1017"/>
        <v>0</v>
      </c>
      <c r="CM329" s="497">
        <f t="shared" si="1018"/>
        <v>0</v>
      </c>
      <c r="CN329" s="498">
        <f t="shared" si="1019"/>
        <v>0</v>
      </c>
      <c r="CO329" s="499">
        <v>0</v>
      </c>
      <c r="CP329" s="498">
        <f t="shared" si="1020"/>
        <v>0</v>
      </c>
      <c r="CQ329" s="500">
        <f t="shared" si="1021"/>
        <v>0</v>
      </c>
      <c r="CR329" s="498">
        <f t="shared" si="1022"/>
        <v>0</v>
      </c>
      <c r="CS329" s="498">
        <f t="shared" si="1023"/>
        <v>0</v>
      </c>
      <c r="CT329" s="498">
        <f t="shared" si="1024"/>
        <v>49.4</v>
      </c>
      <c r="CU329" s="498">
        <f t="shared" si="1025"/>
        <v>2120</v>
      </c>
      <c r="CV329" s="1554"/>
      <c r="CW329" s="1343" t="s">
        <v>7302</v>
      </c>
      <c r="CX329" s="1343" t="s">
        <v>6990</v>
      </c>
      <c r="CY329" s="472"/>
      <c r="CZ329" s="1199" t="s">
        <v>6689</v>
      </c>
      <c r="DA329" s="514" t="s">
        <v>6161</v>
      </c>
      <c r="DB329" s="514" t="s">
        <v>6420</v>
      </c>
      <c r="DC329" s="514" t="s">
        <v>6421</v>
      </c>
      <c r="DD329" s="514"/>
      <c r="DE329" s="514"/>
      <c r="DF329" s="472"/>
      <c r="DG329" s="472"/>
      <c r="DH329" s="472"/>
      <c r="DJ329" s="473" t="str">
        <f>VLOOKUP(X329,Hoja1!$A$4:$B$10,2,0)</f>
        <v>BACHILLER</v>
      </c>
      <c r="DK329" s="473" t="str">
        <f>VLOOKUP(S329,Hoja1!$D$4:$F$77,3,0)</f>
        <v>GRADO (1) - MIN</v>
      </c>
      <c r="DL329" s="1216" t="str">
        <f t="shared" si="1026"/>
        <v>0</v>
      </c>
      <c r="DM329" s="1741" t="str">
        <f t="shared" si="1027"/>
        <v>F</v>
      </c>
      <c r="DN329" s="1741"/>
    </row>
    <row r="330" spans="1:118" s="473" customFormat="1" ht="21.95" customHeight="1">
      <c r="A330" s="510" t="s">
        <v>2834</v>
      </c>
      <c r="B330" s="1390">
        <f t="shared" ca="1" si="1028"/>
        <v>19</v>
      </c>
      <c r="C330" s="1028">
        <v>10396367</v>
      </c>
      <c r="D330" s="1343" t="s">
        <v>4978</v>
      </c>
      <c r="E330" s="1180" t="s">
        <v>4622</v>
      </c>
      <c r="F330" s="1161">
        <v>24359</v>
      </c>
      <c r="G330" s="1180" t="s">
        <v>4620</v>
      </c>
      <c r="H330" s="1161">
        <v>39722</v>
      </c>
      <c r="I330" s="1185">
        <f t="shared" si="981"/>
        <v>16</v>
      </c>
      <c r="J330" s="1177">
        <v>0</v>
      </c>
      <c r="K330" s="1185">
        <f t="shared" si="982"/>
        <v>16</v>
      </c>
      <c r="L330" s="1191" t="s">
        <v>5566</v>
      </c>
      <c r="M330" s="1177"/>
      <c r="N330" s="1177"/>
      <c r="O330" s="1040" t="s">
        <v>5085</v>
      </c>
      <c r="P330" s="1177" t="s">
        <v>5121</v>
      </c>
      <c r="Q330" s="1391">
        <v>2202</v>
      </c>
      <c r="R330" s="1514" t="s">
        <v>5085</v>
      </c>
      <c r="S330" s="1513">
        <v>5</v>
      </c>
      <c r="T330" s="1150">
        <f>IFERROR(VLOOKUP(S330,'TAB OBR'!A:B,2,0),0)</f>
        <v>171</v>
      </c>
      <c r="U330" s="1151">
        <v>0</v>
      </c>
      <c r="V330" s="1150">
        <f t="shared" si="983"/>
        <v>171</v>
      </c>
      <c r="W330" s="1151">
        <f t="shared" si="984"/>
        <v>85.5</v>
      </c>
      <c r="X330" s="1180" t="s">
        <v>2884</v>
      </c>
      <c r="Y330" s="1180" t="s">
        <v>2884</v>
      </c>
      <c r="Z330" s="1180">
        <v>0</v>
      </c>
      <c r="AA330" s="1150">
        <f>ROUND(IF(H330&lt;&gt;"",VLOOKUP(SUM(I330+J330),'CONCEPTOS Y PARAMETROS'!F:G,2,0)*V330,0),2)</f>
        <v>33.520000000000003</v>
      </c>
      <c r="AB330" s="1150">
        <f>IF(S330&lt;&gt;"",IF(M330="",'CONCEPTOS Y PARAMETROS'!$C$4,0),0)</f>
        <v>130</v>
      </c>
      <c r="AC330" s="1150">
        <f>IF(S330&lt;&gt;"",IF(M330="",'CONCEPTOS Y PARAMETROS'!$C$7*Z330,0),0)</f>
        <v>0</v>
      </c>
      <c r="AD330" s="1150">
        <f>IFERROR(ROUND(VLOOKUP($X330,'CONCEPTOS Y PARAMETROS'!H:I,2,0)*($V330+AA330+AB330+AC330),2),0)</f>
        <v>0</v>
      </c>
      <c r="AE330" s="1150">
        <f t="shared" si="985"/>
        <v>163.52000000000001</v>
      </c>
      <c r="AF330" s="1150">
        <f t="shared" si="986"/>
        <v>16.760000000000002</v>
      </c>
      <c r="AG330" s="1150">
        <f t="shared" si="987"/>
        <v>16.760000000000002</v>
      </c>
      <c r="AH330" s="1150">
        <f t="shared" si="988"/>
        <v>65</v>
      </c>
      <c r="AI330" s="1150">
        <f t="shared" si="989"/>
        <v>65</v>
      </c>
      <c r="AJ330" s="1150">
        <f t="shared" si="990"/>
        <v>0</v>
      </c>
      <c r="AK330" s="1150">
        <f t="shared" si="991"/>
        <v>0</v>
      </c>
      <c r="AL330" s="1151">
        <f t="shared" si="992"/>
        <v>81.760000000000005</v>
      </c>
      <c r="AM330" s="1151">
        <f t="shared" si="993"/>
        <v>81.760000000000005</v>
      </c>
      <c r="AN330" s="1028">
        <v>0</v>
      </c>
      <c r="AO330" s="1193">
        <f>'CONCEPTOS Y PARAMETROS'!$C$18*AN330</f>
        <v>0</v>
      </c>
      <c r="AP330" s="1028">
        <v>0</v>
      </c>
      <c r="AQ330" s="1193">
        <f>'CONCEPTOS Y PARAMETROS'!$C$21*AP330</f>
        <v>0</v>
      </c>
      <c r="AR330" s="1394">
        <v>0</v>
      </c>
      <c r="AS330" s="1394">
        <v>0</v>
      </c>
      <c r="AT330" s="1394">
        <f t="shared" si="994"/>
        <v>0</v>
      </c>
      <c r="AU330" s="1151">
        <f t="shared" si="995"/>
        <v>334.52</v>
      </c>
      <c r="AV330" s="1178">
        <v>0</v>
      </c>
      <c r="AW330" s="1151">
        <f t="shared" si="996"/>
        <v>0</v>
      </c>
      <c r="AX330" s="1150">
        <f>IF(T330&lt;&gt;"0",(ROUND(IF(A330="EMPLEADO",eval_formula('CONCEPTOS Y PARAMETROS'!$C$8,NOMINA!V330,NOMINA!$AU330,NOMINA!I330+NOMINA!J330),eval_formula('CONCEPTOS Y PARAMETROS'!$D$8,NOMINA!V330,NOMINA!$AU330,NOMINA!I330+NOMINA!J330)),2))*IF(H330&lt;&gt;"",IF(MONTH(H330)=$BR$8,IF(YEAR(H330)&lt;$BT$7,1,0),0)))</f>
        <v>0</v>
      </c>
      <c r="AY330" s="1151">
        <v>180</v>
      </c>
      <c r="AZ330" s="1150">
        <f>IFERROR(VLOOKUP(AY330,'CONCEPTOS Y PARAMETROS'!Y:Z,2,0),0)</f>
        <v>150</v>
      </c>
      <c r="BA330" s="1150">
        <f t="shared" si="997"/>
        <v>2508.9</v>
      </c>
      <c r="BB330" s="1150">
        <f t="shared" si="998"/>
        <v>0</v>
      </c>
      <c r="BC330" s="1028">
        <v>0</v>
      </c>
      <c r="BD330" s="1150" t="str">
        <f t="shared" si="999"/>
        <v>0</v>
      </c>
      <c r="BE330" s="1028">
        <v>2</v>
      </c>
      <c r="BF330" s="1150">
        <f t="shared" si="1000"/>
        <v>33.450000000000003</v>
      </c>
      <c r="BG330" s="1151">
        <v>290</v>
      </c>
      <c r="BH330" s="1151">
        <f t="shared" si="1001"/>
        <v>0</v>
      </c>
      <c r="BI330" s="1151">
        <v>0</v>
      </c>
      <c r="BJ330" s="1151">
        <f t="shared" si="1002"/>
        <v>0</v>
      </c>
      <c r="BK330" s="1151">
        <v>0</v>
      </c>
      <c r="BL330" s="1150">
        <f t="shared" si="1029"/>
        <v>12.35</v>
      </c>
      <c r="BM330" s="1150">
        <f t="shared" si="1030"/>
        <v>1.54</v>
      </c>
      <c r="BN330" s="1150">
        <f t="shared" si="1003"/>
        <v>3.35</v>
      </c>
      <c r="BO330" s="1150">
        <v>0</v>
      </c>
      <c r="BP330" s="1150">
        <v>0</v>
      </c>
      <c r="BQ330" s="1396">
        <f t="shared" si="1004"/>
        <v>17.239999999999998</v>
      </c>
      <c r="BR330" s="1150">
        <f t="shared" si="1031"/>
        <v>27.79</v>
      </c>
      <c r="BS330" s="1150">
        <f t="shared" si="1032"/>
        <v>6.18</v>
      </c>
      <c r="BT330" s="1150">
        <f t="shared" si="1005"/>
        <v>6.7</v>
      </c>
      <c r="BU330" s="1150">
        <v>0</v>
      </c>
      <c r="BV330" s="1151">
        <f t="shared" si="1006"/>
        <v>40.67</v>
      </c>
      <c r="BW330" s="1155">
        <f t="shared" si="1007"/>
        <v>57.91</v>
      </c>
      <c r="BX330" s="1155">
        <f t="shared" si="1008"/>
        <v>627.23</v>
      </c>
      <c r="BY330" s="1151">
        <v>0</v>
      </c>
      <c r="BZ330" s="1151">
        <f t="shared" si="1009"/>
        <v>627.23</v>
      </c>
      <c r="CA330" s="1397">
        <f>'CONCEPTOS Y PARAMETROS'!$A$102</f>
        <v>2120</v>
      </c>
      <c r="CB330" s="1155">
        <f t="shared" si="1010"/>
        <v>150.01999999999998</v>
      </c>
      <c r="CC330" s="1156">
        <f t="shared" si="1011"/>
        <v>490.71</v>
      </c>
      <c r="CD330" s="514"/>
      <c r="CE330" s="514"/>
      <c r="CF330" s="520"/>
      <c r="CG330" s="497">
        <f t="shared" si="1012"/>
        <v>150.01999999999998</v>
      </c>
      <c r="CH330" s="1711">
        <f t="shared" si="1013"/>
        <v>290</v>
      </c>
      <c r="CI330" s="497">
        <f t="shared" si="1014"/>
        <v>457.26</v>
      </c>
      <c r="CJ330" s="497">
        <f t="shared" si="1015"/>
        <v>457.26</v>
      </c>
      <c r="CK330" s="497">
        <f t="shared" si="1016"/>
        <v>0</v>
      </c>
      <c r="CL330" s="497">
        <f t="shared" si="1017"/>
        <v>0</v>
      </c>
      <c r="CM330" s="497">
        <f t="shared" si="1018"/>
        <v>0</v>
      </c>
      <c r="CN330" s="498">
        <f t="shared" si="1019"/>
        <v>33.450000000000003</v>
      </c>
      <c r="CO330" s="499">
        <v>0</v>
      </c>
      <c r="CP330" s="498">
        <f t="shared" si="1020"/>
        <v>0</v>
      </c>
      <c r="CQ330" s="500">
        <f t="shared" si="1021"/>
        <v>0</v>
      </c>
      <c r="CR330" s="498">
        <f t="shared" si="1022"/>
        <v>0</v>
      </c>
      <c r="CS330" s="498">
        <f t="shared" si="1023"/>
        <v>33.450000000000003</v>
      </c>
      <c r="CT330" s="498">
        <f t="shared" si="1024"/>
        <v>57.91</v>
      </c>
      <c r="CU330" s="498">
        <f t="shared" si="1025"/>
        <v>2120</v>
      </c>
      <c r="CV330" s="1554"/>
      <c r="CW330" s="1343" t="s">
        <v>7303</v>
      </c>
      <c r="CX330" s="1343" t="s">
        <v>7304</v>
      </c>
      <c r="CY330" s="472"/>
      <c r="CZ330" s="514" t="s">
        <v>6506</v>
      </c>
      <c r="DA330" s="1199" t="s">
        <v>6660</v>
      </c>
      <c r="DB330" s="514" t="s">
        <v>6206</v>
      </c>
      <c r="DC330" s="514" t="s">
        <v>6243</v>
      </c>
      <c r="DD330" s="514"/>
      <c r="DE330" s="514"/>
      <c r="DF330" s="472"/>
      <c r="DG330" s="472"/>
      <c r="DH330" s="472"/>
      <c r="DJ330" s="473" t="str">
        <f>VLOOKUP(X330,Hoja1!$A$4:$B$10,2,0)</f>
        <v>BACHILLER</v>
      </c>
      <c r="DK330" s="473" t="str">
        <f>VLOOKUP(S330,Hoja1!$D$4:$F$77,3,0)</f>
        <v>GRADO (5) - MÁX</v>
      </c>
      <c r="DL330" s="1216" t="str">
        <f t="shared" si="1026"/>
        <v>0</v>
      </c>
      <c r="DM330" s="1741" t="str">
        <f t="shared" si="1027"/>
        <v>F</v>
      </c>
      <c r="DN330" s="1741"/>
    </row>
    <row r="331" spans="1:118" s="478" customFormat="1" ht="21.95" customHeight="1">
      <c r="A331" s="510" t="s">
        <v>2834</v>
      </c>
      <c r="B331" s="1390">
        <f t="shared" ca="1" si="1028"/>
        <v>20</v>
      </c>
      <c r="C331" s="1028">
        <v>10399474</v>
      </c>
      <c r="D331" s="1343" t="s">
        <v>6915</v>
      </c>
      <c r="E331" s="1180" t="s">
        <v>4622</v>
      </c>
      <c r="F331" s="1161">
        <v>24905</v>
      </c>
      <c r="G331" s="1180" t="s">
        <v>4620</v>
      </c>
      <c r="H331" s="1161">
        <v>45597</v>
      </c>
      <c r="I331" s="1185">
        <f t="shared" si="981"/>
        <v>0</v>
      </c>
      <c r="J331" s="1177">
        <v>0</v>
      </c>
      <c r="K331" s="1185">
        <f t="shared" si="982"/>
        <v>0</v>
      </c>
      <c r="L331" s="1191" t="s">
        <v>5559</v>
      </c>
      <c r="M331" s="1177"/>
      <c r="N331" s="1177"/>
      <c r="O331" s="1040" t="s">
        <v>5084</v>
      </c>
      <c r="P331" s="1197" t="s">
        <v>6916</v>
      </c>
      <c r="Q331" s="1391">
        <v>7129</v>
      </c>
      <c r="R331" s="1514" t="s">
        <v>5084</v>
      </c>
      <c r="S331" s="1513">
        <v>2</v>
      </c>
      <c r="T331" s="1150">
        <f>IFERROR(VLOOKUP(S331,'TAB OBR'!A:B,2,0),0)</f>
        <v>142</v>
      </c>
      <c r="U331" s="1151">
        <v>0</v>
      </c>
      <c r="V331" s="1150">
        <f t="shared" si="983"/>
        <v>142</v>
      </c>
      <c r="W331" s="1151">
        <f t="shared" si="984"/>
        <v>71</v>
      </c>
      <c r="X331" s="1180" t="s">
        <v>2884</v>
      </c>
      <c r="Y331" s="1180" t="s">
        <v>2884</v>
      </c>
      <c r="Z331" s="1180">
        <v>0</v>
      </c>
      <c r="AA331" s="1150">
        <f>ROUND(IF(H331&lt;&gt;"",VLOOKUP(SUM(I331+J331),'CONCEPTOS Y PARAMETROS'!F:G,2,0)*V331,0),2)</f>
        <v>0</v>
      </c>
      <c r="AB331" s="1150">
        <f>IF(S331&lt;&gt;"",IF(M331="",'CONCEPTOS Y PARAMETROS'!$C$4,0),0)</f>
        <v>130</v>
      </c>
      <c r="AC331" s="1150">
        <f>IF(S331&lt;&gt;"",IF(M331="",'CONCEPTOS Y PARAMETROS'!$C$7*Z331,0),0)</f>
        <v>0</v>
      </c>
      <c r="AD331" s="1150">
        <f>IFERROR(ROUND(VLOOKUP($X331,'CONCEPTOS Y PARAMETROS'!H:I,2,0)*($V331+AA331+AB331+AC331),2),0)</f>
        <v>0</v>
      </c>
      <c r="AE331" s="1150">
        <f t="shared" si="985"/>
        <v>130</v>
      </c>
      <c r="AF331" s="1150">
        <f t="shared" si="986"/>
        <v>0</v>
      </c>
      <c r="AG331" s="1150">
        <f t="shared" si="987"/>
        <v>0</v>
      </c>
      <c r="AH331" s="1150">
        <f t="shared" si="988"/>
        <v>65</v>
      </c>
      <c r="AI331" s="1150">
        <f t="shared" si="989"/>
        <v>65</v>
      </c>
      <c r="AJ331" s="1150">
        <f t="shared" si="990"/>
        <v>0</v>
      </c>
      <c r="AK331" s="1150">
        <f t="shared" si="991"/>
        <v>0</v>
      </c>
      <c r="AL331" s="1151">
        <f t="shared" si="992"/>
        <v>65</v>
      </c>
      <c r="AM331" s="1151">
        <f t="shared" si="993"/>
        <v>65</v>
      </c>
      <c r="AN331" s="1028">
        <v>0</v>
      </c>
      <c r="AO331" s="1193">
        <f>'CONCEPTOS Y PARAMETROS'!$C$18*AN331</f>
        <v>0</v>
      </c>
      <c r="AP331" s="1028">
        <v>0</v>
      </c>
      <c r="AQ331" s="1193">
        <f>'CONCEPTOS Y PARAMETROS'!$C$21*AP331</f>
        <v>0</v>
      </c>
      <c r="AR331" s="1394">
        <v>0</v>
      </c>
      <c r="AS331" s="1394">
        <v>0</v>
      </c>
      <c r="AT331" s="1394">
        <f t="shared" si="994"/>
        <v>0</v>
      </c>
      <c r="AU331" s="1151">
        <f t="shared" si="995"/>
        <v>272</v>
      </c>
      <c r="AV331" s="1178">
        <v>0</v>
      </c>
      <c r="AW331" s="1151">
        <f t="shared" si="996"/>
        <v>0</v>
      </c>
      <c r="AX331" s="1150">
        <f>IF(T331&lt;&gt;"0",(ROUND(IF(A331="EMPLEADO",eval_formula('CONCEPTOS Y PARAMETROS'!$C$8,NOMINA!V331,NOMINA!$AU331,NOMINA!I331+NOMINA!J331),eval_formula('CONCEPTOS Y PARAMETROS'!$D$8,NOMINA!V331,NOMINA!$AU331,NOMINA!I331+NOMINA!J331)),2))*IF(H331&lt;&gt;"",IF(MONTH(H331)=$BR$8,IF(YEAR(H331)&lt;$BT$7,1,0),0)))</f>
        <v>0</v>
      </c>
      <c r="AY331" s="1151">
        <v>30</v>
      </c>
      <c r="AZ331" s="1150">
        <f>IFERROR(VLOOKUP(AY331,'CONCEPTOS Y PARAMETROS'!Y:Z,2,0),0)</f>
        <v>25</v>
      </c>
      <c r="BA331" s="1150">
        <f t="shared" si="997"/>
        <v>245.56</v>
      </c>
      <c r="BB331" s="1150">
        <f t="shared" si="998"/>
        <v>0</v>
      </c>
      <c r="BC331" s="1028">
        <v>0</v>
      </c>
      <c r="BD331" s="1150" t="str">
        <f t="shared" si="999"/>
        <v>0</v>
      </c>
      <c r="BE331" s="1028">
        <v>4</v>
      </c>
      <c r="BF331" s="1150">
        <f t="shared" si="1000"/>
        <v>54.4</v>
      </c>
      <c r="BG331" s="1151">
        <v>290</v>
      </c>
      <c r="BH331" s="1151">
        <f t="shared" si="1001"/>
        <v>0</v>
      </c>
      <c r="BI331" s="1151">
        <v>0</v>
      </c>
      <c r="BJ331" s="1151">
        <f t="shared" si="1002"/>
        <v>0</v>
      </c>
      <c r="BK331" s="1151">
        <v>0</v>
      </c>
      <c r="BL331" s="1150">
        <f t="shared" si="1029"/>
        <v>10.039999999999999</v>
      </c>
      <c r="BM331" s="1150">
        <f t="shared" si="1030"/>
        <v>1.26</v>
      </c>
      <c r="BN331" s="1150">
        <f t="shared" si="1003"/>
        <v>2.72</v>
      </c>
      <c r="BO331" s="1150">
        <v>0</v>
      </c>
      <c r="BP331" s="1150">
        <v>0</v>
      </c>
      <c r="BQ331" s="1396">
        <f t="shared" ref="BQ331" si="1033">ROUND(SUM(BL331:BP331),2)</f>
        <v>14.02</v>
      </c>
      <c r="BR331" s="1150">
        <f t="shared" si="1031"/>
        <v>22.6</v>
      </c>
      <c r="BS331" s="1150">
        <f t="shared" si="1032"/>
        <v>5.0199999999999996</v>
      </c>
      <c r="BT331" s="1150">
        <f t="shared" si="1005"/>
        <v>5.44</v>
      </c>
      <c r="BU331" s="1150">
        <v>0</v>
      </c>
      <c r="BV331" s="1151">
        <f t="shared" ref="BV331" si="1034">ROUND(SUM(BR331:BT331),2)</f>
        <v>33.06</v>
      </c>
      <c r="BW331" s="1155">
        <f t="shared" si="1007"/>
        <v>47.08</v>
      </c>
      <c r="BX331" s="1155">
        <f>ROUND(BA331/3,2)</f>
        <v>81.849999999999994</v>
      </c>
      <c r="BY331" s="1151">
        <v>0</v>
      </c>
      <c r="BZ331" s="1151">
        <f t="shared" si="1009"/>
        <v>81.849999999999994</v>
      </c>
      <c r="CA331" s="1397">
        <f>'CONCEPTOS Y PARAMETROS'!$A$102</f>
        <v>2120</v>
      </c>
      <c r="CB331" s="1155">
        <f t="shared" si="1010"/>
        <v>121.98</v>
      </c>
      <c r="CC331" s="1156">
        <f t="shared" si="1011"/>
        <v>480.4</v>
      </c>
      <c r="CD331" s="1582"/>
      <c r="CE331" s="514"/>
      <c r="CF331" s="521"/>
      <c r="CG331" s="511">
        <f t="shared" si="1012"/>
        <v>121.98</v>
      </c>
      <c r="CH331" s="1712">
        <f t="shared" si="1013"/>
        <v>290</v>
      </c>
      <c r="CI331" s="511">
        <f t="shared" si="1014"/>
        <v>426</v>
      </c>
      <c r="CJ331" s="511">
        <f t="shared" si="1015"/>
        <v>426</v>
      </c>
      <c r="CK331" s="511">
        <f t="shared" si="1016"/>
        <v>0</v>
      </c>
      <c r="CL331" s="511">
        <f t="shared" si="1017"/>
        <v>0</v>
      </c>
      <c r="CM331" s="511">
        <f t="shared" si="1018"/>
        <v>0</v>
      </c>
      <c r="CN331" s="512">
        <f t="shared" si="1019"/>
        <v>54.4</v>
      </c>
      <c r="CO331" s="513">
        <v>0</v>
      </c>
      <c r="CP331" s="512">
        <f t="shared" si="1020"/>
        <v>0</v>
      </c>
      <c r="CQ331" s="500">
        <f t="shared" si="1021"/>
        <v>0</v>
      </c>
      <c r="CR331" s="512">
        <f t="shared" si="1022"/>
        <v>0</v>
      </c>
      <c r="CS331" s="512">
        <f t="shared" si="1023"/>
        <v>54.4</v>
      </c>
      <c r="CT331" s="512">
        <f t="shared" si="1024"/>
        <v>47.08</v>
      </c>
      <c r="CU331" s="512">
        <f t="shared" si="1025"/>
        <v>2120</v>
      </c>
      <c r="CV331" s="1556"/>
      <c r="CW331" s="1343" t="s">
        <v>7091</v>
      </c>
      <c r="CX331" s="1343" t="s">
        <v>7305</v>
      </c>
      <c r="CY331" s="514"/>
      <c r="CZ331" s="1199" t="s">
        <v>6917</v>
      </c>
      <c r="DA331" s="514" t="s">
        <v>6173</v>
      </c>
      <c r="DB331" s="514"/>
      <c r="DC331" s="514"/>
      <c r="DD331" s="514"/>
      <c r="DE331" s="514"/>
      <c r="DF331" s="514"/>
      <c r="DG331" s="514"/>
      <c r="DH331" s="514"/>
      <c r="DJ331" s="478" t="str">
        <f>VLOOKUP(X331,Hoja1!$A$4:$B$10,2,0)</f>
        <v>BACHILLER</v>
      </c>
      <c r="DK331" s="478" t="str">
        <f>VLOOKUP(S331,Hoja1!$D$4:$F$77,3,0)</f>
        <v>GRADO (2) - MÁX</v>
      </c>
      <c r="DL331" s="1581" t="str">
        <f t="shared" si="1026"/>
        <v>0</v>
      </c>
      <c r="DM331" s="1743" t="str">
        <f t="shared" si="1027"/>
        <v>F</v>
      </c>
      <c r="DN331" s="1743"/>
    </row>
    <row r="332" spans="1:118" s="473" customFormat="1" ht="21.95" customHeight="1">
      <c r="A332" s="510" t="s">
        <v>2834</v>
      </c>
      <c r="B332" s="1390">
        <f t="shared" ca="1" si="1028"/>
        <v>21</v>
      </c>
      <c r="C332" s="1028">
        <v>10401329</v>
      </c>
      <c r="D332" s="1343" t="s">
        <v>4979</v>
      </c>
      <c r="E332" s="1180" t="s">
        <v>4622</v>
      </c>
      <c r="F332" s="1161">
        <v>23870</v>
      </c>
      <c r="G332" s="1180" t="s">
        <v>4621</v>
      </c>
      <c r="H332" s="1161">
        <v>39539</v>
      </c>
      <c r="I332" s="1185">
        <f t="shared" si="981"/>
        <v>16</v>
      </c>
      <c r="J332" s="1177">
        <v>0</v>
      </c>
      <c r="K332" s="1185">
        <f t="shared" si="982"/>
        <v>16</v>
      </c>
      <c r="L332" s="1191" t="s">
        <v>5565</v>
      </c>
      <c r="M332" s="1177"/>
      <c r="N332" s="1177"/>
      <c r="O332" s="1040" t="s">
        <v>5091</v>
      </c>
      <c r="P332" s="1177" t="s">
        <v>5122</v>
      </c>
      <c r="Q332" s="1391">
        <v>7206</v>
      </c>
      <c r="R332" s="1514" t="s">
        <v>5091</v>
      </c>
      <c r="S332" s="1513">
        <v>5</v>
      </c>
      <c r="T332" s="1150">
        <f>IFERROR(VLOOKUP(S332,'TAB OBR'!A:B,2,0),0)</f>
        <v>171</v>
      </c>
      <c r="U332" s="1151">
        <v>0</v>
      </c>
      <c r="V332" s="1150">
        <f t="shared" si="983"/>
        <v>171</v>
      </c>
      <c r="W332" s="1151">
        <f t="shared" si="984"/>
        <v>85.5</v>
      </c>
      <c r="X332" s="1180" t="s">
        <v>2884</v>
      </c>
      <c r="Y332" s="1180" t="s">
        <v>2884</v>
      </c>
      <c r="Z332" s="1180">
        <v>0</v>
      </c>
      <c r="AA332" s="1150">
        <f>ROUND(IF(H332&lt;&gt;"",VLOOKUP(SUM(I332+J332),'CONCEPTOS Y PARAMETROS'!F:G,2,0)*V332,0),2)</f>
        <v>33.520000000000003</v>
      </c>
      <c r="AB332" s="1150">
        <f>IF(S332&lt;&gt;"",IF(M332="",'CONCEPTOS Y PARAMETROS'!$C$4,0),0)</f>
        <v>130</v>
      </c>
      <c r="AC332" s="1150">
        <f>IF(S332&lt;&gt;"",IF(M332="",'CONCEPTOS Y PARAMETROS'!$C$7*Z332,0),0)</f>
        <v>0</v>
      </c>
      <c r="AD332" s="1150">
        <f>IFERROR(ROUND(VLOOKUP($X332,'CONCEPTOS Y PARAMETROS'!H:I,2,0)*($V332+AA332+AB332+AC332),2),0)</f>
        <v>0</v>
      </c>
      <c r="AE332" s="1150">
        <f t="shared" si="985"/>
        <v>163.52000000000001</v>
      </c>
      <c r="AF332" s="1150">
        <f t="shared" si="986"/>
        <v>16.760000000000002</v>
      </c>
      <c r="AG332" s="1150">
        <f t="shared" si="987"/>
        <v>16.760000000000002</v>
      </c>
      <c r="AH332" s="1150">
        <f t="shared" si="988"/>
        <v>65</v>
      </c>
      <c r="AI332" s="1150">
        <f t="shared" si="989"/>
        <v>65</v>
      </c>
      <c r="AJ332" s="1150">
        <f t="shared" si="990"/>
        <v>0</v>
      </c>
      <c r="AK332" s="1150">
        <f t="shared" si="991"/>
        <v>0</v>
      </c>
      <c r="AL332" s="1151">
        <f t="shared" si="992"/>
        <v>81.760000000000005</v>
      </c>
      <c r="AM332" s="1151">
        <f t="shared" si="993"/>
        <v>81.760000000000005</v>
      </c>
      <c r="AN332" s="1028">
        <v>0</v>
      </c>
      <c r="AO332" s="1193">
        <f>'CONCEPTOS Y PARAMETROS'!$C$18*AN332</f>
        <v>0</v>
      </c>
      <c r="AP332" s="1028">
        <v>0</v>
      </c>
      <c r="AQ332" s="1193">
        <f>'CONCEPTOS Y PARAMETROS'!$C$21*AP332</f>
        <v>0</v>
      </c>
      <c r="AR332" s="1394">
        <v>0</v>
      </c>
      <c r="AS332" s="1394">
        <v>0</v>
      </c>
      <c r="AT332" s="1394">
        <f t="shared" si="994"/>
        <v>0</v>
      </c>
      <c r="AU332" s="1151">
        <f t="shared" si="995"/>
        <v>434.88</v>
      </c>
      <c r="AV332" s="1178" t="s">
        <v>5080</v>
      </c>
      <c r="AW332" s="1151">
        <f t="shared" si="996"/>
        <v>100.36</v>
      </c>
      <c r="AX332" s="1150">
        <f>IF(T332&lt;&gt;"0",(ROUND(IF(A332="EMPLEADO",eval_formula('CONCEPTOS Y PARAMETROS'!$C$8,NOMINA!V332,NOMINA!$AU332,NOMINA!I332+NOMINA!J332),eval_formula('CONCEPTOS Y PARAMETROS'!$D$8,NOMINA!V332,NOMINA!$AU332,NOMINA!I332+NOMINA!J332)),2))*IF(H332&lt;&gt;"",IF(MONTH(H332)=$BR$8,IF(YEAR(H332)&lt;$BT$7,1,0),0)))</f>
        <v>0</v>
      </c>
      <c r="AY332" s="1151">
        <v>180</v>
      </c>
      <c r="AZ332" s="1150">
        <f>IFERROR(VLOOKUP(AY332,'CONCEPTOS Y PARAMETROS'!Y:Z,2,0),0)</f>
        <v>150</v>
      </c>
      <c r="BA332" s="1150">
        <f t="shared" si="997"/>
        <v>3261.6</v>
      </c>
      <c r="BB332" s="1150">
        <f t="shared" si="998"/>
        <v>0</v>
      </c>
      <c r="BC332" s="1028">
        <v>0</v>
      </c>
      <c r="BD332" s="1150" t="str">
        <f t="shared" si="999"/>
        <v>0</v>
      </c>
      <c r="BE332" s="1028">
        <v>2</v>
      </c>
      <c r="BF332" s="1150">
        <f t="shared" si="1000"/>
        <v>43.49</v>
      </c>
      <c r="BG332" s="1151">
        <v>290</v>
      </c>
      <c r="BH332" s="1151">
        <f t="shared" si="1001"/>
        <v>0</v>
      </c>
      <c r="BI332" s="1151">
        <v>0</v>
      </c>
      <c r="BJ332" s="1151">
        <f t="shared" si="1002"/>
        <v>0</v>
      </c>
      <c r="BK332" s="1151">
        <v>0</v>
      </c>
      <c r="BL332" s="1150">
        <f t="shared" si="1029"/>
        <v>16.059999999999999</v>
      </c>
      <c r="BM332" s="1150">
        <f t="shared" si="1030"/>
        <v>2.0099999999999998</v>
      </c>
      <c r="BN332" s="1150">
        <f t="shared" si="1003"/>
        <v>4.3499999999999996</v>
      </c>
      <c r="BO332" s="1150">
        <v>0</v>
      </c>
      <c r="BP332" s="1150">
        <v>0</v>
      </c>
      <c r="BQ332" s="1396">
        <f t="shared" si="1004"/>
        <v>22.42</v>
      </c>
      <c r="BR332" s="1150">
        <f t="shared" si="1031"/>
        <v>36.130000000000003</v>
      </c>
      <c r="BS332" s="1150">
        <f t="shared" si="1032"/>
        <v>8.0299999999999994</v>
      </c>
      <c r="BT332" s="1150">
        <f t="shared" si="1005"/>
        <v>8.6999999999999993</v>
      </c>
      <c r="BU332" s="1150">
        <v>0</v>
      </c>
      <c r="BV332" s="1151">
        <f t="shared" si="1006"/>
        <v>52.86</v>
      </c>
      <c r="BW332" s="1155">
        <f t="shared" si="1007"/>
        <v>75.28</v>
      </c>
      <c r="BX332" s="1155">
        <f t="shared" ref="BX332:BX363" si="1035">ROUND(BA332/4,2)</f>
        <v>815.4</v>
      </c>
      <c r="BY332" s="1151">
        <v>0</v>
      </c>
      <c r="BZ332" s="1151">
        <f t="shared" si="1009"/>
        <v>815.4</v>
      </c>
      <c r="CA332" s="1397">
        <f>'CONCEPTOS Y PARAMETROS'!$A$102</f>
        <v>2120</v>
      </c>
      <c r="CB332" s="1155">
        <f t="shared" si="1010"/>
        <v>144.83999999999997</v>
      </c>
      <c r="CC332" s="1156">
        <f t="shared" si="1011"/>
        <v>601.11</v>
      </c>
      <c r="CD332" s="514"/>
      <c r="CE332" s="514"/>
      <c r="CF332" s="520"/>
      <c r="CG332" s="497">
        <f t="shared" si="1012"/>
        <v>144.83999999999997</v>
      </c>
      <c r="CH332" s="1711">
        <f t="shared" si="1013"/>
        <v>290</v>
      </c>
      <c r="CI332" s="497">
        <f t="shared" si="1014"/>
        <v>457.26</v>
      </c>
      <c r="CJ332" s="497">
        <f t="shared" si="1015"/>
        <v>457.26</v>
      </c>
      <c r="CK332" s="497">
        <f t="shared" si="1016"/>
        <v>0</v>
      </c>
      <c r="CL332" s="497">
        <f t="shared" si="1017"/>
        <v>0</v>
      </c>
      <c r="CM332" s="497">
        <f t="shared" si="1018"/>
        <v>0</v>
      </c>
      <c r="CN332" s="498">
        <f t="shared" si="1019"/>
        <v>43.49</v>
      </c>
      <c r="CO332" s="499">
        <v>0</v>
      </c>
      <c r="CP332" s="498">
        <f t="shared" si="1020"/>
        <v>100.36</v>
      </c>
      <c r="CQ332" s="500">
        <f t="shared" si="1021"/>
        <v>0</v>
      </c>
      <c r="CR332" s="498">
        <f t="shared" si="1022"/>
        <v>0</v>
      </c>
      <c r="CS332" s="498">
        <f t="shared" si="1023"/>
        <v>143.85</v>
      </c>
      <c r="CT332" s="498">
        <f t="shared" si="1024"/>
        <v>75.28</v>
      </c>
      <c r="CU332" s="498">
        <f t="shared" si="1025"/>
        <v>2120</v>
      </c>
      <c r="CV332" s="1554"/>
      <c r="CW332" s="1343" t="s">
        <v>6998</v>
      </c>
      <c r="CX332" s="1343" t="s">
        <v>7306</v>
      </c>
      <c r="CY332" s="472"/>
      <c r="CZ332" s="514" t="s">
        <v>6507</v>
      </c>
      <c r="DA332" s="514" t="s">
        <v>6299</v>
      </c>
      <c r="DB332" s="514" t="s">
        <v>6299</v>
      </c>
      <c r="DC332" s="1199" t="s">
        <v>6725</v>
      </c>
      <c r="DD332" s="514"/>
      <c r="DE332" s="514"/>
      <c r="DF332" s="472"/>
      <c r="DG332" s="472"/>
      <c r="DH332" s="472"/>
      <c r="DJ332" s="473" t="str">
        <f>VLOOKUP(X332,Hoja1!$A$4:$B$10,2,0)</f>
        <v>BACHILLER</v>
      </c>
      <c r="DK332" s="473" t="str">
        <f>VLOOKUP(S332,Hoja1!$D$4:$F$77,3,0)</f>
        <v>GRADO (5) - MÁX</v>
      </c>
      <c r="DL332" s="1216" t="str">
        <f t="shared" si="1026"/>
        <v>SI</v>
      </c>
      <c r="DM332" s="1741" t="str">
        <f t="shared" si="1027"/>
        <v>M</v>
      </c>
      <c r="DN332" s="1741"/>
    </row>
    <row r="333" spans="1:118" s="473" customFormat="1" ht="21.95" customHeight="1">
      <c r="A333" s="510" t="s">
        <v>2834</v>
      </c>
      <c r="B333" s="1390">
        <f t="shared" ca="1" si="1028"/>
        <v>22</v>
      </c>
      <c r="C333" s="1028">
        <v>10907687</v>
      </c>
      <c r="D333" s="1343" t="s">
        <v>4982</v>
      </c>
      <c r="E333" s="1180" t="s">
        <v>4622</v>
      </c>
      <c r="F333" s="1161">
        <v>25984</v>
      </c>
      <c r="G333" s="1180" t="s">
        <v>4620</v>
      </c>
      <c r="H333" s="1161">
        <v>38749</v>
      </c>
      <c r="I333" s="1185">
        <f t="shared" si="981"/>
        <v>18</v>
      </c>
      <c r="J333" s="1177">
        <v>0</v>
      </c>
      <c r="K333" s="1185">
        <f t="shared" si="982"/>
        <v>18</v>
      </c>
      <c r="L333" s="1191" t="s">
        <v>5566</v>
      </c>
      <c r="M333" s="1177"/>
      <c r="N333" s="1177"/>
      <c r="O333" s="1040" t="s">
        <v>5085</v>
      </c>
      <c r="P333" s="1177" t="s">
        <v>5123</v>
      </c>
      <c r="Q333" s="1391">
        <v>2202</v>
      </c>
      <c r="R333" s="1514" t="s">
        <v>5085</v>
      </c>
      <c r="S333" s="1513">
        <v>5</v>
      </c>
      <c r="T333" s="1150">
        <f>IFERROR(VLOOKUP(S333,'TAB OBR'!A:B,2,0),0)</f>
        <v>171</v>
      </c>
      <c r="U333" s="1151">
        <v>0</v>
      </c>
      <c r="V333" s="1150">
        <f t="shared" si="983"/>
        <v>171</v>
      </c>
      <c r="W333" s="1151">
        <f t="shared" si="984"/>
        <v>85.5</v>
      </c>
      <c r="X333" s="1180" t="s">
        <v>2884</v>
      </c>
      <c r="Y333" s="1180" t="s">
        <v>2884</v>
      </c>
      <c r="Z333" s="1180">
        <v>0</v>
      </c>
      <c r="AA333" s="1150">
        <f>ROUND(IF(H333&lt;&gt;"",VLOOKUP(SUM(I333+J333),'CONCEPTOS Y PARAMETROS'!F:G,2,0)*V333,0),2)</f>
        <v>38.99</v>
      </c>
      <c r="AB333" s="1150">
        <f>IF(S333&lt;&gt;"",IF(M333="",'CONCEPTOS Y PARAMETROS'!$C$4,0),0)</f>
        <v>130</v>
      </c>
      <c r="AC333" s="1150">
        <f>IF(S333&lt;&gt;"",IF(M333="",'CONCEPTOS Y PARAMETROS'!$C$7*Z333,0),0)</f>
        <v>0</v>
      </c>
      <c r="AD333" s="1150">
        <f>IFERROR(ROUND(VLOOKUP($X333,'CONCEPTOS Y PARAMETROS'!H:I,2,0)*($V333+AA333+AB333+AC333),2),0)</f>
        <v>0</v>
      </c>
      <c r="AE333" s="1150">
        <f t="shared" si="985"/>
        <v>168.99</v>
      </c>
      <c r="AF333" s="1150">
        <f t="shared" si="986"/>
        <v>19.5</v>
      </c>
      <c r="AG333" s="1150">
        <f t="shared" si="987"/>
        <v>19.489999999999998</v>
      </c>
      <c r="AH333" s="1150">
        <f t="shared" si="988"/>
        <v>65</v>
      </c>
      <c r="AI333" s="1150">
        <f t="shared" si="989"/>
        <v>65</v>
      </c>
      <c r="AJ333" s="1150">
        <f t="shared" si="990"/>
        <v>0</v>
      </c>
      <c r="AK333" s="1150">
        <f t="shared" si="991"/>
        <v>0</v>
      </c>
      <c r="AL333" s="1151">
        <f t="shared" si="992"/>
        <v>84.5</v>
      </c>
      <c r="AM333" s="1151">
        <f t="shared" si="993"/>
        <v>84.49</v>
      </c>
      <c r="AN333" s="1028">
        <v>0</v>
      </c>
      <c r="AO333" s="1193">
        <f>'CONCEPTOS Y PARAMETROS'!$C$18*AN333</f>
        <v>0</v>
      </c>
      <c r="AP333" s="1028">
        <v>0</v>
      </c>
      <c r="AQ333" s="1193">
        <f>'CONCEPTOS Y PARAMETROS'!$C$21*AP333</f>
        <v>0</v>
      </c>
      <c r="AR333" s="1394">
        <v>0</v>
      </c>
      <c r="AS333" s="1394">
        <v>0</v>
      </c>
      <c r="AT333" s="1394">
        <f t="shared" si="994"/>
        <v>0</v>
      </c>
      <c r="AU333" s="1151">
        <f t="shared" si="995"/>
        <v>339.99</v>
      </c>
      <c r="AV333" s="1178">
        <v>0</v>
      </c>
      <c r="AW333" s="1151">
        <f t="shared" si="996"/>
        <v>0</v>
      </c>
      <c r="AX333" s="1150">
        <f>IF(T333&lt;&gt;"0",(ROUND(IF(A333="EMPLEADO",eval_formula('CONCEPTOS Y PARAMETROS'!$C$8,NOMINA!V333,NOMINA!$AU333,NOMINA!I333+NOMINA!J333),eval_formula('CONCEPTOS Y PARAMETROS'!$D$8,NOMINA!V333,NOMINA!$AU333,NOMINA!I333+NOMINA!J333)),2))*IF(H333&lt;&gt;"",IF(MONTH(H333)=$BR$8,IF(YEAR(H333)&lt;$BT$7,1,0),0)))</f>
        <v>0</v>
      </c>
      <c r="AY333" s="1151">
        <v>180</v>
      </c>
      <c r="AZ333" s="1150">
        <f>IFERROR(VLOOKUP(AY333,'CONCEPTOS Y PARAMETROS'!Y:Z,2,0),0)</f>
        <v>150</v>
      </c>
      <c r="BA333" s="1150">
        <f t="shared" si="997"/>
        <v>2549.9299999999998</v>
      </c>
      <c r="BB333" s="1150">
        <f t="shared" si="998"/>
        <v>0</v>
      </c>
      <c r="BC333" s="1028">
        <v>0</v>
      </c>
      <c r="BD333" s="1150" t="str">
        <f t="shared" si="999"/>
        <v>0</v>
      </c>
      <c r="BE333" s="1028">
        <v>2</v>
      </c>
      <c r="BF333" s="1150">
        <f t="shared" si="1000"/>
        <v>34</v>
      </c>
      <c r="BG333" s="1151">
        <v>290</v>
      </c>
      <c r="BH333" s="1151">
        <f t="shared" si="1001"/>
        <v>0</v>
      </c>
      <c r="BI333" s="1151">
        <v>0</v>
      </c>
      <c r="BJ333" s="1151">
        <f t="shared" si="1002"/>
        <v>0</v>
      </c>
      <c r="BK333" s="1151">
        <v>0</v>
      </c>
      <c r="BL333" s="1150">
        <f t="shared" si="1029"/>
        <v>12.55</v>
      </c>
      <c r="BM333" s="1150">
        <f t="shared" si="1030"/>
        <v>1.57</v>
      </c>
      <c r="BN333" s="1150">
        <f t="shared" si="1003"/>
        <v>3.4</v>
      </c>
      <c r="BO333" s="1150">
        <v>0</v>
      </c>
      <c r="BP333" s="1150">
        <v>0</v>
      </c>
      <c r="BQ333" s="1396">
        <f t="shared" si="1004"/>
        <v>17.52</v>
      </c>
      <c r="BR333" s="1150">
        <f t="shared" si="1031"/>
        <v>28.25</v>
      </c>
      <c r="BS333" s="1150">
        <f t="shared" si="1032"/>
        <v>6.28</v>
      </c>
      <c r="BT333" s="1150">
        <f t="shared" si="1005"/>
        <v>6.8</v>
      </c>
      <c r="BU333" s="1150">
        <v>0</v>
      </c>
      <c r="BV333" s="1151">
        <f t="shared" si="1006"/>
        <v>41.33</v>
      </c>
      <c r="BW333" s="1155">
        <f t="shared" si="1007"/>
        <v>58.849999999999994</v>
      </c>
      <c r="BX333" s="1155">
        <f t="shared" si="1035"/>
        <v>637.48</v>
      </c>
      <c r="BY333" s="1151">
        <v>0</v>
      </c>
      <c r="BZ333" s="1151">
        <f t="shared" si="1009"/>
        <v>637.48</v>
      </c>
      <c r="CA333" s="1397">
        <f>'CONCEPTOS Y PARAMETROS'!$A$102</f>
        <v>2120</v>
      </c>
      <c r="CB333" s="1155">
        <f t="shared" si="1010"/>
        <v>152.47999999999999</v>
      </c>
      <c r="CC333" s="1156">
        <f t="shared" si="1011"/>
        <v>493.99</v>
      </c>
      <c r="CD333" s="514"/>
      <c r="CE333" s="514"/>
      <c r="CF333" s="520"/>
      <c r="CG333" s="497">
        <f t="shared" si="1012"/>
        <v>152.47999999999999</v>
      </c>
      <c r="CH333" s="1711">
        <f t="shared" si="1013"/>
        <v>290</v>
      </c>
      <c r="CI333" s="497">
        <f t="shared" si="1014"/>
        <v>459.99</v>
      </c>
      <c r="CJ333" s="497">
        <f t="shared" si="1015"/>
        <v>459.99</v>
      </c>
      <c r="CK333" s="497">
        <f t="shared" si="1016"/>
        <v>0</v>
      </c>
      <c r="CL333" s="497">
        <f t="shared" si="1017"/>
        <v>0</v>
      </c>
      <c r="CM333" s="497">
        <f t="shared" si="1018"/>
        <v>0</v>
      </c>
      <c r="CN333" s="498">
        <f t="shared" si="1019"/>
        <v>34</v>
      </c>
      <c r="CO333" s="499">
        <v>0</v>
      </c>
      <c r="CP333" s="498">
        <f t="shared" si="1020"/>
        <v>0</v>
      </c>
      <c r="CQ333" s="500">
        <f t="shared" si="1021"/>
        <v>0</v>
      </c>
      <c r="CR333" s="498">
        <f t="shared" si="1022"/>
        <v>0</v>
      </c>
      <c r="CS333" s="498">
        <f t="shared" si="1023"/>
        <v>34</v>
      </c>
      <c r="CT333" s="498">
        <f t="shared" si="1024"/>
        <v>58.849999999999994</v>
      </c>
      <c r="CU333" s="498">
        <f t="shared" si="1025"/>
        <v>2120</v>
      </c>
      <c r="CV333" s="1554"/>
      <c r="CW333" s="1343" t="s">
        <v>7020</v>
      </c>
      <c r="CX333" s="1343" t="s">
        <v>7307</v>
      </c>
      <c r="CY333" s="472"/>
      <c r="CZ333" s="514" t="s">
        <v>6508</v>
      </c>
      <c r="DA333" s="1199" t="s">
        <v>6173</v>
      </c>
      <c r="DB333" s="1199" t="s">
        <v>6234</v>
      </c>
      <c r="DC333" s="514" t="s">
        <v>6614</v>
      </c>
      <c r="DD333" s="514"/>
      <c r="DE333" s="514"/>
      <c r="DF333" s="472"/>
      <c r="DG333" s="472"/>
      <c r="DH333" s="472"/>
      <c r="DJ333" s="473" t="str">
        <f>VLOOKUP(X333,Hoja1!$A$4:$B$10,2,0)</f>
        <v>BACHILLER</v>
      </c>
      <c r="DK333" s="473" t="str">
        <f>VLOOKUP(S333,Hoja1!$D$4:$F$77,3,0)</f>
        <v>GRADO (5) - MÁX</v>
      </c>
      <c r="DL333" s="1216" t="str">
        <f t="shared" si="1026"/>
        <v>0</v>
      </c>
      <c r="DM333" s="1741" t="str">
        <f t="shared" si="1027"/>
        <v>F</v>
      </c>
      <c r="DN333" s="1741"/>
    </row>
    <row r="334" spans="1:118" s="473" customFormat="1" ht="21.95" customHeight="1">
      <c r="A334" s="510" t="s">
        <v>2834</v>
      </c>
      <c r="B334" s="1390">
        <f t="shared" ca="1" si="1028"/>
        <v>23</v>
      </c>
      <c r="C334" s="1028">
        <v>10908543</v>
      </c>
      <c r="D334" s="1343" t="s">
        <v>4983</v>
      </c>
      <c r="E334" s="1180" t="s">
        <v>4622</v>
      </c>
      <c r="F334" s="1161">
        <v>25954</v>
      </c>
      <c r="G334" s="1180" t="s">
        <v>4621</v>
      </c>
      <c r="H334" s="1161">
        <v>42751</v>
      </c>
      <c r="I334" s="1185">
        <f t="shared" si="981"/>
        <v>8</v>
      </c>
      <c r="J334" s="1177">
        <v>0</v>
      </c>
      <c r="K334" s="1185">
        <f t="shared" si="982"/>
        <v>8</v>
      </c>
      <c r="L334" s="1191" t="s">
        <v>5565</v>
      </c>
      <c r="M334" s="1177"/>
      <c r="N334" s="1177"/>
      <c r="O334" s="1040" t="s">
        <v>5092</v>
      </c>
      <c r="P334" s="1177" t="s">
        <v>5124</v>
      </c>
      <c r="Q334" s="1391">
        <v>2202</v>
      </c>
      <c r="R334" s="1514" t="s">
        <v>5092</v>
      </c>
      <c r="S334" s="1513">
        <v>5</v>
      </c>
      <c r="T334" s="1150">
        <f>IFERROR(VLOOKUP(S334,'TAB OBR'!A:B,2,0),0)</f>
        <v>171</v>
      </c>
      <c r="U334" s="1151">
        <v>0</v>
      </c>
      <c r="V334" s="1150">
        <f t="shared" si="983"/>
        <v>171</v>
      </c>
      <c r="W334" s="1151">
        <f t="shared" si="984"/>
        <v>85.5</v>
      </c>
      <c r="X334" s="1180" t="s">
        <v>2884</v>
      </c>
      <c r="Y334" s="1180" t="s">
        <v>2884</v>
      </c>
      <c r="Z334" s="1180">
        <v>0</v>
      </c>
      <c r="AA334" s="1150">
        <f>ROUND(IF(H334&lt;&gt;"",VLOOKUP(SUM(I334+J334),'CONCEPTOS Y PARAMETROS'!F:G,2,0)*V334,0),2)</f>
        <v>14.71</v>
      </c>
      <c r="AB334" s="1150">
        <f>IF(S334&lt;&gt;"",IF(M334="",'CONCEPTOS Y PARAMETROS'!$C$4,0),0)</f>
        <v>130</v>
      </c>
      <c r="AC334" s="1150">
        <f>IF(S334&lt;&gt;"",IF(M334="",'CONCEPTOS Y PARAMETROS'!$C$7*Z334,0),0)</f>
        <v>0</v>
      </c>
      <c r="AD334" s="1150">
        <f>IFERROR(ROUND(VLOOKUP($X334,'CONCEPTOS Y PARAMETROS'!H:I,2,0)*($V334+AA334+AB334+AC334),2),0)</f>
        <v>0</v>
      </c>
      <c r="AE334" s="1150">
        <f t="shared" si="985"/>
        <v>144.71</v>
      </c>
      <c r="AF334" s="1150">
        <f t="shared" si="986"/>
        <v>7.36</v>
      </c>
      <c r="AG334" s="1150">
        <f t="shared" si="987"/>
        <v>7.35</v>
      </c>
      <c r="AH334" s="1150">
        <f t="shared" si="988"/>
        <v>65</v>
      </c>
      <c r="AI334" s="1150">
        <f t="shared" si="989"/>
        <v>65</v>
      </c>
      <c r="AJ334" s="1150">
        <f t="shared" si="990"/>
        <v>0</v>
      </c>
      <c r="AK334" s="1150">
        <f t="shared" si="991"/>
        <v>0</v>
      </c>
      <c r="AL334" s="1151">
        <f t="shared" si="992"/>
        <v>72.36</v>
      </c>
      <c r="AM334" s="1151">
        <f t="shared" si="993"/>
        <v>72.349999999999994</v>
      </c>
      <c r="AN334" s="1028">
        <v>0</v>
      </c>
      <c r="AO334" s="1193">
        <f>'CONCEPTOS Y PARAMETROS'!$C$18*AN334</f>
        <v>0</v>
      </c>
      <c r="AP334" s="1028">
        <v>0</v>
      </c>
      <c r="AQ334" s="1193">
        <f>'CONCEPTOS Y PARAMETROS'!$C$21*AP334</f>
        <v>0</v>
      </c>
      <c r="AR334" s="1394">
        <v>0</v>
      </c>
      <c r="AS334" s="1394">
        <v>0</v>
      </c>
      <c r="AT334" s="1394">
        <f t="shared" si="994"/>
        <v>0</v>
      </c>
      <c r="AU334" s="1151">
        <f t="shared" si="995"/>
        <v>315.71000000000004</v>
      </c>
      <c r="AV334" s="1178">
        <v>0</v>
      </c>
      <c r="AW334" s="1151">
        <f t="shared" si="996"/>
        <v>0</v>
      </c>
      <c r="AX334" s="1150">
        <f>IF(T334&lt;&gt;"0",(ROUND(IF(A334="EMPLEADO",eval_formula('CONCEPTOS Y PARAMETROS'!$C$8,NOMINA!V334,NOMINA!$AU334,NOMINA!I334+NOMINA!J334),eval_formula('CONCEPTOS Y PARAMETROS'!$D$8,NOMINA!V334,NOMINA!$AU334,NOMINA!I334+NOMINA!J334)),2))*IF(H334&lt;&gt;"",IF(MONTH(H334)=$BR$8,IF(YEAR(H334)&lt;$BT$7,1,0),0)))</f>
        <v>2525.6799999999998</v>
      </c>
      <c r="AY334" s="1151">
        <v>180</v>
      </c>
      <c r="AZ334" s="1150">
        <f>IFERROR(VLOOKUP(AY334,'CONCEPTOS Y PARAMETROS'!Y:Z,2,0),0)</f>
        <v>150</v>
      </c>
      <c r="BA334" s="1150">
        <f t="shared" si="997"/>
        <v>2367.83</v>
      </c>
      <c r="BB334" s="1150">
        <f t="shared" si="998"/>
        <v>0</v>
      </c>
      <c r="BC334" s="1028">
        <v>0</v>
      </c>
      <c r="BD334" s="1150" t="str">
        <f t="shared" si="999"/>
        <v>0</v>
      </c>
      <c r="BE334" s="1028">
        <v>1</v>
      </c>
      <c r="BF334" s="1150">
        <f t="shared" si="1000"/>
        <v>15.79</v>
      </c>
      <c r="BG334" s="1151">
        <v>290</v>
      </c>
      <c r="BH334" s="1151">
        <f t="shared" si="1001"/>
        <v>0</v>
      </c>
      <c r="BI334" s="1151">
        <v>0</v>
      </c>
      <c r="BJ334" s="1151">
        <f t="shared" si="1002"/>
        <v>0</v>
      </c>
      <c r="BK334" s="1151">
        <v>0</v>
      </c>
      <c r="BL334" s="1150">
        <f t="shared" si="1029"/>
        <v>11.66</v>
      </c>
      <c r="BM334" s="1150">
        <f t="shared" si="1030"/>
        <v>1.46</v>
      </c>
      <c r="BN334" s="1150">
        <f t="shared" si="1003"/>
        <v>3.16</v>
      </c>
      <c r="BO334" s="1150">
        <v>0</v>
      </c>
      <c r="BP334" s="1150">
        <v>0</v>
      </c>
      <c r="BQ334" s="1396">
        <f t="shared" si="1004"/>
        <v>16.28</v>
      </c>
      <c r="BR334" s="1150">
        <f t="shared" si="1031"/>
        <v>26.23</v>
      </c>
      <c r="BS334" s="1150">
        <f t="shared" si="1032"/>
        <v>5.83</v>
      </c>
      <c r="BT334" s="1150">
        <f t="shared" si="1005"/>
        <v>6.32</v>
      </c>
      <c r="BU334" s="1150">
        <v>0</v>
      </c>
      <c r="BV334" s="1151">
        <f t="shared" si="1006"/>
        <v>38.380000000000003</v>
      </c>
      <c r="BW334" s="1155">
        <f t="shared" si="1007"/>
        <v>54.660000000000004</v>
      </c>
      <c r="BX334" s="1155">
        <f t="shared" si="1035"/>
        <v>591.96</v>
      </c>
      <c r="BY334" s="1151">
        <v>0</v>
      </c>
      <c r="BZ334" s="1151">
        <f t="shared" si="1009"/>
        <v>591.96</v>
      </c>
      <c r="CA334" s="1397">
        <f>'CONCEPTOS Y PARAMETROS'!$A$102</f>
        <v>2120</v>
      </c>
      <c r="CB334" s="1155">
        <f t="shared" si="1010"/>
        <v>141.58000000000001</v>
      </c>
      <c r="CC334" s="1156">
        <f t="shared" si="1011"/>
        <v>2989.32</v>
      </c>
      <c r="CD334" s="514"/>
      <c r="CE334" s="514"/>
      <c r="CF334" s="520"/>
      <c r="CG334" s="497">
        <f t="shared" si="1012"/>
        <v>141.58000000000001</v>
      </c>
      <c r="CH334" s="1711">
        <f t="shared" si="1013"/>
        <v>290</v>
      </c>
      <c r="CI334" s="497">
        <f t="shared" si="1014"/>
        <v>447.85</v>
      </c>
      <c r="CJ334" s="497">
        <f t="shared" si="1015"/>
        <v>447.85</v>
      </c>
      <c r="CK334" s="497">
        <f t="shared" si="1016"/>
        <v>0</v>
      </c>
      <c r="CL334" s="497">
        <f t="shared" si="1017"/>
        <v>0</v>
      </c>
      <c r="CM334" s="497">
        <f t="shared" si="1018"/>
        <v>0</v>
      </c>
      <c r="CN334" s="498">
        <f t="shared" si="1019"/>
        <v>15.79</v>
      </c>
      <c r="CO334" s="499">
        <v>0</v>
      </c>
      <c r="CP334" s="498">
        <f t="shared" si="1020"/>
        <v>0</v>
      </c>
      <c r="CQ334" s="500">
        <f t="shared" si="1021"/>
        <v>0</v>
      </c>
      <c r="CR334" s="498">
        <f t="shared" si="1022"/>
        <v>2525.6799999999998</v>
      </c>
      <c r="CS334" s="498">
        <f t="shared" si="1023"/>
        <v>2541.4699999999998</v>
      </c>
      <c r="CT334" s="498">
        <f t="shared" si="1024"/>
        <v>54.660000000000004</v>
      </c>
      <c r="CU334" s="498">
        <f t="shared" si="1025"/>
        <v>2120</v>
      </c>
      <c r="CV334" s="1554"/>
      <c r="CW334" s="1343" t="s">
        <v>7081</v>
      </c>
      <c r="CX334" s="1343" t="s">
        <v>7308</v>
      </c>
      <c r="CY334" s="472"/>
      <c r="CZ334" s="514" t="s">
        <v>6509</v>
      </c>
      <c r="DA334" s="514" t="s">
        <v>6173</v>
      </c>
      <c r="DB334" s="514" t="s">
        <v>6185</v>
      </c>
      <c r="DC334" s="514" t="s">
        <v>6726</v>
      </c>
      <c r="DD334" s="514"/>
      <c r="DE334" s="514"/>
      <c r="DF334" s="472"/>
      <c r="DG334" s="472"/>
      <c r="DH334" s="472"/>
      <c r="DJ334" s="473" t="str">
        <f>VLOOKUP(X334,Hoja1!$A$4:$B$10,2,0)</f>
        <v>BACHILLER</v>
      </c>
      <c r="DK334" s="473" t="str">
        <f>VLOOKUP(S334,Hoja1!$D$4:$F$77,3,0)</f>
        <v>GRADO (5) - MÁX</v>
      </c>
      <c r="DL334" s="1216" t="str">
        <f t="shared" si="1026"/>
        <v>0</v>
      </c>
      <c r="DM334" s="1741" t="str">
        <f t="shared" si="1027"/>
        <v>M</v>
      </c>
      <c r="DN334" s="1741"/>
    </row>
    <row r="335" spans="1:118" s="473" customFormat="1" ht="21.95" customHeight="1">
      <c r="A335" s="510" t="s">
        <v>2834</v>
      </c>
      <c r="B335" s="1390">
        <f t="shared" ca="1" si="1028"/>
        <v>24</v>
      </c>
      <c r="C335" s="1028">
        <v>10909678</v>
      </c>
      <c r="D335" s="1343" t="s">
        <v>4984</v>
      </c>
      <c r="E335" s="1180" t="s">
        <v>4622</v>
      </c>
      <c r="F335" s="1161">
        <v>24596</v>
      </c>
      <c r="G335" s="1180" t="s">
        <v>4621</v>
      </c>
      <c r="H335" s="1161">
        <v>43952</v>
      </c>
      <c r="I335" s="1185">
        <f t="shared" si="981"/>
        <v>4</v>
      </c>
      <c r="J335" s="1177">
        <v>0</v>
      </c>
      <c r="K335" s="1185">
        <f t="shared" si="982"/>
        <v>4</v>
      </c>
      <c r="L335" s="1191" t="s">
        <v>5565</v>
      </c>
      <c r="M335" s="1177"/>
      <c r="N335" s="1177"/>
      <c r="O335" s="1040" t="s">
        <v>5093</v>
      </c>
      <c r="P335" s="1177" t="s">
        <v>5125</v>
      </c>
      <c r="Q335" s="1391">
        <v>7102</v>
      </c>
      <c r="R335" s="1514" t="s">
        <v>5093</v>
      </c>
      <c r="S335" s="1513">
        <v>1</v>
      </c>
      <c r="T335" s="1150">
        <f>IFERROR(VLOOKUP(S335,'TAB OBR'!A:B,2,0),0)</f>
        <v>130</v>
      </c>
      <c r="U335" s="1151">
        <v>0</v>
      </c>
      <c r="V335" s="1150">
        <f t="shared" si="983"/>
        <v>130</v>
      </c>
      <c r="W335" s="1151">
        <f t="shared" si="984"/>
        <v>65</v>
      </c>
      <c r="X335" s="1180" t="s">
        <v>2884</v>
      </c>
      <c r="Y335" s="1180" t="s">
        <v>2884</v>
      </c>
      <c r="Z335" s="1180">
        <v>0</v>
      </c>
      <c r="AA335" s="1150">
        <f>ROUND(IF(H335&lt;&gt;"",VLOOKUP(SUM(I335+J335),'CONCEPTOS Y PARAMETROS'!F:G,2,0)*V335,0),2)</f>
        <v>5.2</v>
      </c>
      <c r="AB335" s="1150">
        <f>IF(S335&lt;&gt;"",IF(M335="",'CONCEPTOS Y PARAMETROS'!$C$4,0),0)</f>
        <v>130</v>
      </c>
      <c r="AC335" s="1150">
        <f>IF(S335&lt;&gt;"",IF(M335="",'CONCEPTOS Y PARAMETROS'!$C$7*Z335,0),0)</f>
        <v>0</v>
      </c>
      <c r="AD335" s="1150">
        <f>IFERROR(ROUND(VLOOKUP($X335,'CONCEPTOS Y PARAMETROS'!H:I,2,0)*($V335+AA335+AB335+AC335),2),0)</f>
        <v>0</v>
      </c>
      <c r="AE335" s="1150">
        <f t="shared" si="985"/>
        <v>135.19999999999999</v>
      </c>
      <c r="AF335" s="1150">
        <f t="shared" si="986"/>
        <v>2.6</v>
      </c>
      <c r="AG335" s="1150">
        <f t="shared" si="987"/>
        <v>2.6</v>
      </c>
      <c r="AH335" s="1150">
        <f t="shared" si="988"/>
        <v>65</v>
      </c>
      <c r="AI335" s="1150">
        <f t="shared" si="989"/>
        <v>65</v>
      </c>
      <c r="AJ335" s="1150">
        <f t="shared" si="990"/>
        <v>0</v>
      </c>
      <c r="AK335" s="1150">
        <f t="shared" si="991"/>
        <v>0</v>
      </c>
      <c r="AL335" s="1151">
        <f t="shared" si="992"/>
        <v>67.599999999999994</v>
      </c>
      <c r="AM335" s="1151">
        <f t="shared" si="993"/>
        <v>67.599999999999994</v>
      </c>
      <c r="AN335" s="1028">
        <v>0</v>
      </c>
      <c r="AO335" s="1193">
        <f>'CONCEPTOS Y PARAMETROS'!$C$18*AN335</f>
        <v>0</v>
      </c>
      <c r="AP335" s="1028">
        <v>0</v>
      </c>
      <c r="AQ335" s="1193">
        <f>'CONCEPTOS Y PARAMETROS'!$C$21*AP335</f>
        <v>0</v>
      </c>
      <c r="AR335" s="1394">
        <v>0</v>
      </c>
      <c r="AS335" s="1394">
        <v>0</v>
      </c>
      <c r="AT335" s="1394">
        <f t="shared" si="994"/>
        <v>0</v>
      </c>
      <c r="AU335" s="1151">
        <f t="shared" si="995"/>
        <v>265.2</v>
      </c>
      <c r="AV335" s="1178">
        <v>0</v>
      </c>
      <c r="AW335" s="1151">
        <f t="shared" si="996"/>
        <v>0</v>
      </c>
      <c r="AX335" s="1150">
        <f>IF(T335&lt;&gt;"0",(ROUND(IF(A335="EMPLEADO",eval_formula('CONCEPTOS Y PARAMETROS'!$C$8,NOMINA!V335,NOMINA!$AU335,NOMINA!I335+NOMINA!J335),eval_formula('CONCEPTOS Y PARAMETROS'!$D$8,NOMINA!V335,NOMINA!$AU335,NOMINA!I335+NOMINA!J335)),2))*IF(H335&lt;&gt;"",IF(MONTH(H335)=$BR$8,IF(YEAR(H335)&lt;$BT$7,1,0),0)))</f>
        <v>0</v>
      </c>
      <c r="AY335" s="1151">
        <v>180</v>
      </c>
      <c r="AZ335" s="1150">
        <f>IFERROR(VLOOKUP(AY335,'CONCEPTOS Y PARAMETROS'!Y:Z,2,0),0)</f>
        <v>150</v>
      </c>
      <c r="BA335" s="1150">
        <f t="shared" si="997"/>
        <v>1989</v>
      </c>
      <c r="BB335" s="1150">
        <f t="shared" si="998"/>
        <v>0</v>
      </c>
      <c r="BC335" s="1028">
        <v>0</v>
      </c>
      <c r="BD335" s="1150" t="str">
        <f t="shared" si="999"/>
        <v>0</v>
      </c>
      <c r="BE335" s="1028">
        <v>0</v>
      </c>
      <c r="BF335" s="1150">
        <f t="shared" si="1000"/>
        <v>0</v>
      </c>
      <c r="BG335" s="1151">
        <v>290</v>
      </c>
      <c r="BH335" s="1151">
        <f t="shared" si="1001"/>
        <v>0</v>
      </c>
      <c r="BI335" s="1151">
        <v>0</v>
      </c>
      <c r="BJ335" s="1151">
        <f t="shared" si="1002"/>
        <v>0</v>
      </c>
      <c r="BK335" s="1151">
        <v>0</v>
      </c>
      <c r="BL335" s="1150">
        <f t="shared" si="1029"/>
        <v>9.7899999999999991</v>
      </c>
      <c r="BM335" s="1150">
        <f t="shared" si="1030"/>
        <v>1.22</v>
      </c>
      <c r="BN335" s="1150">
        <f t="shared" si="1003"/>
        <v>2.65</v>
      </c>
      <c r="BO335" s="1150">
        <v>0</v>
      </c>
      <c r="BP335" s="1150">
        <v>0</v>
      </c>
      <c r="BQ335" s="1396">
        <f t="shared" si="1004"/>
        <v>13.66</v>
      </c>
      <c r="BR335" s="1150">
        <f t="shared" si="1031"/>
        <v>22.03</v>
      </c>
      <c r="BS335" s="1150">
        <f t="shared" si="1032"/>
        <v>4.9000000000000004</v>
      </c>
      <c r="BT335" s="1150">
        <f t="shared" si="1005"/>
        <v>5.3</v>
      </c>
      <c r="BU335" s="1150">
        <v>0</v>
      </c>
      <c r="BV335" s="1151">
        <f t="shared" si="1006"/>
        <v>32.229999999999997</v>
      </c>
      <c r="BW335" s="1155">
        <f t="shared" si="1007"/>
        <v>45.89</v>
      </c>
      <c r="BX335" s="1155">
        <f t="shared" si="1035"/>
        <v>497.25</v>
      </c>
      <c r="BY335" s="1151">
        <v>0</v>
      </c>
      <c r="BZ335" s="1151">
        <f t="shared" si="1009"/>
        <v>497.25</v>
      </c>
      <c r="CA335" s="1397">
        <f>'CONCEPTOS Y PARAMETROS'!$A$102</f>
        <v>2120</v>
      </c>
      <c r="CB335" s="1155">
        <f t="shared" si="1010"/>
        <v>118.94</v>
      </c>
      <c r="CC335" s="1156">
        <f t="shared" si="1011"/>
        <v>422.6</v>
      </c>
      <c r="CD335" s="514"/>
      <c r="CE335" s="514"/>
      <c r="CF335" s="520"/>
      <c r="CG335" s="497">
        <f t="shared" si="1012"/>
        <v>118.94</v>
      </c>
      <c r="CH335" s="1711">
        <f t="shared" si="1013"/>
        <v>290</v>
      </c>
      <c r="CI335" s="497">
        <f t="shared" si="1014"/>
        <v>422.6</v>
      </c>
      <c r="CJ335" s="497">
        <f t="shared" si="1015"/>
        <v>422.6</v>
      </c>
      <c r="CK335" s="497">
        <f t="shared" si="1016"/>
        <v>0</v>
      </c>
      <c r="CL335" s="497">
        <f t="shared" si="1017"/>
        <v>0</v>
      </c>
      <c r="CM335" s="497">
        <f t="shared" si="1018"/>
        <v>0</v>
      </c>
      <c r="CN335" s="498">
        <f t="shared" si="1019"/>
        <v>0</v>
      </c>
      <c r="CO335" s="499">
        <v>0</v>
      </c>
      <c r="CP335" s="498">
        <f t="shared" si="1020"/>
        <v>0</v>
      </c>
      <c r="CQ335" s="500">
        <f t="shared" si="1021"/>
        <v>0</v>
      </c>
      <c r="CR335" s="498">
        <f t="shared" si="1022"/>
        <v>0</v>
      </c>
      <c r="CS335" s="498">
        <f t="shared" si="1023"/>
        <v>0</v>
      </c>
      <c r="CT335" s="498">
        <f t="shared" si="1024"/>
        <v>45.89</v>
      </c>
      <c r="CU335" s="498">
        <f t="shared" si="1025"/>
        <v>2120</v>
      </c>
      <c r="CV335" s="1554"/>
      <c r="CW335" s="1343" t="s">
        <v>7164</v>
      </c>
      <c r="CX335" s="1343" t="s">
        <v>6944</v>
      </c>
      <c r="CY335" s="472"/>
      <c r="CZ335" s="514" t="s">
        <v>6510</v>
      </c>
      <c r="DA335" s="514" t="s">
        <v>6173</v>
      </c>
      <c r="DB335" s="514" t="s">
        <v>6202</v>
      </c>
      <c r="DC335" s="514" t="s">
        <v>6271</v>
      </c>
      <c r="DD335" s="514"/>
      <c r="DE335" s="514"/>
      <c r="DF335" s="472"/>
      <c r="DG335" s="472"/>
      <c r="DH335" s="472"/>
      <c r="DJ335" s="473" t="str">
        <f>VLOOKUP(X335,Hoja1!$A$4:$B$10,2,0)</f>
        <v>BACHILLER</v>
      </c>
      <c r="DK335" s="473" t="str">
        <f>VLOOKUP(S335,Hoja1!$D$4:$F$77,3,0)</f>
        <v>GRADO (1) - MIN</v>
      </c>
      <c r="DL335" s="1216" t="str">
        <f t="shared" si="1026"/>
        <v>0</v>
      </c>
      <c r="DM335" s="1741" t="str">
        <f t="shared" si="1027"/>
        <v>M</v>
      </c>
      <c r="DN335" s="1741"/>
    </row>
    <row r="336" spans="1:118" s="473" customFormat="1" ht="21.95" customHeight="1">
      <c r="A336" s="510" t="s">
        <v>2834</v>
      </c>
      <c r="B336" s="1390">
        <f t="shared" ca="1" si="1028"/>
        <v>25</v>
      </c>
      <c r="C336" s="1028">
        <v>10909819</v>
      </c>
      <c r="D336" s="1343" t="s">
        <v>4985</v>
      </c>
      <c r="E336" s="1180" t="s">
        <v>4622</v>
      </c>
      <c r="F336" s="1161">
        <v>24732</v>
      </c>
      <c r="G336" s="1180" t="s">
        <v>4621</v>
      </c>
      <c r="H336" s="1161">
        <v>43359</v>
      </c>
      <c r="I336" s="1185">
        <f t="shared" si="981"/>
        <v>6</v>
      </c>
      <c r="J336" s="1177">
        <v>0</v>
      </c>
      <c r="K336" s="1185">
        <f t="shared" si="982"/>
        <v>6</v>
      </c>
      <c r="L336" s="1191" t="s">
        <v>5565</v>
      </c>
      <c r="M336" s="1177"/>
      <c r="N336" s="1177"/>
      <c r="O336" s="1040" t="s">
        <v>5092</v>
      </c>
      <c r="P336" s="1177" t="s">
        <v>5126</v>
      </c>
      <c r="Q336" s="1391">
        <v>2202</v>
      </c>
      <c r="R336" s="1514" t="s">
        <v>5092</v>
      </c>
      <c r="S336" s="1513">
        <v>5</v>
      </c>
      <c r="T336" s="1150">
        <f>IFERROR(VLOOKUP(S336,'TAB OBR'!A:B,2,0),0)</f>
        <v>171</v>
      </c>
      <c r="U336" s="1151">
        <v>0</v>
      </c>
      <c r="V336" s="1150">
        <f t="shared" si="983"/>
        <v>171</v>
      </c>
      <c r="W336" s="1151">
        <f t="shared" si="984"/>
        <v>85.5</v>
      </c>
      <c r="X336" s="1180" t="s">
        <v>2884</v>
      </c>
      <c r="Y336" s="1180" t="s">
        <v>2884</v>
      </c>
      <c r="Z336" s="1180">
        <v>0</v>
      </c>
      <c r="AA336" s="1150">
        <f>ROUND(IF(H336&lt;&gt;"",VLOOKUP(SUM(I336+J336),'CONCEPTOS Y PARAMETROS'!F:G,2,0)*V336,0),2)</f>
        <v>10.6</v>
      </c>
      <c r="AB336" s="1150">
        <f>IF(S336&lt;&gt;"",IF(M336="",'CONCEPTOS Y PARAMETROS'!$C$4,0),0)</f>
        <v>130</v>
      </c>
      <c r="AC336" s="1150">
        <f>IF(S336&lt;&gt;"",IF(M336="",'CONCEPTOS Y PARAMETROS'!$C$7*Z336,0),0)</f>
        <v>0</v>
      </c>
      <c r="AD336" s="1150">
        <f>IFERROR(ROUND(VLOOKUP($X336,'CONCEPTOS Y PARAMETROS'!H:I,2,0)*($V336+AA336+AB336+AC336),2),0)</f>
        <v>0</v>
      </c>
      <c r="AE336" s="1150">
        <f t="shared" si="985"/>
        <v>140.6</v>
      </c>
      <c r="AF336" s="1150">
        <f t="shared" si="986"/>
        <v>5.3</v>
      </c>
      <c r="AG336" s="1150">
        <f t="shared" si="987"/>
        <v>5.3</v>
      </c>
      <c r="AH336" s="1150">
        <f t="shared" si="988"/>
        <v>65</v>
      </c>
      <c r="AI336" s="1150">
        <f t="shared" si="989"/>
        <v>65</v>
      </c>
      <c r="AJ336" s="1150">
        <f t="shared" si="990"/>
        <v>0</v>
      </c>
      <c r="AK336" s="1150">
        <f t="shared" si="991"/>
        <v>0</v>
      </c>
      <c r="AL336" s="1151">
        <f t="shared" si="992"/>
        <v>70.3</v>
      </c>
      <c r="AM336" s="1151">
        <f t="shared" si="993"/>
        <v>70.3</v>
      </c>
      <c r="AN336" s="1028">
        <v>0</v>
      </c>
      <c r="AO336" s="1193">
        <f>'CONCEPTOS Y PARAMETROS'!$C$18*AN336</f>
        <v>0</v>
      </c>
      <c r="AP336" s="1028">
        <v>0</v>
      </c>
      <c r="AQ336" s="1193">
        <f>'CONCEPTOS Y PARAMETROS'!$C$21*AP336</f>
        <v>0</v>
      </c>
      <c r="AR336" s="1394">
        <v>0</v>
      </c>
      <c r="AS336" s="1394">
        <v>0</v>
      </c>
      <c r="AT336" s="1394">
        <f t="shared" si="994"/>
        <v>0</v>
      </c>
      <c r="AU336" s="1151">
        <f t="shared" si="995"/>
        <v>311.60000000000002</v>
      </c>
      <c r="AV336" s="1178">
        <v>0</v>
      </c>
      <c r="AW336" s="1151">
        <f t="shared" si="996"/>
        <v>0</v>
      </c>
      <c r="AX336" s="1150">
        <f>IF(T336&lt;&gt;"0",(ROUND(IF(A336="EMPLEADO",eval_formula('CONCEPTOS Y PARAMETROS'!$C$8,NOMINA!V336,NOMINA!$AU336,NOMINA!I336+NOMINA!J336),eval_formula('CONCEPTOS Y PARAMETROS'!$D$8,NOMINA!V336,NOMINA!$AU336,NOMINA!I336+NOMINA!J336)),2))*IF(H336&lt;&gt;"",IF(MONTH(H336)=$BR$8,IF(YEAR(H336)&lt;$BT$7,1,0),0)))</f>
        <v>0</v>
      </c>
      <c r="AY336" s="1151">
        <v>180</v>
      </c>
      <c r="AZ336" s="1150">
        <f>IFERROR(VLOOKUP(AY336,'CONCEPTOS Y PARAMETROS'!Y:Z,2,0),0)</f>
        <v>150</v>
      </c>
      <c r="BA336" s="1150">
        <f t="shared" si="997"/>
        <v>2337</v>
      </c>
      <c r="BB336" s="1150">
        <f t="shared" si="998"/>
        <v>0</v>
      </c>
      <c r="BC336" s="1028">
        <v>0</v>
      </c>
      <c r="BD336" s="1150" t="str">
        <f t="shared" si="999"/>
        <v>0</v>
      </c>
      <c r="BE336" s="1028">
        <v>0</v>
      </c>
      <c r="BF336" s="1150">
        <f t="shared" si="1000"/>
        <v>0</v>
      </c>
      <c r="BG336" s="1151">
        <v>290</v>
      </c>
      <c r="BH336" s="1151">
        <f t="shared" si="1001"/>
        <v>0</v>
      </c>
      <c r="BI336" s="1151">
        <v>0</v>
      </c>
      <c r="BJ336" s="1151">
        <f t="shared" si="1002"/>
        <v>0</v>
      </c>
      <c r="BK336" s="1151">
        <v>0</v>
      </c>
      <c r="BL336" s="1150">
        <f t="shared" si="1029"/>
        <v>11.51</v>
      </c>
      <c r="BM336" s="1150">
        <f t="shared" si="1030"/>
        <v>1.44</v>
      </c>
      <c r="BN336" s="1150">
        <f t="shared" si="1003"/>
        <v>3.12</v>
      </c>
      <c r="BO336" s="1150">
        <v>0</v>
      </c>
      <c r="BP336" s="1150">
        <v>0</v>
      </c>
      <c r="BQ336" s="1396">
        <f t="shared" si="1004"/>
        <v>16.07</v>
      </c>
      <c r="BR336" s="1150">
        <f t="shared" si="1031"/>
        <v>25.89</v>
      </c>
      <c r="BS336" s="1150">
        <f t="shared" si="1032"/>
        <v>5.75</v>
      </c>
      <c r="BT336" s="1150">
        <f t="shared" si="1005"/>
        <v>6.24</v>
      </c>
      <c r="BU336" s="1150">
        <v>0</v>
      </c>
      <c r="BV336" s="1151">
        <f t="shared" si="1006"/>
        <v>37.880000000000003</v>
      </c>
      <c r="BW336" s="1155">
        <f t="shared" si="1007"/>
        <v>53.95</v>
      </c>
      <c r="BX336" s="1155">
        <f t="shared" si="1035"/>
        <v>584.25</v>
      </c>
      <c r="BY336" s="1151">
        <v>0</v>
      </c>
      <c r="BZ336" s="1151">
        <f t="shared" si="1009"/>
        <v>584.25</v>
      </c>
      <c r="CA336" s="1397">
        <f>'CONCEPTOS Y PARAMETROS'!$A$102</f>
        <v>2120</v>
      </c>
      <c r="CB336" s="1155">
        <f t="shared" si="1010"/>
        <v>139.73000000000002</v>
      </c>
      <c r="CC336" s="1156">
        <f t="shared" si="1011"/>
        <v>445.8</v>
      </c>
      <c r="CD336" s="514"/>
      <c r="CE336" s="514"/>
      <c r="CF336" s="520"/>
      <c r="CG336" s="497">
        <f t="shared" si="1012"/>
        <v>139.73000000000002</v>
      </c>
      <c r="CH336" s="1711">
        <f t="shared" si="1013"/>
        <v>290</v>
      </c>
      <c r="CI336" s="497">
        <f t="shared" si="1014"/>
        <v>445.8</v>
      </c>
      <c r="CJ336" s="497">
        <f t="shared" si="1015"/>
        <v>445.8</v>
      </c>
      <c r="CK336" s="497">
        <f t="shared" si="1016"/>
        <v>0</v>
      </c>
      <c r="CL336" s="497">
        <f t="shared" si="1017"/>
        <v>0</v>
      </c>
      <c r="CM336" s="497">
        <f t="shared" si="1018"/>
        <v>0</v>
      </c>
      <c r="CN336" s="498">
        <f t="shared" si="1019"/>
        <v>0</v>
      </c>
      <c r="CO336" s="499">
        <v>0</v>
      </c>
      <c r="CP336" s="498">
        <f t="shared" si="1020"/>
        <v>0</v>
      </c>
      <c r="CQ336" s="500">
        <f t="shared" si="1021"/>
        <v>0</v>
      </c>
      <c r="CR336" s="498">
        <f t="shared" si="1022"/>
        <v>0</v>
      </c>
      <c r="CS336" s="498">
        <f t="shared" si="1023"/>
        <v>0</v>
      </c>
      <c r="CT336" s="498">
        <f t="shared" si="1024"/>
        <v>53.95</v>
      </c>
      <c r="CU336" s="498">
        <f t="shared" si="1025"/>
        <v>2120</v>
      </c>
      <c r="CV336" s="1554"/>
      <c r="CW336" s="1343" t="s">
        <v>6981</v>
      </c>
      <c r="CX336" s="1343" t="s">
        <v>6944</v>
      </c>
      <c r="CY336" s="472"/>
      <c r="CZ336" s="514" t="s">
        <v>6511</v>
      </c>
      <c r="DA336" s="514" t="s">
        <v>6320</v>
      </c>
      <c r="DB336" s="514" t="s">
        <v>6240</v>
      </c>
      <c r="DC336" s="514" t="s">
        <v>6700</v>
      </c>
      <c r="DD336" s="514"/>
      <c r="DE336" s="514"/>
      <c r="DF336" s="472"/>
      <c r="DG336" s="472"/>
      <c r="DH336" s="472"/>
      <c r="DJ336" s="473" t="str">
        <f>VLOOKUP(X336,Hoja1!$A$4:$B$10,2,0)</f>
        <v>BACHILLER</v>
      </c>
      <c r="DK336" s="473" t="str">
        <f>VLOOKUP(S336,Hoja1!$D$4:$F$77,3,0)</f>
        <v>GRADO (5) - MÁX</v>
      </c>
      <c r="DL336" s="1216" t="str">
        <f t="shared" si="1026"/>
        <v>0</v>
      </c>
      <c r="DM336" s="1741" t="str">
        <f t="shared" si="1027"/>
        <v>M</v>
      </c>
      <c r="DN336" s="1741"/>
    </row>
    <row r="337" spans="1:118" s="473" customFormat="1" ht="21.95" customHeight="1">
      <c r="A337" s="510" t="s">
        <v>2834</v>
      </c>
      <c r="B337" s="1390">
        <f t="shared" ca="1" si="1028"/>
        <v>26</v>
      </c>
      <c r="C337" s="1028">
        <v>10912635</v>
      </c>
      <c r="D337" s="1343" t="s">
        <v>4986</v>
      </c>
      <c r="E337" s="1180" t="s">
        <v>4622</v>
      </c>
      <c r="F337" s="1161">
        <v>25104</v>
      </c>
      <c r="G337" s="1180" t="s">
        <v>4621</v>
      </c>
      <c r="H337" s="1161">
        <v>44348</v>
      </c>
      <c r="I337" s="1185">
        <f t="shared" si="981"/>
        <v>3</v>
      </c>
      <c r="J337" s="1177">
        <v>0</v>
      </c>
      <c r="K337" s="1185">
        <f t="shared" si="982"/>
        <v>3</v>
      </c>
      <c r="L337" s="1191" t="s">
        <v>5558</v>
      </c>
      <c r="M337" s="1177"/>
      <c r="N337" s="1177"/>
      <c r="O337" s="1040" t="s">
        <v>5090</v>
      </c>
      <c r="P337" s="1177" t="s">
        <v>5127</v>
      </c>
      <c r="Q337" s="1391">
        <v>1151</v>
      </c>
      <c r="R337" s="1514" t="s">
        <v>5090</v>
      </c>
      <c r="S337" s="1513">
        <v>3</v>
      </c>
      <c r="T337" s="1150">
        <f>IFERROR(VLOOKUP(S337,'TAB OBR'!A:B,2,0),0)</f>
        <v>152</v>
      </c>
      <c r="U337" s="1151">
        <v>0</v>
      </c>
      <c r="V337" s="1150">
        <f t="shared" si="983"/>
        <v>152</v>
      </c>
      <c r="W337" s="1151">
        <f t="shared" si="984"/>
        <v>76</v>
      </c>
      <c r="X337" s="1180" t="s">
        <v>2884</v>
      </c>
      <c r="Y337" s="1180" t="s">
        <v>2884</v>
      </c>
      <c r="Z337" s="1180">
        <v>0</v>
      </c>
      <c r="AA337" s="1150">
        <f>ROUND(IF(H337&lt;&gt;"",VLOOKUP(SUM(I337+J337),'CONCEPTOS Y PARAMETROS'!F:G,2,0)*V337,0),2)</f>
        <v>4.5599999999999996</v>
      </c>
      <c r="AB337" s="1150">
        <f>IF(S337&lt;&gt;"",IF(M337="",'CONCEPTOS Y PARAMETROS'!$C$4,0),0)</f>
        <v>130</v>
      </c>
      <c r="AC337" s="1150">
        <f>IF(S337&lt;&gt;"",IF(M337="",'CONCEPTOS Y PARAMETROS'!$C$7*Z337,0),0)</f>
        <v>0</v>
      </c>
      <c r="AD337" s="1150">
        <f>IFERROR(ROUND(VLOOKUP($X337,'CONCEPTOS Y PARAMETROS'!H:I,2,0)*($V337+AA337+AB337+AC337),2),0)</f>
        <v>0</v>
      </c>
      <c r="AE337" s="1150">
        <f t="shared" si="985"/>
        <v>134.56</v>
      </c>
      <c r="AF337" s="1150">
        <f t="shared" si="986"/>
        <v>2.2799999999999998</v>
      </c>
      <c r="AG337" s="1150">
        <f t="shared" si="987"/>
        <v>2.2799999999999998</v>
      </c>
      <c r="AH337" s="1150">
        <f t="shared" si="988"/>
        <v>65</v>
      </c>
      <c r="AI337" s="1150">
        <f t="shared" si="989"/>
        <v>65</v>
      </c>
      <c r="AJ337" s="1150">
        <f t="shared" si="990"/>
        <v>0</v>
      </c>
      <c r="AK337" s="1150">
        <f t="shared" si="991"/>
        <v>0</v>
      </c>
      <c r="AL337" s="1151">
        <f t="shared" si="992"/>
        <v>67.28</v>
      </c>
      <c r="AM337" s="1151">
        <f t="shared" si="993"/>
        <v>67.28</v>
      </c>
      <c r="AN337" s="1028">
        <v>0</v>
      </c>
      <c r="AO337" s="1193">
        <f>'CONCEPTOS Y PARAMETROS'!$C$18*AN337</f>
        <v>0</v>
      </c>
      <c r="AP337" s="1028">
        <v>0</v>
      </c>
      <c r="AQ337" s="1193">
        <f>'CONCEPTOS Y PARAMETROS'!$C$21*AP337</f>
        <v>0</v>
      </c>
      <c r="AR337" s="1394">
        <v>0</v>
      </c>
      <c r="AS337" s="1394">
        <v>0</v>
      </c>
      <c r="AT337" s="1394">
        <f t="shared" si="994"/>
        <v>0</v>
      </c>
      <c r="AU337" s="1151">
        <f t="shared" si="995"/>
        <v>286.56</v>
      </c>
      <c r="AV337" s="1178">
        <v>0</v>
      </c>
      <c r="AW337" s="1151">
        <f t="shared" si="996"/>
        <v>0</v>
      </c>
      <c r="AX337" s="1150">
        <f>IF(T337&lt;&gt;"0",(ROUND(IF(A337="EMPLEADO",eval_formula('CONCEPTOS Y PARAMETROS'!$C$8,NOMINA!V337,NOMINA!$AU337,NOMINA!I337+NOMINA!J337),eval_formula('CONCEPTOS Y PARAMETROS'!$D$8,NOMINA!V337,NOMINA!$AU337,NOMINA!I337+NOMINA!J337)),2))*IF(H337&lt;&gt;"",IF(MONTH(H337)=$BR$8,IF(YEAR(H337)&lt;$BT$7,1,0),0)))</f>
        <v>0</v>
      </c>
      <c r="AY337" s="1151">
        <v>180</v>
      </c>
      <c r="AZ337" s="1150">
        <f>IFERROR(VLOOKUP(AY337,'CONCEPTOS Y PARAMETROS'!Y:Z,2,0),0)</f>
        <v>150</v>
      </c>
      <c r="BA337" s="1150">
        <f t="shared" si="997"/>
        <v>2149.1999999999998</v>
      </c>
      <c r="BB337" s="1150">
        <f t="shared" si="998"/>
        <v>0</v>
      </c>
      <c r="BC337" s="1028">
        <v>0</v>
      </c>
      <c r="BD337" s="1150" t="str">
        <f t="shared" si="999"/>
        <v>0</v>
      </c>
      <c r="BE337" s="1028">
        <v>2</v>
      </c>
      <c r="BF337" s="1150">
        <f t="shared" si="1000"/>
        <v>28.66</v>
      </c>
      <c r="BG337" s="1151">
        <v>290</v>
      </c>
      <c r="BH337" s="1151">
        <f t="shared" si="1001"/>
        <v>0</v>
      </c>
      <c r="BI337" s="1151">
        <v>0</v>
      </c>
      <c r="BJ337" s="1151">
        <f t="shared" si="1002"/>
        <v>0</v>
      </c>
      <c r="BK337" s="1151">
        <v>0</v>
      </c>
      <c r="BL337" s="1150">
        <f t="shared" si="1029"/>
        <v>10.58</v>
      </c>
      <c r="BM337" s="1150">
        <f t="shared" si="1030"/>
        <v>1.32</v>
      </c>
      <c r="BN337" s="1150">
        <f t="shared" si="1003"/>
        <v>2.87</v>
      </c>
      <c r="BO337" s="1150">
        <v>0</v>
      </c>
      <c r="BP337" s="1150">
        <v>0</v>
      </c>
      <c r="BQ337" s="1396">
        <f t="shared" si="1004"/>
        <v>14.77</v>
      </c>
      <c r="BR337" s="1150">
        <f t="shared" si="1031"/>
        <v>23.81</v>
      </c>
      <c r="BS337" s="1150">
        <f t="shared" si="1032"/>
        <v>5.29</v>
      </c>
      <c r="BT337" s="1150">
        <f t="shared" si="1005"/>
        <v>5.74</v>
      </c>
      <c r="BU337" s="1150">
        <v>0</v>
      </c>
      <c r="BV337" s="1151">
        <f t="shared" si="1006"/>
        <v>34.840000000000003</v>
      </c>
      <c r="BW337" s="1155">
        <f t="shared" si="1007"/>
        <v>49.61</v>
      </c>
      <c r="BX337" s="1155">
        <f t="shared" si="1035"/>
        <v>537.29999999999995</v>
      </c>
      <c r="BY337" s="1151">
        <v>0</v>
      </c>
      <c r="BZ337" s="1151">
        <f t="shared" si="1009"/>
        <v>537.29999999999995</v>
      </c>
      <c r="CA337" s="1397">
        <f>'CONCEPTOS Y PARAMETROS'!$A$102</f>
        <v>2120</v>
      </c>
      <c r="CB337" s="1155">
        <f t="shared" si="1010"/>
        <v>128.51</v>
      </c>
      <c r="CC337" s="1156">
        <f t="shared" si="1011"/>
        <v>461.94</v>
      </c>
      <c r="CD337" s="514"/>
      <c r="CE337" s="514"/>
      <c r="CF337" s="520"/>
      <c r="CG337" s="497">
        <f t="shared" si="1012"/>
        <v>128.51</v>
      </c>
      <c r="CH337" s="1711">
        <f t="shared" si="1013"/>
        <v>290</v>
      </c>
      <c r="CI337" s="497">
        <f t="shared" si="1014"/>
        <v>433.28</v>
      </c>
      <c r="CJ337" s="497">
        <f t="shared" si="1015"/>
        <v>433.28</v>
      </c>
      <c r="CK337" s="497">
        <f t="shared" si="1016"/>
        <v>0</v>
      </c>
      <c r="CL337" s="497">
        <f t="shared" si="1017"/>
        <v>0</v>
      </c>
      <c r="CM337" s="497">
        <f t="shared" si="1018"/>
        <v>0</v>
      </c>
      <c r="CN337" s="498">
        <f t="shared" si="1019"/>
        <v>28.66</v>
      </c>
      <c r="CO337" s="499">
        <v>0</v>
      </c>
      <c r="CP337" s="498">
        <f t="shared" si="1020"/>
        <v>0</v>
      </c>
      <c r="CQ337" s="500">
        <f t="shared" si="1021"/>
        <v>0</v>
      </c>
      <c r="CR337" s="498">
        <f t="shared" si="1022"/>
        <v>0</v>
      </c>
      <c r="CS337" s="498">
        <f t="shared" si="1023"/>
        <v>28.66</v>
      </c>
      <c r="CT337" s="498">
        <f t="shared" si="1024"/>
        <v>49.61</v>
      </c>
      <c r="CU337" s="498">
        <f t="shared" si="1025"/>
        <v>2120</v>
      </c>
      <c r="CV337" s="1554"/>
      <c r="CW337" s="1343" t="s">
        <v>7296</v>
      </c>
      <c r="CX337" s="1343" t="s">
        <v>6944</v>
      </c>
      <c r="CY337" s="472"/>
      <c r="CZ337" s="514" t="s">
        <v>6503</v>
      </c>
      <c r="DA337" s="514" t="s">
        <v>6173</v>
      </c>
      <c r="DB337" s="514" t="s">
        <v>6202</v>
      </c>
      <c r="DC337" s="514" t="s">
        <v>6271</v>
      </c>
      <c r="DD337" s="514"/>
      <c r="DE337" s="514"/>
      <c r="DF337" s="472"/>
      <c r="DG337" s="472"/>
      <c r="DH337" s="472"/>
      <c r="DJ337" s="473" t="str">
        <f>VLOOKUP(X337,Hoja1!$A$4:$B$10,2,0)</f>
        <v>BACHILLER</v>
      </c>
      <c r="DK337" s="473" t="str">
        <f>VLOOKUP(S337,Hoja1!$D$4:$F$77,3,0)</f>
        <v>GRADO (3) - MÁX</v>
      </c>
      <c r="DL337" s="1216" t="str">
        <f t="shared" si="1026"/>
        <v>0</v>
      </c>
      <c r="DM337" s="1741" t="str">
        <f t="shared" si="1027"/>
        <v>M</v>
      </c>
      <c r="DN337" s="1741"/>
    </row>
    <row r="338" spans="1:118" s="473" customFormat="1" ht="21.95" customHeight="1">
      <c r="A338" s="510" t="s">
        <v>2834</v>
      </c>
      <c r="B338" s="1390">
        <f t="shared" ca="1" si="1028"/>
        <v>27</v>
      </c>
      <c r="C338" s="1028">
        <v>10915274</v>
      </c>
      <c r="D338" s="1343" t="s">
        <v>4987</v>
      </c>
      <c r="E338" s="1180" t="s">
        <v>4622</v>
      </c>
      <c r="F338" s="1161">
        <v>24551</v>
      </c>
      <c r="G338" s="1180" t="s">
        <v>4620</v>
      </c>
      <c r="H338" s="1161">
        <v>44635</v>
      </c>
      <c r="I338" s="1185">
        <f t="shared" si="981"/>
        <v>2</v>
      </c>
      <c r="J338" s="1177">
        <v>0</v>
      </c>
      <c r="K338" s="1185">
        <f t="shared" si="982"/>
        <v>2</v>
      </c>
      <c r="L338" s="1191" t="s">
        <v>5558</v>
      </c>
      <c r="M338" s="1177"/>
      <c r="N338" s="1177"/>
      <c r="O338" s="1040" t="s">
        <v>5084</v>
      </c>
      <c r="P338" s="1177" t="s">
        <v>5128</v>
      </c>
      <c r="Q338" s="1391">
        <v>7152</v>
      </c>
      <c r="R338" s="1514" t="s">
        <v>5084</v>
      </c>
      <c r="S338" s="1513">
        <v>3</v>
      </c>
      <c r="T338" s="1150">
        <f>IFERROR(VLOOKUP(S338,'TAB OBR'!A:B,2,0),0)</f>
        <v>152</v>
      </c>
      <c r="U338" s="1151">
        <v>0</v>
      </c>
      <c r="V338" s="1150">
        <f t="shared" si="983"/>
        <v>152</v>
      </c>
      <c r="W338" s="1151">
        <f t="shared" si="984"/>
        <v>76</v>
      </c>
      <c r="X338" s="1180" t="s">
        <v>2884</v>
      </c>
      <c r="Y338" s="1180" t="s">
        <v>2884</v>
      </c>
      <c r="Z338" s="1180">
        <v>0</v>
      </c>
      <c r="AA338" s="1150">
        <f>ROUND(IF(H338&lt;&gt;"",VLOOKUP(SUM(I338+J338),'CONCEPTOS Y PARAMETROS'!F:G,2,0)*V338,0),2)</f>
        <v>3.04</v>
      </c>
      <c r="AB338" s="1150">
        <f>IF(S338&lt;&gt;"",IF(M338="",'CONCEPTOS Y PARAMETROS'!$C$4,0),0)</f>
        <v>130</v>
      </c>
      <c r="AC338" s="1150">
        <f>IF(S338&lt;&gt;"",IF(M338="",'CONCEPTOS Y PARAMETROS'!$C$7*Z338,0),0)</f>
        <v>0</v>
      </c>
      <c r="AD338" s="1150">
        <f>IFERROR(ROUND(VLOOKUP($X338,'CONCEPTOS Y PARAMETROS'!H:I,2,0)*($V338+AA338+AB338+AC338),2),0)</f>
        <v>0</v>
      </c>
      <c r="AE338" s="1150">
        <f t="shared" si="985"/>
        <v>133.04</v>
      </c>
      <c r="AF338" s="1150">
        <f t="shared" si="986"/>
        <v>1.52</v>
      </c>
      <c r="AG338" s="1150">
        <f t="shared" si="987"/>
        <v>1.52</v>
      </c>
      <c r="AH338" s="1150">
        <f t="shared" si="988"/>
        <v>65</v>
      </c>
      <c r="AI338" s="1150">
        <f t="shared" si="989"/>
        <v>65</v>
      </c>
      <c r="AJ338" s="1150">
        <f t="shared" si="990"/>
        <v>0</v>
      </c>
      <c r="AK338" s="1150">
        <f t="shared" si="991"/>
        <v>0</v>
      </c>
      <c r="AL338" s="1151">
        <f t="shared" si="992"/>
        <v>66.52</v>
      </c>
      <c r="AM338" s="1151">
        <f t="shared" si="993"/>
        <v>66.52</v>
      </c>
      <c r="AN338" s="1028">
        <v>0</v>
      </c>
      <c r="AO338" s="1193">
        <f>'CONCEPTOS Y PARAMETROS'!$C$18*AN338</f>
        <v>0</v>
      </c>
      <c r="AP338" s="1028">
        <v>0</v>
      </c>
      <c r="AQ338" s="1193">
        <f>'CONCEPTOS Y PARAMETROS'!$C$21*AP338</f>
        <v>0</v>
      </c>
      <c r="AR338" s="1394">
        <v>0</v>
      </c>
      <c r="AS338" s="1394">
        <v>0</v>
      </c>
      <c r="AT338" s="1394">
        <f t="shared" si="994"/>
        <v>0</v>
      </c>
      <c r="AU338" s="1151">
        <f t="shared" si="995"/>
        <v>285.03999999999996</v>
      </c>
      <c r="AV338" s="1178">
        <v>0</v>
      </c>
      <c r="AW338" s="1151">
        <f t="shared" si="996"/>
        <v>0</v>
      </c>
      <c r="AX338" s="1150">
        <f>IF(T338&lt;&gt;"0",(ROUND(IF(A338="EMPLEADO",eval_formula('CONCEPTOS Y PARAMETROS'!$C$8,NOMINA!V338,NOMINA!$AU338,NOMINA!I338+NOMINA!J338),eval_formula('CONCEPTOS Y PARAMETROS'!$D$8,NOMINA!V338,NOMINA!$AU338,NOMINA!I338+NOMINA!J338)),2))*IF(H338&lt;&gt;"",IF(MONTH(H338)=$BR$8,IF(YEAR(H338)&lt;$BT$7,1,0),0)))</f>
        <v>0</v>
      </c>
      <c r="AY338" s="1151">
        <v>180</v>
      </c>
      <c r="AZ338" s="1150">
        <f>IFERROR(VLOOKUP(AY338,'CONCEPTOS Y PARAMETROS'!Y:Z,2,0),0)</f>
        <v>150</v>
      </c>
      <c r="BA338" s="1150">
        <f t="shared" si="997"/>
        <v>2137.8000000000002</v>
      </c>
      <c r="BB338" s="1150">
        <f t="shared" si="998"/>
        <v>0</v>
      </c>
      <c r="BC338" s="1028">
        <v>0</v>
      </c>
      <c r="BD338" s="1150" t="str">
        <f t="shared" si="999"/>
        <v>0</v>
      </c>
      <c r="BE338" s="1028">
        <v>4</v>
      </c>
      <c r="BF338" s="1150">
        <f t="shared" si="1000"/>
        <v>57.01</v>
      </c>
      <c r="BG338" s="1151">
        <v>290</v>
      </c>
      <c r="BH338" s="1151">
        <f t="shared" si="1001"/>
        <v>0</v>
      </c>
      <c r="BI338" s="1151">
        <v>0</v>
      </c>
      <c r="BJ338" s="1151">
        <f t="shared" si="1002"/>
        <v>0</v>
      </c>
      <c r="BK338" s="1151">
        <v>0</v>
      </c>
      <c r="BL338" s="1150">
        <f t="shared" si="1029"/>
        <v>10.52</v>
      </c>
      <c r="BM338" s="1150">
        <f t="shared" si="1030"/>
        <v>1.32</v>
      </c>
      <c r="BN338" s="1150">
        <f t="shared" si="1003"/>
        <v>2.85</v>
      </c>
      <c r="BO338" s="1150">
        <v>0</v>
      </c>
      <c r="BP338" s="1150">
        <v>0</v>
      </c>
      <c r="BQ338" s="1396">
        <f t="shared" si="1004"/>
        <v>14.69</v>
      </c>
      <c r="BR338" s="1150">
        <f t="shared" si="1031"/>
        <v>23.68</v>
      </c>
      <c r="BS338" s="1150">
        <f t="shared" si="1032"/>
        <v>5.26</v>
      </c>
      <c r="BT338" s="1150">
        <f t="shared" si="1005"/>
        <v>5.7</v>
      </c>
      <c r="BU338" s="1150">
        <v>0</v>
      </c>
      <c r="BV338" s="1151">
        <f t="shared" si="1006"/>
        <v>34.64</v>
      </c>
      <c r="BW338" s="1155">
        <f t="shared" si="1007"/>
        <v>49.33</v>
      </c>
      <c r="BX338" s="1155">
        <f t="shared" si="1035"/>
        <v>534.45000000000005</v>
      </c>
      <c r="BY338" s="1151">
        <v>0</v>
      </c>
      <c r="BZ338" s="1151">
        <f t="shared" si="1009"/>
        <v>534.45000000000005</v>
      </c>
      <c r="CA338" s="1397">
        <f>'CONCEPTOS Y PARAMETROS'!$A$102</f>
        <v>2120</v>
      </c>
      <c r="CB338" s="1155">
        <f t="shared" si="1010"/>
        <v>127.82999999999998</v>
      </c>
      <c r="CC338" s="1156">
        <f t="shared" si="1011"/>
        <v>489.53</v>
      </c>
      <c r="CD338" s="514"/>
      <c r="CE338" s="514"/>
      <c r="CF338" s="520"/>
      <c r="CG338" s="497">
        <f t="shared" si="1012"/>
        <v>127.82999999999998</v>
      </c>
      <c r="CH338" s="1711">
        <f t="shared" si="1013"/>
        <v>290</v>
      </c>
      <c r="CI338" s="497">
        <f t="shared" si="1014"/>
        <v>432.52</v>
      </c>
      <c r="CJ338" s="497">
        <f t="shared" si="1015"/>
        <v>432.52</v>
      </c>
      <c r="CK338" s="497">
        <f t="shared" si="1016"/>
        <v>0</v>
      </c>
      <c r="CL338" s="497">
        <f t="shared" si="1017"/>
        <v>0</v>
      </c>
      <c r="CM338" s="497">
        <f t="shared" si="1018"/>
        <v>0</v>
      </c>
      <c r="CN338" s="498">
        <f t="shared" si="1019"/>
        <v>57.01</v>
      </c>
      <c r="CO338" s="499">
        <v>0</v>
      </c>
      <c r="CP338" s="498">
        <f t="shared" si="1020"/>
        <v>0</v>
      </c>
      <c r="CQ338" s="500">
        <f t="shared" si="1021"/>
        <v>0</v>
      </c>
      <c r="CR338" s="498">
        <f t="shared" si="1022"/>
        <v>0</v>
      </c>
      <c r="CS338" s="498">
        <f t="shared" si="1023"/>
        <v>57.01</v>
      </c>
      <c r="CT338" s="498">
        <f t="shared" si="1024"/>
        <v>49.33</v>
      </c>
      <c r="CU338" s="498">
        <f t="shared" si="1025"/>
        <v>2120</v>
      </c>
      <c r="CV338" s="1554"/>
      <c r="CW338" s="1343" t="s">
        <v>6972</v>
      </c>
      <c r="CX338" s="1343" t="s">
        <v>7309</v>
      </c>
      <c r="CY338" s="472"/>
      <c r="CZ338" s="514" t="s">
        <v>6512</v>
      </c>
      <c r="DA338" s="514" t="s">
        <v>6173</v>
      </c>
      <c r="DB338" s="514" t="s">
        <v>6202</v>
      </c>
      <c r="DC338" s="514" t="s">
        <v>6271</v>
      </c>
      <c r="DD338" s="514"/>
      <c r="DE338" s="514"/>
      <c r="DF338" s="472"/>
      <c r="DG338" s="472"/>
      <c r="DH338" s="472"/>
      <c r="DJ338" s="473" t="str">
        <f>VLOOKUP(X338,Hoja1!$A$4:$B$10,2,0)</f>
        <v>BACHILLER</v>
      </c>
      <c r="DK338" s="473" t="str">
        <f>VLOOKUP(S338,Hoja1!$D$4:$F$77,3,0)</f>
        <v>GRADO (3) - MÁX</v>
      </c>
      <c r="DL338" s="1216" t="str">
        <f t="shared" si="1026"/>
        <v>0</v>
      </c>
      <c r="DM338" s="1741" t="str">
        <f t="shared" si="1027"/>
        <v>F</v>
      </c>
      <c r="DN338" s="1741"/>
    </row>
    <row r="339" spans="1:118" s="473" customFormat="1" ht="21.95" customHeight="1">
      <c r="A339" s="510" t="s">
        <v>2834</v>
      </c>
      <c r="B339" s="1390">
        <f t="shared" ca="1" si="1028"/>
        <v>28</v>
      </c>
      <c r="C339" s="1028">
        <v>11129355</v>
      </c>
      <c r="D339" s="1343" t="s">
        <v>4988</v>
      </c>
      <c r="E339" s="1180" t="s">
        <v>4622</v>
      </c>
      <c r="F339" s="1161">
        <v>26326</v>
      </c>
      <c r="G339" s="1180" t="s">
        <v>4621</v>
      </c>
      <c r="H339" s="1161">
        <v>39539</v>
      </c>
      <c r="I339" s="1185">
        <f t="shared" si="981"/>
        <v>16</v>
      </c>
      <c r="J339" s="1177">
        <v>0</v>
      </c>
      <c r="K339" s="1185">
        <f t="shared" si="982"/>
        <v>16</v>
      </c>
      <c r="L339" s="1191" t="s">
        <v>5543</v>
      </c>
      <c r="M339" s="1177"/>
      <c r="N339" s="1177"/>
      <c r="O339" s="1040" t="s">
        <v>5084</v>
      </c>
      <c r="P339" s="1177" t="s">
        <v>5129</v>
      </c>
      <c r="Q339" s="1391">
        <v>7152</v>
      </c>
      <c r="R339" s="1514" t="s">
        <v>5084</v>
      </c>
      <c r="S339" s="1513">
        <v>3</v>
      </c>
      <c r="T339" s="1150">
        <f>IFERROR(VLOOKUP(S339,'TAB OBR'!A:B,2,0),0)</f>
        <v>152</v>
      </c>
      <c r="U339" s="1151">
        <v>0</v>
      </c>
      <c r="V339" s="1150">
        <f t="shared" si="983"/>
        <v>152</v>
      </c>
      <c r="W339" s="1151">
        <f t="shared" si="984"/>
        <v>76</v>
      </c>
      <c r="X339" s="1180" t="s">
        <v>2884</v>
      </c>
      <c r="Y339" s="1180" t="s">
        <v>2884</v>
      </c>
      <c r="Z339" s="1180">
        <v>0</v>
      </c>
      <c r="AA339" s="1150">
        <f>ROUND(IF(H339&lt;&gt;"",VLOOKUP(SUM(I339+J339),'CONCEPTOS Y PARAMETROS'!F:G,2,0)*V339,0),2)</f>
        <v>29.79</v>
      </c>
      <c r="AB339" s="1150">
        <f>IF(S339&lt;&gt;"",IF(M339="",'CONCEPTOS Y PARAMETROS'!$C$4,0),0)</f>
        <v>130</v>
      </c>
      <c r="AC339" s="1150">
        <f>IF(S339&lt;&gt;"",IF(M339="",'CONCEPTOS Y PARAMETROS'!$C$7*Z339,0),0)</f>
        <v>0</v>
      </c>
      <c r="AD339" s="1150">
        <f>IFERROR(ROUND(VLOOKUP($X339,'CONCEPTOS Y PARAMETROS'!H:I,2,0)*($V339+AA339+AB339+AC339),2),0)</f>
        <v>0</v>
      </c>
      <c r="AE339" s="1150">
        <f t="shared" si="985"/>
        <v>159.79</v>
      </c>
      <c r="AF339" s="1150">
        <f t="shared" si="986"/>
        <v>14.9</v>
      </c>
      <c r="AG339" s="1150">
        <f t="shared" si="987"/>
        <v>14.89</v>
      </c>
      <c r="AH339" s="1150">
        <f t="shared" si="988"/>
        <v>65</v>
      </c>
      <c r="AI339" s="1150">
        <f t="shared" si="989"/>
        <v>65</v>
      </c>
      <c r="AJ339" s="1150">
        <f t="shared" si="990"/>
        <v>0</v>
      </c>
      <c r="AK339" s="1150">
        <f t="shared" si="991"/>
        <v>0</v>
      </c>
      <c r="AL339" s="1151">
        <f t="shared" si="992"/>
        <v>79.900000000000006</v>
      </c>
      <c r="AM339" s="1151">
        <f t="shared" si="993"/>
        <v>79.89</v>
      </c>
      <c r="AN339" s="1028">
        <v>0</v>
      </c>
      <c r="AO339" s="1193">
        <f>'CONCEPTOS Y PARAMETROS'!$C$18*AN339</f>
        <v>0</v>
      </c>
      <c r="AP339" s="1028">
        <v>0</v>
      </c>
      <c r="AQ339" s="1193">
        <f>'CONCEPTOS Y PARAMETROS'!$C$21*AP339</f>
        <v>0</v>
      </c>
      <c r="AR339" s="1394">
        <v>0</v>
      </c>
      <c r="AS339" s="1394">
        <v>0</v>
      </c>
      <c r="AT339" s="1394">
        <f t="shared" si="994"/>
        <v>0</v>
      </c>
      <c r="AU339" s="1151">
        <f t="shared" si="995"/>
        <v>405.33</v>
      </c>
      <c r="AV339" s="1178" t="s">
        <v>5080</v>
      </c>
      <c r="AW339" s="1151">
        <f t="shared" si="996"/>
        <v>93.54</v>
      </c>
      <c r="AX339" s="1150">
        <f>IF(T339&lt;&gt;"0",(ROUND(IF(A339="EMPLEADO",eval_formula('CONCEPTOS Y PARAMETROS'!$C$8,NOMINA!V339,NOMINA!$AU339,NOMINA!I339+NOMINA!J339),eval_formula('CONCEPTOS Y PARAMETROS'!$D$8,NOMINA!V339,NOMINA!$AU339,NOMINA!I339+NOMINA!J339)),2))*IF(H339&lt;&gt;"",IF(MONTH(H339)=$BR$8,IF(YEAR(H339)&lt;$BT$7,1,0),0)))</f>
        <v>0</v>
      </c>
      <c r="AY339" s="1151">
        <v>180</v>
      </c>
      <c r="AZ339" s="1150">
        <f>IFERROR(VLOOKUP(AY339,'CONCEPTOS Y PARAMETROS'!Y:Z,2,0),0)</f>
        <v>150</v>
      </c>
      <c r="BA339" s="1150">
        <f t="shared" si="997"/>
        <v>3039.98</v>
      </c>
      <c r="BB339" s="1150">
        <f t="shared" si="998"/>
        <v>0</v>
      </c>
      <c r="BC339" s="1028">
        <v>0</v>
      </c>
      <c r="BD339" s="1150" t="str">
        <f t="shared" si="999"/>
        <v>0</v>
      </c>
      <c r="BE339" s="1028">
        <v>0</v>
      </c>
      <c r="BF339" s="1150">
        <f t="shared" si="1000"/>
        <v>0</v>
      </c>
      <c r="BG339" s="1151">
        <v>290</v>
      </c>
      <c r="BH339" s="1151">
        <f t="shared" si="1001"/>
        <v>0</v>
      </c>
      <c r="BI339" s="1151">
        <v>0</v>
      </c>
      <c r="BJ339" s="1151">
        <f t="shared" si="1002"/>
        <v>0</v>
      </c>
      <c r="BK339" s="1151">
        <v>0</v>
      </c>
      <c r="BL339" s="1150">
        <f t="shared" si="1029"/>
        <v>14.97</v>
      </c>
      <c r="BM339" s="1150">
        <f t="shared" si="1030"/>
        <v>1.87</v>
      </c>
      <c r="BN339" s="1150">
        <f t="shared" si="1003"/>
        <v>4.05</v>
      </c>
      <c r="BO339" s="1150">
        <v>0</v>
      </c>
      <c r="BP339" s="1150">
        <v>0.76</v>
      </c>
      <c r="BQ339" s="1396">
        <f t="shared" si="1004"/>
        <v>21.65</v>
      </c>
      <c r="BR339" s="1150">
        <f t="shared" si="1031"/>
        <v>33.67</v>
      </c>
      <c r="BS339" s="1150">
        <f t="shared" si="1032"/>
        <v>7.48</v>
      </c>
      <c r="BT339" s="1150">
        <f t="shared" si="1005"/>
        <v>8.1</v>
      </c>
      <c r="BU339" s="1150">
        <v>0</v>
      </c>
      <c r="BV339" s="1151">
        <f t="shared" si="1006"/>
        <v>49.25</v>
      </c>
      <c r="BW339" s="1155">
        <f t="shared" si="1007"/>
        <v>70.900000000000006</v>
      </c>
      <c r="BX339" s="1155">
        <f t="shared" si="1035"/>
        <v>760</v>
      </c>
      <c r="BY339" s="1151">
        <v>0</v>
      </c>
      <c r="BZ339" s="1151">
        <f t="shared" si="1009"/>
        <v>760</v>
      </c>
      <c r="CA339" s="1397">
        <f>'CONCEPTOS Y PARAMETROS'!$A$102</f>
        <v>2120</v>
      </c>
      <c r="CB339" s="1155">
        <f t="shared" si="1010"/>
        <v>134.25</v>
      </c>
      <c r="CC339" s="1156">
        <f t="shared" si="1011"/>
        <v>539.42999999999995</v>
      </c>
      <c r="CD339" s="514"/>
      <c r="CE339" s="514"/>
      <c r="CF339" s="520"/>
      <c r="CG339" s="497">
        <f t="shared" si="1012"/>
        <v>134.25</v>
      </c>
      <c r="CH339" s="1711">
        <f t="shared" si="1013"/>
        <v>290</v>
      </c>
      <c r="CI339" s="497">
        <f t="shared" si="1014"/>
        <v>445.89</v>
      </c>
      <c r="CJ339" s="497">
        <f t="shared" si="1015"/>
        <v>445.89</v>
      </c>
      <c r="CK339" s="497">
        <f t="shared" si="1016"/>
        <v>0</v>
      </c>
      <c r="CL339" s="497">
        <f t="shared" si="1017"/>
        <v>0</v>
      </c>
      <c r="CM339" s="497">
        <f t="shared" si="1018"/>
        <v>0</v>
      </c>
      <c r="CN339" s="498">
        <f t="shared" si="1019"/>
        <v>0</v>
      </c>
      <c r="CO339" s="499">
        <v>0</v>
      </c>
      <c r="CP339" s="498">
        <f t="shared" si="1020"/>
        <v>93.54</v>
      </c>
      <c r="CQ339" s="500">
        <f t="shared" si="1021"/>
        <v>0</v>
      </c>
      <c r="CR339" s="498">
        <f t="shared" si="1022"/>
        <v>0</v>
      </c>
      <c r="CS339" s="498">
        <f t="shared" si="1023"/>
        <v>93.54</v>
      </c>
      <c r="CT339" s="498">
        <f t="shared" si="1024"/>
        <v>70.900000000000006</v>
      </c>
      <c r="CU339" s="498">
        <f t="shared" si="1025"/>
        <v>2120</v>
      </c>
      <c r="CV339" s="1554"/>
      <c r="CW339" s="1343" t="s">
        <v>7310</v>
      </c>
      <c r="CX339" s="1343" t="s">
        <v>7311</v>
      </c>
      <c r="CY339" s="472"/>
      <c r="CZ339" s="514" t="s">
        <v>6513</v>
      </c>
      <c r="DA339" s="514" t="s">
        <v>6423</v>
      </c>
      <c r="DB339" s="514" t="s">
        <v>6423</v>
      </c>
      <c r="DC339" s="514" t="s">
        <v>6715</v>
      </c>
      <c r="DD339" s="514"/>
      <c r="DE339" s="514"/>
      <c r="DF339" s="472"/>
      <c r="DG339" s="472"/>
      <c r="DH339" s="472"/>
      <c r="DJ339" s="473" t="str">
        <f>VLOOKUP(X339,Hoja1!$A$4:$B$10,2,0)</f>
        <v>BACHILLER</v>
      </c>
      <c r="DK339" s="473" t="str">
        <f>VLOOKUP(S339,Hoja1!$D$4:$F$77,3,0)</f>
        <v>GRADO (3) - MÁX</v>
      </c>
      <c r="DL339" s="1216" t="str">
        <f t="shared" si="1026"/>
        <v>SI</v>
      </c>
      <c r="DM339" s="1741" t="str">
        <f t="shared" si="1027"/>
        <v>M</v>
      </c>
      <c r="DN339" s="1741"/>
    </row>
    <row r="340" spans="1:118" s="473" customFormat="1" ht="21.95" customHeight="1">
      <c r="A340" s="510" t="s">
        <v>2834</v>
      </c>
      <c r="B340" s="1390">
        <f t="shared" ca="1" si="1028"/>
        <v>29</v>
      </c>
      <c r="C340" s="1028">
        <v>11315202</v>
      </c>
      <c r="D340" s="1343" t="s">
        <v>4989</v>
      </c>
      <c r="E340" s="1180" t="s">
        <v>4622</v>
      </c>
      <c r="F340" s="1161">
        <v>22912</v>
      </c>
      <c r="G340" s="1180" t="s">
        <v>4620</v>
      </c>
      <c r="H340" s="1161">
        <v>39539</v>
      </c>
      <c r="I340" s="1185">
        <f t="shared" si="981"/>
        <v>16</v>
      </c>
      <c r="J340" s="1177">
        <v>0</v>
      </c>
      <c r="K340" s="1185">
        <f t="shared" si="982"/>
        <v>16</v>
      </c>
      <c r="L340" s="1191" t="s">
        <v>5558</v>
      </c>
      <c r="M340" s="1177"/>
      <c r="N340" s="1177"/>
      <c r="O340" s="1040" t="s">
        <v>5085</v>
      </c>
      <c r="P340" s="1177" t="s">
        <v>5130</v>
      </c>
      <c r="Q340" s="1391">
        <v>2202</v>
      </c>
      <c r="R340" s="1514" t="s">
        <v>5085</v>
      </c>
      <c r="S340" s="1513">
        <v>5</v>
      </c>
      <c r="T340" s="1150">
        <f>IFERROR(VLOOKUP(S340,'TAB OBR'!A:B,2,0),0)</f>
        <v>171</v>
      </c>
      <c r="U340" s="1151">
        <v>0</v>
      </c>
      <c r="V340" s="1150">
        <f t="shared" si="983"/>
        <v>171</v>
      </c>
      <c r="W340" s="1151">
        <f t="shared" si="984"/>
        <v>85.5</v>
      </c>
      <c r="X340" s="1180" t="s">
        <v>2884</v>
      </c>
      <c r="Y340" s="1180" t="s">
        <v>2884</v>
      </c>
      <c r="Z340" s="1180">
        <v>0</v>
      </c>
      <c r="AA340" s="1150">
        <f>ROUND(IF(H340&lt;&gt;"",VLOOKUP(SUM(I340+J340),'CONCEPTOS Y PARAMETROS'!F:G,2,0)*V340,0),2)</f>
        <v>33.520000000000003</v>
      </c>
      <c r="AB340" s="1150">
        <f>IF(S340&lt;&gt;"",IF(M340="",'CONCEPTOS Y PARAMETROS'!$C$4,0),0)</f>
        <v>130</v>
      </c>
      <c r="AC340" s="1150">
        <f>IF(S340&lt;&gt;"",IF(M340="",'CONCEPTOS Y PARAMETROS'!$C$7*Z340,0),0)</f>
        <v>0</v>
      </c>
      <c r="AD340" s="1150">
        <f>IFERROR(ROUND(VLOOKUP($X340,'CONCEPTOS Y PARAMETROS'!H:I,2,0)*($V340+AA340+AB340+AC340),2),0)</f>
        <v>0</v>
      </c>
      <c r="AE340" s="1150">
        <f t="shared" si="985"/>
        <v>163.52000000000001</v>
      </c>
      <c r="AF340" s="1150">
        <f t="shared" si="986"/>
        <v>16.760000000000002</v>
      </c>
      <c r="AG340" s="1150">
        <f t="shared" si="987"/>
        <v>16.760000000000002</v>
      </c>
      <c r="AH340" s="1150">
        <f t="shared" si="988"/>
        <v>65</v>
      </c>
      <c r="AI340" s="1150">
        <f t="shared" si="989"/>
        <v>65</v>
      </c>
      <c r="AJ340" s="1150">
        <f t="shared" si="990"/>
        <v>0</v>
      </c>
      <c r="AK340" s="1150">
        <f t="shared" si="991"/>
        <v>0</v>
      </c>
      <c r="AL340" s="1151">
        <f t="shared" si="992"/>
        <v>81.760000000000005</v>
      </c>
      <c r="AM340" s="1151">
        <f t="shared" si="993"/>
        <v>81.760000000000005</v>
      </c>
      <c r="AN340" s="1028">
        <v>0</v>
      </c>
      <c r="AO340" s="1193">
        <f>'CONCEPTOS Y PARAMETROS'!$C$18*AN340</f>
        <v>0</v>
      </c>
      <c r="AP340" s="1028">
        <v>0</v>
      </c>
      <c r="AQ340" s="1193">
        <f>'CONCEPTOS Y PARAMETROS'!$C$21*AP340</f>
        <v>0</v>
      </c>
      <c r="AR340" s="1394">
        <v>0</v>
      </c>
      <c r="AS340" s="1394">
        <v>0</v>
      </c>
      <c r="AT340" s="1394">
        <f t="shared" si="994"/>
        <v>0</v>
      </c>
      <c r="AU340" s="1151">
        <f t="shared" si="995"/>
        <v>334.52</v>
      </c>
      <c r="AV340" s="1178">
        <v>0</v>
      </c>
      <c r="AW340" s="1151">
        <f t="shared" si="996"/>
        <v>0</v>
      </c>
      <c r="AX340" s="1150">
        <f>IF(T340&lt;&gt;"0",(ROUND(IF(A340="EMPLEADO",eval_formula('CONCEPTOS Y PARAMETROS'!$C$8,NOMINA!V340,NOMINA!$AU340,NOMINA!I340+NOMINA!J340),eval_formula('CONCEPTOS Y PARAMETROS'!$D$8,NOMINA!V340,NOMINA!$AU340,NOMINA!I340+NOMINA!J340)),2))*IF(H340&lt;&gt;"",IF(MONTH(H340)=$BR$8,IF(YEAR(H340)&lt;$BT$7,1,0),0)))</f>
        <v>0</v>
      </c>
      <c r="AY340" s="1151">
        <v>180</v>
      </c>
      <c r="AZ340" s="1150">
        <f>IFERROR(VLOOKUP(AY340,'CONCEPTOS Y PARAMETROS'!Y:Z,2,0),0)</f>
        <v>150</v>
      </c>
      <c r="BA340" s="1150">
        <f t="shared" si="997"/>
        <v>2508.9</v>
      </c>
      <c r="BB340" s="1150">
        <f t="shared" si="998"/>
        <v>0</v>
      </c>
      <c r="BC340" s="1028">
        <v>0</v>
      </c>
      <c r="BD340" s="1150" t="str">
        <f t="shared" si="999"/>
        <v>0</v>
      </c>
      <c r="BE340" s="1028">
        <v>4</v>
      </c>
      <c r="BF340" s="1150">
        <f t="shared" si="1000"/>
        <v>66.900000000000006</v>
      </c>
      <c r="BG340" s="1151">
        <v>290</v>
      </c>
      <c r="BH340" s="1151">
        <f t="shared" si="1001"/>
        <v>0</v>
      </c>
      <c r="BI340" s="1151">
        <v>0</v>
      </c>
      <c r="BJ340" s="1151">
        <f t="shared" si="1002"/>
        <v>0</v>
      </c>
      <c r="BK340" s="1151">
        <v>0</v>
      </c>
      <c r="BL340" s="1150">
        <f t="shared" si="1029"/>
        <v>12.35</v>
      </c>
      <c r="BM340" s="1150">
        <f t="shared" si="1030"/>
        <v>1.54</v>
      </c>
      <c r="BN340" s="1150">
        <f t="shared" si="1003"/>
        <v>3.35</v>
      </c>
      <c r="BO340" s="1150">
        <v>0</v>
      </c>
      <c r="BP340" s="1150">
        <v>0</v>
      </c>
      <c r="BQ340" s="1396">
        <f t="shared" si="1004"/>
        <v>17.239999999999998</v>
      </c>
      <c r="BR340" s="1150">
        <f t="shared" si="1031"/>
        <v>27.79</v>
      </c>
      <c r="BS340" s="1150">
        <f t="shared" si="1032"/>
        <v>6.18</v>
      </c>
      <c r="BT340" s="1150">
        <f t="shared" si="1005"/>
        <v>6.7</v>
      </c>
      <c r="BU340" s="1150">
        <v>0</v>
      </c>
      <c r="BV340" s="1151">
        <f t="shared" si="1006"/>
        <v>40.67</v>
      </c>
      <c r="BW340" s="1155">
        <f t="shared" si="1007"/>
        <v>57.91</v>
      </c>
      <c r="BX340" s="1155">
        <f t="shared" si="1035"/>
        <v>627.23</v>
      </c>
      <c r="BY340" s="1151">
        <v>0</v>
      </c>
      <c r="BZ340" s="1151">
        <f t="shared" si="1009"/>
        <v>627.23</v>
      </c>
      <c r="CA340" s="1397">
        <f>'CONCEPTOS Y PARAMETROS'!$A$102</f>
        <v>2120</v>
      </c>
      <c r="CB340" s="1155">
        <f t="shared" si="1010"/>
        <v>150.01999999999998</v>
      </c>
      <c r="CC340" s="1156">
        <f t="shared" si="1011"/>
        <v>524.16</v>
      </c>
      <c r="CD340" s="514"/>
      <c r="CE340" s="514"/>
      <c r="CF340" s="520"/>
      <c r="CG340" s="497">
        <f t="shared" si="1012"/>
        <v>150.01999999999998</v>
      </c>
      <c r="CH340" s="1711">
        <f t="shared" si="1013"/>
        <v>290</v>
      </c>
      <c r="CI340" s="497">
        <f t="shared" si="1014"/>
        <v>457.26</v>
      </c>
      <c r="CJ340" s="497">
        <f t="shared" si="1015"/>
        <v>457.26</v>
      </c>
      <c r="CK340" s="497">
        <f t="shared" si="1016"/>
        <v>0</v>
      </c>
      <c r="CL340" s="497">
        <f t="shared" si="1017"/>
        <v>0</v>
      </c>
      <c r="CM340" s="497">
        <f t="shared" si="1018"/>
        <v>0</v>
      </c>
      <c r="CN340" s="498">
        <f t="shared" si="1019"/>
        <v>66.900000000000006</v>
      </c>
      <c r="CO340" s="499">
        <v>0</v>
      </c>
      <c r="CP340" s="498">
        <f t="shared" si="1020"/>
        <v>0</v>
      </c>
      <c r="CQ340" s="500">
        <f t="shared" si="1021"/>
        <v>0</v>
      </c>
      <c r="CR340" s="498">
        <f t="shared" si="1022"/>
        <v>0</v>
      </c>
      <c r="CS340" s="498">
        <f t="shared" si="1023"/>
        <v>66.900000000000006</v>
      </c>
      <c r="CT340" s="498">
        <f t="shared" si="1024"/>
        <v>57.91</v>
      </c>
      <c r="CU340" s="498">
        <f t="shared" si="1025"/>
        <v>2120</v>
      </c>
      <c r="CV340" s="1554"/>
      <c r="CW340" s="1343" t="s">
        <v>7021</v>
      </c>
      <c r="CX340" s="1343" t="s">
        <v>6935</v>
      </c>
      <c r="CY340" s="472"/>
      <c r="CZ340" s="514" t="s">
        <v>6514</v>
      </c>
      <c r="DA340" s="1199" t="s">
        <v>6173</v>
      </c>
      <c r="DB340" s="1199" t="s">
        <v>6234</v>
      </c>
      <c r="DC340" s="514" t="s">
        <v>6727</v>
      </c>
      <c r="DD340" s="514"/>
      <c r="DE340" s="514"/>
      <c r="DF340" s="472"/>
      <c r="DG340" s="472"/>
      <c r="DH340" s="472"/>
      <c r="DJ340" s="473" t="str">
        <f>VLOOKUP(X340,Hoja1!$A$4:$B$10,2,0)</f>
        <v>BACHILLER</v>
      </c>
      <c r="DK340" s="473" t="str">
        <f>VLOOKUP(S340,Hoja1!$D$4:$F$77,3,0)</f>
        <v>GRADO (5) - MÁX</v>
      </c>
      <c r="DL340" s="1216" t="str">
        <f t="shared" si="1026"/>
        <v>0</v>
      </c>
      <c r="DM340" s="1741" t="str">
        <f t="shared" si="1027"/>
        <v>F</v>
      </c>
      <c r="DN340" s="1741"/>
    </row>
    <row r="341" spans="1:118" s="473" customFormat="1" ht="21.95" customHeight="1">
      <c r="A341" s="510" t="s">
        <v>2834</v>
      </c>
      <c r="B341" s="1390">
        <f t="shared" ca="1" si="1028"/>
        <v>30</v>
      </c>
      <c r="C341" s="1028">
        <v>11321681</v>
      </c>
      <c r="D341" s="1343" t="s">
        <v>4990</v>
      </c>
      <c r="E341" s="1180" t="s">
        <v>4622</v>
      </c>
      <c r="F341" s="1161">
        <v>24220</v>
      </c>
      <c r="G341" s="1180" t="s">
        <v>4621</v>
      </c>
      <c r="H341" s="1161">
        <v>44805</v>
      </c>
      <c r="I341" s="1185">
        <f t="shared" si="981"/>
        <v>2</v>
      </c>
      <c r="J341" s="1177">
        <v>0</v>
      </c>
      <c r="K341" s="1185">
        <f t="shared" si="982"/>
        <v>2</v>
      </c>
      <c r="L341" s="1191" t="s">
        <v>5565</v>
      </c>
      <c r="M341" s="1177"/>
      <c r="N341" s="1177"/>
      <c r="O341" s="1040" t="s">
        <v>5084</v>
      </c>
      <c r="P341" s="1177" t="s">
        <v>5131</v>
      </c>
      <c r="Q341" s="1391">
        <v>7152</v>
      </c>
      <c r="R341" s="1514" t="s">
        <v>5084</v>
      </c>
      <c r="S341" s="1513">
        <v>3</v>
      </c>
      <c r="T341" s="1150">
        <f>IFERROR(VLOOKUP(S341,'TAB OBR'!A:B,2,0),0)</f>
        <v>152</v>
      </c>
      <c r="U341" s="1151">
        <v>0</v>
      </c>
      <c r="V341" s="1150">
        <f t="shared" si="983"/>
        <v>152</v>
      </c>
      <c r="W341" s="1151">
        <f t="shared" si="984"/>
        <v>76</v>
      </c>
      <c r="X341" s="1180" t="s">
        <v>2884</v>
      </c>
      <c r="Y341" s="1180" t="s">
        <v>2884</v>
      </c>
      <c r="Z341" s="1180">
        <v>0</v>
      </c>
      <c r="AA341" s="1150">
        <f>ROUND(IF(H341&lt;&gt;"",VLOOKUP(SUM(I341+J341),'CONCEPTOS Y PARAMETROS'!F:G,2,0)*V341,0),2)</f>
        <v>3.04</v>
      </c>
      <c r="AB341" s="1150">
        <f>IF(S341&lt;&gt;"",IF(M341="",'CONCEPTOS Y PARAMETROS'!$C$4,0),0)</f>
        <v>130</v>
      </c>
      <c r="AC341" s="1150">
        <f>IF(S341&lt;&gt;"",IF(M341="",'CONCEPTOS Y PARAMETROS'!$C$7*Z341,0),0)</f>
        <v>0</v>
      </c>
      <c r="AD341" s="1150">
        <f>IFERROR(ROUND(VLOOKUP($X341,'CONCEPTOS Y PARAMETROS'!H:I,2,0)*($V341+AA341+AB341+AC341),2),0)</f>
        <v>0</v>
      </c>
      <c r="AE341" s="1150">
        <f t="shared" si="985"/>
        <v>133.04</v>
      </c>
      <c r="AF341" s="1150">
        <f t="shared" si="986"/>
        <v>1.52</v>
      </c>
      <c r="AG341" s="1150">
        <f t="shared" si="987"/>
        <v>1.52</v>
      </c>
      <c r="AH341" s="1150">
        <f t="shared" si="988"/>
        <v>65</v>
      </c>
      <c r="AI341" s="1150">
        <f t="shared" si="989"/>
        <v>65</v>
      </c>
      <c r="AJ341" s="1150">
        <f t="shared" si="990"/>
        <v>0</v>
      </c>
      <c r="AK341" s="1150">
        <f t="shared" si="991"/>
        <v>0</v>
      </c>
      <c r="AL341" s="1151">
        <f t="shared" si="992"/>
        <v>66.52</v>
      </c>
      <c r="AM341" s="1151">
        <f t="shared" si="993"/>
        <v>66.52</v>
      </c>
      <c r="AN341" s="1028">
        <v>0</v>
      </c>
      <c r="AO341" s="1193">
        <f>'CONCEPTOS Y PARAMETROS'!$C$18*AN341</f>
        <v>0</v>
      </c>
      <c r="AP341" s="1028">
        <v>0</v>
      </c>
      <c r="AQ341" s="1193">
        <f>'CONCEPTOS Y PARAMETROS'!$C$21*AP341</f>
        <v>0</v>
      </c>
      <c r="AR341" s="1394">
        <v>0</v>
      </c>
      <c r="AS341" s="1394">
        <v>0</v>
      </c>
      <c r="AT341" s="1394">
        <f t="shared" si="994"/>
        <v>0</v>
      </c>
      <c r="AU341" s="1151">
        <f t="shared" si="995"/>
        <v>285.03999999999996</v>
      </c>
      <c r="AV341" s="1178">
        <v>0</v>
      </c>
      <c r="AW341" s="1151">
        <f t="shared" si="996"/>
        <v>0</v>
      </c>
      <c r="AX341" s="1150">
        <f>IF(T341&lt;&gt;"0",(ROUND(IF(A341="EMPLEADO",eval_formula('CONCEPTOS Y PARAMETROS'!$C$8,NOMINA!V341,NOMINA!$AU341,NOMINA!I341+NOMINA!J341),eval_formula('CONCEPTOS Y PARAMETROS'!$D$8,NOMINA!V341,NOMINA!$AU341,NOMINA!I341+NOMINA!J341)),2))*IF(H341&lt;&gt;"",IF(MONTH(H341)=$BR$8,IF(YEAR(H341)&lt;$BT$7,1,0),0)))</f>
        <v>0</v>
      </c>
      <c r="AY341" s="1151">
        <v>180</v>
      </c>
      <c r="AZ341" s="1150">
        <f>IFERROR(VLOOKUP(AY341,'CONCEPTOS Y PARAMETROS'!Y:Z,2,0),0)</f>
        <v>150</v>
      </c>
      <c r="BA341" s="1150">
        <f t="shared" si="997"/>
        <v>2137.8000000000002</v>
      </c>
      <c r="BB341" s="1150">
        <f t="shared" si="998"/>
        <v>0</v>
      </c>
      <c r="BC341" s="1028">
        <v>0</v>
      </c>
      <c r="BD341" s="1150" t="str">
        <f t="shared" si="999"/>
        <v>0</v>
      </c>
      <c r="BE341" s="1028">
        <v>0</v>
      </c>
      <c r="BF341" s="1150">
        <f t="shared" si="1000"/>
        <v>0</v>
      </c>
      <c r="BG341" s="1151">
        <v>290</v>
      </c>
      <c r="BH341" s="1151">
        <f t="shared" si="1001"/>
        <v>0</v>
      </c>
      <c r="BI341" s="1151">
        <v>0</v>
      </c>
      <c r="BJ341" s="1151">
        <f t="shared" si="1002"/>
        <v>0</v>
      </c>
      <c r="BK341" s="1151">
        <v>0</v>
      </c>
      <c r="BL341" s="1150">
        <f t="shared" si="1029"/>
        <v>10.52</v>
      </c>
      <c r="BM341" s="1150">
        <f t="shared" si="1030"/>
        <v>1.32</v>
      </c>
      <c r="BN341" s="1150">
        <f t="shared" si="1003"/>
        <v>2.85</v>
      </c>
      <c r="BO341" s="1150">
        <v>0</v>
      </c>
      <c r="BP341" s="1150">
        <v>0</v>
      </c>
      <c r="BQ341" s="1396">
        <f t="shared" si="1004"/>
        <v>14.69</v>
      </c>
      <c r="BR341" s="1150">
        <f t="shared" si="1031"/>
        <v>23.68</v>
      </c>
      <c r="BS341" s="1150">
        <f t="shared" si="1032"/>
        <v>5.26</v>
      </c>
      <c r="BT341" s="1150">
        <f t="shared" si="1005"/>
        <v>5.7</v>
      </c>
      <c r="BU341" s="1150">
        <v>0</v>
      </c>
      <c r="BV341" s="1151">
        <f t="shared" si="1006"/>
        <v>34.64</v>
      </c>
      <c r="BW341" s="1155">
        <f t="shared" si="1007"/>
        <v>49.33</v>
      </c>
      <c r="BX341" s="1155">
        <f t="shared" si="1035"/>
        <v>534.45000000000005</v>
      </c>
      <c r="BY341" s="1151">
        <v>0</v>
      </c>
      <c r="BZ341" s="1151">
        <f t="shared" si="1009"/>
        <v>534.45000000000005</v>
      </c>
      <c r="CA341" s="1397">
        <f>'CONCEPTOS Y PARAMETROS'!$A$102</f>
        <v>2120</v>
      </c>
      <c r="CB341" s="1155">
        <f t="shared" si="1010"/>
        <v>127.82999999999998</v>
      </c>
      <c r="CC341" s="1156">
        <f t="shared" si="1011"/>
        <v>432.52</v>
      </c>
      <c r="CD341" s="514"/>
      <c r="CE341" s="514"/>
      <c r="CF341" s="520"/>
      <c r="CG341" s="497">
        <f t="shared" si="1012"/>
        <v>127.82999999999998</v>
      </c>
      <c r="CH341" s="1711">
        <f t="shared" si="1013"/>
        <v>290</v>
      </c>
      <c r="CI341" s="497">
        <f t="shared" si="1014"/>
        <v>432.52</v>
      </c>
      <c r="CJ341" s="497">
        <f t="shared" si="1015"/>
        <v>432.52</v>
      </c>
      <c r="CK341" s="497">
        <f t="shared" si="1016"/>
        <v>0</v>
      </c>
      <c r="CL341" s="497">
        <f t="shared" si="1017"/>
        <v>0</v>
      </c>
      <c r="CM341" s="497">
        <f t="shared" si="1018"/>
        <v>0</v>
      </c>
      <c r="CN341" s="498">
        <f t="shared" si="1019"/>
        <v>0</v>
      </c>
      <c r="CO341" s="499">
        <v>0</v>
      </c>
      <c r="CP341" s="498">
        <f t="shared" si="1020"/>
        <v>0</v>
      </c>
      <c r="CQ341" s="500">
        <f t="shared" si="1021"/>
        <v>0</v>
      </c>
      <c r="CR341" s="498">
        <f t="shared" si="1022"/>
        <v>0</v>
      </c>
      <c r="CS341" s="498">
        <f t="shared" si="1023"/>
        <v>0</v>
      </c>
      <c r="CT341" s="498">
        <f t="shared" si="1024"/>
        <v>49.33</v>
      </c>
      <c r="CU341" s="498">
        <f t="shared" si="1025"/>
        <v>2120</v>
      </c>
      <c r="CV341" s="1554"/>
      <c r="CW341" s="1343" t="s">
        <v>7312</v>
      </c>
      <c r="CX341" s="1343" t="s">
        <v>7139</v>
      </c>
      <c r="CY341" s="472"/>
      <c r="CZ341" s="1199" t="s">
        <v>6667</v>
      </c>
      <c r="DA341" s="514" t="s">
        <v>6173</v>
      </c>
      <c r="DB341" s="514" t="s">
        <v>6202</v>
      </c>
      <c r="DC341" s="514" t="s">
        <v>6271</v>
      </c>
      <c r="DD341" s="514"/>
      <c r="DE341" s="514"/>
      <c r="DF341" s="472"/>
      <c r="DG341" s="472"/>
      <c r="DH341" s="472"/>
      <c r="DJ341" s="473" t="str">
        <f>VLOOKUP(X341,Hoja1!$A$4:$B$10,2,0)</f>
        <v>BACHILLER</v>
      </c>
      <c r="DK341" s="473" t="str">
        <f>VLOOKUP(S341,Hoja1!$D$4:$F$77,3,0)</f>
        <v>GRADO (3) - MÁX</v>
      </c>
      <c r="DL341" s="1216" t="str">
        <f t="shared" si="1026"/>
        <v>0</v>
      </c>
      <c r="DM341" s="1741" t="str">
        <f t="shared" si="1027"/>
        <v>M</v>
      </c>
      <c r="DN341" s="1741"/>
    </row>
    <row r="342" spans="1:118" s="473" customFormat="1" ht="21.95" customHeight="1">
      <c r="A342" s="510" t="s">
        <v>2834</v>
      </c>
      <c r="B342" s="1390">
        <f t="shared" ca="1" si="1028"/>
        <v>31</v>
      </c>
      <c r="C342" s="1028">
        <v>11321782</v>
      </c>
      <c r="D342" s="1343" t="s">
        <v>4991</v>
      </c>
      <c r="E342" s="1180" t="s">
        <v>4622</v>
      </c>
      <c r="F342" s="1161">
        <v>25498</v>
      </c>
      <c r="G342" s="1180" t="s">
        <v>4620</v>
      </c>
      <c r="H342" s="1161">
        <v>43815</v>
      </c>
      <c r="I342" s="1185">
        <f t="shared" si="981"/>
        <v>5</v>
      </c>
      <c r="J342" s="1177">
        <v>0</v>
      </c>
      <c r="K342" s="1185">
        <f t="shared" si="982"/>
        <v>5</v>
      </c>
      <c r="L342" s="1191" t="s">
        <v>5558</v>
      </c>
      <c r="M342" s="1177"/>
      <c r="N342" s="1177"/>
      <c r="O342" s="1040" t="s">
        <v>5085</v>
      </c>
      <c r="P342" s="1177" t="s">
        <v>5132</v>
      </c>
      <c r="Q342" s="1391">
        <v>2202</v>
      </c>
      <c r="R342" s="1514" t="s">
        <v>5085</v>
      </c>
      <c r="S342" s="1513">
        <v>5</v>
      </c>
      <c r="T342" s="1150">
        <f>IFERROR(VLOOKUP(S342,'TAB OBR'!A:B,2,0),0)</f>
        <v>171</v>
      </c>
      <c r="U342" s="1151">
        <v>0</v>
      </c>
      <c r="V342" s="1150">
        <f t="shared" si="983"/>
        <v>171</v>
      </c>
      <c r="W342" s="1151">
        <f t="shared" si="984"/>
        <v>85.5</v>
      </c>
      <c r="X342" s="1180" t="s">
        <v>2884</v>
      </c>
      <c r="Y342" s="1180" t="s">
        <v>2884</v>
      </c>
      <c r="Z342" s="1180">
        <v>0</v>
      </c>
      <c r="AA342" s="1150">
        <f>ROUND(IF(H342&lt;&gt;"",VLOOKUP(SUM(I342+J342),'CONCEPTOS Y PARAMETROS'!F:G,2,0)*V342,0),2)</f>
        <v>8.5500000000000007</v>
      </c>
      <c r="AB342" s="1150">
        <f>IF(S342&lt;&gt;"",IF(M342="",'CONCEPTOS Y PARAMETROS'!$C$4,0),0)</f>
        <v>130</v>
      </c>
      <c r="AC342" s="1150">
        <f>IF(S342&lt;&gt;"",IF(M342="",'CONCEPTOS Y PARAMETROS'!$C$7*Z342,0),0)</f>
        <v>0</v>
      </c>
      <c r="AD342" s="1150">
        <f>IFERROR(ROUND(VLOOKUP($X342,'CONCEPTOS Y PARAMETROS'!H:I,2,0)*($V342+AA342+AB342+AC342),2),0)</f>
        <v>0</v>
      </c>
      <c r="AE342" s="1150">
        <f t="shared" si="985"/>
        <v>138.55000000000001</v>
      </c>
      <c r="AF342" s="1150">
        <f t="shared" si="986"/>
        <v>4.28</v>
      </c>
      <c r="AG342" s="1150">
        <f t="shared" si="987"/>
        <v>4.2699999999999996</v>
      </c>
      <c r="AH342" s="1150">
        <f t="shared" si="988"/>
        <v>65</v>
      </c>
      <c r="AI342" s="1150">
        <f t="shared" si="989"/>
        <v>65</v>
      </c>
      <c r="AJ342" s="1150">
        <f t="shared" si="990"/>
        <v>0</v>
      </c>
      <c r="AK342" s="1150">
        <f t="shared" si="991"/>
        <v>0</v>
      </c>
      <c r="AL342" s="1151">
        <f t="shared" si="992"/>
        <v>69.28</v>
      </c>
      <c r="AM342" s="1151">
        <f t="shared" si="993"/>
        <v>69.27</v>
      </c>
      <c r="AN342" s="1028">
        <v>0</v>
      </c>
      <c r="AO342" s="1193">
        <f>'CONCEPTOS Y PARAMETROS'!$C$18*AN342</f>
        <v>0</v>
      </c>
      <c r="AP342" s="1028">
        <v>0</v>
      </c>
      <c r="AQ342" s="1193">
        <f>'CONCEPTOS Y PARAMETROS'!$C$21*AP342</f>
        <v>0</v>
      </c>
      <c r="AR342" s="1394">
        <v>0</v>
      </c>
      <c r="AS342" s="1394">
        <v>0</v>
      </c>
      <c r="AT342" s="1394">
        <f t="shared" si="994"/>
        <v>0</v>
      </c>
      <c r="AU342" s="1151">
        <f t="shared" si="995"/>
        <v>309.55</v>
      </c>
      <c r="AV342" s="1178">
        <v>0</v>
      </c>
      <c r="AW342" s="1151">
        <f t="shared" si="996"/>
        <v>0</v>
      </c>
      <c r="AX342" s="1150">
        <f>IF(T342&lt;&gt;"0",(ROUND(IF(A342="EMPLEADO",eval_formula('CONCEPTOS Y PARAMETROS'!$C$8,NOMINA!V342,NOMINA!$AU342,NOMINA!I342+NOMINA!J342),eval_formula('CONCEPTOS Y PARAMETROS'!$D$8,NOMINA!V342,NOMINA!$AU342,NOMINA!I342+NOMINA!J342)),2))*IF(H342&lt;&gt;"",IF(MONTH(H342)=$BR$8,IF(YEAR(H342)&lt;$BT$7,1,0),0)))</f>
        <v>0</v>
      </c>
      <c r="AY342" s="1151">
        <v>180</v>
      </c>
      <c r="AZ342" s="1150">
        <f>IFERROR(VLOOKUP(AY342,'CONCEPTOS Y PARAMETROS'!Y:Z,2,0),0)</f>
        <v>150</v>
      </c>
      <c r="BA342" s="1150">
        <f t="shared" si="997"/>
        <v>2321.63</v>
      </c>
      <c r="BB342" s="1150">
        <f t="shared" si="998"/>
        <v>0</v>
      </c>
      <c r="BC342" s="1028">
        <v>0</v>
      </c>
      <c r="BD342" s="1150" t="str">
        <f t="shared" si="999"/>
        <v>0</v>
      </c>
      <c r="BE342" s="1028">
        <v>4</v>
      </c>
      <c r="BF342" s="1150">
        <f t="shared" si="1000"/>
        <v>61.91</v>
      </c>
      <c r="BG342" s="1151">
        <v>290</v>
      </c>
      <c r="BH342" s="1151">
        <f t="shared" si="1001"/>
        <v>0</v>
      </c>
      <c r="BI342" s="1151">
        <v>0</v>
      </c>
      <c r="BJ342" s="1151">
        <f t="shared" si="1002"/>
        <v>0</v>
      </c>
      <c r="BK342" s="1151">
        <v>0</v>
      </c>
      <c r="BL342" s="1150">
        <f t="shared" si="1029"/>
        <v>11.43</v>
      </c>
      <c r="BM342" s="1150">
        <f t="shared" si="1030"/>
        <v>1.43</v>
      </c>
      <c r="BN342" s="1150">
        <f t="shared" si="1003"/>
        <v>3.1</v>
      </c>
      <c r="BO342" s="1150">
        <v>0</v>
      </c>
      <c r="BP342" s="1150">
        <v>0</v>
      </c>
      <c r="BQ342" s="1396">
        <f t="shared" si="1004"/>
        <v>15.96</v>
      </c>
      <c r="BR342" s="1150">
        <f t="shared" si="1031"/>
        <v>25.72</v>
      </c>
      <c r="BS342" s="1150">
        <f t="shared" si="1032"/>
        <v>5.71</v>
      </c>
      <c r="BT342" s="1150">
        <f t="shared" si="1005"/>
        <v>6.2</v>
      </c>
      <c r="BU342" s="1150">
        <v>0</v>
      </c>
      <c r="BV342" s="1151">
        <f t="shared" si="1006"/>
        <v>37.630000000000003</v>
      </c>
      <c r="BW342" s="1155">
        <f t="shared" si="1007"/>
        <v>53.59</v>
      </c>
      <c r="BX342" s="1155">
        <f t="shared" si="1035"/>
        <v>580.41</v>
      </c>
      <c r="BY342" s="1151">
        <v>0</v>
      </c>
      <c r="BZ342" s="1151">
        <f t="shared" si="1009"/>
        <v>580.41</v>
      </c>
      <c r="CA342" s="1397">
        <f>'CONCEPTOS Y PARAMETROS'!$A$102</f>
        <v>2120</v>
      </c>
      <c r="CB342" s="1155">
        <f t="shared" si="1010"/>
        <v>138.82</v>
      </c>
      <c r="CC342" s="1156">
        <f t="shared" si="1011"/>
        <v>506.68</v>
      </c>
      <c r="CD342" s="514"/>
      <c r="CE342" s="514"/>
      <c r="CF342" s="520"/>
      <c r="CG342" s="497">
        <f t="shared" si="1012"/>
        <v>138.82</v>
      </c>
      <c r="CH342" s="1711">
        <f t="shared" si="1013"/>
        <v>290</v>
      </c>
      <c r="CI342" s="497">
        <f t="shared" si="1014"/>
        <v>444.77</v>
      </c>
      <c r="CJ342" s="497">
        <f t="shared" si="1015"/>
        <v>444.77</v>
      </c>
      <c r="CK342" s="497">
        <f t="shared" si="1016"/>
        <v>0</v>
      </c>
      <c r="CL342" s="497">
        <f t="shared" si="1017"/>
        <v>0</v>
      </c>
      <c r="CM342" s="497">
        <f t="shared" si="1018"/>
        <v>0</v>
      </c>
      <c r="CN342" s="498">
        <f t="shared" si="1019"/>
        <v>61.91</v>
      </c>
      <c r="CO342" s="499">
        <v>0</v>
      </c>
      <c r="CP342" s="498">
        <f t="shared" si="1020"/>
        <v>0</v>
      </c>
      <c r="CQ342" s="500">
        <f t="shared" si="1021"/>
        <v>0</v>
      </c>
      <c r="CR342" s="498">
        <f t="shared" si="1022"/>
        <v>0</v>
      </c>
      <c r="CS342" s="498">
        <f t="shared" si="1023"/>
        <v>61.91</v>
      </c>
      <c r="CT342" s="498">
        <f t="shared" si="1024"/>
        <v>53.59</v>
      </c>
      <c r="CU342" s="498">
        <f t="shared" si="1025"/>
        <v>2120</v>
      </c>
      <c r="CV342" s="1554"/>
      <c r="CW342" s="1343" t="s">
        <v>7288</v>
      </c>
      <c r="CX342" s="1343" t="s">
        <v>6935</v>
      </c>
      <c r="CY342" s="472"/>
      <c r="CZ342" s="514" t="s">
        <v>6515</v>
      </c>
      <c r="DA342" s="514" t="s">
        <v>6188</v>
      </c>
      <c r="DB342" s="1199" t="s">
        <v>6170</v>
      </c>
      <c r="DC342" s="514" t="s">
        <v>6625</v>
      </c>
      <c r="DD342" s="514"/>
      <c r="DE342" s="514"/>
      <c r="DF342" s="472"/>
      <c r="DG342" s="472"/>
      <c r="DH342" s="472"/>
      <c r="DJ342" s="473" t="str">
        <f>VLOOKUP(X342,Hoja1!$A$4:$B$10,2,0)</f>
        <v>BACHILLER</v>
      </c>
      <c r="DK342" s="473" t="str">
        <f>VLOOKUP(S342,Hoja1!$D$4:$F$77,3,0)</f>
        <v>GRADO (5) - MÁX</v>
      </c>
      <c r="DL342" s="1216" t="str">
        <f t="shared" si="1026"/>
        <v>0</v>
      </c>
      <c r="DM342" s="1741" t="str">
        <f t="shared" si="1027"/>
        <v>F</v>
      </c>
      <c r="DN342" s="1741"/>
    </row>
    <row r="343" spans="1:118" s="473" customFormat="1" ht="21.95" customHeight="1">
      <c r="A343" s="510" t="s">
        <v>2834</v>
      </c>
      <c r="B343" s="1390">
        <f t="shared" ca="1" si="1028"/>
        <v>32</v>
      </c>
      <c r="C343" s="1028">
        <v>11324931</v>
      </c>
      <c r="D343" s="1343" t="s">
        <v>4992</v>
      </c>
      <c r="E343" s="1180" t="s">
        <v>4622</v>
      </c>
      <c r="F343" s="1161">
        <v>25537</v>
      </c>
      <c r="G343" s="1180" t="s">
        <v>4620</v>
      </c>
      <c r="H343" s="1161">
        <v>38784</v>
      </c>
      <c r="I343" s="1185">
        <f t="shared" si="981"/>
        <v>18</v>
      </c>
      <c r="J343" s="1177">
        <v>0</v>
      </c>
      <c r="K343" s="1185">
        <f t="shared" si="982"/>
        <v>18</v>
      </c>
      <c r="L343" s="1191" t="s">
        <v>5565</v>
      </c>
      <c r="M343" s="1177"/>
      <c r="N343" s="1177"/>
      <c r="O343" s="1040" t="s">
        <v>5085</v>
      </c>
      <c r="P343" s="1177" t="s">
        <v>5133</v>
      </c>
      <c r="Q343" s="1391">
        <v>2202</v>
      </c>
      <c r="R343" s="1514" t="s">
        <v>5085</v>
      </c>
      <c r="S343" s="1513">
        <v>5</v>
      </c>
      <c r="T343" s="1150">
        <f>IFERROR(VLOOKUP(S343,'TAB OBR'!A:B,2,0),0)</f>
        <v>171</v>
      </c>
      <c r="U343" s="1151">
        <v>0</v>
      </c>
      <c r="V343" s="1150">
        <f t="shared" si="983"/>
        <v>171</v>
      </c>
      <c r="W343" s="1151">
        <f t="shared" si="984"/>
        <v>85.5</v>
      </c>
      <c r="X343" s="1180" t="s">
        <v>2884</v>
      </c>
      <c r="Y343" s="1180" t="s">
        <v>2884</v>
      </c>
      <c r="Z343" s="1180">
        <v>0</v>
      </c>
      <c r="AA343" s="1150">
        <f>ROUND(IF(H343&lt;&gt;"",VLOOKUP(SUM(I343+J343),'CONCEPTOS Y PARAMETROS'!F:G,2,0)*V343,0),2)</f>
        <v>38.99</v>
      </c>
      <c r="AB343" s="1150">
        <f>IF(S343&lt;&gt;"",IF(M343="",'CONCEPTOS Y PARAMETROS'!$C$4,0),0)</f>
        <v>130</v>
      </c>
      <c r="AC343" s="1150">
        <f>IF(S343&lt;&gt;"",IF(M343="",'CONCEPTOS Y PARAMETROS'!$C$7*Z343,0),0)</f>
        <v>0</v>
      </c>
      <c r="AD343" s="1150">
        <f>IFERROR(ROUND(VLOOKUP($X343,'CONCEPTOS Y PARAMETROS'!H:I,2,0)*($V343+AA343+AB343+AC343),2),0)</f>
        <v>0</v>
      </c>
      <c r="AE343" s="1150">
        <f t="shared" si="985"/>
        <v>168.99</v>
      </c>
      <c r="AF343" s="1150">
        <f t="shared" si="986"/>
        <v>19.5</v>
      </c>
      <c r="AG343" s="1150">
        <f t="shared" si="987"/>
        <v>19.489999999999998</v>
      </c>
      <c r="AH343" s="1150">
        <f t="shared" si="988"/>
        <v>65</v>
      </c>
      <c r="AI343" s="1150">
        <f t="shared" si="989"/>
        <v>65</v>
      </c>
      <c r="AJ343" s="1150">
        <f t="shared" si="990"/>
        <v>0</v>
      </c>
      <c r="AK343" s="1150">
        <f t="shared" si="991"/>
        <v>0</v>
      </c>
      <c r="AL343" s="1151">
        <f t="shared" si="992"/>
        <v>84.5</v>
      </c>
      <c r="AM343" s="1151">
        <f t="shared" si="993"/>
        <v>84.49</v>
      </c>
      <c r="AN343" s="1028">
        <v>0</v>
      </c>
      <c r="AO343" s="1193">
        <f>'CONCEPTOS Y PARAMETROS'!$C$18*AN343</f>
        <v>0</v>
      </c>
      <c r="AP343" s="1028">
        <v>0</v>
      </c>
      <c r="AQ343" s="1193">
        <f>'CONCEPTOS Y PARAMETROS'!$C$21*AP343</f>
        <v>0</v>
      </c>
      <c r="AR343" s="1394">
        <v>0</v>
      </c>
      <c r="AS343" s="1394">
        <v>0</v>
      </c>
      <c r="AT343" s="1394">
        <f t="shared" ref="AT343:AT375" si="1036">+AO343+AQ343+AR343+AS343</f>
        <v>0</v>
      </c>
      <c r="AU343" s="1151">
        <f t="shared" si="995"/>
        <v>339.99</v>
      </c>
      <c r="AV343" s="1178">
        <v>0</v>
      </c>
      <c r="AW343" s="1151">
        <f t="shared" si="996"/>
        <v>0</v>
      </c>
      <c r="AX343" s="1150">
        <f>IF(T343&lt;&gt;"0",(ROUND(IF(A343="EMPLEADO",eval_formula('CONCEPTOS Y PARAMETROS'!$C$8,NOMINA!V343,NOMINA!$AU343,NOMINA!I343+NOMINA!J343),eval_formula('CONCEPTOS Y PARAMETROS'!$D$8,NOMINA!V343,NOMINA!$AU343,NOMINA!I343+NOMINA!J343)),2))*IF(H343&lt;&gt;"",IF(MONTH(H343)=$BR$8,IF(YEAR(H343)&lt;$BT$7,1,0),0)))</f>
        <v>0</v>
      </c>
      <c r="AY343" s="1151">
        <v>180</v>
      </c>
      <c r="AZ343" s="1150">
        <f>IFERROR(VLOOKUP(AY343,'CONCEPTOS Y PARAMETROS'!Y:Z,2,0),0)</f>
        <v>150</v>
      </c>
      <c r="BA343" s="1150">
        <f t="shared" si="997"/>
        <v>2549.9299999999998</v>
      </c>
      <c r="BB343" s="1150">
        <f t="shared" si="998"/>
        <v>0</v>
      </c>
      <c r="BC343" s="1028">
        <v>0</v>
      </c>
      <c r="BD343" s="1150" t="str">
        <f t="shared" si="999"/>
        <v>0</v>
      </c>
      <c r="BE343" s="1028">
        <v>0</v>
      </c>
      <c r="BF343" s="1150">
        <f t="shared" si="1000"/>
        <v>0</v>
      </c>
      <c r="BG343" s="1151">
        <v>290</v>
      </c>
      <c r="BH343" s="1151">
        <f t="shared" si="1001"/>
        <v>0</v>
      </c>
      <c r="BI343" s="1151">
        <v>0</v>
      </c>
      <c r="BJ343" s="1151">
        <f t="shared" si="1002"/>
        <v>0</v>
      </c>
      <c r="BK343" s="1151">
        <v>0</v>
      </c>
      <c r="BL343" s="1150">
        <f t="shared" si="1029"/>
        <v>12.55</v>
      </c>
      <c r="BM343" s="1150">
        <f t="shared" si="1030"/>
        <v>1.57</v>
      </c>
      <c r="BN343" s="1150">
        <f t="shared" si="1003"/>
        <v>3.4</v>
      </c>
      <c r="BO343" s="1150">
        <v>0</v>
      </c>
      <c r="BP343" s="1150">
        <v>0</v>
      </c>
      <c r="BQ343" s="1396">
        <f t="shared" si="1004"/>
        <v>17.52</v>
      </c>
      <c r="BR343" s="1150">
        <f t="shared" si="1031"/>
        <v>28.25</v>
      </c>
      <c r="BS343" s="1150">
        <f t="shared" si="1032"/>
        <v>6.28</v>
      </c>
      <c r="BT343" s="1150">
        <f t="shared" si="1005"/>
        <v>6.8</v>
      </c>
      <c r="BU343" s="1150">
        <v>0</v>
      </c>
      <c r="BV343" s="1151">
        <f t="shared" ref="BV343:BV376" si="1037">ROUND(SUM(BR343:BT343),2)</f>
        <v>41.33</v>
      </c>
      <c r="BW343" s="1155">
        <f t="shared" ref="BW343:BW376" si="1038">BQ343+BV343</f>
        <v>58.849999999999994</v>
      </c>
      <c r="BX343" s="1155">
        <f t="shared" si="1035"/>
        <v>637.48</v>
      </c>
      <c r="BY343" s="1151">
        <v>0</v>
      </c>
      <c r="BZ343" s="1151">
        <f t="shared" si="1009"/>
        <v>637.48</v>
      </c>
      <c r="CA343" s="1397">
        <f>'CONCEPTOS Y PARAMETROS'!$A$102</f>
        <v>2120</v>
      </c>
      <c r="CB343" s="1155">
        <f t="shared" si="1010"/>
        <v>152.47999999999999</v>
      </c>
      <c r="CC343" s="1156">
        <f t="shared" si="1011"/>
        <v>459.99</v>
      </c>
      <c r="CD343" s="514"/>
      <c r="CE343" s="514"/>
      <c r="CF343" s="520"/>
      <c r="CG343" s="497">
        <f t="shared" si="1012"/>
        <v>152.47999999999999</v>
      </c>
      <c r="CH343" s="1711">
        <f t="shared" si="1013"/>
        <v>290</v>
      </c>
      <c r="CI343" s="497">
        <f t="shared" si="1014"/>
        <v>459.99</v>
      </c>
      <c r="CJ343" s="497">
        <f t="shared" si="1015"/>
        <v>459.99</v>
      </c>
      <c r="CK343" s="497">
        <f t="shared" si="1016"/>
        <v>0</v>
      </c>
      <c r="CL343" s="497">
        <f t="shared" si="1017"/>
        <v>0</v>
      </c>
      <c r="CM343" s="497">
        <f t="shared" si="1018"/>
        <v>0</v>
      </c>
      <c r="CN343" s="498">
        <f t="shared" si="1019"/>
        <v>0</v>
      </c>
      <c r="CO343" s="499">
        <v>0</v>
      </c>
      <c r="CP343" s="498">
        <f t="shared" si="1020"/>
        <v>0</v>
      </c>
      <c r="CQ343" s="500">
        <f t="shared" si="1021"/>
        <v>0</v>
      </c>
      <c r="CR343" s="498">
        <f t="shared" si="1022"/>
        <v>0</v>
      </c>
      <c r="CS343" s="498">
        <f t="shared" si="1023"/>
        <v>0</v>
      </c>
      <c r="CT343" s="498">
        <f t="shared" si="1024"/>
        <v>58.849999999999994</v>
      </c>
      <c r="CU343" s="498">
        <f t="shared" si="1025"/>
        <v>2120</v>
      </c>
      <c r="CV343" s="1554"/>
      <c r="CW343" s="1343" t="s">
        <v>7186</v>
      </c>
      <c r="CX343" s="1343" t="s">
        <v>7313</v>
      </c>
      <c r="CY343" s="472"/>
      <c r="CZ343" s="478" t="s">
        <v>6516</v>
      </c>
      <c r="DA343" s="478" t="s">
        <v>6173</v>
      </c>
      <c r="DB343" s="478" t="s">
        <v>6234</v>
      </c>
      <c r="DC343" s="1188" t="s">
        <v>6711</v>
      </c>
      <c r="DD343" s="478"/>
      <c r="DE343" s="514"/>
      <c r="DF343" s="472"/>
      <c r="DG343" s="472"/>
      <c r="DH343" s="472"/>
      <c r="DJ343" s="473" t="str">
        <f>VLOOKUP(X343,Hoja1!$A$4:$B$10,2,0)</f>
        <v>BACHILLER</v>
      </c>
      <c r="DK343" s="473" t="str">
        <f>VLOOKUP(S343,Hoja1!$D$4:$F$77,3,0)</f>
        <v>GRADO (5) - MÁX</v>
      </c>
      <c r="DL343" s="1216" t="str">
        <f t="shared" si="1026"/>
        <v>0</v>
      </c>
      <c r="DM343" s="1741" t="str">
        <f t="shared" si="1027"/>
        <v>F</v>
      </c>
      <c r="DN343" s="1741"/>
    </row>
    <row r="344" spans="1:118" s="473" customFormat="1" ht="21.95" customHeight="1">
      <c r="A344" s="510" t="s">
        <v>2834</v>
      </c>
      <c r="B344" s="1390">
        <f t="shared" ca="1" si="1028"/>
        <v>33</v>
      </c>
      <c r="C344" s="1028">
        <v>11894400</v>
      </c>
      <c r="D344" s="1343" t="s">
        <v>4993</v>
      </c>
      <c r="E344" s="1180" t="s">
        <v>4622</v>
      </c>
      <c r="F344" s="1161">
        <v>26057</v>
      </c>
      <c r="G344" s="1180" t="s">
        <v>4620</v>
      </c>
      <c r="H344" s="1161">
        <v>44287</v>
      </c>
      <c r="I344" s="1185">
        <f t="shared" ref="I344:I375" si="1039">IF(AND(YEAR(H344)&lt;YEAR($H$10),MONTH(H344)&gt;$BR$8),YEAR($H$10)-YEAR(H344)-1,IF(OR(H344="",YEAR(H344)&gt;YEAR($H$10)),0,YEAR($H$10)-YEAR(H344)))</f>
        <v>3</v>
      </c>
      <c r="J344" s="1177">
        <v>0</v>
      </c>
      <c r="K344" s="1185">
        <f t="shared" ref="K344:K375" si="1040">I344+J344</f>
        <v>3</v>
      </c>
      <c r="L344" s="1191" t="s">
        <v>5541</v>
      </c>
      <c r="M344" s="1177"/>
      <c r="N344" s="1177"/>
      <c r="O344" s="1040" t="s">
        <v>5085</v>
      </c>
      <c r="P344" s="1177" t="s">
        <v>5134</v>
      </c>
      <c r="Q344" s="1391">
        <v>2202</v>
      </c>
      <c r="R344" s="1514" t="s">
        <v>5085</v>
      </c>
      <c r="S344" s="1513">
        <v>5</v>
      </c>
      <c r="T344" s="1150">
        <f>IFERROR(VLOOKUP(S344,'TAB OBR'!A:B,2,0),0)</f>
        <v>171</v>
      </c>
      <c r="U344" s="1151">
        <v>0</v>
      </c>
      <c r="V344" s="1150">
        <f t="shared" ref="V344:V376" si="1041">T344-U344</f>
        <v>171</v>
      </c>
      <c r="W344" s="1151">
        <f t="shared" si="984"/>
        <v>85.5</v>
      </c>
      <c r="X344" s="1180" t="s">
        <v>2884</v>
      </c>
      <c r="Y344" s="1180" t="s">
        <v>2884</v>
      </c>
      <c r="Z344" s="1180">
        <v>0</v>
      </c>
      <c r="AA344" s="1150">
        <f>ROUND(IF(H344&lt;&gt;"",VLOOKUP(SUM(I344+J344),'CONCEPTOS Y PARAMETROS'!F:G,2,0)*V344,0),2)</f>
        <v>5.13</v>
      </c>
      <c r="AB344" s="1150">
        <f>IF(S344&lt;&gt;"",IF(M344="",'CONCEPTOS Y PARAMETROS'!$C$4,0),0)</f>
        <v>130</v>
      </c>
      <c r="AC344" s="1150">
        <f>IF(S344&lt;&gt;"",IF(M344="",'CONCEPTOS Y PARAMETROS'!$C$7*Z344,0),0)</f>
        <v>0</v>
      </c>
      <c r="AD344" s="1150">
        <f>IFERROR(ROUND(VLOOKUP($X344,'CONCEPTOS Y PARAMETROS'!H:I,2,0)*($V344+AA344+AB344+AC344),2),0)</f>
        <v>0</v>
      </c>
      <c r="AE344" s="1150">
        <f t="shared" ref="AE344:AE376" si="1042">SUM(AA344:AD344)</f>
        <v>135.13</v>
      </c>
      <c r="AF344" s="1150">
        <f t="shared" si="986"/>
        <v>2.57</v>
      </c>
      <c r="AG344" s="1150">
        <f t="shared" si="987"/>
        <v>2.56</v>
      </c>
      <c r="AH344" s="1150">
        <f t="shared" si="988"/>
        <v>65</v>
      </c>
      <c r="AI344" s="1150">
        <f t="shared" si="989"/>
        <v>65</v>
      </c>
      <c r="AJ344" s="1150">
        <f t="shared" si="990"/>
        <v>0</v>
      </c>
      <c r="AK344" s="1150">
        <f t="shared" si="991"/>
        <v>0</v>
      </c>
      <c r="AL344" s="1151">
        <f t="shared" si="992"/>
        <v>67.569999999999993</v>
      </c>
      <c r="AM344" s="1151">
        <f t="shared" si="993"/>
        <v>67.56</v>
      </c>
      <c r="AN344" s="1028">
        <v>0</v>
      </c>
      <c r="AO344" s="1193">
        <f>'CONCEPTOS Y PARAMETROS'!$C$18*AN344</f>
        <v>0</v>
      </c>
      <c r="AP344" s="1028">
        <v>0</v>
      </c>
      <c r="AQ344" s="1193">
        <f>'CONCEPTOS Y PARAMETROS'!$C$21*AP344</f>
        <v>0</v>
      </c>
      <c r="AR344" s="1394">
        <v>0</v>
      </c>
      <c r="AS344" s="1394">
        <v>0</v>
      </c>
      <c r="AT344" s="1394">
        <f t="shared" si="1036"/>
        <v>0</v>
      </c>
      <c r="AU344" s="1151">
        <f t="shared" ref="AU344:AU376" si="1043">V344+AE344+AW344</f>
        <v>306.13</v>
      </c>
      <c r="AV344" s="1178">
        <v>0</v>
      </c>
      <c r="AW344" s="1151">
        <f t="shared" ref="AW344:AW376" si="1044">ROUND(IF(AV344="NOCTURN",(V344+AE344)*30%,0),2)</f>
        <v>0</v>
      </c>
      <c r="AX344" s="1150">
        <f>IF(T344&lt;&gt;"0",(ROUND(IF(A344="EMPLEADO",eval_formula('CONCEPTOS Y PARAMETROS'!$C$8,NOMINA!V344,NOMINA!$AU344,NOMINA!I344+NOMINA!J344),eval_formula('CONCEPTOS Y PARAMETROS'!$D$8,NOMINA!V344,NOMINA!$AU344,NOMINA!I344+NOMINA!J344)),2))*IF(H344&lt;&gt;"",IF(MONTH(H344)=$BR$8,IF(YEAR(H344)&lt;$BT$7,1,0),0)))</f>
        <v>0</v>
      </c>
      <c r="AY344" s="1151">
        <v>180</v>
      </c>
      <c r="AZ344" s="1150">
        <f>IFERROR(VLOOKUP(AY344,'CONCEPTOS Y PARAMETROS'!Y:Z,2,0),0)</f>
        <v>150</v>
      </c>
      <c r="BA344" s="1150">
        <f t="shared" si="997"/>
        <v>2295.98</v>
      </c>
      <c r="BB344" s="1150">
        <f t="shared" si="998"/>
        <v>0</v>
      </c>
      <c r="BC344" s="1028">
        <v>0</v>
      </c>
      <c r="BD344" s="1150" t="str">
        <f t="shared" ref="BD344:BD376" si="1045">IF(BC344&gt;0,((((((V344+AA344+AB344+AC344+AD344)/30)/8)*50%)+((((V344+AA344+AB344+AC344+AD344)/30)/8)))*30%+(((((V344+AA344+AB344+AC344+AD344)/30)/8)*50%)+((((V344+AA344+AB344+AC344+AD344)/30)/8))))*BC344,"0")</f>
        <v>0</v>
      </c>
      <c r="BE344" s="1028">
        <v>0</v>
      </c>
      <c r="BF344" s="1150">
        <f t="shared" ref="BF344:BF375" si="1046">ROUND(IF(BE344&gt;0,(((V344+AA344+AB344+AC344+AD344+AW344)/30)*50%+((V344+AA344+AB344+AC344+AD344+AW344)/30))*BE344,"0"),2)</f>
        <v>0</v>
      </c>
      <c r="BG344" s="1151">
        <v>290</v>
      </c>
      <c r="BH344" s="1151">
        <f t="shared" ref="BH344:BH375" si="1047">+IF(AND(Z344&gt;0,G344="M"),12.5,0)*0</f>
        <v>0</v>
      </c>
      <c r="BI344" s="1151">
        <v>0</v>
      </c>
      <c r="BJ344" s="1151">
        <f t="shared" si="1002"/>
        <v>0</v>
      </c>
      <c r="BK344" s="1151">
        <v>0</v>
      </c>
      <c r="BL344" s="1150">
        <f t="shared" si="1029"/>
        <v>11.3</v>
      </c>
      <c r="BM344" s="1150">
        <f t="shared" si="1030"/>
        <v>1.41</v>
      </c>
      <c r="BN344" s="1150">
        <f t="shared" ref="BN344:BN375" si="1048">ROUND(IF(M344="",(AU344*1%),0),2)</f>
        <v>3.06</v>
      </c>
      <c r="BO344" s="1150">
        <v>0</v>
      </c>
      <c r="BP344" s="1150">
        <v>0</v>
      </c>
      <c r="BQ344" s="1396">
        <f t="shared" si="1004"/>
        <v>15.77</v>
      </c>
      <c r="BR344" s="1150">
        <f t="shared" si="1031"/>
        <v>25.43</v>
      </c>
      <c r="BS344" s="1150">
        <f t="shared" si="1032"/>
        <v>5.65</v>
      </c>
      <c r="BT344" s="1150">
        <f t="shared" ref="BT344:BT375" si="1049">ROUND(IF(M344="",(BN344*2),0),2)</f>
        <v>6.12</v>
      </c>
      <c r="BU344" s="1150">
        <v>0</v>
      </c>
      <c r="BV344" s="1151">
        <f t="shared" si="1037"/>
        <v>37.200000000000003</v>
      </c>
      <c r="BW344" s="1155">
        <f t="shared" si="1038"/>
        <v>52.97</v>
      </c>
      <c r="BX344" s="1155">
        <f t="shared" si="1035"/>
        <v>574</v>
      </c>
      <c r="BY344" s="1151">
        <v>0</v>
      </c>
      <c r="BZ344" s="1151">
        <f t="shared" si="1009"/>
        <v>574</v>
      </c>
      <c r="CA344" s="1397">
        <f>'CONCEPTOS Y PARAMETROS'!$A$102</f>
        <v>2120</v>
      </c>
      <c r="CB344" s="1155">
        <f t="shared" si="1010"/>
        <v>137.29999999999998</v>
      </c>
      <c r="CC344" s="1156">
        <f t="shared" si="1011"/>
        <v>443.06</v>
      </c>
      <c r="CD344" s="514"/>
      <c r="CE344" s="514"/>
      <c r="CF344" s="520"/>
      <c r="CG344" s="497">
        <f t="shared" si="1012"/>
        <v>137.29999999999998</v>
      </c>
      <c r="CH344" s="1711">
        <f t="shared" ref="CH344:CH375" si="1050">BG344</f>
        <v>290</v>
      </c>
      <c r="CI344" s="497">
        <f t="shared" si="1014"/>
        <v>443.06</v>
      </c>
      <c r="CJ344" s="497">
        <f t="shared" si="1015"/>
        <v>443.06</v>
      </c>
      <c r="CK344" s="497">
        <f t="shared" si="1016"/>
        <v>0</v>
      </c>
      <c r="CL344" s="497">
        <f t="shared" ref="CL344:CL375" si="1051">+BJ344</f>
        <v>0</v>
      </c>
      <c r="CM344" s="497">
        <f t="shared" ref="CM344:CM375" si="1052">+BK344</f>
        <v>0</v>
      </c>
      <c r="CN344" s="498">
        <f t="shared" ref="CN344:CN375" si="1053">BF344+BB344</f>
        <v>0</v>
      </c>
      <c r="CO344" s="499">
        <v>0</v>
      </c>
      <c r="CP344" s="498">
        <f t="shared" ref="CP344:CP375" si="1054">AW344</f>
        <v>0</v>
      </c>
      <c r="CQ344" s="500">
        <f t="shared" ref="CQ344:CQ375" si="1055">AT344+CL344+CM344</f>
        <v>0</v>
      </c>
      <c r="CR344" s="498">
        <f t="shared" ref="CR344:CR375" si="1056">AX344</f>
        <v>0</v>
      </c>
      <c r="CS344" s="498">
        <f t="shared" ref="CS344:CS375" si="1057">SUM(CL344:CR344)</f>
        <v>0</v>
      </c>
      <c r="CT344" s="498">
        <f t="shared" ref="CT344:CT375" si="1058">BQ344+BV344</f>
        <v>52.97</v>
      </c>
      <c r="CU344" s="498">
        <f t="shared" ref="CU344:CU375" si="1059">CA344</f>
        <v>2120</v>
      </c>
      <c r="CV344" s="1554"/>
      <c r="CW344" s="1343" t="s">
        <v>6951</v>
      </c>
      <c r="CX344" s="1343" t="s">
        <v>6935</v>
      </c>
      <c r="CY344" s="472"/>
      <c r="CZ344" s="514" t="s">
        <v>6517</v>
      </c>
      <c r="DA344" s="514" t="s">
        <v>6173</v>
      </c>
      <c r="DB344" s="514" t="s">
        <v>6234</v>
      </c>
      <c r="DC344" s="1188" t="s">
        <v>6711</v>
      </c>
      <c r="DD344" s="514"/>
      <c r="DE344" s="514"/>
      <c r="DF344" s="472"/>
      <c r="DG344" s="472"/>
      <c r="DH344" s="472"/>
      <c r="DJ344" s="473" t="str">
        <f>VLOOKUP(X344,Hoja1!$A$4:$B$10,2,0)</f>
        <v>BACHILLER</v>
      </c>
      <c r="DK344" s="473" t="str">
        <f>VLOOKUP(S344,Hoja1!$D$4:$F$77,3,0)</f>
        <v>GRADO (5) - MÁX</v>
      </c>
      <c r="DL344" s="1216" t="str">
        <f t="shared" ref="DL344:DL375" si="1060">IF(AV344="NOCTURN","SI","0")</f>
        <v>0</v>
      </c>
      <c r="DM344" s="1741" t="str">
        <f t="shared" ref="DM344:DM375" si="1061">+G344</f>
        <v>F</v>
      </c>
      <c r="DN344" s="1741"/>
    </row>
    <row r="345" spans="1:118" s="473" customFormat="1" ht="21.95" customHeight="1">
      <c r="A345" s="510" t="s">
        <v>2834</v>
      </c>
      <c r="B345" s="1390">
        <f t="shared" ca="1" si="1028"/>
        <v>34</v>
      </c>
      <c r="C345" s="1028">
        <v>11897863</v>
      </c>
      <c r="D345" s="1343" t="s">
        <v>4994</v>
      </c>
      <c r="E345" s="1180" t="s">
        <v>4622</v>
      </c>
      <c r="F345" s="1161">
        <v>26192</v>
      </c>
      <c r="G345" s="1180" t="s">
        <v>4620</v>
      </c>
      <c r="H345" s="1161">
        <v>41548</v>
      </c>
      <c r="I345" s="1185">
        <f t="shared" si="1039"/>
        <v>11</v>
      </c>
      <c r="J345" s="1177">
        <v>0</v>
      </c>
      <c r="K345" s="1185">
        <f t="shared" si="1040"/>
        <v>11</v>
      </c>
      <c r="L345" s="1191" t="s">
        <v>5565</v>
      </c>
      <c r="M345" s="1177"/>
      <c r="N345" s="1177"/>
      <c r="O345" s="1040" t="s">
        <v>5088</v>
      </c>
      <c r="P345" s="1177" t="s">
        <v>5135</v>
      </c>
      <c r="Q345" s="1391">
        <v>7102</v>
      </c>
      <c r="R345" s="1514" t="s">
        <v>5088</v>
      </c>
      <c r="S345" s="1513">
        <v>1</v>
      </c>
      <c r="T345" s="1150">
        <f>IFERROR(VLOOKUP(S345,'TAB OBR'!A:B,2,0),0)</f>
        <v>130</v>
      </c>
      <c r="U345" s="1151">
        <v>0</v>
      </c>
      <c r="V345" s="1150">
        <f t="shared" si="1041"/>
        <v>130</v>
      </c>
      <c r="W345" s="1151">
        <f t="shared" si="984"/>
        <v>65</v>
      </c>
      <c r="X345" s="1180" t="s">
        <v>2884</v>
      </c>
      <c r="Y345" s="1180" t="s">
        <v>2884</v>
      </c>
      <c r="Z345" s="1180">
        <v>0</v>
      </c>
      <c r="AA345" s="1150">
        <f>ROUND(IF(H345&lt;&gt;"",VLOOKUP(SUM(I345+J345),'CONCEPTOS Y PARAMETROS'!F:G,2,0)*V345,0),2)</f>
        <v>16.12</v>
      </c>
      <c r="AB345" s="1150">
        <f>IF(S345&lt;&gt;"",IF(M345="",'CONCEPTOS Y PARAMETROS'!$C$4,0),0)</f>
        <v>130</v>
      </c>
      <c r="AC345" s="1150">
        <f>IF(S345&lt;&gt;"",IF(M345="",'CONCEPTOS Y PARAMETROS'!$C$7*Z345,0),0)</f>
        <v>0</v>
      </c>
      <c r="AD345" s="1150">
        <f>IFERROR(ROUND(VLOOKUP($X345,'CONCEPTOS Y PARAMETROS'!H:I,2,0)*($V345+AA345+AB345+AC345),2),0)</f>
        <v>0</v>
      </c>
      <c r="AE345" s="1150">
        <f t="shared" si="1042"/>
        <v>146.12</v>
      </c>
      <c r="AF345" s="1150">
        <f t="shared" si="986"/>
        <v>8.06</v>
      </c>
      <c r="AG345" s="1150">
        <f t="shared" si="987"/>
        <v>8.06</v>
      </c>
      <c r="AH345" s="1150">
        <f t="shared" si="988"/>
        <v>65</v>
      </c>
      <c r="AI345" s="1150">
        <f t="shared" si="989"/>
        <v>65</v>
      </c>
      <c r="AJ345" s="1150">
        <f t="shared" si="990"/>
        <v>0</v>
      </c>
      <c r="AK345" s="1150">
        <f t="shared" si="991"/>
        <v>0</v>
      </c>
      <c r="AL345" s="1151">
        <f t="shared" si="992"/>
        <v>73.06</v>
      </c>
      <c r="AM345" s="1151">
        <f t="shared" si="993"/>
        <v>73.06</v>
      </c>
      <c r="AN345" s="1028">
        <v>0</v>
      </c>
      <c r="AO345" s="1193">
        <f>'CONCEPTOS Y PARAMETROS'!$C$18*AN345</f>
        <v>0</v>
      </c>
      <c r="AP345" s="1028">
        <v>0</v>
      </c>
      <c r="AQ345" s="1193">
        <f>'CONCEPTOS Y PARAMETROS'!$C$21*AP345</f>
        <v>0</v>
      </c>
      <c r="AR345" s="1394">
        <v>0</v>
      </c>
      <c r="AS345" s="1394">
        <v>0</v>
      </c>
      <c r="AT345" s="1394">
        <f t="shared" si="1036"/>
        <v>0</v>
      </c>
      <c r="AU345" s="1151">
        <f t="shared" si="1043"/>
        <v>276.12</v>
      </c>
      <c r="AV345" s="1178">
        <v>0</v>
      </c>
      <c r="AW345" s="1151">
        <f t="shared" si="1044"/>
        <v>0</v>
      </c>
      <c r="AX345" s="1150">
        <f>IF(T345&lt;&gt;"0",(ROUND(IF(A345="EMPLEADO",eval_formula('CONCEPTOS Y PARAMETROS'!$C$8,NOMINA!V345,NOMINA!$AU345,NOMINA!I345+NOMINA!J345),eval_formula('CONCEPTOS Y PARAMETROS'!$D$8,NOMINA!V345,NOMINA!$AU345,NOMINA!I345+NOMINA!J345)),2))*IF(H345&lt;&gt;"",IF(MONTH(H345)=$BR$8,IF(YEAR(H345)&lt;$BT$7,1,0),0)))</f>
        <v>0</v>
      </c>
      <c r="AY345" s="1151">
        <v>180</v>
      </c>
      <c r="AZ345" s="1150">
        <f>IFERROR(VLOOKUP(AY345,'CONCEPTOS Y PARAMETROS'!Y:Z,2,0),0)</f>
        <v>150</v>
      </c>
      <c r="BA345" s="1150">
        <f t="shared" si="997"/>
        <v>2070.9</v>
      </c>
      <c r="BB345" s="1150">
        <f t="shared" si="998"/>
        <v>0</v>
      </c>
      <c r="BC345" s="1028">
        <v>0</v>
      </c>
      <c r="BD345" s="1150" t="str">
        <f t="shared" si="1045"/>
        <v>0</v>
      </c>
      <c r="BE345" s="1028">
        <v>0</v>
      </c>
      <c r="BF345" s="1150">
        <f t="shared" si="1046"/>
        <v>0</v>
      </c>
      <c r="BG345" s="1151">
        <v>290</v>
      </c>
      <c r="BH345" s="1151">
        <f t="shared" si="1047"/>
        <v>0</v>
      </c>
      <c r="BI345" s="1151">
        <v>0</v>
      </c>
      <c r="BJ345" s="1151">
        <f t="shared" si="1002"/>
        <v>0</v>
      </c>
      <c r="BK345" s="1151">
        <v>0</v>
      </c>
      <c r="BL345" s="1150">
        <f t="shared" si="1029"/>
        <v>10.199999999999999</v>
      </c>
      <c r="BM345" s="1150">
        <f t="shared" si="1030"/>
        <v>1.27</v>
      </c>
      <c r="BN345" s="1150">
        <f t="shared" si="1048"/>
        <v>2.76</v>
      </c>
      <c r="BO345" s="1150">
        <v>0</v>
      </c>
      <c r="BP345" s="1150">
        <v>0</v>
      </c>
      <c r="BQ345" s="1396">
        <f t="shared" si="1004"/>
        <v>14.23</v>
      </c>
      <c r="BR345" s="1150">
        <f t="shared" si="1031"/>
        <v>22.94</v>
      </c>
      <c r="BS345" s="1150">
        <f t="shared" si="1032"/>
        <v>5.0999999999999996</v>
      </c>
      <c r="BT345" s="1150">
        <f t="shared" si="1049"/>
        <v>5.52</v>
      </c>
      <c r="BU345" s="1150">
        <v>0</v>
      </c>
      <c r="BV345" s="1151">
        <f t="shared" si="1037"/>
        <v>33.56</v>
      </c>
      <c r="BW345" s="1155">
        <f t="shared" si="1038"/>
        <v>47.790000000000006</v>
      </c>
      <c r="BX345" s="1155">
        <f t="shared" si="1035"/>
        <v>517.73</v>
      </c>
      <c r="BY345" s="1151">
        <v>0</v>
      </c>
      <c r="BZ345" s="1151">
        <f t="shared" si="1009"/>
        <v>517.73</v>
      </c>
      <c r="CA345" s="1397">
        <f>'CONCEPTOS Y PARAMETROS'!$A$102</f>
        <v>2120</v>
      </c>
      <c r="CB345" s="1155">
        <f t="shared" si="1010"/>
        <v>123.83</v>
      </c>
      <c r="CC345" s="1156">
        <f t="shared" si="1011"/>
        <v>428.06</v>
      </c>
      <c r="CD345" s="514"/>
      <c r="CE345" s="514"/>
      <c r="CF345" s="520"/>
      <c r="CG345" s="497">
        <f t="shared" si="1012"/>
        <v>123.83</v>
      </c>
      <c r="CH345" s="1711">
        <f t="shared" si="1050"/>
        <v>290</v>
      </c>
      <c r="CI345" s="497">
        <f t="shared" si="1014"/>
        <v>428.06</v>
      </c>
      <c r="CJ345" s="497">
        <f t="shared" si="1015"/>
        <v>428.06</v>
      </c>
      <c r="CK345" s="497">
        <f t="shared" si="1016"/>
        <v>0</v>
      </c>
      <c r="CL345" s="497">
        <f t="shared" si="1051"/>
        <v>0</v>
      </c>
      <c r="CM345" s="497">
        <f t="shared" si="1052"/>
        <v>0</v>
      </c>
      <c r="CN345" s="498">
        <f t="shared" si="1053"/>
        <v>0</v>
      </c>
      <c r="CO345" s="499">
        <v>0</v>
      </c>
      <c r="CP345" s="498">
        <f t="shared" si="1054"/>
        <v>0</v>
      </c>
      <c r="CQ345" s="500">
        <f t="shared" si="1055"/>
        <v>0</v>
      </c>
      <c r="CR345" s="498">
        <f t="shared" si="1056"/>
        <v>0</v>
      </c>
      <c r="CS345" s="498">
        <f t="shared" si="1057"/>
        <v>0</v>
      </c>
      <c r="CT345" s="498">
        <f t="shared" si="1058"/>
        <v>47.790000000000006</v>
      </c>
      <c r="CU345" s="498">
        <f t="shared" si="1059"/>
        <v>2120</v>
      </c>
      <c r="CV345" s="1554"/>
      <c r="CW345" s="1343" t="s">
        <v>7090</v>
      </c>
      <c r="CX345" s="1343" t="s">
        <v>6935</v>
      </c>
      <c r="CY345" s="472"/>
      <c r="CZ345" s="1199" t="s">
        <v>6690</v>
      </c>
      <c r="DA345" s="514" t="s">
        <v>6173</v>
      </c>
      <c r="DB345" s="514" t="s">
        <v>6185</v>
      </c>
      <c r="DC345" s="514" t="s">
        <v>6246</v>
      </c>
      <c r="DD345" s="514"/>
      <c r="DE345" s="514"/>
      <c r="DF345" s="472"/>
      <c r="DG345" s="472"/>
      <c r="DH345" s="472"/>
      <c r="DJ345" s="473" t="str">
        <f>VLOOKUP(X345,Hoja1!$A$4:$B$10,2,0)</f>
        <v>BACHILLER</v>
      </c>
      <c r="DK345" s="473" t="str">
        <f>VLOOKUP(S345,Hoja1!$D$4:$F$77,3,0)</f>
        <v>GRADO (1) - MIN</v>
      </c>
      <c r="DL345" s="1216" t="str">
        <f t="shared" si="1060"/>
        <v>0</v>
      </c>
      <c r="DM345" s="1741" t="str">
        <f t="shared" si="1061"/>
        <v>F</v>
      </c>
      <c r="DN345" s="1741"/>
    </row>
    <row r="346" spans="1:118" s="473" customFormat="1" ht="21.95" customHeight="1">
      <c r="A346" s="510" t="s">
        <v>2834</v>
      </c>
      <c r="B346" s="1390">
        <f t="shared" ca="1" si="1028"/>
        <v>35</v>
      </c>
      <c r="C346" s="1028">
        <v>12038359</v>
      </c>
      <c r="D346" s="1343" t="s">
        <v>4995</v>
      </c>
      <c r="E346" s="1180" t="s">
        <v>4622</v>
      </c>
      <c r="F346" s="1161">
        <v>26083</v>
      </c>
      <c r="G346" s="1180" t="s">
        <v>4620</v>
      </c>
      <c r="H346" s="1161">
        <v>38103</v>
      </c>
      <c r="I346" s="1185">
        <f t="shared" si="1039"/>
        <v>20</v>
      </c>
      <c r="J346" s="1177">
        <v>0</v>
      </c>
      <c r="K346" s="1185">
        <f t="shared" si="1040"/>
        <v>20</v>
      </c>
      <c r="L346" s="1191" t="s">
        <v>5554</v>
      </c>
      <c r="M346" s="1177"/>
      <c r="N346" s="1177"/>
      <c r="O346" s="1040" t="s">
        <v>5085</v>
      </c>
      <c r="P346" s="1177" t="s">
        <v>5136</v>
      </c>
      <c r="Q346" s="1391">
        <v>2202</v>
      </c>
      <c r="R346" s="1514" t="s">
        <v>5085</v>
      </c>
      <c r="S346" s="1513">
        <v>5</v>
      </c>
      <c r="T346" s="1150">
        <f>IFERROR(VLOOKUP(S346,'TAB OBR'!A:B,2,0),0)</f>
        <v>171</v>
      </c>
      <c r="U346" s="1151">
        <v>0</v>
      </c>
      <c r="V346" s="1150">
        <f t="shared" si="1041"/>
        <v>171</v>
      </c>
      <c r="W346" s="1151">
        <f t="shared" si="984"/>
        <v>85.5</v>
      </c>
      <c r="X346" s="1180" t="s">
        <v>2884</v>
      </c>
      <c r="Y346" s="1180" t="s">
        <v>2884</v>
      </c>
      <c r="Z346" s="1180">
        <v>0</v>
      </c>
      <c r="AA346" s="1150">
        <f>ROUND(IF(H346&lt;&gt;"",VLOOKUP(SUM(I346+J346),'CONCEPTOS Y PARAMETROS'!F:G,2,0)*V346,0),2)</f>
        <v>44.46</v>
      </c>
      <c r="AB346" s="1150">
        <f>IF(S346&lt;&gt;"",IF(M346="",'CONCEPTOS Y PARAMETROS'!$C$4,0),0)</f>
        <v>130</v>
      </c>
      <c r="AC346" s="1150">
        <f>IF(S346&lt;&gt;"",IF(M346="",'CONCEPTOS Y PARAMETROS'!$C$7*Z346,0),0)</f>
        <v>0</v>
      </c>
      <c r="AD346" s="1150">
        <f>IFERROR(ROUND(VLOOKUP($X346,'CONCEPTOS Y PARAMETROS'!H:I,2,0)*($V346+AA346+AB346+AC346),2),0)</f>
        <v>0</v>
      </c>
      <c r="AE346" s="1150">
        <f t="shared" si="1042"/>
        <v>174.46</v>
      </c>
      <c r="AF346" s="1150">
        <f t="shared" si="986"/>
        <v>22.23</v>
      </c>
      <c r="AG346" s="1150">
        <f t="shared" si="987"/>
        <v>22.23</v>
      </c>
      <c r="AH346" s="1150">
        <f t="shared" si="988"/>
        <v>65</v>
      </c>
      <c r="AI346" s="1150">
        <f t="shared" si="989"/>
        <v>65</v>
      </c>
      <c r="AJ346" s="1150">
        <f t="shared" si="990"/>
        <v>0</v>
      </c>
      <c r="AK346" s="1150">
        <f t="shared" si="991"/>
        <v>0</v>
      </c>
      <c r="AL346" s="1151">
        <f t="shared" si="992"/>
        <v>87.23</v>
      </c>
      <c r="AM346" s="1151">
        <f t="shared" si="993"/>
        <v>87.23</v>
      </c>
      <c r="AN346" s="1028">
        <v>0</v>
      </c>
      <c r="AO346" s="1193">
        <f>'CONCEPTOS Y PARAMETROS'!$C$18*AN346</f>
        <v>0</v>
      </c>
      <c r="AP346" s="1028">
        <v>0</v>
      </c>
      <c r="AQ346" s="1193">
        <f>'CONCEPTOS Y PARAMETROS'!$C$21*AP346</f>
        <v>0</v>
      </c>
      <c r="AR346" s="1394">
        <v>0</v>
      </c>
      <c r="AS346" s="1394">
        <v>0</v>
      </c>
      <c r="AT346" s="1394">
        <f t="shared" si="1036"/>
        <v>0</v>
      </c>
      <c r="AU346" s="1151">
        <f t="shared" si="1043"/>
        <v>345.46000000000004</v>
      </c>
      <c r="AV346" s="1178">
        <v>0</v>
      </c>
      <c r="AW346" s="1151">
        <f t="shared" si="1044"/>
        <v>0</v>
      </c>
      <c r="AX346" s="1150">
        <f>IF(T346&lt;&gt;"0",(ROUND(IF(A346="EMPLEADO",eval_formula('CONCEPTOS Y PARAMETROS'!$C$8,NOMINA!V346,NOMINA!$AU346,NOMINA!I346+NOMINA!J346),eval_formula('CONCEPTOS Y PARAMETROS'!$D$8,NOMINA!V346,NOMINA!$AU346,NOMINA!I346+NOMINA!J346)),2))*IF(H346&lt;&gt;"",IF(MONTH(H346)=$BR$8,IF(YEAR(H346)&lt;$BT$7,1,0),0)))</f>
        <v>0</v>
      </c>
      <c r="AY346" s="1151">
        <v>180</v>
      </c>
      <c r="AZ346" s="1150">
        <f>IFERROR(VLOOKUP(AY346,'CONCEPTOS Y PARAMETROS'!Y:Z,2,0),0)</f>
        <v>150</v>
      </c>
      <c r="BA346" s="1150">
        <f t="shared" si="997"/>
        <v>2590.9499999999998</v>
      </c>
      <c r="BB346" s="1150">
        <f t="shared" si="998"/>
        <v>0</v>
      </c>
      <c r="BC346" s="1028">
        <v>0</v>
      </c>
      <c r="BD346" s="1150" t="str">
        <f t="shared" si="1045"/>
        <v>0</v>
      </c>
      <c r="BE346" s="1028">
        <v>0</v>
      </c>
      <c r="BF346" s="1150">
        <f t="shared" si="1046"/>
        <v>0</v>
      </c>
      <c r="BG346" s="1151">
        <v>290</v>
      </c>
      <c r="BH346" s="1151">
        <f t="shared" si="1047"/>
        <v>0</v>
      </c>
      <c r="BI346" s="1151">
        <v>0</v>
      </c>
      <c r="BJ346" s="1151">
        <f t="shared" si="1002"/>
        <v>0</v>
      </c>
      <c r="BK346" s="1151">
        <v>0</v>
      </c>
      <c r="BL346" s="1150">
        <f t="shared" si="1029"/>
        <v>12.76</v>
      </c>
      <c r="BM346" s="1150">
        <f t="shared" si="1030"/>
        <v>1.59</v>
      </c>
      <c r="BN346" s="1150">
        <f t="shared" si="1048"/>
        <v>3.45</v>
      </c>
      <c r="BO346" s="1150">
        <v>0</v>
      </c>
      <c r="BP346" s="1150">
        <v>0</v>
      </c>
      <c r="BQ346" s="1396">
        <f t="shared" si="1004"/>
        <v>17.8</v>
      </c>
      <c r="BR346" s="1150">
        <f t="shared" si="1031"/>
        <v>28.7</v>
      </c>
      <c r="BS346" s="1150">
        <f t="shared" si="1032"/>
        <v>6.38</v>
      </c>
      <c r="BT346" s="1150">
        <f t="shared" si="1049"/>
        <v>6.9</v>
      </c>
      <c r="BU346" s="1150">
        <v>0</v>
      </c>
      <c r="BV346" s="1151">
        <f t="shared" si="1037"/>
        <v>41.98</v>
      </c>
      <c r="BW346" s="1155">
        <f t="shared" si="1038"/>
        <v>59.78</v>
      </c>
      <c r="BX346" s="1155">
        <f t="shared" si="1035"/>
        <v>647.74</v>
      </c>
      <c r="BY346" s="1151">
        <v>0</v>
      </c>
      <c r="BZ346" s="1151">
        <f t="shared" si="1009"/>
        <v>647.74</v>
      </c>
      <c r="CA346" s="1397">
        <f>'CONCEPTOS Y PARAMETROS'!$A$102</f>
        <v>2120</v>
      </c>
      <c r="CB346" s="1155">
        <f t="shared" si="1010"/>
        <v>154.93</v>
      </c>
      <c r="CC346" s="1156">
        <f t="shared" si="1011"/>
        <v>462.73</v>
      </c>
      <c r="CD346" s="514"/>
      <c r="CE346" s="514"/>
      <c r="CF346" s="520"/>
      <c r="CG346" s="497">
        <f t="shared" si="1012"/>
        <v>154.93</v>
      </c>
      <c r="CH346" s="1711">
        <f t="shared" si="1050"/>
        <v>290</v>
      </c>
      <c r="CI346" s="497">
        <f t="shared" si="1014"/>
        <v>462.73</v>
      </c>
      <c r="CJ346" s="497">
        <f t="shared" si="1015"/>
        <v>462.73</v>
      </c>
      <c r="CK346" s="497">
        <f t="shared" si="1016"/>
        <v>0</v>
      </c>
      <c r="CL346" s="497">
        <f t="shared" si="1051"/>
        <v>0</v>
      </c>
      <c r="CM346" s="497">
        <f t="shared" si="1052"/>
        <v>0</v>
      </c>
      <c r="CN346" s="498">
        <f t="shared" si="1053"/>
        <v>0</v>
      </c>
      <c r="CO346" s="499">
        <v>0</v>
      </c>
      <c r="CP346" s="498">
        <f t="shared" si="1054"/>
        <v>0</v>
      </c>
      <c r="CQ346" s="500">
        <f t="shared" si="1055"/>
        <v>0</v>
      </c>
      <c r="CR346" s="498">
        <f t="shared" si="1056"/>
        <v>0</v>
      </c>
      <c r="CS346" s="498">
        <f t="shared" si="1057"/>
        <v>0</v>
      </c>
      <c r="CT346" s="498">
        <f t="shared" si="1058"/>
        <v>59.78</v>
      </c>
      <c r="CU346" s="498">
        <f t="shared" si="1059"/>
        <v>2120</v>
      </c>
      <c r="CV346" s="1554"/>
      <c r="CW346" s="1343" t="s">
        <v>7314</v>
      </c>
      <c r="CX346" s="1343" t="s">
        <v>7143</v>
      </c>
      <c r="CY346" s="472"/>
      <c r="CZ346" s="514" t="s">
        <v>6518</v>
      </c>
      <c r="DA346" s="514" t="s">
        <v>6196</v>
      </c>
      <c r="DB346" s="1199" t="s">
        <v>6414</v>
      </c>
      <c r="DC346" s="514" t="s">
        <v>6728</v>
      </c>
      <c r="DD346" s="472"/>
      <c r="DE346" s="514"/>
      <c r="DF346" s="472"/>
      <c r="DG346" s="472"/>
      <c r="DH346" s="472"/>
      <c r="DJ346" s="473" t="str">
        <f>VLOOKUP(X346,Hoja1!$A$4:$B$10,2,0)</f>
        <v>BACHILLER</v>
      </c>
      <c r="DK346" s="473" t="str">
        <f>VLOOKUP(S346,Hoja1!$D$4:$F$77,3,0)</f>
        <v>GRADO (5) - MÁX</v>
      </c>
      <c r="DL346" s="1216" t="str">
        <f t="shared" si="1060"/>
        <v>0</v>
      </c>
      <c r="DM346" s="1741" t="str">
        <f t="shared" si="1061"/>
        <v>F</v>
      </c>
      <c r="DN346" s="1741"/>
    </row>
    <row r="347" spans="1:118" s="478" customFormat="1" ht="21.95" customHeight="1">
      <c r="A347" s="510" t="s">
        <v>2834</v>
      </c>
      <c r="B347" s="1390">
        <f t="shared" ca="1" si="1028"/>
        <v>36</v>
      </c>
      <c r="C347" s="1028">
        <v>12042930</v>
      </c>
      <c r="D347" s="1343" t="s">
        <v>5099</v>
      </c>
      <c r="E347" s="1180" t="s">
        <v>4622</v>
      </c>
      <c r="F347" s="1161">
        <v>27548</v>
      </c>
      <c r="G347" s="1180" t="s">
        <v>4621</v>
      </c>
      <c r="H347" s="1161">
        <v>44986</v>
      </c>
      <c r="I347" s="1185">
        <f t="shared" si="1039"/>
        <v>1</v>
      </c>
      <c r="J347" s="1177">
        <v>0</v>
      </c>
      <c r="K347" s="1185">
        <f t="shared" si="1040"/>
        <v>1</v>
      </c>
      <c r="L347" s="1191" t="s">
        <v>5565</v>
      </c>
      <c r="M347" s="1177"/>
      <c r="N347" s="1177"/>
      <c r="O347" s="1040" t="s">
        <v>5084</v>
      </c>
      <c r="P347" s="1177" t="s">
        <v>5137</v>
      </c>
      <c r="Q347" s="1391">
        <v>7152</v>
      </c>
      <c r="R347" s="1514" t="s">
        <v>5084</v>
      </c>
      <c r="S347" s="1513">
        <v>3</v>
      </c>
      <c r="T347" s="1150">
        <f>IFERROR(VLOOKUP(S347,'TAB OBR'!A:B,2,0),0)</f>
        <v>152</v>
      </c>
      <c r="U347" s="1151">
        <v>0</v>
      </c>
      <c r="V347" s="1150">
        <f t="shared" si="1041"/>
        <v>152</v>
      </c>
      <c r="W347" s="1151">
        <f t="shared" si="984"/>
        <v>76</v>
      </c>
      <c r="X347" s="1180" t="s">
        <v>2884</v>
      </c>
      <c r="Y347" s="1180" t="s">
        <v>2884</v>
      </c>
      <c r="Z347" s="1180">
        <v>0</v>
      </c>
      <c r="AA347" s="1150">
        <f>ROUND(IF(H347&lt;&gt;"",VLOOKUP(SUM(I347+J347),'CONCEPTOS Y PARAMETROS'!F:G,2,0)*V347,0),2)</f>
        <v>1.52</v>
      </c>
      <c r="AB347" s="1150">
        <f>IF(S347&lt;&gt;"",IF(M347="",'CONCEPTOS Y PARAMETROS'!$C$4,0),0)</f>
        <v>130</v>
      </c>
      <c r="AC347" s="1150">
        <f>IF(S347&lt;&gt;"",IF(M347="",'CONCEPTOS Y PARAMETROS'!$C$7*Z347,0),0)</f>
        <v>0</v>
      </c>
      <c r="AD347" s="1150">
        <f>IFERROR(ROUND(VLOOKUP($X347,'CONCEPTOS Y PARAMETROS'!H:I,2,0)*($V347+AA347+AB347+AC347),2),0)</f>
        <v>0</v>
      </c>
      <c r="AE347" s="1150">
        <f t="shared" si="1042"/>
        <v>131.52000000000001</v>
      </c>
      <c r="AF347" s="1150">
        <f t="shared" si="986"/>
        <v>0.76</v>
      </c>
      <c r="AG347" s="1150">
        <f t="shared" si="987"/>
        <v>0.76</v>
      </c>
      <c r="AH347" s="1150">
        <f t="shared" si="988"/>
        <v>65</v>
      </c>
      <c r="AI347" s="1150">
        <f t="shared" si="989"/>
        <v>65</v>
      </c>
      <c r="AJ347" s="1150">
        <f t="shared" si="990"/>
        <v>0</v>
      </c>
      <c r="AK347" s="1150">
        <f t="shared" si="991"/>
        <v>0</v>
      </c>
      <c r="AL347" s="1151">
        <f t="shared" si="992"/>
        <v>65.760000000000005</v>
      </c>
      <c r="AM347" s="1151">
        <f t="shared" si="993"/>
        <v>65.760000000000005</v>
      </c>
      <c r="AN347" s="1028">
        <v>0</v>
      </c>
      <c r="AO347" s="1193">
        <f>'CONCEPTOS Y PARAMETROS'!$C$18*AN347</f>
        <v>0</v>
      </c>
      <c r="AP347" s="1028">
        <v>0</v>
      </c>
      <c r="AQ347" s="1193">
        <f>'CONCEPTOS Y PARAMETROS'!$C$21*AP347</f>
        <v>0</v>
      </c>
      <c r="AR347" s="1394">
        <v>0</v>
      </c>
      <c r="AS347" s="1394">
        <v>0</v>
      </c>
      <c r="AT347" s="1394">
        <f t="shared" si="1036"/>
        <v>0</v>
      </c>
      <c r="AU347" s="1151">
        <f t="shared" si="1043"/>
        <v>283.52</v>
      </c>
      <c r="AV347" s="1178">
        <v>0</v>
      </c>
      <c r="AW347" s="1151">
        <f t="shared" si="1044"/>
        <v>0</v>
      </c>
      <c r="AX347" s="1150">
        <f>IF(T347&lt;&gt;"0",(ROUND(IF(A347="EMPLEADO",eval_formula('CONCEPTOS Y PARAMETROS'!$C$8,NOMINA!V347,NOMINA!$AU347,NOMINA!I347+NOMINA!J347),eval_formula('CONCEPTOS Y PARAMETROS'!$D$8,NOMINA!V347,NOMINA!$AU347,NOMINA!I347+NOMINA!J347)),2))*IF(H347&lt;&gt;"",IF(MONTH(H347)=$BR$8,IF(YEAR(H347)&lt;$BT$7,1,0),0)))</f>
        <v>0</v>
      </c>
      <c r="AY347" s="1151">
        <v>180</v>
      </c>
      <c r="AZ347" s="1150">
        <f>IFERROR(VLOOKUP(AY347,'CONCEPTOS Y PARAMETROS'!Y:Z,2,0),0)</f>
        <v>150</v>
      </c>
      <c r="BA347" s="1150">
        <f t="shared" si="997"/>
        <v>2126.4</v>
      </c>
      <c r="BB347" s="1150">
        <f t="shared" si="998"/>
        <v>0</v>
      </c>
      <c r="BC347" s="1028">
        <v>0</v>
      </c>
      <c r="BD347" s="1150" t="str">
        <f t="shared" si="1045"/>
        <v>0</v>
      </c>
      <c r="BE347" s="1028">
        <v>1</v>
      </c>
      <c r="BF347" s="1150">
        <f t="shared" si="1046"/>
        <v>14.18</v>
      </c>
      <c r="BG347" s="1151">
        <v>290</v>
      </c>
      <c r="BH347" s="1151">
        <f t="shared" si="1047"/>
        <v>0</v>
      </c>
      <c r="BI347" s="1151">
        <v>0</v>
      </c>
      <c r="BJ347" s="1151">
        <f t="shared" si="1002"/>
        <v>0</v>
      </c>
      <c r="BK347" s="1151">
        <v>0</v>
      </c>
      <c r="BL347" s="1150">
        <f t="shared" si="1029"/>
        <v>10.47</v>
      </c>
      <c r="BM347" s="1150">
        <f t="shared" si="1030"/>
        <v>1.31</v>
      </c>
      <c r="BN347" s="1150">
        <f t="shared" si="1048"/>
        <v>2.84</v>
      </c>
      <c r="BO347" s="1150">
        <v>0</v>
      </c>
      <c r="BP347" s="1150">
        <v>0</v>
      </c>
      <c r="BQ347" s="1396">
        <f t="shared" si="1004"/>
        <v>14.62</v>
      </c>
      <c r="BR347" s="1150">
        <f t="shared" si="1031"/>
        <v>23.55</v>
      </c>
      <c r="BS347" s="1150">
        <f t="shared" si="1032"/>
        <v>5.23</v>
      </c>
      <c r="BT347" s="1150">
        <f t="shared" si="1049"/>
        <v>5.68</v>
      </c>
      <c r="BU347" s="1150">
        <v>0</v>
      </c>
      <c r="BV347" s="1151">
        <f t="shared" si="1037"/>
        <v>34.46</v>
      </c>
      <c r="BW347" s="1155">
        <f t="shared" si="1038"/>
        <v>49.08</v>
      </c>
      <c r="BX347" s="1155">
        <f t="shared" si="1035"/>
        <v>531.6</v>
      </c>
      <c r="BY347" s="1151">
        <v>0</v>
      </c>
      <c r="BZ347" s="1151">
        <f t="shared" si="1009"/>
        <v>531.6</v>
      </c>
      <c r="CA347" s="1397">
        <f>'CONCEPTOS Y PARAMETROS'!$A$102</f>
        <v>2120</v>
      </c>
      <c r="CB347" s="1155">
        <f t="shared" si="1010"/>
        <v>127.13999999999999</v>
      </c>
      <c r="CC347" s="1156">
        <f t="shared" si="1011"/>
        <v>445.94</v>
      </c>
      <c r="CD347" s="514"/>
      <c r="CE347" s="514"/>
      <c r="CF347" s="521"/>
      <c r="CG347" s="511">
        <f t="shared" si="1012"/>
        <v>127.13999999999999</v>
      </c>
      <c r="CH347" s="1711">
        <f t="shared" si="1050"/>
        <v>290</v>
      </c>
      <c r="CI347" s="497">
        <f t="shared" si="1014"/>
        <v>431.76</v>
      </c>
      <c r="CJ347" s="511">
        <f t="shared" si="1015"/>
        <v>431.76</v>
      </c>
      <c r="CK347" s="511">
        <f t="shared" si="1016"/>
        <v>0</v>
      </c>
      <c r="CL347" s="497">
        <f t="shared" si="1051"/>
        <v>0</v>
      </c>
      <c r="CM347" s="497">
        <f t="shared" si="1052"/>
        <v>0</v>
      </c>
      <c r="CN347" s="512">
        <f t="shared" si="1053"/>
        <v>14.18</v>
      </c>
      <c r="CO347" s="513">
        <v>0</v>
      </c>
      <c r="CP347" s="512">
        <f t="shared" si="1054"/>
        <v>0</v>
      </c>
      <c r="CQ347" s="500">
        <f t="shared" si="1055"/>
        <v>0</v>
      </c>
      <c r="CR347" s="512">
        <f t="shared" si="1056"/>
        <v>0</v>
      </c>
      <c r="CS347" s="498">
        <f t="shared" si="1057"/>
        <v>14.18</v>
      </c>
      <c r="CT347" s="498">
        <f t="shared" si="1058"/>
        <v>49.08</v>
      </c>
      <c r="CU347" s="512">
        <f t="shared" si="1059"/>
        <v>2120</v>
      </c>
      <c r="CV347" s="1556"/>
      <c r="CW347" s="1343" t="s">
        <v>7315</v>
      </c>
      <c r="CX347" s="1343" t="s">
        <v>7316</v>
      </c>
      <c r="CY347" s="514"/>
      <c r="CZ347" s="1199" t="s">
        <v>6605</v>
      </c>
      <c r="DA347" s="514" t="s">
        <v>6173</v>
      </c>
      <c r="DB347" s="514" t="s">
        <v>6202</v>
      </c>
      <c r="DC347" s="514" t="s">
        <v>6271</v>
      </c>
      <c r="DD347" s="472"/>
      <c r="DE347" s="472"/>
      <c r="DF347" s="514"/>
      <c r="DG347" s="514"/>
      <c r="DH347" s="514"/>
      <c r="DJ347" s="473" t="str">
        <f>VLOOKUP(X347,Hoja1!$A$4:$B$10,2,0)</f>
        <v>BACHILLER</v>
      </c>
      <c r="DK347" s="473" t="str">
        <f>VLOOKUP(S347,Hoja1!$D$4:$F$77,3,0)</f>
        <v>GRADO (3) - MÁX</v>
      </c>
      <c r="DL347" s="1216" t="str">
        <f t="shared" si="1060"/>
        <v>0</v>
      </c>
      <c r="DM347" s="1741" t="str">
        <f t="shared" si="1061"/>
        <v>M</v>
      </c>
      <c r="DN347" s="1741"/>
    </row>
    <row r="348" spans="1:118" s="473" customFormat="1" ht="21.95" customHeight="1">
      <c r="A348" s="510" t="s">
        <v>2834</v>
      </c>
      <c r="B348" s="1390">
        <f t="shared" ca="1" si="1028"/>
        <v>37</v>
      </c>
      <c r="C348" s="1028">
        <v>12043135</v>
      </c>
      <c r="D348" s="1343" t="s">
        <v>4996</v>
      </c>
      <c r="E348" s="1180" t="s">
        <v>4622</v>
      </c>
      <c r="F348" s="1161">
        <v>26293</v>
      </c>
      <c r="G348" s="1180" t="s">
        <v>4621</v>
      </c>
      <c r="H348" s="1161">
        <v>43724</v>
      </c>
      <c r="I348" s="1185">
        <f t="shared" si="1039"/>
        <v>5</v>
      </c>
      <c r="J348" s="1177">
        <v>0</v>
      </c>
      <c r="K348" s="1185">
        <f t="shared" si="1040"/>
        <v>5</v>
      </c>
      <c r="L348" s="1191" t="s">
        <v>5559</v>
      </c>
      <c r="M348" s="1177"/>
      <c r="N348" s="1177"/>
      <c r="O348" s="1040" t="s">
        <v>5092</v>
      </c>
      <c r="P348" s="1177" t="s">
        <v>5138</v>
      </c>
      <c r="Q348" s="1391">
        <v>2202</v>
      </c>
      <c r="R348" s="1514" t="s">
        <v>5092</v>
      </c>
      <c r="S348" s="1513">
        <v>5</v>
      </c>
      <c r="T348" s="1150">
        <f>IFERROR(VLOOKUP(S348,'TAB OBR'!A:B,2,0),0)</f>
        <v>171</v>
      </c>
      <c r="U348" s="1151">
        <v>0</v>
      </c>
      <c r="V348" s="1150">
        <f t="shared" si="1041"/>
        <v>171</v>
      </c>
      <c r="W348" s="1151">
        <f t="shared" si="984"/>
        <v>85.5</v>
      </c>
      <c r="X348" s="1180" t="s">
        <v>2884</v>
      </c>
      <c r="Y348" s="1180" t="s">
        <v>2884</v>
      </c>
      <c r="Z348" s="1180">
        <v>0</v>
      </c>
      <c r="AA348" s="1150">
        <f>ROUND(IF(H348&lt;&gt;"",VLOOKUP(SUM(I348+J348),'CONCEPTOS Y PARAMETROS'!F:G,2,0)*V348,0),2)</f>
        <v>8.5500000000000007</v>
      </c>
      <c r="AB348" s="1150">
        <f>IF(S348&lt;&gt;"",IF(M348="",'CONCEPTOS Y PARAMETROS'!$C$4,0),0)</f>
        <v>130</v>
      </c>
      <c r="AC348" s="1150">
        <f>IF(S348&lt;&gt;"",IF(M348="",'CONCEPTOS Y PARAMETROS'!$C$7*Z348,0),0)</f>
        <v>0</v>
      </c>
      <c r="AD348" s="1150">
        <f>IFERROR(ROUND(VLOOKUP($X348,'CONCEPTOS Y PARAMETROS'!H:I,2,0)*($V348+AA348+AB348+AC348),2),0)</f>
        <v>0</v>
      </c>
      <c r="AE348" s="1150">
        <f t="shared" si="1042"/>
        <v>138.55000000000001</v>
      </c>
      <c r="AF348" s="1150">
        <f t="shared" si="986"/>
        <v>4.28</v>
      </c>
      <c r="AG348" s="1150">
        <f t="shared" si="987"/>
        <v>4.2699999999999996</v>
      </c>
      <c r="AH348" s="1150">
        <f t="shared" si="988"/>
        <v>65</v>
      </c>
      <c r="AI348" s="1150">
        <f t="shared" si="989"/>
        <v>65</v>
      </c>
      <c r="AJ348" s="1150">
        <f t="shared" si="990"/>
        <v>0</v>
      </c>
      <c r="AK348" s="1150">
        <f t="shared" si="991"/>
        <v>0</v>
      </c>
      <c r="AL348" s="1151">
        <f t="shared" si="992"/>
        <v>69.28</v>
      </c>
      <c r="AM348" s="1151">
        <f t="shared" si="993"/>
        <v>69.27</v>
      </c>
      <c r="AN348" s="1028">
        <v>0</v>
      </c>
      <c r="AO348" s="1193">
        <f>'CONCEPTOS Y PARAMETROS'!$C$18*AN348</f>
        <v>0</v>
      </c>
      <c r="AP348" s="1028">
        <v>0</v>
      </c>
      <c r="AQ348" s="1193">
        <f>'CONCEPTOS Y PARAMETROS'!$C$21*AP348</f>
        <v>0</v>
      </c>
      <c r="AR348" s="1394">
        <v>0</v>
      </c>
      <c r="AS348" s="1394">
        <v>0</v>
      </c>
      <c r="AT348" s="1394">
        <f t="shared" si="1036"/>
        <v>0</v>
      </c>
      <c r="AU348" s="1151">
        <f t="shared" si="1043"/>
        <v>309.55</v>
      </c>
      <c r="AV348" s="1178">
        <v>0</v>
      </c>
      <c r="AW348" s="1151">
        <f t="shared" si="1044"/>
        <v>0</v>
      </c>
      <c r="AX348" s="1150">
        <f>IF(T348&lt;&gt;"0",(ROUND(IF(A348="EMPLEADO",eval_formula('CONCEPTOS Y PARAMETROS'!$C$8,NOMINA!V348,NOMINA!$AU348,NOMINA!I348+NOMINA!J348),eval_formula('CONCEPTOS Y PARAMETROS'!$D$8,NOMINA!V348,NOMINA!$AU348,NOMINA!I348+NOMINA!J348)),2))*IF(H348&lt;&gt;"",IF(MONTH(H348)=$BR$8,IF(YEAR(H348)&lt;$BT$7,1,0),0)))</f>
        <v>0</v>
      </c>
      <c r="AY348" s="1151">
        <v>180</v>
      </c>
      <c r="AZ348" s="1150">
        <f>IFERROR(VLOOKUP(AY348,'CONCEPTOS Y PARAMETROS'!Y:Z,2,0),0)</f>
        <v>150</v>
      </c>
      <c r="BA348" s="1150">
        <f t="shared" si="997"/>
        <v>2321.63</v>
      </c>
      <c r="BB348" s="1150">
        <f t="shared" si="998"/>
        <v>0</v>
      </c>
      <c r="BC348" s="1028">
        <v>0</v>
      </c>
      <c r="BD348" s="1150" t="str">
        <f t="shared" si="1045"/>
        <v>0</v>
      </c>
      <c r="BE348" s="1028">
        <v>4</v>
      </c>
      <c r="BF348" s="1150">
        <f t="shared" si="1046"/>
        <v>61.91</v>
      </c>
      <c r="BG348" s="1151">
        <v>290</v>
      </c>
      <c r="BH348" s="1151">
        <f t="shared" si="1047"/>
        <v>0</v>
      </c>
      <c r="BI348" s="1151">
        <v>0</v>
      </c>
      <c r="BJ348" s="1151">
        <f t="shared" si="1002"/>
        <v>0</v>
      </c>
      <c r="BK348" s="1151">
        <v>0</v>
      </c>
      <c r="BL348" s="1150">
        <f t="shared" si="1029"/>
        <v>11.43</v>
      </c>
      <c r="BM348" s="1150">
        <f t="shared" si="1030"/>
        <v>1.43</v>
      </c>
      <c r="BN348" s="1150">
        <f t="shared" si="1048"/>
        <v>3.1</v>
      </c>
      <c r="BO348" s="1150">
        <v>0</v>
      </c>
      <c r="BP348" s="1150">
        <v>0</v>
      </c>
      <c r="BQ348" s="1396">
        <f t="shared" si="1004"/>
        <v>15.96</v>
      </c>
      <c r="BR348" s="1150">
        <f t="shared" si="1031"/>
        <v>25.72</v>
      </c>
      <c r="BS348" s="1150">
        <f t="shared" si="1032"/>
        <v>5.71</v>
      </c>
      <c r="BT348" s="1150">
        <f t="shared" si="1049"/>
        <v>6.2</v>
      </c>
      <c r="BU348" s="1150">
        <v>0</v>
      </c>
      <c r="BV348" s="1151">
        <f t="shared" si="1037"/>
        <v>37.630000000000003</v>
      </c>
      <c r="BW348" s="1155">
        <f t="shared" si="1038"/>
        <v>53.59</v>
      </c>
      <c r="BX348" s="1155">
        <f t="shared" si="1035"/>
        <v>580.41</v>
      </c>
      <c r="BY348" s="1151">
        <v>0</v>
      </c>
      <c r="BZ348" s="1151">
        <f t="shared" si="1009"/>
        <v>580.41</v>
      </c>
      <c r="CA348" s="1397">
        <f>'CONCEPTOS Y PARAMETROS'!$A$102</f>
        <v>2120</v>
      </c>
      <c r="CB348" s="1155">
        <f t="shared" si="1010"/>
        <v>138.82</v>
      </c>
      <c r="CC348" s="1156">
        <f t="shared" si="1011"/>
        <v>506.68</v>
      </c>
      <c r="CD348" s="514"/>
      <c r="CE348" s="514"/>
      <c r="CF348" s="520"/>
      <c r="CG348" s="497">
        <f t="shared" si="1012"/>
        <v>138.82</v>
      </c>
      <c r="CH348" s="1711">
        <f t="shared" si="1050"/>
        <v>290</v>
      </c>
      <c r="CI348" s="497">
        <f t="shared" si="1014"/>
        <v>444.77</v>
      </c>
      <c r="CJ348" s="497">
        <f t="shared" si="1015"/>
        <v>444.77</v>
      </c>
      <c r="CK348" s="497">
        <f t="shared" si="1016"/>
        <v>0</v>
      </c>
      <c r="CL348" s="497">
        <f t="shared" si="1051"/>
        <v>0</v>
      </c>
      <c r="CM348" s="497">
        <f t="shared" si="1052"/>
        <v>0</v>
      </c>
      <c r="CN348" s="498">
        <f t="shared" si="1053"/>
        <v>61.91</v>
      </c>
      <c r="CO348" s="499">
        <v>0</v>
      </c>
      <c r="CP348" s="498">
        <f t="shared" si="1054"/>
        <v>0</v>
      </c>
      <c r="CQ348" s="500">
        <f t="shared" si="1055"/>
        <v>0</v>
      </c>
      <c r="CR348" s="498">
        <f t="shared" si="1056"/>
        <v>0</v>
      </c>
      <c r="CS348" s="498">
        <f t="shared" si="1057"/>
        <v>61.91</v>
      </c>
      <c r="CT348" s="498">
        <f t="shared" si="1058"/>
        <v>53.59</v>
      </c>
      <c r="CU348" s="498">
        <f t="shared" si="1059"/>
        <v>2120</v>
      </c>
      <c r="CV348" s="1554"/>
      <c r="CW348" s="1343" t="s">
        <v>7317</v>
      </c>
      <c r="CX348" s="1343" t="s">
        <v>7318</v>
      </c>
      <c r="CY348" s="472"/>
      <c r="CZ348" s="1199" t="s">
        <v>6667</v>
      </c>
      <c r="DA348" s="514" t="s">
        <v>6173</v>
      </c>
      <c r="DB348" s="1199" t="s">
        <v>6170</v>
      </c>
      <c r="DC348" s="514" t="s">
        <v>6625</v>
      </c>
      <c r="DD348" s="472"/>
      <c r="DE348" s="472"/>
      <c r="DF348" s="472"/>
      <c r="DG348" s="472"/>
      <c r="DH348" s="472"/>
      <c r="DJ348" s="473" t="str">
        <f>VLOOKUP(X348,Hoja1!$A$4:$B$10,2,0)</f>
        <v>BACHILLER</v>
      </c>
      <c r="DK348" s="473" t="str">
        <f>VLOOKUP(S348,Hoja1!$D$4:$F$77,3,0)</f>
        <v>GRADO (5) - MÁX</v>
      </c>
      <c r="DL348" s="1216" t="str">
        <f t="shared" si="1060"/>
        <v>0</v>
      </c>
      <c r="DM348" s="1741" t="str">
        <f t="shared" si="1061"/>
        <v>M</v>
      </c>
      <c r="DN348" s="1741"/>
    </row>
    <row r="349" spans="1:118" s="473" customFormat="1" ht="21.95" customHeight="1">
      <c r="A349" s="510" t="s">
        <v>2834</v>
      </c>
      <c r="B349" s="1390">
        <f t="shared" ca="1" si="1028"/>
        <v>38</v>
      </c>
      <c r="C349" s="1028">
        <v>12044124</v>
      </c>
      <c r="D349" s="1343" t="s">
        <v>4997</v>
      </c>
      <c r="E349" s="1180" t="s">
        <v>4622</v>
      </c>
      <c r="F349" s="1161">
        <v>27006</v>
      </c>
      <c r="G349" s="1180" t="s">
        <v>4621</v>
      </c>
      <c r="H349" s="1161">
        <v>39539</v>
      </c>
      <c r="I349" s="1185">
        <f t="shared" si="1039"/>
        <v>16</v>
      </c>
      <c r="J349" s="1177">
        <v>0</v>
      </c>
      <c r="K349" s="1185">
        <f t="shared" si="1040"/>
        <v>16</v>
      </c>
      <c r="L349" s="1191" t="s">
        <v>5554</v>
      </c>
      <c r="M349" s="1177"/>
      <c r="N349" s="1177"/>
      <c r="O349" s="1040" t="s">
        <v>5084</v>
      </c>
      <c r="P349" s="1177" t="s">
        <v>5139</v>
      </c>
      <c r="Q349" s="1391">
        <v>7152</v>
      </c>
      <c r="R349" s="1514" t="s">
        <v>5084</v>
      </c>
      <c r="S349" s="1513">
        <v>3</v>
      </c>
      <c r="T349" s="1150">
        <f>IFERROR(VLOOKUP(S349,'TAB OBR'!A:B,2,0),0)</f>
        <v>152</v>
      </c>
      <c r="U349" s="1151">
        <v>0</v>
      </c>
      <c r="V349" s="1150">
        <f t="shared" si="1041"/>
        <v>152</v>
      </c>
      <c r="W349" s="1151">
        <f t="shared" si="984"/>
        <v>76</v>
      </c>
      <c r="X349" s="1180" t="s">
        <v>2884</v>
      </c>
      <c r="Y349" s="1180" t="s">
        <v>2884</v>
      </c>
      <c r="Z349" s="1180">
        <v>0</v>
      </c>
      <c r="AA349" s="1150">
        <f>ROUND(IF(H349&lt;&gt;"",VLOOKUP(SUM(I349+J349),'CONCEPTOS Y PARAMETROS'!F:G,2,0)*V349,0),2)</f>
        <v>29.79</v>
      </c>
      <c r="AB349" s="1150">
        <f>IF(S349&lt;&gt;"",IF(M349="",'CONCEPTOS Y PARAMETROS'!$C$4,0),0)</f>
        <v>130</v>
      </c>
      <c r="AC349" s="1150">
        <f>IF(S349&lt;&gt;"",IF(M349="",'CONCEPTOS Y PARAMETROS'!$C$7*Z349,0),0)</f>
        <v>0</v>
      </c>
      <c r="AD349" s="1150">
        <f>IFERROR(ROUND(VLOOKUP($X349,'CONCEPTOS Y PARAMETROS'!H:I,2,0)*($V349+AA349+AB349+AC349),2),0)</f>
        <v>0</v>
      </c>
      <c r="AE349" s="1150">
        <f t="shared" si="1042"/>
        <v>159.79</v>
      </c>
      <c r="AF349" s="1150">
        <f t="shared" si="986"/>
        <v>14.9</v>
      </c>
      <c r="AG349" s="1150">
        <f t="shared" si="987"/>
        <v>14.89</v>
      </c>
      <c r="AH349" s="1150">
        <f t="shared" si="988"/>
        <v>65</v>
      </c>
      <c r="AI349" s="1150">
        <f t="shared" si="989"/>
        <v>65</v>
      </c>
      <c r="AJ349" s="1150">
        <f t="shared" si="990"/>
        <v>0</v>
      </c>
      <c r="AK349" s="1150">
        <f t="shared" si="991"/>
        <v>0</v>
      </c>
      <c r="AL349" s="1151">
        <f t="shared" si="992"/>
        <v>79.900000000000006</v>
      </c>
      <c r="AM349" s="1151">
        <f t="shared" si="993"/>
        <v>79.89</v>
      </c>
      <c r="AN349" s="1028">
        <v>0</v>
      </c>
      <c r="AO349" s="1193">
        <f>'CONCEPTOS Y PARAMETROS'!$C$18*AN349</f>
        <v>0</v>
      </c>
      <c r="AP349" s="1028">
        <v>0</v>
      </c>
      <c r="AQ349" s="1193">
        <f>'CONCEPTOS Y PARAMETROS'!$C$21*AP349</f>
        <v>0</v>
      </c>
      <c r="AR349" s="1394">
        <v>0</v>
      </c>
      <c r="AS349" s="1394">
        <v>0</v>
      </c>
      <c r="AT349" s="1394">
        <f t="shared" si="1036"/>
        <v>0</v>
      </c>
      <c r="AU349" s="1151">
        <f t="shared" si="1043"/>
        <v>405.33</v>
      </c>
      <c r="AV349" s="1178" t="s">
        <v>5080</v>
      </c>
      <c r="AW349" s="1151">
        <f t="shared" si="1044"/>
        <v>93.54</v>
      </c>
      <c r="AX349" s="1150">
        <f>IF(T349&lt;&gt;"0",(ROUND(IF(A349="EMPLEADO",eval_formula('CONCEPTOS Y PARAMETROS'!$C$8,NOMINA!V349,NOMINA!$AU349,NOMINA!I349+NOMINA!J349),eval_formula('CONCEPTOS Y PARAMETROS'!$D$8,NOMINA!V349,NOMINA!$AU349,NOMINA!I349+NOMINA!J349)),2))*IF(H349&lt;&gt;"",IF(MONTH(H349)=$BR$8,IF(YEAR(H349)&lt;$BT$7,1,0),0)))</f>
        <v>0</v>
      </c>
      <c r="AY349" s="1151">
        <v>180</v>
      </c>
      <c r="AZ349" s="1150">
        <f>IFERROR(VLOOKUP(AY349,'CONCEPTOS Y PARAMETROS'!Y:Z,2,0),0)</f>
        <v>150</v>
      </c>
      <c r="BA349" s="1150">
        <f t="shared" si="997"/>
        <v>3039.98</v>
      </c>
      <c r="BB349" s="1150">
        <f t="shared" si="998"/>
        <v>0</v>
      </c>
      <c r="BC349" s="1028">
        <v>0</v>
      </c>
      <c r="BD349" s="1150" t="str">
        <f t="shared" si="1045"/>
        <v>0</v>
      </c>
      <c r="BE349" s="1028">
        <v>0</v>
      </c>
      <c r="BF349" s="1150">
        <f t="shared" si="1046"/>
        <v>0</v>
      </c>
      <c r="BG349" s="1151">
        <v>290</v>
      </c>
      <c r="BH349" s="1151">
        <f t="shared" si="1047"/>
        <v>0</v>
      </c>
      <c r="BI349" s="1151">
        <v>0</v>
      </c>
      <c r="BJ349" s="1151">
        <f t="shared" si="1002"/>
        <v>0</v>
      </c>
      <c r="BK349" s="1151">
        <v>0</v>
      </c>
      <c r="BL349" s="1150">
        <f t="shared" si="1029"/>
        <v>14.97</v>
      </c>
      <c r="BM349" s="1150">
        <f t="shared" si="1030"/>
        <v>1.87</v>
      </c>
      <c r="BN349" s="1150">
        <f t="shared" si="1048"/>
        <v>4.05</v>
      </c>
      <c r="BO349" s="1150">
        <v>0</v>
      </c>
      <c r="BP349" s="1150">
        <v>0</v>
      </c>
      <c r="BQ349" s="1396">
        <f t="shared" si="1004"/>
        <v>20.89</v>
      </c>
      <c r="BR349" s="1150">
        <f t="shared" si="1031"/>
        <v>33.67</v>
      </c>
      <c r="BS349" s="1150">
        <f t="shared" si="1032"/>
        <v>7.48</v>
      </c>
      <c r="BT349" s="1150">
        <f t="shared" si="1049"/>
        <v>8.1</v>
      </c>
      <c r="BU349" s="1150">
        <v>0</v>
      </c>
      <c r="BV349" s="1151">
        <f t="shared" si="1037"/>
        <v>49.25</v>
      </c>
      <c r="BW349" s="1155">
        <f t="shared" si="1038"/>
        <v>70.14</v>
      </c>
      <c r="BX349" s="1155">
        <f t="shared" si="1035"/>
        <v>760</v>
      </c>
      <c r="BY349" s="1151">
        <v>0</v>
      </c>
      <c r="BZ349" s="1151">
        <f t="shared" si="1009"/>
        <v>760</v>
      </c>
      <c r="CA349" s="1397">
        <f>'CONCEPTOS Y PARAMETROS'!$A$102</f>
        <v>2120</v>
      </c>
      <c r="CB349" s="1155">
        <f t="shared" si="1010"/>
        <v>135.01</v>
      </c>
      <c r="CC349" s="1156">
        <f t="shared" si="1011"/>
        <v>539.42999999999995</v>
      </c>
      <c r="CD349" s="514"/>
      <c r="CE349" s="514"/>
      <c r="CF349" s="520"/>
      <c r="CG349" s="497">
        <f t="shared" si="1012"/>
        <v>135.01</v>
      </c>
      <c r="CH349" s="1711">
        <f t="shared" si="1050"/>
        <v>290</v>
      </c>
      <c r="CI349" s="497">
        <f t="shared" si="1014"/>
        <v>445.89</v>
      </c>
      <c r="CJ349" s="497">
        <f t="shared" si="1015"/>
        <v>445.89</v>
      </c>
      <c r="CK349" s="497">
        <f t="shared" si="1016"/>
        <v>0</v>
      </c>
      <c r="CL349" s="497">
        <f t="shared" si="1051"/>
        <v>0</v>
      </c>
      <c r="CM349" s="497">
        <f t="shared" si="1052"/>
        <v>0</v>
      </c>
      <c r="CN349" s="498">
        <f t="shared" si="1053"/>
        <v>0</v>
      </c>
      <c r="CO349" s="499">
        <v>0</v>
      </c>
      <c r="CP349" s="498">
        <f t="shared" si="1054"/>
        <v>93.54</v>
      </c>
      <c r="CQ349" s="500">
        <f t="shared" si="1055"/>
        <v>0</v>
      </c>
      <c r="CR349" s="498">
        <f t="shared" si="1056"/>
        <v>0</v>
      </c>
      <c r="CS349" s="498">
        <f t="shared" si="1057"/>
        <v>93.54</v>
      </c>
      <c r="CT349" s="498">
        <f t="shared" si="1058"/>
        <v>70.14</v>
      </c>
      <c r="CU349" s="498">
        <f t="shared" si="1059"/>
        <v>2120</v>
      </c>
      <c r="CV349" s="1554"/>
      <c r="CW349" s="1343" t="s">
        <v>7014</v>
      </c>
      <c r="CX349" s="1343" t="s">
        <v>7217</v>
      </c>
      <c r="CY349" s="472"/>
      <c r="CZ349" s="514" t="s">
        <v>6519</v>
      </c>
      <c r="DA349" s="514" t="s">
        <v>6196</v>
      </c>
      <c r="DB349" s="514" t="s">
        <v>6407</v>
      </c>
      <c r="DC349" s="514" t="s">
        <v>6648</v>
      </c>
      <c r="DD349" s="472"/>
      <c r="DE349" s="472"/>
      <c r="DF349" s="472"/>
      <c r="DG349" s="472"/>
      <c r="DH349" s="472"/>
      <c r="DJ349" s="473" t="str">
        <f>VLOOKUP(X349,Hoja1!$A$4:$B$10,2,0)</f>
        <v>BACHILLER</v>
      </c>
      <c r="DK349" s="473" t="str">
        <f>VLOOKUP(S349,Hoja1!$D$4:$F$77,3,0)</f>
        <v>GRADO (3) - MÁX</v>
      </c>
      <c r="DL349" s="1216" t="str">
        <f t="shared" si="1060"/>
        <v>SI</v>
      </c>
      <c r="DM349" s="1741" t="str">
        <f t="shared" si="1061"/>
        <v>M</v>
      </c>
      <c r="DN349" s="1741"/>
    </row>
    <row r="350" spans="1:118" s="473" customFormat="1" ht="21.95" customHeight="1">
      <c r="A350" s="510" t="s">
        <v>2834</v>
      </c>
      <c r="B350" s="1390">
        <f t="shared" ca="1" si="1028"/>
        <v>39</v>
      </c>
      <c r="C350" s="1028">
        <v>12044754</v>
      </c>
      <c r="D350" s="1343" t="s">
        <v>4998</v>
      </c>
      <c r="E350" s="1180" t="s">
        <v>4622</v>
      </c>
      <c r="F350" s="1161">
        <v>27498</v>
      </c>
      <c r="G350" s="1180" t="s">
        <v>4621</v>
      </c>
      <c r="H350" s="1161">
        <v>43481</v>
      </c>
      <c r="I350" s="1185">
        <f t="shared" si="1039"/>
        <v>6</v>
      </c>
      <c r="J350" s="1177">
        <v>0</v>
      </c>
      <c r="K350" s="1185">
        <f t="shared" si="1040"/>
        <v>6</v>
      </c>
      <c r="L350" s="1191" t="s">
        <v>5559</v>
      </c>
      <c r="M350" s="1177"/>
      <c r="N350" s="1177"/>
      <c r="O350" s="1040" t="s">
        <v>5084</v>
      </c>
      <c r="P350" s="1177" t="s">
        <v>5140</v>
      </c>
      <c r="Q350" s="1391">
        <v>7152</v>
      </c>
      <c r="R350" s="1514" t="s">
        <v>5084</v>
      </c>
      <c r="S350" s="1513">
        <v>3</v>
      </c>
      <c r="T350" s="1150">
        <f>IFERROR(VLOOKUP(S350,'TAB OBR'!A:B,2,0),0)</f>
        <v>152</v>
      </c>
      <c r="U350" s="1151">
        <v>0</v>
      </c>
      <c r="V350" s="1150">
        <f t="shared" si="1041"/>
        <v>152</v>
      </c>
      <c r="W350" s="1151">
        <f t="shared" si="984"/>
        <v>76</v>
      </c>
      <c r="X350" s="1180" t="s">
        <v>2884</v>
      </c>
      <c r="Y350" s="1180" t="s">
        <v>2884</v>
      </c>
      <c r="Z350" s="1180">
        <v>0</v>
      </c>
      <c r="AA350" s="1150">
        <f>ROUND(IF(H350&lt;&gt;"",VLOOKUP(SUM(I350+J350),'CONCEPTOS Y PARAMETROS'!F:G,2,0)*V350,0),2)</f>
        <v>9.42</v>
      </c>
      <c r="AB350" s="1150">
        <f>IF(S350&lt;&gt;"",IF(M350="",'CONCEPTOS Y PARAMETROS'!$C$4,0),0)</f>
        <v>130</v>
      </c>
      <c r="AC350" s="1150">
        <f>IF(S350&lt;&gt;"",IF(M350="",'CONCEPTOS Y PARAMETROS'!$C$7*Z350,0),0)</f>
        <v>0</v>
      </c>
      <c r="AD350" s="1150">
        <f>IFERROR(ROUND(VLOOKUP($X350,'CONCEPTOS Y PARAMETROS'!H:I,2,0)*($V350+AA350+AB350+AC350),2),0)</f>
        <v>0</v>
      </c>
      <c r="AE350" s="1150">
        <f t="shared" si="1042"/>
        <v>139.41999999999999</v>
      </c>
      <c r="AF350" s="1150">
        <f t="shared" si="986"/>
        <v>4.71</v>
      </c>
      <c r="AG350" s="1150">
        <f t="shared" si="987"/>
        <v>4.71</v>
      </c>
      <c r="AH350" s="1150">
        <f t="shared" si="988"/>
        <v>65</v>
      </c>
      <c r="AI350" s="1150">
        <f t="shared" si="989"/>
        <v>65</v>
      </c>
      <c r="AJ350" s="1150">
        <f t="shared" si="990"/>
        <v>0</v>
      </c>
      <c r="AK350" s="1150">
        <f t="shared" si="991"/>
        <v>0</v>
      </c>
      <c r="AL350" s="1151">
        <f t="shared" si="992"/>
        <v>69.709999999999994</v>
      </c>
      <c r="AM350" s="1151">
        <f t="shared" si="993"/>
        <v>69.709999999999994</v>
      </c>
      <c r="AN350" s="1028">
        <v>0</v>
      </c>
      <c r="AO350" s="1193">
        <f>'CONCEPTOS Y PARAMETROS'!$C$18*AN350</f>
        <v>0</v>
      </c>
      <c r="AP350" s="1028">
        <v>0</v>
      </c>
      <c r="AQ350" s="1193">
        <f>'CONCEPTOS Y PARAMETROS'!$C$21*AP350</f>
        <v>0</v>
      </c>
      <c r="AR350" s="1394">
        <v>0</v>
      </c>
      <c r="AS350" s="1394">
        <v>0</v>
      </c>
      <c r="AT350" s="1394">
        <f t="shared" si="1036"/>
        <v>0</v>
      </c>
      <c r="AU350" s="1151">
        <f t="shared" si="1043"/>
        <v>291.41999999999996</v>
      </c>
      <c r="AV350" s="1178">
        <v>0</v>
      </c>
      <c r="AW350" s="1151">
        <f t="shared" si="1044"/>
        <v>0</v>
      </c>
      <c r="AX350" s="1150">
        <f>IF(T350&lt;&gt;"0",(ROUND(IF(A350="EMPLEADO",eval_formula('CONCEPTOS Y PARAMETROS'!$C$8,NOMINA!V350,NOMINA!$AU350,NOMINA!I350+NOMINA!J350),eval_formula('CONCEPTOS Y PARAMETROS'!$D$8,NOMINA!V350,NOMINA!$AU350,NOMINA!I350+NOMINA!J350)),2))*IF(H350&lt;&gt;"",IF(MONTH(H350)=$BR$8,IF(YEAR(H350)&lt;$BT$7,1,0),0)))</f>
        <v>2331.36</v>
      </c>
      <c r="AY350" s="1151">
        <v>180</v>
      </c>
      <c r="AZ350" s="1150">
        <f>IFERROR(VLOOKUP(AY350,'CONCEPTOS Y PARAMETROS'!Y:Z,2,0),0)</f>
        <v>150</v>
      </c>
      <c r="BA350" s="1150">
        <f t="shared" si="997"/>
        <v>2185.65</v>
      </c>
      <c r="BB350" s="1150">
        <f t="shared" si="998"/>
        <v>0</v>
      </c>
      <c r="BC350" s="1028">
        <v>0</v>
      </c>
      <c r="BD350" s="1150" t="str">
        <f t="shared" si="1045"/>
        <v>0</v>
      </c>
      <c r="BE350" s="1028">
        <v>1</v>
      </c>
      <c r="BF350" s="1150">
        <f t="shared" si="1046"/>
        <v>14.57</v>
      </c>
      <c r="BG350" s="1151">
        <v>290</v>
      </c>
      <c r="BH350" s="1151">
        <f t="shared" si="1047"/>
        <v>0</v>
      </c>
      <c r="BI350" s="1151">
        <v>0</v>
      </c>
      <c r="BJ350" s="1151">
        <f t="shared" si="1002"/>
        <v>0</v>
      </c>
      <c r="BK350" s="1151">
        <v>0</v>
      </c>
      <c r="BL350" s="1150">
        <f t="shared" si="1029"/>
        <v>10.76</v>
      </c>
      <c r="BM350" s="1150">
        <f t="shared" si="1030"/>
        <v>1.35</v>
      </c>
      <c r="BN350" s="1150">
        <f t="shared" si="1048"/>
        <v>2.91</v>
      </c>
      <c r="BO350" s="1150">
        <v>0</v>
      </c>
      <c r="BP350" s="1150">
        <v>0</v>
      </c>
      <c r="BQ350" s="1396">
        <f t="shared" si="1004"/>
        <v>15.02</v>
      </c>
      <c r="BR350" s="1150">
        <f t="shared" si="1031"/>
        <v>24.21</v>
      </c>
      <c r="BS350" s="1150">
        <f t="shared" si="1032"/>
        <v>5.38</v>
      </c>
      <c r="BT350" s="1150">
        <f t="shared" si="1049"/>
        <v>5.82</v>
      </c>
      <c r="BU350" s="1150">
        <v>0</v>
      </c>
      <c r="BV350" s="1151">
        <f t="shared" si="1037"/>
        <v>35.409999999999997</v>
      </c>
      <c r="BW350" s="1155">
        <f t="shared" si="1038"/>
        <v>50.429999999999993</v>
      </c>
      <c r="BX350" s="1155">
        <f t="shared" si="1035"/>
        <v>546.41</v>
      </c>
      <c r="BY350" s="1151">
        <v>0</v>
      </c>
      <c r="BZ350" s="1151">
        <f t="shared" si="1009"/>
        <v>546.41</v>
      </c>
      <c r="CA350" s="1397">
        <f>'CONCEPTOS Y PARAMETROS'!$A$102</f>
        <v>2120</v>
      </c>
      <c r="CB350" s="1155">
        <f t="shared" si="1010"/>
        <v>130.68999999999997</v>
      </c>
      <c r="CC350" s="1156">
        <f t="shared" si="1011"/>
        <v>2781.64</v>
      </c>
      <c r="CD350" s="514"/>
      <c r="CE350" s="514"/>
      <c r="CF350" s="520"/>
      <c r="CG350" s="497">
        <f t="shared" si="1012"/>
        <v>130.68999999999997</v>
      </c>
      <c r="CH350" s="1711">
        <f t="shared" si="1050"/>
        <v>290</v>
      </c>
      <c r="CI350" s="497">
        <f t="shared" si="1014"/>
        <v>435.71</v>
      </c>
      <c r="CJ350" s="497">
        <f t="shared" si="1015"/>
        <v>435.71</v>
      </c>
      <c r="CK350" s="497">
        <f t="shared" si="1016"/>
        <v>0</v>
      </c>
      <c r="CL350" s="497">
        <f t="shared" si="1051"/>
        <v>0</v>
      </c>
      <c r="CM350" s="497">
        <f t="shared" si="1052"/>
        <v>0</v>
      </c>
      <c r="CN350" s="498">
        <f t="shared" si="1053"/>
        <v>14.57</v>
      </c>
      <c r="CO350" s="499">
        <v>0</v>
      </c>
      <c r="CP350" s="498">
        <f t="shared" si="1054"/>
        <v>0</v>
      </c>
      <c r="CQ350" s="500">
        <f t="shared" si="1055"/>
        <v>0</v>
      </c>
      <c r="CR350" s="498">
        <f t="shared" si="1056"/>
        <v>2331.36</v>
      </c>
      <c r="CS350" s="498">
        <f t="shared" si="1057"/>
        <v>2345.9300000000003</v>
      </c>
      <c r="CT350" s="498">
        <f t="shared" si="1058"/>
        <v>50.429999999999993</v>
      </c>
      <c r="CU350" s="498">
        <f t="shared" si="1059"/>
        <v>2120</v>
      </c>
      <c r="CV350" s="1554"/>
      <c r="CW350" s="1343" t="s">
        <v>6960</v>
      </c>
      <c r="CX350" s="1343" t="s">
        <v>7319</v>
      </c>
      <c r="CY350" s="472"/>
      <c r="CZ350" s="1188" t="s">
        <v>6691</v>
      </c>
      <c r="DA350" s="478" t="s">
        <v>6173</v>
      </c>
      <c r="DB350" s="478" t="s">
        <v>6202</v>
      </c>
      <c r="DC350" s="514" t="s">
        <v>6271</v>
      </c>
      <c r="DE350" s="472"/>
      <c r="DF350" s="472"/>
      <c r="DG350" s="472"/>
      <c r="DH350" s="472"/>
      <c r="DJ350" s="473" t="str">
        <f>VLOOKUP(X350,Hoja1!$A$4:$B$10,2,0)</f>
        <v>BACHILLER</v>
      </c>
      <c r="DK350" s="473" t="str">
        <f>VLOOKUP(S350,Hoja1!$D$4:$F$77,3,0)</f>
        <v>GRADO (3) - MÁX</v>
      </c>
      <c r="DL350" s="1216" t="str">
        <f t="shared" si="1060"/>
        <v>0</v>
      </c>
      <c r="DM350" s="1741" t="str">
        <f t="shared" si="1061"/>
        <v>M</v>
      </c>
      <c r="DN350" s="1741"/>
    </row>
    <row r="351" spans="1:118" s="473" customFormat="1" ht="21.95" customHeight="1">
      <c r="A351" s="510" t="s">
        <v>2834</v>
      </c>
      <c r="B351" s="1390">
        <f t="shared" ca="1" si="1028"/>
        <v>40</v>
      </c>
      <c r="C351" s="1028">
        <v>12046834</v>
      </c>
      <c r="D351" s="1343" t="s">
        <v>4999</v>
      </c>
      <c r="E351" s="1180" t="s">
        <v>4622</v>
      </c>
      <c r="F351" s="1161">
        <v>27316</v>
      </c>
      <c r="G351" s="1180" t="s">
        <v>4621</v>
      </c>
      <c r="H351" s="1161">
        <v>43313</v>
      </c>
      <c r="I351" s="1185">
        <f t="shared" si="1039"/>
        <v>6</v>
      </c>
      <c r="J351" s="1177">
        <v>14</v>
      </c>
      <c r="K351" s="1185">
        <f t="shared" si="1040"/>
        <v>20</v>
      </c>
      <c r="L351" s="1191" t="s">
        <v>5558</v>
      </c>
      <c r="M351" s="1177"/>
      <c r="N351" s="1177"/>
      <c r="O351" s="1040" t="s">
        <v>5092</v>
      </c>
      <c r="P351" s="1177" t="s">
        <v>5141</v>
      </c>
      <c r="Q351" s="1391">
        <v>2202</v>
      </c>
      <c r="R351" s="1514" t="s">
        <v>5092</v>
      </c>
      <c r="S351" s="1513">
        <v>5</v>
      </c>
      <c r="T351" s="1150">
        <f>IFERROR(VLOOKUP(S351,'TAB OBR'!A:B,2,0),0)</f>
        <v>171</v>
      </c>
      <c r="U351" s="1151">
        <v>0</v>
      </c>
      <c r="V351" s="1150">
        <f t="shared" si="1041"/>
        <v>171</v>
      </c>
      <c r="W351" s="1151">
        <f t="shared" si="984"/>
        <v>85.5</v>
      </c>
      <c r="X351" s="1180" t="s">
        <v>2884</v>
      </c>
      <c r="Y351" s="1180" t="s">
        <v>2884</v>
      </c>
      <c r="Z351" s="1180">
        <v>1</v>
      </c>
      <c r="AA351" s="1150">
        <f>ROUND(IF(H351&lt;&gt;"",VLOOKUP(SUM(I351+J351),'CONCEPTOS Y PARAMETROS'!F:G,2,0)*V351,0),2)</f>
        <v>44.46</v>
      </c>
      <c r="AB351" s="1150">
        <f>IF(S351&lt;&gt;"",IF(M351="",'CONCEPTOS Y PARAMETROS'!$C$4,0),0)</f>
        <v>130</v>
      </c>
      <c r="AC351" s="1150">
        <f>IF(S351&lt;&gt;"",IF(M351="",'CONCEPTOS Y PARAMETROS'!$C$7*Z351,0),0)</f>
        <v>12.5</v>
      </c>
      <c r="AD351" s="1150">
        <f>IFERROR(ROUND(VLOOKUP($X351,'CONCEPTOS Y PARAMETROS'!H:I,2,0)*($V351+AA351+AB351+AC351),2),0)</f>
        <v>0</v>
      </c>
      <c r="AE351" s="1150">
        <f t="shared" si="1042"/>
        <v>186.96</v>
      </c>
      <c r="AF351" s="1150">
        <f t="shared" si="986"/>
        <v>22.23</v>
      </c>
      <c r="AG351" s="1150">
        <f t="shared" si="987"/>
        <v>22.23</v>
      </c>
      <c r="AH351" s="1150">
        <f t="shared" si="988"/>
        <v>65</v>
      </c>
      <c r="AI351" s="1150">
        <f t="shared" si="989"/>
        <v>65</v>
      </c>
      <c r="AJ351" s="1150">
        <f t="shared" si="990"/>
        <v>0</v>
      </c>
      <c r="AK351" s="1150">
        <f t="shared" si="991"/>
        <v>0</v>
      </c>
      <c r="AL351" s="1151">
        <f t="shared" si="992"/>
        <v>99.73</v>
      </c>
      <c r="AM351" s="1151">
        <f t="shared" si="993"/>
        <v>87.23</v>
      </c>
      <c r="AN351" s="1583">
        <v>1</v>
      </c>
      <c r="AO351" s="1193">
        <f>'CONCEPTOS Y PARAMETROS'!$C$18*AN351</f>
        <v>12.5</v>
      </c>
      <c r="AP351" s="1028">
        <v>0</v>
      </c>
      <c r="AQ351" s="1193">
        <f>'CONCEPTOS Y PARAMETROS'!$C$21*AP351</f>
        <v>0</v>
      </c>
      <c r="AR351" s="1394">
        <v>0</v>
      </c>
      <c r="AS351" s="1394">
        <v>0</v>
      </c>
      <c r="AT351" s="1394">
        <f t="shared" si="1036"/>
        <v>12.5</v>
      </c>
      <c r="AU351" s="1151">
        <f t="shared" si="1043"/>
        <v>357.96000000000004</v>
      </c>
      <c r="AV351" s="1178">
        <v>0</v>
      </c>
      <c r="AW351" s="1151">
        <f t="shared" si="1044"/>
        <v>0</v>
      </c>
      <c r="AX351" s="1150">
        <f>IF(T351&lt;&gt;"0",(ROUND(IF(A351="EMPLEADO",eval_formula('CONCEPTOS Y PARAMETROS'!$C$8,NOMINA!V351,NOMINA!$AU351,NOMINA!I351+NOMINA!J351),eval_formula('CONCEPTOS Y PARAMETROS'!$D$8,NOMINA!V351,NOMINA!$AU351,NOMINA!I351+NOMINA!J351)),2))*IF(H351&lt;&gt;"",IF(MONTH(H351)=$BR$8,IF(YEAR(H351)&lt;$BT$7,1,0),0)))</f>
        <v>0</v>
      </c>
      <c r="AY351" s="1151">
        <v>180</v>
      </c>
      <c r="AZ351" s="1150">
        <f>IFERROR(VLOOKUP(AY351,'CONCEPTOS Y PARAMETROS'!Y:Z,2,0),0)</f>
        <v>150</v>
      </c>
      <c r="BA351" s="1150">
        <f t="shared" si="997"/>
        <v>2684.7</v>
      </c>
      <c r="BB351" s="1150">
        <f t="shared" si="998"/>
        <v>0</v>
      </c>
      <c r="BC351" s="1028">
        <v>0</v>
      </c>
      <c r="BD351" s="1150" t="str">
        <f t="shared" si="1045"/>
        <v>0</v>
      </c>
      <c r="BE351" s="1028">
        <v>2</v>
      </c>
      <c r="BF351" s="1150">
        <f t="shared" si="1046"/>
        <v>35.799999999999997</v>
      </c>
      <c r="BG351" s="1151">
        <v>290</v>
      </c>
      <c r="BH351" s="1151">
        <f t="shared" si="1047"/>
        <v>0</v>
      </c>
      <c r="BI351" s="1151">
        <v>0</v>
      </c>
      <c r="BJ351" s="1151">
        <f t="shared" si="1002"/>
        <v>0</v>
      </c>
      <c r="BK351" s="1151">
        <v>0</v>
      </c>
      <c r="BL351" s="1150">
        <f t="shared" si="1029"/>
        <v>13.22</v>
      </c>
      <c r="BM351" s="1150">
        <f t="shared" si="1030"/>
        <v>1.65</v>
      </c>
      <c r="BN351" s="1150">
        <f t="shared" si="1048"/>
        <v>3.58</v>
      </c>
      <c r="BO351" s="1150">
        <v>0</v>
      </c>
      <c r="BP351" s="1150">
        <v>0</v>
      </c>
      <c r="BQ351" s="1396">
        <f t="shared" si="1004"/>
        <v>18.45</v>
      </c>
      <c r="BR351" s="1150">
        <f t="shared" si="1031"/>
        <v>29.74</v>
      </c>
      <c r="BS351" s="1150">
        <f t="shared" si="1032"/>
        <v>6.61</v>
      </c>
      <c r="BT351" s="1150">
        <f t="shared" si="1049"/>
        <v>7.16</v>
      </c>
      <c r="BU351" s="1150">
        <v>0</v>
      </c>
      <c r="BV351" s="1151">
        <f t="shared" si="1037"/>
        <v>43.51</v>
      </c>
      <c r="BW351" s="1155">
        <f t="shared" si="1038"/>
        <v>61.959999999999994</v>
      </c>
      <c r="BX351" s="1155">
        <f t="shared" si="1035"/>
        <v>671.18</v>
      </c>
      <c r="BY351" s="1151">
        <v>0</v>
      </c>
      <c r="BZ351" s="1151">
        <f t="shared" si="1009"/>
        <v>671.18</v>
      </c>
      <c r="CA351" s="1397">
        <f>'CONCEPTOS Y PARAMETROS'!$A$102</f>
        <v>2120</v>
      </c>
      <c r="CB351" s="1155">
        <f t="shared" si="1010"/>
        <v>166.78000000000003</v>
      </c>
      <c r="CC351" s="1156">
        <f t="shared" si="1011"/>
        <v>511.03</v>
      </c>
      <c r="CD351" s="514"/>
      <c r="CE351" s="514"/>
      <c r="CF351" s="520"/>
      <c r="CG351" s="497">
        <f t="shared" si="1012"/>
        <v>166.78000000000003</v>
      </c>
      <c r="CH351" s="1711">
        <f t="shared" si="1050"/>
        <v>290</v>
      </c>
      <c r="CI351" s="497">
        <f t="shared" si="1014"/>
        <v>462.73</v>
      </c>
      <c r="CJ351" s="497">
        <f t="shared" si="1015"/>
        <v>462.73</v>
      </c>
      <c r="CK351" s="497">
        <f t="shared" si="1016"/>
        <v>0</v>
      </c>
      <c r="CL351" s="497">
        <f t="shared" si="1051"/>
        <v>0</v>
      </c>
      <c r="CM351" s="497">
        <f t="shared" si="1052"/>
        <v>0</v>
      </c>
      <c r="CN351" s="498">
        <f t="shared" si="1053"/>
        <v>35.799999999999997</v>
      </c>
      <c r="CO351" s="499">
        <v>0</v>
      </c>
      <c r="CP351" s="498">
        <f t="shared" si="1054"/>
        <v>0</v>
      </c>
      <c r="CQ351" s="500">
        <f t="shared" si="1055"/>
        <v>12.5</v>
      </c>
      <c r="CR351" s="498">
        <f t="shared" si="1056"/>
        <v>0</v>
      </c>
      <c r="CS351" s="498">
        <f t="shared" si="1057"/>
        <v>48.3</v>
      </c>
      <c r="CT351" s="498">
        <f t="shared" si="1058"/>
        <v>61.959999999999994</v>
      </c>
      <c r="CU351" s="498">
        <f t="shared" si="1059"/>
        <v>2120</v>
      </c>
      <c r="CV351" s="1554"/>
      <c r="CW351" s="1343" t="s">
        <v>6931</v>
      </c>
      <c r="CX351" s="1343" t="s">
        <v>7320</v>
      </c>
      <c r="CY351" s="472"/>
      <c r="CZ351" s="514" t="s">
        <v>6520</v>
      </c>
      <c r="DA351" s="514" t="s">
        <v>6188</v>
      </c>
      <c r="DB351" s="514" t="s">
        <v>6170</v>
      </c>
      <c r="DC351" s="514" t="s">
        <v>6358</v>
      </c>
      <c r="DD351" s="472"/>
      <c r="DE351" s="472"/>
      <c r="DF351" s="472"/>
      <c r="DG351" s="472"/>
      <c r="DH351" s="472"/>
      <c r="DJ351" s="473" t="str">
        <f>VLOOKUP(X351,Hoja1!$A$4:$B$10,2,0)</f>
        <v>BACHILLER</v>
      </c>
      <c r="DK351" s="473" t="str">
        <f>VLOOKUP(S351,Hoja1!$D$4:$F$77,3,0)</f>
        <v>GRADO (5) - MÁX</v>
      </c>
      <c r="DL351" s="1216" t="str">
        <f t="shared" si="1060"/>
        <v>0</v>
      </c>
      <c r="DM351" s="1741" t="str">
        <f t="shared" si="1061"/>
        <v>M</v>
      </c>
      <c r="DN351" s="1741"/>
    </row>
    <row r="352" spans="1:118" s="473" customFormat="1" ht="21.95" customHeight="1">
      <c r="A352" s="510" t="s">
        <v>2834</v>
      </c>
      <c r="B352" s="1390">
        <f t="shared" ca="1" si="1028"/>
        <v>41</v>
      </c>
      <c r="C352" s="1028">
        <v>12047016</v>
      </c>
      <c r="D352" s="1343" t="s">
        <v>5000</v>
      </c>
      <c r="E352" s="1180" t="s">
        <v>4622</v>
      </c>
      <c r="F352" s="1161">
        <v>26935</v>
      </c>
      <c r="G352" s="1180" t="s">
        <v>4620</v>
      </c>
      <c r="H352" s="1161">
        <v>42948</v>
      </c>
      <c r="I352" s="1185">
        <f t="shared" si="1039"/>
        <v>7</v>
      </c>
      <c r="J352" s="1177">
        <v>0</v>
      </c>
      <c r="K352" s="1185">
        <f t="shared" si="1040"/>
        <v>7</v>
      </c>
      <c r="L352" s="1191" t="s">
        <v>5558</v>
      </c>
      <c r="M352" s="1177"/>
      <c r="N352" s="1177"/>
      <c r="O352" s="1040" t="s">
        <v>5085</v>
      </c>
      <c r="P352" s="1177" t="s">
        <v>5142</v>
      </c>
      <c r="Q352" s="1391">
        <v>2202</v>
      </c>
      <c r="R352" s="1514" t="s">
        <v>5085</v>
      </c>
      <c r="S352" s="1513">
        <v>5</v>
      </c>
      <c r="T352" s="1150">
        <f>IFERROR(VLOOKUP(S352,'TAB OBR'!A:B,2,0),0)</f>
        <v>171</v>
      </c>
      <c r="U352" s="1151">
        <v>0</v>
      </c>
      <c r="V352" s="1150">
        <f t="shared" si="1041"/>
        <v>171</v>
      </c>
      <c r="W352" s="1151">
        <f t="shared" si="984"/>
        <v>85.5</v>
      </c>
      <c r="X352" s="1180" t="s">
        <v>2884</v>
      </c>
      <c r="Y352" s="1180" t="s">
        <v>2884</v>
      </c>
      <c r="Z352" s="1180">
        <v>1</v>
      </c>
      <c r="AA352" s="1150">
        <f>ROUND(IF(H352&lt;&gt;"",VLOOKUP(SUM(I352+J352),'CONCEPTOS Y PARAMETROS'!F:G,2,0)*V352,0),2)</f>
        <v>12.65</v>
      </c>
      <c r="AB352" s="1150">
        <f>IF(S352&lt;&gt;"",IF(M352="",'CONCEPTOS Y PARAMETROS'!$C$4,0),0)</f>
        <v>130</v>
      </c>
      <c r="AC352" s="1150">
        <f>IF(S352&lt;&gt;"",IF(M352="",'CONCEPTOS Y PARAMETROS'!$C$7*Z352,0),0)</f>
        <v>12.5</v>
      </c>
      <c r="AD352" s="1150">
        <f>IFERROR(ROUND(VLOOKUP($X352,'CONCEPTOS Y PARAMETROS'!H:I,2,0)*($V352+AA352+AB352+AC352),2),0)</f>
        <v>0</v>
      </c>
      <c r="AE352" s="1150">
        <f t="shared" si="1042"/>
        <v>155.15</v>
      </c>
      <c r="AF352" s="1150">
        <f t="shared" si="986"/>
        <v>6.33</v>
      </c>
      <c r="AG352" s="1150">
        <f t="shared" si="987"/>
        <v>6.32</v>
      </c>
      <c r="AH352" s="1150">
        <f t="shared" si="988"/>
        <v>65</v>
      </c>
      <c r="AI352" s="1150">
        <f t="shared" si="989"/>
        <v>65</v>
      </c>
      <c r="AJ352" s="1150">
        <f t="shared" si="990"/>
        <v>0</v>
      </c>
      <c r="AK352" s="1150">
        <f t="shared" si="991"/>
        <v>0</v>
      </c>
      <c r="AL352" s="1151">
        <f t="shared" si="992"/>
        <v>83.83</v>
      </c>
      <c r="AM352" s="1151">
        <f t="shared" si="993"/>
        <v>71.319999999999993</v>
      </c>
      <c r="AN352" s="1028">
        <v>0</v>
      </c>
      <c r="AO352" s="1193">
        <f>'CONCEPTOS Y PARAMETROS'!$C$18*AN352</f>
        <v>0</v>
      </c>
      <c r="AP352" s="1028">
        <v>0</v>
      </c>
      <c r="AQ352" s="1193">
        <f>'CONCEPTOS Y PARAMETROS'!$C$21*AP352</f>
        <v>0</v>
      </c>
      <c r="AR352" s="1394">
        <v>0</v>
      </c>
      <c r="AS352" s="1394">
        <v>0</v>
      </c>
      <c r="AT352" s="1394">
        <f t="shared" si="1036"/>
        <v>0</v>
      </c>
      <c r="AU352" s="1151">
        <f t="shared" si="1043"/>
        <v>326.14999999999998</v>
      </c>
      <c r="AV352" s="1178">
        <v>0</v>
      </c>
      <c r="AW352" s="1151">
        <f t="shared" si="1044"/>
        <v>0</v>
      </c>
      <c r="AX352" s="1150">
        <f>IF(T352&lt;&gt;"0",(ROUND(IF(A352="EMPLEADO",eval_formula('CONCEPTOS Y PARAMETROS'!$C$8,NOMINA!V352,NOMINA!$AU352,NOMINA!I352+NOMINA!J352),eval_formula('CONCEPTOS Y PARAMETROS'!$D$8,NOMINA!V352,NOMINA!$AU352,NOMINA!I352+NOMINA!J352)),2))*IF(H352&lt;&gt;"",IF(MONTH(H352)=$BR$8,IF(YEAR(H352)&lt;$BT$7,1,0),0)))</f>
        <v>0</v>
      </c>
      <c r="AY352" s="1151">
        <v>180</v>
      </c>
      <c r="AZ352" s="1150">
        <f>IFERROR(VLOOKUP(AY352,'CONCEPTOS Y PARAMETROS'!Y:Z,2,0),0)</f>
        <v>150</v>
      </c>
      <c r="BA352" s="1150">
        <f t="shared" si="997"/>
        <v>2446.13</v>
      </c>
      <c r="BB352" s="1150">
        <f t="shared" si="998"/>
        <v>0</v>
      </c>
      <c r="BC352" s="1028">
        <v>0</v>
      </c>
      <c r="BD352" s="1150" t="str">
        <f t="shared" si="1045"/>
        <v>0</v>
      </c>
      <c r="BE352" s="1028">
        <v>0</v>
      </c>
      <c r="BF352" s="1150">
        <f t="shared" si="1046"/>
        <v>0</v>
      </c>
      <c r="BG352" s="1151">
        <v>290</v>
      </c>
      <c r="BH352" s="1151">
        <f t="shared" si="1047"/>
        <v>0</v>
      </c>
      <c r="BI352" s="1151">
        <v>0</v>
      </c>
      <c r="BJ352" s="1151">
        <f t="shared" si="1002"/>
        <v>0</v>
      </c>
      <c r="BK352" s="1151">
        <v>0</v>
      </c>
      <c r="BL352" s="1150">
        <f t="shared" ref="BL352:BL383" si="1062">ROUND(IF(M352="", (((AU352*12)/52)*4%)*$BS$8,0),2)</f>
        <v>12.04</v>
      </c>
      <c r="BM352" s="1150">
        <f t="shared" ref="BM352:BM383" si="1063">ROUND(IF(M352="",(((AU352*12)/52)*0.5%)*$BS$8,0),2)</f>
        <v>1.51</v>
      </c>
      <c r="BN352" s="1150">
        <f t="shared" si="1048"/>
        <v>3.26</v>
      </c>
      <c r="BO352" s="1150">
        <v>0</v>
      </c>
      <c r="BP352" s="1150">
        <v>0</v>
      </c>
      <c r="BQ352" s="1396">
        <f t="shared" si="1004"/>
        <v>16.809999999999999</v>
      </c>
      <c r="BR352" s="1150">
        <f t="shared" ref="BR352:BR383" si="1064">ROUND(IF(M352="", (((AU352*12)/52)*9%)*$BS$8,0),2)</f>
        <v>27.1</v>
      </c>
      <c r="BS352" s="1150">
        <f t="shared" ref="BS352:BS383" si="1065">ROUND(IF(M352="",(((AU352*12)/52)*2%)*$BS$8,0),2)</f>
        <v>6.02</v>
      </c>
      <c r="BT352" s="1150">
        <f t="shared" si="1049"/>
        <v>6.52</v>
      </c>
      <c r="BU352" s="1150">
        <v>0</v>
      </c>
      <c r="BV352" s="1151">
        <f t="shared" si="1037"/>
        <v>39.64</v>
      </c>
      <c r="BW352" s="1155">
        <f t="shared" si="1038"/>
        <v>56.45</v>
      </c>
      <c r="BX352" s="1155">
        <f t="shared" si="1035"/>
        <v>611.53</v>
      </c>
      <c r="BY352" s="1151">
        <v>0</v>
      </c>
      <c r="BZ352" s="1151">
        <f t="shared" si="1009"/>
        <v>611.53</v>
      </c>
      <c r="CA352" s="1397">
        <f>'CONCEPTOS Y PARAMETROS'!$A$102</f>
        <v>2120</v>
      </c>
      <c r="CB352" s="1155">
        <f t="shared" si="1010"/>
        <v>152.51999999999998</v>
      </c>
      <c r="CC352" s="1156">
        <f t="shared" si="1011"/>
        <v>446.82</v>
      </c>
      <c r="CD352" s="514"/>
      <c r="CE352" s="514"/>
      <c r="CF352" s="520"/>
      <c r="CG352" s="497">
        <f t="shared" si="1012"/>
        <v>152.51999999999998</v>
      </c>
      <c r="CH352" s="1711">
        <f t="shared" si="1050"/>
        <v>290</v>
      </c>
      <c r="CI352" s="497">
        <f t="shared" si="1014"/>
        <v>446.82</v>
      </c>
      <c r="CJ352" s="497">
        <f t="shared" si="1015"/>
        <v>446.82</v>
      </c>
      <c r="CK352" s="497">
        <f t="shared" si="1016"/>
        <v>0</v>
      </c>
      <c r="CL352" s="497">
        <f t="shared" si="1051"/>
        <v>0</v>
      </c>
      <c r="CM352" s="497">
        <f t="shared" si="1052"/>
        <v>0</v>
      </c>
      <c r="CN352" s="498">
        <f t="shared" si="1053"/>
        <v>0</v>
      </c>
      <c r="CO352" s="499">
        <v>0</v>
      </c>
      <c r="CP352" s="498">
        <f t="shared" si="1054"/>
        <v>0</v>
      </c>
      <c r="CQ352" s="500">
        <f t="shared" si="1055"/>
        <v>0</v>
      </c>
      <c r="CR352" s="498">
        <f t="shared" si="1056"/>
        <v>0</v>
      </c>
      <c r="CS352" s="498">
        <f t="shared" si="1057"/>
        <v>0</v>
      </c>
      <c r="CT352" s="498">
        <f t="shared" si="1058"/>
        <v>56.45</v>
      </c>
      <c r="CU352" s="498">
        <f t="shared" si="1059"/>
        <v>2120</v>
      </c>
      <c r="CV352" s="1554"/>
      <c r="CW352" s="1343" t="s">
        <v>7067</v>
      </c>
      <c r="CX352" s="1343" t="s">
        <v>6935</v>
      </c>
      <c r="CY352" s="472"/>
      <c r="CZ352" s="514" t="s">
        <v>6521</v>
      </c>
      <c r="DA352" s="514" t="s">
        <v>6347</v>
      </c>
      <c r="DB352" s="514" t="s">
        <v>6378</v>
      </c>
      <c r="DC352" s="514" t="s">
        <v>6701</v>
      </c>
      <c r="DD352" s="472"/>
      <c r="DE352" s="472"/>
      <c r="DF352" s="472"/>
      <c r="DG352" s="472"/>
      <c r="DH352" s="472"/>
      <c r="DJ352" s="473" t="str">
        <f>VLOOKUP(X352,Hoja1!$A$4:$B$10,2,0)</f>
        <v>BACHILLER</v>
      </c>
      <c r="DK352" s="473" t="str">
        <f>VLOOKUP(S352,Hoja1!$D$4:$F$77,3,0)</f>
        <v>GRADO (5) - MÁX</v>
      </c>
      <c r="DL352" s="1216" t="str">
        <f t="shared" si="1060"/>
        <v>0</v>
      </c>
      <c r="DM352" s="1741" t="str">
        <f t="shared" si="1061"/>
        <v>F</v>
      </c>
      <c r="DN352" s="1741"/>
    </row>
    <row r="353" spans="1:118" s="478" customFormat="1" ht="21.95" customHeight="1">
      <c r="A353" s="510" t="s">
        <v>2834</v>
      </c>
      <c r="B353" s="1390">
        <f t="shared" ca="1" si="1028"/>
        <v>42</v>
      </c>
      <c r="C353" s="1028">
        <v>12797543</v>
      </c>
      <c r="D353" s="1343" t="s">
        <v>5002</v>
      </c>
      <c r="E353" s="1180" t="s">
        <v>4622</v>
      </c>
      <c r="F353" s="1161">
        <v>27613</v>
      </c>
      <c r="G353" s="1180" t="s">
        <v>4620</v>
      </c>
      <c r="H353" s="1161">
        <v>42948</v>
      </c>
      <c r="I353" s="1185">
        <f t="shared" si="1039"/>
        <v>7</v>
      </c>
      <c r="J353" s="1177">
        <v>0</v>
      </c>
      <c r="K353" s="1185">
        <f t="shared" si="1040"/>
        <v>7</v>
      </c>
      <c r="L353" s="1191" t="s">
        <v>5559</v>
      </c>
      <c r="M353" s="1177"/>
      <c r="N353" s="1177"/>
      <c r="O353" s="1040" t="s">
        <v>5084</v>
      </c>
      <c r="P353" s="1177" t="s">
        <v>5143</v>
      </c>
      <c r="Q353" s="1391">
        <v>7152</v>
      </c>
      <c r="R353" s="1514" t="s">
        <v>5084</v>
      </c>
      <c r="S353" s="1513">
        <v>3</v>
      </c>
      <c r="T353" s="1150">
        <f>IFERROR(VLOOKUP(S353,'TAB OBR'!A:B,2,0),0)</f>
        <v>152</v>
      </c>
      <c r="U353" s="1151">
        <v>0</v>
      </c>
      <c r="V353" s="1150">
        <f t="shared" si="1041"/>
        <v>152</v>
      </c>
      <c r="W353" s="1151">
        <f t="shared" si="984"/>
        <v>76</v>
      </c>
      <c r="X353" s="1180" t="s">
        <v>2884</v>
      </c>
      <c r="Y353" s="1180" t="s">
        <v>2884</v>
      </c>
      <c r="Z353" s="1180">
        <v>0</v>
      </c>
      <c r="AA353" s="1150">
        <f>ROUND(IF(H353&lt;&gt;"",VLOOKUP(SUM(I353+J353),'CONCEPTOS Y PARAMETROS'!F:G,2,0)*V353,0),2)</f>
        <v>11.25</v>
      </c>
      <c r="AB353" s="1150">
        <f>IF(S353&lt;&gt;"",IF(M353="",'CONCEPTOS Y PARAMETROS'!$C$4,0),0)</f>
        <v>130</v>
      </c>
      <c r="AC353" s="1150">
        <f>IF(S353&lt;&gt;"",IF(M353="",'CONCEPTOS Y PARAMETROS'!$C$7*Z353,0),0)</f>
        <v>0</v>
      </c>
      <c r="AD353" s="1150">
        <f>IFERROR(ROUND(VLOOKUP($X353,'CONCEPTOS Y PARAMETROS'!H:I,2,0)*($V353+AA353+AB353+AC353),2),0)</f>
        <v>0</v>
      </c>
      <c r="AE353" s="1150">
        <f t="shared" si="1042"/>
        <v>141.25</v>
      </c>
      <c r="AF353" s="1150">
        <f t="shared" si="986"/>
        <v>5.63</v>
      </c>
      <c r="AG353" s="1150">
        <f t="shared" si="987"/>
        <v>5.62</v>
      </c>
      <c r="AH353" s="1150">
        <f t="shared" si="988"/>
        <v>65</v>
      </c>
      <c r="AI353" s="1150">
        <f t="shared" si="989"/>
        <v>65</v>
      </c>
      <c r="AJ353" s="1150">
        <f t="shared" si="990"/>
        <v>0</v>
      </c>
      <c r="AK353" s="1150">
        <f t="shared" si="991"/>
        <v>0</v>
      </c>
      <c r="AL353" s="1151">
        <f t="shared" si="992"/>
        <v>70.63</v>
      </c>
      <c r="AM353" s="1151">
        <f t="shared" si="993"/>
        <v>70.62</v>
      </c>
      <c r="AN353" s="1028">
        <v>0</v>
      </c>
      <c r="AO353" s="1193">
        <f>'CONCEPTOS Y PARAMETROS'!$C$18*AN353</f>
        <v>0</v>
      </c>
      <c r="AP353" s="1028">
        <v>0</v>
      </c>
      <c r="AQ353" s="1193">
        <f>'CONCEPTOS Y PARAMETROS'!$C$21*AP353</f>
        <v>0</v>
      </c>
      <c r="AR353" s="1394">
        <v>0</v>
      </c>
      <c r="AS353" s="1394">
        <v>12.5</v>
      </c>
      <c r="AT353" s="1394">
        <f t="shared" si="1036"/>
        <v>12.5</v>
      </c>
      <c r="AU353" s="1151">
        <f t="shared" si="1043"/>
        <v>293.25</v>
      </c>
      <c r="AV353" s="1178">
        <v>0</v>
      </c>
      <c r="AW353" s="1151">
        <f t="shared" si="1044"/>
        <v>0</v>
      </c>
      <c r="AX353" s="1150">
        <f>IF(T353&lt;&gt;"0",(ROUND(IF(A353="EMPLEADO",eval_formula('CONCEPTOS Y PARAMETROS'!$C$8,NOMINA!V353,NOMINA!$AU353,NOMINA!I353+NOMINA!J353),eval_formula('CONCEPTOS Y PARAMETROS'!$D$8,NOMINA!V353,NOMINA!$AU353,NOMINA!I353+NOMINA!J353)),2))*IF(H353&lt;&gt;"",IF(MONTH(H353)=$BR$8,IF(YEAR(H353)&lt;$BT$7,1,0),0)))</f>
        <v>0</v>
      </c>
      <c r="AY353" s="1151">
        <v>180</v>
      </c>
      <c r="AZ353" s="1150">
        <f>IFERROR(VLOOKUP(AY353,'CONCEPTOS Y PARAMETROS'!Y:Z,2,0),0)</f>
        <v>150</v>
      </c>
      <c r="BA353" s="1150">
        <f t="shared" si="997"/>
        <v>2199.38</v>
      </c>
      <c r="BB353" s="1150">
        <f t="shared" si="998"/>
        <v>0</v>
      </c>
      <c r="BC353" s="1028">
        <v>0</v>
      </c>
      <c r="BD353" s="1150" t="str">
        <f t="shared" si="1045"/>
        <v>0</v>
      </c>
      <c r="BE353" s="1028">
        <v>1</v>
      </c>
      <c r="BF353" s="1150">
        <f t="shared" si="1046"/>
        <v>14.66</v>
      </c>
      <c r="BG353" s="1151">
        <v>290</v>
      </c>
      <c r="BH353" s="1151">
        <f t="shared" si="1047"/>
        <v>0</v>
      </c>
      <c r="BI353" s="1151">
        <v>0</v>
      </c>
      <c r="BJ353" s="1151">
        <f t="shared" si="1002"/>
        <v>0</v>
      </c>
      <c r="BK353" s="1151">
        <v>0</v>
      </c>
      <c r="BL353" s="1150">
        <f t="shared" si="1062"/>
        <v>10.83</v>
      </c>
      <c r="BM353" s="1150">
        <f t="shared" si="1063"/>
        <v>1.35</v>
      </c>
      <c r="BN353" s="1150">
        <f t="shared" si="1048"/>
        <v>2.93</v>
      </c>
      <c r="BO353" s="1150">
        <v>0</v>
      </c>
      <c r="BP353" s="1150">
        <v>0</v>
      </c>
      <c r="BQ353" s="1396">
        <f t="shared" si="1004"/>
        <v>15.11</v>
      </c>
      <c r="BR353" s="1150">
        <f t="shared" si="1064"/>
        <v>24.36</v>
      </c>
      <c r="BS353" s="1150">
        <f t="shared" si="1065"/>
        <v>5.41</v>
      </c>
      <c r="BT353" s="1150">
        <f t="shared" si="1049"/>
        <v>5.86</v>
      </c>
      <c r="BU353" s="1150">
        <v>0</v>
      </c>
      <c r="BV353" s="1151">
        <f t="shared" si="1037"/>
        <v>35.630000000000003</v>
      </c>
      <c r="BW353" s="1155">
        <f t="shared" si="1038"/>
        <v>50.74</v>
      </c>
      <c r="BX353" s="1155">
        <f t="shared" si="1035"/>
        <v>549.85</v>
      </c>
      <c r="BY353" s="1151">
        <v>0</v>
      </c>
      <c r="BZ353" s="1151">
        <f t="shared" si="1009"/>
        <v>549.85</v>
      </c>
      <c r="CA353" s="1397">
        <f>'CONCEPTOS Y PARAMETROS'!$A$102</f>
        <v>2120</v>
      </c>
      <c r="CB353" s="1155">
        <f t="shared" si="1010"/>
        <v>131.51999999999998</v>
      </c>
      <c r="CC353" s="1156">
        <f t="shared" si="1011"/>
        <v>463.78</v>
      </c>
      <c r="CD353" s="514"/>
      <c r="CE353" s="514"/>
      <c r="CF353" s="520"/>
      <c r="CG353" s="497">
        <f t="shared" si="1012"/>
        <v>131.51999999999998</v>
      </c>
      <c r="CH353" s="1711">
        <f t="shared" si="1050"/>
        <v>290</v>
      </c>
      <c r="CI353" s="497">
        <f t="shared" si="1014"/>
        <v>436.62</v>
      </c>
      <c r="CJ353" s="497">
        <f t="shared" si="1015"/>
        <v>436.62</v>
      </c>
      <c r="CK353" s="497">
        <f t="shared" si="1016"/>
        <v>0</v>
      </c>
      <c r="CL353" s="497">
        <f t="shared" si="1051"/>
        <v>0</v>
      </c>
      <c r="CM353" s="497">
        <f t="shared" si="1052"/>
        <v>0</v>
      </c>
      <c r="CN353" s="498">
        <f t="shared" si="1053"/>
        <v>14.66</v>
      </c>
      <c r="CO353" s="499">
        <v>0</v>
      </c>
      <c r="CP353" s="498">
        <f t="shared" si="1054"/>
        <v>0</v>
      </c>
      <c r="CQ353" s="500">
        <f t="shared" si="1055"/>
        <v>12.5</v>
      </c>
      <c r="CR353" s="498">
        <f t="shared" si="1056"/>
        <v>0</v>
      </c>
      <c r="CS353" s="498">
        <f t="shared" si="1057"/>
        <v>27.16</v>
      </c>
      <c r="CT353" s="498">
        <f t="shared" si="1058"/>
        <v>50.74</v>
      </c>
      <c r="CU353" s="498">
        <f t="shared" si="1059"/>
        <v>2120</v>
      </c>
      <c r="CV353" s="1554"/>
      <c r="CW353" s="1343" t="s">
        <v>6981</v>
      </c>
      <c r="CX353" s="1343" t="s">
        <v>7000</v>
      </c>
      <c r="CY353" s="472"/>
      <c r="CZ353" s="514" t="s">
        <v>6522</v>
      </c>
      <c r="DA353" s="514" t="s">
        <v>6171</v>
      </c>
      <c r="DB353" s="514" t="s">
        <v>6457</v>
      </c>
      <c r="DC353" s="514" t="s">
        <v>6523</v>
      </c>
      <c r="DD353" s="472"/>
      <c r="DE353" s="472"/>
      <c r="DF353" s="472"/>
      <c r="DG353" s="472"/>
      <c r="DH353" s="472"/>
      <c r="DI353" s="473"/>
      <c r="DJ353" s="473" t="str">
        <f>VLOOKUP(X353,Hoja1!$A$4:$B$10,2,0)</f>
        <v>BACHILLER</v>
      </c>
      <c r="DK353" s="473" t="str">
        <f>VLOOKUP(S353,Hoja1!$D$4:$F$77,3,0)</f>
        <v>GRADO (3) - MÁX</v>
      </c>
      <c r="DL353" s="1216" t="str">
        <f t="shared" si="1060"/>
        <v>0</v>
      </c>
      <c r="DM353" s="1741" t="str">
        <f t="shared" si="1061"/>
        <v>F</v>
      </c>
      <c r="DN353" s="1741"/>
    </row>
    <row r="354" spans="1:118" s="473" customFormat="1" ht="21.95" customHeight="1">
      <c r="A354" s="510" t="s">
        <v>2834</v>
      </c>
      <c r="B354" s="1390">
        <f t="shared" ca="1" si="1028"/>
        <v>43</v>
      </c>
      <c r="C354" s="1028">
        <v>12797598</v>
      </c>
      <c r="D354" s="1343" t="s">
        <v>5003</v>
      </c>
      <c r="E354" s="1180" t="s">
        <v>4622</v>
      </c>
      <c r="F354" s="1161">
        <v>26229</v>
      </c>
      <c r="G354" s="1180" t="s">
        <v>4621</v>
      </c>
      <c r="H354" s="1161">
        <v>44635</v>
      </c>
      <c r="I354" s="1185">
        <f t="shared" si="1039"/>
        <v>2</v>
      </c>
      <c r="J354" s="1177">
        <v>0</v>
      </c>
      <c r="K354" s="1185">
        <f t="shared" si="1040"/>
        <v>2</v>
      </c>
      <c r="L354" s="1191" t="s">
        <v>5558</v>
      </c>
      <c r="M354" s="1177"/>
      <c r="N354" s="1177"/>
      <c r="O354" s="1040" t="s">
        <v>5092</v>
      </c>
      <c r="P354" s="1177" t="s">
        <v>5144</v>
      </c>
      <c r="Q354" s="1391">
        <v>2202</v>
      </c>
      <c r="R354" s="1514" t="s">
        <v>5092</v>
      </c>
      <c r="S354" s="1513">
        <v>5</v>
      </c>
      <c r="T354" s="1150">
        <f>IFERROR(VLOOKUP(S354,'TAB OBR'!A:B,2,0),0)</f>
        <v>171</v>
      </c>
      <c r="U354" s="1151">
        <v>0</v>
      </c>
      <c r="V354" s="1150">
        <f t="shared" si="1041"/>
        <v>171</v>
      </c>
      <c r="W354" s="1151">
        <f t="shared" si="984"/>
        <v>85.5</v>
      </c>
      <c r="X354" s="1180" t="s">
        <v>2884</v>
      </c>
      <c r="Y354" s="1180" t="s">
        <v>2884</v>
      </c>
      <c r="Z354" s="1180">
        <v>1</v>
      </c>
      <c r="AA354" s="1150">
        <f>ROUND(IF(H354&lt;&gt;"",VLOOKUP(SUM(I354+J354),'CONCEPTOS Y PARAMETROS'!F:G,2,0)*V354,0),2)</f>
        <v>3.42</v>
      </c>
      <c r="AB354" s="1150">
        <f>IF(S354&lt;&gt;"",IF(M354="",'CONCEPTOS Y PARAMETROS'!$C$4,0),0)</f>
        <v>130</v>
      </c>
      <c r="AC354" s="1150">
        <f>IF(S354&lt;&gt;"",IF(M354="",'CONCEPTOS Y PARAMETROS'!$C$7*Z354,0),0)</f>
        <v>12.5</v>
      </c>
      <c r="AD354" s="1150">
        <f>IFERROR(ROUND(VLOOKUP($X354,'CONCEPTOS Y PARAMETROS'!H:I,2,0)*($V354+AA354+AB354+AC354),2),0)</f>
        <v>0</v>
      </c>
      <c r="AE354" s="1150">
        <f t="shared" si="1042"/>
        <v>145.91999999999999</v>
      </c>
      <c r="AF354" s="1150">
        <f t="shared" si="986"/>
        <v>1.71</v>
      </c>
      <c r="AG354" s="1150">
        <f t="shared" si="987"/>
        <v>1.71</v>
      </c>
      <c r="AH354" s="1150">
        <f t="shared" si="988"/>
        <v>65</v>
      </c>
      <c r="AI354" s="1150">
        <f t="shared" si="989"/>
        <v>65</v>
      </c>
      <c r="AJ354" s="1150">
        <f t="shared" si="990"/>
        <v>0</v>
      </c>
      <c r="AK354" s="1150">
        <f t="shared" si="991"/>
        <v>0</v>
      </c>
      <c r="AL354" s="1151">
        <f t="shared" si="992"/>
        <v>79.209999999999994</v>
      </c>
      <c r="AM354" s="1151">
        <f t="shared" si="993"/>
        <v>66.709999999999994</v>
      </c>
      <c r="AN354" s="1583">
        <v>1</v>
      </c>
      <c r="AO354" s="1193">
        <f>'CONCEPTOS Y PARAMETROS'!$C$18*AN354</f>
        <v>12.5</v>
      </c>
      <c r="AP354" s="1028">
        <v>0</v>
      </c>
      <c r="AQ354" s="1193">
        <f>'CONCEPTOS Y PARAMETROS'!$C$21*AP354</f>
        <v>0</v>
      </c>
      <c r="AR354" s="1394">
        <v>0</v>
      </c>
      <c r="AS354" s="1394">
        <v>0</v>
      </c>
      <c r="AT354" s="1394">
        <f t="shared" si="1036"/>
        <v>12.5</v>
      </c>
      <c r="AU354" s="1151">
        <f t="shared" si="1043"/>
        <v>316.91999999999996</v>
      </c>
      <c r="AV354" s="1178">
        <v>0</v>
      </c>
      <c r="AW354" s="1151">
        <f t="shared" si="1044"/>
        <v>0</v>
      </c>
      <c r="AX354" s="1150">
        <f>IF(T354&lt;&gt;"0",(ROUND(IF(A354="EMPLEADO",eval_formula('CONCEPTOS Y PARAMETROS'!$C$8,NOMINA!V354,NOMINA!$AU354,NOMINA!I354+NOMINA!J354),eval_formula('CONCEPTOS Y PARAMETROS'!$D$8,NOMINA!V354,NOMINA!$AU354,NOMINA!I354+NOMINA!J354)),2))*IF(H354&lt;&gt;"",IF(MONTH(H354)=$BR$8,IF(YEAR(H354)&lt;$BT$7,1,0),0)))</f>
        <v>0</v>
      </c>
      <c r="AY354" s="1151">
        <v>180</v>
      </c>
      <c r="AZ354" s="1150">
        <f>IFERROR(VLOOKUP(AY354,'CONCEPTOS Y PARAMETROS'!Y:Z,2,0),0)</f>
        <v>150</v>
      </c>
      <c r="BA354" s="1150">
        <f t="shared" si="997"/>
        <v>2376.9</v>
      </c>
      <c r="BB354" s="1150">
        <f t="shared" si="998"/>
        <v>0</v>
      </c>
      <c r="BC354" s="1028">
        <v>0</v>
      </c>
      <c r="BD354" s="1150" t="str">
        <f t="shared" si="1045"/>
        <v>0</v>
      </c>
      <c r="BE354" s="1028">
        <v>4</v>
      </c>
      <c r="BF354" s="1150">
        <f t="shared" si="1046"/>
        <v>63.38</v>
      </c>
      <c r="BG354" s="1151">
        <v>290</v>
      </c>
      <c r="BH354" s="1151">
        <f t="shared" si="1047"/>
        <v>0</v>
      </c>
      <c r="BI354" s="1151">
        <v>0</v>
      </c>
      <c r="BJ354" s="1151">
        <f t="shared" si="1002"/>
        <v>0</v>
      </c>
      <c r="BK354" s="1151">
        <v>0</v>
      </c>
      <c r="BL354" s="1150">
        <f t="shared" si="1062"/>
        <v>11.7</v>
      </c>
      <c r="BM354" s="1150">
        <f t="shared" si="1063"/>
        <v>1.46</v>
      </c>
      <c r="BN354" s="1150">
        <f t="shared" si="1048"/>
        <v>3.17</v>
      </c>
      <c r="BO354" s="1150">
        <v>0</v>
      </c>
      <c r="BP354" s="1150">
        <v>0</v>
      </c>
      <c r="BQ354" s="1396">
        <f t="shared" si="1004"/>
        <v>16.329999999999998</v>
      </c>
      <c r="BR354" s="1150">
        <f t="shared" si="1064"/>
        <v>26.33</v>
      </c>
      <c r="BS354" s="1150">
        <f t="shared" si="1065"/>
        <v>5.85</v>
      </c>
      <c r="BT354" s="1150">
        <f t="shared" si="1049"/>
        <v>6.34</v>
      </c>
      <c r="BU354" s="1150">
        <v>0</v>
      </c>
      <c r="BV354" s="1151">
        <f t="shared" si="1037"/>
        <v>38.520000000000003</v>
      </c>
      <c r="BW354" s="1155">
        <f t="shared" si="1038"/>
        <v>54.85</v>
      </c>
      <c r="BX354" s="1155">
        <f t="shared" si="1035"/>
        <v>594.23</v>
      </c>
      <c r="BY354" s="1151">
        <v>0</v>
      </c>
      <c r="BZ354" s="1151">
        <f t="shared" si="1009"/>
        <v>594.23</v>
      </c>
      <c r="CA354" s="1397">
        <f>'CONCEPTOS Y PARAMETROS'!$A$102</f>
        <v>2120</v>
      </c>
      <c r="CB354" s="1155">
        <f t="shared" si="1010"/>
        <v>148.38</v>
      </c>
      <c r="CC354" s="1156">
        <f t="shared" si="1011"/>
        <v>518.09</v>
      </c>
      <c r="CD354" s="514"/>
      <c r="CE354" s="514"/>
      <c r="CF354" s="520"/>
      <c r="CG354" s="497">
        <f t="shared" si="1012"/>
        <v>148.38</v>
      </c>
      <c r="CH354" s="1711">
        <f t="shared" si="1050"/>
        <v>290</v>
      </c>
      <c r="CI354" s="497">
        <f t="shared" si="1014"/>
        <v>442.21</v>
      </c>
      <c r="CJ354" s="497">
        <f t="shared" si="1015"/>
        <v>442.21</v>
      </c>
      <c r="CK354" s="497">
        <f t="shared" si="1016"/>
        <v>0</v>
      </c>
      <c r="CL354" s="497">
        <f t="shared" si="1051"/>
        <v>0</v>
      </c>
      <c r="CM354" s="497">
        <f t="shared" si="1052"/>
        <v>0</v>
      </c>
      <c r="CN354" s="498">
        <f t="shared" si="1053"/>
        <v>63.38</v>
      </c>
      <c r="CO354" s="499">
        <v>0</v>
      </c>
      <c r="CP354" s="498">
        <f t="shared" si="1054"/>
        <v>0</v>
      </c>
      <c r="CQ354" s="500">
        <f t="shared" si="1055"/>
        <v>12.5</v>
      </c>
      <c r="CR354" s="498">
        <f t="shared" si="1056"/>
        <v>0</v>
      </c>
      <c r="CS354" s="498">
        <f t="shared" si="1057"/>
        <v>75.88</v>
      </c>
      <c r="CT354" s="498">
        <f t="shared" si="1058"/>
        <v>54.85</v>
      </c>
      <c r="CU354" s="498">
        <f t="shared" si="1059"/>
        <v>2120</v>
      </c>
      <c r="CV354" s="1554"/>
      <c r="CW354" s="1343" t="s">
        <v>7296</v>
      </c>
      <c r="CX354" s="1343" t="s">
        <v>6944</v>
      </c>
      <c r="CY354" s="472"/>
      <c r="CZ354" s="514" t="s">
        <v>6524</v>
      </c>
      <c r="DA354" s="514" t="s">
        <v>6188</v>
      </c>
      <c r="DB354" s="514" t="s">
        <v>6399</v>
      </c>
      <c r="DC354" s="514" t="s">
        <v>6271</v>
      </c>
      <c r="DD354" s="472"/>
      <c r="DE354" s="472"/>
      <c r="DF354" s="472"/>
      <c r="DG354" s="472"/>
      <c r="DH354" s="472"/>
      <c r="DJ354" s="473" t="str">
        <f>VLOOKUP(X354,Hoja1!$A$4:$B$10,2,0)</f>
        <v>BACHILLER</v>
      </c>
      <c r="DK354" s="473" t="str">
        <f>VLOOKUP(S354,Hoja1!$D$4:$F$77,3,0)</f>
        <v>GRADO (5) - MÁX</v>
      </c>
      <c r="DL354" s="1216" t="str">
        <f t="shared" si="1060"/>
        <v>0</v>
      </c>
      <c r="DM354" s="1741" t="str">
        <f t="shared" si="1061"/>
        <v>M</v>
      </c>
      <c r="DN354" s="1741"/>
    </row>
    <row r="355" spans="1:118" s="473" customFormat="1" ht="21.95" customHeight="1">
      <c r="A355" s="510" t="s">
        <v>2834</v>
      </c>
      <c r="B355" s="1390">
        <f t="shared" ca="1" si="1028"/>
        <v>44</v>
      </c>
      <c r="C355" s="1028">
        <v>13049800</v>
      </c>
      <c r="D355" s="1343" t="s">
        <v>5004</v>
      </c>
      <c r="E355" s="1180" t="s">
        <v>4622</v>
      </c>
      <c r="F355" s="1161">
        <v>27256</v>
      </c>
      <c r="G355" s="1180" t="s">
        <v>4620</v>
      </c>
      <c r="H355" s="1161">
        <v>42171</v>
      </c>
      <c r="I355" s="1185">
        <f t="shared" si="1039"/>
        <v>9</v>
      </c>
      <c r="J355" s="1177">
        <v>0</v>
      </c>
      <c r="K355" s="1185">
        <f t="shared" si="1040"/>
        <v>9</v>
      </c>
      <c r="L355" s="1191" t="s">
        <v>5545</v>
      </c>
      <c r="M355" s="1177"/>
      <c r="N355" s="1177"/>
      <c r="O355" s="1040" t="s">
        <v>5088</v>
      </c>
      <c r="P355" s="1177" t="s">
        <v>5145</v>
      </c>
      <c r="Q355" s="1391">
        <v>7102</v>
      </c>
      <c r="R355" s="1514" t="s">
        <v>5088</v>
      </c>
      <c r="S355" s="1513">
        <v>1</v>
      </c>
      <c r="T355" s="1150">
        <f>IFERROR(VLOOKUP(S355,'TAB OBR'!A:B,2,0),0)</f>
        <v>130</v>
      </c>
      <c r="U355" s="1151">
        <v>0</v>
      </c>
      <c r="V355" s="1150">
        <f t="shared" si="1041"/>
        <v>130</v>
      </c>
      <c r="W355" s="1151">
        <f t="shared" si="984"/>
        <v>65</v>
      </c>
      <c r="X355" s="1180" t="s">
        <v>2884</v>
      </c>
      <c r="Y355" s="1180" t="s">
        <v>2884</v>
      </c>
      <c r="Z355" s="1180">
        <v>0</v>
      </c>
      <c r="AA355" s="1150">
        <f>ROUND(IF(H355&lt;&gt;"",VLOOKUP(SUM(I355+J355),'CONCEPTOS Y PARAMETROS'!F:G,2,0)*V355,0),2)</f>
        <v>12.74</v>
      </c>
      <c r="AB355" s="1150">
        <f>IF(S355&lt;&gt;"",IF(M355="",'CONCEPTOS Y PARAMETROS'!$C$4,0),0)</f>
        <v>130</v>
      </c>
      <c r="AC355" s="1150">
        <f>IF(S355&lt;&gt;"",IF(M355="",'CONCEPTOS Y PARAMETROS'!$C$7*Z355,0),0)</f>
        <v>0</v>
      </c>
      <c r="AD355" s="1150">
        <f>IFERROR(ROUND(VLOOKUP($X355,'CONCEPTOS Y PARAMETROS'!H:I,2,0)*($V355+AA355+AB355+AC355),2),0)</f>
        <v>0</v>
      </c>
      <c r="AE355" s="1150">
        <f t="shared" si="1042"/>
        <v>142.74</v>
      </c>
      <c r="AF355" s="1150">
        <f t="shared" si="986"/>
        <v>6.37</v>
      </c>
      <c r="AG355" s="1150">
        <f t="shared" si="987"/>
        <v>6.37</v>
      </c>
      <c r="AH355" s="1150">
        <f t="shared" si="988"/>
        <v>65</v>
      </c>
      <c r="AI355" s="1150">
        <f t="shared" si="989"/>
        <v>65</v>
      </c>
      <c r="AJ355" s="1150">
        <f t="shared" si="990"/>
        <v>0</v>
      </c>
      <c r="AK355" s="1150">
        <f t="shared" si="991"/>
        <v>0</v>
      </c>
      <c r="AL355" s="1151">
        <f t="shared" si="992"/>
        <v>71.37</v>
      </c>
      <c r="AM355" s="1151">
        <f t="shared" si="993"/>
        <v>71.37</v>
      </c>
      <c r="AN355" s="1028">
        <v>0</v>
      </c>
      <c r="AO355" s="1193">
        <f>'CONCEPTOS Y PARAMETROS'!$C$18*AN355</f>
        <v>0</v>
      </c>
      <c r="AP355" s="1028">
        <v>0</v>
      </c>
      <c r="AQ355" s="1193">
        <f>'CONCEPTOS Y PARAMETROS'!$C$21*AP355</f>
        <v>0</v>
      </c>
      <c r="AR355" s="1394">
        <v>0</v>
      </c>
      <c r="AS355" s="1394">
        <v>0</v>
      </c>
      <c r="AT355" s="1394">
        <f t="shared" si="1036"/>
        <v>0</v>
      </c>
      <c r="AU355" s="1151">
        <f t="shared" si="1043"/>
        <v>272.74</v>
      </c>
      <c r="AV355" s="1178">
        <v>0</v>
      </c>
      <c r="AW355" s="1151">
        <f t="shared" si="1044"/>
        <v>0</v>
      </c>
      <c r="AX355" s="1150">
        <f>IF(T355&lt;&gt;"0",(ROUND(IF(A355="EMPLEADO",eval_formula('CONCEPTOS Y PARAMETROS'!$C$8,NOMINA!V355,NOMINA!$AU355,NOMINA!I355+NOMINA!J355),eval_formula('CONCEPTOS Y PARAMETROS'!$D$8,NOMINA!V355,NOMINA!$AU355,NOMINA!I355+NOMINA!J355)),2))*IF(H355&lt;&gt;"",IF(MONTH(H355)=$BR$8,IF(YEAR(H355)&lt;$BT$7,1,0),0)))</f>
        <v>0</v>
      </c>
      <c r="AY355" s="1151">
        <v>180</v>
      </c>
      <c r="AZ355" s="1150">
        <f>IFERROR(VLOOKUP(AY355,'CONCEPTOS Y PARAMETROS'!Y:Z,2,0),0)</f>
        <v>150</v>
      </c>
      <c r="BA355" s="1150">
        <f t="shared" si="997"/>
        <v>2045.55</v>
      </c>
      <c r="BB355" s="1150">
        <f t="shared" si="998"/>
        <v>0</v>
      </c>
      <c r="BC355" s="1028">
        <v>0</v>
      </c>
      <c r="BD355" s="1150" t="str">
        <f t="shared" si="1045"/>
        <v>0</v>
      </c>
      <c r="BE355" s="1028">
        <v>0</v>
      </c>
      <c r="BF355" s="1150">
        <f t="shared" si="1046"/>
        <v>0</v>
      </c>
      <c r="BG355" s="1151">
        <v>290</v>
      </c>
      <c r="BH355" s="1151">
        <f t="shared" si="1047"/>
        <v>0</v>
      </c>
      <c r="BI355" s="1151">
        <v>0</v>
      </c>
      <c r="BJ355" s="1151">
        <f t="shared" si="1002"/>
        <v>0</v>
      </c>
      <c r="BK355" s="1151">
        <v>0</v>
      </c>
      <c r="BL355" s="1150">
        <f t="shared" si="1062"/>
        <v>10.07</v>
      </c>
      <c r="BM355" s="1150">
        <f t="shared" si="1063"/>
        <v>1.26</v>
      </c>
      <c r="BN355" s="1150">
        <f t="shared" si="1048"/>
        <v>2.73</v>
      </c>
      <c r="BO355" s="1150">
        <v>0</v>
      </c>
      <c r="BP355" s="1150">
        <v>0</v>
      </c>
      <c r="BQ355" s="1396">
        <f t="shared" si="1004"/>
        <v>14.06</v>
      </c>
      <c r="BR355" s="1150">
        <f t="shared" si="1064"/>
        <v>22.66</v>
      </c>
      <c r="BS355" s="1150">
        <f t="shared" si="1065"/>
        <v>5.04</v>
      </c>
      <c r="BT355" s="1150">
        <f t="shared" si="1049"/>
        <v>5.46</v>
      </c>
      <c r="BU355" s="1150">
        <v>0</v>
      </c>
      <c r="BV355" s="1151">
        <f t="shared" si="1037"/>
        <v>33.159999999999997</v>
      </c>
      <c r="BW355" s="1155">
        <f t="shared" si="1038"/>
        <v>47.22</v>
      </c>
      <c r="BX355" s="1155">
        <f t="shared" si="1035"/>
        <v>511.39</v>
      </c>
      <c r="BY355" s="1151">
        <v>0</v>
      </c>
      <c r="BZ355" s="1151">
        <f t="shared" si="1009"/>
        <v>511.39</v>
      </c>
      <c r="CA355" s="1397">
        <f>'CONCEPTOS Y PARAMETROS'!$A$102</f>
        <v>2120</v>
      </c>
      <c r="CB355" s="1155">
        <f t="shared" si="1010"/>
        <v>122.31</v>
      </c>
      <c r="CC355" s="1156">
        <f t="shared" si="1011"/>
        <v>426.37</v>
      </c>
      <c r="CD355" s="514"/>
      <c r="CE355" s="514"/>
      <c r="CF355" s="520"/>
      <c r="CG355" s="497">
        <f t="shared" si="1012"/>
        <v>122.31</v>
      </c>
      <c r="CH355" s="1711">
        <f t="shared" si="1050"/>
        <v>290</v>
      </c>
      <c r="CI355" s="497">
        <f t="shared" si="1014"/>
        <v>426.37</v>
      </c>
      <c r="CJ355" s="497">
        <f t="shared" si="1015"/>
        <v>426.37</v>
      </c>
      <c r="CK355" s="497">
        <f t="shared" si="1016"/>
        <v>0</v>
      </c>
      <c r="CL355" s="497">
        <f t="shared" si="1051"/>
        <v>0</v>
      </c>
      <c r="CM355" s="497">
        <f t="shared" si="1052"/>
        <v>0</v>
      </c>
      <c r="CN355" s="498">
        <f t="shared" si="1053"/>
        <v>0</v>
      </c>
      <c r="CO355" s="499">
        <v>0</v>
      </c>
      <c r="CP355" s="498">
        <f t="shared" si="1054"/>
        <v>0</v>
      </c>
      <c r="CQ355" s="500">
        <f t="shared" si="1055"/>
        <v>0</v>
      </c>
      <c r="CR355" s="498">
        <f t="shared" si="1056"/>
        <v>0</v>
      </c>
      <c r="CS355" s="498">
        <f t="shared" si="1057"/>
        <v>0</v>
      </c>
      <c r="CT355" s="498">
        <f t="shared" si="1058"/>
        <v>47.22</v>
      </c>
      <c r="CU355" s="498">
        <f t="shared" si="1059"/>
        <v>2120</v>
      </c>
      <c r="CV355" s="1554"/>
      <c r="CW355" s="1343" t="s">
        <v>7194</v>
      </c>
      <c r="CX355" s="1343" t="s">
        <v>7321</v>
      </c>
      <c r="CY355" s="472"/>
      <c r="CZ355" s="1199" t="s">
        <v>6692</v>
      </c>
      <c r="DA355" s="514" t="s">
        <v>6173</v>
      </c>
      <c r="DB355" s="514" t="s">
        <v>6276</v>
      </c>
      <c r="DC355" s="514" t="s">
        <v>6246</v>
      </c>
      <c r="DD355" s="472"/>
      <c r="DE355" s="472"/>
      <c r="DF355" s="472"/>
      <c r="DG355" s="472"/>
      <c r="DH355" s="472"/>
      <c r="DJ355" s="473" t="str">
        <f>VLOOKUP(X355,Hoja1!$A$4:$B$10,2,0)</f>
        <v>BACHILLER</v>
      </c>
      <c r="DK355" s="473" t="str">
        <f>VLOOKUP(S355,Hoja1!$D$4:$F$77,3,0)</f>
        <v>GRADO (1) - MIN</v>
      </c>
      <c r="DL355" s="1216" t="str">
        <f t="shared" si="1060"/>
        <v>0</v>
      </c>
      <c r="DM355" s="1741" t="str">
        <f t="shared" si="1061"/>
        <v>F</v>
      </c>
      <c r="DN355" s="1741"/>
    </row>
    <row r="356" spans="1:118" s="473" customFormat="1" ht="21.95" customHeight="1">
      <c r="A356" s="510" t="s">
        <v>2834</v>
      </c>
      <c r="B356" s="1390">
        <f t="shared" ca="1" si="1028"/>
        <v>45</v>
      </c>
      <c r="C356" s="1028">
        <v>13260758</v>
      </c>
      <c r="D356" s="1343" t="s">
        <v>5005</v>
      </c>
      <c r="E356" s="1180" t="s">
        <v>4622</v>
      </c>
      <c r="F356" s="1161">
        <v>27977</v>
      </c>
      <c r="G356" s="1180" t="s">
        <v>4621</v>
      </c>
      <c r="H356" s="1161">
        <v>39118</v>
      </c>
      <c r="I356" s="1185">
        <f t="shared" si="1039"/>
        <v>17</v>
      </c>
      <c r="J356" s="1177">
        <v>0</v>
      </c>
      <c r="K356" s="1185">
        <f t="shared" si="1040"/>
        <v>17</v>
      </c>
      <c r="L356" s="1191" t="s">
        <v>5544</v>
      </c>
      <c r="M356" s="1177"/>
      <c r="N356" s="1177"/>
      <c r="O356" s="1040" t="s">
        <v>5094</v>
      </c>
      <c r="P356" s="1177" t="s">
        <v>5146</v>
      </c>
      <c r="Q356" s="1391">
        <v>7152</v>
      </c>
      <c r="R356" s="1514" t="s">
        <v>5094</v>
      </c>
      <c r="S356" s="1513">
        <v>5</v>
      </c>
      <c r="T356" s="1150">
        <f>IFERROR(VLOOKUP(S356,'TAB OBR'!A:B,2,0),0)</f>
        <v>171</v>
      </c>
      <c r="U356" s="1151">
        <v>0</v>
      </c>
      <c r="V356" s="1150">
        <f t="shared" si="1041"/>
        <v>171</v>
      </c>
      <c r="W356" s="1151">
        <f t="shared" si="984"/>
        <v>85.5</v>
      </c>
      <c r="X356" s="1180" t="s">
        <v>2884</v>
      </c>
      <c r="Y356" s="1180" t="s">
        <v>2884</v>
      </c>
      <c r="Z356" s="1180">
        <v>0</v>
      </c>
      <c r="AA356" s="1150">
        <f>ROUND(IF(H356&lt;&gt;"",VLOOKUP(SUM(I356+J356),'CONCEPTOS Y PARAMETROS'!F:G,2,0)*V356,0),2)</f>
        <v>36.25</v>
      </c>
      <c r="AB356" s="1150">
        <f>IF(S356&lt;&gt;"",IF(M356="",'CONCEPTOS Y PARAMETROS'!$C$4,0),0)</f>
        <v>130</v>
      </c>
      <c r="AC356" s="1150">
        <f>IF(S356&lt;&gt;"",IF(M356="",'CONCEPTOS Y PARAMETROS'!$C$7*Z356,0),0)</f>
        <v>0</v>
      </c>
      <c r="AD356" s="1150">
        <f>IFERROR(ROUND(VLOOKUP($X356,'CONCEPTOS Y PARAMETROS'!H:I,2,0)*($V356+AA356+AB356+AC356),2),0)</f>
        <v>0</v>
      </c>
      <c r="AE356" s="1150">
        <f t="shared" si="1042"/>
        <v>166.25</v>
      </c>
      <c r="AF356" s="1150">
        <f t="shared" si="986"/>
        <v>18.13</v>
      </c>
      <c r="AG356" s="1150">
        <f t="shared" si="987"/>
        <v>18.12</v>
      </c>
      <c r="AH356" s="1150">
        <f t="shared" si="988"/>
        <v>65</v>
      </c>
      <c r="AI356" s="1150">
        <f t="shared" si="989"/>
        <v>65</v>
      </c>
      <c r="AJ356" s="1150">
        <f t="shared" si="990"/>
        <v>0</v>
      </c>
      <c r="AK356" s="1150">
        <f t="shared" si="991"/>
        <v>0</v>
      </c>
      <c r="AL356" s="1151">
        <f t="shared" si="992"/>
        <v>83.13</v>
      </c>
      <c r="AM356" s="1151">
        <f t="shared" si="993"/>
        <v>83.12</v>
      </c>
      <c r="AN356" s="1028">
        <v>0</v>
      </c>
      <c r="AO356" s="1193">
        <f>'CONCEPTOS Y PARAMETROS'!$C$18*AN356</f>
        <v>0</v>
      </c>
      <c r="AP356" s="1028">
        <v>0</v>
      </c>
      <c r="AQ356" s="1193">
        <f>'CONCEPTOS Y PARAMETROS'!$C$21*AP356</f>
        <v>0</v>
      </c>
      <c r="AR356" s="1394">
        <v>0</v>
      </c>
      <c r="AS356" s="1394">
        <v>0</v>
      </c>
      <c r="AT356" s="1394">
        <f t="shared" si="1036"/>
        <v>0</v>
      </c>
      <c r="AU356" s="1151">
        <f t="shared" si="1043"/>
        <v>438.43</v>
      </c>
      <c r="AV356" s="1178" t="s">
        <v>5080</v>
      </c>
      <c r="AW356" s="1151">
        <f t="shared" si="1044"/>
        <v>101.18</v>
      </c>
      <c r="AX356" s="1150">
        <f>IF(T356&lt;&gt;"0",(ROUND(IF(A356="EMPLEADO",eval_formula('CONCEPTOS Y PARAMETROS'!$C$8,NOMINA!V356,NOMINA!$AU356,NOMINA!I356+NOMINA!J356),eval_formula('CONCEPTOS Y PARAMETROS'!$D$8,NOMINA!V356,NOMINA!$AU356,NOMINA!I356+NOMINA!J356)),2))*IF(H356&lt;&gt;"",IF(MONTH(H356)=$BR$8,IF(YEAR(H356)&lt;$BT$7,1,0),0)))</f>
        <v>0</v>
      </c>
      <c r="AY356" s="1151">
        <v>180</v>
      </c>
      <c r="AZ356" s="1150">
        <f>IFERROR(VLOOKUP(AY356,'CONCEPTOS Y PARAMETROS'!Y:Z,2,0),0)</f>
        <v>150</v>
      </c>
      <c r="BA356" s="1150">
        <f t="shared" si="997"/>
        <v>3288.23</v>
      </c>
      <c r="BB356" s="1150">
        <f t="shared" si="998"/>
        <v>0</v>
      </c>
      <c r="BC356" s="1028">
        <v>0</v>
      </c>
      <c r="BD356" s="1150" t="str">
        <f t="shared" si="1045"/>
        <v>0</v>
      </c>
      <c r="BE356" s="1028">
        <v>0</v>
      </c>
      <c r="BF356" s="1150">
        <f t="shared" si="1046"/>
        <v>0</v>
      </c>
      <c r="BG356" s="1151">
        <v>290</v>
      </c>
      <c r="BH356" s="1151">
        <f t="shared" si="1047"/>
        <v>0</v>
      </c>
      <c r="BI356" s="1151">
        <v>0</v>
      </c>
      <c r="BJ356" s="1151">
        <f t="shared" si="1002"/>
        <v>0</v>
      </c>
      <c r="BK356" s="1151">
        <v>0</v>
      </c>
      <c r="BL356" s="1150">
        <f t="shared" si="1062"/>
        <v>16.190000000000001</v>
      </c>
      <c r="BM356" s="1150">
        <f t="shared" si="1063"/>
        <v>2.02</v>
      </c>
      <c r="BN356" s="1150">
        <f t="shared" si="1048"/>
        <v>4.38</v>
      </c>
      <c r="BO356" s="1150">
        <v>0</v>
      </c>
      <c r="BP356" s="1150">
        <v>0</v>
      </c>
      <c r="BQ356" s="1396">
        <f t="shared" si="1004"/>
        <v>22.59</v>
      </c>
      <c r="BR356" s="1150">
        <f t="shared" si="1064"/>
        <v>36.42</v>
      </c>
      <c r="BS356" s="1150">
        <f t="shared" si="1065"/>
        <v>8.09</v>
      </c>
      <c r="BT356" s="1150">
        <f t="shared" si="1049"/>
        <v>8.76</v>
      </c>
      <c r="BU356" s="1150">
        <v>0</v>
      </c>
      <c r="BV356" s="1151">
        <f t="shared" si="1037"/>
        <v>53.27</v>
      </c>
      <c r="BW356" s="1155">
        <f t="shared" si="1038"/>
        <v>75.86</v>
      </c>
      <c r="BX356" s="1155">
        <f t="shared" si="1035"/>
        <v>822.06</v>
      </c>
      <c r="BY356" s="1151">
        <v>0</v>
      </c>
      <c r="BZ356" s="1151">
        <f t="shared" si="1009"/>
        <v>822.06</v>
      </c>
      <c r="CA356" s="1397">
        <f>'CONCEPTOS Y PARAMETROS'!$A$102</f>
        <v>2120</v>
      </c>
      <c r="CB356" s="1155">
        <f t="shared" si="1010"/>
        <v>146.04</v>
      </c>
      <c r="CC356" s="1156">
        <f t="shared" si="1011"/>
        <v>559.79999999999995</v>
      </c>
      <c r="CD356" s="514"/>
      <c r="CE356" s="514"/>
      <c r="CF356" s="520"/>
      <c r="CG356" s="497">
        <f t="shared" si="1012"/>
        <v>146.04</v>
      </c>
      <c r="CH356" s="1711">
        <f t="shared" si="1050"/>
        <v>290</v>
      </c>
      <c r="CI356" s="497">
        <f t="shared" si="1014"/>
        <v>458.62</v>
      </c>
      <c r="CJ356" s="497">
        <f t="shared" si="1015"/>
        <v>458.62</v>
      </c>
      <c r="CK356" s="497">
        <f t="shared" si="1016"/>
        <v>0</v>
      </c>
      <c r="CL356" s="497">
        <f t="shared" si="1051"/>
        <v>0</v>
      </c>
      <c r="CM356" s="497">
        <f t="shared" si="1052"/>
        <v>0</v>
      </c>
      <c r="CN356" s="498">
        <f t="shared" si="1053"/>
        <v>0</v>
      </c>
      <c r="CO356" s="499">
        <v>0</v>
      </c>
      <c r="CP356" s="498">
        <f t="shared" si="1054"/>
        <v>101.18</v>
      </c>
      <c r="CQ356" s="500">
        <f t="shared" si="1055"/>
        <v>0</v>
      </c>
      <c r="CR356" s="498">
        <f t="shared" si="1056"/>
        <v>0</v>
      </c>
      <c r="CS356" s="498">
        <f t="shared" si="1057"/>
        <v>101.18</v>
      </c>
      <c r="CT356" s="498">
        <f t="shared" si="1058"/>
        <v>75.86</v>
      </c>
      <c r="CU356" s="498">
        <f t="shared" si="1059"/>
        <v>2120</v>
      </c>
      <c r="CV356" s="1554"/>
      <c r="CW356" s="1343" t="s">
        <v>7322</v>
      </c>
      <c r="CX356" s="1343" t="s">
        <v>7323</v>
      </c>
      <c r="CY356" s="472"/>
      <c r="CZ356" s="1199" t="s">
        <v>6631</v>
      </c>
      <c r="DA356" s="514" t="s">
        <v>6173</v>
      </c>
      <c r="DB356" s="514" t="s">
        <v>6185</v>
      </c>
      <c r="DC356" s="514" t="s">
        <v>6613</v>
      </c>
      <c r="DD356" s="472"/>
      <c r="DE356" s="472"/>
      <c r="DF356" s="472"/>
      <c r="DG356" s="472"/>
      <c r="DH356" s="472"/>
      <c r="DJ356" s="473" t="str">
        <f>VLOOKUP(X356,Hoja1!$A$4:$B$10,2,0)</f>
        <v>BACHILLER</v>
      </c>
      <c r="DK356" s="473" t="str">
        <f>VLOOKUP(S356,Hoja1!$D$4:$F$77,3,0)</f>
        <v>GRADO (5) - MÁX</v>
      </c>
      <c r="DL356" s="1216" t="str">
        <f t="shared" si="1060"/>
        <v>SI</v>
      </c>
      <c r="DM356" s="1741" t="str">
        <f t="shared" si="1061"/>
        <v>M</v>
      </c>
      <c r="DN356" s="1741"/>
    </row>
    <row r="357" spans="1:118" s="473" customFormat="1" ht="21.95" customHeight="1">
      <c r="A357" s="510" t="s">
        <v>2834</v>
      </c>
      <c r="B357" s="1390">
        <f t="shared" ca="1" si="1028"/>
        <v>46</v>
      </c>
      <c r="C357" s="1028">
        <v>13376729</v>
      </c>
      <c r="D357" s="1343" t="s">
        <v>5006</v>
      </c>
      <c r="E357" s="1180" t="s">
        <v>4622</v>
      </c>
      <c r="F357" s="1161">
        <v>28664</v>
      </c>
      <c r="G357" s="1180" t="s">
        <v>4621</v>
      </c>
      <c r="H357" s="1161">
        <v>42948</v>
      </c>
      <c r="I357" s="1185">
        <f t="shared" si="1039"/>
        <v>7</v>
      </c>
      <c r="J357" s="1177">
        <v>0</v>
      </c>
      <c r="K357" s="1185">
        <f t="shared" si="1040"/>
        <v>7</v>
      </c>
      <c r="L357" s="1191" t="s">
        <v>5543</v>
      </c>
      <c r="M357" s="1177"/>
      <c r="N357" s="1177"/>
      <c r="O357" s="1040" t="s">
        <v>5094</v>
      </c>
      <c r="P357" s="1177" t="s">
        <v>5147</v>
      </c>
      <c r="Q357" s="1391">
        <v>8201</v>
      </c>
      <c r="R357" s="1514" t="s">
        <v>5094</v>
      </c>
      <c r="S357" s="1513">
        <v>5</v>
      </c>
      <c r="T357" s="1150">
        <f>IFERROR(VLOOKUP(S357,'TAB OBR'!A:B,2,0),0)</f>
        <v>171</v>
      </c>
      <c r="U357" s="1151">
        <v>0</v>
      </c>
      <c r="V357" s="1150">
        <f t="shared" si="1041"/>
        <v>171</v>
      </c>
      <c r="W357" s="1151">
        <f t="shared" si="984"/>
        <v>85.5</v>
      </c>
      <c r="X357" s="1180" t="s">
        <v>2884</v>
      </c>
      <c r="Y357" s="1180" t="s">
        <v>2884</v>
      </c>
      <c r="Z357" s="1180">
        <v>1</v>
      </c>
      <c r="AA357" s="1150">
        <f>ROUND(IF(H357&lt;&gt;"",VLOOKUP(SUM(I357+J357),'CONCEPTOS Y PARAMETROS'!F:G,2,0)*V357,0),2)</f>
        <v>12.65</v>
      </c>
      <c r="AB357" s="1150">
        <f>IF(S357&lt;&gt;"",IF(M357="",'CONCEPTOS Y PARAMETROS'!$C$4,0),0)</f>
        <v>130</v>
      </c>
      <c r="AC357" s="1150">
        <f>IF(S357&lt;&gt;"",IF(M357="",'CONCEPTOS Y PARAMETROS'!$C$7*Z357,0),0)</f>
        <v>12.5</v>
      </c>
      <c r="AD357" s="1150">
        <f>IFERROR(ROUND(VLOOKUP($X357,'CONCEPTOS Y PARAMETROS'!H:I,2,0)*($V357+AA357+AB357+AC357),2),0)</f>
        <v>0</v>
      </c>
      <c r="AE357" s="1150">
        <f t="shared" si="1042"/>
        <v>155.15</v>
      </c>
      <c r="AF357" s="1150">
        <f t="shared" si="986"/>
        <v>6.33</v>
      </c>
      <c r="AG357" s="1150">
        <f t="shared" si="987"/>
        <v>6.32</v>
      </c>
      <c r="AH357" s="1150">
        <f t="shared" si="988"/>
        <v>65</v>
      </c>
      <c r="AI357" s="1150">
        <f t="shared" si="989"/>
        <v>65</v>
      </c>
      <c r="AJ357" s="1150">
        <f t="shared" si="990"/>
        <v>0</v>
      </c>
      <c r="AK357" s="1150">
        <f t="shared" si="991"/>
        <v>0</v>
      </c>
      <c r="AL357" s="1151">
        <f t="shared" si="992"/>
        <v>83.83</v>
      </c>
      <c r="AM357" s="1151">
        <f t="shared" si="993"/>
        <v>71.319999999999993</v>
      </c>
      <c r="AN357" s="1028">
        <v>0</v>
      </c>
      <c r="AO357" s="1193">
        <f>'CONCEPTOS Y PARAMETROS'!$C$18*AN357</f>
        <v>0</v>
      </c>
      <c r="AP357" s="1028">
        <v>0</v>
      </c>
      <c r="AQ357" s="1193">
        <f>'CONCEPTOS Y PARAMETROS'!$C$21*AP357</f>
        <v>0</v>
      </c>
      <c r="AR357" s="1394">
        <v>0</v>
      </c>
      <c r="AS357" s="1394">
        <v>0</v>
      </c>
      <c r="AT357" s="1394">
        <f t="shared" si="1036"/>
        <v>0</v>
      </c>
      <c r="AU357" s="1151">
        <f t="shared" si="1043"/>
        <v>424</v>
      </c>
      <c r="AV357" s="1178" t="s">
        <v>5080</v>
      </c>
      <c r="AW357" s="1151">
        <f t="shared" si="1044"/>
        <v>97.85</v>
      </c>
      <c r="AX357" s="1150">
        <f>IF(T357&lt;&gt;"0",(ROUND(IF(A357="EMPLEADO",eval_formula('CONCEPTOS Y PARAMETROS'!$C$8,NOMINA!V357,NOMINA!$AU357,NOMINA!I357+NOMINA!J357),eval_formula('CONCEPTOS Y PARAMETROS'!$D$8,NOMINA!V357,NOMINA!$AU357,NOMINA!I357+NOMINA!J357)),2))*IF(H357&lt;&gt;"",IF(MONTH(H357)=$BR$8,IF(YEAR(H357)&lt;$BT$7,1,0),0)))</f>
        <v>0</v>
      </c>
      <c r="AY357" s="1151">
        <v>180</v>
      </c>
      <c r="AZ357" s="1150">
        <f>IFERROR(VLOOKUP(AY357,'CONCEPTOS Y PARAMETROS'!Y:Z,2,0),0)</f>
        <v>150</v>
      </c>
      <c r="BA357" s="1150">
        <f t="shared" si="997"/>
        <v>3180</v>
      </c>
      <c r="BB357" s="1150">
        <f t="shared" si="998"/>
        <v>0</v>
      </c>
      <c r="BC357" s="1028">
        <v>0</v>
      </c>
      <c r="BD357" s="1150" t="str">
        <f t="shared" si="1045"/>
        <v>0</v>
      </c>
      <c r="BE357" s="1028">
        <v>0</v>
      </c>
      <c r="BF357" s="1150">
        <f t="shared" si="1046"/>
        <v>0</v>
      </c>
      <c r="BG357" s="1151">
        <v>290</v>
      </c>
      <c r="BH357" s="1151">
        <f t="shared" si="1047"/>
        <v>0</v>
      </c>
      <c r="BI357" s="1151">
        <v>0</v>
      </c>
      <c r="BJ357" s="1151">
        <f t="shared" si="1002"/>
        <v>0</v>
      </c>
      <c r="BK357" s="1151">
        <v>0</v>
      </c>
      <c r="BL357" s="1150">
        <f t="shared" si="1062"/>
        <v>15.66</v>
      </c>
      <c r="BM357" s="1150">
        <f t="shared" si="1063"/>
        <v>1.96</v>
      </c>
      <c r="BN357" s="1150">
        <f t="shared" si="1048"/>
        <v>4.24</v>
      </c>
      <c r="BO357" s="1150">
        <v>0</v>
      </c>
      <c r="BP357" s="1150">
        <v>0</v>
      </c>
      <c r="BQ357" s="1396">
        <f t="shared" si="1004"/>
        <v>21.86</v>
      </c>
      <c r="BR357" s="1150">
        <f t="shared" si="1064"/>
        <v>35.22</v>
      </c>
      <c r="BS357" s="1150">
        <f t="shared" si="1065"/>
        <v>7.83</v>
      </c>
      <c r="BT357" s="1150">
        <f t="shared" si="1049"/>
        <v>8.48</v>
      </c>
      <c r="BU357" s="1150">
        <v>0</v>
      </c>
      <c r="BV357" s="1151">
        <f t="shared" si="1037"/>
        <v>51.53</v>
      </c>
      <c r="BW357" s="1155">
        <f t="shared" si="1038"/>
        <v>73.39</v>
      </c>
      <c r="BX357" s="1155">
        <f t="shared" si="1035"/>
        <v>795</v>
      </c>
      <c r="BY357" s="1151">
        <v>0</v>
      </c>
      <c r="BZ357" s="1151">
        <f t="shared" si="1009"/>
        <v>795</v>
      </c>
      <c r="CA357" s="1397">
        <f>'CONCEPTOS Y PARAMETROS'!$A$102</f>
        <v>2120</v>
      </c>
      <c r="CB357" s="1155">
        <f t="shared" si="1010"/>
        <v>147.46999999999997</v>
      </c>
      <c r="CC357" s="1156">
        <f t="shared" si="1011"/>
        <v>544.66999999999996</v>
      </c>
      <c r="CD357" s="514"/>
      <c r="CE357" s="514"/>
      <c r="CF357" s="520"/>
      <c r="CG357" s="497">
        <f t="shared" si="1012"/>
        <v>147.46999999999997</v>
      </c>
      <c r="CH357" s="1711">
        <f t="shared" si="1050"/>
        <v>290</v>
      </c>
      <c r="CI357" s="497">
        <f t="shared" si="1014"/>
        <v>446.82</v>
      </c>
      <c r="CJ357" s="497">
        <f t="shared" si="1015"/>
        <v>446.82</v>
      </c>
      <c r="CK357" s="497">
        <f t="shared" si="1016"/>
        <v>0</v>
      </c>
      <c r="CL357" s="497">
        <f t="shared" si="1051"/>
        <v>0</v>
      </c>
      <c r="CM357" s="497">
        <f t="shared" si="1052"/>
        <v>0</v>
      </c>
      <c r="CN357" s="498">
        <f t="shared" si="1053"/>
        <v>0</v>
      </c>
      <c r="CO357" s="499">
        <v>0</v>
      </c>
      <c r="CP357" s="498">
        <f t="shared" si="1054"/>
        <v>97.85</v>
      </c>
      <c r="CQ357" s="500">
        <f t="shared" si="1055"/>
        <v>0</v>
      </c>
      <c r="CR357" s="498">
        <f t="shared" si="1056"/>
        <v>0</v>
      </c>
      <c r="CS357" s="498">
        <f t="shared" si="1057"/>
        <v>97.85</v>
      </c>
      <c r="CT357" s="498">
        <f t="shared" si="1058"/>
        <v>73.39</v>
      </c>
      <c r="CU357" s="498">
        <f t="shared" si="1059"/>
        <v>2120</v>
      </c>
      <c r="CV357" s="1554"/>
      <c r="CW357" s="1343" t="s">
        <v>6960</v>
      </c>
      <c r="CX357" s="1343" t="s">
        <v>7324</v>
      </c>
      <c r="CY357" s="472"/>
      <c r="CZ357" s="514" t="s">
        <v>6525</v>
      </c>
      <c r="DA357" s="514" t="s">
        <v>6526</v>
      </c>
      <c r="DB357" s="514" t="s">
        <v>6527</v>
      </c>
      <c r="DC357" s="514" t="s">
        <v>6500</v>
      </c>
      <c r="DD357" s="472"/>
      <c r="DE357" s="472"/>
      <c r="DF357" s="472"/>
      <c r="DG357" s="472"/>
      <c r="DH357" s="472"/>
      <c r="DJ357" s="473" t="str">
        <f>VLOOKUP(X357,Hoja1!$A$4:$B$10,2,0)</f>
        <v>BACHILLER</v>
      </c>
      <c r="DK357" s="473" t="str">
        <f>VLOOKUP(S357,Hoja1!$D$4:$F$77,3,0)</f>
        <v>GRADO (5) - MÁX</v>
      </c>
      <c r="DL357" s="1216" t="str">
        <f t="shared" si="1060"/>
        <v>SI</v>
      </c>
      <c r="DM357" s="1741" t="str">
        <f t="shared" si="1061"/>
        <v>M</v>
      </c>
      <c r="DN357" s="1741"/>
    </row>
    <row r="358" spans="1:118" s="478" customFormat="1" ht="21.95" customHeight="1">
      <c r="A358" s="510" t="s">
        <v>2834</v>
      </c>
      <c r="B358" s="1390">
        <f t="shared" ca="1" si="1028"/>
        <v>47</v>
      </c>
      <c r="C358" s="1028">
        <v>13404824</v>
      </c>
      <c r="D358" s="1343" t="s">
        <v>6775</v>
      </c>
      <c r="E358" s="1180" t="s">
        <v>4622</v>
      </c>
      <c r="F358" s="1161">
        <v>27093</v>
      </c>
      <c r="G358" s="1180" t="s">
        <v>4621</v>
      </c>
      <c r="H358" s="1161">
        <v>45474</v>
      </c>
      <c r="I358" s="1185">
        <f t="shared" si="1039"/>
        <v>0</v>
      </c>
      <c r="J358" s="1177">
        <v>0</v>
      </c>
      <c r="K358" s="1185">
        <f t="shared" si="1040"/>
        <v>0</v>
      </c>
      <c r="L358" s="1177" t="s">
        <v>5565</v>
      </c>
      <c r="M358" s="1177"/>
      <c r="N358" s="1177"/>
      <c r="O358" s="1040" t="s">
        <v>5084</v>
      </c>
      <c r="P358" s="1197" t="s">
        <v>6776</v>
      </c>
      <c r="Q358" s="1391">
        <v>7152</v>
      </c>
      <c r="R358" s="1514" t="s">
        <v>5084</v>
      </c>
      <c r="S358" s="1513">
        <v>3</v>
      </c>
      <c r="T358" s="1150">
        <f>IFERROR(VLOOKUP(S358,'TAB OBR'!A:B,2,0),0)</f>
        <v>152</v>
      </c>
      <c r="U358" s="1151">
        <v>0</v>
      </c>
      <c r="V358" s="1150">
        <f t="shared" si="1041"/>
        <v>152</v>
      </c>
      <c r="W358" s="1151">
        <f t="shared" si="984"/>
        <v>76</v>
      </c>
      <c r="X358" s="1180" t="s">
        <v>2884</v>
      </c>
      <c r="Y358" s="1180" t="s">
        <v>2884</v>
      </c>
      <c r="Z358" s="1180">
        <v>0</v>
      </c>
      <c r="AA358" s="1150">
        <f>ROUND(IF(H358&lt;&gt;"",VLOOKUP(SUM(I358+J358),'CONCEPTOS Y PARAMETROS'!F:G,2,0)*V358,0),2)</f>
        <v>0</v>
      </c>
      <c r="AB358" s="1150">
        <f>IF(S358&lt;&gt;"",IF(M358="",'CONCEPTOS Y PARAMETROS'!$C$4,0),0)</f>
        <v>130</v>
      </c>
      <c r="AC358" s="1150">
        <f>IF(S358&lt;&gt;"",IF(M358="",'CONCEPTOS Y PARAMETROS'!$C$7*Z358,0),0)</f>
        <v>0</v>
      </c>
      <c r="AD358" s="1150">
        <f>IFERROR(ROUND(VLOOKUP($X358,'CONCEPTOS Y PARAMETROS'!H:I,2,0)*($V358+AA358+AB358+AC358),2),0)</f>
        <v>0</v>
      </c>
      <c r="AE358" s="1150">
        <f t="shared" si="1042"/>
        <v>130</v>
      </c>
      <c r="AF358" s="1150">
        <f t="shared" si="986"/>
        <v>0</v>
      </c>
      <c r="AG358" s="1150">
        <f t="shared" si="987"/>
        <v>0</v>
      </c>
      <c r="AH358" s="1150">
        <f t="shared" si="988"/>
        <v>65</v>
      </c>
      <c r="AI358" s="1150">
        <f t="shared" si="989"/>
        <v>65</v>
      </c>
      <c r="AJ358" s="1150">
        <f t="shared" si="990"/>
        <v>0</v>
      </c>
      <c r="AK358" s="1150">
        <f t="shared" si="991"/>
        <v>0</v>
      </c>
      <c r="AL358" s="1151">
        <f t="shared" si="992"/>
        <v>65</v>
      </c>
      <c r="AM358" s="1151">
        <f t="shared" si="993"/>
        <v>65</v>
      </c>
      <c r="AN358" s="1028">
        <v>0</v>
      </c>
      <c r="AO358" s="1193">
        <f>'CONCEPTOS Y PARAMETROS'!$C$18*AN358</f>
        <v>0</v>
      </c>
      <c r="AP358" s="1028">
        <v>0</v>
      </c>
      <c r="AQ358" s="1193">
        <f>'CONCEPTOS Y PARAMETROS'!$C$21*AP358</f>
        <v>0</v>
      </c>
      <c r="AR358" s="1394">
        <v>0</v>
      </c>
      <c r="AS358" s="1394">
        <v>0</v>
      </c>
      <c r="AT358" s="1394">
        <f t="shared" si="1036"/>
        <v>0</v>
      </c>
      <c r="AU358" s="1151">
        <f t="shared" si="1043"/>
        <v>282</v>
      </c>
      <c r="AV358" s="1178">
        <v>0</v>
      </c>
      <c r="AW358" s="1151">
        <f t="shared" si="1044"/>
        <v>0</v>
      </c>
      <c r="AX358" s="1150">
        <f>IF(T358&lt;&gt;"0",(ROUND(IF(A358="EMPLEADO",eval_formula('CONCEPTOS Y PARAMETROS'!$C$8,NOMINA!V358,NOMINA!$AU358,NOMINA!I358+NOMINA!J358),eval_formula('CONCEPTOS Y PARAMETROS'!$D$8,NOMINA!V358,NOMINA!$AU358,NOMINA!I358+NOMINA!J358)),2))*IF(H358&lt;&gt;"",IF(MONTH(H358)=$BR$8,IF(YEAR(H358)&lt;$BT$7,1,0),0)))</f>
        <v>0</v>
      </c>
      <c r="AY358" s="1151">
        <v>90</v>
      </c>
      <c r="AZ358" s="1150">
        <f>IFERROR(VLOOKUP(AY358,'CONCEPTOS Y PARAMETROS'!Y:Z,2,0),0)</f>
        <v>75</v>
      </c>
      <c r="BA358" s="1150">
        <f t="shared" si="997"/>
        <v>881.25</v>
      </c>
      <c r="BB358" s="1150">
        <f t="shared" si="998"/>
        <v>0</v>
      </c>
      <c r="BC358" s="1028">
        <v>0</v>
      </c>
      <c r="BD358" s="1150" t="str">
        <f t="shared" si="1045"/>
        <v>0</v>
      </c>
      <c r="BE358" s="1028">
        <v>1</v>
      </c>
      <c r="BF358" s="1150">
        <f t="shared" si="1046"/>
        <v>14.1</v>
      </c>
      <c r="BG358" s="1151">
        <v>290</v>
      </c>
      <c r="BH358" s="1151">
        <f t="shared" si="1047"/>
        <v>0</v>
      </c>
      <c r="BI358" s="1151">
        <v>0</v>
      </c>
      <c r="BJ358" s="1151">
        <f t="shared" si="1002"/>
        <v>0</v>
      </c>
      <c r="BK358" s="1151">
        <v>0</v>
      </c>
      <c r="BL358" s="1150">
        <f t="shared" si="1062"/>
        <v>10.41</v>
      </c>
      <c r="BM358" s="1150">
        <f t="shared" si="1063"/>
        <v>1.3</v>
      </c>
      <c r="BN358" s="1150">
        <f t="shared" si="1048"/>
        <v>2.82</v>
      </c>
      <c r="BO358" s="1150">
        <v>0</v>
      </c>
      <c r="BP358" s="1150">
        <v>0</v>
      </c>
      <c r="BQ358" s="1396">
        <f t="shared" si="1004"/>
        <v>14.53</v>
      </c>
      <c r="BR358" s="1150">
        <f t="shared" si="1064"/>
        <v>23.43</v>
      </c>
      <c r="BS358" s="1150">
        <f t="shared" si="1065"/>
        <v>5.21</v>
      </c>
      <c r="BT358" s="1150">
        <f t="shared" si="1049"/>
        <v>5.64</v>
      </c>
      <c r="BU358" s="1150">
        <v>0</v>
      </c>
      <c r="BV358" s="1151">
        <f t="shared" ref="BV358" si="1066">ROUND(SUM(BR358:BT358),2)</f>
        <v>34.28</v>
      </c>
      <c r="BW358" s="1155">
        <f t="shared" si="1038"/>
        <v>48.81</v>
      </c>
      <c r="BX358" s="1155">
        <f t="shared" si="1035"/>
        <v>220.31</v>
      </c>
      <c r="BY358" s="1151">
        <v>0</v>
      </c>
      <c r="BZ358" s="1151">
        <f t="shared" si="1009"/>
        <v>220.31</v>
      </c>
      <c r="CA358" s="1397">
        <f>'CONCEPTOS Y PARAMETROS'!$A$102</f>
        <v>2120</v>
      </c>
      <c r="CB358" s="1155">
        <f t="shared" si="1010"/>
        <v>126.47</v>
      </c>
      <c r="CC358" s="1156">
        <f t="shared" si="1011"/>
        <v>445.1</v>
      </c>
      <c r="CD358" s="514"/>
      <c r="CE358" s="514"/>
      <c r="CF358" s="521"/>
      <c r="CG358" s="511">
        <f t="shared" si="1012"/>
        <v>126.47</v>
      </c>
      <c r="CH358" s="1712">
        <f t="shared" si="1050"/>
        <v>290</v>
      </c>
      <c r="CI358" s="511">
        <f t="shared" si="1014"/>
        <v>431</v>
      </c>
      <c r="CJ358" s="511">
        <f t="shared" si="1015"/>
        <v>431</v>
      </c>
      <c r="CK358" s="511">
        <f t="shared" si="1016"/>
        <v>0</v>
      </c>
      <c r="CL358" s="511">
        <f t="shared" si="1051"/>
        <v>0</v>
      </c>
      <c r="CM358" s="511">
        <f t="shared" si="1052"/>
        <v>0</v>
      </c>
      <c r="CN358" s="512">
        <f t="shared" si="1053"/>
        <v>14.1</v>
      </c>
      <c r="CO358" s="513">
        <v>0</v>
      </c>
      <c r="CP358" s="512">
        <f t="shared" si="1054"/>
        <v>0</v>
      </c>
      <c r="CQ358" s="500">
        <f t="shared" si="1055"/>
        <v>0</v>
      </c>
      <c r="CR358" s="512">
        <f t="shared" si="1056"/>
        <v>0</v>
      </c>
      <c r="CS358" s="512">
        <f t="shared" si="1057"/>
        <v>14.1</v>
      </c>
      <c r="CT358" s="512">
        <f t="shared" si="1058"/>
        <v>48.81</v>
      </c>
      <c r="CU358" s="512">
        <f t="shared" si="1059"/>
        <v>2120</v>
      </c>
      <c r="CV358" s="1556"/>
      <c r="CW358" s="1343" t="s">
        <v>7325</v>
      </c>
      <c r="CX358" s="1343" t="s">
        <v>7326</v>
      </c>
      <c r="CY358" s="514"/>
      <c r="CZ358" s="1199" t="s">
        <v>6777</v>
      </c>
      <c r="DA358" s="1199" t="s">
        <v>6173</v>
      </c>
      <c r="DB358" s="1199" t="s">
        <v>6202</v>
      </c>
      <c r="DC358" s="1199" t="s">
        <v>6780</v>
      </c>
      <c r="DD358" s="514"/>
      <c r="DE358" s="514"/>
      <c r="DF358" s="514"/>
      <c r="DG358" s="514"/>
      <c r="DH358" s="514"/>
      <c r="DJ358" s="478" t="str">
        <f>VLOOKUP(X358,Hoja1!$A$4:$B$10,2,0)</f>
        <v>BACHILLER</v>
      </c>
      <c r="DK358" s="478" t="str">
        <f>VLOOKUP(S358,Hoja1!$D$4:$F$77,3,0)</f>
        <v>GRADO (3) - MÁX</v>
      </c>
      <c r="DL358" s="1218" t="str">
        <f t="shared" si="1060"/>
        <v>0</v>
      </c>
      <c r="DM358" s="1743" t="str">
        <f t="shared" si="1061"/>
        <v>M</v>
      </c>
      <c r="DN358" s="1743"/>
    </row>
    <row r="359" spans="1:118" s="473" customFormat="1" ht="21.95" customHeight="1">
      <c r="A359" s="510" t="s">
        <v>2834</v>
      </c>
      <c r="B359" s="1390">
        <f t="shared" ca="1" si="1028"/>
        <v>48</v>
      </c>
      <c r="C359" s="1028">
        <v>13522771</v>
      </c>
      <c r="D359" s="1343" t="s">
        <v>5007</v>
      </c>
      <c r="E359" s="1180" t="s">
        <v>4622</v>
      </c>
      <c r="F359" s="1161">
        <v>28628</v>
      </c>
      <c r="G359" s="1180" t="s">
        <v>4620</v>
      </c>
      <c r="H359" s="1161">
        <v>44228</v>
      </c>
      <c r="I359" s="1185">
        <f t="shared" si="1039"/>
        <v>3</v>
      </c>
      <c r="J359" s="1177">
        <v>0</v>
      </c>
      <c r="K359" s="1185">
        <f t="shared" si="1040"/>
        <v>3</v>
      </c>
      <c r="L359" s="1191" t="s">
        <v>5565</v>
      </c>
      <c r="M359" s="1177"/>
      <c r="N359" s="1177"/>
      <c r="O359" s="1040" t="s">
        <v>5088</v>
      </c>
      <c r="P359" s="1177" t="s">
        <v>5148</v>
      </c>
      <c r="Q359" s="1391">
        <v>7102</v>
      </c>
      <c r="R359" s="1514" t="s">
        <v>5088</v>
      </c>
      <c r="S359" s="1513">
        <v>1</v>
      </c>
      <c r="T359" s="1150">
        <f>IFERROR(VLOOKUP(S359,'TAB OBR'!A:B,2,0),0)</f>
        <v>130</v>
      </c>
      <c r="U359" s="1151">
        <v>0</v>
      </c>
      <c r="V359" s="1150">
        <f t="shared" si="1041"/>
        <v>130</v>
      </c>
      <c r="W359" s="1151">
        <f t="shared" si="984"/>
        <v>65</v>
      </c>
      <c r="X359" s="1180" t="s">
        <v>2884</v>
      </c>
      <c r="Y359" s="1180" t="s">
        <v>2884</v>
      </c>
      <c r="Z359" s="1180">
        <v>1</v>
      </c>
      <c r="AA359" s="1150">
        <f>ROUND(IF(H359&lt;&gt;"",VLOOKUP(SUM(I359+J359),'CONCEPTOS Y PARAMETROS'!F:G,2,0)*V359,0),2)</f>
        <v>3.9</v>
      </c>
      <c r="AB359" s="1150">
        <f>IF(S359&lt;&gt;"",IF(M359="",'CONCEPTOS Y PARAMETROS'!$C$4,0),0)</f>
        <v>130</v>
      </c>
      <c r="AC359" s="1150">
        <f>IF(S359&lt;&gt;"",IF(M359="",'CONCEPTOS Y PARAMETROS'!$C$7*Z359,0),0)</f>
        <v>12.5</v>
      </c>
      <c r="AD359" s="1150">
        <f>IFERROR(ROUND(VLOOKUP($X359,'CONCEPTOS Y PARAMETROS'!H:I,2,0)*($V359+AA359+AB359+AC359),2),0)</f>
        <v>0</v>
      </c>
      <c r="AE359" s="1150">
        <f t="shared" si="1042"/>
        <v>146.4</v>
      </c>
      <c r="AF359" s="1150">
        <f t="shared" si="986"/>
        <v>1.95</v>
      </c>
      <c r="AG359" s="1150">
        <f t="shared" si="987"/>
        <v>1.95</v>
      </c>
      <c r="AH359" s="1150">
        <f t="shared" si="988"/>
        <v>65</v>
      </c>
      <c r="AI359" s="1150">
        <f t="shared" si="989"/>
        <v>65</v>
      </c>
      <c r="AJ359" s="1150">
        <f t="shared" si="990"/>
        <v>0</v>
      </c>
      <c r="AK359" s="1150">
        <f t="shared" si="991"/>
        <v>0</v>
      </c>
      <c r="AL359" s="1151">
        <f t="shared" si="992"/>
        <v>79.45</v>
      </c>
      <c r="AM359" s="1151">
        <f t="shared" si="993"/>
        <v>66.95</v>
      </c>
      <c r="AN359" s="1028">
        <v>0</v>
      </c>
      <c r="AO359" s="1193">
        <f>'CONCEPTOS Y PARAMETROS'!$C$18*AN359</f>
        <v>0</v>
      </c>
      <c r="AP359" s="1028">
        <v>0</v>
      </c>
      <c r="AQ359" s="1193">
        <f>'CONCEPTOS Y PARAMETROS'!$C$21*AP359</f>
        <v>0</v>
      </c>
      <c r="AR359" s="1394">
        <v>0</v>
      </c>
      <c r="AS359" s="1394">
        <v>0</v>
      </c>
      <c r="AT359" s="1394">
        <f t="shared" si="1036"/>
        <v>0</v>
      </c>
      <c r="AU359" s="1151">
        <f t="shared" si="1043"/>
        <v>276.39999999999998</v>
      </c>
      <c r="AV359" s="1178">
        <v>0</v>
      </c>
      <c r="AW359" s="1151">
        <f t="shared" si="1044"/>
        <v>0</v>
      </c>
      <c r="AX359" s="1150">
        <f>IF(T359&lt;&gt;"0",(ROUND(IF(A359="EMPLEADO",eval_formula('CONCEPTOS Y PARAMETROS'!$C$8,NOMINA!V359,NOMINA!$AU359,NOMINA!I359+NOMINA!J359),eval_formula('CONCEPTOS Y PARAMETROS'!$D$8,NOMINA!V359,NOMINA!$AU359,NOMINA!I359+NOMINA!J359)),2))*IF(H359&lt;&gt;"",IF(MONTH(H359)=$BR$8,IF(YEAR(H359)&lt;$BT$7,1,0),0)))</f>
        <v>0</v>
      </c>
      <c r="AY359" s="1151">
        <v>180</v>
      </c>
      <c r="AZ359" s="1150">
        <f>IFERROR(VLOOKUP(AY359,'CONCEPTOS Y PARAMETROS'!Y:Z,2,0),0)</f>
        <v>150</v>
      </c>
      <c r="BA359" s="1150">
        <f t="shared" si="997"/>
        <v>2073</v>
      </c>
      <c r="BB359" s="1150">
        <f t="shared" si="998"/>
        <v>0</v>
      </c>
      <c r="BC359" s="1028">
        <v>0</v>
      </c>
      <c r="BD359" s="1150" t="str">
        <f t="shared" si="1045"/>
        <v>0</v>
      </c>
      <c r="BE359" s="1028">
        <v>0</v>
      </c>
      <c r="BF359" s="1150">
        <f t="shared" si="1046"/>
        <v>0</v>
      </c>
      <c r="BG359" s="1151">
        <v>290</v>
      </c>
      <c r="BH359" s="1151">
        <f t="shared" si="1047"/>
        <v>0</v>
      </c>
      <c r="BI359" s="1151">
        <v>0</v>
      </c>
      <c r="BJ359" s="1151">
        <f t="shared" si="1002"/>
        <v>0</v>
      </c>
      <c r="BK359" s="1151">
        <v>0</v>
      </c>
      <c r="BL359" s="1150">
        <f t="shared" si="1062"/>
        <v>10.210000000000001</v>
      </c>
      <c r="BM359" s="1150">
        <f t="shared" si="1063"/>
        <v>1.28</v>
      </c>
      <c r="BN359" s="1150">
        <f t="shared" si="1048"/>
        <v>2.76</v>
      </c>
      <c r="BO359" s="1150">
        <v>0</v>
      </c>
      <c r="BP359" s="1150">
        <v>0</v>
      </c>
      <c r="BQ359" s="1396">
        <f t="shared" si="1004"/>
        <v>14.25</v>
      </c>
      <c r="BR359" s="1150">
        <f t="shared" si="1064"/>
        <v>22.96</v>
      </c>
      <c r="BS359" s="1150">
        <f t="shared" si="1065"/>
        <v>5.0999999999999996</v>
      </c>
      <c r="BT359" s="1150">
        <f t="shared" si="1049"/>
        <v>5.52</v>
      </c>
      <c r="BU359" s="1150">
        <v>0</v>
      </c>
      <c r="BV359" s="1151">
        <f t="shared" si="1037"/>
        <v>33.58</v>
      </c>
      <c r="BW359" s="1155">
        <f t="shared" si="1038"/>
        <v>47.83</v>
      </c>
      <c r="BX359" s="1155">
        <f t="shared" si="1035"/>
        <v>518.25</v>
      </c>
      <c r="BY359" s="1151">
        <v>0</v>
      </c>
      <c r="BZ359" s="1151">
        <f t="shared" si="1009"/>
        <v>518.25</v>
      </c>
      <c r="CA359" s="1397">
        <f>'CONCEPTOS Y PARAMETROS'!$A$102</f>
        <v>2120</v>
      </c>
      <c r="CB359" s="1155">
        <f t="shared" si="1010"/>
        <v>130.19999999999999</v>
      </c>
      <c r="CC359" s="1156">
        <f t="shared" si="1011"/>
        <v>421.95</v>
      </c>
      <c r="CD359" s="514"/>
      <c r="CE359" s="514"/>
      <c r="CF359" s="520"/>
      <c r="CG359" s="497">
        <f t="shared" si="1012"/>
        <v>130.19999999999999</v>
      </c>
      <c r="CH359" s="1711">
        <f t="shared" si="1050"/>
        <v>290</v>
      </c>
      <c r="CI359" s="497">
        <f t="shared" si="1014"/>
        <v>421.95</v>
      </c>
      <c r="CJ359" s="497">
        <f t="shared" si="1015"/>
        <v>421.95</v>
      </c>
      <c r="CK359" s="497">
        <f t="shared" si="1016"/>
        <v>0</v>
      </c>
      <c r="CL359" s="497">
        <f t="shared" si="1051"/>
        <v>0</v>
      </c>
      <c r="CM359" s="497">
        <f t="shared" si="1052"/>
        <v>0</v>
      </c>
      <c r="CN359" s="498">
        <f t="shared" si="1053"/>
        <v>0</v>
      </c>
      <c r="CO359" s="499">
        <v>0</v>
      </c>
      <c r="CP359" s="498">
        <f t="shared" si="1054"/>
        <v>0</v>
      </c>
      <c r="CQ359" s="500">
        <f t="shared" si="1055"/>
        <v>0</v>
      </c>
      <c r="CR359" s="498">
        <f t="shared" si="1056"/>
        <v>0</v>
      </c>
      <c r="CS359" s="498">
        <f t="shared" si="1057"/>
        <v>0</v>
      </c>
      <c r="CT359" s="498">
        <f t="shared" si="1058"/>
        <v>47.83</v>
      </c>
      <c r="CU359" s="498">
        <f t="shared" si="1059"/>
        <v>2120</v>
      </c>
      <c r="CV359" s="1554"/>
      <c r="CW359" s="1343" t="s">
        <v>6960</v>
      </c>
      <c r="CX359" s="1343" t="s">
        <v>6990</v>
      </c>
      <c r="CY359" s="472"/>
      <c r="CZ359" s="1199" t="s">
        <v>6693</v>
      </c>
      <c r="DA359" s="514" t="s">
        <v>6173</v>
      </c>
      <c r="DB359" s="514" t="s">
        <v>6185</v>
      </c>
      <c r="DC359" s="514" t="s">
        <v>6579</v>
      </c>
      <c r="DD359" s="472"/>
      <c r="DE359" s="472"/>
      <c r="DF359" s="472"/>
      <c r="DG359" s="472"/>
      <c r="DH359" s="472"/>
      <c r="DJ359" s="473" t="str">
        <f>VLOOKUP(X359,Hoja1!$A$4:$B$10,2,0)</f>
        <v>BACHILLER</v>
      </c>
      <c r="DK359" s="473" t="str">
        <f>VLOOKUP(S359,Hoja1!$D$4:$F$77,3,0)</f>
        <v>GRADO (1) - MIN</v>
      </c>
      <c r="DL359" s="1216" t="str">
        <f t="shared" si="1060"/>
        <v>0</v>
      </c>
      <c r="DM359" s="1741" t="str">
        <f t="shared" si="1061"/>
        <v>F</v>
      </c>
      <c r="DN359" s="1741"/>
    </row>
    <row r="360" spans="1:118" s="473" customFormat="1" ht="21.95" customHeight="1">
      <c r="A360" s="510" t="s">
        <v>2834</v>
      </c>
      <c r="B360" s="1390">
        <f t="shared" ca="1" si="1028"/>
        <v>49</v>
      </c>
      <c r="C360" s="1028">
        <v>13745328</v>
      </c>
      <c r="D360" s="1343" t="s">
        <v>5008</v>
      </c>
      <c r="E360" s="1180" t="s">
        <v>4622</v>
      </c>
      <c r="F360" s="1161">
        <v>27712</v>
      </c>
      <c r="G360" s="1180" t="s">
        <v>4621</v>
      </c>
      <c r="H360" s="1161">
        <v>44805</v>
      </c>
      <c r="I360" s="1185">
        <f t="shared" si="1039"/>
        <v>2</v>
      </c>
      <c r="J360" s="1177">
        <v>0</v>
      </c>
      <c r="K360" s="1185">
        <f t="shared" si="1040"/>
        <v>2</v>
      </c>
      <c r="L360" s="1191" t="s">
        <v>5554</v>
      </c>
      <c r="M360" s="1177"/>
      <c r="N360" s="1177"/>
      <c r="O360" s="1040" t="s">
        <v>5084</v>
      </c>
      <c r="P360" s="1177" t="s">
        <v>5149</v>
      </c>
      <c r="Q360" s="1391">
        <v>7152</v>
      </c>
      <c r="R360" s="1514" t="s">
        <v>5084</v>
      </c>
      <c r="S360" s="1513">
        <v>3</v>
      </c>
      <c r="T360" s="1150">
        <f>IFERROR(VLOOKUP(S360,'TAB OBR'!A:B,2,0),0)</f>
        <v>152</v>
      </c>
      <c r="U360" s="1151">
        <v>0</v>
      </c>
      <c r="V360" s="1150">
        <f t="shared" si="1041"/>
        <v>152</v>
      </c>
      <c r="W360" s="1151">
        <f t="shared" si="984"/>
        <v>76</v>
      </c>
      <c r="X360" s="1180" t="s">
        <v>2884</v>
      </c>
      <c r="Y360" s="1180" t="s">
        <v>2884</v>
      </c>
      <c r="Z360" s="1180">
        <v>1</v>
      </c>
      <c r="AA360" s="1150">
        <f>ROUND(IF(H360&lt;&gt;"",VLOOKUP(SUM(I360+J360),'CONCEPTOS Y PARAMETROS'!F:G,2,0)*V360,0),2)</f>
        <v>3.04</v>
      </c>
      <c r="AB360" s="1150">
        <f>IF(S360&lt;&gt;"",IF(M360="",'CONCEPTOS Y PARAMETROS'!$C$4,0),0)</f>
        <v>130</v>
      </c>
      <c r="AC360" s="1150">
        <f>IF(S360&lt;&gt;"",IF(M360="",'CONCEPTOS Y PARAMETROS'!$C$7*Z360,0),0)</f>
        <v>12.5</v>
      </c>
      <c r="AD360" s="1150">
        <f>IFERROR(ROUND(VLOOKUP($X360,'CONCEPTOS Y PARAMETROS'!H:I,2,0)*($V360+AA360+AB360+AC360),2),0)</f>
        <v>0</v>
      </c>
      <c r="AE360" s="1150">
        <f t="shared" si="1042"/>
        <v>145.54</v>
      </c>
      <c r="AF360" s="1150">
        <f t="shared" si="986"/>
        <v>1.52</v>
      </c>
      <c r="AG360" s="1150">
        <f t="shared" si="987"/>
        <v>1.52</v>
      </c>
      <c r="AH360" s="1150">
        <f t="shared" si="988"/>
        <v>65</v>
      </c>
      <c r="AI360" s="1150">
        <f t="shared" si="989"/>
        <v>65</v>
      </c>
      <c r="AJ360" s="1150">
        <f t="shared" si="990"/>
        <v>0</v>
      </c>
      <c r="AK360" s="1150">
        <f t="shared" si="991"/>
        <v>0</v>
      </c>
      <c r="AL360" s="1151">
        <f t="shared" si="992"/>
        <v>79.02</v>
      </c>
      <c r="AM360" s="1151">
        <f t="shared" si="993"/>
        <v>66.52</v>
      </c>
      <c r="AN360" s="1028">
        <v>0</v>
      </c>
      <c r="AO360" s="1193">
        <f>'CONCEPTOS Y PARAMETROS'!$C$18*AN360</f>
        <v>0</v>
      </c>
      <c r="AP360" s="1028">
        <v>0</v>
      </c>
      <c r="AQ360" s="1193">
        <f>'CONCEPTOS Y PARAMETROS'!$C$21*AP360</f>
        <v>0</v>
      </c>
      <c r="AR360" s="1394">
        <v>0</v>
      </c>
      <c r="AS360" s="1394">
        <v>0</v>
      </c>
      <c r="AT360" s="1394">
        <f t="shared" si="1036"/>
        <v>0</v>
      </c>
      <c r="AU360" s="1151">
        <f t="shared" si="1043"/>
        <v>386.79999999999995</v>
      </c>
      <c r="AV360" s="1178" t="s">
        <v>5080</v>
      </c>
      <c r="AW360" s="1151">
        <f t="shared" si="1044"/>
        <v>89.26</v>
      </c>
      <c r="AX360" s="1150">
        <f>IF(T360&lt;&gt;"0",(ROUND(IF(A360="EMPLEADO",eval_formula('CONCEPTOS Y PARAMETROS'!$C$8,NOMINA!V360,NOMINA!$AU360,NOMINA!I360+NOMINA!J360),eval_formula('CONCEPTOS Y PARAMETROS'!$D$8,NOMINA!V360,NOMINA!$AU360,NOMINA!I360+NOMINA!J360)),2))*IF(H360&lt;&gt;"",IF(MONTH(H360)=$BR$8,IF(YEAR(H360)&lt;$BT$7,1,0),0)))</f>
        <v>0</v>
      </c>
      <c r="AY360" s="1151">
        <v>180</v>
      </c>
      <c r="AZ360" s="1150">
        <f>IFERROR(VLOOKUP(AY360,'CONCEPTOS Y PARAMETROS'!Y:Z,2,0),0)</f>
        <v>150</v>
      </c>
      <c r="BA360" s="1150">
        <f t="shared" si="997"/>
        <v>2901</v>
      </c>
      <c r="BB360" s="1150">
        <f t="shared" si="998"/>
        <v>0</v>
      </c>
      <c r="BC360" s="1028">
        <v>0</v>
      </c>
      <c r="BD360" s="1150" t="str">
        <f t="shared" si="1045"/>
        <v>0</v>
      </c>
      <c r="BE360" s="1028">
        <v>0</v>
      </c>
      <c r="BF360" s="1150">
        <f t="shared" si="1046"/>
        <v>0</v>
      </c>
      <c r="BG360" s="1151">
        <v>290</v>
      </c>
      <c r="BH360" s="1151">
        <f t="shared" si="1047"/>
        <v>0</v>
      </c>
      <c r="BI360" s="1151">
        <v>0</v>
      </c>
      <c r="BJ360" s="1151">
        <f t="shared" si="1002"/>
        <v>0</v>
      </c>
      <c r="BK360" s="1151">
        <v>0</v>
      </c>
      <c r="BL360" s="1150">
        <f t="shared" si="1062"/>
        <v>14.28</v>
      </c>
      <c r="BM360" s="1150">
        <f t="shared" si="1063"/>
        <v>1.79</v>
      </c>
      <c r="BN360" s="1150">
        <f t="shared" si="1048"/>
        <v>3.87</v>
      </c>
      <c r="BO360" s="1150">
        <v>0</v>
      </c>
      <c r="BP360" s="1150">
        <v>0</v>
      </c>
      <c r="BQ360" s="1396">
        <f t="shared" si="1004"/>
        <v>19.940000000000001</v>
      </c>
      <c r="BR360" s="1150">
        <f t="shared" si="1064"/>
        <v>32.130000000000003</v>
      </c>
      <c r="BS360" s="1150">
        <f t="shared" si="1065"/>
        <v>7.14</v>
      </c>
      <c r="BT360" s="1150">
        <f t="shared" si="1049"/>
        <v>7.74</v>
      </c>
      <c r="BU360" s="1150">
        <v>0</v>
      </c>
      <c r="BV360" s="1151">
        <f t="shared" si="1037"/>
        <v>47.01</v>
      </c>
      <c r="BW360" s="1155">
        <f t="shared" si="1038"/>
        <v>66.95</v>
      </c>
      <c r="BX360" s="1155">
        <f t="shared" si="1035"/>
        <v>725.25</v>
      </c>
      <c r="BY360" s="1151">
        <v>0</v>
      </c>
      <c r="BZ360" s="1151">
        <f t="shared" si="1009"/>
        <v>725.25</v>
      </c>
      <c r="CA360" s="1397">
        <f>'CONCEPTOS Y PARAMETROS'!$A$102</f>
        <v>2120</v>
      </c>
      <c r="CB360" s="1155">
        <f t="shared" si="1010"/>
        <v>135.07999999999998</v>
      </c>
      <c r="CC360" s="1156">
        <f t="shared" si="1011"/>
        <v>521.78</v>
      </c>
      <c r="CD360" s="514"/>
      <c r="CE360" s="514"/>
      <c r="CF360" s="520"/>
      <c r="CG360" s="497">
        <f t="shared" si="1012"/>
        <v>135.07999999999998</v>
      </c>
      <c r="CH360" s="1711">
        <f t="shared" si="1050"/>
        <v>290</v>
      </c>
      <c r="CI360" s="497">
        <f t="shared" si="1014"/>
        <v>432.52</v>
      </c>
      <c r="CJ360" s="497">
        <f t="shared" si="1015"/>
        <v>432.52</v>
      </c>
      <c r="CK360" s="497">
        <f t="shared" si="1016"/>
        <v>0</v>
      </c>
      <c r="CL360" s="497">
        <f t="shared" si="1051"/>
        <v>0</v>
      </c>
      <c r="CM360" s="497">
        <f t="shared" si="1052"/>
        <v>0</v>
      </c>
      <c r="CN360" s="498">
        <f t="shared" si="1053"/>
        <v>0</v>
      </c>
      <c r="CO360" s="499">
        <v>0</v>
      </c>
      <c r="CP360" s="498">
        <f t="shared" si="1054"/>
        <v>89.26</v>
      </c>
      <c r="CQ360" s="500">
        <f t="shared" si="1055"/>
        <v>0</v>
      </c>
      <c r="CR360" s="498">
        <f t="shared" si="1056"/>
        <v>0</v>
      </c>
      <c r="CS360" s="498">
        <f t="shared" si="1057"/>
        <v>89.26</v>
      </c>
      <c r="CT360" s="498">
        <f t="shared" si="1058"/>
        <v>66.95</v>
      </c>
      <c r="CU360" s="498">
        <f t="shared" si="1059"/>
        <v>2120</v>
      </c>
      <c r="CV360" s="1554"/>
      <c r="CW360" s="1343" t="s">
        <v>7327</v>
      </c>
      <c r="CX360" s="1343" t="s">
        <v>7328</v>
      </c>
      <c r="CY360" s="472"/>
      <c r="CZ360" s="1199" t="s">
        <v>6694</v>
      </c>
      <c r="DA360" s="514" t="s">
        <v>6196</v>
      </c>
      <c r="DB360" s="514" t="s">
        <v>6260</v>
      </c>
      <c r="DC360" s="514" t="s">
        <v>6408</v>
      </c>
      <c r="DD360" s="472"/>
      <c r="DE360" s="472"/>
      <c r="DF360" s="472"/>
      <c r="DG360" s="472"/>
      <c r="DH360" s="472"/>
      <c r="DJ360" s="473" t="str">
        <f>VLOOKUP(X360,Hoja1!$A$4:$B$10,2,0)</f>
        <v>BACHILLER</v>
      </c>
      <c r="DK360" s="473" t="str">
        <f>VLOOKUP(S360,Hoja1!$D$4:$F$77,3,0)</f>
        <v>GRADO (3) - MÁX</v>
      </c>
      <c r="DL360" s="1216" t="str">
        <f t="shared" si="1060"/>
        <v>SI</v>
      </c>
      <c r="DM360" s="1741" t="str">
        <f t="shared" si="1061"/>
        <v>M</v>
      </c>
      <c r="DN360" s="1741"/>
    </row>
    <row r="361" spans="1:118" s="473" customFormat="1" ht="21.95" customHeight="1">
      <c r="A361" s="510" t="s">
        <v>2834</v>
      </c>
      <c r="B361" s="1390">
        <f t="shared" ca="1" si="1028"/>
        <v>50</v>
      </c>
      <c r="C361" s="1028">
        <v>13996661</v>
      </c>
      <c r="D361" s="1343" t="s">
        <v>5009</v>
      </c>
      <c r="E361" s="1180" t="s">
        <v>4622</v>
      </c>
      <c r="F361" s="1161">
        <v>28800</v>
      </c>
      <c r="G361" s="1180" t="s">
        <v>4621</v>
      </c>
      <c r="H361" s="1161">
        <v>44743</v>
      </c>
      <c r="I361" s="1185">
        <f t="shared" si="1039"/>
        <v>2</v>
      </c>
      <c r="J361" s="1177">
        <v>0</v>
      </c>
      <c r="K361" s="1185">
        <f t="shared" si="1040"/>
        <v>2</v>
      </c>
      <c r="L361" s="1191" t="s">
        <v>5565</v>
      </c>
      <c r="M361" s="1177"/>
      <c r="N361" s="1177"/>
      <c r="O361" s="1040" t="s">
        <v>5095</v>
      </c>
      <c r="P361" s="1177" t="s">
        <v>5150</v>
      </c>
      <c r="Q361" s="1391">
        <v>7174</v>
      </c>
      <c r="R361" s="1514" t="s">
        <v>5095</v>
      </c>
      <c r="S361" s="1513">
        <v>4</v>
      </c>
      <c r="T361" s="1150">
        <f>IFERROR(VLOOKUP(S361,'TAB OBR'!A:B,2,0),0)</f>
        <v>161</v>
      </c>
      <c r="U361" s="1151">
        <v>0</v>
      </c>
      <c r="V361" s="1150">
        <f t="shared" si="1041"/>
        <v>161</v>
      </c>
      <c r="W361" s="1151">
        <f t="shared" si="984"/>
        <v>80.5</v>
      </c>
      <c r="X361" s="1180" t="s">
        <v>2884</v>
      </c>
      <c r="Y361" s="1180" t="s">
        <v>2884</v>
      </c>
      <c r="Z361" s="1180">
        <v>1</v>
      </c>
      <c r="AA361" s="1150">
        <f>ROUND(IF(H361&lt;&gt;"",VLOOKUP(SUM(I361+J361),'CONCEPTOS Y PARAMETROS'!F:G,2,0)*V361,0),2)</f>
        <v>3.22</v>
      </c>
      <c r="AB361" s="1150">
        <f>IF(S361&lt;&gt;"",IF(M361="",'CONCEPTOS Y PARAMETROS'!$C$4,0),0)</f>
        <v>130</v>
      </c>
      <c r="AC361" s="1150">
        <f>IF(S361&lt;&gt;"",IF(M361="",'CONCEPTOS Y PARAMETROS'!$C$7*Z361,0),0)</f>
        <v>12.5</v>
      </c>
      <c r="AD361" s="1150">
        <f>IFERROR(ROUND(VLOOKUP($X361,'CONCEPTOS Y PARAMETROS'!H:I,2,0)*($V361+AA361+AB361+AC361),2),0)</f>
        <v>0</v>
      </c>
      <c r="AE361" s="1150">
        <f t="shared" si="1042"/>
        <v>145.72</v>
      </c>
      <c r="AF361" s="1150">
        <f t="shared" si="986"/>
        <v>1.61</v>
      </c>
      <c r="AG361" s="1150">
        <f t="shared" si="987"/>
        <v>1.61</v>
      </c>
      <c r="AH361" s="1150">
        <f t="shared" si="988"/>
        <v>65</v>
      </c>
      <c r="AI361" s="1150">
        <f t="shared" si="989"/>
        <v>65</v>
      </c>
      <c r="AJ361" s="1150">
        <f t="shared" si="990"/>
        <v>0</v>
      </c>
      <c r="AK361" s="1150">
        <f t="shared" si="991"/>
        <v>0</v>
      </c>
      <c r="AL361" s="1151">
        <f t="shared" si="992"/>
        <v>79.11</v>
      </c>
      <c r="AM361" s="1151">
        <f t="shared" si="993"/>
        <v>66.61</v>
      </c>
      <c r="AN361" s="1583">
        <v>1</v>
      </c>
      <c r="AO361" s="1193">
        <f>'CONCEPTOS Y PARAMETROS'!$C$18*AN361</f>
        <v>12.5</v>
      </c>
      <c r="AP361" s="1028">
        <v>0</v>
      </c>
      <c r="AQ361" s="1193">
        <f>'CONCEPTOS Y PARAMETROS'!$C$21*AP361</f>
        <v>0</v>
      </c>
      <c r="AR361" s="1394">
        <v>0</v>
      </c>
      <c r="AS361" s="1394">
        <v>0</v>
      </c>
      <c r="AT361" s="1394">
        <f t="shared" si="1036"/>
        <v>12.5</v>
      </c>
      <c r="AU361" s="1151">
        <f t="shared" si="1043"/>
        <v>398.74</v>
      </c>
      <c r="AV361" s="1178" t="s">
        <v>5080</v>
      </c>
      <c r="AW361" s="1151">
        <f t="shared" si="1044"/>
        <v>92.02</v>
      </c>
      <c r="AX361" s="1150">
        <f>IF(T361&lt;&gt;"0",(ROUND(IF(A361="EMPLEADO",eval_formula('CONCEPTOS Y PARAMETROS'!$C$8,NOMINA!V361,NOMINA!$AU361,NOMINA!I361+NOMINA!J361),eval_formula('CONCEPTOS Y PARAMETROS'!$D$8,NOMINA!V361,NOMINA!$AU361,NOMINA!I361+NOMINA!J361)),2))*IF(H361&lt;&gt;"",IF(MONTH(H361)=$BR$8,IF(YEAR(H361)&lt;$BT$7,1,0),0)))</f>
        <v>0</v>
      </c>
      <c r="AY361" s="1151">
        <v>180</v>
      </c>
      <c r="AZ361" s="1150">
        <f>IFERROR(VLOOKUP(AY361,'CONCEPTOS Y PARAMETROS'!Y:Z,2,0),0)</f>
        <v>150</v>
      </c>
      <c r="BA361" s="1150">
        <f t="shared" si="997"/>
        <v>2990.55</v>
      </c>
      <c r="BB361" s="1150">
        <f t="shared" si="998"/>
        <v>0</v>
      </c>
      <c r="BC361" s="1028">
        <v>0</v>
      </c>
      <c r="BD361" s="1150" t="str">
        <f t="shared" si="1045"/>
        <v>0</v>
      </c>
      <c r="BE361" s="1028">
        <v>2</v>
      </c>
      <c r="BF361" s="1150">
        <f t="shared" si="1046"/>
        <v>39.869999999999997</v>
      </c>
      <c r="BG361" s="1151">
        <v>290</v>
      </c>
      <c r="BH361" s="1151">
        <f t="shared" si="1047"/>
        <v>0</v>
      </c>
      <c r="BI361" s="1151">
        <v>0</v>
      </c>
      <c r="BJ361" s="1151">
        <f t="shared" si="1002"/>
        <v>0</v>
      </c>
      <c r="BK361" s="1151">
        <v>0</v>
      </c>
      <c r="BL361" s="1150">
        <f t="shared" si="1062"/>
        <v>14.72</v>
      </c>
      <c r="BM361" s="1150">
        <f t="shared" si="1063"/>
        <v>1.84</v>
      </c>
      <c r="BN361" s="1150">
        <f t="shared" si="1048"/>
        <v>3.99</v>
      </c>
      <c r="BO361" s="1150">
        <v>0</v>
      </c>
      <c r="BP361" s="1150">
        <v>0</v>
      </c>
      <c r="BQ361" s="1396">
        <f t="shared" si="1004"/>
        <v>20.55</v>
      </c>
      <c r="BR361" s="1150">
        <f t="shared" si="1064"/>
        <v>33.130000000000003</v>
      </c>
      <c r="BS361" s="1150">
        <f t="shared" si="1065"/>
        <v>7.36</v>
      </c>
      <c r="BT361" s="1150">
        <f t="shared" si="1049"/>
        <v>7.98</v>
      </c>
      <c r="BU361" s="1150">
        <v>0</v>
      </c>
      <c r="BV361" s="1151">
        <f t="shared" si="1037"/>
        <v>48.47</v>
      </c>
      <c r="BW361" s="1155">
        <f t="shared" si="1038"/>
        <v>69.02</v>
      </c>
      <c r="BX361" s="1155">
        <f t="shared" si="1035"/>
        <v>747.64</v>
      </c>
      <c r="BY361" s="1151">
        <v>0</v>
      </c>
      <c r="BZ361" s="1151">
        <f t="shared" si="1009"/>
        <v>747.64</v>
      </c>
      <c r="CA361" s="1397">
        <f>'CONCEPTOS Y PARAMETROS'!$A$102</f>
        <v>2120</v>
      </c>
      <c r="CB361" s="1155">
        <f t="shared" si="1010"/>
        <v>139.06</v>
      </c>
      <c r="CC361" s="1156">
        <f t="shared" si="1011"/>
        <v>581.5</v>
      </c>
      <c r="CD361" s="514"/>
      <c r="CE361" s="514"/>
      <c r="CF361" s="520"/>
      <c r="CG361" s="497">
        <f t="shared" si="1012"/>
        <v>139.06</v>
      </c>
      <c r="CH361" s="1711">
        <f t="shared" si="1050"/>
        <v>290</v>
      </c>
      <c r="CI361" s="497">
        <f t="shared" si="1014"/>
        <v>437.11</v>
      </c>
      <c r="CJ361" s="497">
        <f t="shared" si="1015"/>
        <v>437.11</v>
      </c>
      <c r="CK361" s="497">
        <f t="shared" si="1016"/>
        <v>0</v>
      </c>
      <c r="CL361" s="497">
        <f t="shared" si="1051"/>
        <v>0</v>
      </c>
      <c r="CM361" s="497">
        <f t="shared" si="1052"/>
        <v>0</v>
      </c>
      <c r="CN361" s="498">
        <f t="shared" si="1053"/>
        <v>39.869999999999997</v>
      </c>
      <c r="CO361" s="499">
        <v>0</v>
      </c>
      <c r="CP361" s="498">
        <f t="shared" si="1054"/>
        <v>92.02</v>
      </c>
      <c r="CQ361" s="500">
        <f t="shared" si="1055"/>
        <v>12.5</v>
      </c>
      <c r="CR361" s="498">
        <f t="shared" si="1056"/>
        <v>0</v>
      </c>
      <c r="CS361" s="498">
        <f t="shared" si="1057"/>
        <v>144.38999999999999</v>
      </c>
      <c r="CT361" s="498">
        <f t="shared" si="1058"/>
        <v>69.02</v>
      </c>
      <c r="CU361" s="498">
        <f t="shared" si="1059"/>
        <v>2120</v>
      </c>
      <c r="CV361" s="1554"/>
      <c r="CW361" s="1343" t="s">
        <v>6931</v>
      </c>
      <c r="CX361" s="1343" t="s">
        <v>7329</v>
      </c>
      <c r="CY361" s="472"/>
      <c r="CZ361" s="514" t="s">
        <v>6528</v>
      </c>
      <c r="DA361" s="514" t="s">
        <v>6173</v>
      </c>
      <c r="DB361" s="514" t="s">
        <v>6213</v>
      </c>
      <c r="DC361" s="514" t="s">
        <v>6625</v>
      </c>
      <c r="DD361" s="472"/>
      <c r="DE361" s="472"/>
      <c r="DF361" s="472"/>
      <c r="DG361" s="472"/>
      <c r="DH361" s="472"/>
      <c r="DJ361" s="473" t="str">
        <f>VLOOKUP(X361,Hoja1!$A$4:$B$10,2,0)</f>
        <v>BACHILLER</v>
      </c>
      <c r="DK361" s="473" t="str">
        <f>VLOOKUP(S361,Hoja1!$D$4:$F$77,3,0)</f>
        <v>GRADO (4) - MÁX</v>
      </c>
      <c r="DL361" s="1216" t="str">
        <f t="shared" si="1060"/>
        <v>SI</v>
      </c>
      <c r="DM361" s="1741" t="str">
        <f t="shared" si="1061"/>
        <v>M</v>
      </c>
      <c r="DN361" s="1741"/>
    </row>
    <row r="362" spans="1:118" s="473" customFormat="1" ht="21.95" customHeight="1">
      <c r="A362" s="510" t="s">
        <v>2834</v>
      </c>
      <c r="B362" s="1390">
        <f t="shared" ca="1" si="1028"/>
        <v>51</v>
      </c>
      <c r="C362" s="1028">
        <v>13996885</v>
      </c>
      <c r="D362" s="1343" t="s">
        <v>5010</v>
      </c>
      <c r="E362" s="1180" t="s">
        <v>4622</v>
      </c>
      <c r="F362" s="1161">
        <v>26869</v>
      </c>
      <c r="G362" s="1180" t="s">
        <v>4621</v>
      </c>
      <c r="H362" s="1161">
        <v>44363</v>
      </c>
      <c r="I362" s="1185">
        <f t="shared" si="1039"/>
        <v>3</v>
      </c>
      <c r="J362" s="1177">
        <v>0</v>
      </c>
      <c r="K362" s="1185">
        <f t="shared" si="1040"/>
        <v>3</v>
      </c>
      <c r="L362" s="1191" t="s">
        <v>5565</v>
      </c>
      <c r="M362" s="1177"/>
      <c r="N362" s="1177"/>
      <c r="O362" s="1040" t="s">
        <v>5095</v>
      </c>
      <c r="P362" s="1177" t="s">
        <v>5151</v>
      </c>
      <c r="Q362" s="1391">
        <v>7174</v>
      </c>
      <c r="R362" s="1514" t="s">
        <v>5095</v>
      </c>
      <c r="S362" s="1513">
        <v>4</v>
      </c>
      <c r="T362" s="1150">
        <f>IFERROR(VLOOKUP(S362,'TAB OBR'!A:B,2,0),0)</f>
        <v>161</v>
      </c>
      <c r="U362" s="1151">
        <v>0</v>
      </c>
      <c r="V362" s="1150">
        <f t="shared" si="1041"/>
        <v>161</v>
      </c>
      <c r="W362" s="1151">
        <f t="shared" si="984"/>
        <v>80.5</v>
      </c>
      <c r="X362" s="1180" t="s">
        <v>2884</v>
      </c>
      <c r="Y362" s="1180" t="s">
        <v>2884</v>
      </c>
      <c r="Z362" s="1180">
        <v>0</v>
      </c>
      <c r="AA362" s="1150">
        <f>ROUND(IF(H362&lt;&gt;"",VLOOKUP(SUM(I362+J362),'CONCEPTOS Y PARAMETROS'!F:G,2,0)*V362,0),2)</f>
        <v>4.83</v>
      </c>
      <c r="AB362" s="1150">
        <f>IF(S362&lt;&gt;"",IF(M362="",'CONCEPTOS Y PARAMETROS'!$C$4,0),0)</f>
        <v>130</v>
      </c>
      <c r="AC362" s="1150">
        <f>IF(S362&lt;&gt;"",IF(M362="",'CONCEPTOS Y PARAMETROS'!$C$7*Z362,0),0)</f>
        <v>0</v>
      </c>
      <c r="AD362" s="1150">
        <f>IFERROR(ROUND(VLOOKUP($X362,'CONCEPTOS Y PARAMETROS'!H:I,2,0)*($V362+AA362+AB362+AC362),2),0)</f>
        <v>0</v>
      </c>
      <c r="AE362" s="1150">
        <f t="shared" si="1042"/>
        <v>134.83000000000001</v>
      </c>
      <c r="AF362" s="1150">
        <f t="shared" si="986"/>
        <v>2.42</v>
      </c>
      <c r="AG362" s="1150">
        <f t="shared" si="987"/>
        <v>2.41</v>
      </c>
      <c r="AH362" s="1150">
        <f t="shared" si="988"/>
        <v>65</v>
      </c>
      <c r="AI362" s="1150">
        <f t="shared" si="989"/>
        <v>65</v>
      </c>
      <c r="AJ362" s="1150">
        <f t="shared" si="990"/>
        <v>0</v>
      </c>
      <c r="AK362" s="1150">
        <f t="shared" si="991"/>
        <v>0</v>
      </c>
      <c r="AL362" s="1151">
        <f t="shared" si="992"/>
        <v>67.42</v>
      </c>
      <c r="AM362" s="1151">
        <f t="shared" si="993"/>
        <v>67.41</v>
      </c>
      <c r="AN362" s="1028">
        <v>0</v>
      </c>
      <c r="AO362" s="1193">
        <f>'CONCEPTOS Y PARAMETROS'!$C$18*AN362</f>
        <v>0</v>
      </c>
      <c r="AP362" s="1028">
        <v>0</v>
      </c>
      <c r="AQ362" s="1193">
        <f>'CONCEPTOS Y PARAMETROS'!$C$21*AP362</f>
        <v>0</v>
      </c>
      <c r="AR362" s="1394">
        <v>0</v>
      </c>
      <c r="AS362" s="1394">
        <v>0</v>
      </c>
      <c r="AT362" s="1394">
        <f t="shared" si="1036"/>
        <v>0</v>
      </c>
      <c r="AU362" s="1151">
        <f t="shared" si="1043"/>
        <v>384.58000000000004</v>
      </c>
      <c r="AV362" s="1178" t="s">
        <v>5080</v>
      </c>
      <c r="AW362" s="1151">
        <f t="shared" si="1044"/>
        <v>88.75</v>
      </c>
      <c r="AX362" s="1150">
        <f>IF(T362&lt;&gt;"0",(ROUND(IF(A362="EMPLEADO",eval_formula('CONCEPTOS Y PARAMETROS'!$C$8,NOMINA!V362,NOMINA!$AU362,NOMINA!I362+NOMINA!J362),eval_formula('CONCEPTOS Y PARAMETROS'!$D$8,NOMINA!V362,NOMINA!$AU362,NOMINA!I362+NOMINA!J362)),2))*IF(H362&lt;&gt;"",IF(MONTH(H362)=$BR$8,IF(YEAR(H362)&lt;$BT$7,1,0),0)))</f>
        <v>0</v>
      </c>
      <c r="AY362" s="1151">
        <v>180</v>
      </c>
      <c r="AZ362" s="1150">
        <f>IFERROR(VLOOKUP(AY362,'CONCEPTOS Y PARAMETROS'!Y:Z,2,0),0)</f>
        <v>150</v>
      </c>
      <c r="BA362" s="1150">
        <f t="shared" si="997"/>
        <v>2884.35</v>
      </c>
      <c r="BB362" s="1150">
        <f t="shared" si="998"/>
        <v>0</v>
      </c>
      <c r="BC362" s="1028">
        <v>0</v>
      </c>
      <c r="BD362" s="1150" t="str">
        <f t="shared" si="1045"/>
        <v>0</v>
      </c>
      <c r="BE362" s="1028">
        <v>2</v>
      </c>
      <c r="BF362" s="1150">
        <f t="shared" si="1046"/>
        <v>38.46</v>
      </c>
      <c r="BG362" s="1151">
        <v>290</v>
      </c>
      <c r="BH362" s="1151">
        <f t="shared" si="1047"/>
        <v>0</v>
      </c>
      <c r="BI362" s="1151">
        <v>0</v>
      </c>
      <c r="BJ362" s="1151">
        <f t="shared" si="1002"/>
        <v>0</v>
      </c>
      <c r="BK362" s="1151">
        <v>0</v>
      </c>
      <c r="BL362" s="1150">
        <f t="shared" si="1062"/>
        <v>14.2</v>
      </c>
      <c r="BM362" s="1150">
        <f t="shared" si="1063"/>
        <v>1.77</v>
      </c>
      <c r="BN362" s="1150">
        <f t="shared" si="1048"/>
        <v>3.85</v>
      </c>
      <c r="BO362" s="1150">
        <v>0</v>
      </c>
      <c r="BP362" s="1150">
        <v>0</v>
      </c>
      <c r="BQ362" s="1396">
        <f t="shared" si="1004"/>
        <v>19.82</v>
      </c>
      <c r="BR362" s="1150">
        <f t="shared" si="1064"/>
        <v>31.95</v>
      </c>
      <c r="BS362" s="1150">
        <f t="shared" si="1065"/>
        <v>7.1</v>
      </c>
      <c r="BT362" s="1150">
        <f t="shared" si="1049"/>
        <v>7.7</v>
      </c>
      <c r="BU362" s="1150">
        <v>0</v>
      </c>
      <c r="BV362" s="1151">
        <f t="shared" si="1037"/>
        <v>46.75</v>
      </c>
      <c r="BW362" s="1155">
        <f t="shared" si="1038"/>
        <v>66.569999999999993</v>
      </c>
      <c r="BX362" s="1155">
        <f t="shared" si="1035"/>
        <v>721.09</v>
      </c>
      <c r="BY362" s="1151">
        <v>0</v>
      </c>
      <c r="BZ362" s="1151">
        <f t="shared" si="1009"/>
        <v>721.09</v>
      </c>
      <c r="CA362" s="1397">
        <f>'CONCEPTOS Y PARAMETROS'!$A$102</f>
        <v>2120</v>
      </c>
      <c r="CB362" s="1155">
        <f t="shared" si="1010"/>
        <v>128.10000000000002</v>
      </c>
      <c r="CC362" s="1156">
        <f t="shared" si="1011"/>
        <v>565.12</v>
      </c>
      <c r="CD362" s="514"/>
      <c r="CE362" s="514"/>
      <c r="CF362" s="520"/>
      <c r="CG362" s="497">
        <f t="shared" si="1012"/>
        <v>128.10000000000002</v>
      </c>
      <c r="CH362" s="1711">
        <f t="shared" si="1050"/>
        <v>290</v>
      </c>
      <c r="CI362" s="497">
        <f t="shared" si="1014"/>
        <v>437.90999999999997</v>
      </c>
      <c r="CJ362" s="497">
        <f t="shared" si="1015"/>
        <v>437.91</v>
      </c>
      <c r="CK362" s="497">
        <f t="shared" si="1016"/>
        <v>0</v>
      </c>
      <c r="CL362" s="497">
        <f t="shared" si="1051"/>
        <v>0</v>
      </c>
      <c r="CM362" s="497">
        <f t="shared" si="1052"/>
        <v>0</v>
      </c>
      <c r="CN362" s="498">
        <f t="shared" si="1053"/>
        <v>38.46</v>
      </c>
      <c r="CO362" s="499">
        <v>0</v>
      </c>
      <c r="CP362" s="498">
        <f t="shared" si="1054"/>
        <v>88.75</v>
      </c>
      <c r="CQ362" s="500">
        <f t="shared" si="1055"/>
        <v>0</v>
      </c>
      <c r="CR362" s="498">
        <f t="shared" si="1056"/>
        <v>0</v>
      </c>
      <c r="CS362" s="498">
        <f t="shared" si="1057"/>
        <v>127.21000000000001</v>
      </c>
      <c r="CT362" s="498">
        <f t="shared" si="1058"/>
        <v>66.569999999999993</v>
      </c>
      <c r="CU362" s="498">
        <f t="shared" si="1059"/>
        <v>2120</v>
      </c>
      <c r="CV362" s="1554"/>
      <c r="CW362" s="1343" t="s">
        <v>7060</v>
      </c>
      <c r="CX362" s="1343" t="s">
        <v>7330</v>
      </c>
      <c r="CY362" s="472"/>
      <c r="CZ362" s="514" t="s">
        <v>6529</v>
      </c>
      <c r="DA362" s="514" t="s">
        <v>6173</v>
      </c>
      <c r="DB362" s="514" t="s">
        <v>6185</v>
      </c>
      <c r="DC362" s="514" t="s">
        <v>6659</v>
      </c>
      <c r="DD362" s="472"/>
      <c r="DE362" s="472"/>
      <c r="DF362" s="472"/>
      <c r="DG362" s="472"/>
      <c r="DH362" s="472"/>
      <c r="DJ362" s="473" t="str">
        <f>VLOOKUP(X362,Hoja1!$A$4:$B$10,2,0)</f>
        <v>BACHILLER</v>
      </c>
      <c r="DK362" s="473" t="str">
        <f>VLOOKUP(S362,Hoja1!$D$4:$F$77,3,0)</f>
        <v>GRADO (4) - MÁX</v>
      </c>
      <c r="DL362" s="1216" t="str">
        <f t="shared" si="1060"/>
        <v>SI</v>
      </c>
      <c r="DM362" s="1741" t="str">
        <f t="shared" si="1061"/>
        <v>M</v>
      </c>
      <c r="DN362" s="1741"/>
    </row>
    <row r="363" spans="1:118" s="473" customFormat="1" ht="21.95" customHeight="1">
      <c r="A363" s="510" t="s">
        <v>2834</v>
      </c>
      <c r="B363" s="1390">
        <f t="shared" ca="1" si="1028"/>
        <v>52</v>
      </c>
      <c r="C363" s="1028">
        <v>14149971</v>
      </c>
      <c r="D363" s="1343" t="s">
        <v>5011</v>
      </c>
      <c r="E363" s="1180" t="s">
        <v>4622</v>
      </c>
      <c r="F363" s="1161">
        <v>27378</v>
      </c>
      <c r="G363" s="1180" t="s">
        <v>4620</v>
      </c>
      <c r="H363" s="1161">
        <v>41091</v>
      </c>
      <c r="I363" s="1185">
        <f t="shared" si="1039"/>
        <v>12</v>
      </c>
      <c r="J363" s="1177">
        <v>0</v>
      </c>
      <c r="K363" s="1185">
        <f t="shared" si="1040"/>
        <v>12</v>
      </c>
      <c r="L363" s="1191" t="s">
        <v>5554</v>
      </c>
      <c r="M363" s="1177"/>
      <c r="N363" s="1177"/>
      <c r="O363" s="1040" t="s">
        <v>5088</v>
      </c>
      <c r="P363" s="1177" t="s">
        <v>5152</v>
      </c>
      <c r="Q363" s="1391">
        <v>7102</v>
      </c>
      <c r="R363" s="1514" t="s">
        <v>5088</v>
      </c>
      <c r="S363" s="1513">
        <v>1</v>
      </c>
      <c r="T363" s="1150">
        <f>IFERROR(VLOOKUP(S363,'TAB OBR'!A:B,2,0),0)</f>
        <v>130</v>
      </c>
      <c r="U363" s="1151">
        <v>0</v>
      </c>
      <c r="V363" s="1150">
        <f t="shared" si="1041"/>
        <v>130</v>
      </c>
      <c r="W363" s="1151">
        <f t="shared" si="984"/>
        <v>65</v>
      </c>
      <c r="X363" s="1180" t="s">
        <v>2884</v>
      </c>
      <c r="Y363" s="1180" t="s">
        <v>2884</v>
      </c>
      <c r="Z363" s="1180">
        <v>1</v>
      </c>
      <c r="AA363" s="1150">
        <f>ROUND(IF(H363&lt;&gt;"",VLOOKUP(SUM(I363+J363),'CONCEPTOS Y PARAMETROS'!F:G,2,0)*V363,0),2)</f>
        <v>17.940000000000001</v>
      </c>
      <c r="AB363" s="1150">
        <f>IF(S363&lt;&gt;"",IF(M363="",'CONCEPTOS Y PARAMETROS'!$C$4,0),0)</f>
        <v>130</v>
      </c>
      <c r="AC363" s="1150">
        <f>IF(S363&lt;&gt;"",IF(M363="",'CONCEPTOS Y PARAMETROS'!$C$7*Z363,0),0)</f>
        <v>12.5</v>
      </c>
      <c r="AD363" s="1150">
        <f>IFERROR(ROUND(VLOOKUP($X363,'CONCEPTOS Y PARAMETROS'!H:I,2,0)*($V363+AA363+AB363+AC363),2),0)</f>
        <v>0</v>
      </c>
      <c r="AE363" s="1150">
        <f t="shared" si="1042"/>
        <v>160.44</v>
      </c>
      <c r="AF363" s="1150">
        <f t="shared" si="986"/>
        <v>8.9700000000000006</v>
      </c>
      <c r="AG363" s="1150">
        <f t="shared" si="987"/>
        <v>8.9700000000000006</v>
      </c>
      <c r="AH363" s="1150">
        <f t="shared" si="988"/>
        <v>65</v>
      </c>
      <c r="AI363" s="1150">
        <f t="shared" si="989"/>
        <v>65</v>
      </c>
      <c r="AJ363" s="1150">
        <f t="shared" si="990"/>
        <v>0</v>
      </c>
      <c r="AK363" s="1150">
        <f t="shared" si="991"/>
        <v>0</v>
      </c>
      <c r="AL363" s="1151">
        <f t="shared" si="992"/>
        <v>86.47</v>
      </c>
      <c r="AM363" s="1151">
        <f t="shared" si="993"/>
        <v>73.97</v>
      </c>
      <c r="AN363" s="1028">
        <v>0</v>
      </c>
      <c r="AO363" s="1193">
        <f>'CONCEPTOS Y PARAMETROS'!$C$18*AN363</f>
        <v>0</v>
      </c>
      <c r="AP363" s="1028">
        <v>0</v>
      </c>
      <c r="AQ363" s="1193">
        <f>'CONCEPTOS Y PARAMETROS'!$C$21*AP363</f>
        <v>0</v>
      </c>
      <c r="AR363" s="1394">
        <v>0</v>
      </c>
      <c r="AS363" s="1394">
        <v>0</v>
      </c>
      <c r="AT363" s="1394">
        <f t="shared" si="1036"/>
        <v>0</v>
      </c>
      <c r="AU363" s="1151">
        <f t="shared" si="1043"/>
        <v>290.44</v>
      </c>
      <c r="AV363" s="1178">
        <v>0</v>
      </c>
      <c r="AW363" s="1151">
        <f t="shared" si="1044"/>
        <v>0</v>
      </c>
      <c r="AX363" s="1150">
        <f>IF(T363&lt;&gt;"0",(ROUND(IF(A363="EMPLEADO",eval_formula('CONCEPTOS Y PARAMETROS'!$C$8,NOMINA!V363,NOMINA!$AU363,NOMINA!I363+NOMINA!J363),eval_formula('CONCEPTOS Y PARAMETROS'!$D$8,NOMINA!V363,NOMINA!$AU363,NOMINA!I363+NOMINA!J363)),2))*IF(H363&lt;&gt;"",IF(MONTH(H363)=$BR$8,IF(YEAR(H363)&lt;$BT$7,1,0),0)))</f>
        <v>0</v>
      </c>
      <c r="AY363" s="1151">
        <v>180</v>
      </c>
      <c r="AZ363" s="1150">
        <f>IFERROR(VLOOKUP(AY363,'CONCEPTOS Y PARAMETROS'!Y:Z,2,0),0)</f>
        <v>150</v>
      </c>
      <c r="BA363" s="1150">
        <f t="shared" si="997"/>
        <v>2178.3000000000002</v>
      </c>
      <c r="BB363" s="1150">
        <f t="shared" si="998"/>
        <v>0</v>
      </c>
      <c r="BC363" s="1028">
        <v>0</v>
      </c>
      <c r="BD363" s="1150" t="str">
        <f t="shared" si="1045"/>
        <v>0</v>
      </c>
      <c r="BE363" s="1028">
        <v>0</v>
      </c>
      <c r="BF363" s="1150">
        <f t="shared" si="1046"/>
        <v>0</v>
      </c>
      <c r="BG363" s="1151">
        <v>290</v>
      </c>
      <c r="BH363" s="1151">
        <f t="shared" si="1047"/>
        <v>0</v>
      </c>
      <c r="BI363" s="1151">
        <v>0</v>
      </c>
      <c r="BJ363" s="1151">
        <f t="shared" si="1002"/>
        <v>0</v>
      </c>
      <c r="BK363" s="1151">
        <v>0</v>
      </c>
      <c r="BL363" s="1150">
        <f t="shared" si="1062"/>
        <v>10.72</v>
      </c>
      <c r="BM363" s="1150">
        <f t="shared" si="1063"/>
        <v>1.34</v>
      </c>
      <c r="BN363" s="1150">
        <f t="shared" si="1048"/>
        <v>2.9</v>
      </c>
      <c r="BO363" s="1150">
        <v>0</v>
      </c>
      <c r="BP363" s="1150">
        <v>0</v>
      </c>
      <c r="BQ363" s="1396">
        <f t="shared" si="1004"/>
        <v>14.96</v>
      </c>
      <c r="BR363" s="1150">
        <f t="shared" si="1064"/>
        <v>24.13</v>
      </c>
      <c r="BS363" s="1150">
        <f t="shared" si="1065"/>
        <v>5.36</v>
      </c>
      <c r="BT363" s="1150">
        <f t="shared" si="1049"/>
        <v>5.8</v>
      </c>
      <c r="BU363" s="1150">
        <v>0</v>
      </c>
      <c r="BV363" s="1151">
        <f t="shared" si="1037"/>
        <v>35.29</v>
      </c>
      <c r="BW363" s="1155">
        <f t="shared" si="1038"/>
        <v>50.25</v>
      </c>
      <c r="BX363" s="1155">
        <f t="shared" si="1035"/>
        <v>544.58000000000004</v>
      </c>
      <c r="BY363" s="1151">
        <v>0</v>
      </c>
      <c r="BZ363" s="1151">
        <f t="shared" si="1009"/>
        <v>544.58000000000004</v>
      </c>
      <c r="CA363" s="1397">
        <f>'CONCEPTOS Y PARAMETROS'!$A$102</f>
        <v>2120</v>
      </c>
      <c r="CB363" s="1155">
        <f t="shared" si="1010"/>
        <v>136.51</v>
      </c>
      <c r="CC363" s="1156">
        <f t="shared" si="1011"/>
        <v>428.97</v>
      </c>
      <c r="CD363" s="514"/>
      <c r="CE363" s="514"/>
      <c r="CF363" s="520"/>
      <c r="CG363" s="497">
        <f t="shared" si="1012"/>
        <v>136.51</v>
      </c>
      <c r="CH363" s="1711">
        <f t="shared" si="1050"/>
        <v>290</v>
      </c>
      <c r="CI363" s="497">
        <f t="shared" si="1014"/>
        <v>428.97</v>
      </c>
      <c r="CJ363" s="497">
        <f t="shared" si="1015"/>
        <v>428.97</v>
      </c>
      <c r="CK363" s="497">
        <f t="shared" si="1016"/>
        <v>0</v>
      </c>
      <c r="CL363" s="497">
        <f t="shared" si="1051"/>
        <v>0</v>
      </c>
      <c r="CM363" s="497">
        <f t="shared" si="1052"/>
        <v>0</v>
      </c>
      <c r="CN363" s="498">
        <f t="shared" si="1053"/>
        <v>0</v>
      </c>
      <c r="CO363" s="499">
        <v>0</v>
      </c>
      <c r="CP363" s="498">
        <f t="shared" si="1054"/>
        <v>0</v>
      </c>
      <c r="CQ363" s="500">
        <f t="shared" si="1055"/>
        <v>0</v>
      </c>
      <c r="CR363" s="498">
        <f t="shared" si="1056"/>
        <v>0</v>
      </c>
      <c r="CS363" s="498">
        <f t="shared" si="1057"/>
        <v>0</v>
      </c>
      <c r="CT363" s="498">
        <f t="shared" si="1058"/>
        <v>50.25</v>
      </c>
      <c r="CU363" s="498">
        <f t="shared" si="1059"/>
        <v>2120</v>
      </c>
      <c r="CV363" s="1554"/>
      <c r="CW363" s="1343" t="s">
        <v>7049</v>
      </c>
      <c r="CX363" s="1343" t="s">
        <v>7331</v>
      </c>
      <c r="CY363" s="472"/>
      <c r="CZ363" s="514" t="s">
        <v>6412</v>
      </c>
      <c r="DA363" s="514" t="s">
        <v>6196</v>
      </c>
      <c r="DB363" s="514" t="s">
        <v>6176</v>
      </c>
      <c r="DC363" s="514" t="s">
        <v>6636</v>
      </c>
      <c r="DD363" s="472"/>
      <c r="DE363" s="472"/>
      <c r="DF363" s="472"/>
      <c r="DG363" s="472"/>
      <c r="DH363" s="472"/>
      <c r="DJ363" s="473" t="str">
        <f>VLOOKUP(X363,Hoja1!$A$4:$B$10,2,0)</f>
        <v>BACHILLER</v>
      </c>
      <c r="DK363" s="473" t="str">
        <f>VLOOKUP(S363,Hoja1!$D$4:$F$77,3,0)</f>
        <v>GRADO (1) - MIN</v>
      </c>
      <c r="DL363" s="1216" t="str">
        <f t="shared" si="1060"/>
        <v>0</v>
      </c>
      <c r="DM363" s="1741" t="str">
        <f t="shared" si="1061"/>
        <v>F</v>
      </c>
      <c r="DN363" s="1741"/>
    </row>
    <row r="364" spans="1:118" s="473" customFormat="1" ht="21.95" customHeight="1">
      <c r="A364" s="510" t="s">
        <v>2834</v>
      </c>
      <c r="B364" s="1390">
        <f t="shared" ca="1" si="1028"/>
        <v>53</v>
      </c>
      <c r="C364" s="1028">
        <v>14150495</v>
      </c>
      <c r="D364" s="1343" t="s">
        <v>5012</v>
      </c>
      <c r="E364" s="1180" t="s">
        <v>4622</v>
      </c>
      <c r="F364" s="1161">
        <v>28679</v>
      </c>
      <c r="G364" s="1180" t="s">
        <v>4620</v>
      </c>
      <c r="H364" s="1161">
        <v>44228</v>
      </c>
      <c r="I364" s="1185">
        <f t="shared" si="1039"/>
        <v>3</v>
      </c>
      <c r="J364" s="1177">
        <v>0</v>
      </c>
      <c r="K364" s="1185">
        <f t="shared" si="1040"/>
        <v>3</v>
      </c>
      <c r="L364" s="1191" t="s">
        <v>5543</v>
      </c>
      <c r="M364" s="1177"/>
      <c r="N364" s="1177"/>
      <c r="O364" s="1040" t="s">
        <v>5089</v>
      </c>
      <c r="P364" s="1177" t="s">
        <v>5153</v>
      </c>
      <c r="Q364" s="1391">
        <v>7201</v>
      </c>
      <c r="R364" s="1514" t="s">
        <v>5089</v>
      </c>
      <c r="S364" s="1513">
        <v>5</v>
      </c>
      <c r="T364" s="1150">
        <f>IFERROR(VLOOKUP(S364,'TAB OBR'!A:B,2,0),0)</f>
        <v>171</v>
      </c>
      <c r="U364" s="1151">
        <v>0</v>
      </c>
      <c r="V364" s="1150">
        <f t="shared" si="1041"/>
        <v>171</v>
      </c>
      <c r="W364" s="1151">
        <f t="shared" si="984"/>
        <v>85.5</v>
      </c>
      <c r="X364" s="1180" t="s">
        <v>2884</v>
      </c>
      <c r="Y364" s="1180" t="s">
        <v>2884</v>
      </c>
      <c r="Z364" s="1180">
        <v>0</v>
      </c>
      <c r="AA364" s="1150">
        <f>ROUND(IF(H364&lt;&gt;"",VLOOKUP(SUM(I364+J364),'CONCEPTOS Y PARAMETROS'!F:G,2,0)*V364,0),2)</f>
        <v>5.13</v>
      </c>
      <c r="AB364" s="1150">
        <f>IF(S364&lt;&gt;"",IF(M364="",'CONCEPTOS Y PARAMETROS'!$C$4,0),0)</f>
        <v>130</v>
      </c>
      <c r="AC364" s="1150">
        <f>IF(S364&lt;&gt;"",IF(M364="",'CONCEPTOS Y PARAMETROS'!$C$7*Z364,0),0)</f>
        <v>0</v>
      </c>
      <c r="AD364" s="1150">
        <f>IFERROR(ROUND(VLOOKUP($X364,'CONCEPTOS Y PARAMETROS'!H:I,2,0)*($V364+AA364+AB364+AC364),2),0)</f>
        <v>0</v>
      </c>
      <c r="AE364" s="1150">
        <f t="shared" si="1042"/>
        <v>135.13</v>
      </c>
      <c r="AF364" s="1150">
        <f t="shared" si="986"/>
        <v>2.57</v>
      </c>
      <c r="AG364" s="1150">
        <f t="shared" si="987"/>
        <v>2.56</v>
      </c>
      <c r="AH364" s="1150">
        <f t="shared" si="988"/>
        <v>65</v>
      </c>
      <c r="AI364" s="1150">
        <f t="shared" si="989"/>
        <v>65</v>
      </c>
      <c r="AJ364" s="1150">
        <f t="shared" si="990"/>
        <v>0</v>
      </c>
      <c r="AK364" s="1150">
        <f t="shared" si="991"/>
        <v>0</v>
      </c>
      <c r="AL364" s="1151">
        <f t="shared" si="992"/>
        <v>67.569999999999993</v>
      </c>
      <c r="AM364" s="1151">
        <f t="shared" si="993"/>
        <v>67.56</v>
      </c>
      <c r="AN364" s="1028">
        <v>0</v>
      </c>
      <c r="AO364" s="1193">
        <f>'CONCEPTOS Y PARAMETROS'!$C$18*AN364</f>
        <v>0</v>
      </c>
      <c r="AP364" s="1028">
        <v>0</v>
      </c>
      <c r="AQ364" s="1193">
        <f>'CONCEPTOS Y PARAMETROS'!$C$21*AP364</f>
        <v>0</v>
      </c>
      <c r="AR364" s="1394">
        <v>0</v>
      </c>
      <c r="AS364" s="1394">
        <v>0</v>
      </c>
      <c r="AT364" s="1394">
        <f t="shared" si="1036"/>
        <v>0</v>
      </c>
      <c r="AU364" s="1151">
        <f t="shared" si="1043"/>
        <v>306.13</v>
      </c>
      <c r="AV364" s="1178">
        <v>0</v>
      </c>
      <c r="AW364" s="1151">
        <f t="shared" si="1044"/>
        <v>0</v>
      </c>
      <c r="AX364" s="1150">
        <f>IF(T364&lt;&gt;"0",(ROUND(IF(A364="EMPLEADO",eval_formula('CONCEPTOS Y PARAMETROS'!$C$8,NOMINA!V364,NOMINA!$AU364,NOMINA!I364+NOMINA!J364),eval_formula('CONCEPTOS Y PARAMETROS'!$D$8,NOMINA!V364,NOMINA!$AU364,NOMINA!I364+NOMINA!J364)),2))*IF(H364&lt;&gt;"",IF(MONTH(H364)=$BR$8,IF(YEAR(H364)&lt;$BT$7,1,0),0)))</f>
        <v>0</v>
      </c>
      <c r="AY364" s="1151">
        <v>180</v>
      </c>
      <c r="AZ364" s="1150">
        <f>IFERROR(VLOOKUP(AY364,'CONCEPTOS Y PARAMETROS'!Y:Z,2,0),0)</f>
        <v>150</v>
      </c>
      <c r="BA364" s="1150">
        <f t="shared" si="997"/>
        <v>2295.98</v>
      </c>
      <c r="BB364" s="1150">
        <f t="shared" si="998"/>
        <v>0</v>
      </c>
      <c r="BC364" s="1028">
        <v>0</v>
      </c>
      <c r="BD364" s="1150" t="str">
        <f t="shared" si="1045"/>
        <v>0</v>
      </c>
      <c r="BE364" s="1028">
        <v>0</v>
      </c>
      <c r="BF364" s="1150">
        <f t="shared" si="1046"/>
        <v>0</v>
      </c>
      <c r="BG364" s="1151">
        <v>290</v>
      </c>
      <c r="BH364" s="1151">
        <f t="shared" si="1047"/>
        <v>0</v>
      </c>
      <c r="BI364" s="1151">
        <v>0</v>
      </c>
      <c r="BJ364" s="1151">
        <f t="shared" si="1002"/>
        <v>0</v>
      </c>
      <c r="BK364" s="1151">
        <v>0</v>
      </c>
      <c r="BL364" s="1150">
        <f t="shared" si="1062"/>
        <v>11.3</v>
      </c>
      <c r="BM364" s="1150">
        <f t="shared" si="1063"/>
        <v>1.41</v>
      </c>
      <c r="BN364" s="1150">
        <f t="shared" si="1048"/>
        <v>3.06</v>
      </c>
      <c r="BO364" s="1150">
        <v>0</v>
      </c>
      <c r="BP364" s="1150">
        <v>0</v>
      </c>
      <c r="BQ364" s="1396">
        <f t="shared" si="1004"/>
        <v>15.77</v>
      </c>
      <c r="BR364" s="1150">
        <f t="shared" si="1064"/>
        <v>25.43</v>
      </c>
      <c r="BS364" s="1150">
        <f t="shared" si="1065"/>
        <v>5.65</v>
      </c>
      <c r="BT364" s="1150">
        <f t="shared" si="1049"/>
        <v>6.12</v>
      </c>
      <c r="BU364" s="1150">
        <v>0</v>
      </c>
      <c r="BV364" s="1151">
        <f t="shared" si="1037"/>
        <v>37.200000000000003</v>
      </c>
      <c r="BW364" s="1155">
        <f t="shared" si="1038"/>
        <v>52.97</v>
      </c>
      <c r="BX364" s="1155">
        <f t="shared" ref="BX364:BX392" si="1067">ROUND(BA364/4,2)</f>
        <v>574</v>
      </c>
      <c r="BY364" s="1151">
        <v>0</v>
      </c>
      <c r="BZ364" s="1151">
        <f t="shared" si="1009"/>
        <v>574</v>
      </c>
      <c r="CA364" s="1397">
        <f>'CONCEPTOS Y PARAMETROS'!$A$102</f>
        <v>2120</v>
      </c>
      <c r="CB364" s="1155">
        <f t="shared" si="1010"/>
        <v>137.29999999999998</v>
      </c>
      <c r="CC364" s="1156">
        <f t="shared" si="1011"/>
        <v>443.06</v>
      </c>
      <c r="CD364" s="514"/>
      <c r="CE364" s="514"/>
      <c r="CF364" s="520"/>
      <c r="CG364" s="497">
        <f t="shared" si="1012"/>
        <v>137.29999999999998</v>
      </c>
      <c r="CH364" s="1711">
        <f t="shared" si="1050"/>
        <v>290</v>
      </c>
      <c r="CI364" s="497">
        <f t="shared" si="1014"/>
        <v>443.06</v>
      </c>
      <c r="CJ364" s="497">
        <f t="shared" si="1015"/>
        <v>443.06</v>
      </c>
      <c r="CK364" s="497">
        <f t="shared" si="1016"/>
        <v>0</v>
      </c>
      <c r="CL364" s="497">
        <f t="shared" si="1051"/>
        <v>0</v>
      </c>
      <c r="CM364" s="497">
        <f t="shared" si="1052"/>
        <v>0</v>
      </c>
      <c r="CN364" s="498">
        <f t="shared" si="1053"/>
        <v>0</v>
      </c>
      <c r="CO364" s="499">
        <v>0</v>
      </c>
      <c r="CP364" s="498">
        <f t="shared" si="1054"/>
        <v>0</v>
      </c>
      <c r="CQ364" s="500">
        <f t="shared" si="1055"/>
        <v>0</v>
      </c>
      <c r="CR364" s="498">
        <f t="shared" si="1056"/>
        <v>0</v>
      </c>
      <c r="CS364" s="498">
        <f t="shared" si="1057"/>
        <v>0</v>
      </c>
      <c r="CT364" s="498">
        <f t="shared" si="1058"/>
        <v>52.97</v>
      </c>
      <c r="CU364" s="498">
        <f t="shared" si="1059"/>
        <v>2120</v>
      </c>
      <c r="CV364" s="1554"/>
      <c r="CW364" s="1343" t="s">
        <v>7332</v>
      </c>
      <c r="CX364" s="1343" t="s">
        <v>7333</v>
      </c>
      <c r="CY364" s="472"/>
      <c r="CZ364" s="514" t="s">
        <v>6530</v>
      </c>
      <c r="DA364" s="1199" t="s">
        <v>6216</v>
      </c>
      <c r="DB364" s="1199" t="s">
        <v>6289</v>
      </c>
      <c r="DC364" s="514" t="s">
        <v>6430</v>
      </c>
      <c r="DD364" s="472"/>
      <c r="DE364" s="472"/>
      <c r="DF364" s="472"/>
      <c r="DG364" s="472"/>
      <c r="DH364" s="472"/>
      <c r="DJ364" s="473" t="str">
        <f>VLOOKUP(X364,Hoja1!$A$4:$B$10,2,0)</f>
        <v>BACHILLER</v>
      </c>
      <c r="DK364" s="473" t="str">
        <f>VLOOKUP(S364,Hoja1!$D$4:$F$77,3,0)</f>
        <v>GRADO (5) - MÁX</v>
      </c>
      <c r="DL364" s="1216" t="str">
        <f t="shared" si="1060"/>
        <v>0</v>
      </c>
      <c r="DM364" s="1741" t="str">
        <f t="shared" si="1061"/>
        <v>F</v>
      </c>
      <c r="DN364" s="1741"/>
    </row>
    <row r="365" spans="1:118" s="473" customFormat="1" ht="21.95" customHeight="1">
      <c r="A365" s="510" t="s">
        <v>2834</v>
      </c>
      <c r="B365" s="1390">
        <f t="shared" ca="1" si="1028"/>
        <v>54</v>
      </c>
      <c r="C365" s="1028">
        <v>14599616</v>
      </c>
      <c r="D365" s="1343" t="s">
        <v>5013</v>
      </c>
      <c r="E365" s="1180" t="s">
        <v>4622</v>
      </c>
      <c r="F365" s="1161">
        <v>29329</v>
      </c>
      <c r="G365" s="1180" t="s">
        <v>4621</v>
      </c>
      <c r="H365" s="1161">
        <v>43525</v>
      </c>
      <c r="I365" s="1185">
        <f t="shared" si="1039"/>
        <v>5</v>
      </c>
      <c r="J365" s="1177">
        <v>0</v>
      </c>
      <c r="K365" s="1185">
        <f t="shared" si="1040"/>
        <v>5</v>
      </c>
      <c r="L365" s="1191" t="s">
        <v>5565</v>
      </c>
      <c r="M365" s="1177"/>
      <c r="N365" s="1177"/>
      <c r="O365" s="1040" t="s">
        <v>5093</v>
      </c>
      <c r="P365" s="1177" t="s">
        <v>5154</v>
      </c>
      <c r="Q365" s="1391">
        <v>7102</v>
      </c>
      <c r="R365" s="1514" t="s">
        <v>5093</v>
      </c>
      <c r="S365" s="1513">
        <v>1</v>
      </c>
      <c r="T365" s="1150">
        <f>IFERROR(VLOOKUP(S365,'TAB OBR'!A:B,2,0),0)</f>
        <v>130</v>
      </c>
      <c r="U365" s="1151">
        <v>0</v>
      </c>
      <c r="V365" s="1150">
        <f t="shared" si="1041"/>
        <v>130</v>
      </c>
      <c r="W365" s="1151">
        <f t="shared" si="984"/>
        <v>65</v>
      </c>
      <c r="X365" s="1180" t="s">
        <v>2884</v>
      </c>
      <c r="Y365" s="1180" t="s">
        <v>2884</v>
      </c>
      <c r="Z365" s="1180">
        <v>0</v>
      </c>
      <c r="AA365" s="1150">
        <f>ROUND(IF(H365&lt;&gt;"",VLOOKUP(SUM(I365+J365),'CONCEPTOS Y PARAMETROS'!F:G,2,0)*V365,0),2)</f>
        <v>6.5</v>
      </c>
      <c r="AB365" s="1150">
        <f>IF(S365&lt;&gt;"",IF(M365="",'CONCEPTOS Y PARAMETROS'!$C$4,0),0)</f>
        <v>130</v>
      </c>
      <c r="AC365" s="1150">
        <f>IF(S365&lt;&gt;"",IF(M365="",'CONCEPTOS Y PARAMETROS'!$C$7*Z365,0),0)</f>
        <v>0</v>
      </c>
      <c r="AD365" s="1150">
        <f>IFERROR(ROUND(VLOOKUP($X365,'CONCEPTOS Y PARAMETROS'!H:I,2,0)*($V365+AA365+AB365+AC365),2),0)</f>
        <v>0</v>
      </c>
      <c r="AE365" s="1150">
        <f t="shared" si="1042"/>
        <v>136.5</v>
      </c>
      <c r="AF365" s="1150">
        <f t="shared" si="986"/>
        <v>3.25</v>
      </c>
      <c r="AG365" s="1150">
        <f t="shared" si="987"/>
        <v>3.25</v>
      </c>
      <c r="AH365" s="1150">
        <f t="shared" si="988"/>
        <v>65</v>
      </c>
      <c r="AI365" s="1150">
        <f t="shared" si="989"/>
        <v>65</v>
      </c>
      <c r="AJ365" s="1150">
        <f t="shared" si="990"/>
        <v>0</v>
      </c>
      <c r="AK365" s="1150">
        <f t="shared" si="991"/>
        <v>0</v>
      </c>
      <c r="AL365" s="1151">
        <f t="shared" si="992"/>
        <v>68.25</v>
      </c>
      <c r="AM365" s="1151">
        <f t="shared" si="993"/>
        <v>68.25</v>
      </c>
      <c r="AN365" s="1028">
        <v>0</v>
      </c>
      <c r="AO365" s="1193">
        <f>'CONCEPTOS Y PARAMETROS'!$C$18*AN365</f>
        <v>0</v>
      </c>
      <c r="AP365" s="1028">
        <v>0</v>
      </c>
      <c r="AQ365" s="1193">
        <f>'CONCEPTOS Y PARAMETROS'!$C$21*AP365</f>
        <v>0</v>
      </c>
      <c r="AR365" s="1394">
        <v>0</v>
      </c>
      <c r="AS365" s="1394">
        <v>0</v>
      </c>
      <c r="AT365" s="1394">
        <f t="shared" si="1036"/>
        <v>0</v>
      </c>
      <c r="AU365" s="1151">
        <f t="shared" si="1043"/>
        <v>266.5</v>
      </c>
      <c r="AV365" s="1178">
        <v>0</v>
      </c>
      <c r="AW365" s="1151">
        <f t="shared" si="1044"/>
        <v>0</v>
      </c>
      <c r="AX365" s="1150">
        <f>IF(T365&lt;&gt;"0",(ROUND(IF(A365="EMPLEADO",eval_formula('CONCEPTOS Y PARAMETROS'!$C$8,NOMINA!V365,NOMINA!$AU365,NOMINA!I365+NOMINA!J365),eval_formula('CONCEPTOS Y PARAMETROS'!$D$8,NOMINA!V365,NOMINA!$AU365,NOMINA!I365+NOMINA!J365)),2))*IF(H365&lt;&gt;"",IF(MONTH(H365)=$BR$8,IF(YEAR(H365)&lt;$BT$7,1,0),0)))</f>
        <v>0</v>
      </c>
      <c r="AY365" s="1151">
        <v>180</v>
      </c>
      <c r="AZ365" s="1150">
        <f>IFERROR(VLOOKUP(AY365,'CONCEPTOS Y PARAMETROS'!Y:Z,2,0),0)</f>
        <v>150</v>
      </c>
      <c r="BA365" s="1150">
        <f t="shared" si="997"/>
        <v>1998.75</v>
      </c>
      <c r="BB365" s="1150">
        <f t="shared" si="998"/>
        <v>0</v>
      </c>
      <c r="BC365" s="1028">
        <v>0</v>
      </c>
      <c r="BD365" s="1150" t="str">
        <f t="shared" si="1045"/>
        <v>0</v>
      </c>
      <c r="BE365" s="1028">
        <v>0</v>
      </c>
      <c r="BF365" s="1150">
        <f t="shared" si="1046"/>
        <v>0</v>
      </c>
      <c r="BG365" s="1151">
        <v>290</v>
      </c>
      <c r="BH365" s="1151">
        <f t="shared" si="1047"/>
        <v>0</v>
      </c>
      <c r="BI365" s="1151">
        <v>0</v>
      </c>
      <c r="BJ365" s="1151">
        <f t="shared" si="1002"/>
        <v>0</v>
      </c>
      <c r="BK365" s="1151">
        <v>0</v>
      </c>
      <c r="BL365" s="1150">
        <f t="shared" si="1062"/>
        <v>9.84</v>
      </c>
      <c r="BM365" s="1150">
        <f t="shared" si="1063"/>
        <v>1.23</v>
      </c>
      <c r="BN365" s="1150">
        <f t="shared" si="1048"/>
        <v>2.67</v>
      </c>
      <c r="BO365" s="1150">
        <v>0</v>
      </c>
      <c r="BP365" s="1150">
        <v>0</v>
      </c>
      <c r="BQ365" s="1396">
        <f t="shared" si="1004"/>
        <v>13.74</v>
      </c>
      <c r="BR365" s="1150">
        <f t="shared" si="1064"/>
        <v>22.14</v>
      </c>
      <c r="BS365" s="1150">
        <f t="shared" si="1065"/>
        <v>4.92</v>
      </c>
      <c r="BT365" s="1150">
        <f t="shared" si="1049"/>
        <v>5.34</v>
      </c>
      <c r="BU365" s="1150">
        <v>0</v>
      </c>
      <c r="BV365" s="1151">
        <f t="shared" si="1037"/>
        <v>32.4</v>
      </c>
      <c r="BW365" s="1155">
        <f t="shared" si="1038"/>
        <v>46.14</v>
      </c>
      <c r="BX365" s="1155">
        <f t="shared" si="1067"/>
        <v>499.69</v>
      </c>
      <c r="BY365" s="1151">
        <v>0</v>
      </c>
      <c r="BZ365" s="1151">
        <f t="shared" si="1009"/>
        <v>499.69</v>
      </c>
      <c r="CA365" s="1397">
        <f>'CONCEPTOS Y PARAMETROS'!$A$102</f>
        <v>2120</v>
      </c>
      <c r="CB365" s="1155">
        <f t="shared" si="1010"/>
        <v>119.51</v>
      </c>
      <c r="CC365" s="1156">
        <f t="shared" si="1011"/>
        <v>423.25</v>
      </c>
      <c r="CD365" s="514"/>
      <c r="CE365" s="514"/>
      <c r="CF365" s="520"/>
      <c r="CG365" s="497">
        <f t="shared" si="1012"/>
        <v>119.51</v>
      </c>
      <c r="CH365" s="1711">
        <f t="shared" si="1050"/>
        <v>290</v>
      </c>
      <c r="CI365" s="497">
        <f t="shared" si="1014"/>
        <v>423.25</v>
      </c>
      <c r="CJ365" s="497">
        <f t="shared" si="1015"/>
        <v>423.25</v>
      </c>
      <c r="CK365" s="497">
        <f t="shared" si="1016"/>
        <v>0</v>
      </c>
      <c r="CL365" s="497">
        <f t="shared" si="1051"/>
        <v>0</v>
      </c>
      <c r="CM365" s="497">
        <f t="shared" si="1052"/>
        <v>0</v>
      </c>
      <c r="CN365" s="498">
        <f t="shared" si="1053"/>
        <v>0</v>
      </c>
      <c r="CO365" s="499">
        <v>0</v>
      </c>
      <c r="CP365" s="498">
        <f t="shared" si="1054"/>
        <v>0</v>
      </c>
      <c r="CQ365" s="500">
        <f t="shared" si="1055"/>
        <v>0</v>
      </c>
      <c r="CR365" s="498">
        <f t="shared" si="1056"/>
        <v>0</v>
      </c>
      <c r="CS365" s="498">
        <f t="shared" si="1057"/>
        <v>0</v>
      </c>
      <c r="CT365" s="498">
        <f t="shared" si="1058"/>
        <v>46.14</v>
      </c>
      <c r="CU365" s="498">
        <f t="shared" si="1059"/>
        <v>2120</v>
      </c>
      <c r="CV365" s="1554"/>
      <c r="CW365" s="1343" t="s">
        <v>7155</v>
      </c>
      <c r="CX365" s="1343" t="s">
        <v>7334</v>
      </c>
      <c r="CY365" s="472"/>
      <c r="CZ365" s="1199" t="s">
        <v>6695</v>
      </c>
      <c r="DA365" s="514" t="s">
        <v>6173</v>
      </c>
      <c r="DB365" s="514" t="s">
        <v>6729</v>
      </c>
      <c r="DC365" s="514" t="s">
        <v>6730</v>
      </c>
      <c r="DD365" s="472"/>
      <c r="DE365" s="472"/>
      <c r="DF365" s="472"/>
      <c r="DG365" s="472"/>
      <c r="DH365" s="472"/>
      <c r="DJ365" s="473" t="str">
        <f>VLOOKUP(X365,Hoja1!$A$4:$B$10,2,0)</f>
        <v>BACHILLER</v>
      </c>
      <c r="DK365" s="473" t="str">
        <f>VLOOKUP(S365,Hoja1!$D$4:$F$77,3,0)</f>
        <v>GRADO (1) - MIN</v>
      </c>
      <c r="DL365" s="1216" t="str">
        <f t="shared" si="1060"/>
        <v>0</v>
      </c>
      <c r="DM365" s="1741" t="str">
        <f t="shared" si="1061"/>
        <v>M</v>
      </c>
      <c r="DN365" s="1741"/>
    </row>
    <row r="366" spans="1:118" s="473" customFormat="1" ht="21.95" customHeight="1">
      <c r="A366" s="510" t="s">
        <v>2834</v>
      </c>
      <c r="B366" s="1390">
        <f t="shared" ca="1" si="1028"/>
        <v>55</v>
      </c>
      <c r="C366" s="1028">
        <v>14718369</v>
      </c>
      <c r="D366" s="1343" t="s">
        <v>5014</v>
      </c>
      <c r="E366" s="1180" t="s">
        <v>4622</v>
      </c>
      <c r="F366" s="1161">
        <v>28051</v>
      </c>
      <c r="G366" s="1180" t="s">
        <v>4620</v>
      </c>
      <c r="H366" s="1161">
        <v>43147</v>
      </c>
      <c r="I366" s="1185">
        <f t="shared" si="1039"/>
        <v>6</v>
      </c>
      <c r="J366" s="1177">
        <v>0</v>
      </c>
      <c r="K366" s="1185">
        <f t="shared" si="1040"/>
        <v>6</v>
      </c>
      <c r="L366" s="1191" t="s">
        <v>5565</v>
      </c>
      <c r="M366" s="1177"/>
      <c r="N366" s="1177"/>
      <c r="O366" s="1040" t="s">
        <v>5088</v>
      </c>
      <c r="P366" s="1177" t="s">
        <v>5155</v>
      </c>
      <c r="Q366" s="1391">
        <v>7102</v>
      </c>
      <c r="R366" s="1514" t="s">
        <v>5088</v>
      </c>
      <c r="S366" s="1513">
        <v>1</v>
      </c>
      <c r="T366" s="1150">
        <f>IFERROR(VLOOKUP(S366,'TAB OBR'!A:B,2,0),0)</f>
        <v>130</v>
      </c>
      <c r="U366" s="1151">
        <v>0</v>
      </c>
      <c r="V366" s="1150">
        <f t="shared" si="1041"/>
        <v>130</v>
      </c>
      <c r="W366" s="1151">
        <f t="shared" si="984"/>
        <v>65</v>
      </c>
      <c r="X366" s="1180" t="s">
        <v>2884</v>
      </c>
      <c r="Y366" s="1180" t="s">
        <v>2884</v>
      </c>
      <c r="Z366" s="1180">
        <v>0</v>
      </c>
      <c r="AA366" s="1150">
        <f>ROUND(IF(H366&lt;&gt;"",VLOOKUP(SUM(I366+J366),'CONCEPTOS Y PARAMETROS'!F:G,2,0)*V366,0),2)</f>
        <v>8.06</v>
      </c>
      <c r="AB366" s="1150">
        <f>IF(S366&lt;&gt;"",IF(M366="",'CONCEPTOS Y PARAMETROS'!$C$4,0),0)</f>
        <v>130</v>
      </c>
      <c r="AC366" s="1150">
        <f>IF(S366&lt;&gt;"",IF(M366="",'CONCEPTOS Y PARAMETROS'!$C$7*Z366,0),0)</f>
        <v>0</v>
      </c>
      <c r="AD366" s="1150">
        <f>IFERROR(ROUND(VLOOKUP($X366,'CONCEPTOS Y PARAMETROS'!H:I,2,0)*($V366+AA366+AB366+AC366),2),0)</f>
        <v>0</v>
      </c>
      <c r="AE366" s="1150">
        <f t="shared" si="1042"/>
        <v>138.06</v>
      </c>
      <c r="AF366" s="1150">
        <f t="shared" si="986"/>
        <v>4.03</v>
      </c>
      <c r="AG366" s="1150">
        <f t="shared" si="987"/>
        <v>4.03</v>
      </c>
      <c r="AH366" s="1150">
        <f t="shared" si="988"/>
        <v>65</v>
      </c>
      <c r="AI366" s="1150">
        <f t="shared" si="989"/>
        <v>65</v>
      </c>
      <c r="AJ366" s="1150">
        <f t="shared" si="990"/>
        <v>0</v>
      </c>
      <c r="AK366" s="1150">
        <f t="shared" si="991"/>
        <v>0</v>
      </c>
      <c r="AL366" s="1151">
        <f t="shared" si="992"/>
        <v>69.03</v>
      </c>
      <c r="AM366" s="1151">
        <f t="shared" si="993"/>
        <v>69.03</v>
      </c>
      <c r="AN366" s="1028">
        <v>0</v>
      </c>
      <c r="AO366" s="1193">
        <f>'CONCEPTOS Y PARAMETROS'!$C$18*AN366</f>
        <v>0</v>
      </c>
      <c r="AP366" s="1028">
        <v>0</v>
      </c>
      <c r="AQ366" s="1193">
        <f>'CONCEPTOS Y PARAMETROS'!$C$21*AP366</f>
        <v>0</v>
      </c>
      <c r="AR366" s="1394">
        <v>0</v>
      </c>
      <c r="AS366" s="1394">
        <v>0</v>
      </c>
      <c r="AT366" s="1394">
        <f t="shared" si="1036"/>
        <v>0</v>
      </c>
      <c r="AU366" s="1151">
        <f t="shared" si="1043"/>
        <v>268.06</v>
      </c>
      <c r="AV366" s="1178">
        <v>0</v>
      </c>
      <c r="AW366" s="1151">
        <f t="shared" si="1044"/>
        <v>0</v>
      </c>
      <c r="AX366" s="1150">
        <f>IF(T366&lt;&gt;"0",(ROUND(IF(A366="EMPLEADO",eval_formula('CONCEPTOS Y PARAMETROS'!$C$8,NOMINA!V366,NOMINA!$AU366,NOMINA!I366+NOMINA!J366),eval_formula('CONCEPTOS Y PARAMETROS'!$D$8,NOMINA!V366,NOMINA!$AU366,NOMINA!I366+NOMINA!J366)),2))*IF(H366&lt;&gt;"",IF(MONTH(H366)=$BR$8,IF(YEAR(H366)&lt;$BT$7,1,0),0)))</f>
        <v>0</v>
      </c>
      <c r="AY366" s="1151">
        <v>180</v>
      </c>
      <c r="AZ366" s="1150">
        <f>IFERROR(VLOOKUP(AY366,'CONCEPTOS Y PARAMETROS'!Y:Z,2,0),0)</f>
        <v>150</v>
      </c>
      <c r="BA366" s="1150">
        <f t="shared" si="997"/>
        <v>2010.45</v>
      </c>
      <c r="BB366" s="1150">
        <f t="shared" si="998"/>
        <v>0</v>
      </c>
      <c r="BC366" s="1028">
        <v>0</v>
      </c>
      <c r="BD366" s="1150" t="str">
        <f t="shared" si="1045"/>
        <v>0</v>
      </c>
      <c r="BE366" s="1028">
        <v>0</v>
      </c>
      <c r="BF366" s="1150">
        <f t="shared" si="1046"/>
        <v>0</v>
      </c>
      <c r="BG366" s="1151">
        <v>290</v>
      </c>
      <c r="BH366" s="1151">
        <f t="shared" si="1047"/>
        <v>0</v>
      </c>
      <c r="BI366" s="1151">
        <v>0</v>
      </c>
      <c r="BJ366" s="1151">
        <f t="shared" si="1002"/>
        <v>0</v>
      </c>
      <c r="BK366" s="1151">
        <v>0</v>
      </c>
      <c r="BL366" s="1150">
        <f t="shared" si="1062"/>
        <v>9.9</v>
      </c>
      <c r="BM366" s="1150">
        <f t="shared" si="1063"/>
        <v>1.24</v>
      </c>
      <c r="BN366" s="1150">
        <f t="shared" si="1048"/>
        <v>2.68</v>
      </c>
      <c r="BO366" s="1150">
        <v>0</v>
      </c>
      <c r="BP366" s="1150">
        <v>0</v>
      </c>
      <c r="BQ366" s="1396">
        <f t="shared" si="1004"/>
        <v>13.82</v>
      </c>
      <c r="BR366" s="1150">
        <f t="shared" si="1064"/>
        <v>22.27</v>
      </c>
      <c r="BS366" s="1150">
        <f t="shared" si="1065"/>
        <v>4.95</v>
      </c>
      <c r="BT366" s="1150">
        <f t="shared" si="1049"/>
        <v>5.36</v>
      </c>
      <c r="BU366" s="1150">
        <v>0</v>
      </c>
      <c r="BV366" s="1151">
        <f t="shared" si="1037"/>
        <v>32.58</v>
      </c>
      <c r="BW366" s="1155">
        <f t="shared" si="1038"/>
        <v>46.4</v>
      </c>
      <c r="BX366" s="1155">
        <f t="shared" si="1067"/>
        <v>502.61</v>
      </c>
      <c r="BY366" s="1151">
        <v>0</v>
      </c>
      <c r="BZ366" s="1151">
        <f t="shared" si="1009"/>
        <v>502.61</v>
      </c>
      <c r="CA366" s="1397">
        <f>'CONCEPTOS Y PARAMETROS'!$A$102</f>
        <v>2120</v>
      </c>
      <c r="CB366" s="1155">
        <f t="shared" si="1010"/>
        <v>120.21000000000001</v>
      </c>
      <c r="CC366" s="1156">
        <f t="shared" si="1011"/>
        <v>424.03</v>
      </c>
      <c r="CD366" s="514"/>
      <c r="CE366" s="514"/>
      <c r="CF366" s="520"/>
      <c r="CG366" s="497">
        <f t="shared" si="1012"/>
        <v>120.21000000000001</v>
      </c>
      <c r="CH366" s="1711">
        <f t="shared" si="1050"/>
        <v>290</v>
      </c>
      <c r="CI366" s="497">
        <f t="shared" si="1014"/>
        <v>424.03</v>
      </c>
      <c r="CJ366" s="497">
        <f t="shared" si="1015"/>
        <v>424.03</v>
      </c>
      <c r="CK366" s="497">
        <f t="shared" si="1016"/>
        <v>0</v>
      </c>
      <c r="CL366" s="497">
        <f t="shared" si="1051"/>
        <v>0</v>
      </c>
      <c r="CM366" s="497">
        <f t="shared" si="1052"/>
        <v>0</v>
      </c>
      <c r="CN366" s="498">
        <f t="shared" si="1053"/>
        <v>0</v>
      </c>
      <c r="CO366" s="499">
        <v>0</v>
      </c>
      <c r="CP366" s="498">
        <f t="shared" si="1054"/>
        <v>0</v>
      </c>
      <c r="CQ366" s="500">
        <f t="shared" si="1055"/>
        <v>0</v>
      </c>
      <c r="CR366" s="498">
        <f t="shared" si="1056"/>
        <v>0</v>
      </c>
      <c r="CS366" s="498">
        <f t="shared" si="1057"/>
        <v>0</v>
      </c>
      <c r="CT366" s="498">
        <f t="shared" si="1058"/>
        <v>46.4</v>
      </c>
      <c r="CU366" s="498">
        <f t="shared" si="1059"/>
        <v>2120</v>
      </c>
      <c r="CV366" s="1554"/>
      <c r="CW366" s="1343" t="s">
        <v>7189</v>
      </c>
      <c r="CX366" s="1343" t="s">
        <v>7301</v>
      </c>
      <c r="CY366" s="472"/>
      <c r="CZ366" s="514" t="s">
        <v>6531</v>
      </c>
      <c r="DA366" s="514" t="s">
        <v>6173</v>
      </c>
      <c r="DB366" s="514" t="s">
        <v>6202</v>
      </c>
      <c r="DC366" s="514" t="s">
        <v>6271</v>
      </c>
      <c r="DD366" s="472"/>
      <c r="DE366" s="472"/>
      <c r="DF366" s="472"/>
      <c r="DG366" s="472"/>
      <c r="DH366" s="472"/>
      <c r="DJ366" s="473" t="str">
        <f>VLOOKUP(X366,Hoja1!$A$4:$B$10,2,0)</f>
        <v>BACHILLER</v>
      </c>
      <c r="DK366" s="473" t="str">
        <f>VLOOKUP(S366,Hoja1!$D$4:$F$77,3,0)</f>
        <v>GRADO (1) - MIN</v>
      </c>
      <c r="DL366" s="1216" t="str">
        <f t="shared" si="1060"/>
        <v>0</v>
      </c>
      <c r="DM366" s="1741" t="str">
        <f t="shared" si="1061"/>
        <v>F</v>
      </c>
      <c r="DN366" s="1741"/>
    </row>
    <row r="367" spans="1:118" s="473" customFormat="1" ht="21.95" customHeight="1">
      <c r="A367" s="510" t="s">
        <v>2834</v>
      </c>
      <c r="B367" s="1390">
        <f t="shared" ca="1" si="1028"/>
        <v>56</v>
      </c>
      <c r="C367" s="1028">
        <v>14718468</v>
      </c>
      <c r="D367" s="1343" t="s">
        <v>5015</v>
      </c>
      <c r="E367" s="1180" t="s">
        <v>4622</v>
      </c>
      <c r="F367" s="1161">
        <v>29044</v>
      </c>
      <c r="G367" s="1180" t="s">
        <v>4621</v>
      </c>
      <c r="H367" s="1161">
        <v>42948</v>
      </c>
      <c r="I367" s="1185">
        <f t="shared" si="1039"/>
        <v>7</v>
      </c>
      <c r="J367" s="1177">
        <v>0</v>
      </c>
      <c r="K367" s="1185">
        <f t="shared" si="1040"/>
        <v>7</v>
      </c>
      <c r="L367" s="1191" t="s">
        <v>5553</v>
      </c>
      <c r="M367" s="1177"/>
      <c r="N367" s="1177"/>
      <c r="O367" s="1040" t="s">
        <v>5096</v>
      </c>
      <c r="P367" s="1177" t="s">
        <v>5156</v>
      </c>
      <c r="Q367" s="1391">
        <v>7201</v>
      </c>
      <c r="R367" s="1514" t="s">
        <v>5096</v>
      </c>
      <c r="S367" s="1513">
        <v>5</v>
      </c>
      <c r="T367" s="1150">
        <f>IFERROR(VLOOKUP(S367,'TAB OBR'!A:B,2,0),0)</f>
        <v>171</v>
      </c>
      <c r="U367" s="1151">
        <v>0</v>
      </c>
      <c r="V367" s="1150">
        <f t="shared" si="1041"/>
        <v>171</v>
      </c>
      <c r="W367" s="1151">
        <f t="shared" si="984"/>
        <v>85.5</v>
      </c>
      <c r="X367" s="1180" t="s">
        <v>2884</v>
      </c>
      <c r="Y367" s="1180" t="s">
        <v>2884</v>
      </c>
      <c r="Z367" s="1180">
        <v>1</v>
      </c>
      <c r="AA367" s="1150">
        <f>ROUND(IF(H367&lt;&gt;"",VLOOKUP(SUM(I367+J367),'CONCEPTOS Y PARAMETROS'!F:G,2,0)*V367,0),2)</f>
        <v>12.65</v>
      </c>
      <c r="AB367" s="1150">
        <f>IF(S367&lt;&gt;"",IF(M367="",'CONCEPTOS Y PARAMETROS'!$C$4,0),0)</f>
        <v>130</v>
      </c>
      <c r="AC367" s="1150">
        <f>IF(S367&lt;&gt;"",IF(M367="",'CONCEPTOS Y PARAMETROS'!$C$7*Z367,0),0)</f>
        <v>12.5</v>
      </c>
      <c r="AD367" s="1150">
        <f>IFERROR(ROUND(VLOOKUP($X367,'CONCEPTOS Y PARAMETROS'!H:I,2,0)*($V367+AA367+AB367+AC367),2),0)</f>
        <v>0</v>
      </c>
      <c r="AE367" s="1150">
        <f t="shared" si="1042"/>
        <v>155.15</v>
      </c>
      <c r="AF367" s="1150">
        <f t="shared" si="986"/>
        <v>6.33</v>
      </c>
      <c r="AG367" s="1150">
        <f t="shared" si="987"/>
        <v>6.32</v>
      </c>
      <c r="AH367" s="1150">
        <f t="shared" si="988"/>
        <v>65</v>
      </c>
      <c r="AI367" s="1150">
        <f t="shared" si="989"/>
        <v>65</v>
      </c>
      <c r="AJ367" s="1150">
        <f t="shared" si="990"/>
        <v>0</v>
      </c>
      <c r="AK367" s="1150">
        <f t="shared" si="991"/>
        <v>0</v>
      </c>
      <c r="AL367" s="1151">
        <f t="shared" si="992"/>
        <v>83.83</v>
      </c>
      <c r="AM367" s="1151">
        <f t="shared" si="993"/>
        <v>71.319999999999993</v>
      </c>
      <c r="AN367" s="1583">
        <v>1</v>
      </c>
      <c r="AO367" s="1193">
        <f>'CONCEPTOS Y PARAMETROS'!$C$18*AN367</f>
        <v>12.5</v>
      </c>
      <c r="AP367" s="1028">
        <v>0</v>
      </c>
      <c r="AQ367" s="1193">
        <f>'CONCEPTOS Y PARAMETROS'!$C$21*AP367</f>
        <v>0</v>
      </c>
      <c r="AR367" s="1394">
        <v>0</v>
      </c>
      <c r="AS367" s="1394">
        <v>0</v>
      </c>
      <c r="AT367" s="1394">
        <f t="shared" si="1036"/>
        <v>12.5</v>
      </c>
      <c r="AU367" s="1151">
        <f t="shared" si="1043"/>
        <v>326.14999999999998</v>
      </c>
      <c r="AV367" s="1178">
        <v>0</v>
      </c>
      <c r="AW367" s="1151">
        <f t="shared" si="1044"/>
        <v>0</v>
      </c>
      <c r="AX367" s="1150">
        <f>IF(T367&lt;&gt;"0",(ROUND(IF(A367="EMPLEADO",eval_formula('CONCEPTOS Y PARAMETROS'!$C$8,NOMINA!V367,NOMINA!$AU367,NOMINA!I367+NOMINA!J367),eval_formula('CONCEPTOS Y PARAMETROS'!$D$8,NOMINA!V367,NOMINA!$AU367,NOMINA!I367+NOMINA!J367)),2))*IF(H367&lt;&gt;"",IF(MONTH(H367)=$BR$8,IF(YEAR(H367)&lt;$BT$7,1,0),0)))</f>
        <v>0</v>
      </c>
      <c r="AY367" s="1151">
        <v>180</v>
      </c>
      <c r="AZ367" s="1150">
        <f>IFERROR(VLOOKUP(AY367,'CONCEPTOS Y PARAMETROS'!Y:Z,2,0),0)</f>
        <v>150</v>
      </c>
      <c r="BA367" s="1150">
        <f t="shared" si="997"/>
        <v>2446.13</v>
      </c>
      <c r="BB367" s="1150">
        <f t="shared" si="998"/>
        <v>0</v>
      </c>
      <c r="BC367" s="1028">
        <v>0</v>
      </c>
      <c r="BD367" s="1150" t="str">
        <f t="shared" si="1045"/>
        <v>0</v>
      </c>
      <c r="BE367" s="1028">
        <v>0</v>
      </c>
      <c r="BF367" s="1150">
        <f t="shared" si="1046"/>
        <v>0</v>
      </c>
      <c r="BG367" s="1151">
        <v>290</v>
      </c>
      <c r="BH367" s="1151">
        <f t="shared" si="1047"/>
        <v>0</v>
      </c>
      <c r="BI367" s="1151">
        <v>0</v>
      </c>
      <c r="BJ367" s="1151">
        <f t="shared" si="1002"/>
        <v>0</v>
      </c>
      <c r="BK367" s="1151">
        <v>0</v>
      </c>
      <c r="BL367" s="1150">
        <f t="shared" si="1062"/>
        <v>12.04</v>
      </c>
      <c r="BM367" s="1150">
        <f t="shared" si="1063"/>
        <v>1.51</v>
      </c>
      <c r="BN367" s="1150">
        <f t="shared" si="1048"/>
        <v>3.26</v>
      </c>
      <c r="BO367" s="1150">
        <v>0</v>
      </c>
      <c r="BP367" s="1150">
        <v>0</v>
      </c>
      <c r="BQ367" s="1396">
        <f t="shared" si="1004"/>
        <v>16.809999999999999</v>
      </c>
      <c r="BR367" s="1150">
        <f t="shared" si="1064"/>
        <v>27.1</v>
      </c>
      <c r="BS367" s="1150">
        <f t="shared" si="1065"/>
        <v>6.02</v>
      </c>
      <c r="BT367" s="1150">
        <f t="shared" si="1049"/>
        <v>6.52</v>
      </c>
      <c r="BU367" s="1150">
        <v>0</v>
      </c>
      <c r="BV367" s="1151">
        <f t="shared" si="1037"/>
        <v>39.64</v>
      </c>
      <c r="BW367" s="1155">
        <f t="shared" si="1038"/>
        <v>56.45</v>
      </c>
      <c r="BX367" s="1155">
        <f t="shared" si="1067"/>
        <v>611.53</v>
      </c>
      <c r="BY367" s="1151">
        <v>0</v>
      </c>
      <c r="BZ367" s="1151">
        <f t="shared" si="1009"/>
        <v>611.53</v>
      </c>
      <c r="CA367" s="1397">
        <f>'CONCEPTOS Y PARAMETROS'!$A$102</f>
        <v>2120</v>
      </c>
      <c r="CB367" s="1155">
        <f t="shared" si="1010"/>
        <v>152.51999999999998</v>
      </c>
      <c r="CC367" s="1156">
        <f t="shared" si="1011"/>
        <v>459.32</v>
      </c>
      <c r="CD367" s="514"/>
      <c r="CE367" s="514"/>
      <c r="CF367" s="520"/>
      <c r="CG367" s="497">
        <f t="shared" si="1012"/>
        <v>152.51999999999998</v>
      </c>
      <c r="CH367" s="1711">
        <f t="shared" si="1050"/>
        <v>290</v>
      </c>
      <c r="CI367" s="497">
        <f t="shared" si="1014"/>
        <v>446.82</v>
      </c>
      <c r="CJ367" s="497">
        <f t="shared" si="1015"/>
        <v>446.82</v>
      </c>
      <c r="CK367" s="497">
        <f t="shared" si="1016"/>
        <v>0</v>
      </c>
      <c r="CL367" s="497">
        <f t="shared" si="1051"/>
        <v>0</v>
      </c>
      <c r="CM367" s="497">
        <f t="shared" si="1052"/>
        <v>0</v>
      </c>
      <c r="CN367" s="498">
        <f t="shared" si="1053"/>
        <v>0</v>
      </c>
      <c r="CO367" s="499">
        <v>0</v>
      </c>
      <c r="CP367" s="498">
        <f t="shared" si="1054"/>
        <v>0</v>
      </c>
      <c r="CQ367" s="500">
        <f t="shared" si="1055"/>
        <v>12.5</v>
      </c>
      <c r="CR367" s="498">
        <f t="shared" si="1056"/>
        <v>0</v>
      </c>
      <c r="CS367" s="498">
        <f t="shared" si="1057"/>
        <v>12.5</v>
      </c>
      <c r="CT367" s="498">
        <f t="shared" si="1058"/>
        <v>56.45</v>
      </c>
      <c r="CU367" s="498">
        <f t="shared" si="1059"/>
        <v>2120</v>
      </c>
      <c r="CV367" s="1554"/>
      <c r="CW367" s="1343" t="s">
        <v>6934</v>
      </c>
      <c r="CX367" s="1343" t="s">
        <v>7335</v>
      </c>
      <c r="CY367" s="472"/>
      <c r="CZ367" s="514" t="s">
        <v>6532</v>
      </c>
      <c r="DA367" s="514" t="s">
        <v>6173</v>
      </c>
      <c r="DB367" s="514" t="s">
        <v>6213</v>
      </c>
      <c r="DC367" s="514" t="s">
        <v>6625</v>
      </c>
      <c r="DD367" s="472"/>
      <c r="DE367" s="472"/>
      <c r="DF367" s="472"/>
      <c r="DG367" s="472"/>
      <c r="DH367" s="472"/>
      <c r="DJ367" s="473" t="str">
        <f>VLOOKUP(X367,Hoja1!$A$4:$B$10,2,0)</f>
        <v>BACHILLER</v>
      </c>
      <c r="DK367" s="473" t="str">
        <f>VLOOKUP(S367,Hoja1!$D$4:$F$77,3,0)</f>
        <v>GRADO (5) - MÁX</v>
      </c>
      <c r="DL367" s="1216" t="str">
        <f t="shared" si="1060"/>
        <v>0</v>
      </c>
      <c r="DM367" s="1741" t="str">
        <f t="shared" si="1061"/>
        <v>M</v>
      </c>
      <c r="DN367" s="1741"/>
    </row>
    <row r="368" spans="1:118" s="473" customFormat="1" ht="21.95" customHeight="1">
      <c r="A368" s="510" t="s">
        <v>2834</v>
      </c>
      <c r="B368" s="1390">
        <f t="shared" ca="1" si="1028"/>
        <v>57</v>
      </c>
      <c r="C368" s="1028">
        <v>14719205</v>
      </c>
      <c r="D368" s="1343" t="s">
        <v>5016</v>
      </c>
      <c r="E368" s="1180" t="s">
        <v>4622</v>
      </c>
      <c r="F368" s="1161">
        <v>28764</v>
      </c>
      <c r="G368" s="1180" t="s">
        <v>4621</v>
      </c>
      <c r="H368" s="1161">
        <v>39861</v>
      </c>
      <c r="I368" s="1185">
        <f t="shared" si="1039"/>
        <v>15</v>
      </c>
      <c r="J368" s="1177">
        <v>0</v>
      </c>
      <c r="K368" s="1185">
        <f t="shared" si="1040"/>
        <v>15</v>
      </c>
      <c r="L368" s="1191" t="s">
        <v>5554</v>
      </c>
      <c r="M368" s="1177"/>
      <c r="N368" s="1177"/>
      <c r="O368" s="1040" t="s">
        <v>5084</v>
      </c>
      <c r="P368" s="1177" t="s">
        <v>5157</v>
      </c>
      <c r="Q368" s="1391">
        <v>7152</v>
      </c>
      <c r="R368" s="1514" t="s">
        <v>5084</v>
      </c>
      <c r="S368" s="1513">
        <v>3</v>
      </c>
      <c r="T368" s="1150">
        <f>IFERROR(VLOOKUP(S368,'TAB OBR'!A:B,2,0),0)</f>
        <v>152</v>
      </c>
      <c r="U368" s="1151">
        <v>0</v>
      </c>
      <c r="V368" s="1150">
        <f t="shared" si="1041"/>
        <v>152</v>
      </c>
      <c r="W368" s="1151">
        <f t="shared" si="984"/>
        <v>76</v>
      </c>
      <c r="X368" s="1180" t="s">
        <v>2884</v>
      </c>
      <c r="Y368" s="1180" t="s">
        <v>2884</v>
      </c>
      <c r="Z368" s="1180">
        <v>0</v>
      </c>
      <c r="AA368" s="1150">
        <f>ROUND(IF(H368&lt;&gt;"",VLOOKUP(SUM(I368+J368),'CONCEPTOS Y PARAMETROS'!F:G,2,0)*V368,0),2)</f>
        <v>27.36</v>
      </c>
      <c r="AB368" s="1150">
        <f>IF(S368&lt;&gt;"",IF(M368="",'CONCEPTOS Y PARAMETROS'!$C$4,0),0)</f>
        <v>130</v>
      </c>
      <c r="AC368" s="1150">
        <f>IF(S368&lt;&gt;"",IF(M368="",'CONCEPTOS Y PARAMETROS'!$C$7*Z368,0),0)</f>
        <v>0</v>
      </c>
      <c r="AD368" s="1150">
        <f>IFERROR(ROUND(VLOOKUP($X368,'CONCEPTOS Y PARAMETROS'!H:I,2,0)*($V368+AA368+AB368+AC368),2),0)</f>
        <v>0</v>
      </c>
      <c r="AE368" s="1150">
        <f t="shared" si="1042"/>
        <v>157.36000000000001</v>
      </c>
      <c r="AF368" s="1150">
        <f t="shared" si="986"/>
        <v>13.68</v>
      </c>
      <c r="AG368" s="1150">
        <f t="shared" si="987"/>
        <v>13.68</v>
      </c>
      <c r="AH368" s="1150">
        <f t="shared" si="988"/>
        <v>65</v>
      </c>
      <c r="AI368" s="1150">
        <f t="shared" si="989"/>
        <v>65</v>
      </c>
      <c r="AJ368" s="1150">
        <f t="shared" si="990"/>
        <v>0</v>
      </c>
      <c r="AK368" s="1150">
        <f t="shared" si="991"/>
        <v>0</v>
      </c>
      <c r="AL368" s="1151">
        <f t="shared" si="992"/>
        <v>78.680000000000007</v>
      </c>
      <c r="AM368" s="1151">
        <f t="shared" si="993"/>
        <v>78.680000000000007</v>
      </c>
      <c r="AN368" s="1028">
        <v>0</v>
      </c>
      <c r="AO368" s="1193">
        <f>'CONCEPTOS Y PARAMETROS'!$C$18*AN368</f>
        <v>0</v>
      </c>
      <c r="AP368" s="1028">
        <v>1</v>
      </c>
      <c r="AQ368" s="1193">
        <f>'CONCEPTOS Y PARAMETROS'!$C$21*AP368</f>
        <v>12.5</v>
      </c>
      <c r="AR368" s="1394">
        <v>0</v>
      </c>
      <c r="AS368" s="1394">
        <v>0</v>
      </c>
      <c r="AT368" s="1394">
        <f t="shared" si="1036"/>
        <v>12.5</v>
      </c>
      <c r="AU368" s="1151">
        <f t="shared" si="1043"/>
        <v>309.36</v>
      </c>
      <c r="AV368" s="1178">
        <v>0</v>
      </c>
      <c r="AW368" s="1151">
        <f t="shared" si="1044"/>
        <v>0</v>
      </c>
      <c r="AX368" s="1150">
        <f>IF(T368&lt;&gt;"0",(ROUND(IF(A368="EMPLEADO",eval_formula('CONCEPTOS Y PARAMETROS'!$C$8,NOMINA!V368,NOMINA!$AU368,NOMINA!I368+NOMINA!J368),eval_formula('CONCEPTOS Y PARAMETROS'!$D$8,NOMINA!V368,NOMINA!$AU368,NOMINA!I368+NOMINA!J368)),2))*IF(H368&lt;&gt;"",IF(MONTH(H368)=$BR$8,IF(YEAR(H368)&lt;$BT$7,1,0),0)))</f>
        <v>0</v>
      </c>
      <c r="AY368" s="1151">
        <v>180</v>
      </c>
      <c r="AZ368" s="1150">
        <f>IFERROR(VLOOKUP(AY368,'CONCEPTOS Y PARAMETROS'!Y:Z,2,0),0)</f>
        <v>150</v>
      </c>
      <c r="BA368" s="1150">
        <f t="shared" si="997"/>
        <v>2320.1999999999998</v>
      </c>
      <c r="BB368" s="1150">
        <f t="shared" si="998"/>
        <v>0</v>
      </c>
      <c r="BC368" s="1028">
        <v>0</v>
      </c>
      <c r="BD368" s="1150" t="str">
        <f t="shared" si="1045"/>
        <v>0</v>
      </c>
      <c r="BE368" s="1028">
        <v>0</v>
      </c>
      <c r="BF368" s="1150">
        <f t="shared" si="1046"/>
        <v>0</v>
      </c>
      <c r="BG368" s="1151">
        <v>290</v>
      </c>
      <c r="BH368" s="1151">
        <f t="shared" si="1047"/>
        <v>0</v>
      </c>
      <c r="BI368" s="1151">
        <v>0</v>
      </c>
      <c r="BJ368" s="1151">
        <f t="shared" si="1002"/>
        <v>0</v>
      </c>
      <c r="BK368" s="1151">
        <v>0</v>
      </c>
      <c r="BL368" s="1150">
        <f t="shared" si="1062"/>
        <v>11.42</v>
      </c>
      <c r="BM368" s="1150">
        <f t="shared" si="1063"/>
        <v>1.43</v>
      </c>
      <c r="BN368" s="1150">
        <f t="shared" si="1048"/>
        <v>3.09</v>
      </c>
      <c r="BO368" s="1150">
        <v>0</v>
      </c>
      <c r="BP368" s="1150">
        <v>0</v>
      </c>
      <c r="BQ368" s="1396">
        <f t="shared" si="1004"/>
        <v>15.94</v>
      </c>
      <c r="BR368" s="1150">
        <f t="shared" si="1064"/>
        <v>25.7</v>
      </c>
      <c r="BS368" s="1150">
        <f t="shared" si="1065"/>
        <v>5.71</v>
      </c>
      <c r="BT368" s="1150">
        <f t="shared" si="1049"/>
        <v>6.18</v>
      </c>
      <c r="BU368" s="1150">
        <v>0</v>
      </c>
      <c r="BV368" s="1151">
        <f t="shared" si="1037"/>
        <v>37.590000000000003</v>
      </c>
      <c r="BW368" s="1155">
        <f t="shared" si="1038"/>
        <v>53.53</v>
      </c>
      <c r="BX368" s="1155">
        <f t="shared" si="1067"/>
        <v>580.04999999999995</v>
      </c>
      <c r="BY368" s="1151">
        <v>0</v>
      </c>
      <c r="BZ368" s="1151">
        <f t="shared" si="1009"/>
        <v>580.04999999999995</v>
      </c>
      <c r="CA368" s="1397">
        <v>0</v>
      </c>
      <c r="CB368" s="1155">
        <f t="shared" si="1010"/>
        <v>138.74</v>
      </c>
      <c r="CC368" s="1156">
        <f t="shared" si="1011"/>
        <v>457.18</v>
      </c>
      <c r="CD368" s="514"/>
      <c r="CE368" s="514"/>
      <c r="CF368" s="520"/>
      <c r="CG368" s="497">
        <f t="shared" si="1012"/>
        <v>138.74</v>
      </c>
      <c r="CH368" s="1711">
        <f t="shared" si="1050"/>
        <v>290</v>
      </c>
      <c r="CI368" s="497">
        <f t="shared" si="1014"/>
        <v>444.68</v>
      </c>
      <c r="CJ368" s="497">
        <f t="shared" si="1015"/>
        <v>444.68</v>
      </c>
      <c r="CK368" s="497">
        <f t="shared" si="1016"/>
        <v>0</v>
      </c>
      <c r="CL368" s="497">
        <f t="shared" si="1051"/>
        <v>0</v>
      </c>
      <c r="CM368" s="497">
        <f t="shared" si="1052"/>
        <v>0</v>
      </c>
      <c r="CN368" s="498">
        <f t="shared" si="1053"/>
        <v>0</v>
      </c>
      <c r="CO368" s="499">
        <v>0</v>
      </c>
      <c r="CP368" s="498">
        <f t="shared" si="1054"/>
        <v>0</v>
      </c>
      <c r="CQ368" s="500">
        <f t="shared" si="1055"/>
        <v>12.5</v>
      </c>
      <c r="CR368" s="498">
        <f t="shared" si="1056"/>
        <v>0</v>
      </c>
      <c r="CS368" s="498">
        <f t="shared" si="1057"/>
        <v>12.5</v>
      </c>
      <c r="CT368" s="498">
        <f t="shared" si="1058"/>
        <v>53.53</v>
      </c>
      <c r="CU368" s="498">
        <f t="shared" si="1059"/>
        <v>0</v>
      </c>
      <c r="CV368" s="1554"/>
      <c r="CW368" s="1343" t="s">
        <v>7336</v>
      </c>
      <c r="CX368" s="1343" t="s">
        <v>7334</v>
      </c>
      <c r="CY368" s="472"/>
      <c r="CZ368" s="1199" t="s">
        <v>6667</v>
      </c>
      <c r="DA368" s="514" t="s">
        <v>6175</v>
      </c>
      <c r="DB368" s="514" t="s">
        <v>6176</v>
      </c>
      <c r="DC368" s="514" t="s">
        <v>6416</v>
      </c>
      <c r="DD368" s="472"/>
      <c r="DE368" s="472"/>
      <c r="DF368" s="472"/>
      <c r="DG368" s="472"/>
      <c r="DH368" s="472"/>
      <c r="DJ368" s="473" t="str">
        <f>VLOOKUP(X368,Hoja1!$A$4:$B$10,2,0)</f>
        <v>BACHILLER</v>
      </c>
      <c r="DK368" s="473" t="str">
        <f>VLOOKUP(S368,Hoja1!$D$4:$F$77,3,0)</f>
        <v>GRADO (3) - MÁX</v>
      </c>
      <c r="DL368" s="1216" t="str">
        <f t="shared" si="1060"/>
        <v>0</v>
      </c>
      <c r="DM368" s="1741" t="str">
        <f t="shared" si="1061"/>
        <v>M</v>
      </c>
      <c r="DN368" s="1741"/>
    </row>
    <row r="369" spans="1:118" s="473" customFormat="1" ht="21.95" customHeight="1">
      <c r="A369" s="510" t="s">
        <v>2834</v>
      </c>
      <c r="B369" s="1390">
        <f t="shared" ca="1" si="1028"/>
        <v>58</v>
      </c>
      <c r="C369" s="1028">
        <v>14719356</v>
      </c>
      <c r="D369" s="1343" t="s">
        <v>5017</v>
      </c>
      <c r="E369" s="1180" t="s">
        <v>4622</v>
      </c>
      <c r="F369" s="1161">
        <v>28968</v>
      </c>
      <c r="G369" s="1180" t="s">
        <v>4621</v>
      </c>
      <c r="H369" s="1161">
        <v>44348</v>
      </c>
      <c r="I369" s="1185">
        <f t="shared" si="1039"/>
        <v>3</v>
      </c>
      <c r="J369" s="1177">
        <v>0</v>
      </c>
      <c r="K369" s="1185">
        <f t="shared" si="1040"/>
        <v>3</v>
      </c>
      <c r="L369" s="1191" t="s">
        <v>5542</v>
      </c>
      <c r="M369" s="1177"/>
      <c r="N369" s="1177"/>
      <c r="O369" s="1040" t="s">
        <v>5084</v>
      </c>
      <c r="P369" s="1177" t="s">
        <v>5158</v>
      </c>
      <c r="Q369" s="1391">
        <v>7152</v>
      </c>
      <c r="R369" s="1514" t="s">
        <v>5084</v>
      </c>
      <c r="S369" s="1513">
        <v>3</v>
      </c>
      <c r="T369" s="1150">
        <f>IFERROR(VLOOKUP(S369,'TAB OBR'!A:B,2,0),0)</f>
        <v>152</v>
      </c>
      <c r="U369" s="1151">
        <v>0</v>
      </c>
      <c r="V369" s="1150">
        <f t="shared" si="1041"/>
        <v>152</v>
      </c>
      <c r="W369" s="1151">
        <f t="shared" si="984"/>
        <v>76</v>
      </c>
      <c r="X369" s="1180" t="s">
        <v>2884</v>
      </c>
      <c r="Y369" s="1180" t="s">
        <v>2884</v>
      </c>
      <c r="Z369" s="1180">
        <v>2</v>
      </c>
      <c r="AA369" s="1150">
        <f>ROUND(IF(H369&lt;&gt;"",VLOOKUP(SUM(I369+J369),'CONCEPTOS Y PARAMETROS'!F:G,2,0)*V369,0),2)</f>
        <v>4.5599999999999996</v>
      </c>
      <c r="AB369" s="1150">
        <f>IF(S369&lt;&gt;"",IF(M369="",'CONCEPTOS Y PARAMETROS'!$C$4,0),0)</f>
        <v>130</v>
      </c>
      <c r="AC369" s="1150">
        <f>IF(S369&lt;&gt;"",IF(M369="",'CONCEPTOS Y PARAMETROS'!$C$7*Z369,0),0)</f>
        <v>25</v>
      </c>
      <c r="AD369" s="1150">
        <f>IFERROR(ROUND(VLOOKUP($X369,'CONCEPTOS Y PARAMETROS'!H:I,2,0)*($V369+AA369+AB369+AC369),2),0)</f>
        <v>0</v>
      </c>
      <c r="AE369" s="1150">
        <f t="shared" si="1042"/>
        <v>159.56</v>
      </c>
      <c r="AF369" s="1150">
        <f t="shared" si="986"/>
        <v>2.2799999999999998</v>
      </c>
      <c r="AG369" s="1150">
        <f t="shared" si="987"/>
        <v>2.2799999999999998</v>
      </c>
      <c r="AH369" s="1150">
        <f t="shared" si="988"/>
        <v>65</v>
      </c>
      <c r="AI369" s="1150">
        <f t="shared" si="989"/>
        <v>65</v>
      </c>
      <c r="AJ369" s="1150">
        <f t="shared" si="990"/>
        <v>0</v>
      </c>
      <c r="AK369" s="1150">
        <f t="shared" si="991"/>
        <v>0</v>
      </c>
      <c r="AL369" s="1151">
        <f t="shared" si="992"/>
        <v>92.28</v>
      </c>
      <c r="AM369" s="1151">
        <f t="shared" si="993"/>
        <v>67.28</v>
      </c>
      <c r="AN369" s="1028">
        <v>0</v>
      </c>
      <c r="AO369" s="1193">
        <f>'CONCEPTOS Y PARAMETROS'!$C$18*AN369</f>
        <v>0</v>
      </c>
      <c r="AP369" s="1028">
        <v>0</v>
      </c>
      <c r="AQ369" s="1193">
        <f>'CONCEPTOS Y PARAMETROS'!$C$21*AP369</f>
        <v>0</v>
      </c>
      <c r="AR369" s="1394">
        <v>0</v>
      </c>
      <c r="AS369" s="1394">
        <v>0</v>
      </c>
      <c r="AT369" s="1394">
        <f t="shared" si="1036"/>
        <v>0</v>
      </c>
      <c r="AU369" s="1151">
        <f t="shared" si="1043"/>
        <v>311.56</v>
      </c>
      <c r="AV369" s="1178">
        <v>0</v>
      </c>
      <c r="AW369" s="1151">
        <f t="shared" si="1044"/>
        <v>0</v>
      </c>
      <c r="AX369" s="1150">
        <f>IF(T369&lt;&gt;"0",(ROUND(IF(A369="EMPLEADO",eval_formula('CONCEPTOS Y PARAMETROS'!$C$8,NOMINA!V369,NOMINA!$AU369,NOMINA!I369+NOMINA!J369),eval_formula('CONCEPTOS Y PARAMETROS'!$D$8,NOMINA!V369,NOMINA!$AU369,NOMINA!I369+NOMINA!J369)),2))*IF(H369&lt;&gt;"",IF(MONTH(H369)=$BR$8,IF(YEAR(H369)&lt;$BT$7,1,0),0)))</f>
        <v>0</v>
      </c>
      <c r="AY369" s="1151">
        <v>180</v>
      </c>
      <c r="AZ369" s="1150">
        <f>IFERROR(VLOOKUP(AY369,'CONCEPTOS Y PARAMETROS'!Y:Z,2,0),0)</f>
        <v>150</v>
      </c>
      <c r="BA369" s="1150">
        <f t="shared" si="997"/>
        <v>2336.6999999999998</v>
      </c>
      <c r="BB369" s="1150">
        <f t="shared" si="998"/>
        <v>0</v>
      </c>
      <c r="BC369" s="1028">
        <v>0</v>
      </c>
      <c r="BD369" s="1150" t="str">
        <f t="shared" si="1045"/>
        <v>0</v>
      </c>
      <c r="BE369" s="1028">
        <v>0</v>
      </c>
      <c r="BF369" s="1150">
        <f t="shared" si="1046"/>
        <v>0</v>
      </c>
      <c r="BG369" s="1151">
        <v>290</v>
      </c>
      <c r="BH369" s="1151">
        <f t="shared" si="1047"/>
        <v>0</v>
      </c>
      <c r="BI369" s="1151">
        <v>0</v>
      </c>
      <c r="BJ369" s="1151">
        <f t="shared" si="1002"/>
        <v>0</v>
      </c>
      <c r="BK369" s="1151">
        <v>0</v>
      </c>
      <c r="BL369" s="1150">
        <f t="shared" si="1062"/>
        <v>11.5</v>
      </c>
      <c r="BM369" s="1150">
        <f t="shared" si="1063"/>
        <v>1.44</v>
      </c>
      <c r="BN369" s="1150">
        <f t="shared" si="1048"/>
        <v>3.12</v>
      </c>
      <c r="BO369" s="1150">
        <v>0</v>
      </c>
      <c r="BP369" s="1150">
        <v>0</v>
      </c>
      <c r="BQ369" s="1396">
        <f t="shared" si="1004"/>
        <v>16.059999999999999</v>
      </c>
      <c r="BR369" s="1150">
        <f t="shared" si="1064"/>
        <v>25.88</v>
      </c>
      <c r="BS369" s="1150">
        <f t="shared" si="1065"/>
        <v>5.75</v>
      </c>
      <c r="BT369" s="1150">
        <f t="shared" si="1049"/>
        <v>6.24</v>
      </c>
      <c r="BU369" s="1150">
        <v>0</v>
      </c>
      <c r="BV369" s="1151">
        <f t="shared" si="1037"/>
        <v>37.869999999999997</v>
      </c>
      <c r="BW369" s="1155">
        <f t="shared" si="1038"/>
        <v>53.929999999999993</v>
      </c>
      <c r="BX369" s="1155">
        <f t="shared" si="1067"/>
        <v>584.17999999999995</v>
      </c>
      <c r="BY369" s="1151">
        <v>0</v>
      </c>
      <c r="BZ369" s="1151">
        <f t="shared" si="1009"/>
        <v>584.17999999999995</v>
      </c>
      <c r="CA369" s="1397">
        <f>'CONCEPTOS Y PARAMETROS'!$A$102</f>
        <v>2120</v>
      </c>
      <c r="CB369" s="1155">
        <f t="shared" si="1010"/>
        <v>152.22</v>
      </c>
      <c r="CC369" s="1156">
        <f t="shared" si="1011"/>
        <v>433.28</v>
      </c>
      <c r="CD369" s="514"/>
      <c r="CE369" s="514"/>
      <c r="CF369" s="520"/>
      <c r="CG369" s="497">
        <f t="shared" si="1012"/>
        <v>152.22</v>
      </c>
      <c r="CH369" s="1711">
        <f t="shared" si="1050"/>
        <v>290</v>
      </c>
      <c r="CI369" s="497">
        <f t="shared" si="1014"/>
        <v>433.28</v>
      </c>
      <c r="CJ369" s="497">
        <f t="shared" si="1015"/>
        <v>433.28</v>
      </c>
      <c r="CK369" s="497">
        <f t="shared" si="1016"/>
        <v>0</v>
      </c>
      <c r="CL369" s="497">
        <f t="shared" si="1051"/>
        <v>0</v>
      </c>
      <c r="CM369" s="497">
        <f t="shared" si="1052"/>
        <v>0</v>
      </c>
      <c r="CN369" s="498">
        <f t="shared" si="1053"/>
        <v>0</v>
      </c>
      <c r="CO369" s="499">
        <v>0</v>
      </c>
      <c r="CP369" s="498">
        <f t="shared" si="1054"/>
        <v>0</v>
      </c>
      <c r="CQ369" s="500">
        <f t="shared" si="1055"/>
        <v>0</v>
      </c>
      <c r="CR369" s="498">
        <f t="shared" si="1056"/>
        <v>0</v>
      </c>
      <c r="CS369" s="498">
        <f t="shared" si="1057"/>
        <v>0</v>
      </c>
      <c r="CT369" s="498">
        <f t="shared" si="1058"/>
        <v>53.929999999999993</v>
      </c>
      <c r="CU369" s="498">
        <f t="shared" si="1059"/>
        <v>2120</v>
      </c>
      <c r="CV369" s="1554"/>
      <c r="CW369" s="1343" t="s">
        <v>6971</v>
      </c>
      <c r="CX369" s="1343" t="s">
        <v>6941</v>
      </c>
      <c r="CY369" s="472"/>
      <c r="CZ369" s="514" t="s">
        <v>6533</v>
      </c>
      <c r="DA369" s="514" t="s">
        <v>6188</v>
      </c>
      <c r="DB369" s="514" t="s">
        <v>6170</v>
      </c>
      <c r="DC369" s="514" t="s">
        <v>6612</v>
      </c>
      <c r="DD369" s="472"/>
      <c r="DE369" s="472"/>
      <c r="DF369" s="472"/>
      <c r="DG369" s="472"/>
      <c r="DH369" s="472"/>
      <c r="DJ369" s="473" t="str">
        <f>VLOOKUP(X369,Hoja1!$A$4:$B$10,2,0)</f>
        <v>BACHILLER</v>
      </c>
      <c r="DK369" s="473" t="str">
        <f>VLOOKUP(S369,Hoja1!$D$4:$F$77,3,0)</f>
        <v>GRADO (3) - MÁX</v>
      </c>
      <c r="DL369" s="1216" t="str">
        <f t="shared" si="1060"/>
        <v>0</v>
      </c>
      <c r="DM369" s="1741" t="str">
        <f t="shared" si="1061"/>
        <v>M</v>
      </c>
      <c r="DN369" s="1741"/>
    </row>
    <row r="370" spans="1:118" s="478" customFormat="1" ht="21.95" customHeight="1">
      <c r="A370" s="510" t="s">
        <v>2834</v>
      </c>
      <c r="B370" s="1390">
        <f t="shared" ca="1" si="1028"/>
        <v>59</v>
      </c>
      <c r="C370" s="1028">
        <v>14780893</v>
      </c>
      <c r="D370" s="1343" t="s">
        <v>5018</v>
      </c>
      <c r="E370" s="1180" t="s">
        <v>4622</v>
      </c>
      <c r="F370" s="1161">
        <v>29790</v>
      </c>
      <c r="G370" s="1180" t="s">
        <v>4621</v>
      </c>
      <c r="H370" s="1161">
        <v>41570</v>
      </c>
      <c r="I370" s="1185">
        <f t="shared" si="1039"/>
        <v>11</v>
      </c>
      <c r="J370" s="1177">
        <v>0</v>
      </c>
      <c r="K370" s="1185">
        <f t="shared" si="1040"/>
        <v>11</v>
      </c>
      <c r="L370" s="1191" t="s">
        <v>5559</v>
      </c>
      <c r="M370" s="1177"/>
      <c r="N370" s="1177"/>
      <c r="O370" s="1040" t="s">
        <v>5084</v>
      </c>
      <c r="P370" s="1177" t="s">
        <v>5159</v>
      </c>
      <c r="Q370" s="1391">
        <v>7152</v>
      </c>
      <c r="R370" s="1514" t="s">
        <v>5084</v>
      </c>
      <c r="S370" s="1513">
        <v>3</v>
      </c>
      <c r="T370" s="1150">
        <f>IFERROR(VLOOKUP(S370,'TAB OBR'!A:B,2,0),0)</f>
        <v>152</v>
      </c>
      <c r="U370" s="1151">
        <v>0</v>
      </c>
      <c r="V370" s="1150">
        <f t="shared" si="1041"/>
        <v>152</v>
      </c>
      <c r="W370" s="1151">
        <f t="shared" si="984"/>
        <v>76</v>
      </c>
      <c r="X370" s="1180" t="s">
        <v>2884</v>
      </c>
      <c r="Y370" s="1180" t="s">
        <v>2884</v>
      </c>
      <c r="Z370" s="1180">
        <v>0</v>
      </c>
      <c r="AA370" s="1150">
        <f>ROUND(IF(H370&lt;&gt;"",VLOOKUP(SUM(I370+J370),'CONCEPTOS Y PARAMETROS'!F:G,2,0)*V370,0),2)</f>
        <v>18.850000000000001</v>
      </c>
      <c r="AB370" s="1150">
        <f>IF(S370&lt;&gt;"",IF(M370="",'CONCEPTOS Y PARAMETROS'!$C$4,0),0)</f>
        <v>130</v>
      </c>
      <c r="AC370" s="1150">
        <f>IF(S370&lt;&gt;"",IF(M370="",'CONCEPTOS Y PARAMETROS'!$C$7*Z370,0),0)</f>
        <v>0</v>
      </c>
      <c r="AD370" s="1150">
        <f>IFERROR(ROUND(VLOOKUP($X370,'CONCEPTOS Y PARAMETROS'!H:I,2,0)*($V370+AA370+AB370+AC370),2),0)</f>
        <v>0</v>
      </c>
      <c r="AE370" s="1150">
        <f t="shared" si="1042"/>
        <v>148.85</v>
      </c>
      <c r="AF370" s="1150">
        <f t="shared" si="986"/>
        <v>9.43</v>
      </c>
      <c r="AG370" s="1150">
        <f t="shared" si="987"/>
        <v>9.42</v>
      </c>
      <c r="AH370" s="1150">
        <f t="shared" si="988"/>
        <v>65</v>
      </c>
      <c r="AI370" s="1150">
        <f t="shared" si="989"/>
        <v>65</v>
      </c>
      <c r="AJ370" s="1150">
        <f t="shared" si="990"/>
        <v>0</v>
      </c>
      <c r="AK370" s="1150">
        <f t="shared" si="991"/>
        <v>0</v>
      </c>
      <c r="AL370" s="1151">
        <f t="shared" si="992"/>
        <v>74.430000000000007</v>
      </c>
      <c r="AM370" s="1151">
        <f t="shared" si="993"/>
        <v>74.42</v>
      </c>
      <c r="AN370" s="1028">
        <v>0</v>
      </c>
      <c r="AO370" s="1193">
        <f>'CONCEPTOS Y PARAMETROS'!$C$18*AN370</f>
        <v>0</v>
      </c>
      <c r="AP370" s="1028">
        <v>0</v>
      </c>
      <c r="AQ370" s="1193">
        <f>'CONCEPTOS Y PARAMETROS'!$C$21*AP370</f>
        <v>0</v>
      </c>
      <c r="AR370" s="1394">
        <v>0</v>
      </c>
      <c r="AS370" s="1394">
        <v>0</v>
      </c>
      <c r="AT370" s="1394">
        <f t="shared" si="1036"/>
        <v>0</v>
      </c>
      <c r="AU370" s="1151">
        <f t="shared" si="1043"/>
        <v>300.85000000000002</v>
      </c>
      <c r="AV370" s="1178">
        <v>0</v>
      </c>
      <c r="AW370" s="1151">
        <f t="shared" si="1044"/>
        <v>0</v>
      </c>
      <c r="AX370" s="1150">
        <f>IF(T370&lt;&gt;"0",(ROUND(IF(A370="EMPLEADO",eval_formula('CONCEPTOS Y PARAMETROS'!$C$8,NOMINA!V370,NOMINA!$AU370,NOMINA!I370+NOMINA!J370),eval_formula('CONCEPTOS Y PARAMETROS'!$D$8,NOMINA!V370,NOMINA!$AU370,NOMINA!I370+NOMINA!J370)),2))*IF(H370&lt;&gt;"",IF(MONTH(H370)=$BR$8,IF(YEAR(H370)&lt;$BT$7,1,0),0)))</f>
        <v>0</v>
      </c>
      <c r="AY370" s="1151">
        <v>180</v>
      </c>
      <c r="AZ370" s="1150">
        <f>IFERROR(VLOOKUP(AY370,'CONCEPTOS Y PARAMETROS'!Y:Z,2,0),0)</f>
        <v>150</v>
      </c>
      <c r="BA370" s="1150">
        <f t="shared" si="997"/>
        <v>2256.38</v>
      </c>
      <c r="BB370" s="1150">
        <f t="shared" si="998"/>
        <v>0</v>
      </c>
      <c r="BC370" s="1028">
        <v>0</v>
      </c>
      <c r="BD370" s="1150" t="str">
        <f t="shared" si="1045"/>
        <v>0</v>
      </c>
      <c r="BE370" s="1028">
        <v>0</v>
      </c>
      <c r="BF370" s="1150">
        <f t="shared" si="1046"/>
        <v>0</v>
      </c>
      <c r="BG370" s="1151">
        <v>290</v>
      </c>
      <c r="BH370" s="1151">
        <f t="shared" si="1047"/>
        <v>0</v>
      </c>
      <c r="BI370" s="1151">
        <v>0</v>
      </c>
      <c r="BJ370" s="1151">
        <f t="shared" si="1002"/>
        <v>0</v>
      </c>
      <c r="BK370" s="1151">
        <v>0</v>
      </c>
      <c r="BL370" s="1150">
        <f t="shared" si="1062"/>
        <v>11.11</v>
      </c>
      <c r="BM370" s="1150">
        <f t="shared" si="1063"/>
        <v>1.39</v>
      </c>
      <c r="BN370" s="1150">
        <f t="shared" si="1048"/>
        <v>3.01</v>
      </c>
      <c r="BO370" s="1150">
        <v>0</v>
      </c>
      <c r="BP370" s="1150">
        <v>0</v>
      </c>
      <c r="BQ370" s="1396">
        <f t="shared" si="1004"/>
        <v>15.51</v>
      </c>
      <c r="BR370" s="1150">
        <f t="shared" si="1064"/>
        <v>24.99</v>
      </c>
      <c r="BS370" s="1150">
        <f t="shared" si="1065"/>
        <v>5.55</v>
      </c>
      <c r="BT370" s="1150">
        <f t="shared" si="1049"/>
        <v>6.02</v>
      </c>
      <c r="BU370" s="1150">
        <v>0</v>
      </c>
      <c r="BV370" s="1151">
        <f t="shared" si="1037"/>
        <v>36.56</v>
      </c>
      <c r="BW370" s="1155">
        <f t="shared" si="1038"/>
        <v>52.07</v>
      </c>
      <c r="BX370" s="1155">
        <f t="shared" si="1067"/>
        <v>564.1</v>
      </c>
      <c r="BY370" s="1151">
        <v>0</v>
      </c>
      <c r="BZ370" s="1151">
        <f t="shared" si="1009"/>
        <v>564.1</v>
      </c>
      <c r="CA370" s="1397">
        <f>'CONCEPTOS Y PARAMETROS'!$A$102</f>
        <v>2120</v>
      </c>
      <c r="CB370" s="1155">
        <f t="shared" si="1010"/>
        <v>134.92000000000002</v>
      </c>
      <c r="CC370" s="1156">
        <f t="shared" si="1011"/>
        <v>440.42</v>
      </c>
      <c r="CD370" s="514"/>
      <c r="CE370" s="514"/>
      <c r="CF370" s="520"/>
      <c r="CG370" s="497">
        <f t="shared" si="1012"/>
        <v>134.92000000000002</v>
      </c>
      <c r="CH370" s="1711">
        <f t="shared" si="1050"/>
        <v>290</v>
      </c>
      <c r="CI370" s="497">
        <f t="shared" si="1014"/>
        <v>440.42</v>
      </c>
      <c r="CJ370" s="497">
        <f t="shared" si="1015"/>
        <v>440.42</v>
      </c>
      <c r="CK370" s="497">
        <f t="shared" si="1016"/>
        <v>0</v>
      </c>
      <c r="CL370" s="497">
        <f t="shared" si="1051"/>
        <v>0</v>
      </c>
      <c r="CM370" s="497">
        <f t="shared" si="1052"/>
        <v>0</v>
      </c>
      <c r="CN370" s="498">
        <f t="shared" si="1053"/>
        <v>0</v>
      </c>
      <c r="CO370" s="499">
        <v>0</v>
      </c>
      <c r="CP370" s="498">
        <f t="shared" si="1054"/>
        <v>0</v>
      </c>
      <c r="CQ370" s="500">
        <f t="shared" si="1055"/>
        <v>0</v>
      </c>
      <c r="CR370" s="498">
        <f t="shared" si="1056"/>
        <v>0</v>
      </c>
      <c r="CS370" s="498">
        <f t="shared" si="1057"/>
        <v>0</v>
      </c>
      <c r="CT370" s="498">
        <f t="shared" si="1058"/>
        <v>52.07</v>
      </c>
      <c r="CU370" s="498">
        <f t="shared" si="1059"/>
        <v>2120</v>
      </c>
      <c r="CV370" s="1554"/>
      <c r="CW370" s="1343" t="s">
        <v>6931</v>
      </c>
      <c r="CX370" s="1343" t="s">
        <v>7337</v>
      </c>
      <c r="CY370" s="472"/>
      <c r="CZ370" s="514" t="s">
        <v>6534</v>
      </c>
      <c r="DA370" s="514" t="s">
        <v>6161</v>
      </c>
      <c r="DB370" s="514" t="s">
        <v>6439</v>
      </c>
      <c r="DC370" s="514" t="s">
        <v>6535</v>
      </c>
      <c r="DD370" s="472"/>
      <c r="DE370" s="472"/>
      <c r="DF370" s="472"/>
      <c r="DG370" s="472"/>
      <c r="DH370" s="472"/>
      <c r="DI370" s="473"/>
      <c r="DJ370" s="473" t="str">
        <f>VLOOKUP(X370,Hoja1!$A$4:$B$10,2,0)</f>
        <v>BACHILLER</v>
      </c>
      <c r="DK370" s="473" t="str">
        <f>VLOOKUP(S370,Hoja1!$D$4:$F$77,3,0)</f>
        <v>GRADO (3) - MÁX</v>
      </c>
      <c r="DL370" s="1216" t="str">
        <f t="shared" si="1060"/>
        <v>0</v>
      </c>
      <c r="DM370" s="1741" t="str">
        <f t="shared" si="1061"/>
        <v>M</v>
      </c>
      <c r="DN370" s="1741"/>
    </row>
    <row r="371" spans="1:118" s="473" customFormat="1" ht="21.95" customHeight="1">
      <c r="A371" s="510" t="s">
        <v>2834</v>
      </c>
      <c r="B371" s="1390">
        <f t="shared" ca="1" si="1028"/>
        <v>60</v>
      </c>
      <c r="C371" s="1028">
        <v>14928047</v>
      </c>
      <c r="D371" s="1343" t="s">
        <v>5019</v>
      </c>
      <c r="E371" s="1180" t="s">
        <v>4622</v>
      </c>
      <c r="F371" s="1161">
        <v>29491</v>
      </c>
      <c r="G371" s="1180" t="s">
        <v>4620</v>
      </c>
      <c r="H371" s="1161">
        <v>43297</v>
      </c>
      <c r="I371" s="1185">
        <f t="shared" si="1039"/>
        <v>6</v>
      </c>
      <c r="J371" s="1177">
        <v>0</v>
      </c>
      <c r="K371" s="1185">
        <f t="shared" si="1040"/>
        <v>6</v>
      </c>
      <c r="L371" s="1191" t="s">
        <v>5558</v>
      </c>
      <c r="M371" s="1177"/>
      <c r="N371" s="1177"/>
      <c r="O371" s="1040" t="s">
        <v>5085</v>
      </c>
      <c r="P371" s="1177" t="s">
        <v>5160</v>
      </c>
      <c r="Q371" s="1391">
        <v>2202</v>
      </c>
      <c r="R371" s="1514" t="s">
        <v>5085</v>
      </c>
      <c r="S371" s="1513">
        <v>5</v>
      </c>
      <c r="T371" s="1150">
        <f>IFERROR(VLOOKUP(S371,'TAB OBR'!A:B,2,0),0)</f>
        <v>171</v>
      </c>
      <c r="U371" s="1151">
        <v>0</v>
      </c>
      <c r="V371" s="1150">
        <f t="shared" si="1041"/>
        <v>171</v>
      </c>
      <c r="W371" s="1151">
        <f t="shared" si="984"/>
        <v>85.5</v>
      </c>
      <c r="X371" s="1180" t="s">
        <v>2884</v>
      </c>
      <c r="Y371" s="1180" t="s">
        <v>2884</v>
      </c>
      <c r="Z371" s="1180">
        <v>0</v>
      </c>
      <c r="AA371" s="1150">
        <f>ROUND(IF(H371&lt;&gt;"",VLOOKUP(SUM(I371+J371),'CONCEPTOS Y PARAMETROS'!F:G,2,0)*V371,0),2)</f>
        <v>10.6</v>
      </c>
      <c r="AB371" s="1150">
        <f>IF(S371&lt;&gt;"",IF(M371="",'CONCEPTOS Y PARAMETROS'!$C$4,0),0)</f>
        <v>130</v>
      </c>
      <c r="AC371" s="1150">
        <f>IF(S371&lt;&gt;"",IF(M371="",'CONCEPTOS Y PARAMETROS'!$C$7*Z371,0),0)</f>
        <v>0</v>
      </c>
      <c r="AD371" s="1150">
        <f>IFERROR(ROUND(VLOOKUP($X371,'CONCEPTOS Y PARAMETROS'!H:I,2,0)*($V371+AA371+AB371+AC371),2),0)</f>
        <v>0</v>
      </c>
      <c r="AE371" s="1150">
        <f t="shared" si="1042"/>
        <v>140.6</v>
      </c>
      <c r="AF371" s="1150">
        <f t="shared" si="986"/>
        <v>5.3</v>
      </c>
      <c r="AG371" s="1150">
        <f t="shared" si="987"/>
        <v>5.3</v>
      </c>
      <c r="AH371" s="1150">
        <f t="shared" si="988"/>
        <v>65</v>
      </c>
      <c r="AI371" s="1150">
        <f t="shared" si="989"/>
        <v>65</v>
      </c>
      <c r="AJ371" s="1150">
        <f t="shared" si="990"/>
        <v>0</v>
      </c>
      <c r="AK371" s="1150">
        <f t="shared" si="991"/>
        <v>0</v>
      </c>
      <c r="AL371" s="1151">
        <f t="shared" si="992"/>
        <v>70.3</v>
      </c>
      <c r="AM371" s="1151">
        <f t="shared" si="993"/>
        <v>70.3</v>
      </c>
      <c r="AN371" s="1028">
        <v>0</v>
      </c>
      <c r="AO371" s="1193">
        <f>'CONCEPTOS Y PARAMETROS'!$C$18*AN371</f>
        <v>0</v>
      </c>
      <c r="AP371" s="1028">
        <v>0</v>
      </c>
      <c r="AQ371" s="1193">
        <f>'CONCEPTOS Y PARAMETROS'!$C$21*AP371</f>
        <v>0</v>
      </c>
      <c r="AR371" s="1394">
        <v>0</v>
      </c>
      <c r="AS371" s="1394">
        <v>0</v>
      </c>
      <c r="AT371" s="1394">
        <f t="shared" si="1036"/>
        <v>0</v>
      </c>
      <c r="AU371" s="1151">
        <f t="shared" si="1043"/>
        <v>311.60000000000002</v>
      </c>
      <c r="AV371" s="1178">
        <v>0</v>
      </c>
      <c r="AW371" s="1151">
        <f t="shared" si="1044"/>
        <v>0</v>
      </c>
      <c r="AX371" s="1150">
        <f>IF(T371&lt;&gt;"0",(ROUND(IF(A371="EMPLEADO",eval_formula('CONCEPTOS Y PARAMETROS'!$C$8,NOMINA!V371,NOMINA!$AU371,NOMINA!I371+NOMINA!J371),eval_formula('CONCEPTOS Y PARAMETROS'!$D$8,NOMINA!V371,NOMINA!$AU371,NOMINA!I371+NOMINA!J371)),2))*IF(H371&lt;&gt;"",IF(MONTH(H371)=$BR$8,IF(YEAR(H371)&lt;$BT$7,1,0),0)))</f>
        <v>0</v>
      </c>
      <c r="AY371" s="1151">
        <v>180</v>
      </c>
      <c r="AZ371" s="1150">
        <f>IFERROR(VLOOKUP(AY371,'CONCEPTOS Y PARAMETROS'!Y:Z,2,0),0)</f>
        <v>150</v>
      </c>
      <c r="BA371" s="1150">
        <f t="shared" si="997"/>
        <v>2337</v>
      </c>
      <c r="BB371" s="1150">
        <f t="shared" si="998"/>
        <v>0</v>
      </c>
      <c r="BC371" s="1028">
        <v>0</v>
      </c>
      <c r="BD371" s="1150" t="str">
        <f t="shared" si="1045"/>
        <v>0</v>
      </c>
      <c r="BE371" s="1028">
        <v>2</v>
      </c>
      <c r="BF371" s="1150">
        <f t="shared" si="1046"/>
        <v>31.16</v>
      </c>
      <c r="BG371" s="1151">
        <v>290</v>
      </c>
      <c r="BH371" s="1151">
        <f t="shared" si="1047"/>
        <v>0</v>
      </c>
      <c r="BI371" s="1151">
        <v>0</v>
      </c>
      <c r="BJ371" s="1151">
        <f t="shared" si="1002"/>
        <v>0</v>
      </c>
      <c r="BK371" s="1151">
        <v>0</v>
      </c>
      <c r="BL371" s="1150">
        <f t="shared" si="1062"/>
        <v>11.51</v>
      </c>
      <c r="BM371" s="1150">
        <f t="shared" si="1063"/>
        <v>1.44</v>
      </c>
      <c r="BN371" s="1150">
        <f t="shared" si="1048"/>
        <v>3.12</v>
      </c>
      <c r="BO371" s="1150">
        <v>0</v>
      </c>
      <c r="BP371" s="1150">
        <v>0</v>
      </c>
      <c r="BQ371" s="1396">
        <f t="shared" si="1004"/>
        <v>16.07</v>
      </c>
      <c r="BR371" s="1150">
        <f t="shared" si="1064"/>
        <v>25.89</v>
      </c>
      <c r="BS371" s="1150">
        <f t="shared" si="1065"/>
        <v>5.75</v>
      </c>
      <c r="BT371" s="1150">
        <f t="shared" si="1049"/>
        <v>6.24</v>
      </c>
      <c r="BU371" s="1150">
        <v>0</v>
      </c>
      <c r="BV371" s="1151">
        <f t="shared" si="1037"/>
        <v>37.880000000000003</v>
      </c>
      <c r="BW371" s="1155">
        <f t="shared" si="1038"/>
        <v>53.95</v>
      </c>
      <c r="BX371" s="1155">
        <f t="shared" si="1067"/>
        <v>584.25</v>
      </c>
      <c r="BY371" s="1151">
        <v>0</v>
      </c>
      <c r="BZ371" s="1151">
        <f t="shared" si="1009"/>
        <v>584.25</v>
      </c>
      <c r="CA371" s="1397">
        <f>'CONCEPTOS Y PARAMETROS'!$A$102</f>
        <v>2120</v>
      </c>
      <c r="CB371" s="1155">
        <f t="shared" si="1010"/>
        <v>139.73000000000002</v>
      </c>
      <c r="CC371" s="1156">
        <f t="shared" si="1011"/>
        <v>476.96</v>
      </c>
      <c r="CD371" s="514"/>
      <c r="CE371" s="514"/>
      <c r="CF371" s="520"/>
      <c r="CG371" s="497">
        <f t="shared" si="1012"/>
        <v>139.73000000000002</v>
      </c>
      <c r="CH371" s="1711">
        <f t="shared" si="1050"/>
        <v>290</v>
      </c>
      <c r="CI371" s="497">
        <f t="shared" si="1014"/>
        <v>445.8</v>
      </c>
      <c r="CJ371" s="497">
        <f t="shared" si="1015"/>
        <v>445.8</v>
      </c>
      <c r="CK371" s="497">
        <f t="shared" si="1016"/>
        <v>0</v>
      </c>
      <c r="CL371" s="497">
        <f t="shared" si="1051"/>
        <v>0</v>
      </c>
      <c r="CM371" s="497">
        <f t="shared" si="1052"/>
        <v>0</v>
      </c>
      <c r="CN371" s="498">
        <f t="shared" si="1053"/>
        <v>31.16</v>
      </c>
      <c r="CO371" s="499">
        <v>0</v>
      </c>
      <c r="CP371" s="498">
        <f t="shared" si="1054"/>
        <v>0</v>
      </c>
      <c r="CQ371" s="500">
        <f t="shared" si="1055"/>
        <v>0</v>
      </c>
      <c r="CR371" s="498">
        <f t="shared" si="1056"/>
        <v>0</v>
      </c>
      <c r="CS371" s="498">
        <f t="shared" si="1057"/>
        <v>31.16</v>
      </c>
      <c r="CT371" s="498">
        <f t="shared" si="1058"/>
        <v>53.95</v>
      </c>
      <c r="CU371" s="498">
        <f t="shared" si="1059"/>
        <v>2120</v>
      </c>
      <c r="CV371" s="1554"/>
      <c r="CW371" s="1343" t="s">
        <v>7338</v>
      </c>
      <c r="CX371" s="1343" t="s">
        <v>6935</v>
      </c>
      <c r="CY371" s="472"/>
      <c r="CZ371" s="514" t="s">
        <v>6536</v>
      </c>
      <c r="DA371" s="514" t="s">
        <v>6188</v>
      </c>
      <c r="DB371" s="1199" t="s">
        <v>6234</v>
      </c>
      <c r="DC371" s="514" t="s">
        <v>6711</v>
      </c>
      <c r="DD371" s="472"/>
      <c r="DE371" s="472"/>
      <c r="DF371" s="472"/>
      <c r="DG371" s="472"/>
      <c r="DH371" s="472"/>
      <c r="DJ371" s="473" t="str">
        <f>VLOOKUP(X371,Hoja1!$A$4:$B$10,2,0)</f>
        <v>BACHILLER</v>
      </c>
      <c r="DK371" s="473" t="str">
        <f>VLOOKUP(S371,Hoja1!$D$4:$F$77,3,0)</f>
        <v>GRADO (5) - MÁX</v>
      </c>
      <c r="DL371" s="1216" t="str">
        <f t="shared" si="1060"/>
        <v>0</v>
      </c>
      <c r="DM371" s="1741" t="str">
        <f t="shared" si="1061"/>
        <v>F</v>
      </c>
      <c r="DN371" s="1741"/>
    </row>
    <row r="372" spans="1:118" s="478" customFormat="1" ht="21.95" customHeight="1">
      <c r="A372" s="510" t="s">
        <v>2834</v>
      </c>
      <c r="B372" s="1390">
        <f t="shared" ca="1" si="1028"/>
        <v>61</v>
      </c>
      <c r="C372" s="1028">
        <v>15042683</v>
      </c>
      <c r="D372" s="1343" t="s">
        <v>5987</v>
      </c>
      <c r="E372" s="1180" t="s">
        <v>4622</v>
      </c>
      <c r="F372" s="1161">
        <v>29847</v>
      </c>
      <c r="G372" s="1180" t="s">
        <v>4621</v>
      </c>
      <c r="H372" s="1161">
        <v>45292</v>
      </c>
      <c r="I372" s="1185">
        <f t="shared" si="1039"/>
        <v>1</v>
      </c>
      <c r="J372" s="1177">
        <v>0</v>
      </c>
      <c r="K372" s="1185">
        <f t="shared" si="1040"/>
        <v>1</v>
      </c>
      <c r="L372" s="1191" t="s">
        <v>5565</v>
      </c>
      <c r="M372" s="1177"/>
      <c r="N372" s="1177"/>
      <c r="O372" s="1040" t="s">
        <v>5093</v>
      </c>
      <c r="P372" s="1197" t="s">
        <v>5993</v>
      </c>
      <c r="Q372" s="1391">
        <v>7102</v>
      </c>
      <c r="R372" s="1514" t="s">
        <v>5093</v>
      </c>
      <c r="S372" s="1513">
        <v>1</v>
      </c>
      <c r="T372" s="1150">
        <f>IFERROR(VLOOKUP(S372,'TAB OBR'!A:B,2,0),0)</f>
        <v>130</v>
      </c>
      <c r="U372" s="1151">
        <v>0</v>
      </c>
      <c r="V372" s="1150">
        <f t="shared" ref="V372" si="1068">T372-U372</f>
        <v>130</v>
      </c>
      <c r="W372" s="1151">
        <f t="shared" ref="W372" si="1069">ROUND(V372/2,2)</f>
        <v>65</v>
      </c>
      <c r="X372" s="1180" t="s">
        <v>2884</v>
      </c>
      <c r="Y372" s="1180" t="s">
        <v>2884</v>
      </c>
      <c r="Z372" s="1180">
        <v>1</v>
      </c>
      <c r="AA372" s="1150">
        <f>ROUND(IF(H372&lt;&gt;"",VLOOKUP(SUM(I372+J372),'CONCEPTOS Y PARAMETROS'!F:G,2,0)*V372,0),2)</f>
        <v>1.3</v>
      </c>
      <c r="AB372" s="1150">
        <f>IF(S372&lt;&gt;"",IF(M372="",'CONCEPTOS Y PARAMETROS'!$C$4,0),0)</f>
        <v>130</v>
      </c>
      <c r="AC372" s="1150">
        <f>IF(S372&lt;&gt;"",IF(M372="",'CONCEPTOS Y PARAMETROS'!$C$7*Z372,0),0)</f>
        <v>12.5</v>
      </c>
      <c r="AD372" s="1150">
        <f>IFERROR(ROUND(VLOOKUP($X372,'CONCEPTOS Y PARAMETROS'!H:I,2,0)*($V372+AA372+AB372+AC372),2),0)</f>
        <v>0</v>
      </c>
      <c r="AE372" s="1150">
        <f t="shared" ref="AE372" si="1070">SUM(AA372:AD372)</f>
        <v>143.80000000000001</v>
      </c>
      <c r="AF372" s="1150">
        <f t="shared" ref="AF372" si="1071">ROUND(AA372/2,2)</f>
        <v>0.65</v>
      </c>
      <c r="AG372" s="1150">
        <f t="shared" ref="AG372" si="1072">ROUND(AA372-AF372,2)</f>
        <v>0.65</v>
      </c>
      <c r="AH372" s="1150">
        <f t="shared" ref="AH372" si="1073">ROUND(AB372/2,2)</f>
        <v>65</v>
      </c>
      <c r="AI372" s="1150">
        <f t="shared" ref="AI372" si="1074">ROUND(AB372-AH372,2)</f>
        <v>65</v>
      </c>
      <c r="AJ372" s="1150">
        <f t="shared" ref="AJ372" si="1075">ROUND(AD372/2,2)</f>
        <v>0</v>
      </c>
      <c r="AK372" s="1150">
        <f t="shared" ref="AK372" si="1076">ROUND(AD372-AJ372,2)</f>
        <v>0</v>
      </c>
      <c r="AL372" s="1151">
        <f t="shared" ref="AL372" si="1077">ROUND(AF372+AH372+AJ372+AC372,2)</f>
        <v>78.150000000000006</v>
      </c>
      <c r="AM372" s="1151">
        <f t="shared" ref="AM372" si="1078">ROUND(AG372+AI372+AK372,2)</f>
        <v>65.650000000000006</v>
      </c>
      <c r="AN372" s="1583">
        <v>1</v>
      </c>
      <c r="AO372" s="1193">
        <f>'CONCEPTOS Y PARAMETROS'!$C$18*AN372</f>
        <v>12.5</v>
      </c>
      <c r="AP372" s="1028">
        <v>0</v>
      </c>
      <c r="AQ372" s="1193">
        <f>'CONCEPTOS Y PARAMETROS'!$C$21*AP372</f>
        <v>0</v>
      </c>
      <c r="AR372" s="1394">
        <v>0</v>
      </c>
      <c r="AS372" s="1394">
        <v>0</v>
      </c>
      <c r="AT372" s="1394">
        <f t="shared" ref="AT372" si="1079">+AO372+AQ372+AR372+AS372</f>
        <v>12.5</v>
      </c>
      <c r="AU372" s="1151">
        <f t="shared" ref="AU372" si="1080">V372+AE372+AW372</f>
        <v>273.8</v>
      </c>
      <c r="AV372" s="1178">
        <v>0</v>
      </c>
      <c r="AW372" s="1151">
        <f t="shared" ref="AW372" si="1081">ROUND(IF(AV372="NOCTURN",(V372+AE372)*30%,0),2)</f>
        <v>0</v>
      </c>
      <c r="AX372" s="1150">
        <f>IF(T372&lt;&gt;"0",(ROUND(IF(A372="EMPLEADO",eval_formula('CONCEPTOS Y PARAMETROS'!$C$8,NOMINA!V372,NOMINA!$AU372,NOMINA!I372+NOMINA!J372),eval_formula('CONCEPTOS Y PARAMETROS'!$D$8,NOMINA!V372,NOMINA!$AU372,NOMINA!I372+NOMINA!J372)),2))*IF(H372&lt;&gt;"",IF(MONTH(H372)=$BR$8,IF(YEAR(H372)&lt;$BT$7,1,0),0)))</f>
        <v>2190.4</v>
      </c>
      <c r="AY372" s="1151">
        <v>180</v>
      </c>
      <c r="AZ372" s="1150">
        <f>IFERROR(VLOOKUP(AY372,'CONCEPTOS Y PARAMETROS'!Y:Z,2,0),0)</f>
        <v>150</v>
      </c>
      <c r="BA372" s="1150">
        <f t="shared" ref="BA372" si="1082">ROUND((((AU372))/30*AY372/12+(AU372))/30*AZ372,2)</f>
        <v>2053.5</v>
      </c>
      <c r="BB372" s="1150">
        <f t="shared" ref="BB372" si="1083">ROUND(AU372/30*$BB$10,2)</f>
        <v>0</v>
      </c>
      <c r="BC372" s="1028">
        <v>0</v>
      </c>
      <c r="BD372" s="1150" t="str">
        <f t="shared" ref="BD372" si="1084">IF(BC372&gt;0,((((((V372+AA372+AB372+AC372+AD372)/30)/8)*50%)+((((V372+AA372+AB372+AC372+AD372)/30)/8)))*30%+(((((V372+AA372+AB372+AC372+AD372)/30)/8)*50%)+((((V372+AA372+AB372+AC372+AD372)/30)/8))))*BC372,"0")</f>
        <v>0</v>
      </c>
      <c r="BE372" s="1028">
        <v>1</v>
      </c>
      <c r="BF372" s="1150">
        <f t="shared" si="1046"/>
        <v>13.69</v>
      </c>
      <c r="BG372" s="1151">
        <v>290</v>
      </c>
      <c r="BH372" s="1151">
        <f t="shared" si="1047"/>
        <v>0</v>
      </c>
      <c r="BI372" s="1151">
        <v>0</v>
      </c>
      <c r="BJ372" s="1151">
        <f t="shared" si="1002"/>
        <v>0</v>
      </c>
      <c r="BK372" s="1151">
        <v>0</v>
      </c>
      <c r="BL372" s="1150">
        <f t="shared" si="1062"/>
        <v>10.11</v>
      </c>
      <c r="BM372" s="1150">
        <f t="shared" si="1063"/>
        <v>1.26</v>
      </c>
      <c r="BN372" s="1150">
        <f t="shared" si="1048"/>
        <v>2.74</v>
      </c>
      <c r="BO372" s="1150">
        <v>0</v>
      </c>
      <c r="BP372" s="1150">
        <v>0</v>
      </c>
      <c r="BQ372" s="1396">
        <f t="shared" ref="BQ372" si="1085">ROUND(SUM(BL372:BP372),2)</f>
        <v>14.11</v>
      </c>
      <c r="BR372" s="1150">
        <f t="shared" si="1064"/>
        <v>22.75</v>
      </c>
      <c r="BS372" s="1150">
        <f t="shared" si="1065"/>
        <v>5.05</v>
      </c>
      <c r="BT372" s="1150">
        <f t="shared" si="1049"/>
        <v>5.48</v>
      </c>
      <c r="BU372" s="1150">
        <v>0</v>
      </c>
      <c r="BV372" s="1151">
        <f t="shared" si="1037"/>
        <v>33.28</v>
      </c>
      <c r="BW372" s="1155">
        <f t="shared" ref="BW372" si="1086">BQ372+BV372</f>
        <v>47.39</v>
      </c>
      <c r="BX372" s="1155">
        <f t="shared" si="1067"/>
        <v>513.38</v>
      </c>
      <c r="BY372" s="1151">
        <v>0</v>
      </c>
      <c r="BZ372" s="1151">
        <f t="shared" si="1009"/>
        <v>513.38</v>
      </c>
      <c r="CA372" s="1397">
        <f>'CONCEPTOS Y PARAMETROS'!$A$102</f>
        <v>2120</v>
      </c>
      <c r="CB372" s="1155">
        <f t="shared" si="1010"/>
        <v>129.04000000000002</v>
      </c>
      <c r="CC372" s="1156">
        <f t="shared" si="1011"/>
        <v>2637.24</v>
      </c>
      <c r="CD372" s="514"/>
      <c r="CE372" s="514"/>
      <c r="CF372" s="521"/>
      <c r="CG372" s="511">
        <f t="shared" si="1012"/>
        <v>129.04000000000002</v>
      </c>
      <c r="CH372" s="1712">
        <f t="shared" si="1050"/>
        <v>290</v>
      </c>
      <c r="CI372" s="511">
        <f t="shared" si="1014"/>
        <v>420.65</v>
      </c>
      <c r="CJ372" s="511">
        <f t="shared" si="1015"/>
        <v>420.65</v>
      </c>
      <c r="CK372" s="511">
        <f t="shared" si="1016"/>
        <v>0</v>
      </c>
      <c r="CL372" s="511">
        <f t="shared" si="1051"/>
        <v>0</v>
      </c>
      <c r="CM372" s="511">
        <f t="shared" si="1052"/>
        <v>0</v>
      </c>
      <c r="CN372" s="512">
        <f t="shared" si="1053"/>
        <v>13.69</v>
      </c>
      <c r="CO372" s="513">
        <v>0</v>
      </c>
      <c r="CP372" s="512">
        <f t="shared" si="1054"/>
        <v>0</v>
      </c>
      <c r="CQ372" s="500">
        <f t="shared" si="1055"/>
        <v>12.5</v>
      </c>
      <c r="CR372" s="512">
        <f t="shared" si="1056"/>
        <v>2190.4</v>
      </c>
      <c r="CS372" s="512">
        <f t="shared" si="1057"/>
        <v>2216.59</v>
      </c>
      <c r="CT372" s="512">
        <f t="shared" si="1058"/>
        <v>47.39</v>
      </c>
      <c r="CU372" s="512">
        <f t="shared" si="1059"/>
        <v>2120</v>
      </c>
      <c r="CV372" s="1556"/>
      <c r="CW372" s="1343" t="s">
        <v>7049</v>
      </c>
      <c r="CX372" s="1343" t="s">
        <v>7339</v>
      </c>
      <c r="CY372" s="514"/>
      <c r="CZ372" s="1188" t="s">
        <v>6607</v>
      </c>
      <c r="DA372" s="514" t="s">
        <v>6188</v>
      </c>
      <c r="DB372" s="514" t="s">
        <v>6342</v>
      </c>
      <c r="DC372" s="478" t="s">
        <v>6626</v>
      </c>
      <c r="DD372" s="514"/>
      <c r="DE372" s="514"/>
      <c r="DF372" s="514"/>
      <c r="DG372" s="514"/>
      <c r="DH372" s="514"/>
      <c r="DJ372" s="478" t="str">
        <f>VLOOKUP(X372,Hoja1!$A$4:$B$10,2,0)</f>
        <v>BACHILLER</v>
      </c>
      <c r="DK372" s="478" t="str">
        <f>VLOOKUP(S372,Hoja1!$D$4:$F$77,3,0)</f>
        <v>GRADO (1) - MIN</v>
      </c>
      <c r="DL372" s="1386" t="str">
        <f t="shared" si="1060"/>
        <v>0</v>
      </c>
      <c r="DM372" s="1743" t="str">
        <f t="shared" si="1061"/>
        <v>M</v>
      </c>
      <c r="DN372" s="1743"/>
    </row>
    <row r="373" spans="1:118" s="473" customFormat="1" ht="21.95" customHeight="1">
      <c r="A373" s="510" t="s">
        <v>2834</v>
      </c>
      <c r="B373" s="1390">
        <f t="shared" ca="1" si="1028"/>
        <v>62</v>
      </c>
      <c r="C373" s="1028">
        <v>15583194</v>
      </c>
      <c r="D373" s="1343" t="s">
        <v>5021</v>
      </c>
      <c r="E373" s="1180" t="s">
        <v>4622</v>
      </c>
      <c r="F373" s="1161">
        <v>30427</v>
      </c>
      <c r="G373" s="1180" t="s">
        <v>4621</v>
      </c>
      <c r="H373" s="1161">
        <v>44166</v>
      </c>
      <c r="I373" s="1185">
        <f t="shared" si="1039"/>
        <v>4</v>
      </c>
      <c r="J373" s="1177">
        <v>8</v>
      </c>
      <c r="K373" s="1185">
        <f t="shared" si="1040"/>
        <v>12</v>
      </c>
      <c r="L373" s="1191" t="s">
        <v>5558</v>
      </c>
      <c r="M373" s="1177"/>
      <c r="N373" s="1177"/>
      <c r="O373" s="1040" t="s">
        <v>5092</v>
      </c>
      <c r="P373" s="1177" t="s">
        <v>5161</v>
      </c>
      <c r="Q373" s="1391">
        <v>2202</v>
      </c>
      <c r="R373" s="1514" t="s">
        <v>5092</v>
      </c>
      <c r="S373" s="1513">
        <v>5</v>
      </c>
      <c r="T373" s="1150">
        <f>IFERROR(VLOOKUP(S373,'TAB OBR'!A:B,2,0),0)</f>
        <v>171</v>
      </c>
      <c r="U373" s="1151">
        <v>0</v>
      </c>
      <c r="V373" s="1150">
        <f t="shared" si="1041"/>
        <v>171</v>
      </c>
      <c r="W373" s="1151">
        <f t="shared" si="984"/>
        <v>85.5</v>
      </c>
      <c r="X373" s="1180" t="s">
        <v>2884</v>
      </c>
      <c r="Y373" s="1180" t="s">
        <v>2884</v>
      </c>
      <c r="Z373" s="1180">
        <v>2</v>
      </c>
      <c r="AA373" s="1150">
        <f>ROUND(IF(H373&lt;&gt;"",VLOOKUP(SUM(I373+J373),'CONCEPTOS Y PARAMETROS'!F:G,2,0)*V373,0),2)</f>
        <v>23.6</v>
      </c>
      <c r="AB373" s="1150">
        <f>IF(S373&lt;&gt;"",IF(M373="",'CONCEPTOS Y PARAMETROS'!$C$4,0),0)</f>
        <v>130</v>
      </c>
      <c r="AC373" s="1150">
        <f>IF(S373&lt;&gt;"",IF(M373="",'CONCEPTOS Y PARAMETROS'!$C$7*Z373,0),0)</f>
        <v>25</v>
      </c>
      <c r="AD373" s="1150">
        <f>IFERROR(ROUND(VLOOKUP($X373,'CONCEPTOS Y PARAMETROS'!H:I,2,0)*($V373+AA373+AB373+AC373),2),0)</f>
        <v>0</v>
      </c>
      <c r="AE373" s="1150">
        <f t="shared" si="1042"/>
        <v>178.6</v>
      </c>
      <c r="AF373" s="1150">
        <f t="shared" si="986"/>
        <v>11.8</v>
      </c>
      <c r="AG373" s="1150">
        <f t="shared" si="987"/>
        <v>11.8</v>
      </c>
      <c r="AH373" s="1150">
        <f t="shared" si="988"/>
        <v>65</v>
      </c>
      <c r="AI373" s="1150">
        <f t="shared" si="989"/>
        <v>65</v>
      </c>
      <c r="AJ373" s="1150">
        <f t="shared" si="990"/>
        <v>0</v>
      </c>
      <c r="AK373" s="1150">
        <f t="shared" si="991"/>
        <v>0</v>
      </c>
      <c r="AL373" s="1151">
        <f t="shared" si="992"/>
        <v>101.8</v>
      </c>
      <c r="AM373" s="1151">
        <f t="shared" si="993"/>
        <v>76.8</v>
      </c>
      <c r="AN373" s="1584">
        <v>1</v>
      </c>
      <c r="AO373" s="1193">
        <f>'CONCEPTOS Y PARAMETROS'!$C$18*AN373</f>
        <v>12.5</v>
      </c>
      <c r="AP373" s="1028">
        <v>0</v>
      </c>
      <c r="AQ373" s="1193">
        <f>'CONCEPTOS Y PARAMETROS'!$C$21*AP373</f>
        <v>0</v>
      </c>
      <c r="AR373" s="1394">
        <v>0</v>
      </c>
      <c r="AS373" s="1394">
        <v>0</v>
      </c>
      <c r="AT373" s="1394">
        <f t="shared" si="1036"/>
        <v>12.5</v>
      </c>
      <c r="AU373" s="1151">
        <f t="shared" si="1043"/>
        <v>349.6</v>
      </c>
      <c r="AV373" s="1178">
        <v>0</v>
      </c>
      <c r="AW373" s="1151">
        <f t="shared" si="1044"/>
        <v>0</v>
      </c>
      <c r="AX373" s="1150">
        <f>IF(T373&lt;&gt;"0",(ROUND(IF(A373="EMPLEADO",eval_formula('CONCEPTOS Y PARAMETROS'!$C$8,NOMINA!V373,NOMINA!$AU373,NOMINA!I373+NOMINA!J373),eval_formula('CONCEPTOS Y PARAMETROS'!$D$8,NOMINA!V373,NOMINA!$AU373,NOMINA!I373+NOMINA!J373)),2))*IF(H373&lt;&gt;"",IF(MONTH(H373)=$BR$8,IF(YEAR(H373)&lt;$BT$7,1,0),0)))</f>
        <v>0</v>
      </c>
      <c r="AY373" s="1151">
        <v>180</v>
      </c>
      <c r="AZ373" s="1150">
        <f>IFERROR(VLOOKUP(AY373,'CONCEPTOS Y PARAMETROS'!Y:Z,2,0),0)</f>
        <v>150</v>
      </c>
      <c r="BA373" s="1150">
        <f t="shared" si="997"/>
        <v>2622</v>
      </c>
      <c r="BB373" s="1150">
        <f t="shared" si="998"/>
        <v>0</v>
      </c>
      <c r="BC373" s="1028">
        <v>0</v>
      </c>
      <c r="BD373" s="1150" t="str">
        <f t="shared" si="1045"/>
        <v>0</v>
      </c>
      <c r="BE373" s="1028">
        <v>2</v>
      </c>
      <c r="BF373" s="1150">
        <f t="shared" si="1046"/>
        <v>34.96</v>
      </c>
      <c r="BG373" s="1151">
        <v>290</v>
      </c>
      <c r="BH373" s="1151">
        <f t="shared" si="1047"/>
        <v>0</v>
      </c>
      <c r="BI373" s="1151">
        <v>0</v>
      </c>
      <c r="BJ373" s="1151">
        <f t="shared" si="1002"/>
        <v>0</v>
      </c>
      <c r="BK373" s="1151">
        <v>0</v>
      </c>
      <c r="BL373" s="1150">
        <f t="shared" si="1062"/>
        <v>12.91</v>
      </c>
      <c r="BM373" s="1150">
        <f t="shared" si="1063"/>
        <v>1.61</v>
      </c>
      <c r="BN373" s="1150">
        <f t="shared" si="1048"/>
        <v>3.5</v>
      </c>
      <c r="BO373" s="1150">
        <v>0</v>
      </c>
      <c r="BP373" s="1150">
        <v>0</v>
      </c>
      <c r="BQ373" s="1396">
        <f t="shared" ref="BQ373" si="1087">ROUND(SUM(BL373:BP373),2)</f>
        <v>18.02</v>
      </c>
      <c r="BR373" s="1150">
        <f t="shared" si="1064"/>
        <v>29.04</v>
      </c>
      <c r="BS373" s="1150">
        <f t="shared" si="1065"/>
        <v>6.45</v>
      </c>
      <c r="BT373" s="1150">
        <f t="shared" si="1049"/>
        <v>7</v>
      </c>
      <c r="BU373" s="1150">
        <v>0</v>
      </c>
      <c r="BV373" s="1151">
        <f t="shared" ref="BV373" si="1088">ROUND(SUM(BR373:BT373),2)</f>
        <v>42.49</v>
      </c>
      <c r="BW373" s="1155">
        <f t="shared" ref="BW373" si="1089">BQ373+BV373</f>
        <v>60.510000000000005</v>
      </c>
      <c r="BX373" s="1155">
        <f t="shared" si="1067"/>
        <v>655.5</v>
      </c>
      <c r="BY373" s="1151">
        <v>0</v>
      </c>
      <c r="BZ373" s="1151">
        <f t="shared" si="1009"/>
        <v>655.5</v>
      </c>
      <c r="CA373" s="1397">
        <f>'CONCEPTOS Y PARAMETROS'!$A$102</f>
        <v>2120</v>
      </c>
      <c r="CB373" s="1155">
        <f t="shared" si="1010"/>
        <v>169.28</v>
      </c>
      <c r="CC373" s="1156">
        <f t="shared" si="1011"/>
        <v>499.76</v>
      </c>
      <c r="CD373" s="514"/>
      <c r="CE373" s="514"/>
      <c r="CF373" s="520"/>
      <c r="CG373" s="497">
        <f t="shared" si="1012"/>
        <v>169.28</v>
      </c>
      <c r="CH373" s="1711">
        <f t="shared" si="1050"/>
        <v>290</v>
      </c>
      <c r="CI373" s="497">
        <f t="shared" si="1014"/>
        <v>452.3</v>
      </c>
      <c r="CJ373" s="497">
        <f t="shared" si="1015"/>
        <v>452.3</v>
      </c>
      <c r="CK373" s="497">
        <f t="shared" si="1016"/>
        <v>0</v>
      </c>
      <c r="CL373" s="497">
        <f t="shared" si="1051"/>
        <v>0</v>
      </c>
      <c r="CM373" s="497">
        <f t="shared" si="1052"/>
        <v>0</v>
      </c>
      <c r="CN373" s="498">
        <f t="shared" si="1053"/>
        <v>34.96</v>
      </c>
      <c r="CO373" s="499">
        <v>0</v>
      </c>
      <c r="CP373" s="498">
        <f t="shared" si="1054"/>
        <v>0</v>
      </c>
      <c r="CQ373" s="500">
        <f t="shared" si="1055"/>
        <v>12.5</v>
      </c>
      <c r="CR373" s="498">
        <f t="shared" si="1056"/>
        <v>0</v>
      </c>
      <c r="CS373" s="498">
        <f t="shared" si="1057"/>
        <v>47.46</v>
      </c>
      <c r="CT373" s="498">
        <f t="shared" si="1058"/>
        <v>60.510000000000005</v>
      </c>
      <c r="CU373" s="498">
        <f t="shared" si="1059"/>
        <v>2120</v>
      </c>
      <c r="CV373" s="1554"/>
      <c r="CW373" s="1343" t="s">
        <v>7193</v>
      </c>
      <c r="CX373" s="1343" t="s">
        <v>7340</v>
      </c>
      <c r="CY373" s="472"/>
      <c r="CZ373" s="478" t="s">
        <v>6537</v>
      </c>
      <c r="DA373" s="478" t="s">
        <v>6188</v>
      </c>
      <c r="DB373" s="514" t="s">
        <v>6234</v>
      </c>
      <c r="DC373" s="514" t="s">
        <v>6626</v>
      </c>
      <c r="DF373" s="472"/>
      <c r="DG373" s="472"/>
      <c r="DH373" s="472"/>
      <c r="DJ373" s="473" t="str">
        <f>VLOOKUP(X373,Hoja1!$A$4:$B$10,2,0)</f>
        <v>BACHILLER</v>
      </c>
      <c r="DK373" s="473" t="str">
        <f>VLOOKUP(S373,Hoja1!$D$4:$F$77,3,0)</f>
        <v>GRADO (5) - MÁX</v>
      </c>
      <c r="DL373" s="1216" t="str">
        <f t="shared" si="1060"/>
        <v>0</v>
      </c>
      <c r="DM373" s="1741" t="str">
        <f t="shared" si="1061"/>
        <v>M</v>
      </c>
      <c r="DN373" s="1741"/>
    </row>
    <row r="374" spans="1:118" s="478" customFormat="1" ht="21.95" customHeight="1">
      <c r="A374" s="510" t="s">
        <v>2834</v>
      </c>
      <c r="B374" s="1390">
        <f t="shared" ca="1" si="1028"/>
        <v>63</v>
      </c>
      <c r="C374" s="1028">
        <v>14928592</v>
      </c>
      <c r="D374" s="1343" t="s">
        <v>5522</v>
      </c>
      <c r="E374" s="1180" t="s">
        <v>4622</v>
      </c>
      <c r="F374" s="1161">
        <v>29739</v>
      </c>
      <c r="G374" s="1180" t="s">
        <v>4621</v>
      </c>
      <c r="H374" s="1161">
        <v>45017</v>
      </c>
      <c r="I374" s="1185">
        <f t="shared" si="1039"/>
        <v>1</v>
      </c>
      <c r="J374" s="1177">
        <v>0</v>
      </c>
      <c r="K374" s="1185">
        <f t="shared" si="1040"/>
        <v>1</v>
      </c>
      <c r="L374" s="1191" t="s">
        <v>5558</v>
      </c>
      <c r="M374" s="1177"/>
      <c r="N374" s="1177"/>
      <c r="O374" s="1040" t="s">
        <v>5092</v>
      </c>
      <c r="P374" s="1197" t="s">
        <v>5523</v>
      </c>
      <c r="Q374" s="1391">
        <v>2202</v>
      </c>
      <c r="R374" s="1514" t="s">
        <v>5092</v>
      </c>
      <c r="S374" s="1513">
        <v>5</v>
      </c>
      <c r="T374" s="1150">
        <f>IFERROR(VLOOKUP(S374,'TAB OBR'!A:B,2,0),0)</f>
        <v>171</v>
      </c>
      <c r="U374" s="1151">
        <v>0</v>
      </c>
      <c r="V374" s="1150">
        <f t="shared" si="1041"/>
        <v>171</v>
      </c>
      <c r="W374" s="1151">
        <f t="shared" si="984"/>
        <v>85.5</v>
      </c>
      <c r="X374" s="1180" t="s">
        <v>2884</v>
      </c>
      <c r="Y374" s="1180" t="s">
        <v>2884</v>
      </c>
      <c r="Z374" s="1180">
        <v>0</v>
      </c>
      <c r="AA374" s="1150">
        <f>ROUND(IF(H374&lt;&gt;"",VLOOKUP(SUM(I374+J374),'CONCEPTOS Y PARAMETROS'!F:G,2,0)*V374,0),2)</f>
        <v>1.71</v>
      </c>
      <c r="AB374" s="1150">
        <f>IF(S374&lt;&gt;"",IF(M374="",'CONCEPTOS Y PARAMETROS'!$C$4,0),0)</f>
        <v>130</v>
      </c>
      <c r="AC374" s="1150">
        <f>IF(S374&lt;&gt;"",IF(M374="",'CONCEPTOS Y PARAMETROS'!$C$7*Z374,0),0)</f>
        <v>0</v>
      </c>
      <c r="AD374" s="1150">
        <f>IFERROR(ROUND(VLOOKUP($X374,'CONCEPTOS Y PARAMETROS'!H:I,2,0)*($V374+AA374+AB374+AC374),2),0)</f>
        <v>0</v>
      </c>
      <c r="AE374" s="1150">
        <f t="shared" si="1042"/>
        <v>131.71</v>
      </c>
      <c r="AF374" s="1150">
        <f t="shared" si="986"/>
        <v>0.86</v>
      </c>
      <c r="AG374" s="1150">
        <f t="shared" si="987"/>
        <v>0.85</v>
      </c>
      <c r="AH374" s="1150">
        <f t="shared" si="988"/>
        <v>65</v>
      </c>
      <c r="AI374" s="1150">
        <f t="shared" si="989"/>
        <v>65</v>
      </c>
      <c r="AJ374" s="1150">
        <f t="shared" si="990"/>
        <v>0</v>
      </c>
      <c r="AK374" s="1150">
        <f t="shared" si="991"/>
        <v>0</v>
      </c>
      <c r="AL374" s="1151">
        <f t="shared" si="992"/>
        <v>65.86</v>
      </c>
      <c r="AM374" s="1151">
        <f t="shared" si="993"/>
        <v>65.849999999999994</v>
      </c>
      <c r="AN374" s="1028">
        <v>0</v>
      </c>
      <c r="AO374" s="1193">
        <f>'CONCEPTOS Y PARAMETROS'!$C$18*AN374</f>
        <v>0</v>
      </c>
      <c r="AP374" s="1028">
        <v>0</v>
      </c>
      <c r="AQ374" s="1193">
        <f>'CONCEPTOS Y PARAMETROS'!$C$21*AP374</f>
        <v>0</v>
      </c>
      <c r="AR374" s="1394">
        <v>0</v>
      </c>
      <c r="AS374" s="1394">
        <v>0</v>
      </c>
      <c r="AT374" s="1394">
        <f t="shared" si="1036"/>
        <v>0</v>
      </c>
      <c r="AU374" s="1151">
        <f t="shared" si="1043"/>
        <v>302.71000000000004</v>
      </c>
      <c r="AV374" s="1178">
        <v>0</v>
      </c>
      <c r="AW374" s="1151">
        <f t="shared" si="1044"/>
        <v>0</v>
      </c>
      <c r="AX374" s="1151">
        <f>IF(T374&lt;&gt;"0",(ROUND(IF(A374="EMPLEADO",eval_formula('CONCEPTOS Y PARAMETROS'!$C$8,NOMINA!V374,NOMINA!$AU374,NOMINA!I374+NOMINA!J374),eval_formula('CONCEPTOS Y PARAMETROS'!$D$8,NOMINA!V374,NOMINA!$AU374,NOMINA!I374+NOMINA!J374)),2))*IF(H374&lt;&gt;"",IF(MONTH(H374)=$BR$8,IF(YEAR(H374)&lt;$BT$7,1,0),0)))</f>
        <v>0</v>
      </c>
      <c r="AY374" s="1151">
        <v>180</v>
      </c>
      <c r="AZ374" s="1150">
        <f>IFERROR(VLOOKUP(AY374,'CONCEPTOS Y PARAMETROS'!Y:Z,2,0),0)</f>
        <v>150</v>
      </c>
      <c r="BA374" s="1150">
        <f t="shared" si="997"/>
        <v>2270.33</v>
      </c>
      <c r="BB374" s="1150">
        <f t="shared" si="998"/>
        <v>0</v>
      </c>
      <c r="BC374" s="1028">
        <v>0</v>
      </c>
      <c r="BD374" s="1150" t="str">
        <f t="shared" si="1045"/>
        <v>0</v>
      </c>
      <c r="BE374" s="1028">
        <v>4</v>
      </c>
      <c r="BF374" s="1150">
        <f t="shared" si="1046"/>
        <v>60.54</v>
      </c>
      <c r="BG374" s="1151">
        <v>290</v>
      </c>
      <c r="BH374" s="1151">
        <f t="shared" si="1047"/>
        <v>0</v>
      </c>
      <c r="BI374" s="1151">
        <v>0</v>
      </c>
      <c r="BJ374" s="1151">
        <f t="shared" si="1002"/>
        <v>0</v>
      </c>
      <c r="BK374" s="1151">
        <v>0</v>
      </c>
      <c r="BL374" s="1150">
        <f t="shared" si="1062"/>
        <v>11.18</v>
      </c>
      <c r="BM374" s="1150">
        <f t="shared" si="1063"/>
        <v>1.4</v>
      </c>
      <c r="BN374" s="1150">
        <f t="shared" si="1048"/>
        <v>3.03</v>
      </c>
      <c r="BO374" s="1150">
        <v>0</v>
      </c>
      <c r="BP374" s="1150">
        <v>0</v>
      </c>
      <c r="BQ374" s="1396">
        <f t="shared" si="1004"/>
        <v>15.61</v>
      </c>
      <c r="BR374" s="1150">
        <f t="shared" si="1064"/>
        <v>25.15</v>
      </c>
      <c r="BS374" s="1150">
        <f t="shared" si="1065"/>
        <v>5.59</v>
      </c>
      <c r="BT374" s="1150">
        <f t="shared" si="1049"/>
        <v>6.06</v>
      </c>
      <c r="BU374" s="1150">
        <v>0</v>
      </c>
      <c r="BV374" s="1151">
        <f t="shared" si="1037"/>
        <v>36.799999999999997</v>
      </c>
      <c r="BW374" s="1155">
        <f t="shared" si="1038"/>
        <v>52.41</v>
      </c>
      <c r="BX374" s="1155">
        <f t="shared" si="1067"/>
        <v>567.58000000000004</v>
      </c>
      <c r="BY374" s="1151">
        <v>0</v>
      </c>
      <c r="BZ374" s="1151">
        <f t="shared" si="1009"/>
        <v>567.58000000000004</v>
      </c>
      <c r="CA374" s="1397">
        <f>'CONCEPTOS Y PARAMETROS'!$A$102</f>
        <v>2120</v>
      </c>
      <c r="CB374" s="1155">
        <f t="shared" si="1010"/>
        <v>135.75</v>
      </c>
      <c r="CC374" s="1156">
        <f t="shared" si="1011"/>
        <v>501.89</v>
      </c>
      <c r="CD374" s="514"/>
      <c r="CE374" s="514"/>
      <c r="CF374" s="521"/>
      <c r="CG374" s="511">
        <f t="shared" si="1012"/>
        <v>135.75</v>
      </c>
      <c r="CH374" s="1711">
        <f t="shared" si="1050"/>
        <v>290</v>
      </c>
      <c r="CI374" s="497">
        <f t="shared" si="1014"/>
        <v>441.35</v>
      </c>
      <c r="CJ374" s="511">
        <f t="shared" si="1015"/>
        <v>441.35</v>
      </c>
      <c r="CK374" s="511">
        <f t="shared" si="1016"/>
        <v>0</v>
      </c>
      <c r="CL374" s="497">
        <f t="shared" si="1051"/>
        <v>0</v>
      </c>
      <c r="CM374" s="497">
        <f t="shared" si="1052"/>
        <v>0</v>
      </c>
      <c r="CN374" s="512">
        <f t="shared" si="1053"/>
        <v>60.54</v>
      </c>
      <c r="CO374" s="513">
        <v>0</v>
      </c>
      <c r="CP374" s="512">
        <f t="shared" si="1054"/>
        <v>0</v>
      </c>
      <c r="CQ374" s="500">
        <f t="shared" si="1055"/>
        <v>0</v>
      </c>
      <c r="CR374" s="512">
        <f t="shared" si="1056"/>
        <v>0</v>
      </c>
      <c r="CS374" s="498">
        <f t="shared" si="1057"/>
        <v>60.54</v>
      </c>
      <c r="CT374" s="498">
        <f t="shared" si="1058"/>
        <v>52.41</v>
      </c>
      <c r="CU374" s="512">
        <f t="shared" si="1059"/>
        <v>2120</v>
      </c>
      <c r="CV374" s="1556"/>
      <c r="CW374" s="1343" t="s">
        <v>7341</v>
      </c>
      <c r="CX374" s="1343" t="s">
        <v>7055</v>
      </c>
      <c r="CY374" s="514"/>
      <c r="CZ374" s="1199" t="s">
        <v>6606</v>
      </c>
      <c r="DA374" s="514" t="s">
        <v>6188</v>
      </c>
      <c r="DB374" s="514" t="s">
        <v>6170</v>
      </c>
      <c r="DC374" s="478" t="s">
        <v>6625</v>
      </c>
      <c r="DD374" s="514"/>
      <c r="DE374" s="514"/>
      <c r="DF374" s="514"/>
      <c r="DG374" s="514"/>
      <c r="DH374" s="514"/>
      <c r="DJ374" s="473" t="str">
        <f>VLOOKUP(X374,Hoja1!$A$4:$B$10,2,0)</f>
        <v>BACHILLER</v>
      </c>
      <c r="DK374" s="473" t="str">
        <f>VLOOKUP(S374,Hoja1!$D$4:$F$77,3,0)</f>
        <v>GRADO (5) - MÁX</v>
      </c>
      <c r="DL374" s="1216" t="str">
        <f t="shared" si="1060"/>
        <v>0</v>
      </c>
      <c r="DM374" s="1741" t="str">
        <f t="shared" si="1061"/>
        <v>M</v>
      </c>
      <c r="DN374" s="1741"/>
    </row>
    <row r="375" spans="1:118" s="473" customFormat="1" ht="21.95" customHeight="1">
      <c r="A375" s="510" t="s">
        <v>2834</v>
      </c>
      <c r="B375" s="1390">
        <f t="shared" ca="1" si="1028"/>
        <v>64</v>
      </c>
      <c r="C375" s="1028">
        <v>15952512</v>
      </c>
      <c r="D375" s="1343" t="s">
        <v>5022</v>
      </c>
      <c r="E375" s="1180" t="s">
        <v>4622</v>
      </c>
      <c r="F375" s="1161">
        <v>29777</v>
      </c>
      <c r="G375" s="1180" t="s">
        <v>4620</v>
      </c>
      <c r="H375" s="1161">
        <v>40725</v>
      </c>
      <c r="I375" s="1185">
        <f t="shared" si="1039"/>
        <v>13</v>
      </c>
      <c r="J375" s="1177">
        <v>0</v>
      </c>
      <c r="K375" s="1185">
        <f t="shared" si="1040"/>
        <v>13</v>
      </c>
      <c r="L375" s="1191" t="s">
        <v>5539</v>
      </c>
      <c r="M375" s="1177"/>
      <c r="N375" s="1177"/>
      <c r="O375" s="1040" t="s">
        <v>5088</v>
      </c>
      <c r="P375" s="1177" t="s">
        <v>5162</v>
      </c>
      <c r="Q375" s="1391">
        <v>7102</v>
      </c>
      <c r="R375" s="1514" t="s">
        <v>5088</v>
      </c>
      <c r="S375" s="1513">
        <v>1</v>
      </c>
      <c r="T375" s="1150">
        <f>IFERROR(VLOOKUP(S375,'TAB OBR'!A:B,2,0),0)</f>
        <v>130</v>
      </c>
      <c r="U375" s="1151">
        <v>0</v>
      </c>
      <c r="V375" s="1150">
        <f t="shared" si="1041"/>
        <v>130</v>
      </c>
      <c r="W375" s="1151">
        <f t="shared" si="984"/>
        <v>65</v>
      </c>
      <c r="X375" s="1180" t="s">
        <v>2884</v>
      </c>
      <c r="Y375" s="1180" t="s">
        <v>2884</v>
      </c>
      <c r="Z375" s="1180">
        <v>0</v>
      </c>
      <c r="AA375" s="1150">
        <f>ROUND(IF(H375&lt;&gt;"",VLOOKUP(SUM(I375+J375),'CONCEPTOS Y PARAMETROS'!F:G,2,0)*V375,0),2)</f>
        <v>19.760000000000002</v>
      </c>
      <c r="AB375" s="1150">
        <f>IF(S375&lt;&gt;"",IF(M375="",'CONCEPTOS Y PARAMETROS'!$C$4,0),0)</f>
        <v>130</v>
      </c>
      <c r="AC375" s="1150">
        <f>IF(S375&lt;&gt;"",IF(M375="",'CONCEPTOS Y PARAMETROS'!$C$7*Z375,0),0)</f>
        <v>0</v>
      </c>
      <c r="AD375" s="1150">
        <f>IFERROR(ROUND(VLOOKUP($X375,'CONCEPTOS Y PARAMETROS'!H:I,2,0)*($V375+AA375+AB375+AC375),2),0)</f>
        <v>0</v>
      </c>
      <c r="AE375" s="1150">
        <f t="shared" si="1042"/>
        <v>149.76</v>
      </c>
      <c r="AF375" s="1150">
        <f t="shared" si="986"/>
        <v>9.8800000000000008</v>
      </c>
      <c r="AG375" s="1150">
        <f t="shared" si="987"/>
        <v>9.8800000000000008</v>
      </c>
      <c r="AH375" s="1150">
        <f t="shared" si="988"/>
        <v>65</v>
      </c>
      <c r="AI375" s="1150">
        <f t="shared" si="989"/>
        <v>65</v>
      </c>
      <c r="AJ375" s="1150">
        <f t="shared" si="990"/>
        <v>0</v>
      </c>
      <c r="AK375" s="1150">
        <f t="shared" si="991"/>
        <v>0</v>
      </c>
      <c r="AL375" s="1151">
        <f t="shared" si="992"/>
        <v>74.88</v>
      </c>
      <c r="AM375" s="1151">
        <f t="shared" si="993"/>
        <v>74.88</v>
      </c>
      <c r="AN375" s="1028">
        <v>0</v>
      </c>
      <c r="AO375" s="1193">
        <f>'CONCEPTOS Y PARAMETROS'!$C$18*AN375</f>
        <v>0</v>
      </c>
      <c r="AP375" s="1028">
        <v>0</v>
      </c>
      <c r="AQ375" s="1193">
        <f>'CONCEPTOS Y PARAMETROS'!$C$21*AP375</f>
        <v>0</v>
      </c>
      <c r="AR375" s="1394">
        <v>0</v>
      </c>
      <c r="AS375" s="1394">
        <v>0</v>
      </c>
      <c r="AT375" s="1394">
        <f t="shared" si="1036"/>
        <v>0</v>
      </c>
      <c r="AU375" s="1151">
        <f t="shared" si="1043"/>
        <v>279.76</v>
      </c>
      <c r="AV375" s="1178">
        <v>0</v>
      </c>
      <c r="AW375" s="1151">
        <f t="shared" si="1044"/>
        <v>0</v>
      </c>
      <c r="AX375" s="1150">
        <f>IF(T375&lt;&gt;"0",(ROUND(IF(A375="EMPLEADO",eval_formula('CONCEPTOS Y PARAMETROS'!$C$8,NOMINA!V375,NOMINA!$AU375,NOMINA!I375+NOMINA!J375),eval_formula('CONCEPTOS Y PARAMETROS'!$D$8,NOMINA!V375,NOMINA!$AU375,NOMINA!I375+NOMINA!J375)),2))*IF(H375&lt;&gt;"",IF(MONTH(H375)=$BR$8,IF(YEAR(H375)&lt;$BT$7,1,0),0)))</f>
        <v>0</v>
      </c>
      <c r="AY375" s="1151">
        <v>180</v>
      </c>
      <c r="AZ375" s="1150">
        <f>IFERROR(VLOOKUP(AY375,'CONCEPTOS Y PARAMETROS'!Y:Z,2,0),0)</f>
        <v>150</v>
      </c>
      <c r="BA375" s="1150">
        <f t="shared" si="997"/>
        <v>2098.1999999999998</v>
      </c>
      <c r="BB375" s="1150">
        <f t="shared" si="998"/>
        <v>0</v>
      </c>
      <c r="BC375" s="1028">
        <v>0</v>
      </c>
      <c r="BD375" s="1150" t="str">
        <f t="shared" si="1045"/>
        <v>0</v>
      </c>
      <c r="BE375" s="1028">
        <v>0</v>
      </c>
      <c r="BF375" s="1150">
        <f t="shared" si="1046"/>
        <v>0</v>
      </c>
      <c r="BG375" s="1151">
        <v>290</v>
      </c>
      <c r="BH375" s="1151">
        <f t="shared" si="1047"/>
        <v>0</v>
      </c>
      <c r="BI375" s="1151">
        <v>0</v>
      </c>
      <c r="BJ375" s="1151">
        <f t="shared" si="1002"/>
        <v>0</v>
      </c>
      <c r="BK375" s="1151">
        <v>0</v>
      </c>
      <c r="BL375" s="1150">
        <f t="shared" si="1062"/>
        <v>10.33</v>
      </c>
      <c r="BM375" s="1150">
        <f t="shared" si="1063"/>
        <v>1.29</v>
      </c>
      <c r="BN375" s="1150">
        <f t="shared" si="1048"/>
        <v>2.8</v>
      </c>
      <c r="BO375" s="1150">
        <v>0</v>
      </c>
      <c r="BP375" s="1150">
        <v>0</v>
      </c>
      <c r="BQ375" s="1396">
        <f t="shared" si="1004"/>
        <v>14.42</v>
      </c>
      <c r="BR375" s="1150">
        <f t="shared" si="1064"/>
        <v>23.24</v>
      </c>
      <c r="BS375" s="1150">
        <f t="shared" si="1065"/>
        <v>5.16</v>
      </c>
      <c r="BT375" s="1150">
        <f t="shared" si="1049"/>
        <v>5.6</v>
      </c>
      <c r="BU375" s="1150">
        <v>0</v>
      </c>
      <c r="BV375" s="1151">
        <f t="shared" si="1037"/>
        <v>34</v>
      </c>
      <c r="BW375" s="1155">
        <f t="shared" si="1038"/>
        <v>48.42</v>
      </c>
      <c r="BX375" s="1155">
        <f t="shared" si="1067"/>
        <v>524.54999999999995</v>
      </c>
      <c r="BY375" s="1151">
        <v>0</v>
      </c>
      <c r="BZ375" s="1151">
        <f t="shared" si="1009"/>
        <v>524.54999999999995</v>
      </c>
      <c r="CA375" s="1397">
        <f>'CONCEPTOS Y PARAMETROS'!$A$102</f>
        <v>2120</v>
      </c>
      <c r="CB375" s="1155">
        <f t="shared" si="1010"/>
        <v>125.46</v>
      </c>
      <c r="CC375" s="1156">
        <f t="shared" si="1011"/>
        <v>429.88</v>
      </c>
      <c r="CD375" s="514"/>
      <c r="CE375" s="514"/>
      <c r="CF375" s="520"/>
      <c r="CG375" s="497">
        <f t="shared" si="1012"/>
        <v>125.46</v>
      </c>
      <c r="CH375" s="1711">
        <f t="shared" si="1050"/>
        <v>290</v>
      </c>
      <c r="CI375" s="497">
        <f t="shared" si="1014"/>
        <v>429.88</v>
      </c>
      <c r="CJ375" s="497">
        <f t="shared" si="1015"/>
        <v>429.88</v>
      </c>
      <c r="CK375" s="497">
        <f t="shared" si="1016"/>
        <v>0</v>
      </c>
      <c r="CL375" s="497">
        <f t="shared" si="1051"/>
        <v>0</v>
      </c>
      <c r="CM375" s="497">
        <f t="shared" si="1052"/>
        <v>0</v>
      </c>
      <c r="CN375" s="498">
        <f t="shared" si="1053"/>
        <v>0</v>
      </c>
      <c r="CO375" s="499">
        <v>0</v>
      </c>
      <c r="CP375" s="498">
        <f t="shared" si="1054"/>
        <v>0</v>
      </c>
      <c r="CQ375" s="500">
        <f t="shared" si="1055"/>
        <v>0</v>
      </c>
      <c r="CR375" s="498">
        <f t="shared" si="1056"/>
        <v>0</v>
      </c>
      <c r="CS375" s="498">
        <f t="shared" si="1057"/>
        <v>0</v>
      </c>
      <c r="CT375" s="498">
        <f t="shared" si="1058"/>
        <v>48.42</v>
      </c>
      <c r="CU375" s="498">
        <f t="shared" si="1059"/>
        <v>2120</v>
      </c>
      <c r="CV375" s="1554"/>
      <c r="CW375" s="1343" t="s">
        <v>7150</v>
      </c>
      <c r="CX375" s="1343" t="s">
        <v>6935</v>
      </c>
      <c r="CY375" s="472"/>
      <c r="CZ375" s="514" t="s">
        <v>6538</v>
      </c>
      <c r="DA375" s="1199" t="s">
        <v>6241</v>
      </c>
      <c r="DB375" s="514" t="s">
        <v>6240</v>
      </c>
      <c r="DC375" s="478" t="s">
        <v>6717</v>
      </c>
      <c r="DD375" s="472"/>
      <c r="DE375" s="472"/>
      <c r="DF375" s="472"/>
      <c r="DG375" s="472"/>
      <c r="DH375" s="472"/>
      <c r="DJ375" s="473" t="str">
        <f>VLOOKUP(X375,Hoja1!$A$4:$B$10,2,0)</f>
        <v>BACHILLER</v>
      </c>
      <c r="DK375" s="473" t="str">
        <f>VLOOKUP(S375,Hoja1!$D$4:$F$77,3,0)</f>
        <v>GRADO (1) - MIN</v>
      </c>
      <c r="DL375" s="1216" t="str">
        <f t="shared" si="1060"/>
        <v>0</v>
      </c>
      <c r="DM375" s="1741" t="str">
        <f t="shared" si="1061"/>
        <v>F</v>
      </c>
      <c r="DN375" s="1741"/>
    </row>
    <row r="376" spans="1:118" s="473" customFormat="1" ht="21.95" customHeight="1">
      <c r="A376" s="510" t="s">
        <v>2834</v>
      </c>
      <c r="B376" s="1390">
        <f t="shared" ca="1" si="1028"/>
        <v>65</v>
      </c>
      <c r="C376" s="1028">
        <v>15953703</v>
      </c>
      <c r="D376" s="1343" t="s">
        <v>5023</v>
      </c>
      <c r="E376" s="1180" t="s">
        <v>4622</v>
      </c>
      <c r="F376" s="1161">
        <v>29938</v>
      </c>
      <c r="G376" s="1180" t="s">
        <v>4621</v>
      </c>
      <c r="H376" s="1161">
        <v>38718</v>
      </c>
      <c r="I376" s="1185">
        <f t="shared" ref="I376:I403" si="1090">IF(AND(YEAR(H376)&lt;YEAR($H$10),MONTH(H376)&gt;$BR$8),YEAR($H$10)-YEAR(H376)-1,IF(OR(H376="",YEAR(H376)&gt;YEAR($H$10)),0,YEAR($H$10)-YEAR(H376)))</f>
        <v>19</v>
      </c>
      <c r="J376" s="1177">
        <v>0</v>
      </c>
      <c r="K376" s="1185">
        <f t="shared" ref="K376:K403" si="1091">I376+J376</f>
        <v>19</v>
      </c>
      <c r="L376" s="1191" t="s">
        <v>5554</v>
      </c>
      <c r="M376" s="1177"/>
      <c r="N376" s="1177"/>
      <c r="O376" s="1040" t="s">
        <v>5084</v>
      </c>
      <c r="P376" s="1177" t="s">
        <v>5163</v>
      </c>
      <c r="Q376" s="1391">
        <v>7152</v>
      </c>
      <c r="R376" s="1514" t="s">
        <v>5084</v>
      </c>
      <c r="S376" s="1513">
        <v>3</v>
      </c>
      <c r="T376" s="1150">
        <f>IFERROR(VLOOKUP(S376,'TAB OBR'!A:B,2,0),0)</f>
        <v>152</v>
      </c>
      <c r="U376" s="1151">
        <v>0</v>
      </c>
      <c r="V376" s="1150">
        <f t="shared" si="1041"/>
        <v>152</v>
      </c>
      <c r="W376" s="1151">
        <f t="shared" si="984"/>
        <v>76</v>
      </c>
      <c r="X376" s="1180" t="s">
        <v>2884</v>
      </c>
      <c r="Y376" s="1180" t="s">
        <v>2884</v>
      </c>
      <c r="Z376" s="1180">
        <v>2</v>
      </c>
      <c r="AA376" s="1150">
        <f>ROUND(IF(H376&lt;&gt;"",VLOOKUP(SUM(I376+J376),'CONCEPTOS Y PARAMETROS'!F:G,2,0)*V376,0),2)</f>
        <v>37.090000000000003</v>
      </c>
      <c r="AB376" s="1150">
        <f>IF(S376&lt;&gt;"",IF(M376="",'CONCEPTOS Y PARAMETROS'!$C$4,0),0)</f>
        <v>130</v>
      </c>
      <c r="AC376" s="1150">
        <f>IF(S376&lt;&gt;"",IF(M376="",'CONCEPTOS Y PARAMETROS'!$C$7*Z376,0),0)</f>
        <v>25</v>
      </c>
      <c r="AD376" s="1150">
        <f>IFERROR(ROUND(VLOOKUP($X376,'CONCEPTOS Y PARAMETROS'!H:I,2,0)*($V376+AA376+AB376+AC376),2),0)</f>
        <v>0</v>
      </c>
      <c r="AE376" s="1150">
        <f t="shared" si="1042"/>
        <v>192.09</v>
      </c>
      <c r="AF376" s="1150">
        <f t="shared" si="986"/>
        <v>18.55</v>
      </c>
      <c r="AG376" s="1150">
        <f t="shared" si="987"/>
        <v>18.54</v>
      </c>
      <c r="AH376" s="1150">
        <f t="shared" si="988"/>
        <v>65</v>
      </c>
      <c r="AI376" s="1150">
        <f t="shared" si="989"/>
        <v>65</v>
      </c>
      <c r="AJ376" s="1150">
        <f t="shared" si="990"/>
        <v>0</v>
      </c>
      <c r="AK376" s="1150">
        <f t="shared" si="991"/>
        <v>0</v>
      </c>
      <c r="AL376" s="1151">
        <f t="shared" si="992"/>
        <v>108.55</v>
      </c>
      <c r="AM376" s="1151">
        <f t="shared" si="993"/>
        <v>83.54</v>
      </c>
      <c r="AN376" s="1028">
        <v>0</v>
      </c>
      <c r="AO376" s="1193">
        <f>'CONCEPTOS Y PARAMETROS'!$C$18*AN376</f>
        <v>0</v>
      </c>
      <c r="AP376" s="1028">
        <v>0</v>
      </c>
      <c r="AQ376" s="1193">
        <f>'CONCEPTOS Y PARAMETROS'!$C$21*AP376</f>
        <v>0</v>
      </c>
      <c r="AR376" s="1394">
        <v>0</v>
      </c>
      <c r="AS376" s="1394">
        <v>0</v>
      </c>
      <c r="AT376" s="1394">
        <f t="shared" ref="AT376:AT403" si="1092">+AO376+AQ376+AR376+AS376</f>
        <v>0</v>
      </c>
      <c r="AU376" s="1151">
        <f t="shared" si="1043"/>
        <v>344.09000000000003</v>
      </c>
      <c r="AV376" s="1178">
        <v>0</v>
      </c>
      <c r="AW376" s="1151">
        <f t="shared" si="1044"/>
        <v>0</v>
      </c>
      <c r="AX376" s="1150">
        <f>IF(T376&lt;&gt;"0",(ROUND(IF(A376="EMPLEADO",eval_formula('CONCEPTOS Y PARAMETROS'!$C$8,NOMINA!V376,NOMINA!$AU376,NOMINA!I376+NOMINA!J376),eval_formula('CONCEPTOS Y PARAMETROS'!$D$8,NOMINA!V376,NOMINA!$AU376,NOMINA!I376+NOMINA!J376)),2))*IF(H376&lt;&gt;"",IF(MONTH(H376)=$BR$8,IF(YEAR(H376)&lt;$BT$7,1,0),0)))</f>
        <v>2752.72</v>
      </c>
      <c r="AY376" s="1151">
        <v>180</v>
      </c>
      <c r="AZ376" s="1150">
        <f>IFERROR(VLOOKUP(AY376,'CONCEPTOS Y PARAMETROS'!Y:Z,2,0),0)</f>
        <v>150</v>
      </c>
      <c r="BA376" s="1150">
        <f t="shared" si="997"/>
        <v>2580.6799999999998</v>
      </c>
      <c r="BB376" s="1150">
        <f t="shared" si="998"/>
        <v>0</v>
      </c>
      <c r="BC376" s="1028">
        <v>0</v>
      </c>
      <c r="BD376" s="1150" t="str">
        <f t="shared" si="1045"/>
        <v>0</v>
      </c>
      <c r="BE376" s="1028">
        <v>0</v>
      </c>
      <c r="BF376" s="1150">
        <f t="shared" ref="BF376:BF403" si="1093">ROUND(IF(BE376&gt;0,(((V376+AA376+AB376+AC376+AD376+AW376)/30)*50%+((V376+AA376+AB376+AC376+AD376+AW376)/30))*BE376,"0"),2)</f>
        <v>0</v>
      </c>
      <c r="BG376" s="1151">
        <v>290</v>
      </c>
      <c r="BH376" s="1151">
        <f t="shared" ref="BH376:BH403" si="1094">+IF(AND(Z376&gt;0,G376="M"),12.5,0)*0</f>
        <v>0</v>
      </c>
      <c r="BI376" s="1151">
        <v>0</v>
      </c>
      <c r="BJ376" s="1151">
        <f t="shared" ref="BJ376:BJ403" si="1095">+IF(BI376&lt;&gt;0,(BI376*12.5),0)</f>
        <v>0</v>
      </c>
      <c r="BK376" s="1151">
        <v>0</v>
      </c>
      <c r="BL376" s="1150">
        <f t="shared" si="1062"/>
        <v>12.7</v>
      </c>
      <c r="BM376" s="1150">
        <f t="shared" si="1063"/>
        <v>1.59</v>
      </c>
      <c r="BN376" s="1150">
        <f t="shared" ref="BN376:BN403" si="1096">ROUND(IF(M376="",(AU376*1%),0),2)</f>
        <v>3.44</v>
      </c>
      <c r="BO376" s="1150">
        <v>0</v>
      </c>
      <c r="BP376" s="1150">
        <v>0</v>
      </c>
      <c r="BQ376" s="1396">
        <f t="shared" si="1004"/>
        <v>17.73</v>
      </c>
      <c r="BR376" s="1150">
        <f t="shared" si="1064"/>
        <v>28.59</v>
      </c>
      <c r="BS376" s="1150">
        <f t="shared" si="1065"/>
        <v>6.35</v>
      </c>
      <c r="BT376" s="1150">
        <f t="shared" ref="BT376:BT403" si="1097">ROUND(IF(M376="",(BN376*2),0),2)</f>
        <v>6.88</v>
      </c>
      <c r="BU376" s="1150">
        <v>0</v>
      </c>
      <c r="BV376" s="1151">
        <f t="shared" si="1037"/>
        <v>41.82</v>
      </c>
      <c r="BW376" s="1155">
        <f t="shared" si="1038"/>
        <v>59.55</v>
      </c>
      <c r="BX376" s="1155">
        <f t="shared" si="1067"/>
        <v>645.16999999999996</v>
      </c>
      <c r="BY376" s="1151">
        <v>0</v>
      </c>
      <c r="BZ376" s="1151">
        <f t="shared" ref="BZ376:BZ403" si="1098">+BX376+BY376</f>
        <v>645.16999999999996</v>
      </c>
      <c r="CA376" s="1397">
        <f>'CONCEPTOS Y PARAMETROS'!$A$102</f>
        <v>2120</v>
      </c>
      <c r="CB376" s="1155">
        <f t="shared" ref="CB376:CB403" si="1099">W376+AL376-BQ376</f>
        <v>166.82000000000002</v>
      </c>
      <c r="CC376" s="1156">
        <f t="shared" ref="CC376:CC403" si="1100">ROUND((W376+AM376+AT376+AW376+AX376+BB376+BD376+BF376+BJ376+BK376+BG376),2)</f>
        <v>3202.26</v>
      </c>
      <c r="CD376" s="514"/>
      <c r="CE376" s="514"/>
      <c r="CF376" s="520"/>
      <c r="CG376" s="497">
        <f t="shared" ref="CG376:CG403" si="1101">W376+AL376-BQ376</f>
        <v>166.82000000000002</v>
      </c>
      <c r="CH376" s="1711">
        <f t="shared" ref="CH376:CH403" si="1102">BG376</f>
        <v>290</v>
      </c>
      <c r="CI376" s="497">
        <f t="shared" ref="CI376:CI403" si="1103">W376+AM376+BG376</f>
        <v>449.54</v>
      </c>
      <c r="CJ376" s="497">
        <f t="shared" ref="CJ376:CJ403" si="1104">ROUND(IF(CI376&gt;560,CI376*48%,CI376),2)</f>
        <v>449.54</v>
      </c>
      <c r="CK376" s="497">
        <f t="shared" ref="CK376:CK403" si="1105">+CI376-CJ376</f>
        <v>0</v>
      </c>
      <c r="CL376" s="497">
        <f t="shared" ref="CL376:CL403" si="1106">+BJ376</f>
        <v>0</v>
      </c>
      <c r="CM376" s="497">
        <f t="shared" ref="CM376:CM403" si="1107">+BK376</f>
        <v>0</v>
      </c>
      <c r="CN376" s="498">
        <f t="shared" ref="CN376:CN403" si="1108">BF376+BB376</f>
        <v>0</v>
      </c>
      <c r="CO376" s="499">
        <v>0</v>
      </c>
      <c r="CP376" s="498">
        <f t="shared" ref="CP376:CP403" si="1109">AW376</f>
        <v>0</v>
      </c>
      <c r="CQ376" s="500">
        <f t="shared" ref="CQ376:CQ403" si="1110">AT376+CL376+CM376</f>
        <v>0</v>
      </c>
      <c r="CR376" s="498">
        <f t="shared" ref="CR376:CR403" si="1111">AX376</f>
        <v>2752.72</v>
      </c>
      <c r="CS376" s="498">
        <f t="shared" ref="CS376:CS403" si="1112">SUM(CL376:CR376)</f>
        <v>2752.72</v>
      </c>
      <c r="CT376" s="498">
        <f t="shared" ref="CT376:CT403" si="1113">BQ376+BV376</f>
        <v>59.55</v>
      </c>
      <c r="CU376" s="498">
        <f t="shared" ref="CU376:CU403" si="1114">CA376</f>
        <v>2120</v>
      </c>
      <c r="CV376" s="1554"/>
      <c r="CW376" s="1343" t="s">
        <v>6960</v>
      </c>
      <c r="CX376" s="1343" t="s">
        <v>6944</v>
      </c>
      <c r="CY376" s="472"/>
      <c r="CZ376" s="514" t="s">
        <v>6539</v>
      </c>
      <c r="DA376" s="514" t="s">
        <v>6196</v>
      </c>
      <c r="DB376" s="1199" t="s">
        <v>6414</v>
      </c>
      <c r="DC376" s="478" t="s">
        <v>6415</v>
      </c>
      <c r="DD376" s="472"/>
      <c r="DE376" s="472"/>
      <c r="DF376" s="472"/>
      <c r="DG376" s="472"/>
      <c r="DH376" s="472"/>
      <c r="DJ376" s="473" t="str">
        <f>VLOOKUP(X376,Hoja1!$A$4:$B$10,2,0)</f>
        <v>BACHILLER</v>
      </c>
      <c r="DK376" s="473" t="str">
        <f>VLOOKUP(S376,Hoja1!$D$4:$F$77,3,0)</f>
        <v>GRADO (3) - MÁX</v>
      </c>
      <c r="DL376" s="1216" t="str">
        <f t="shared" ref="DL376:DL403" si="1115">IF(AV376="NOCTURN","SI","0")</f>
        <v>0</v>
      </c>
      <c r="DM376" s="1741" t="str">
        <f t="shared" ref="DM376:DM403" si="1116">+G376</f>
        <v>M</v>
      </c>
      <c r="DN376" s="1741"/>
    </row>
    <row r="377" spans="1:118" s="473" customFormat="1" ht="21.95" customHeight="1">
      <c r="A377" s="510" t="s">
        <v>2834</v>
      </c>
      <c r="B377" s="1390">
        <f t="shared" ca="1" si="1028"/>
        <v>66</v>
      </c>
      <c r="C377" s="1028">
        <v>16266801</v>
      </c>
      <c r="D377" s="1343" t="s">
        <v>5024</v>
      </c>
      <c r="E377" s="1180" t="s">
        <v>4622</v>
      </c>
      <c r="F377" s="1161">
        <v>29034</v>
      </c>
      <c r="G377" s="1180" t="s">
        <v>4620</v>
      </c>
      <c r="H377" s="1161">
        <v>39496</v>
      </c>
      <c r="I377" s="1185">
        <f t="shared" si="1090"/>
        <v>16</v>
      </c>
      <c r="J377" s="1177">
        <v>0</v>
      </c>
      <c r="K377" s="1185">
        <f t="shared" si="1091"/>
        <v>16</v>
      </c>
      <c r="L377" s="1191" t="s">
        <v>5558</v>
      </c>
      <c r="M377" s="1177"/>
      <c r="N377" s="1177"/>
      <c r="O377" s="1040" t="s">
        <v>5085</v>
      </c>
      <c r="P377" s="1177" t="s">
        <v>5164</v>
      </c>
      <c r="Q377" s="1391">
        <v>2202</v>
      </c>
      <c r="R377" s="1514" t="s">
        <v>5085</v>
      </c>
      <c r="S377" s="1513">
        <v>5</v>
      </c>
      <c r="T377" s="1150">
        <f>IFERROR(VLOOKUP(S377,'TAB OBR'!A:B,2,0),0)</f>
        <v>171</v>
      </c>
      <c r="U377" s="1151">
        <v>0</v>
      </c>
      <c r="V377" s="1150">
        <f t="shared" ref="V377:V403" si="1117">T377-U377</f>
        <v>171</v>
      </c>
      <c r="W377" s="1151">
        <f t="shared" ref="W377:W403" si="1118">ROUND(V377/2,2)</f>
        <v>85.5</v>
      </c>
      <c r="X377" s="1180" t="s">
        <v>2884</v>
      </c>
      <c r="Y377" s="1180" t="s">
        <v>2884</v>
      </c>
      <c r="Z377" s="1180">
        <v>1</v>
      </c>
      <c r="AA377" s="1150">
        <f>ROUND(IF(H377&lt;&gt;"",VLOOKUP(SUM(I377+J377),'CONCEPTOS Y PARAMETROS'!F:G,2,0)*V377,0),2)</f>
        <v>33.520000000000003</v>
      </c>
      <c r="AB377" s="1150">
        <f>IF(S377&lt;&gt;"",IF(M377="",'CONCEPTOS Y PARAMETROS'!$C$4,0),0)</f>
        <v>130</v>
      </c>
      <c r="AC377" s="1150">
        <f>IF(S377&lt;&gt;"",IF(M377="",'CONCEPTOS Y PARAMETROS'!$C$7*Z377,0),0)</f>
        <v>12.5</v>
      </c>
      <c r="AD377" s="1150">
        <f>IFERROR(ROUND(VLOOKUP($X377,'CONCEPTOS Y PARAMETROS'!H:I,2,0)*($V377+AA377+AB377+AC377),2),0)</f>
        <v>0</v>
      </c>
      <c r="AE377" s="1150">
        <f t="shared" ref="AE377:AE403" si="1119">SUM(AA377:AD377)</f>
        <v>176.02</v>
      </c>
      <c r="AF377" s="1150">
        <f t="shared" ref="AF377:AF403" si="1120">ROUND(AA377/2,2)</f>
        <v>16.760000000000002</v>
      </c>
      <c r="AG377" s="1150">
        <f t="shared" ref="AG377:AG403" si="1121">ROUND(AA377-AF377,2)</f>
        <v>16.760000000000002</v>
      </c>
      <c r="AH377" s="1150">
        <f t="shared" ref="AH377:AH403" si="1122">ROUND(AB377/2,2)</f>
        <v>65</v>
      </c>
      <c r="AI377" s="1150">
        <f t="shared" ref="AI377:AI403" si="1123">ROUND(AB377-AH377,2)</f>
        <v>65</v>
      </c>
      <c r="AJ377" s="1150">
        <f t="shared" ref="AJ377:AJ403" si="1124">ROUND(AD377/2,2)</f>
        <v>0</v>
      </c>
      <c r="AK377" s="1150">
        <f t="shared" ref="AK377:AK403" si="1125">ROUND(AD377-AJ377,2)</f>
        <v>0</v>
      </c>
      <c r="AL377" s="1151">
        <f t="shared" ref="AL377:AL403" si="1126">ROUND(AF377+AH377+AJ377+AC377,2)</f>
        <v>94.26</v>
      </c>
      <c r="AM377" s="1151">
        <f t="shared" ref="AM377:AM403" si="1127">ROUND(AG377+AI377+AK377,2)</f>
        <v>81.760000000000005</v>
      </c>
      <c r="AN377" s="1583">
        <v>1</v>
      </c>
      <c r="AO377" s="1193">
        <f>'CONCEPTOS Y PARAMETROS'!$C$18*AN377</f>
        <v>12.5</v>
      </c>
      <c r="AP377" s="1028">
        <v>0</v>
      </c>
      <c r="AQ377" s="1193">
        <f>'CONCEPTOS Y PARAMETROS'!$C$21*AP377</f>
        <v>0</v>
      </c>
      <c r="AR377" s="1394">
        <v>0</v>
      </c>
      <c r="AS377" s="1394">
        <v>0</v>
      </c>
      <c r="AT377" s="1394">
        <f t="shared" si="1092"/>
        <v>12.5</v>
      </c>
      <c r="AU377" s="1151">
        <f t="shared" ref="AU377:AU403" si="1128">V377+AE377+AW377</f>
        <v>347.02</v>
      </c>
      <c r="AV377" s="1178">
        <v>0</v>
      </c>
      <c r="AW377" s="1151">
        <f t="shared" ref="AW377:AW403" si="1129">ROUND(IF(AV377="NOCTURN",(V377+AE377)*30%,0),2)</f>
        <v>0</v>
      </c>
      <c r="AX377" s="1150">
        <f>IF(T377&lt;&gt;"0",(ROUND(IF(A377="EMPLEADO",eval_formula('CONCEPTOS Y PARAMETROS'!$C$8,NOMINA!V377,NOMINA!$AU377,NOMINA!I377+NOMINA!J377),eval_formula('CONCEPTOS Y PARAMETROS'!$D$8,NOMINA!V377,NOMINA!$AU377,NOMINA!I377+NOMINA!J377)),2))*IF(H377&lt;&gt;"",IF(MONTH(H377)=$BR$8,IF(YEAR(H377)&lt;$BT$7,1,0),0)))</f>
        <v>0</v>
      </c>
      <c r="AY377" s="1151">
        <v>180</v>
      </c>
      <c r="AZ377" s="1150">
        <f>IFERROR(VLOOKUP(AY377,'CONCEPTOS Y PARAMETROS'!Y:Z,2,0),0)</f>
        <v>150</v>
      </c>
      <c r="BA377" s="1150">
        <f t="shared" ref="BA377:BA403" si="1130">ROUND((((AU377))/30*AY377/12+(AU377))/30*AZ377,2)</f>
        <v>2602.65</v>
      </c>
      <c r="BB377" s="1150">
        <f t="shared" ref="BB377:BB403" si="1131">ROUND(AU377/30*$BB$10,2)</f>
        <v>0</v>
      </c>
      <c r="BC377" s="1028">
        <v>0</v>
      </c>
      <c r="BD377" s="1150" t="str">
        <f t="shared" ref="BD377:BD403" si="1132">IF(BC377&gt;0,((((((V377+AA377+AB377+AC377+AD377)/30)/8)*50%)+((((V377+AA377+AB377+AC377+AD377)/30)/8)))*30%+(((((V377+AA377+AB377+AC377+AD377)/30)/8)*50%)+((((V377+AA377+AB377+AC377+AD377)/30)/8))))*BC377,"0")</f>
        <v>0</v>
      </c>
      <c r="BE377" s="1028">
        <v>0</v>
      </c>
      <c r="BF377" s="1150">
        <f t="shared" si="1093"/>
        <v>0</v>
      </c>
      <c r="BG377" s="1151">
        <v>290</v>
      </c>
      <c r="BH377" s="1151">
        <f t="shared" si="1094"/>
        <v>0</v>
      </c>
      <c r="BI377" s="1151">
        <v>0</v>
      </c>
      <c r="BJ377" s="1151">
        <f t="shared" si="1095"/>
        <v>0</v>
      </c>
      <c r="BK377" s="1151">
        <v>0</v>
      </c>
      <c r="BL377" s="1150">
        <f t="shared" si="1062"/>
        <v>12.81</v>
      </c>
      <c r="BM377" s="1150">
        <f t="shared" si="1063"/>
        <v>1.6</v>
      </c>
      <c r="BN377" s="1150">
        <f t="shared" si="1096"/>
        <v>3.47</v>
      </c>
      <c r="BO377" s="1150">
        <v>0</v>
      </c>
      <c r="BP377" s="1150">
        <v>0</v>
      </c>
      <c r="BQ377" s="1396">
        <f t="shared" ref="BQ377:BQ403" si="1133">ROUND(SUM(BL377:BP377),2)</f>
        <v>17.88</v>
      </c>
      <c r="BR377" s="1150">
        <f t="shared" si="1064"/>
        <v>28.83</v>
      </c>
      <c r="BS377" s="1150">
        <f t="shared" si="1065"/>
        <v>6.41</v>
      </c>
      <c r="BT377" s="1150">
        <f t="shared" si="1097"/>
        <v>6.94</v>
      </c>
      <c r="BU377" s="1150">
        <v>0</v>
      </c>
      <c r="BV377" s="1151">
        <f t="shared" ref="BV377:BV403" si="1134">ROUND(SUM(BR377:BT377),2)</f>
        <v>42.18</v>
      </c>
      <c r="BW377" s="1155">
        <f t="shared" ref="BW377:BW403" si="1135">BQ377+BV377</f>
        <v>60.06</v>
      </c>
      <c r="BX377" s="1155">
        <f t="shared" si="1067"/>
        <v>650.66</v>
      </c>
      <c r="BY377" s="1151">
        <v>0</v>
      </c>
      <c r="BZ377" s="1151">
        <f t="shared" si="1098"/>
        <v>650.66</v>
      </c>
      <c r="CA377" s="1397">
        <f>'CONCEPTOS Y PARAMETROS'!$A$102</f>
        <v>2120</v>
      </c>
      <c r="CB377" s="1155">
        <f t="shared" si="1099"/>
        <v>161.88</v>
      </c>
      <c r="CC377" s="1156">
        <f t="shared" si="1100"/>
        <v>469.76</v>
      </c>
      <c r="CD377" s="514"/>
      <c r="CE377" s="514"/>
      <c r="CF377" s="520"/>
      <c r="CG377" s="497">
        <f t="shared" si="1101"/>
        <v>161.88</v>
      </c>
      <c r="CH377" s="1711">
        <f t="shared" si="1102"/>
        <v>290</v>
      </c>
      <c r="CI377" s="497">
        <f t="shared" si="1103"/>
        <v>457.26</v>
      </c>
      <c r="CJ377" s="497">
        <f t="shared" si="1104"/>
        <v>457.26</v>
      </c>
      <c r="CK377" s="497">
        <f t="shared" si="1105"/>
        <v>0</v>
      </c>
      <c r="CL377" s="497">
        <f t="shared" si="1106"/>
        <v>0</v>
      </c>
      <c r="CM377" s="497">
        <f t="shared" si="1107"/>
        <v>0</v>
      </c>
      <c r="CN377" s="498">
        <f t="shared" si="1108"/>
        <v>0</v>
      </c>
      <c r="CO377" s="499">
        <v>0</v>
      </c>
      <c r="CP377" s="498">
        <f t="shared" si="1109"/>
        <v>0</v>
      </c>
      <c r="CQ377" s="500">
        <f t="shared" si="1110"/>
        <v>12.5</v>
      </c>
      <c r="CR377" s="498">
        <f t="shared" si="1111"/>
        <v>0</v>
      </c>
      <c r="CS377" s="498">
        <f t="shared" si="1112"/>
        <v>12.5</v>
      </c>
      <c r="CT377" s="498">
        <f t="shared" si="1113"/>
        <v>60.06</v>
      </c>
      <c r="CU377" s="498">
        <f t="shared" si="1114"/>
        <v>2120</v>
      </c>
      <c r="CV377" s="1554"/>
      <c r="CW377" s="1343" t="s">
        <v>6960</v>
      </c>
      <c r="CX377" s="1343" t="s">
        <v>7342</v>
      </c>
      <c r="CY377" s="472"/>
      <c r="CZ377" s="514" t="s">
        <v>6540</v>
      </c>
      <c r="DA377" s="514" t="s">
        <v>6173</v>
      </c>
      <c r="DB377" s="514" t="s">
        <v>6185</v>
      </c>
      <c r="DC377" s="514" t="s">
        <v>6541</v>
      </c>
      <c r="DD377" s="472"/>
      <c r="DE377" s="472"/>
      <c r="DF377" s="472"/>
      <c r="DG377" s="472"/>
      <c r="DH377" s="472"/>
      <c r="DJ377" s="473" t="str">
        <f>VLOOKUP(X377,Hoja1!$A$4:$B$10,2,0)</f>
        <v>BACHILLER</v>
      </c>
      <c r="DK377" s="473" t="str">
        <f>VLOOKUP(S377,Hoja1!$D$4:$F$77,3,0)</f>
        <v>GRADO (5) - MÁX</v>
      </c>
      <c r="DL377" s="1216" t="str">
        <f t="shared" si="1115"/>
        <v>0</v>
      </c>
      <c r="DM377" s="1741" t="str">
        <f t="shared" si="1116"/>
        <v>F</v>
      </c>
      <c r="DN377" s="1741"/>
    </row>
    <row r="378" spans="1:118" s="473" customFormat="1" ht="21.95" customHeight="1">
      <c r="A378" s="510" t="s">
        <v>2834</v>
      </c>
      <c r="B378" s="1390">
        <f t="shared" ca="1" si="1028"/>
        <v>67</v>
      </c>
      <c r="C378" s="1028">
        <v>16739958</v>
      </c>
      <c r="D378" s="1343" t="s">
        <v>5082</v>
      </c>
      <c r="E378" s="1180" t="s">
        <v>4622</v>
      </c>
      <c r="F378" s="1161">
        <v>30170</v>
      </c>
      <c r="G378" s="1180" t="s">
        <v>4620</v>
      </c>
      <c r="H378" s="1161">
        <v>44866</v>
      </c>
      <c r="I378" s="1185">
        <f t="shared" si="1090"/>
        <v>2</v>
      </c>
      <c r="J378" s="1177">
        <v>0</v>
      </c>
      <c r="K378" s="1185">
        <f t="shared" si="1091"/>
        <v>2</v>
      </c>
      <c r="L378" s="1191" t="s">
        <v>5558</v>
      </c>
      <c r="M378" s="1177"/>
      <c r="N378" s="1177"/>
      <c r="O378" s="1040" t="s">
        <v>5097</v>
      </c>
      <c r="P378" s="1177" t="s">
        <v>5165</v>
      </c>
      <c r="Q378" s="1391" t="s">
        <v>2567</v>
      </c>
      <c r="R378" s="1514" t="s">
        <v>5097</v>
      </c>
      <c r="S378" s="1513">
        <v>2</v>
      </c>
      <c r="T378" s="1150">
        <f>IFERROR(VLOOKUP(S378,'TAB OBR'!A:B,2,0),0)</f>
        <v>142</v>
      </c>
      <c r="U378" s="1151">
        <v>0</v>
      </c>
      <c r="V378" s="1150">
        <f t="shared" si="1117"/>
        <v>142</v>
      </c>
      <c r="W378" s="1151">
        <f t="shared" si="1118"/>
        <v>71</v>
      </c>
      <c r="X378" s="1180" t="s">
        <v>2884</v>
      </c>
      <c r="Y378" s="1180" t="s">
        <v>2884</v>
      </c>
      <c r="Z378" s="1180">
        <v>2</v>
      </c>
      <c r="AA378" s="1150">
        <f>ROUND(IF(H378&lt;&gt;"",VLOOKUP(SUM(I378+J378),'CONCEPTOS Y PARAMETROS'!F:G,2,0)*V378,0),2)</f>
        <v>2.84</v>
      </c>
      <c r="AB378" s="1150">
        <f>IF(S378&lt;&gt;"",IF(M378="",'CONCEPTOS Y PARAMETROS'!$C$4,0),0)</f>
        <v>130</v>
      </c>
      <c r="AC378" s="1150">
        <f>IF(S378&lt;&gt;"",IF(M378="",'CONCEPTOS Y PARAMETROS'!$C$7*Z378,0),0)</f>
        <v>25</v>
      </c>
      <c r="AD378" s="1150">
        <f>IFERROR(ROUND(VLOOKUP($X378,'CONCEPTOS Y PARAMETROS'!H:I,2,0)*($V378+AA378+AB378+AC378),2),0)</f>
        <v>0</v>
      </c>
      <c r="AE378" s="1150">
        <f t="shared" si="1119"/>
        <v>157.84</v>
      </c>
      <c r="AF378" s="1150">
        <f t="shared" si="1120"/>
        <v>1.42</v>
      </c>
      <c r="AG378" s="1150">
        <f t="shared" si="1121"/>
        <v>1.42</v>
      </c>
      <c r="AH378" s="1150">
        <f t="shared" si="1122"/>
        <v>65</v>
      </c>
      <c r="AI378" s="1150">
        <f t="shared" si="1123"/>
        <v>65</v>
      </c>
      <c r="AJ378" s="1150">
        <f t="shared" si="1124"/>
        <v>0</v>
      </c>
      <c r="AK378" s="1150">
        <f t="shared" si="1125"/>
        <v>0</v>
      </c>
      <c r="AL378" s="1151">
        <f t="shared" si="1126"/>
        <v>91.42</v>
      </c>
      <c r="AM378" s="1151">
        <f t="shared" si="1127"/>
        <v>66.42</v>
      </c>
      <c r="AN378" s="1583">
        <v>2</v>
      </c>
      <c r="AO378" s="1193">
        <f>'CONCEPTOS Y PARAMETROS'!$C$18*AN378</f>
        <v>25</v>
      </c>
      <c r="AP378" s="1028">
        <v>0</v>
      </c>
      <c r="AQ378" s="1193">
        <f>'CONCEPTOS Y PARAMETROS'!$C$21*AP378</f>
        <v>0</v>
      </c>
      <c r="AR378" s="1394">
        <v>0</v>
      </c>
      <c r="AS378" s="1394">
        <v>0</v>
      </c>
      <c r="AT378" s="1394">
        <f t="shared" si="1092"/>
        <v>25</v>
      </c>
      <c r="AU378" s="1151">
        <f t="shared" si="1128"/>
        <v>299.84000000000003</v>
      </c>
      <c r="AV378" s="1178">
        <v>0</v>
      </c>
      <c r="AW378" s="1151">
        <f t="shared" si="1129"/>
        <v>0</v>
      </c>
      <c r="AX378" s="1150">
        <f>IF(T378&lt;&gt;"0",(ROUND(IF(A378="EMPLEADO",eval_formula('CONCEPTOS Y PARAMETROS'!$C$8,NOMINA!V378,NOMINA!$AU378,NOMINA!I378+NOMINA!J378),eval_formula('CONCEPTOS Y PARAMETROS'!$D$8,NOMINA!V378,NOMINA!$AU378,NOMINA!I378+NOMINA!J378)),2))*IF(H378&lt;&gt;"",IF(MONTH(H378)=$BR$8,IF(YEAR(H378)&lt;$BT$7,1,0),0)))</f>
        <v>0</v>
      </c>
      <c r="AY378" s="1151">
        <v>180</v>
      </c>
      <c r="AZ378" s="1150">
        <f>IFERROR(VLOOKUP(AY378,'CONCEPTOS Y PARAMETROS'!Y:Z,2,0),0)</f>
        <v>150</v>
      </c>
      <c r="BA378" s="1150">
        <f t="shared" si="1130"/>
        <v>2248.8000000000002</v>
      </c>
      <c r="BB378" s="1150">
        <f t="shared" si="1131"/>
        <v>0</v>
      </c>
      <c r="BC378" s="1028">
        <v>0</v>
      </c>
      <c r="BD378" s="1150" t="str">
        <f t="shared" si="1132"/>
        <v>0</v>
      </c>
      <c r="BE378" s="1028">
        <v>4</v>
      </c>
      <c r="BF378" s="1150">
        <f t="shared" si="1093"/>
        <v>59.97</v>
      </c>
      <c r="BG378" s="1151">
        <v>290</v>
      </c>
      <c r="BH378" s="1151">
        <f t="shared" si="1094"/>
        <v>0</v>
      </c>
      <c r="BI378" s="1151">
        <v>0</v>
      </c>
      <c r="BJ378" s="1151">
        <f t="shared" si="1095"/>
        <v>0</v>
      </c>
      <c r="BK378" s="1151">
        <v>0</v>
      </c>
      <c r="BL378" s="1150">
        <f t="shared" si="1062"/>
        <v>11.07</v>
      </c>
      <c r="BM378" s="1150">
        <f t="shared" si="1063"/>
        <v>1.38</v>
      </c>
      <c r="BN378" s="1150">
        <f t="shared" si="1096"/>
        <v>3</v>
      </c>
      <c r="BO378" s="1150">
        <v>0</v>
      </c>
      <c r="BP378" s="1150">
        <v>0</v>
      </c>
      <c r="BQ378" s="1396">
        <f t="shared" si="1133"/>
        <v>15.45</v>
      </c>
      <c r="BR378" s="1150">
        <f t="shared" si="1064"/>
        <v>24.91</v>
      </c>
      <c r="BS378" s="1150">
        <f t="shared" si="1065"/>
        <v>5.54</v>
      </c>
      <c r="BT378" s="1150">
        <f t="shared" si="1097"/>
        <v>6</v>
      </c>
      <c r="BU378" s="1150">
        <v>0</v>
      </c>
      <c r="BV378" s="1151">
        <f t="shared" si="1134"/>
        <v>36.450000000000003</v>
      </c>
      <c r="BW378" s="1155">
        <f t="shared" si="1135"/>
        <v>51.900000000000006</v>
      </c>
      <c r="BX378" s="1155">
        <f t="shared" si="1067"/>
        <v>562.20000000000005</v>
      </c>
      <c r="BY378" s="1151">
        <v>0</v>
      </c>
      <c r="BZ378" s="1151">
        <f t="shared" si="1098"/>
        <v>562.20000000000005</v>
      </c>
      <c r="CA378" s="1397">
        <f>'CONCEPTOS Y PARAMETROS'!$A$102</f>
        <v>2120</v>
      </c>
      <c r="CB378" s="1155">
        <f t="shared" si="1099"/>
        <v>146.97000000000003</v>
      </c>
      <c r="CC378" s="1156">
        <f t="shared" si="1100"/>
        <v>512.39</v>
      </c>
      <c r="CD378" s="514"/>
      <c r="CE378" s="514"/>
      <c r="CF378" s="520"/>
      <c r="CG378" s="497">
        <f t="shared" si="1101"/>
        <v>146.97000000000003</v>
      </c>
      <c r="CH378" s="1711">
        <f t="shared" si="1102"/>
        <v>290</v>
      </c>
      <c r="CI378" s="497">
        <f t="shared" si="1103"/>
        <v>427.42</v>
      </c>
      <c r="CJ378" s="497">
        <f t="shared" si="1104"/>
        <v>427.42</v>
      </c>
      <c r="CK378" s="497">
        <f t="shared" si="1105"/>
        <v>0</v>
      </c>
      <c r="CL378" s="497">
        <f t="shared" si="1106"/>
        <v>0</v>
      </c>
      <c r="CM378" s="497">
        <f t="shared" si="1107"/>
        <v>0</v>
      </c>
      <c r="CN378" s="498">
        <f t="shared" si="1108"/>
        <v>59.97</v>
      </c>
      <c r="CO378" s="499">
        <v>0</v>
      </c>
      <c r="CP378" s="498">
        <f t="shared" si="1109"/>
        <v>0</v>
      </c>
      <c r="CQ378" s="500">
        <f t="shared" si="1110"/>
        <v>25</v>
      </c>
      <c r="CR378" s="498">
        <f t="shared" si="1111"/>
        <v>0</v>
      </c>
      <c r="CS378" s="498">
        <f t="shared" si="1112"/>
        <v>84.97</v>
      </c>
      <c r="CT378" s="498">
        <f t="shared" si="1113"/>
        <v>51.900000000000006</v>
      </c>
      <c r="CU378" s="498">
        <f t="shared" si="1114"/>
        <v>2120</v>
      </c>
      <c r="CV378" s="1554"/>
      <c r="CW378" s="1343" t="s">
        <v>7091</v>
      </c>
      <c r="CX378" s="1343" t="s">
        <v>7343</v>
      </c>
      <c r="CY378" s="472"/>
      <c r="CZ378" s="1199" t="s">
        <v>6608</v>
      </c>
      <c r="DA378" s="514" t="s">
        <v>6173</v>
      </c>
      <c r="DB378" s="1199" t="s">
        <v>6291</v>
      </c>
      <c r="DC378" s="514" t="s">
        <v>6627</v>
      </c>
      <c r="DD378" s="472"/>
      <c r="DE378" s="472"/>
      <c r="DF378" s="472"/>
      <c r="DG378" s="472"/>
      <c r="DH378" s="472"/>
      <c r="DJ378" s="473" t="str">
        <f>VLOOKUP(X378,Hoja1!$A$4:$B$10,2,0)</f>
        <v>BACHILLER</v>
      </c>
      <c r="DK378" s="473" t="str">
        <f>VLOOKUP(S378,Hoja1!$D$4:$F$77,3,0)</f>
        <v>GRADO (2) - MÁX</v>
      </c>
      <c r="DL378" s="1216" t="str">
        <f t="shared" si="1115"/>
        <v>0</v>
      </c>
      <c r="DM378" s="1741" t="str">
        <f t="shared" si="1116"/>
        <v>F</v>
      </c>
      <c r="DN378" s="1741"/>
    </row>
    <row r="379" spans="1:118" s="473" customFormat="1" ht="21.95" customHeight="1">
      <c r="A379" s="510" t="s">
        <v>2834</v>
      </c>
      <c r="B379" s="1390">
        <f t="shared" ref="B379:B403" ca="1" si="1136">OFFSET(B379,-1,0)+1</f>
        <v>68</v>
      </c>
      <c r="C379" s="1028">
        <v>16881526</v>
      </c>
      <c r="D379" s="1343" t="s">
        <v>5026</v>
      </c>
      <c r="E379" s="1180" t="s">
        <v>4622</v>
      </c>
      <c r="F379" s="1161">
        <v>31229</v>
      </c>
      <c r="G379" s="1180" t="s">
        <v>4620</v>
      </c>
      <c r="H379" s="1161">
        <v>44470</v>
      </c>
      <c r="I379" s="1185">
        <f t="shared" si="1090"/>
        <v>3</v>
      </c>
      <c r="J379" s="1177">
        <v>0</v>
      </c>
      <c r="K379" s="1185">
        <f t="shared" si="1091"/>
        <v>3</v>
      </c>
      <c r="L379" s="1191" t="s">
        <v>5542</v>
      </c>
      <c r="M379" s="1177"/>
      <c r="N379" s="1177"/>
      <c r="O379" s="1040" t="s">
        <v>5093</v>
      </c>
      <c r="P379" s="1177" t="s">
        <v>5166</v>
      </c>
      <c r="Q379" s="1391">
        <v>7102</v>
      </c>
      <c r="R379" s="1514" t="s">
        <v>5093</v>
      </c>
      <c r="S379" s="1513">
        <v>1</v>
      </c>
      <c r="T379" s="1150">
        <f>IFERROR(VLOOKUP(S379,'TAB OBR'!A:B,2,0),0)</f>
        <v>130</v>
      </c>
      <c r="U379" s="1151">
        <v>0</v>
      </c>
      <c r="V379" s="1150">
        <f t="shared" si="1117"/>
        <v>130</v>
      </c>
      <c r="W379" s="1151">
        <f t="shared" si="1118"/>
        <v>65</v>
      </c>
      <c r="X379" s="1180" t="s">
        <v>2884</v>
      </c>
      <c r="Y379" s="1180" t="s">
        <v>2884</v>
      </c>
      <c r="Z379" s="1180">
        <v>2</v>
      </c>
      <c r="AA379" s="1150">
        <f>ROUND(IF(H379&lt;&gt;"",VLOOKUP(SUM(I379+J379),'CONCEPTOS Y PARAMETROS'!F:G,2,0)*V379,0),2)</f>
        <v>3.9</v>
      </c>
      <c r="AB379" s="1150">
        <f>IF(S379&lt;&gt;"",IF(M379="",'CONCEPTOS Y PARAMETROS'!$C$4,0),0)</f>
        <v>130</v>
      </c>
      <c r="AC379" s="1150">
        <f>IF(S379&lt;&gt;"",IF(M379="",'CONCEPTOS Y PARAMETROS'!$C$7*Z379,0),0)</f>
        <v>25</v>
      </c>
      <c r="AD379" s="1150">
        <f>IFERROR(ROUND(VLOOKUP($X379,'CONCEPTOS Y PARAMETROS'!H:I,2,0)*($V379+AA379+AB379+AC379),2),0)</f>
        <v>0</v>
      </c>
      <c r="AE379" s="1150">
        <f t="shared" si="1119"/>
        <v>158.9</v>
      </c>
      <c r="AF379" s="1150">
        <f t="shared" si="1120"/>
        <v>1.95</v>
      </c>
      <c r="AG379" s="1150">
        <f t="shared" si="1121"/>
        <v>1.95</v>
      </c>
      <c r="AH379" s="1150">
        <f t="shared" si="1122"/>
        <v>65</v>
      </c>
      <c r="AI379" s="1150">
        <f t="shared" si="1123"/>
        <v>65</v>
      </c>
      <c r="AJ379" s="1150">
        <f t="shared" si="1124"/>
        <v>0</v>
      </c>
      <c r="AK379" s="1150">
        <f t="shared" si="1125"/>
        <v>0</v>
      </c>
      <c r="AL379" s="1151">
        <f t="shared" si="1126"/>
        <v>91.95</v>
      </c>
      <c r="AM379" s="1151">
        <f t="shared" si="1127"/>
        <v>66.95</v>
      </c>
      <c r="AN379" s="1584">
        <v>1</v>
      </c>
      <c r="AO379" s="1193">
        <f>'CONCEPTOS Y PARAMETROS'!$C$18*AN379</f>
        <v>12.5</v>
      </c>
      <c r="AP379" s="1028">
        <v>0</v>
      </c>
      <c r="AQ379" s="1193">
        <f>'CONCEPTOS Y PARAMETROS'!$C$21*AP379</f>
        <v>0</v>
      </c>
      <c r="AR379" s="1394">
        <v>0</v>
      </c>
      <c r="AS379" s="1394">
        <v>0</v>
      </c>
      <c r="AT379" s="1394">
        <f t="shared" si="1092"/>
        <v>12.5</v>
      </c>
      <c r="AU379" s="1151">
        <f t="shared" si="1128"/>
        <v>288.89999999999998</v>
      </c>
      <c r="AV379" s="1178">
        <v>0</v>
      </c>
      <c r="AW379" s="1151">
        <f t="shared" si="1129"/>
        <v>0</v>
      </c>
      <c r="AX379" s="1150">
        <f>IF(T379&lt;&gt;"0",(ROUND(IF(A379="EMPLEADO",eval_formula('CONCEPTOS Y PARAMETROS'!$C$8,NOMINA!V379,NOMINA!$AU379,NOMINA!I379+NOMINA!J379),eval_formula('CONCEPTOS Y PARAMETROS'!$D$8,NOMINA!V379,NOMINA!$AU379,NOMINA!I379+NOMINA!J379)),2))*IF(H379&lt;&gt;"",IF(MONTH(H379)=$BR$8,IF(YEAR(H379)&lt;$BT$7,1,0),0)))</f>
        <v>0</v>
      </c>
      <c r="AY379" s="1151">
        <v>180</v>
      </c>
      <c r="AZ379" s="1150">
        <f>IFERROR(VLOOKUP(AY379,'CONCEPTOS Y PARAMETROS'!Y:Z,2,0),0)</f>
        <v>150</v>
      </c>
      <c r="BA379" s="1150">
        <f t="shared" si="1130"/>
        <v>2166.75</v>
      </c>
      <c r="BB379" s="1150">
        <f t="shared" si="1131"/>
        <v>0</v>
      </c>
      <c r="BC379" s="1028">
        <v>0</v>
      </c>
      <c r="BD379" s="1150" t="str">
        <f t="shared" si="1132"/>
        <v>0</v>
      </c>
      <c r="BE379" s="1028">
        <v>0</v>
      </c>
      <c r="BF379" s="1150">
        <f t="shared" si="1093"/>
        <v>0</v>
      </c>
      <c r="BG379" s="1151">
        <v>290</v>
      </c>
      <c r="BH379" s="1151">
        <f t="shared" si="1094"/>
        <v>0</v>
      </c>
      <c r="BI379" s="1151">
        <v>0</v>
      </c>
      <c r="BJ379" s="1151">
        <f t="shared" si="1095"/>
        <v>0</v>
      </c>
      <c r="BK379" s="1151">
        <v>0</v>
      </c>
      <c r="BL379" s="1150">
        <f t="shared" si="1062"/>
        <v>10.67</v>
      </c>
      <c r="BM379" s="1150">
        <f t="shared" si="1063"/>
        <v>1.33</v>
      </c>
      <c r="BN379" s="1150">
        <f t="shared" si="1096"/>
        <v>2.89</v>
      </c>
      <c r="BO379" s="1150">
        <v>0</v>
      </c>
      <c r="BP379" s="1150">
        <v>0</v>
      </c>
      <c r="BQ379" s="1396">
        <f t="shared" si="1133"/>
        <v>14.89</v>
      </c>
      <c r="BR379" s="1150">
        <f t="shared" si="1064"/>
        <v>24</v>
      </c>
      <c r="BS379" s="1150">
        <f t="shared" si="1065"/>
        <v>5.33</v>
      </c>
      <c r="BT379" s="1150">
        <f t="shared" si="1097"/>
        <v>5.78</v>
      </c>
      <c r="BU379" s="1150">
        <v>0</v>
      </c>
      <c r="BV379" s="1151">
        <f t="shared" si="1134"/>
        <v>35.11</v>
      </c>
      <c r="BW379" s="1155">
        <f t="shared" si="1135"/>
        <v>50</v>
      </c>
      <c r="BX379" s="1155">
        <f t="shared" si="1067"/>
        <v>541.69000000000005</v>
      </c>
      <c r="BY379" s="1151">
        <v>0</v>
      </c>
      <c r="BZ379" s="1151">
        <f t="shared" si="1098"/>
        <v>541.69000000000005</v>
      </c>
      <c r="CA379" s="1397">
        <f>'CONCEPTOS Y PARAMETROS'!$A$102</f>
        <v>2120</v>
      </c>
      <c r="CB379" s="1155">
        <f t="shared" si="1099"/>
        <v>142.06</v>
      </c>
      <c r="CC379" s="1156">
        <f t="shared" si="1100"/>
        <v>434.45</v>
      </c>
      <c r="CD379" s="514"/>
      <c r="CE379" s="514"/>
      <c r="CF379" s="520"/>
      <c r="CG379" s="497">
        <f t="shared" si="1101"/>
        <v>142.06</v>
      </c>
      <c r="CH379" s="1711">
        <f t="shared" si="1102"/>
        <v>290</v>
      </c>
      <c r="CI379" s="497">
        <f t="shared" si="1103"/>
        <v>421.95</v>
      </c>
      <c r="CJ379" s="497">
        <f t="shared" si="1104"/>
        <v>421.95</v>
      </c>
      <c r="CK379" s="497">
        <f t="shared" si="1105"/>
        <v>0</v>
      </c>
      <c r="CL379" s="497">
        <f t="shared" si="1106"/>
        <v>0</v>
      </c>
      <c r="CM379" s="497">
        <f t="shared" si="1107"/>
        <v>0</v>
      </c>
      <c r="CN379" s="498">
        <f t="shared" si="1108"/>
        <v>0</v>
      </c>
      <c r="CO379" s="499">
        <v>0</v>
      </c>
      <c r="CP379" s="498">
        <f t="shared" si="1109"/>
        <v>0</v>
      </c>
      <c r="CQ379" s="500">
        <f t="shared" si="1110"/>
        <v>12.5</v>
      </c>
      <c r="CR379" s="498">
        <f t="shared" si="1111"/>
        <v>0</v>
      </c>
      <c r="CS379" s="498">
        <f t="shared" si="1112"/>
        <v>12.5</v>
      </c>
      <c r="CT379" s="498">
        <f t="shared" si="1113"/>
        <v>50</v>
      </c>
      <c r="CU379" s="498">
        <f t="shared" si="1114"/>
        <v>2120</v>
      </c>
      <c r="CV379" s="1554"/>
      <c r="CW379" s="1343" t="s">
        <v>6972</v>
      </c>
      <c r="CX379" s="1343" t="s">
        <v>7344</v>
      </c>
      <c r="CY379" s="472"/>
      <c r="CZ379" s="1199" t="s">
        <v>6696</v>
      </c>
      <c r="DA379" s="514" t="s">
        <v>6173</v>
      </c>
      <c r="DB379" s="1199" t="s">
        <v>6291</v>
      </c>
      <c r="DC379" s="514" t="s">
        <v>6572</v>
      </c>
      <c r="DD379" s="472"/>
      <c r="DE379" s="472"/>
      <c r="DF379" s="472"/>
      <c r="DG379" s="472"/>
      <c r="DH379" s="472"/>
      <c r="DJ379" s="473" t="str">
        <f>VLOOKUP(X379,Hoja1!$A$4:$B$10,2,0)</f>
        <v>BACHILLER</v>
      </c>
      <c r="DK379" s="473" t="str">
        <f>VLOOKUP(S379,Hoja1!$D$4:$F$77,3,0)</f>
        <v>GRADO (1) - MIN</v>
      </c>
      <c r="DL379" s="1216" t="str">
        <f t="shared" si="1115"/>
        <v>0</v>
      </c>
      <c r="DM379" s="1741" t="str">
        <f t="shared" si="1116"/>
        <v>F</v>
      </c>
      <c r="DN379" s="1741"/>
    </row>
    <row r="380" spans="1:118" s="473" customFormat="1" ht="21.95" customHeight="1">
      <c r="A380" s="510" t="s">
        <v>2834</v>
      </c>
      <c r="B380" s="1390">
        <f t="shared" ca="1" si="1136"/>
        <v>69</v>
      </c>
      <c r="C380" s="1028">
        <v>17093567</v>
      </c>
      <c r="D380" s="1343" t="s">
        <v>5027</v>
      </c>
      <c r="E380" s="1180" t="s">
        <v>4622</v>
      </c>
      <c r="F380" s="1161">
        <v>29375</v>
      </c>
      <c r="G380" s="1180" t="s">
        <v>4620</v>
      </c>
      <c r="H380" s="1161">
        <v>39449</v>
      </c>
      <c r="I380" s="1185">
        <f t="shared" si="1090"/>
        <v>17</v>
      </c>
      <c r="J380" s="1177">
        <v>0</v>
      </c>
      <c r="K380" s="1185">
        <f t="shared" si="1091"/>
        <v>17</v>
      </c>
      <c r="L380" s="1191" t="s">
        <v>5554</v>
      </c>
      <c r="M380" s="1177"/>
      <c r="N380" s="1177"/>
      <c r="O380" s="1040" t="s">
        <v>5084</v>
      </c>
      <c r="P380" s="1177" t="s">
        <v>5167</v>
      </c>
      <c r="Q380" s="1391">
        <v>7152</v>
      </c>
      <c r="R380" s="1514" t="s">
        <v>5084</v>
      </c>
      <c r="S380" s="1513">
        <v>3</v>
      </c>
      <c r="T380" s="1150">
        <f>IFERROR(VLOOKUP(S380,'TAB OBR'!A:B,2,0),0)</f>
        <v>152</v>
      </c>
      <c r="U380" s="1151">
        <v>0</v>
      </c>
      <c r="V380" s="1150">
        <f t="shared" si="1117"/>
        <v>152</v>
      </c>
      <c r="W380" s="1151">
        <f t="shared" si="1118"/>
        <v>76</v>
      </c>
      <c r="X380" s="1180" t="s">
        <v>2884</v>
      </c>
      <c r="Y380" s="1180" t="s">
        <v>2884</v>
      </c>
      <c r="Z380" s="1180">
        <v>0</v>
      </c>
      <c r="AA380" s="1150">
        <f>ROUND(IF(H380&lt;&gt;"",VLOOKUP(SUM(I380+J380),'CONCEPTOS Y PARAMETROS'!F:G,2,0)*V380,0),2)</f>
        <v>32.22</v>
      </c>
      <c r="AB380" s="1150">
        <f>IF(S380&lt;&gt;"",IF(M380="",'CONCEPTOS Y PARAMETROS'!$C$4,0),0)</f>
        <v>130</v>
      </c>
      <c r="AC380" s="1150">
        <f>IF(S380&lt;&gt;"",IF(M380="",'CONCEPTOS Y PARAMETROS'!$C$7*Z380,0),0)</f>
        <v>0</v>
      </c>
      <c r="AD380" s="1150">
        <f>IFERROR(ROUND(VLOOKUP($X380,'CONCEPTOS Y PARAMETROS'!H:I,2,0)*($V380+AA380+AB380+AC380),2),0)</f>
        <v>0</v>
      </c>
      <c r="AE380" s="1150">
        <f t="shared" si="1119"/>
        <v>162.22</v>
      </c>
      <c r="AF380" s="1150">
        <f t="shared" si="1120"/>
        <v>16.11</v>
      </c>
      <c r="AG380" s="1150">
        <f t="shared" si="1121"/>
        <v>16.11</v>
      </c>
      <c r="AH380" s="1150">
        <f t="shared" si="1122"/>
        <v>65</v>
      </c>
      <c r="AI380" s="1150">
        <f t="shared" si="1123"/>
        <v>65</v>
      </c>
      <c r="AJ380" s="1150">
        <f t="shared" si="1124"/>
        <v>0</v>
      </c>
      <c r="AK380" s="1150">
        <f t="shared" si="1125"/>
        <v>0</v>
      </c>
      <c r="AL380" s="1151">
        <f t="shared" si="1126"/>
        <v>81.11</v>
      </c>
      <c r="AM380" s="1151">
        <f t="shared" si="1127"/>
        <v>81.11</v>
      </c>
      <c r="AN380" s="1028">
        <v>0</v>
      </c>
      <c r="AO380" s="1193">
        <f>'CONCEPTOS Y PARAMETROS'!$C$18*AN380</f>
        <v>0</v>
      </c>
      <c r="AP380" s="1028">
        <v>0</v>
      </c>
      <c r="AQ380" s="1193">
        <f>'CONCEPTOS Y PARAMETROS'!$C$21*AP380</f>
        <v>0</v>
      </c>
      <c r="AR380" s="1394">
        <v>0</v>
      </c>
      <c r="AS380" s="1394">
        <v>0</v>
      </c>
      <c r="AT380" s="1394">
        <f t="shared" si="1092"/>
        <v>0</v>
      </c>
      <c r="AU380" s="1151">
        <f t="shared" si="1128"/>
        <v>314.22000000000003</v>
      </c>
      <c r="AV380" s="1178">
        <v>0</v>
      </c>
      <c r="AW380" s="1151">
        <f t="shared" si="1129"/>
        <v>0</v>
      </c>
      <c r="AX380" s="1150">
        <f>IF(T380&lt;&gt;"0",(ROUND(IF(A380="EMPLEADO",eval_formula('CONCEPTOS Y PARAMETROS'!$C$8,NOMINA!V380,NOMINA!$AU380,NOMINA!I380+NOMINA!J380),eval_formula('CONCEPTOS Y PARAMETROS'!$D$8,NOMINA!V380,NOMINA!$AU380,NOMINA!I380+NOMINA!J380)),2))*IF(H380&lt;&gt;"",IF(MONTH(H380)=$BR$8,IF(YEAR(H380)&lt;$BT$7,1,0),0)))</f>
        <v>2513.7600000000002</v>
      </c>
      <c r="AY380" s="1151">
        <v>180</v>
      </c>
      <c r="AZ380" s="1150">
        <f>IFERROR(VLOOKUP(AY380,'CONCEPTOS Y PARAMETROS'!Y:Z,2,0),0)</f>
        <v>150</v>
      </c>
      <c r="BA380" s="1150">
        <f t="shared" si="1130"/>
        <v>2356.65</v>
      </c>
      <c r="BB380" s="1150">
        <f t="shared" si="1131"/>
        <v>0</v>
      </c>
      <c r="BC380" s="1028">
        <v>0</v>
      </c>
      <c r="BD380" s="1150" t="str">
        <f t="shared" si="1132"/>
        <v>0</v>
      </c>
      <c r="BE380" s="1028">
        <v>0</v>
      </c>
      <c r="BF380" s="1150">
        <f t="shared" si="1093"/>
        <v>0</v>
      </c>
      <c r="BG380" s="1151">
        <v>290</v>
      </c>
      <c r="BH380" s="1151">
        <f t="shared" si="1094"/>
        <v>0</v>
      </c>
      <c r="BI380" s="1151">
        <v>0</v>
      </c>
      <c r="BJ380" s="1151">
        <f t="shared" si="1095"/>
        <v>0</v>
      </c>
      <c r="BK380" s="1151">
        <v>0</v>
      </c>
      <c r="BL380" s="1150">
        <f t="shared" si="1062"/>
        <v>11.6</v>
      </c>
      <c r="BM380" s="1150">
        <f t="shared" si="1063"/>
        <v>1.45</v>
      </c>
      <c r="BN380" s="1150">
        <f t="shared" si="1096"/>
        <v>3.14</v>
      </c>
      <c r="BO380" s="1150">
        <v>0</v>
      </c>
      <c r="BP380" s="1150">
        <v>0</v>
      </c>
      <c r="BQ380" s="1396">
        <f t="shared" si="1133"/>
        <v>16.190000000000001</v>
      </c>
      <c r="BR380" s="1150">
        <f t="shared" si="1064"/>
        <v>26.1</v>
      </c>
      <c r="BS380" s="1150">
        <f t="shared" si="1065"/>
        <v>5.8</v>
      </c>
      <c r="BT380" s="1150">
        <f t="shared" si="1097"/>
        <v>6.28</v>
      </c>
      <c r="BU380" s="1150">
        <v>0</v>
      </c>
      <c r="BV380" s="1151">
        <f t="shared" si="1134"/>
        <v>38.18</v>
      </c>
      <c r="BW380" s="1155">
        <f t="shared" si="1135"/>
        <v>54.370000000000005</v>
      </c>
      <c r="BX380" s="1155">
        <f t="shared" si="1067"/>
        <v>589.16</v>
      </c>
      <c r="BY380" s="1151">
        <v>0</v>
      </c>
      <c r="BZ380" s="1151">
        <f t="shared" si="1098"/>
        <v>589.16</v>
      </c>
      <c r="CA380" s="1397">
        <f>'CONCEPTOS Y PARAMETROS'!$A$102</f>
        <v>2120</v>
      </c>
      <c r="CB380" s="1155">
        <f t="shared" si="1099"/>
        <v>140.92000000000002</v>
      </c>
      <c r="CC380" s="1156">
        <f t="shared" si="1100"/>
        <v>2960.87</v>
      </c>
      <c r="CD380" s="514"/>
      <c r="CE380" s="514"/>
      <c r="CF380" s="520"/>
      <c r="CG380" s="497">
        <f t="shared" si="1101"/>
        <v>140.92000000000002</v>
      </c>
      <c r="CH380" s="1711">
        <f t="shared" si="1102"/>
        <v>290</v>
      </c>
      <c r="CI380" s="497">
        <f t="shared" si="1103"/>
        <v>447.11</v>
      </c>
      <c r="CJ380" s="497">
        <f t="shared" si="1104"/>
        <v>447.11</v>
      </c>
      <c r="CK380" s="497">
        <f t="shared" si="1105"/>
        <v>0</v>
      </c>
      <c r="CL380" s="497">
        <f t="shared" si="1106"/>
        <v>0</v>
      </c>
      <c r="CM380" s="497">
        <f t="shared" si="1107"/>
        <v>0</v>
      </c>
      <c r="CN380" s="498">
        <f t="shared" si="1108"/>
        <v>0</v>
      </c>
      <c r="CO380" s="499">
        <v>0</v>
      </c>
      <c r="CP380" s="498">
        <f t="shared" si="1109"/>
        <v>0</v>
      </c>
      <c r="CQ380" s="500">
        <f t="shared" si="1110"/>
        <v>0</v>
      </c>
      <c r="CR380" s="498">
        <f t="shared" si="1111"/>
        <v>2513.7600000000002</v>
      </c>
      <c r="CS380" s="498">
        <f t="shared" si="1112"/>
        <v>2513.7600000000002</v>
      </c>
      <c r="CT380" s="498">
        <f t="shared" si="1113"/>
        <v>54.370000000000005</v>
      </c>
      <c r="CU380" s="498">
        <f t="shared" si="1114"/>
        <v>2120</v>
      </c>
      <c r="CV380" s="1554"/>
      <c r="CW380" s="1343" t="s">
        <v>6958</v>
      </c>
      <c r="CX380" s="1343" t="s">
        <v>7029</v>
      </c>
      <c r="CY380" s="472"/>
      <c r="CZ380" s="514" t="s">
        <v>6410</v>
      </c>
      <c r="DA380" s="514" t="s">
        <v>6196</v>
      </c>
      <c r="DB380" s="514" t="s">
        <v>6260</v>
      </c>
      <c r="DC380" s="514" t="s">
        <v>6408</v>
      </c>
      <c r="DD380" s="472"/>
      <c r="DE380" s="472"/>
      <c r="DF380" s="472"/>
      <c r="DG380" s="472"/>
      <c r="DH380" s="472"/>
      <c r="DJ380" s="473" t="str">
        <f>VLOOKUP(X380,Hoja1!$A$4:$B$10,2,0)</f>
        <v>BACHILLER</v>
      </c>
      <c r="DK380" s="473" t="str">
        <f>VLOOKUP(S380,Hoja1!$D$4:$F$77,3,0)</f>
        <v>GRADO (3) - MÁX</v>
      </c>
      <c r="DL380" s="1216" t="str">
        <f t="shared" si="1115"/>
        <v>0</v>
      </c>
      <c r="DM380" s="1741" t="str">
        <f t="shared" si="1116"/>
        <v>F</v>
      </c>
      <c r="DN380" s="1741"/>
    </row>
    <row r="381" spans="1:118" s="193" customFormat="1" ht="21.95" customHeight="1">
      <c r="A381" s="510" t="s">
        <v>2834</v>
      </c>
      <c r="B381" s="1390">
        <f t="shared" ca="1" si="1136"/>
        <v>70</v>
      </c>
      <c r="C381" s="1028">
        <v>17093846</v>
      </c>
      <c r="D381" s="1343" t="s">
        <v>5519</v>
      </c>
      <c r="E381" s="1180" t="s">
        <v>4622</v>
      </c>
      <c r="F381" s="1161">
        <v>30325</v>
      </c>
      <c r="G381" s="1180" t="s">
        <v>4621</v>
      </c>
      <c r="H381" s="1161">
        <v>45017</v>
      </c>
      <c r="I381" s="1185">
        <f t="shared" si="1090"/>
        <v>1</v>
      </c>
      <c r="J381" s="1177">
        <v>0</v>
      </c>
      <c r="K381" s="1185">
        <f t="shared" si="1091"/>
        <v>1</v>
      </c>
      <c r="L381" s="1191" t="s">
        <v>5565</v>
      </c>
      <c r="M381" s="1177"/>
      <c r="N381" s="1177"/>
      <c r="O381" s="1040" t="s">
        <v>5084</v>
      </c>
      <c r="P381" s="1197" t="s">
        <v>5520</v>
      </c>
      <c r="Q381" s="1391">
        <v>7152</v>
      </c>
      <c r="R381" s="1515" t="s">
        <v>5084</v>
      </c>
      <c r="S381" s="1513">
        <v>3</v>
      </c>
      <c r="T381" s="1150">
        <f>IFERROR(VLOOKUP(S381,'TAB OBR'!A:B,2,0),0)</f>
        <v>152</v>
      </c>
      <c r="U381" s="1151">
        <v>0</v>
      </c>
      <c r="V381" s="1150">
        <f t="shared" si="1117"/>
        <v>152</v>
      </c>
      <c r="W381" s="1151">
        <f t="shared" si="1118"/>
        <v>76</v>
      </c>
      <c r="X381" s="1180" t="s">
        <v>2884</v>
      </c>
      <c r="Y381" s="1180" t="s">
        <v>2884</v>
      </c>
      <c r="Z381" s="1180">
        <v>0</v>
      </c>
      <c r="AA381" s="1150">
        <f>ROUND(IF(H381&lt;&gt;"",VLOOKUP(SUM(I381+J381),'CONCEPTOS Y PARAMETROS'!F:G,2,0)*V381,0),2)</f>
        <v>1.52</v>
      </c>
      <c r="AB381" s="1150">
        <f>IF(S381&lt;&gt;"",IF(M381="",'CONCEPTOS Y PARAMETROS'!$C$4,0),0)</f>
        <v>130</v>
      </c>
      <c r="AC381" s="1150">
        <f>IF(S381&lt;&gt;"",IF(M381="",'CONCEPTOS Y PARAMETROS'!$C$7*Z381,0),0)</f>
        <v>0</v>
      </c>
      <c r="AD381" s="1150">
        <f>IFERROR(ROUND(VLOOKUP($X381,'CONCEPTOS Y PARAMETROS'!H:I,2,0)*($V381+AA381+AB381+AC381),2),0)</f>
        <v>0</v>
      </c>
      <c r="AE381" s="1150">
        <f t="shared" si="1119"/>
        <v>131.52000000000001</v>
      </c>
      <c r="AF381" s="1150">
        <f t="shared" si="1120"/>
        <v>0.76</v>
      </c>
      <c r="AG381" s="1150">
        <f t="shared" si="1121"/>
        <v>0.76</v>
      </c>
      <c r="AH381" s="1150">
        <f t="shared" si="1122"/>
        <v>65</v>
      </c>
      <c r="AI381" s="1150">
        <f t="shared" si="1123"/>
        <v>65</v>
      </c>
      <c r="AJ381" s="1150">
        <f t="shared" si="1124"/>
        <v>0</v>
      </c>
      <c r="AK381" s="1150">
        <f t="shared" si="1125"/>
        <v>0</v>
      </c>
      <c r="AL381" s="1151">
        <f t="shared" si="1126"/>
        <v>65.760000000000005</v>
      </c>
      <c r="AM381" s="1151">
        <f t="shared" si="1127"/>
        <v>65.760000000000005</v>
      </c>
      <c r="AN381" s="1028">
        <v>0</v>
      </c>
      <c r="AO381" s="1193">
        <f>'CONCEPTOS Y PARAMETROS'!$C$18*AN381</f>
        <v>0</v>
      </c>
      <c r="AP381" s="1028">
        <v>0</v>
      </c>
      <c r="AQ381" s="1193">
        <f>'CONCEPTOS Y PARAMETROS'!$C$21*AP381</f>
        <v>0</v>
      </c>
      <c r="AR381" s="1394">
        <v>0</v>
      </c>
      <c r="AS381" s="1394">
        <v>0</v>
      </c>
      <c r="AT381" s="1394">
        <f t="shared" si="1092"/>
        <v>0</v>
      </c>
      <c r="AU381" s="1151">
        <f t="shared" si="1128"/>
        <v>283.52</v>
      </c>
      <c r="AV381" s="1151">
        <v>0</v>
      </c>
      <c r="AW381" s="1151">
        <f t="shared" si="1129"/>
        <v>0</v>
      </c>
      <c r="AX381" s="1151">
        <f>IF(T381&lt;&gt;"0",(ROUND(IF(A381="EMPLEADO",eval_formula('CONCEPTOS Y PARAMETROS'!$C$8,NOMINA!V381,NOMINA!$AU381,NOMINA!I381+NOMINA!J381),eval_formula('CONCEPTOS Y PARAMETROS'!$D$8,NOMINA!V381,NOMINA!$AU381,NOMINA!I381+NOMINA!J381)),2))*IF(H381&lt;&gt;"",IF(MONTH(H381)=$BR$8,IF(YEAR(H381)&lt;$BT$7,1,0),0)))</f>
        <v>0</v>
      </c>
      <c r="AY381" s="1151">
        <v>180</v>
      </c>
      <c r="AZ381" s="1150">
        <f>IFERROR(VLOOKUP(AY381,'CONCEPTOS Y PARAMETROS'!Y:Z,2,0),0)</f>
        <v>150</v>
      </c>
      <c r="BA381" s="1150">
        <f t="shared" si="1130"/>
        <v>2126.4</v>
      </c>
      <c r="BB381" s="1150">
        <f t="shared" si="1131"/>
        <v>0</v>
      </c>
      <c r="BC381" s="1028">
        <v>0</v>
      </c>
      <c r="BD381" s="1150" t="str">
        <f t="shared" si="1132"/>
        <v>0</v>
      </c>
      <c r="BE381" s="1028">
        <v>0</v>
      </c>
      <c r="BF381" s="1150">
        <f t="shared" si="1093"/>
        <v>0</v>
      </c>
      <c r="BG381" s="1151">
        <v>290</v>
      </c>
      <c r="BH381" s="1151">
        <f t="shared" si="1094"/>
        <v>0</v>
      </c>
      <c r="BI381" s="1151">
        <v>0</v>
      </c>
      <c r="BJ381" s="1151">
        <f t="shared" si="1095"/>
        <v>0</v>
      </c>
      <c r="BK381" s="1151">
        <v>0</v>
      </c>
      <c r="BL381" s="1150">
        <f t="shared" si="1062"/>
        <v>10.47</v>
      </c>
      <c r="BM381" s="1150">
        <f t="shared" si="1063"/>
        <v>1.31</v>
      </c>
      <c r="BN381" s="1150">
        <f t="shared" si="1096"/>
        <v>2.84</v>
      </c>
      <c r="BO381" s="1150">
        <v>0</v>
      </c>
      <c r="BP381" s="1150">
        <v>0</v>
      </c>
      <c r="BQ381" s="1396">
        <f t="shared" ref="BQ381" si="1137">ROUND(SUM(BL381:BP381),2)</f>
        <v>14.62</v>
      </c>
      <c r="BR381" s="1150">
        <f t="shared" si="1064"/>
        <v>23.55</v>
      </c>
      <c r="BS381" s="1150">
        <f t="shared" si="1065"/>
        <v>5.23</v>
      </c>
      <c r="BT381" s="1150">
        <f t="shared" si="1097"/>
        <v>5.68</v>
      </c>
      <c r="BU381" s="1150">
        <v>0</v>
      </c>
      <c r="BV381" s="1151">
        <f t="shared" ref="BV381" si="1138">ROUND(SUM(BR381:BT381),2)</f>
        <v>34.46</v>
      </c>
      <c r="BW381" s="1155">
        <f t="shared" ref="BW381" si="1139">BQ381+BV381</f>
        <v>49.08</v>
      </c>
      <c r="BX381" s="1155">
        <f t="shared" si="1067"/>
        <v>531.6</v>
      </c>
      <c r="BY381" s="1151">
        <v>0</v>
      </c>
      <c r="BZ381" s="1151">
        <f t="shared" si="1098"/>
        <v>531.6</v>
      </c>
      <c r="CA381" s="1397">
        <f>'CONCEPTOS Y PARAMETROS'!$A$102</f>
        <v>2120</v>
      </c>
      <c r="CB381" s="1155">
        <f t="shared" si="1099"/>
        <v>127.13999999999999</v>
      </c>
      <c r="CC381" s="1156">
        <f t="shared" si="1100"/>
        <v>431.76</v>
      </c>
      <c r="CD381" s="514"/>
      <c r="CE381" s="514"/>
      <c r="CF381" s="521"/>
      <c r="CG381" s="511">
        <f t="shared" si="1101"/>
        <v>127.13999999999999</v>
      </c>
      <c r="CH381" s="1711">
        <f t="shared" si="1102"/>
        <v>290</v>
      </c>
      <c r="CI381" s="497">
        <f t="shared" si="1103"/>
        <v>431.76</v>
      </c>
      <c r="CJ381" s="511">
        <f t="shared" si="1104"/>
        <v>431.76</v>
      </c>
      <c r="CK381" s="511">
        <f t="shared" si="1105"/>
        <v>0</v>
      </c>
      <c r="CL381" s="497">
        <f t="shared" si="1106"/>
        <v>0</v>
      </c>
      <c r="CM381" s="497">
        <f t="shared" si="1107"/>
        <v>0</v>
      </c>
      <c r="CN381" s="512">
        <f t="shared" si="1108"/>
        <v>0</v>
      </c>
      <c r="CO381" s="513">
        <v>0</v>
      </c>
      <c r="CP381" s="512">
        <f t="shared" si="1109"/>
        <v>0</v>
      </c>
      <c r="CQ381" s="500">
        <f t="shared" si="1110"/>
        <v>0</v>
      </c>
      <c r="CR381" s="512">
        <f t="shared" si="1111"/>
        <v>0</v>
      </c>
      <c r="CS381" s="498">
        <f t="shared" si="1112"/>
        <v>0</v>
      </c>
      <c r="CT381" s="498">
        <f t="shared" si="1113"/>
        <v>49.08</v>
      </c>
      <c r="CU381" s="512">
        <f t="shared" si="1114"/>
        <v>2120</v>
      </c>
      <c r="CV381" s="1556"/>
      <c r="CW381" s="1343" t="s">
        <v>6947</v>
      </c>
      <c r="CX381" s="1343" t="s">
        <v>7345</v>
      </c>
      <c r="CY381" s="514"/>
      <c r="CZ381" s="1199" t="s">
        <v>6609</v>
      </c>
      <c r="DA381" s="514" t="s">
        <v>6173</v>
      </c>
      <c r="DB381" s="514" t="s">
        <v>6185</v>
      </c>
      <c r="DC381" s="514" t="s">
        <v>6628</v>
      </c>
      <c r="DD381" s="514"/>
      <c r="DE381" s="514"/>
      <c r="DF381" s="514"/>
      <c r="DG381" s="514"/>
      <c r="DH381" s="514"/>
      <c r="DI381" s="478"/>
      <c r="DJ381" s="473" t="str">
        <f>VLOOKUP(X381,Hoja1!$A$4:$B$10,2,0)</f>
        <v>BACHILLER</v>
      </c>
      <c r="DK381" s="473" t="str">
        <f>VLOOKUP(S381,Hoja1!$D$4:$F$77,3,0)</f>
        <v>GRADO (3) - MÁX</v>
      </c>
      <c r="DL381" s="1216" t="str">
        <f t="shared" si="1115"/>
        <v>0</v>
      </c>
      <c r="DM381" s="1741" t="str">
        <f t="shared" si="1116"/>
        <v>M</v>
      </c>
      <c r="DN381" s="1741"/>
    </row>
    <row r="382" spans="1:118" s="473" customFormat="1" ht="21.95" customHeight="1">
      <c r="A382" s="510" t="s">
        <v>2834</v>
      </c>
      <c r="B382" s="1390">
        <f t="shared" ca="1" si="1136"/>
        <v>71</v>
      </c>
      <c r="C382" s="1028">
        <v>17095084</v>
      </c>
      <c r="D382" s="1343" t="s">
        <v>5028</v>
      </c>
      <c r="E382" s="1180" t="s">
        <v>4622</v>
      </c>
      <c r="F382" s="1161">
        <v>30709</v>
      </c>
      <c r="G382" s="1180" t="s">
        <v>4620</v>
      </c>
      <c r="H382" s="1161">
        <v>44317</v>
      </c>
      <c r="I382" s="1185">
        <f t="shared" si="1090"/>
        <v>3</v>
      </c>
      <c r="J382" s="1177">
        <v>0</v>
      </c>
      <c r="K382" s="1185">
        <f t="shared" si="1091"/>
        <v>3</v>
      </c>
      <c r="L382" s="1191" t="s">
        <v>5558</v>
      </c>
      <c r="M382" s="1177"/>
      <c r="N382" s="1177"/>
      <c r="O382" s="1040" t="s">
        <v>5085</v>
      </c>
      <c r="P382" s="1177" t="s">
        <v>5168</v>
      </c>
      <c r="Q382" s="1391">
        <v>2202</v>
      </c>
      <c r="R382" s="1514" t="s">
        <v>5085</v>
      </c>
      <c r="S382" s="1513">
        <v>5</v>
      </c>
      <c r="T382" s="1150">
        <f>IFERROR(VLOOKUP(S382,'TAB OBR'!A:B,2,0),0)</f>
        <v>171</v>
      </c>
      <c r="U382" s="1151">
        <v>0</v>
      </c>
      <c r="V382" s="1150">
        <f t="shared" si="1117"/>
        <v>171</v>
      </c>
      <c r="W382" s="1151">
        <f t="shared" si="1118"/>
        <v>85.5</v>
      </c>
      <c r="X382" s="1180" t="s">
        <v>2884</v>
      </c>
      <c r="Y382" s="1180" t="s">
        <v>2884</v>
      </c>
      <c r="Z382" s="1180">
        <v>2</v>
      </c>
      <c r="AA382" s="1150">
        <f>ROUND(IF(H382&lt;&gt;"",VLOOKUP(SUM(I382+J382),'CONCEPTOS Y PARAMETROS'!F:G,2,0)*V382,0),2)</f>
        <v>5.13</v>
      </c>
      <c r="AB382" s="1150">
        <f>IF(S382&lt;&gt;"",IF(M382="",'CONCEPTOS Y PARAMETROS'!$C$4,0),0)</f>
        <v>130</v>
      </c>
      <c r="AC382" s="1150">
        <f>IF(S382&lt;&gt;"",IF(M382="",'CONCEPTOS Y PARAMETROS'!$C$7*Z382,0),0)</f>
        <v>25</v>
      </c>
      <c r="AD382" s="1150">
        <f>IFERROR(ROUND(VLOOKUP($X382,'CONCEPTOS Y PARAMETROS'!H:I,2,0)*($V382+AA382+AB382+AC382),2),0)</f>
        <v>0</v>
      </c>
      <c r="AE382" s="1150">
        <f t="shared" si="1119"/>
        <v>160.13</v>
      </c>
      <c r="AF382" s="1150">
        <f t="shared" si="1120"/>
        <v>2.57</v>
      </c>
      <c r="AG382" s="1150">
        <f t="shared" si="1121"/>
        <v>2.56</v>
      </c>
      <c r="AH382" s="1150">
        <f t="shared" si="1122"/>
        <v>65</v>
      </c>
      <c r="AI382" s="1150">
        <f t="shared" si="1123"/>
        <v>65</v>
      </c>
      <c r="AJ382" s="1150">
        <f t="shared" si="1124"/>
        <v>0</v>
      </c>
      <c r="AK382" s="1150">
        <f t="shared" si="1125"/>
        <v>0</v>
      </c>
      <c r="AL382" s="1151">
        <f t="shared" si="1126"/>
        <v>92.57</v>
      </c>
      <c r="AM382" s="1151">
        <f t="shared" si="1127"/>
        <v>67.56</v>
      </c>
      <c r="AN382" s="1028">
        <v>0</v>
      </c>
      <c r="AO382" s="1193">
        <f>'CONCEPTOS Y PARAMETROS'!$C$18*AN382</f>
        <v>0</v>
      </c>
      <c r="AP382" s="1028">
        <v>0</v>
      </c>
      <c r="AQ382" s="1193">
        <f>'CONCEPTOS Y PARAMETROS'!$C$21*AP382</f>
        <v>0</v>
      </c>
      <c r="AR382" s="1394">
        <v>0</v>
      </c>
      <c r="AS382" s="1394">
        <v>0</v>
      </c>
      <c r="AT382" s="1394">
        <f t="shared" si="1092"/>
        <v>0</v>
      </c>
      <c r="AU382" s="1151">
        <f t="shared" si="1128"/>
        <v>331.13</v>
      </c>
      <c r="AV382" s="1178">
        <v>0</v>
      </c>
      <c r="AW382" s="1151">
        <f t="shared" si="1129"/>
        <v>0</v>
      </c>
      <c r="AX382" s="1150">
        <f>IF(T382&lt;&gt;"0",(ROUND(IF(A382="EMPLEADO",eval_formula('CONCEPTOS Y PARAMETROS'!$C$8,NOMINA!V382,NOMINA!$AU382,NOMINA!I382+NOMINA!J382),eval_formula('CONCEPTOS Y PARAMETROS'!$D$8,NOMINA!V382,NOMINA!$AU382,NOMINA!I382+NOMINA!J382)),2))*IF(H382&lt;&gt;"",IF(MONTH(H382)=$BR$8,IF(YEAR(H382)&lt;$BT$7,1,0),0)))</f>
        <v>0</v>
      </c>
      <c r="AY382" s="1151">
        <v>180</v>
      </c>
      <c r="AZ382" s="1150">
        <f>IFERROR(VLOOKUP(AY382,'CONCEPTOS Y PARAMETROS'!Y:Z,2,0),0)</f>
        <v>150</v>
      </c>
      <c r="BA382" s="1150">
        <f t="shared" si="1130"/>
        <v>2483.48</v>
      </c>
      <c r="BB382" s="1150">
        <f t="shared" si="1131"/>
        <v>0</v>
      </c>
      <c r="BC382" s="1028">
        <v>0</v>
      </c>
      <c r="BD382" s="1150" t="str">
        <f t="shared" si="1132"/>
        <v>0</v>
      </c>
      <c r="BE382" s="1028">
        <v>2</v>
      </c>
      <c r="BF382" s="1150">
        <f t="shared" si="1093"/>
        <v>33.11</v>
      </c>
      <c r="BG382" s="1151">
        <v>290</v>
      </c>
      <c r="BH382" s="1151">
        <f t="shared" si="1094"/>
        <v>0</v>
      </c>
      <c r="BI382" s="1151">
        <v>0</v>
      </c>
      <c r="BJ382" s="1151">
        <f t="shared" si="1095"/>
        <v>0</v>
      </c>
      <c r="BK382" s="1151">
        <v>0</v>
      </c>
      <c r="BL382" s="1150">
        <f t="shared" si="1062"/>
        <v>12.23</v>
      </c>
      <c r="BM382" s="1150">
        <f t="shared" si="1063"/>
        <v>1.53</v>
      </c>
      <c r="BN382" s="1150">
        <f t="shared" si="1096"/>
        <v>3.31</v>
      </c>
      <c r="BO382" s="1150">
        <v>0</v>
      </c>
      <c r="BP382" s="1150">
        <v>0</v>
      </c>
      <c r="BQ382" s="1396">
        <f t="shared" si="1133"/>
        <v>17.07</v>
      </c>
      <c r="BR382" s="1150">
        <f t="shared" si="1064"/>
        <v>27.51</v>
      </c>
      <c r="BS382" s="1150">
        <f t="shared" si="1065"/>
        <v>6.11</v>
      </c>
      <c r="BT382" s="1150">
        <f t="shared" si="1097"/>
        <v>6.62</v>
      </c>
      <c r="BU382" s="1150">
        <v>0</v>
      </c>
      <c r="BV382" s="1151">
        <f t="shared" si="1134"/>
        <v>40.24</v>
      </c>
      <c r="BW382" s="1155">
        <f t="shared" si="1135"/>
        <v>57.31</v>
      </c>
      <c r="BX382" s="1155">
        <f t="shared" si="1067"/>
        <v>620.87</v>
      </c>
      <c r="BY382" s="1151">
        <v>0</v>
      </c>
      <c r="BZ382" s="1151">
        <f t="shared" si="1098"/>
        <v>620.87</v>
      </c>
      <c r="CA382" s="1397">
        <f>'CONCEPTOS Y PARAMETROS'!$A$102</f>
        <v>2120</v>
      </c>
      <c r="CB382" s="1155">
        <f t="shared" si="1099"/>
        <v>161</v>
      </c>
      <c r="CC382" s="1156">
        <f t="shared" si="1100"/>
        <v>476.17</v>
      </c>
      <c r="CD382" s="514"/>
      <c r="CE382" s="514"/>
      <c r="CF382" s="520"/>
      <c r="CG382" s="497">
        <f t="shared" si="1101"/>
        <v>161</v>
      </c>
      <c r="CH382" s="1711">
        <f t="shared" si="1102"/>
        <v>290</v>
      </c>
      <c r="CI382" s="497">
        <f t="shared" si="1103"/>
        <v>443.06</v>
      </c>
      <c r="CJ382" s="497">
        <f t="shared" si="1104"/>
        <v>443.06</v>
      </c>
      <c r="CK382" s="497">
        <f t="shared" si="1105"/>
        <v>0</v>
      </c>
      <c r="CL382" s="497">
        <f t="shared" si="1106"/>
        <v>0</v>
      </c>
      <c r="CM382" s="497">
        <f t="shared" si="1107"/>
        <v>0</v>
      </c>
      <c r="CN382" s="498">
        <f t="shared" si="1108"/>
        <v>33.11</v>
      </c>
      <c r="CO382" s="499">
        <v>0</v>
      </c>
      <c r="CP382" s="498">
        <f t="shared" si="1109"/>
        <v>0</v>
      </c>
      <c r="CQ382" s="500">
        <f t="shared" si="1110"/>
        <v>0</v>
      </c>
      <c r="CR382" s="498">
        <f t="shared" si="1111"/>
        <v>0</v>
      </c>
      <c r="CS382" s="498">
        <f t="shared" si="1112"/>
        <v>33.11</v>
      </c>
      <c r="CT382" s="498">
        <f t="shared" si="1113"/>
        <v>57.31</v>
      </c>
      <c r="CU382" s="498">
        <f t="shared" si="1114"/>
        <v>2120</v>
      </c>
      <c r="CV382" s="1554"/>
      <c r="CW382" s="1343" t="s">
        <v>6998</v>
      </c>
      <c r="CX382" s="1343" t="s">
        <v>7346</v>
      </c>
      <c r="CY382" s="472"/>
      <c r="CZ382" s="514" t="s">
        <v>6542</v>
      </c>
      <c r="DA382" s="514" t="s">
        <v>6188</v>
      </c>
      <c r="DB382" s="514" t="s">
        <v>6401</v>
      </c>
      <c r="DC382" s="514" t="s">
        <v>6381</v>
      </c>
      <c r="DD382" s="472"/>
      <c r="DE382" s="472"/>
      <c r="DF382" s="472"/>
      <c r="DG382" s="472"/>
      <c r="DH382" s="472"/>
      <c r="DJ382" s="473" t="str">
        <f>VLOOKUP(X382,Hoja1!$A$4:$B$10,2,0)</f>
        <v>BACHILLER</v>
      </c>
      <c r="DK382" s="473" t="str">
        <f>VLOOKUP(S382,Hoja1!$D$4:$F$77,3,0)</f>
        <v>GRADO (5) - MÁX</v>
      </c>
      <c r="DL382" s="1216" t="str">
        <f t="shared" si="1115"/>
        <v>0</v>
      </c>
      <c r="DM382" s="1741" t="str">
        <f t="shared" si="1116"/>
        <v>F</v>
      </c>
      <c r="DN382" s="1741"/>
    </row>
    <row r="383" spans="1:118" s="1654" customFormat="1" ht="21.95" customHeight="1">
      <c r="A383" s="1624" t="s">
        <v>2834</v>
      </c>
      <c r="B383" s="1625">
        <f t="shared" ca="1" si="1136"/>
        <v>72</v>
      </c>
      <c r="C383" s="1639">
        <v>17267173</v>
      </c>
      <c r="D383" s="1668" t="s">
        <v>5029</v>
      </c>
      <c r="E383" s="1628" t="s">
        <v>4622</v>
      </c>
      <c r="F383" s="1660">
        <v>30443</v>
      </c>
      <c r="G383" s="1628" t="s">
        <v>4620</v>
      </c>
      <c r="H383" s="1660">
        <v>44317</v>
      </c>
      <c r="I383" s="1630">
        <f t="shared" si="1090"/>
        <v>3</v>
      </c>
      <c r="J383" s="1631">
        <v>0</v>
      </c>
      <c r="K383" s="1630">
        <f t="shared" si="1091"/>
        <v>3</v>
      </c>
      <c r="L383" s="1632" t="s">
        <v>5565</v>
      </c>
      <c r="M383" s="1631"/>
      <c r="N383" s="1631"/>
      <c r="O383" s="1633" t="s">
        <v>2540</v>
      </c>
      <c r="P383" s="1631" t="s">
        <v>5169</v>
      </c>
      <c r="Q383" s="1634">
        <v>7204</v>
      </c>
      <c r="R383" s="1669" t="s">
        <v>2540</v>
      </c>
      <c r="S383" s="1670">
        <v>5</v>
      </c>
      <c r="T383" s="1637">
        <f>IFERROR(VLOOKUP(S383,'TAB OBR'!A:B,2,0),0)</f>
        <v>171</v>
      </c>
      <c r="U383" s="1638">
        <v>0</v>
      </c>
      <c r="V383" s="1637">
        <f t="shared" si="1117"/>
        <v>171</v>
      </c>
      <c r="W383" s="1638">
        <f t="shared" si="1118"/>
        <v>85.5</v>
      </c>
      <c r="X383" s="1628" t="s">
        <v>2884</v>
      </c>
      <c r="Y383" s="1628" t="s">
        <v>2884</v>
      </c>
      <c r="Z383" s="1628">
        <v>0</v>
      </c>
      <c r="AA383" s="1637">
        <f>ROUND(IF(H383&lt;&gt;"",VLOOKUP(SUM(I383+J383),'CONCEPTOS Y PARAMETROS'!F:G,2,0)*V383,0),2)</f>
        <v>5.13</v>
      </c>
      <c r="AB383" s="1637">
        <f>IF(S383&lt;&gt;"",IF(M383="",'CONCEPTOS Y PARAMETROS'!$C$4,0),0)</f>
        <v>130</v>
      </c>
      <c r="AC383" s="1637">
        <f>IF(S383&lt;&gt;"",IF(M383="",'CONCEPTOS Y PARAMETROS'!$C$7*Z383,0),0)</f>
        <v>0</v>
      </c>
      <c r="AD383" s="1637">
        <f>IFERROR(ROUND(VLOOKUP($X383,'CONCEPTOS Y PARAMETROS'!H:I,2,0)*($V383+AA383+AB383+AC383),2),0)</f>
        <v>0</v>
      </c>
      <c r="AE383" s="1637">
        <f t="shared" si="1119"/>
        <v>135.13</v>
      </c>
      <c r="AF383" s="1637">
        <f t="shared" si="1120"/>
        <v>2.57</v>
      </c>
      <c r="AG383" s="1637">
        <f t="shared" si="1121"/>
        <v>2.56</v>
      </c>
      <c r="AH383" s="1637">
        <f t="shared" si="1122"/>
        <v>65</v>
      </c>
      <c r="AI383" s="1637">
        <f t="shared" si="1123"/>
        <v>65</v>
      </c>
      <c r="AJ383" s="1637">
        <f t="shared" si="1124"/>
        <v>0</v>
      </c>
      <c r="AK383" s="1637">
        <f t="shared" si="1125"/>
        <v>0</v>
      </c>
      <c r="AL383" s="1638">
        <f t="shared" si="1126"/>
        <v>67.569999999999993</v>
      </c>
      <c r="AM383" s="1638">
        <f t="shared" si="1127"/>
        <v>67.56</v>
      </c>
      <c r="AN383" s="1639">
        <v>0</v>
      </c>
      <c r="AO383" s="1640">
        <f>'CONCEPTOS Y PARAMETROS'!$C$18*AN383</f>
        <v>0</v>
      </c>
      <c r="AP383" s="1639">
        <v>0</v>
      </c>
      <c r="AQ383" s="1640">
        <f>'CONCEPTOS Y PARAMETROS'!$C$21*AP383</f>
        <v>0</v>
      </c>
      <c r="AR383" s="1641">
        <v>0</v>
      </c>
      <c r="AS383" s="1641">
        <v>0</v>
      </c>
      <c r="AT383" s="1641">
        <f t="shared" si="1092"/>
        <v>0</v>
      </c>
      <c r="AU383" s="1638">
        <f t="shared" si="1128"/>
        <v>306.13</v>
      </c>
      <c r="AV383" s="1642">
        <v>0</v>
      </c>
      <c r="AW383" s="1638">
        <f t="shared" si="1129"/>
        <v>0</v>
      </c>
      <c r="AX383" s="1637">
        <f>IF(T383&lt;&gt;"0",(ROUND(IF(A383="EMPLEADO",eval_formula('CONCEPTOS Y PARAMETROS'!$C$8,NOMINA!V383,NOMINA!$AU383,NOMINA!I383+NOMINA!J383),eval_formula('CONCEPTOS Y PARAMETROS'!$D$8,NOMINA!V383,NOMINA!$AU383,NOMINA!I383+NOMINA!J383)),2))*IF(H383&lt;&gt;"",IF(MONTH(H383)=$BR$8,IF(YEAR(H383)&lt;$BT$7,1,0),0)))</f>
        <v>0</v>
      </c>
      <c r="AY383" s="1638">
        <v>180</v>
      </c>
      <c r="AZ383" s="1637">
        <f>IFERROR(VLOOKUP(AY383,'CONCEPTOS Y PARAMETROS'!Y:Z,2,0),0)</f>
        <v>150</v>
      </c>
      <c r="BA383" s="1637">
        <f t="shared" si="1130"/>
        <v>2295.98</v>
      </c>
      <c r="BB383" s="1637">
        <f t="shared" si="1131"/>
        <v>0</v>
      </c>
      <c r="BC383" s="1639">
        <v>0</v>
      </c>
      <c r="BD383" s="1637" t="str">
        <f t="shared" si="1132"/>
        <v>0</v>
      </c>
      <c r="BE383" s="1639">
        <v>0</v>
      </c>
      <c r="BF383" s="1637">
        <f t="shared" si="1093"/>
        <v>0</v>
      </c>
      <c r="BG383" s="1638">
        <v>290</v>
      </c>
      <c r="BH383" s="1638">
        <f t="shared" si="1094"/>
        <v>0</v>
      </c>
      <c r="BI383" s="1638">
        <v>0</v>
      </c>
      <c r="BJ383" s="1638">
        <f t="shared" si="1095"/>
        <v>0</v>
      </c>
      <c r="BK383" s="1638">
        <v>0</v>
      </c>
      <c r="BL383" s="1637">
        <f t="shared" si="1062"/>
        <v>11.3</v>
      </c>
      <c r="BM383" s="1637">
        <f t="shared" si="1063"/>
        <v>1.41</v>
      </c>
      <c r="BN383" s="1637">
        <f t="shared" si="1096"/>
        <v>3.06</v>
      </c>
      <c r="BO383" s="1637">
        <v>0</v>
      </c>
      <c r="BP383" s="1637">
        <v>0</v>
      </c>
      <c r="BQ383" s="1643">
        <f t="shared" si="1133"/>
        <v>15.77</v>
      </c>
      <c r="BR383" s="1637">
        <f t="shared" si="1064"/>
        <v>25.43</v>
      </c>
      <c r="BS383" s="1637">
        <f t="shared" si="1065"/>
        <v>5.65</v>
      </c>
      <c r="BT383" s="1637">
        <f t="shared" si="1097"/>
        <v>6.12</v>
      </c>
      <c r="BU383" s="1637">
        <v>0</v>
      </c>
      <c r="BV383" s="1638">
        <f t="shared" si="1134"/>
        <v>37.200000000000003</v>
      </c>
      <c r="BW383" s="1644">
        <f t="shared" si="1135"/>
        <v>52.97</v>
      </c>
      <c r="BX383" s="1644">
        <f t="shared" si="1067"/>
        <v>574</v>
      </c>
      <c r="BY383" s="1638">
        <v>0</v>
      </c>
      <c r="BZ383" s="1638">
        <f t="shared" si="1098"/>
        <v>574</v>
      </c>
      <c r="CA383" s="1645">
        <f>'CONCEPTOS Y PARAMETROS'!$A$102</f>
        <v>2120</v>
      </c>
      <c r="CB383" s="1644">
        <f t="shared" si="1099"/>
        <v>137.29999999999998</v>
      </c>
      <c r="CC383" s="1646">
        <f t="shared" si="1100"/>
        <v>443.06</v>
      </c>
      <c r="CD383" s="1647"/>
      <c r="CE383" s="1647"/>
      <c r="CF383" s="1648"/>
      <c r="CG383" s="1649">
        <f t="shared" si="1101"/>
        <v>137.29999999999998</v>
      </c>
      <c r="CH383" s="1713">
        <f t="shared" si="1102"/>
        <v>290</v>
      </c>
      <c r="CI383" s="1649">
        <f t="shared" si="1103"/>
        <v>443.06</v>
      </c>
      <c r="CJ383" s="1649">
        <f t="shared" si="1104"/>
        <v>443.06</v>
      </c>
      <c r="CK383" s="1649">
        <f t="shared" si="1105"/>
        <v>0</v>
      </c>
      <c r="CL383" s="1649">
        <f t="shared" si="1106"/>
        <v>0</v>
      </c>
      <c r="CM383" s="1649">
        <f t="shared" si="1107"/>
        <v>0</v>
      </c>
      <c r="CN383" s="1650">
        <f t="shared" si="1108"/>
        <v>0</v>
      </c>
      <c r="CO383" s="1651">
        <v>0</v>
      </c>
      <c r="CP383" s="1650">
        <f t="shared" si="1109"/>
        <v>0</v>
      </c>
      <c r="CQ383" s="1652">
        <f t="shared" si="1110"/>
        <v>0</v>
      </c>
      <c r="CR383" s="1650">
        <f t="shared" si="1111"/>
        <v>0</v>
      </c>
      <c r="CS383" s="1650">
        <f t="shared" si="1112"/>
        <v>0</v>
      </c>
      <c r="CT383" s="1650">
        <f t="shared" si="1113"/>
        <v>52.97</v>
      </c>
      <c r="CU383" s="1650">
        <f t="shared" si="1114"/>
        <v>2120</v>
      </c>
      <c r="CV383" s="1653"/>
      <c r="CW383" s="1668" t="s">
        <v>6958</v>
      </c>
      <c r="CX383" s="1668" t="s">
        <v>7232</v>
      </c>
      <c r="CY383" s="1647"/>
      <c r="CZ383" s="1657" t="s">
        <v>6697</v>
      </c>
      <c r="DA383" s="1647" t="s">
        <v>6173</v>
      </c>
      <c r="DB383" s="1657" t="s">
        <v>6291</v>
      </c>
      <c r="DC383" s="1647" t="s">
        <v>6381</v>
      </c>
      <c r="DD383" s="1647"/>
      <c r="DE383" s="1647"/>
      <c r="DF383" s="1647"/>
      <c r="DG383" s="1647"/>
      <c r="DH383" s="1647"/>
      <c r="DJ383" s="1654" t="str">
        <f>VLOOKUP(X383,Hoja1!$A$4:$B$10,2,0)</f>
        <v>BACHILLER</v>
      </c>
      <c r="DK383" s="1654" t="str">
        <f>VLOOKUP(S383,Hoja1!$D$4:$F$77,3,0)</f>
        <v>GRADO (5) - MÁX</v>
      </c>
      <c r="DL383" s="1663" t="str">
        <f t="shared" si="1115"/>
        <v>0</v>
      </c>
      <c r="DM383" s="1742" t="str">
        <f t="shared" si="1116"/>
        <v>F</v>
      </c>
      <c r="DN383" s="1742"/>
    </row>
    <row r="384" spans="1:118" s="473" customFormat="1" ht="21.95" customHeight="1">
      <c r="A384" s="510" t="s">
        <v>2834</v>
      </c>
      <c r="B384" s="1390">
        <f t="shared" ca="1" si="1136"/>
        <v>73</v>
      </c>
      <c r="C384" s="1028">
        <v>17267546</v>
      </c>
      <c r="D384" s="1343" t="s">
        <v>5083</v>
      </c>
      <c r="E384" s="1180" t="s">
        <v>4622</v>
      </c>
      <c r="F384" s="1161">
        <v>31561</v>
      </c>
      <c r="G384" s="1180" t="s">
        <v>4621</v>
      </c>
      <c r="H384" s="1161">
        <v>39197</v>
      </c>
      <c r="I384" s="1185">
        <f t="shared" si="1090"/>
        <v>17</v>
      </c>
      <c r="J384" s="1177">
        <v>0</v>
      </c>
      <c r="K384" s="1185">
        <f t="shared" si="1091"/>
        <v>17</v>
      </c>
      <c r="L384" s="1191" t="s">
        <v>5565</v>
      </c>
      <c r="M384" s="1177"/>
      <c r="N384" s="1177"/>
      <c r="O384" s="1040" t="s">
        <v>5084</v>
      </c>
      <c r="P384" s="1177" t="s">
        <v>5170</v>
      </c>
      <c r="Q384" s="1391">
        <v>7152</v>
      </c>
      <c r="R384" s="1514" t="s">
        <v>5084</v>
      </c>
      <c r="S384" s="1513">
        <v>3</v>
      </c>
      <c r="T384" s="1150">
        <f>IFERROR(VLOOKUP(S384,'TAB OBR'!A:B,2,0),0)</f>
        <v>152</v>
      </c>
      <c r="U384" s="1151">
        <v>0</v>
      </c>
      <c r="V384" s="1150">
        <f t="shared" si="1117"/>
        <v>152</v>
      </c>
      <c r="W384" s="1151">
        <f t="shared" si="1118"/>
        <v>76</v>
      </c>
      <c r="X384" s="1180" t="s">
        <v>2884</v>
      </c>
      <c r="Y384" s="1180" t="s">
        <v>2884</v>
      </c>
      <c r="Z384" s="1180">
        <v>1</v>
      </c>
      <c r="AA384" s="1150">
        <f>ROUND(IF(H384&lt;&gt;"",VLOOKUP(SUM(I384+J384),'CONCEPTOS Y PARAMETROS'!F:G,2,0)*V384,0),2)</f>
        <v>32.22</v>
      </c>
      <c r="AB384" s="1150">
        <f>IF(S384&lt;&gt;"",IF(M384="",'CONCEPTOS Y PARAMETROS'!$C$4,0),0)</f>
        <v>130</v>
      </c>
      <c r="AC384" s="1150">
        <f>IF(S384&lt;&gt;"",IF(M384="",'CONCEPTOS Y PARAMETROS'!$C$7*Z384,0),0)</f>
        <v>12.5</v>
      </c>
      <c r="AD384" s="1150">
        <f>IFERROR(ROUND(VLOOKUP($X384,'CONCEPTOS Y PARAMETROS'!H:I,2,0)*($V384+AA384+AB384+AC384),2),0)</f>
        <v>0</v>
      </c>
      <c r="AE384" s="1150">
        <f t="shared" si="1119"/>
        <v>174.72</v>
      </c>
      <c r="AF384" s="1150">
        <f t="shared" si="1120"/>
        <v>16.11</v>
      </c>
      <c r="AG384" s="1150">
        <f t="shared" si="1121"/>
        <v>16.11</v>
      </c>
      <c r="AH384" s="1150">
        <f t="shared" si="1122"/>
        <v>65</v>
      </c>
      <c r="AI384" s="1150">
        <f t="shared" si="1123"/>
        <v>65</v>
      </c>
      <c r="AJ384" s="1150">
        <f t="shared" si="1124"/>
        <v>0</v>
      </c>
      <c r="AK384" s="1150">
        <f t="shared" si="1125"/>
        <v>0</v>
      </c>
      <c r="AL384" s="1151">
        <f t="shared" si="1126"/>
        <v>93.61</v>
      </c>
      <c r="AM384" s="1151">
        <f t="shared" si="1127"/>
        <v>81.11</v>
      </c>
      <c r="AN384" s="1583">
        <v>1</v>
      </c>
      <c r="AO384" s="1193">
        <f>'CONCEPTOS Y PARAMETROS'!$C$18*AN384</f>
        <v>12.5</v>
      </c>
      <c r="AP384" s="1028">
        <v>0</v>
      </c>
      <c r="AQ384" s="1193">
        <f>'CONCEPTOS Y PARAMETROS'!$C$21*AP384</f>
        <v>0</v>
      </c>
      <c r="AR384" s="1394">
        <v>0</v>
      </c>
      <c r="AS384" s="1394">
        <v>0</v>
      </c>
      <c r="AT384" s="1394">
        <f t="shared" si="1092"/>
        <v>12.5</v>
      </c>
      <c r="AU384" s="1151">
        <f t="shared" si="1128"/>
        <v>326.72000000000003</v>
      </c>
      <c r="AV384" s="1178">
        <v>0</v>
      </c>
      <c r="AW384" s="1151">
        <f t="shared" si="1129"/>
        <v>0</v>
      </c>
      <c r="AX384" s="1150">
        <f>IF(T384&lt;&gt;"0",(ROUND(IF(A384="EMPLEADO",eval_formula('CONCEPTOS Y PARAMETROS'!$C$8,NOMINA!V384,NOMINA!$AU384,NOMINA!I384+NOMINA!J384),eval_formula('CONCEPTOS Y PARAMETROS'!$D$8,NOMINA!V384,NOMINA!$AU384,NOMINA!I384+NOMINA!J384)),2))*IF(H384&lt;&gt;"",IF(MONTH(H384)=$BR$8,IF(YEAR(H384)&lt;$BT$7,1,0),0)))</f>
        <v>0</v>
      </c>
      <c r="AY384" s="1151">
        <v>180</v>
      </c>
      <c r="AZ384" s="1150">
        <f>IFERROR(VLOOKUP(AY384,'CONCEPTOS Y PARAMETROS'!Y:Z,2,0),0)</f>
        <v>150</v>
      </c>
      <c r="BA384" s="1150">
        <f t="shared" si="1130"/>
        <v>2450.4</v>
      </c>
      <c r="BB384" s="1150">
        <f t="shared" si="1131"/>
        <v>0</v>
      </c>
      <c r="BC384" s="1028">
        <v>0</v>
      </c>
      <c r="BD384" s="1150" t="str">
        <f t="shared" si="1132"/>
        <v>0</v>
      </c>
      <c r="BE384" s="1028">
        <v>0</v>
      </c>
      <c r="BF384" s="1150">
        <f t="shared" si="1093"/>
        <v>0</v>
      </c>
      <c r="BG384" s="1151">
        <v>290</v>
      </c>
      <c r="BH384" s="1151">
        <f t="shared" si="1094"/>
        <v>0</v>
      </c>
      <c r="BI384" s="1151">
        <v>0</v>
      </c>
      <c r="BJ384" s="1151">
        <f t="shared" si="1095"/>
        <v>0</v>
      </c>
      <c r="BK384" s="1151">
        <v>0</v>
      </c>
      <c r="BL384" s="1150">
        <f t="shared" ref="BL384:BL403" si="1140">ROUND(IF(M384="", (((AU384*12)/52)*4%)*$BS$8,0),2)</f>
        <v>12.06</v>
      </c>
      <c r="BM384" s="1150">
        <f t="shared" ref="BM384:BM403" si="1141">ROUND(IF(M384="",(((AU384*12)/52)*0.5%)*$BS$8,0),2)</f>
        <v>1.51</v>
      </c>
      <c r="BN384" s="1150">
        <f t="shared" si="1096"/>
        <v>3.27</v>
      </c>
      <c r="BO384" s="1150">
        <v>0</v>
      </c>
      <c r="BP384" s="1150">
        <v>0</v>
      </c>
      <c r="BQ384" s="1396">
        <f t="shared" si="1133"/>
        <v>16.84</v>
      </c>
      <c r="BR384" s="1150">
        <f t="shared" ref="BR384:BR403" si="1142">ROUND(IF(M384="", (((AU384*12)/52)*9%)*$BS$8,0),2)</f>
        <v>27.14</v>
      </c>
      <c r="BS384" s="1150">
        <f t="shared" ref="BS384:BS403" si="1143">ROUND(IF(M384="",(((AU384*12)/52)*2%)*$BS$8,0),2)</f>
        <v>6.03</v>
      </c>
      <c r="BT384" s="1150">
        <f t="shared" si="1097"/>
        <v>6.54</v>
      </c>
      <c r="BU384" s="1150">
        <v>0</v>
      </c>
      <c r="BV384" s="1151">
        <f t="shared" si="1134"/>
        <v>39.71</v>
      </c>
      <c r="BW384" s="1155">
        <f t="shared" si="1135"/>
        <v>56.55</v>
      </c>
      <c r="BX384" s="1155">
        <f t="shared" si="1067"/>
        <v>612.6</v>
      </c>
      <c r="BY384" s="1151">
        <v>0</v>
      </c>
      <c r="BZ384" s="1151">
        <f t="shared" si="1098"/>
        <v>612.6</v>
      </c>
      <c r="CA384" s="1397">
        <f>'CONCEPTOS Y PARAMETROS'!$A$102</f>
        <v>2120</v>
      </c>
      <c r="CB384" s="1155">
        <f t="shared" si="1099"/>
        <v>152.77000000000001</v>
      </c>
      <c r="CC384" s="1156">
        <f t="shared" si="1100"/>
        <v>459.61</v>
      </c>
      <c r="CD384" s="514"/>
      <c r="CE384" s="514"/>
      <c r="CF384" s="520"/>
      <c r="CG384" s="497">
        <f t="shared" si="1101"/>
        <v>152.77000000000001</v>
      </c>
      <c r="CH384" s="1711">
        <f t="shared" si="1102"/>
        <v>290</v>
      </c>
      <c r="CI384" s="497">
        <f t="shared" si="1103"/>
        <v>447.11</v>
      </c>
      <c r="CJ384" s="497">
        <f t="shared" si="1104"/>
        <v>447.11</v>
      </c>
      <c r="CK384" s="497">
        <f t="shared" si="1105"/>
        <v>0</v>
      </c>
      <c r="CL384" s="497">
        <f t="shared" si="1106"/>
        <v>0</v>
      </c>
      <c r="CM384" s="497">
        <f t="shared" si="1107"/>
        <v>0</v>
      </c>
      <c r="CN384" s="498">
        <f t="shared" si="1108"/>
        <v>0</v>
      </c>
      <c r="CO384" s="499">
        <v>0</v>
      </c>
      <c r="CP384" s="498">
        <f t="shared" si="1109"/>
        <v>0</v>
      </c>
      <c r="CQ384" s="500">
        <f t="shared" si="1110"/>
        <v>12.5</v>
      </c>
      <c r="CR384" s="498">
        <f t="shared" si="1111"/>
        <v>0</v>
      </c>
      <c r="CS384" s="498">
        <f t="shared" si="1112"/>
        <v>12.5</v>
      </c>
      <c r="CT384" s="498">
        <f t="shared" si="1113"/>
        <v>56.55</v>
      </c>
      <c r="CU384" s="498">
        <f t="shared" si="1114"/>
        <v>2120</v>
      </c>
      <c r="CV384" s="1554"/>
      <c r="CW384" s="1343" t="s">
        <v>6947</v>
      </c>
      <c r="CX384" s="1343" t="s">
        <v>7347</v>
      </c>
      <c r="CY384" s="472"/>
      <c r="CZ384" s="1199" t="s">
        <v>6610</v>
      </c>
      <c r="DA384" s="514" t="s">
        <v>6188</v>
      </c>
      <c r="DB384" s="514" t="s">
        <v>6302</v>
      </c>
      <c r="DC384" s="514" t="s">
        <v>6629</v>
      </c>
      <c r="DD384" s="472"/>
      <c r="DE384" s="472"/>
      <c r="DF384" s="472"/>
      <c r="DG384" s="472"/>
      <c r="DH384" s="472"/>
      <c r="DJ384" s="473" t="str">
        <f>VLOOKUP(X384,Hoja1!$A$4:$B$10,2,0)</f>
        <v>BACHILLER</v>
      </c>
      <c r="DK384" s="473" t="str">
        <f>VLOOKUP(S384,Hoja1!$D$4:$F$77,3,0)</f>
        <v>GRADO (3) - MÁX</v>
      </c>
      <c r="DL384" s="1216" t="str">
        <f t="shared" si="1115"/>
        <v>0</v>
      </c>
      <c r="DM384" s="1741" t="str">
        <f t="shared" si="1116"/>
        <v>M</v>
      </c>
      <c r="DN384" s="1741"/>
    </row>
    <row r="385" spans="1:118" s="478" customFormat="1" ht="21.95" customHeight="1">
      <c r="A385" s="510" t="s">
        <v>2834</v>
      </c>
      <c r="B385" s="1390">
        <f t="shared" ca="1" si="1136"/>
        <v>74</v>
      </c>
      <c r="C385" s="1028">
        <v>18096032</v>
      </c>
      <c r="D385" s="1343" t="s">
        <v>6891</v>
      </c>
      <c r="E385" s="1180" t="s">
        <v>4622</v>
      </c>
      <c r="F385" s="1161">
        <v>31852</v>
      </c>
      <c r="G385" s="1180" t="s">
        <v>4621</v>
      </c>
      <c r="H385" s="1161">
        <v>45566</v>
      </c>
      <c r="I385" s="1185">
        <f t="shared" si="1090"/>
        <v>0</v>
      </c>
      <c r="J385" s="1177">
        <f>9+7</f>
        <v>16</v>
      </c>
      <c r="K385" s="1185">
        <f t="shared" si="1091"/>
        <v>16</v>
      </c>
      <c r="L385" s="1191" t="s">
        <v>5565</v>
      </c>
      <c r="M385" s="1177"/>
      <c r="N385" s="1177"/>
      <c r="O385" s="1040" t="s">
        <v>5095</v>
      </c>
      <c r="P385" s="1197" t="s">
        <v>6892</v>
      </c>
      <c r="Q385" s="1391">
        <v>7174</v>
      </c>
      <c r="R385" s="1514" t="s">
        <v>5095</v>
      </c>
      <c r="S385" s="1513">
        <v>4</v>
      </c>
      <c r="T385" s="1150">
        <f>IFERROR(VLOOKUP(S385,'TAB OBR'!A:B,2,0),0)</f>
        <v>161</v>
      </c>
      <c r="U385" s="1151">
        <v>0</v>
      </c>
      <c r="V385" s="1150">
        <f t="shared" si="1117"/>
        <v>161</v>
      </c>
      <c r="W385" s="1151">
        <f t="shared" si="1118"/>
        <v>80.5</v>
      </c>
      <c r="X385" s="1180" t="s">
        <v>2884</v>
      </c>
      <c r="Y385" s="1180" t="s">
        <v>2884</v>
      </c>
      <c r="Z385" s="1180">
        <v>2</v>
      </c>
      <c r="AA385" s="1150">
        <f>ROUND(IF(H385&lt;&gt;"",VLOOKUP(SUM(I385+J385),'CONCEPTOS Y PARAMETROS'!F:G,2,0)*V385,0),2)</f>
        <v>31.56</v>
      </c>
      <c r="AB385" s="1150">
        <f>IF(S385&lt;&gt;"",IF(M385="",'CONCEPTOS Y PARAMETROS'!$C$4,0),0)</f>
        <v>130</v>
      </c>
      <c r="AC385" s="1150">
        <f>IF(S385&lt;&gt;"",IF(M385="",'CONCEPTOS Y PARAMETROS'!$C$7*Z385,0),0)</f>
        <v>25</v>
      </c>
      <c r="AD385" s="1150">
        <f>IFERROR(ROUND(VLOOKUP($X385,'CONCEPTOS Y PARAMETROS'!H:I,2,0)*($V385+AA385+AB385+AC385),2),0)</f>
        <v>0</v>
      </c>
      <c r="AE385" s="1150">
        <f t="shared" si="1119"/>
        <v>186.56</v>
      </c>
      <c r="AF385" s="1150">
        <f t="shared" si="1120"/>
        <v>15.78</v>
      </c>
      <c r="AG385" s="1150">
        <f t="shared" si="1121"/>
        <v>15.78</v>
      </c>
      <c r="AH385" s="1150">
        <f t="shared" si="1122"/>
        <v>65</v>
      </c>
      <c r="AI385" s="1150">
        <f t="shared" si="1123"/>
        <v>65</v>
      </c>
      <c r="AJ385" s="1150">
        <f t="shared" si="1124"/>
        <v>0</v>
      </c>
      <c r="AK385" s="1150">
        <f t="shared" si="1125"/>
        <v>0</v>
      </c>
      <c r="AL385" s="1151">
        <f t="shared" si="1126"/>
        <v>105.78</v>
      </c>
      <c r="AM385" s="1151">
        <f t="shared" si="1127"/>
        <v>80.78</v>
      </c>
      <c r="AN385" s="1028">
        <v>0</v>
      </c>
      <c r="AO385" s="1193">
        <f>'CONCEPTOS Y PARAMETROS'!$C$18*AN385</f>
        <v>0</v>
      </c>
      <c r="AP385" s="1028">
        <v>0</v>
      </c>
      <c r="AQ385" s="1193">
        <f>'CONCEPTOS Y PARAMETROS'!$C$21*AP385</f>
        <v>0</v>
      </c>
      <c r="AR385" s="1394">
        <v>0</v>
      </c>
      <c r="AS385" s="1394">
        <v>0</v>
      </c>
      <c r="AT385" s="1394">
        <f t="shared" si="1092"/>
        <v>0</v>
      </c>
      <c r="AU385" s="1151">
        <f t="shared" si="1128"/>
        <v>451.83</v>
      </c>
      <c r="AV385" s="1178" t="s">
        <v>5080</v>
      </c>
      <c r="AW385" s="1151">
        <f t="shared" si="1129"/>
        <v>104.27</v>
      </c>
      <c r="AX385" s="1150">
        <f>IF(T385&lt;&gt;"0",(ROUND(IF(A385="EMPLEADO",eval_formula('CONCEPTOS Y PARAMETROS'!$C$8,NOMINA!V385,NOMINA!$AU385,NOMINA!I385+NOMINA!J385),eval_formula('CONCEPTOS Y PARAMETROS'!$D$8,NOMINA!V385,NOMINA!$AU385,NOMINA!I385+NOMINA!J385)),2))*IF(H385&lt;&gt;"",IF(MONTH(H385)=$BR$8,IF(YEAR(H385)&lt;$BT$7,1,0),0)))</f>
        <v>0</v>
      </c>
      <c r="AY385" s="1151">
        <v>45</v>
      </c>
      <c r="AZ385" s="1150">
        <f>IFERROR(VLOOKUP(AY385,'CONCEPTOS Y PARAMETROS'!Y:Z,2,0),0)</f>
        <v>37.5</v>
      </c>
      <c r="BA385" s="1150">
        <f t="shared" si="1130"/>
        <v>635.39</v>
      </c>
      <c r="BB385" s="1150">
        <f t="shared" si="1131"/>
        <v>0</v>
      </c>
      <c r="BC385" s="1028">
        <v>0</v>
      </c>
      <c r="BD385" s="1150" t="str">
        <f t="shared" si="1132"/>
        <v>0</v>
      </c>
      <c r="BE385" s="1028">
        <v>2</v>
      </c>
      <c r="BF385" s="1150">
        <f t="shared" si="1093"/>
        <v>45.18</v>
      </c>
      <c r="BG385" s="1151">
        <v>290</v>
      </c>
      <c r="BH385" s="1151">
        <f t="shared" si="1094"/>
        <v>0</v>
      </c>
      <c r="BI385" s="1151">
        <v>0</v>
      </c>
      <c r="BJ385" s="1151">
        <f t="shared" si="1095"/>
        <v>0</v>
      </c>
      <c r="BK385" s="1151">
        <v>0</v>
      </c>
      <c r="BL385" s="1150">
        <f t="shared" si="1140"/>
        <v>16.68</v>
      </c>
      <c r="BM385" s="1150">
        <f t="shared" si="1141"/>
        <v>2.09</v>
      </c>
      <c r="BN385" s="1150">
        <f t="shared" si="1096"/>
        <v>4.5199999999999996</v>
      </c>
      <c r="BO385" s="1150">
        <v>0</v>
      </c>
      <c r="BP385" s="1150">
        <v>0</v>
      </c>
      <c r="BQ385" s="1396">
        <f t="shared" ref="BQ385" si="1144">ROUND(SUM(BL385:BP385),2)</f>
        <v>23.29</v>
      </c>
      <c r="BR385" s="1150">
        <f t="shared" si="1142"/>
        <v>37.54</v>
      </c>
      <c r="BS385" s="1150">
        <f t="shared" si="1143"/>
        <v>8.34</v>
      </c>
      <c r="BT385" s="1150">
        <f t="shared" si="1097"/>
        <v>9.0399999999999991</v>
      </c>
      <c r="BU385" s="1150">
        <v>0</v>
      </c>
      <c r="BV385" s="1151">
        <f t="shared" ref="BV385" si="1145">ROUND(SUM(BR385:BT385),2)</f>
        <v>54.92</v>
      </c>
      <c r="BW385" s="1155">
        <f t="shared" si="1135"/>
        <v>78.210000000000008</v>
      </c>
      <c r="BX385" s="1155">
        <f t="shared" si="1067"/>
        <v>158.85</v>
      </c>
      <c r="BY385" s="1151">
        <v>0</v>
      </c>
      <c r="BZ385" s="1151">
        <f t="shared" si="1098"/>
        <v>158.85</v>
      </c>
      <c r="CA385" s="1397">
        <f>'CONCEPTOS Y PARAMETROS'!$A$102</f>
        <v>2120</v>
      </c>
      <c r="CB385" s="1155">
        <f t="shared" si="1099"/>
        <v>162.99</v>
      </c>
      <c r="CC385" s="1156">
        <f t="shared" si="1100"/>
        <v>600.73</v>
      </c>
      <c r="CD385" s="514"/>
      <c r="CE385" s="514"/>
      <c r="CF385" s="521"/>
      <c r="CG385" s="511">
        <f t="shared" si="1101"/>
        <v>162.99</v>
      </c>
      <c r="CH385" s="1712">
        <f t="shared" si="1102"/>
        <v>290</v>
      </c>
      <c r="CI385" s="511">
        <f t="shared" si="1103"/>
        <v>451.28</v>
      </c>
      <c r="CJ385" s="511">
        <f t="shared" si="1104"/>
        <v>451.28</v>
      </c>
      <c r="CK385" s="511">
        <f t="shared" si="1105"/>
        <v>0</v>
      </c>
      <c r="CL385" s="511">
        <f t="shared" si="1106"/>
        <v>0</v>
      </c>
      <c r="CM385" s="511">
        <f t="shared" si="1107"/>
        <v>0</v>
      </c>
      <c r="CN385" s="512">
        <f t="shared" si="1108"/>
        <v>45.18</v>
      </c>
      <c r="CO385" s="513">
        <v>0</v>
      </c>
      <c r="CP385" s="512">
        <f t="shared" si="1109"/>
        <v>104.27</v>
      </c>
      <c r="CQ385" s="500">
        <f t="shared" si="1110"/>
        <v>0</v>
      </c>
      <c r="CR385" s="512">
        <f t="shared" si="1111"/>
        <v>0</v>
      </c>
      <c r="CS385" s="512">
        <f t="shared" si="1112"/>
        <v>149.44999999999999</v>
      </c>
      <c r="CT385" s="512">
        <f t="shared" si="1113"/>
        <v>78.210000000000008</v>
      </c>
      <c r="CU385" s="512">
        <f t="shared" si="1114"/>
        <v>2120</v>
      </c>
      <c r="CV385" s="1556"/>
      <c r="CW385" s="1343" t="s">
        <v>7150</v>
      </c>
      <c r="CX385" s="1343" t="s">
        <v>7348</v>
      </c>
      <c r="CY385" s="514"/>
      <c r="CZ385" s="1199" t="s">
        <v>6893</v>
      </c>
      <c r="DA385" s="514"/>
      <c r="DB385" s="514"/>
      <c r="DC385" s="514"/>
      <c r="DD385" s="514"/>
      <c r="DE385" s="514"/>
      <c r="DF385" s="514"/>
      <c r="DG385" s="514"/>
      <c r="DH385" s="514"/>
      <c r="DJ385" s="478" t="str">
        <f>VLOOKUP(X385,Hoja1!$A$4:$B$10,2,0)</f>
        <v>BACHILLER</v>
      </c>
      <c r="DK385" s="478" t="str">
        <f>VLOOKUP(S385,Hoja1!$D$4:$F$77,3,0)</f>
        <v>GRADO (4) - MÁX</v>
      </c>
      <c r="DL385" s="1377" t="str">
        <f t="shared" si="1115"/>
        <v>SI</v>
      </c>
      <c r="DM385" s="1743" t="str">
        <f t="shared" si="1116"/>
        <v>M</v>
      </c>
      <c r="DN385" s="1743"/>
    </row>
    <row r="386" spans="1:118" s="473" customFormat="1" ht="21.95" customHeight="1">
      <c r="A386" s="510" t="s">
        <v>2834</v>
      </c>
      <c r="B386" s="1390">
        <f t="shared" ca="1" si="1136"/>
        <v>75</v>
      </c>
      <c r="C386" s="1028">
        <v>18096338</v>
      </c>
      <c r="D386" s="1343" t="s">
        <v>5031</v>
      </c>
      <c r="E386" s="1180" t="s">
        <v>4622</v>
      </c>
      <c r="F386" s="1161">
        <v>30510</v>
      </c>
      <c r="G386" s="1180" t="s">
        <v>4621</v>
      </c>
      <c r="H386" s="1161">
        <v>39463</v>
      </c>
      <c r="I386" s="1185">
        <f t="shared" si="1090"/>
        <v>17</v>
      </c>
      <c r="J386" s="1177">
        <v>3</v>
      </c>
      <c r="K386" s="1185">
        <f t="shared" si="1091"/>
        <v>20</v>
      </c>
      <c r="L386" s="1191" t="s">
        <v>5558</v>
      </c>
      <c r="M386" s="1177"/>
      <c r="N386" s="1177"/>
      <c r="O386" s="1040" t="s">
        <v>5092</v>
      </c>
      <c r="P386" s="1177" t="s">
        <v>5171</v>
      </c>
      <c r="Q386" s="1391">
        <v>2202</v>
      </c>
      <c r="R386" s="1514" t="s">
        <v>5092</v>
      </c>
      <c r="S386" s="1513">
        <v>5</v>
      </c>
      <c r="T386" s="1150">
        <f>IFERROR(VLOOKUP(S386,'TAB OBR'!A:B,2,0),0)</f>
        <v>171</v>
      </c>
      <c r="U386" s="1151">
        <v>0</v>
      </c>
      <c r="V386" s="1150">
        <f t="shared" si="1117"/>
        <v>171</v>
      </c>
      <c r="W386" s="1151">
        <f t="shared" si="1118"/>
        <v>85.5</v>
      </c>
      <c r="X386" s="1180" t="s">
        <v>2884</v>
      </c>
      <c r="Y386" s="1180" t="s">
        <v>2884</v>
      </c>
      <c r="Z386" s="1180">
        <v>1</v>
      </c>
      <c r="AA386" s="1150">
        <f>ROUND(IF(H386&lt;&gt;"",VLOOKUP(SUM(I386+J386),'CONCEPTOS Y PARAMETROS'!F:G,2,0)*V386,0),2)</f>
        <v>44.46</v>
      </c>
      <c r="AB386" s="1150">
        <f>IF(S386&lt;&gt;"",IF(M386="",'CONCEPTOS Y PARAMETROS'!$C$4,0),0)</f>
        <v>130</v>
      </c>
      <c r="AC386" s="1150">
        <f>IF(S386&lt;&gt;"",IF(M386="",'CONCEPTOS Y PARAMETROS'!$C$7*Z386,0),0)</f>
        <v>12.5</v>
      </c>
      <c r="AD386" s="1150">
        <f>IFERROR(ROUND(VLOOKUP($X386,'CONCEPTOS Y PARAMETROS'!H:I,2,0)*($V386+AA386+AB386+AC386),2),0)</f>
        <v>0</v>
      </c>
      <c r="AE386" s="1150">
        <f t="shared" si="1119"/>
        <v>186.96</v>
      </c>
      <c r="AF386" s="1150">
        <f t="shared" si="1120"/>
        <v>22.23</v>
      </c>
      <c r="AG386" s="1150">
        <f t="shared" si="1121"/>
        <v>22.23</v>
      </c>
      <c r="AH386" s="1150">
        <f t="shared" si="1122"/>
        <v>65</v>
      </c>
      <c r="AI386" s="1150">
        <f t="shared" si="1123"/>
        <v>65</v>
      </c>
      <c r="AJ386" s="1150">
        <f t="shared" si="1124"/>
        <v>0</v>
      </c>
      <c r="AK386" s="1150">
        <f t="shared" si="1125"/>
        <v>0</v>
      </c>
      <c r="AL386" s="1151">
        <f t="shared" si="1126"/>
        <v>99.73</v>
      </c>
      <c r="AM386" s="1151">
        <f t="shared" si="1127"/>
        <v>87.23</v>
      </c>
      <c r="AN386" s="1028">
        <v>0</v>
      </c>
      <c r="AO386" s="1193">
        <f>'CONCEPTOS Y PARAMETROS'!$C$18*AN386</f>
        <v>0</v>
      </c>
      <c r="AP386" s="1028">
        <v>0</v>
      </c>
      <c r="AQ386" s="1193">
        <f>'CONCEPTOS Y PARAMETROS'!$C$21*AP386</f>
        <v>0</v>
      </c>
      <c r="AR386" s="1394">
        <v>0</v>
      </c>
      <c r="AS386" s="1394">
        <v>0</v>
      </c>
      <c r="AT386" s="1394">
        <f t="shared" si="1092"/>
        <v>0</v>
      </c>
      <c r="AU386" s="1151">
        <f t="shared" si="1128"/>
        <v>357.96000000000004</v>
      </c>
      <c r="AV386" s="1178">
        <v>0</v>
      </c>
      <c r="AW386" s="1151">
        <f t="shared" si="1129"/>
        <v>0</v>
      </c>
      <c r="AX386" s="1150">
        <f>IF(T386&lt;&gt;"0",(ROUND(IF(A386="EMPLEADO",eval_formula('CONCEPTOS Y PARAMETROS'!$C$8,NOMINA!V386,NOMINA!$AU386,NOMINA!I386+NOMINA!J386),eval_formula('CONCEPTOS Y PARAMETROS'!$D$8,NOMINA!V386,NOMINA!$AU386,NOMINA!I386+NOMINA!J386)),2))*IF(H386&lt;&gt;"",IF(MONTH(H386)=$BR$8,IF(YEAR(H386)&lt;$BT$7,1,0),0)))</f>
        <v>2863.68</v>
      </c>
      <c r="AY386" s="1151">
        <v>180</v>
      </c>
      <c r="AZ386" s="1150">
        <f>IFERROR(VLOOKUP(AY386,'CONCEPTOS Y PARAMETROS'!Y:Z,2,0),0)</f>
        <v>150</v>
      </c>
      <c r="BA386" s="1150">
        <f t="shared" si="1130"/>
        <v>2684.7</v>
      </c>
      <c r="BB386" s="1150">
        <f t="shared" si="1131"/>
        <v>0</v>
      </c>
      <c r="BC386" s="1028">
        <v>0</v>
      </c>
      <c r="BD386" s="1150" t="str">
        <f t="shared" si="1132"/>
        <v>0</v>
      </c>
      <c r="BE386" s="1028">
        <v>0</v>
      </c>
      <c r="BF386" s="1150">
        <f t="shared" si="1093"/>
        <v>0</v>
      </c>
      <c r="BG386" s="1151">
        <v>290</v>
      </c>
      <c r="BH386" s="1151">
        <f t="shared" si="1094"/>
        <v>0</v>
      </c>
      <c r="BI386" s="1151">
        <v>0</v>
      </c>
      <c r="BJ386" s="1151">
        <f t="shared" si="1095"/>
        <v>0</v>
      </c>
      <c r="BK386" s="1151">
        <v>0</v>
      </c>
      <c r="BL386" s="1150">
        <f t="shared" si="1140"/>
        <v>13.22</v>
      </c>
      <c r="BM386" s="1150">
        <f t="shared" si="1141"/>
        <v>1.65</v>
      </c>
      <c r="BN386" s="1150">
        <f t="shared" si="1096"/>
        <v>3.58</v>
      </c>
      <c r="BO386" s="1150">
        <v>0</v>
      </c>
      <c r="BP386" s="1150">
        <v>0</v>
      </c>
      <c r="BQ386" s="1396">
        <f t="shared" si="1133"/>
        <v>18.45</v>
      </c>
      <c r="BR386" s="1150">
        <f t="shared" si="1142"/>
        <v>29.74</v>
      </c>
      <c r="BS386" s="1150">
        <f t="shared" si="1143"/>
        <v>6.61</v>
      </c>
      <c r="BT386" s="1150">
        <f t="shared" si="1097"/>
        <v>7.16</v>
      </c>
      <c r="BU386" s="1150">
        <v>0</v>
      </c>
      <c r="BV386" s="1151">
        <f t="shared" si="1134"/>
        <v>43.51</v>
      </c>
      <c r="BW386" s="1155">
        <f t="shared" si="1135"/>
        <v>61.959999999999994</v>
      </c>
      <c r="BX386" s="1155">
        <f t="shared" si="1067"/>
        <v>671.18</v>
      </c>
      <c r="BY386" s="1151">
        <v>0</v>
      </c>
      <c r="BZ386" s="1151">
        <f t="shared" si="1098"/>
        <v>671.18</v>
      </c>
      <c r="CA386" s="1397">
        <f>'CONCEPTOS Y PARAMETROS'!$A$102</f>
        <v>2120</v>
      </c>
      <c r="CB386" s="1155">
        <f t="shared" si="1099"/>
        <v>166.78000000000003</v>
      </c>
      <c r="CC386" s="1156">
        <f t="shared" si="1100"/>
        <v>3326.41</v>
      </c>
      <c r="CD386" s="514"/>
      <c r="CE386" s="514"/>
      <c r="CF386" s="520"/>
      <c r="CG386" s="497">
        <f t="shared" si="1101"/>
        <v>166.78000000000003</v>
      </c>
      <c r="CH386" s="1711">
        <f t="shared" si="1102"/>
        <v>290</v>
      </c>
      <c r="CI386" s="497">
        <f t="shared" si="1103"/>
        <v>462.73</v>
      </c>
      <c r="CJ386" s="497">
        <f t="shared" si="1104"/>
        <v>462.73</v>
      </c>
      <c r="CK386" s="497">
        <f t="shared" si="1105"/>
        <v>0</v>
      </c>
      <c r="CL386" s="497">
        <f t="shared" si="1106"/>
        <v>0</v>
      </c>
      <c r="CM386" s="497">
        <f t="shared" si="1107"/>
        <v>0</v>
      </c>
      <c r="CN386" s="498">
        <f t="shared" si="1108"/>
        <v>0</v>
      </c>
      <c r="CO386" s="499">
        <v>0</v>
      </c>
      <c r="CP386" s="498">
        <f t="shared" si="1109"/>
        <v>0</v>
      </c>
      <c r="CQ386" s="500">
        <f t="shared" si="1110"/>
        <v>0</v>
      </c>
      <c r="CR386" s="498">
        <f t="shared" si="1111"/>
        <v>2863.68</v>
      </c>
      <c r="CS386" s="498">
        <f t="shared" si="1112"/>
        <v>2863.68</v>
      </c>
      <c r="CT386" s="498">
        <f t="shared" si="1113"/>
        <v>61.959999999999994</v>
      </c>
      <c r="CU386" s="498">
        <f t="shared" si="1114"/>
        <v>2120</v>
      </c>
      <c r="CV386" s="1554"/>
      <c r="CW386" s="1343" t="s">
        <v>7091</v>
      </c>
      <c r="CX386" s="1343" t="s">
        <v>6944</v>
      </c>
      <c r="CY386" s="472"/>
      <c r="CZ386" s="514" t="s">
        <v>6543</v>
      </c>
      <c r="DA386" s="514" t="s">
        <v>6188</v>
      </c>
      <c r="DB386" s="514" t="s">
        <v>6302</v>
      </c>
      <c r="DC386" s="514" t="s">
        <v>6724</v>
      </c>
      <c r="DD386" s="472"/>
      <c r="DE386" s="472"/>
      <c r="DF386" s="472"/>
      <c r="DG386" s="472"/>
      <c r="DH386" s="472"/>
      <c r="DJ386" s="473" t="str">
        <f>VLOOKUP(X386,Hoja1!$A$4:$B$10,2,0)</f>
        <v>BACHILLER</v>
      </c>
      <c r="DK386" s="473" t="str">
        <f>VLOOKUP(S386,Hoja1!$D$4:$F$77,3,0)</f>
        <v>GRADO (5) - MÁX</v>
      </c>
      <c r="DL386" s="1216" t="str">
        <f t="shared" si="1115"/>
        <v>0</v>
      </c>
      <c r="DM386" s="1741" t="str">
        <f t="shared" si="1116"/>
        <v>M</v>
      </c>
      <c r="DN386" s="1741"/>
    </row>
    <row r="387" spans="1:118" s="473" customFormat="1" ht="21.95" customHeight="1">
      <c r="A387" s="510" t="s">
        <v>2834</v>
      </c>
      <c r="B387" s="1390">
        <f t="shared" ca="1" si="1136"/>
        <v>76</v>
      </c>
      <c r="C387" s="1028">
        <v>18350780</v>
      </c>
      <c r="D387" s="1343" t="s">
        <v>5032</v>
      </c>
      <c r="E387" s="1180" t="s">
        <v>4622</v>
      </c>
      <c r="F387" s="1161">
        <v>32057</v>
      </c>
      <c r="G387" s="1180" t="s">
        <v>4621</v>
      </c>
      <c r="H387" s="1161">
        <v>43116</v>
      </c>
      <c r="I387" s="1185">
        <f t="shared" si="1090"/>
        <v>7</v>
      </c>
      <c r="J387" s="1177">
        <v>0</v>
      </c>
      <c r="K387" s="1185">
        <f t="shared" si="1091"/>
        <v>7</v>
      </c>
      <c r="L387" s="1191" t="s">
        <v>5559</v>
      </c>
      <c r="M387" s="1177"/>
      <c r="N387" s="1177"/>
      <c r="O387" s="1040" t="s">
        <v>5094</v>
      </c>
      <c r="P387" s="1177" t="s">
        <v>5172</v>
      </c>
      <c r="Q387" s="1391">
        <v>7152</v>
      </c>
      <c r="R387" s="1514" t="s">
        <v>5094</v>
      </c>
      <c r="S387" s="1513">
        <v>5</v>
      </c>
      <c r="T387" s="1150">
        <f>IFERROR(VLOOKUP(S387,'TAB OBR'!A:B,2,0),0)</f>
        <v>171</v>
      </c>
      <c r="U387" s="1151">
        <v>0</v>
      </c>
      <c r="V387" s="1150">
        <f t="shared" si="1117"/>
        <v>171</v>
      </c>
      <c r="W387" s="1151">
        <f t="shared" si="1118"/>
        <v>85.5</v>
      </c>
      <c r="X387" s="1180" t="s">
        <v>2884</v>
      </c>
      <c r="Y387" s="1180" t="s">
        <v>2884</v>
      </c>
      <c r="Z387" s="1180">
        <v>1</v>
      </c>
      <c r="AA387" s="1150">
        <f>ROUND(IF(H387&lt;&gt;"",VLOOKUP(SUM(I387+J387),'CONCEPTOS Y PARAMETROS'!F:G,2,0)*V387,0),2)</f>
        <v>12.65</v>
      </c>
      <c r="AB387" s="1150">
        <f>IF(S387&lt;&gt;"",IF(M387="",'CONCEPTOS Y PARAMETROS'!$C$4,0),0)</f>
        <v>130</v>
      </c>
      <c r="AC387" s="1150">
        <f>IF(S387&lt;&gt;"",IF(M387="",'CONCEPTOS Y PARAMETROS'!$C$7*Z387,0),0)</f>
        <v>12.5</v>
      </c>
      <c r="AD387" s="1150">
        <f>IFERROR(ROUND(VLOOKUP($X387,'CONCEPTOS Y PARAMETROS'!H:I,2,0)*($V387+AA387+AB387+AC387),2),0)</f>
        <v>0</v>
      </c>
      <c r="AE387" s="1150">
        <f t="shared" si="1119"/>
        <v>155.15</v>
      </c>
      <c r="AF387" s="1150">
        <f t="shared" si="1120"/>
        <v>6.33</v>
      </c>
      <c r="AG387" s="1150">
        <f t="shared" si="1121"/>
        <v>6.32</v>
      </c>
      <c r="AH387" s="1150">
        <f t="shared" si="1122"/>
        <v>65</v>
      </c>
      <c r="AI387" s="1150">
        <f t="shared" si="1123"/>
        <v>65</v>
      </c>
      <c r="AJ387" s="1150">
        <f t="shared" si="1124"/>
        <v>0</v>
      </c>
      <c r="AK387" s="1150">
        <f t="shared" si="1125"/>
        <v>0</v>
      </c>
      <c r="AL387" s="1151">
        <f t="shared" si="1126"/>
        <v>83.83</v>
      </c>
      <c r="AM387" s="1151">
        <f t="shared" si="1127"/>
        <v>71.319999999999993</v>
      </c>
      <c r="AN387" s="1028">
        <v>0</v>
      </c>
      <c r="AO387" s="1193">
        <f>'CONCEPTOS Y PARAMETROS'!$C$18*AN387</f>
        <v>0</v>
      </c>
      <c r="AP387" s="1028">
        <v>0</v>
      </c>
      <c r="AQ387" s="1193">
        <f>'CONCEPTOS Y PARAMETROS'!$C$21*AP387</f>
        <v>0</v>
      </c>
      <c r="AR387" s="1394">
        <v>0</v>
      </c>
      <c r="AS387" s="1394">
        <v>0</v>
      </c>
      <c r="AT387" s="1394">
        <f t="shared" si="1092"/>
        <v>0</v>
      </c>
      <c r="AU387" s="1151">
        <f t="shared" si="1128"/>
        <v>424</v>
      </c>
      <c r="AV387" s="1178" t="s">
        <v>5080</v>
      </c>
      <c r="AW387" s="1151">
        <f t="shared" si="1129"/>
        <v>97.85</v>
      </c>
      <c r="AX387" s="1150">
        <f>IF(T387&lt;&gt;"0",(ROUND(IF(A387="EMPLEADO",eval_formula('CONCEPTOS Y PARAMETROS'!$C$8,NOMINA!V387,NOMINA!$AU387,NOMINA!I387+NOMINA!J387),eval_formula('CONCEPTOS Y PARAMETROS'!$D$8,NOMINA!V387,NOMINA!$AU387,NOMINA!I387+NOMINA!J387)),2))*IF(H387&lt;&gt;"",IF(MONTH(H387)=$BR$8,IF(YEAR(H387)&lt;$BT$7,1,0),0)))</f>
        <v>3392</v>
      </c>
      <c r="AY387" s="1151">
        <v>180</v>
      </c>
      <c r="AZ387" s="1150">
        <f>IFERROR(VLOOKUP(AY387,'CONCEPTOS Y PARAMETROS'!Y:Z,2,0),0)</f>
        <v>150</v>
      </c>
      <c r="BA387" s="1150">
        <f t="shared" si="1130"/>
        <v>3180</v>
      </c>
      <c r="BB387" s="1150">
        <f t="shared" si="1131"/>
        <v>0</v>
      </c>
      <c r="BC387" s="1028">
        <v>0</v>
      </c>
      <c r="BD387" s="1150" t="str">
        <f t="shared" si="1132"/>
        <v>0</v>
      </c>
      <c r="BE387" s="1028">
        <v>0</v>
      </c>
      <c r="BF387" s="1150">
        <f t="shared" si="1093"/>
        <v>0</v>
      </c>
      <c r="BG387" s="1151">
        <v>290</v>
      </c>
      <c r="BH387" s="1151">
        <f t="shared" si="1094"/>
        <v>0</v>
      </c>
      <c r="BI387" s="1151">
        <v>0</v>
      </c>
      <c r="BJ387" s="1151">
        <f t="shared" si="1095"/>
        <v>0</v>
      </c>
      <c r="BK387" s="1151">
        <v>0</v>
      </c>
      <c r="BL387" s="1150">
        <f t="shared" si="1140"/>
        <v>15.66</v>
      </c>
      <c r="BM387" s="1150">
        <f t="shared" si="1141"/>
        <v>1.96</v>
      </c>
      <c r="BN387" s="1150">
        <f t="shared" si="1096"/>
        <v>4.24</v>
      </c>
      <c r="BO387" s="1150">
        <v>0</v>
      </c>
      <c r="BP387" s="1150">
        <v>0</v>
      </c>
      <c r="BQ387" s="1396">
        <f t="shared" si="1133"/>
        <v>21.86</v>
      </c>
      <c r="BR387" s="1150">
        <f t="shared" si="1142"/>
        <v>35.22</v>
      </c>
      <c r="BS387" s="1150">
        <f t="shared" si="1143"/>
        <v>7.83</v>
      </c>
      <c r="BT387" s="1150">
        <f t="shared" si="1097"/>
        <v>8.48</v>
      </c>
      <c r="BU387" s="1150">
        <v>0</v>
      </c>
      <c r="BV387" s="1151">
        <f t="shared" si="1134"/>
        <v>51.53</v>
      </c>
      <c r="BW387" s="1155">
        <f t="shared" si="1135"/>
        <v>73.39</v>
      </c>
      <c r="BX387" s="1155">
        <f t="shared" si="1067"/>
        <v>795</v>
      </c>
      <c r="BY387" s="1151">
        <v>0</v>
      </c>
      <c r="BZ387" s="1151">
        <f t="shared" si="1098"/>
        <v>795</v>
      </c>
      <c r="CA387" s="1397">
        <f>'CONCEPTOS Y PARAMETROS'!$A$102</f>
        <v>2120</v>
      </c>
      <c r="CB387" s="1155">
        <f t="shared" si="1099"/>
        <v>147.46999999999997</v>
      </c>
      <c r="CC387" s="1156">
        <f t="shared" si="1100"/>
        <v>3936.67</v>
      </c>
      <c r="CD387" s="514"/>
      <c r="CE387" s="514"/>
      <c r="CF387" s="520"/>
      <c r="CG387" s="497">
        <f t="shared" si="1101"/>
        <v>147.46999999999997</v>
      </c>
      <c r="CH387" s="1711">
        <f t="shared" si="1102"/>
        <v>290</v>
      </c>
      <c r="CI387" s="497">
        <f t="shared" si="1103"/>
        <v>446.82</v>
      </c>
      <c r="CJ387" s="497">
        <f t="shared" si="1104"/>
        <v>446.82</v>
      </c>
      <c r="CK387" s="497">
        <f t="shared" si="1105"/>
        <v>0</v>
      </c>
      <c r="CL387" s="497">
        <f t="shared" si="1106"/>
        <v>0</v>
      </c>
      <c r="CM387" s="497">
        <f t="shared" si="1107"/>
        <v>0</v>
      </c>
      <c r="CN387" s="498">
        <f t="shared" si="1108"/>
        <v>0</v>
      </c>
      <c r="CO387" s="499">
        <v>0</v>
      </c>
      <c r="CP387" s="498">
        <f t="shared" si="1109"/>
        <v>97.85</v>
      </c>
      <c r="CQ387" s="500">
        <f t="shared" si="1110"/>
        <v>0</v>
      </c>
      <c r="CR387" s="498">
        <f t="shared" si="1111"/>
        <v>3392</v>
      </c>
      <c r="CS387" s="498">
        <f t="shared" si="1112"/>
        <v>3489.85</v>
      </c>
      <c r="CT387" s="498">
        <f t="shared" si="1113"/>
        <v>73.39</v>
      </c>
      <c r="CU387" s="498">
        <f t="shared" si="1114"/>
        <v>2120</v>
      </c>
      <c r="CV387" s="1554"/>
      <c r="CW387" s="1343" t="s">
        <v>6934</v>
      </c>
      <c r="CX387" s="1343" t="s">
        <v>7349</v>
      </c>
      <c r="CY387" s="472"/>
      <c r="CZ387" s="514" t="s">
        <v>6544</v>
      </c>
      <c r="DA387" s="514" t="s">
        <v>6173</v>
      </c>
      <c r="DB387" s="514" t="s">
        <v>6545</v>
      </c>
      <c r="DC387" s="514" t="s">
        <v>6546</v>
      </c>
      <c r="DD387" s="472"/>
      <c r="DE387" s="472"/>
      <c r="DF387" s="472"/>
      <c r="DG387" s="472"/>
      <c r="DH387" s="472"/>
      <c r="DJ387" s="473" t="str">
        <f>VLOOKUP(X387,Hoja1!$A$4:$B$10,2,0)</f>
        <v>BACHILLER</v>
      </c>
      <c r="DK387" s="473" t="str">
        <f>VLOOKUP(S387,Hoja1!$D$4:$F$77,3,0)</f>
        <v>GRADO (5) - MÁX</v>
      </c>
      <c r="DL387" s="1216" t="str">
        <f t="shared" si="1115"/>
        <v>SI</v>
      </c>
      <c r="DM387" s="1741" t="str">
        <f t="shared" si="1116"/>
        <v>M</v>
      </c>
      <c r="DN387" s="1741"/>
    </row>
    <row r="388" spans="1:118" s="525" customFormat="1" ht="21.95" customHeight="1">
      <c r="A388" s="510" t="s">
        <v>2834</v>
      </c>
      <c r="B388" s="1390">
        <f t="shared" ca="1" si="1136"/>
        <v>77</v>
      </c>
      <c r="C388" s="1028">
        <v>18456167</v>
      </c>
      <c r="D388" s="1343" t="s">
        <v>5033</v>
      </c>
      <c r="E388" s="1180" t="s">
        <v>4622</v>
      </c>
      <c r="F388" s="1161">
        <v>31431</v>
      </c>
      <c r="G388" s="1180" t="s">
        <v>4621</v>
      </c>
      <c r="H388" s="1161">
        <v>44516</v>
      </c>
      <c r="I388" s="1185">
        <f t="shared" si="1090"/>
        <v>3</v>
      </c>
      <c r="J388" s="1177">
        <v>0</v>
      </c>
      <c r="K388" s="1185">
        <f t="shared" si="1091"/>
        <v>3</v>
      </c>
      <c r="L388" s="1191" t="s">
        <v>5558</v>
      </c>
      <c r="M388" s="1177"/>
      <c r="N388" s="1177"/>
      <c r="O388" s="1040" t="s">
        <v>5092</v>
      </c>
      <c r="P388" s="1177" t="s">
        <v>5173</v>
      </c>
      <c r="Q388" s="1391">
        <v>2202</v>
      </c>
      <c r="R388" s="1514" t="s">
        <v>5092</v>
      </c>
      <c r="S388" s="1513">
        <v>5</v>
      </c>
      <c r="T388" s="1150">
        <f>IFERROR(VLOOKUP(S388,'TAB OBR'!A:B,2,0),0)</f>
        <v>171</v>
      </c>
      <c r="U388" s="1151">
        <v>0</v>
      </c>
      <c r="V388" s="1150">
        <f t="shared" si="1117"/>
        <v>171</v>
      </c>
      <c r="W388" s="1151">
        <f t="shared" si="1118"/>
        <v>85.5</v>
      </c>
      <c r="X388" s="1180" t="s">
        <v>2884</v>
      </c>
      <c r="Y388" s="1180" t="s">
        <v>2884</v>
      </c>
      <c r="Z388" s="1180">
        <v>2</v>
      </c>
      <c r="AA388" s="1150">
        <f>ROUND(IF(H388&lt;&gt;"",VLOOKUP(SUM(I388+J388),'CONCEPTOS Y PARAMETROS'!F:G,2,0)*V388,0),2)</f>
        <v>5.13</v>
      </c>
      <c r="AB388" s="1150">
        <f>IF(S388&lt;&gt;"",IF(M388="",'CONCEPTOS Y PARAMETROS'!$C$4,0),0)</f>
        <v>130</v>
      </c>
      <c r="AC388" s="1150">
        <f>IF(S388&lt;&gt;"",IF(M388="",'CONCEPTOS Y PARAMETROS'!$C$7*Z388,0),0)</f>
        <v>25</v>
      </c>
      <c r="AD388" s="1150">
        <f>IFERROR(ROUND(VLOOKUP($X388,'CONCEPTOS Y PARAMETROS'!H:I,2,0)*($V388+AA388+AB388+AC388),2),0)</f>
        <v>0</v>
      </c>
      <c r="AE388" s="1150">
        <f t="shared" si="1119"/>
        <v>160.13</v>
      </c>
      <c r="AF388" s="1150">
        <f t="shared" si="1120"/>
        <v>2.57</v>
      </c>
      <c r="AG388" s="1150">
        <f t="shared" si="1121"/>
        <v>2.56</v>
      </c>
      <c r="AH388" s="1150">
        <f t="shared" si="1122"/>
        <v>65</v>
      </c>
      <c r="AI388" s="1150">
        <f t="shared" si="1123"/>
        <v>65</v>
      </c>
      <c r="AJ388" s="1150">
        <f t="shared" si="1124"/>
        <v>0</v>
      </c>
      <c r="AK388" s="1150">
        <f t="shared" si="1125"/>
        <v>0</v>
      </c>
      <c r="AL388" s="1151">
        <f t="shared" si="1126"/>
        <v>92.57</v>
      </c>
      <c r="AM388" s="1151">
        <f t="shared" si="1127"/>
        <v>67.56</v>
      </c>
      <c r="AN388" s="1583">
        <v>2</v>
      </c>
      <c r="AO388" s="1193">
        <f>'CONCEPTOS Y PARAMETROS'!$C$18*AN388</f>
        <v>25</v>
      </c>
      <c r="AP388" s="1028">
        <v>0</v>
      </c>
      <c r="AQ388" s="1193">
        <f>'CONCEPTOS Y PARAMETROS'!$C$21*AP388</f>
        <v>0</v>
      </c>
      <c r="AR388" s="1394">
        <v>0</v>
      </c>
      <c r="AS388" s="1394">
        <v>0</v>
      </c>
      <c r="AT388" s="1394">
        <f t="shared" si="1092"/>
        <v>25</v>
      </c>
      <c r="AU388" s="1151">
        <f t="shared" si="1128"/>
        <v>331.13</v>
      </c>
      <c r="AV388" s="1178">
        <v>0</v>
      </c>
      <c r="AW388" s="1151">
        <f t="shared" si="1129"/>
        <v>0</v>
      </c>
      <c r="AX388" s="1150">
        <f>IF(T388&lt;&gt;"0",(ROUND(IF(A388="EMPLEADO",eval_formula('CONCEPTOS Y PARAMETROS'!$C$8,NOMINA!V388,NOMINA!$AU388,NOMINA!I388+NOMINA!J388),eval_formula('CONCEPTOS Y PARAMETROS'!$D$8,NOMINA!V388,NOMINA!$AU388,NOMINA!I388+NOMINA!J388)),2))*IF(H388&lt;&gt;"",IF(MONTH(H388)=$BR$8,IF(YEAR(H388)&lt;$BT$7,1,0),0)))</f>
        <v>0</v>
      </c>
      <c r="AY388" s="1151">
        <v>180</v>
      </c>
      <c r="AZ388" s="1150">
        <f>IFERROR(VLOOKUP(AY388,'CONCEPTOS Y PARAMETROS'!Y:Z,2,0),0)</f>
        <v>150</v>
      </c>
      <c r="BA388" s="1150">
        <f t="shared" si="1130"/>
        <v>2483.48</v>
      </c>
      <c r="BB388" s="1150">
        <f t="shared" si="1131"/>
        <v>0</v>
      </c>
      <c r="BC388" s="1028">
        <v>0</v>
      </c>
      <c r="BD388" s="1150" t="str">
        <f t="shared" si="1132"/>
        <v>0</v>
      </c>
      <c r="BE388" s="1028">
        <v>1</v>
      </c>
      <c r="BF388" s="1150">
        <f t="shared" si="1093"/>
        <v>16.559999999999999</v>
      </c>
      <c r="BG388" s="1151">
        <v>290</v>
      </c>
      <c r="BH388" s="1151">
        <f t="shared" si="1094"/>
        <v>0</v>
      </c>
      <c r="BI388" s="1151">
        <v>0</v>
      </c>
      <c r="BJ388" s="1151">
        <f t="shared" si="1095"/>
        <v>0</v>
      </c>
      <c r="BK388" s="1151">
        <v>0</v>
      </c>
      <c r="BL388" s="1150">
        <f t="shared" si="1140"/>
        <v>12.23</v>
      </c>
      <c r="BM388" s="1150">
        <f t="shared" si="1141"/>
        <v>1.53</v>
      </c>
      <c r="BN388" s="1150">
        <f t="shared" si="1096"/>
        <v>3.31</v>
      </c>
      <c r="BO388" s="1150">
        <v>0</v>
      </c>
      <c r="BP388" s="1150">
        <v>0</v>
      </c>
      <c r="BQ388" s="1396">
        <f t="shared" si="1133"/>
        <v>17.07</v>
      </c>
      <c r="BR388" s="1150">
        <f t="shared" si="1142"/>
        <v>27.51</v>
      </c>
      <c r="BS388" s="1150">
        <f t="shared" si="1143"/>
        <v>6.11</v>
      </c>
      <c r="BT388" s="1150">
        <f t="shared" si="1097"/>
        <v>6.62</v>
      </c>
      <c r="BU388" s="1150">
        <v>0</v>
      </c>
      <c r="BV388" s="1151">
        <f t="shared" si="1134"/>
        <v>40.24</v>
      </c>
      <c r="BW388" s="1155">
        <f t="shared" si="1135"/>
        <v>57.31</v>
      </c>
      <c r="BX388" s="1155">
        <f t="shared" si="1067"/>
        <v>620.87</v>
      </c>
      <c r="BY388" s="1151">
        <v>0</v>
      </c>
      <c r="BZ388" s="1151">
        <f t="shared" si="1098"/>
        <v>620.87</v>
      </c>
      <c r="CA388" s="1397">
        <f>'CONCEPTOS Y PARAMETROS'!$A$102</f>
        <v>2120</v>
      </c>
      <c r="CB388" s="1155">
        <f t="shared" si="1099"/>
        <v>161</v>
      </c>
      <c r="CC388" s="1156">
        <f t="shared" si="1100"/>
        <v>484.62</v>
      </c>
      <c r="CD388" s="514"/>
      <c r="CE388" s="514"/>
      <c r="CF388" s="520"/>
      <c r="CG388" s="497">
        <f t="shared" si="1101"/>
        <v>161</v>
      </c>
      <c r="CH388" s="1711">
        <f t="shared" si="1102"/>
        <v>290</v>
      </c>
      <c r="CI388" s="497">
        <f t="shared" si="1103"/>
        <v>443.06</v>
      </c>
      <c r="CJ388" s="497">
        <f t="shared" si="1104"/>
        <v>443.06</v>
      </c>
      <c r="CK388" s="497">
        <f t="shared" si="1105"/>
        <v>0</v>
      </c>
      <c r="CL388" s="497">
        <f t="shared" si="1106"/>
        <v>0</v>
      </c>
      <c r="CM388" s="497">
        <f t="shared" si="1107"/>
        <v>0</v>
      </c>
      <c r="CN388" s="498">
        <f t="shared" si="1108"/>
        <v>16.559999999999999</v>
      </c>
      <c r="CO388" s="499">
        <v>0</v>
      </c>
      <c r="CP388" s="498">
        <f t="shared" si="1109"/>
        <v>0</v>
      </c>
      <c r="CQ388" s="500">
        <f t="shared" si="1110"/>
        <v>25</v>
      </c>
      <c r="CR388" s="498">
        <f t="shared" si="1111"/>
        <v>0</v>
      </c>
      <c r="CS388" s="498">
        <f t="shared" si="1112"/>
        <v>41.56</v>
      </c>
      <c r="CT388" s="498">
        <f t="shared" si="1113"/>
        <v>57.31</v>
      </c>
      <c r="CU388" s="498">
        <f t="shared" si="1114"/>
        <v>2120</v>
      </c>
      <c r="CV388" s="1554"/>
      <c r="CW388" s="1343" t="s">
        <v>6929</v>
      </c>
      <c r="CX388" s="1343" t="s">
        <v>7139</v>
      </c>
      <c r="CY388" s="472"/>
      <c r="CZ388" s="514" t="s">
        <v>6547</v>
      </c>
      <c r="DA388" s="514" t="s">
        <v>6188</v>
      </c>
      <c r="DB388" s="514" t="s">
        <v>6401</v>
      </c>
      <c r="DC388" s="514" t="s">
        <v>6381</v>
      </c>
      <c r="DD388" s="472"/>
      <c r="DE388" s="472"/>
      <c r="DF388" s="472"/>
      <c r="DG388" s="472"/>
      <c r="DH388" s="472"/>
      <c r="DI388" s="473"/>
      <c r="DJ388" s="473" t="str">
        <f>VLOOKUP(X388,Hoja1!$A$4:$B$10,2,0)</f>
        <v>BACHILLER</v>
      </c>
      <c r="DK388" s="473" t="str">
        <f>VLOOKUP(S388,Hoja1!$D$4:$F$77,3,0)</f>
        <v>GRADO (5) - MÁX</v>
      </c>
      <c r="DL388" s="1216" t="str">
        <f t="shared" si="1115"/>
        <v>0</v>
      </c>
      <c r="DM388" s="1741" t="str">
        <f t="shared" si="1116"/>
        <v>M</v>
      </c>
      <c r="DN388" s="1741"/>
    </row>
    <row r="389" spans="1:118" s="1654" customFormat="1" ht="21.95" customHeight="1">
      <c r="A389" s="1624" t="s">
        <v>2834</v>
      </c>
      <c r="B389" s="1625">
        <f t="shared" ca="1" si="1136"/>
        <v>78</v>
      </c>
      <c r="C389" s="1639">
        <v>18456576</v>
      </c>
      <c r="D389" s="1668" t="s">
        <v>4862</v>
      </c>
      <c r="E389" s="1628" t="s">
        <v>4622</v>
      </c>
      <c r="F389" s="1660">
        <v>31987</v>
      </c>
      <c r="G389" s="1628" t="s">
        <v>4621</v>
      </c>
      <c r="H389" s="1660">
        <v>44743</v>
      </c>
      <c r="I389" s="1630">
        <f t="shared" si="1090"/>
        <v>2</v>
      </c>
      <c r="J389" s="1631">
        <v>0</v>
      </c>
      <c r="K389" s="1630">
        <f t="shared" si="1091"/>
        <v>2</v>
      </c>
      <c r="L389" s="1632" t="s">
        <v>5538</v>
      </c>
      <c r="M389" s="1631"/>
      <c r="N389" s="1631"/>
      <c r="O389" s="1633" t="s">
        <v>5095</v>
      </c>
      <c r="P389" s="1631" t="s">
        <v>5418</v>
      </c>
      <c r="Q389" s="1634">
        <v>7174</v>
      </c>
      <c r="R389" s="1669" t="s">
        <v>5095</v>
      </c>
      <c r="S389" s="1670">
        <v>4</v>
      </c>
      <c r="T389" s="1637">
        <f>IFERROR(VLOOKUP(S389,'TAB OBR'!A:B,2,0),0)</f>
        <v>161</v>
      </c>
      <c r="U389" s="1638">
        <v>0</v>
      </c>
      <c r="V389" s="1637">
        <f t="shared" ref="V389" si="1146">T389-U389</f>
        <v>161</v>
      </c>
      <c r="W389" s="1638">
        <f t="shared" ref="W389" si="1147">ROUND(V389/2,2)</f>
        <v>80.5</v>
      </c>
      <c r="X389" s="1628" t="s">
        <v>2884</v>
      </c>
      <c r="Y389" s="1628" t="s">
        <v>2884</v>
      </c>
      <c r="Z389" s="1628">
        <v>2</v>
      </c>
      <c r="AA389" s="1637">
        <f>ROUND(IF(H389&lt;&gt;"",VLOOKUP(SUM(I389+J389),'CONCEPTOS Y PARAMETROS'!F:G,2,0)*V389,0),2)</f>
        <v>3.22</v>
      </c>
      <c r="AB389" s="1637">
        <f>IF(S389&lt;&gt;"",IF(M389="",'CONCEPTOS Y PARAMETROS'!$C$4,0),0)</f>
        <v>130</v>
      </c>
      <c r="AC389" s="1637">
        <f>IF(S389&lt;&gt;"",IF(M389="",'CONCEPTOS Y PARAMETROS'!$C$7*Z389,0),0)</f>
        <v>25</v>
      </c>
      <c r="AD389" s="1637">
        <f>IFERROR(ROUND(VLOOKUP($X389,'CONCEPTOS Y PARAMETROS'!H:I,2,0)*($V389+AA389+AB389+AC389),2),0)</f>
        <v>0</v>
      </c>
      <c r="AE389" s="1637">
        <f t="shared" ref="AE389" si="1148">SUM(AA389:AD389)</f>
        <v>158.22</v>
      </c>
      <c r="AF389" s="1637">
        <f t="shared" ref="AF389" si="1149">ROUND(AA389/2,2)</f>
        <v>1.61</v>
      </c>
      <c r="AG389" s="1637">
        <f t="shared" ref="AG389" si="1150">ROUND(AA389-AF389,2)</f>
        <v>1.61</v>
      </c>
      <c r="AH389" s="1637">
        <f t="shared" ref="AH389" si="1151">ROUND(AB389/2,2)</f>
        <v>65</v>
      </c>
      <c r="AI389" s="1637">
        <f t="shared" ref="AI389" si="1152">ROUND(AB389-AH389,2)</f>
        <v>65</v>
      </c>
      <c r="AJ389" s="1637">
        <f t="shared" ref="AJ389" si="1153">ROUND(AD389/2,2)</f>
        <v>0</v>
      </c>
      <c r="AK389" s="1637">
        <f t="shared" ref="AK389" si="1154">ROUND(AD389-AJ389,2)</f>
        <v>0</v>
      </c>
      <c r="AL389" s="1638">
        <f t="shared" ref="AL389" si="1155">ROUND(AF389+AH389+AJ389+AC389,2)</f>
        <v>91.61</v>
      </c>
      <c r="AM389" s="1638">
        <f t="shared" ref="AM389" si="1156">ROUND(AG389+AI389+AK389,2)</f>
        <v>66.61</v>
      </c>
      <c r="AN389" s="1639">
        <v>0</v>
      </c>
      <c r="AO389" s="1640">
        <f>'CONCEPTOS Y PARAMETROS'!$C$18*AN389</f>
        <v>0</v>
      </c>
      <c r="AP389" s="1639">
        <v>0</v>
      </c>
      <c r="AQ389" s="1640">
        <f>'CONCEPTOS Y PARAMETROS'!$C$21*AP389</f>
        <v>0</v>
      </c>
      <c r="AR389" s="1641">
        <v>0</v>
      </c>
      <c r="AS389" s="1641">
        <v>0</v>
      </c>
      <c r="AT389" s="1641">
        <f t="shared" ref="AT389" si="1157">+AO389+AQ389+AR389+AS389</f>
        <v>0</v>
      </c>
      <c r="AU389" s="1638">
        <f t="shared" ref="AU389" si="1158">V389+AE389+AW389</f>
        <v>414.99</v>
      </c>
      <c r="AV389" s="1642" t="s">
        <v>5080</v>
      </c>
      <c r="AW389" s="1638">
        <f t="shared" ref="AW389" si="1159">ROUND(IF(AV389="NOCTURN",(V389+AE389)*30%,0),2)</f>
        <v>95.77</v>
      </c>
      <c r="AX389" s="1637">
        <f>IF(T389&lt;&gt;"0",(ROUND(IF(A389="EMPLEADO",eval_formula('CONCEPTOS Y PARAMETROS'!$C$8,NOMINA!V389,NOMINA!$AU389,NOMINA!I389+NOMINA!J389),eval_formula('CONCEPTOS Y PARAMETROS'!$D$8,NOMINA!V389,NOMINA!$AU389,NOMINA!I389+NOMINA!J389)),2))*IF(H389&lt;&gt;"",IF(MONTH(H389)=$BR$8,IF(YEAR(H389)&lt;$BT$7,1,0),0)))</f>
        <v>0</v>
      </c>
      <c r="AY389" s="1638">
        <v>180</v>
      </c>
      <c r="AZ389" s="1637">
        <f>IFERROR(VLOOKUP(AY389,'CONCEPTOS Y PARAMETROS'!Y:Z,2,0),0)</f>
        <v>150</v>
      </c>
      <c r="BA389" s="1637">
        <f t="shared" ref="BA389" si="1160">ROUND((((AU389))/30*AY389/12+(AU389))/30*AZ389,2)</f>
        <v>3112.43</v>
      </c>
      <c r="BB389" s="1637">
        <f t="shared" ref="BB389" si="1161">ROUND(AU389/30*$BB$10,2)</f>
        <v>0</v>
      </c>
      <c r="BC389" s="1639">
        <v>0</v>
      </c>
      <c r="BD389" s="1637" t="str">
        <f t="shared" ref="BD389" si="1162">IF(BC389&gt;0,((((((V389+AA389+AB389+AC389+AD389)/30)/8)*50%)+((((V389+AA389+AB389+AC389+AD389)/30)/8)))*30%+(((((V389+AA389+AB389+AC389+AD389)/30)/8)*50%)+((((V389+AA389+AB389+AC389+AD389)/30)/8))))*BC389,"0")</f>
        <v>0</v>
      </c>
      <c r="BE389" s="1639">
        <v>2</v>
      </c>
      <c r="BF389" s="1637">
        <f t="shared" ref="BF389" si="1163">ROUND(IF(BE389&gt;0,(((V389+AA389+AB389+AC389+AD389+AW389)/30)*50%+((V389+AA389+AB389+AC389+AD389+AW389)/30))*BE389,"0"),2)</f>
        <v>41.5</v>
      </c>
      <c r="BG389" s="1638">
        <v>290</v>
      </c>
      <c r="BH389" s="1638">
        <f t="shared" si="1094"/>
        <v>0</v>
      </c>
      <c r="BI389" s="1638">
        <v>0</v>
      </c>
      <c r="BJ389" s="1638">
        <f t="shared" ref="BJ389" si="1164">+IF(BI389&lt;&gt;0,(BI389*12.5),0)</f>
        <v>0</v>
      </c>
      <c r="BK389" s="1638">
        <v>0</v>
      </c>
      <c r="BL389" s="1637">
        <f t="shared" ref="BL389" si="1165">ROUND(IF(M389="", (((AU389*12)/52)*4%)*$BS$8,0),2)</f>
        <v>15.32</v>
      </c>
      <c r="BM389" s="1637">
        <f t="shared" ref="BM389" si="1166">ROUND(IF(M389="",(((AU389*12)/52)*0.5%)*$BS$8,0),2)</f>
        <v>1.92</v>
      </c>
      <c r="BN389" s="1637">
        <f t="shared" ref="BN389" si="1167">ROUND(IF(M389="",(AU389*1%),0),2)</f>
        <v>4.1500000000000004</v>
      </c>
      <c r="BO389" s="1637">
        <v>0</v>
      </c>
      <c r="BP389" s="1637">
        <v>0</v>
      </c>
      <c r="BQ389" s="1643">
        <f t="shared" ref="BQ389" si="1168">ROUND(SUM(BL389:BP389),2)</f>
        <v>21.39</v>
      </c>
      <c r="BR389" s="1637">
        <f t="shared" ref="BR389" si="1169">ROUND(IF(M389="", (((AU389*12)/52)*9%)*$BS$8,0),2)</f>
        <v>34.479999999999997</v>
      </c>
      <c r="BS389" s="1637">
        <f t="shared" ref="BS389" si="1170">ROUND(IF(M389="",(((AU389*12)/52)*2%)*$BS$8,0),2)</f>
        <v>7.66</v>
      </c>
      <c r="BT389" s="1637">
        <f t="shared" si="1097"/>
        <v>8.3000000000000007</v>
      </c>
      <c r="BU389" s="1637">
        <v>0</v>
      </c>
      <c r="BV389" s="1638">
        <f t="shared" ref="BV389" si="1171">ROUND(SUM(BR389:BT389),2)</f>
        <v>50.44</v>
      </c>
      <c r="BW389" s="1644">
        <f t="shared" ref="BW389" si="1172">BQ389+BV389</f>
        <v>71.83</v>
      </c>
      <c r="BX389" s="1644">
        <f t="shared" ref="BX389" si="1173">ROUND(BA389/4,2)</f>
        <v>778.11</v>
      </c>
      <c r="BY389" s="1638">
        <v>0</v>
      </c>
      <c r="BZ389" s="1638">
        <f t="shared" ref="BZ389" si="1174">+BX389+BY389</f>
        <v>778.11</v>
      </c>
      <c r="CA389" s="1645">
        <f>'CONCEPTOS Y PARAMETROS'!$A$102</f>
        <v>2120</v>
      </c>
      <c r="CB389" s="1644">
        <f t="shared" si="1099"/>
        <v>150.72000000000003</v>
      </c>
      <c r="CC389" s="1646">
        <f t="shared" si="1100"/>
        <v>574.38</v>
      </c>
      <c r="CD389" s="1647"/>
      <c r="CE389" s="1647"/>
      <c r="CF389" s="1648"/>
      <c r="CG389" s="1649">
        <f t="shared" si="1101"/>
        <v>150.72000000000003</v>
      </c>
      <c r="CH389" s="1713">
        <f t="shared" si="1102"/>
        <v>290</v>
      </c>
      <c r="CI389" s="1649">
        <f t="shared" si="1103"/>
        <v>437.11</v>
      </c>
      <c r="CJ389" s="1649">
        <f t="shared" si="1104"/>
        <v>437.11</v>
      </c>
      <c r="CK389" s="1649">
        <f t="shared" si="1105"/>
        <v>0</v>
      </c>
      <c r="CL389" s="1649">
        <f t="shared" si="1106"/>
        <v>0</v>
      </c>
      <c r="CM389" s="1649">
        <f t="shared" si="1107"/>
        <v>0</v>
      </c>
      <c r="CN389" s="1650">
        <f t="shared" si="1108"/>
        <v>41.5</v>
      </c>
      <c r="CO389" s="1651">
        <v>0</v>
      </c>
      <c r="CP389" s="1650">
        <f t="shared" si="1109"/>
        <v>95.77</v>
      </c>
      <c r="CQ389" s="1652">
        <f t="shared" si="1110"/>
        <v>0</v>
      </c>
      <c r="CR389" s="1650">
        <f t="shared" si="1111"/>
        <v>0</v>
      </c>
      <c r="CS389" s="1650">
        <f t="shared" si="1112"/>
        <v>137.26999999999998</v>
      </c>
      <c r="CT389" s="1650">
        <f t="shared" si="1113"/>
        <v>71.83</v>
      </c>
      <c r="CU389" s="1650">
        <f t="shared" si="1114"/>
        <v>2120</v>
      </c>
      <c r="CV389" s="1653"/>
      <c r="CW389" s="1668" t="s">
        <v>7081</v>
      </c>
      <c r="CX389" s="1668" t="s">
        <v>7085</v>
      </c>
      <c r="CY389" s="1647"/>
      <c r="CZ389" s="1647" t="s">
        <v>6679</v>
      </c>
      <c r="DA389" s="1647" t="s">
        <v>6188</v>
      </c>
      <c r="DB389" s="1647" t="s">
        <v>6399</v>
      </c>
      <c r="DC389" s="1647" t="s">
        <v>6617</v>
      </c>
      <c r="DD389" s="1647"/>
      <c r="DE389" s="1647"/>
      <c r="DF389" s="1647"/>
      <c r="DG389" s="1647"/>
      <c r="DH389" s="1647"/>
      <c r="DJ389" s="1654" t="str">
        <f>VLOOKUP(X389,Hoja1!$A$4:$B$10,2,0)</f>
        <v>BACHILLER</v>
      </c>
      <c r="DK389" s="1654" t="str">
        <f>VLOOKUP(S389,Hoja1!$D$4:$F$77,3,0)</f>
        <v>GRADO (4) - MÁX</v>
      </c>
      <c r="DL389" s="1679" t="str">
        <f t="shared" si="1115"/>
        <v>SI</v>
      </c>
      <c r="DM389" s="1742" t="str">
        <f t="shared" si="1116"/>
        <v>M</v>
      </c>
      <c r="DN389" s="1742"/>
    </row>
    <row r="390" spans="1:118" s="525" customFormat="1" ht="21.95" customHeight="1">
      <c r="A390" s="510" t="s">
        <v>2834</v>
      </c>
      <c r="B390" s="1390">
        <f t="shared" ca="1" si="1136"/>
        <v>79</v>
      </c>
      <c r="C390" s="1028">
        <v>20039961</v>
      </c>
      <c r="D390" s="1343" t="s">
        <v>5035</v>
      </c>
      <c r="E390" s="1180" t="s">
        <v>4622</v>
      </c>
      <c r="F390" s="1161">
        <v>31278</v>
      </c>
      <c r="G390" s="1180" t="s">
        <v>4620</v>
      </c>
      <c r="H390" s="1161">
        <v>38412</v>
      </c>
      <c r="I390" s="1185">
        <f t="shared" si="1090"/>
        <v>19</v>
      </c>
      <c r="J390" s="1177">
        <v>0</v>
      </c>
      <c r="K390" s="1185">
        <f t="shared" si="1091"/>
        <v>19</v>
      </c>
      <c r="L390" s="1191" t="s">
        <v>5554</v>
      </c>
      <c r="M390" s="1177"/>
      <c r="N390" s="1177"/>
      <c r="O390" s="1040" t="s">
        <v>5088</v>
      </c>
      <c r="P390" s="1177" t="s">
        <v>5174</v>
      </c>
      <c r="Q390" s="1391">
        <v>7102</v>
      </c>
      <c r="R390" s="1514" t="s">
        <v>5088</v>
      </c>
      <c r="S390" s="1513">
        <v>1</v>
      </c>
      <c r="T390" s="1150">
        <f>IFERROR(VLOOKUP(S390,'TAB OBR'!A:B,2,0),0)</f>
        <v>130</v>
      </c>
      <c r="U390" s="1151">
        <v>0</v>
      </c>
      <c r="V390" s="1150">
        <f t="shared" si="1117"/>
        <v>130</v>
      </c>
      <c r="W390" s="1151">
        <f t="shared" si="1118"/>
        <v>65</v>
      </c>
      <c r="X390" s="1180" t="s">
        <v>2884</v>
      </c>
      <c r="Y390" s="1180" t="s">
        <v>2884</v>
      </c>
      <c r="Z390" s="1180">
        <v>2</v>
      </c>
      <c r="AA390" s="1150">
        <f>ROUND(IF(H390&lt;&gt;"",VLOOKUP(SUM(I390+J390),'CONCEPTOS Y PARAMETROS'!F:G,2,0)*V390,0),2)</f>
        <v>31.72</v>
      </c>
      <c r="AB390" s="1150">
        <f>IF(S390&lt;&gt;"",IF(M390="",'CONCEPTOS Y PARAMETROS'!$C$4,0),0)</f>
        <v>130</v>
      </c>
      <c r="AC390" s="1150">
        <f>IF(S390&lt;&gt;"",IF(M390="",'CONCEPTOS Y PARAMETROS'!$C$7*Z390,0),0)</f>
        <v>25</v>
      </c>
      <c r="AD390" s="1150">
        <f>IFERROR(ROUND(VLOOKUP($X390,'CONCEPTOS Y PARAMETROS'!H:I,2,0)*($V390+AA390+AB390+AC390),2),0)</f>
        <v>0</v>
      </c>
      <c r="AE390" s="1150">
        <f t="shared" si="1119"/>
        <v>186.72</v>
      </c>
      <c r="AF390" s="1150">
        <f t="shared" si="1120"/>
        <v>15.86</v>
      </c>
      <c r="AG390" s="1150">
        <f t="shared" si="1121"/>
        <v>15.86</v>
      </c>
      <c r="AH390" s="1150">
        <f t="shared" si="1122"/>
        <v>65</v>
      </c>
      <c r="AI390" s="1150">
        <f t="shared" si="1123"/>
        <v>65</v>
      </c>
      <c r="AJ390" s="1150">
        <f t="shared" si="1124"/>
        <v>0</v>
      </c>
      <c r="AK390" s="1150">
        <f t="shared" si="1125"/>
        <v>0</v>
      </c>
      <c r="AL390" s="1151">
        <f t="shared" si="1126"/>
        <v>105.86</v>
      </c>
      <c r="AM390" s="1151">
        <f t="shared" si="1127"/>
        <v>80.86</v>
      </c>
      <c r="AN390" s="1028">
        <v>0</v>
      </c>
      <c r="AO390" s="1193">
        <f>'CONCEPTOS Y PARAMETROS'!$C$18*AN390</f>
        <v>0</v>
      </c>
      <c r="AP390" s="1028">
        <v>0</v>
      </c>
      <c r="AQ390" s="1193">
        <f>'CONCEPTOS Y PARAMETROS'!$C$21*AP390</f>
        <v>0</v>
      </c>
      <c r="AR390" s="1394">
        <v>0</v>
      </c>
      <c r="AS390" s="1394">
        <v>0</v>
      </c>
      <c r="AT390" s="1394">
        <f t="shared" si="1092"/>
        <v>0</v>
      </c>
      <c r="AU390" s="1151">
        <f t="shared" si="1128"/>
        <v>316.72000000000003</v>
      </c>
      <c r="AV390" s="1178">
        <v>0</v>
      </c>
      <c r="AW390" s="1151">
        <f t="shared" si="1129"/>
        <v>0</v>
      </c>
      <c r="AX390" s="1150">
        <f>IF(T390&lt;&gt;"0",(ROUND(IF(A390="EMPLEADO",eval_formula('CONCEPTOS Y PARAMETROS'!$C$8,NOMINA!V390,NOMINA!$AU390,NOMINA!I390+NOMINA!J390),eval_formula('CONCEPTOS Y PARAMETROS'!$D$8,NOMINA!V390,NOMINA!$AU390,NOMINA!I390+NOMINA!J390)),2))*IF(H390&lt;&gt;"",IF(MONTH(H390)=$BR$8,IF(YEAR(H390)&lt;$BT$7,1,0),0)))</f>
        <v>0</v>
      </c>
      <c r="AY390" s="1151">
        <v>180</v>
      </c>
      <c r="AZ390" s="1150">
        <f>IFERROR(VLOOKUP(AY390,'CONCEPTOS Y PARAMETROS'!Y:Z,2,0),0)</f>
        <v>150</v>
      </c>
      <c r="BA390" s="1150">
        <f t="shared" si="1130"/>
        <v>2375.4</v>
      </c>
      <c r="BB390" s="1150">
        <f t="shared" si="1131"/>
        <v>0</v>
      </c>
      <c r="BC390" s="1028">
        <v>0</v>
      </c>
      <c r="BD390" s="1150" t="str">
        <f t="shared" si="1132"/>
        <v>0</v>
      </c>
      <c r="BE390" s="1028">
        <v>0</v>
      </c>
      <c r="BF390" s="1150">
        <f t="shared" si="1093"/>
        <v>0</v>
      </c>
      <c r="BG390" s="1151">
        <v>290</v>
      </c>
      <c r="BH390" s="1151">
        <f t="shared" si="1094"/>
        <v>0</v>
      </c>
      <c r="BI390" s="1151">
        <v>0</v>
      </c>
      <c r="BJ390" s="1151">
        <f t="shared" si="1095"/>
        <v>0</v>
      </c>
      <c r="BK390" s="1151">
        <v>0</v>
      </c>
      <c r="BL390" s="1150">
        <f t="shared" si="1140"/>
        <v>11.69</v>
      </c>
      <c r="BM390" s="1150">
        <f t="shared" si="1141"/>
        <v>1.46</v>
      </c>
      <c r="BN390" s="1150">
        <f t="shared" si="1096"/>
        <v>3.17</v>
      </c>
      <c r="BO390" s="1150">
        <v>0</v>
      </c>
      <c r="BP390" s="1150">
        <v>0</v>
      </c>
      <c r="BQ390" s="1396">
        <f t="shared" si="1133"/>
        <v>16.32</v>
      </c>
      <c r="BR390" s="1150">
        <f t="shared" si="1142"/>
        <v>26.31</v>
      </c>
      <c r="BS390" s="1150">
        <f t="shared" si="1143"/>
        <v>5.85</v>
      </c>
      <c r="BT390" s="1150">
        <f t="shared" si="1097"/>
        <v>6.34</v>
      </c>
      <c r="BU390" s="1150">
        <v>0</v>
      </c>
      <c r="BV390" s="1151">
        <f t="shared" si="1134"/>
        <v>38.5</v>
      </c>
      <c r="BW390" s="1155">
        <f t="shared" si="1135"/>
        <v>54.82</v>
      </c>
      <c r="BX390" s="1155">
        <f t="shared" si="1067"/>
        <v>593.85</v>
      </c>
      <c r="BY390" s="1151">
        <v>0</v>
      </c>
      <c r="BZ390" s="1151">
        <f t="shared" si="1098"/>
        <v>593.85</v>
      </c>
      <c r="CA390" s="1397">
        <f>'CONCEPTOS Y PARAMETROS'!$A$102</f>
        <v>2120</v>
      </c>
      <c r="CB390" s="1155">
        <f t="shared" si="1099"/>
        <v>154.54000000000002</v>
      </c>
      <c r="CC390" s="1156">
        <f t="shared" si="1100"/>
        <v>435.86</v>
      </c>
      <c r="CD390" s="514"/>
      <c r="CE390" s="514"/>
      <c r="CF390" s="520"/>
      <c r="CG390" s="497">
        <f t="shared" si="1101"/>
        <v>154.54000000000002</v>
      </c>
      <c r="CH390" s="1711">
        <f t="shared" si="1102"/>
        <v>290</v>
      </c>
      <c r="CI390" s="497">
        <f t="shared" si="1103"/>
        <v>435.86</v>
      </c>
      <c r="CJ390" s="497">
        <f t="shared" si="1104"/>
        <v>435.86</v>
      </c>
      <c r="CK390" s="497">
        <f t="shared" si="1105"/>
        <v>0</v>
      </c>
      <c r="CL390" s="497">
        <f t="shared" si="1106"/>
        <v>0</v>
      </c>
      <c r="CM390" s="497">
        <f t="shared" si="1107"/>
        <v>0</v>
      </c>
      <c r="CN390" s="498">
        <f t="shared" si="1108"/>
        <v>0</v>
      </c>
      <c r="CO390" s="499">
        <v>0</v>
      </c>
      <c r="CP390" s="498">
        <f t="shared" si="1109"/>
        <v>0</v>
      </c>
      <c r="CQ390" s="500">
        <f t="shared" si="1110"/>
        <v>0</v>
      </c>
      <c r="CR390" s="498">
        <f t="shared" si="1111"/>
        <v>0</v>
      </c>
      <c r="CS390" s="498">
        <f t="shared" si="1112"/>
        <v>0</v>
      </c>
      <c r="CT390" s="498">
        <f t="shared" si="1113"/>
        <v>54.82</v>
      </c>
      <c r="CU390" s="498">
        <f t="shared" si="1114"/>
        <v>2120</v>
      </c>
      <c r="CV390" s="1554"/>
      <c r="CW390" s="1343" t="s">
        <v>6958</v>
      </c>
      <c r="CX390" s="1343" t="s">
        <v>7258</v>
      </c>
      <c r="CY390" s="472"/>
      <c r="CZ390" s="514" t="s">
        <v>6548</v>
      </c>
      <c r="DA390" s="514" t="s">
        <v>6196</v>
      </c>
      <c r="DB390" s="514" t="s">
        <v>6260</v>
      </c>
      <c r="DC390" s="514" t="s">
        <v>6656</v>
      </c>
      <c r="DD390" s="472"/>
      <c r="DE390" s="472"/>
      <c r="DF390" s="472"/>
      <c r="DG390" s="472"/>
      <c r="DH390" s="472"/>
      <c r="DI390" s="473"/>
      <c r="DJ390" s="473" t="str">
        <f>VLOOKUP(X390,Hoja1!$A$4:$B$10,2,0)</f>
        <v>BACHILLER</v>
      </c>
      <c r="DK390" s="473" t="str">
        <f>VLOOKUP(S390,Hoja1!$D$4:$F$77,3,0)</f>
        <v>GRADO (1) - MIN</v>
      </c>
      <c r="DL390" s="1216" t="str">
        <f t="shared" si="1115"/>
        <v>0</v>
      </c>
      <c r="DM390" s="1741" t="str">
        <f t="shared" si="1116"/>
        <v>F</v>
      </c>
      <c r="DN390" s="1741"/>
    </row>
    <row r="391" spans="1:118" s="473" customFormat="1" ht="21.95" customHeight="1">
      <c r="A391" s="510" t="s">
        <v>2834</v>
      </c>
      <c r="B391" s="1390">
        <f t="shared" ca="1" si="1136"/>
        <v>80</v>
      </c>
      <c r="C391" s="1028">
        <v>20040649</v>
      </c>
      <c r="D391" s="1343" t="s">
        <v>5036</v>
      </c>
      <c r="E391" s="1180" t="s">
        <v>4622</v>
      </c>
      <c r="F391" s="1161">
        <v>32897</v>
      </c>
      <c r="G391" s="1180" t="s">
        <v>4621</v>
      </c>
      <c r="H391" s="1161">
        <v>44743</v>
      </c>
      <c r="I391" s="1185">
        <f t="shared" si="1090"/>
        <v>2</v>
      </c>
      <c r="J391" s="1177">
        <v>0</v>
      </c>
      <c r="K391" s="1185">
        <f t="shared" si="1091"/>
        <v>2</v>
      </c>
      <c r="L391" s="1191" t="s">
        <v>5559</v>
      </c>
      <c r="M391" s="1177"/>
      <c r="N391" s="1177"/>
      <c r="O391" s="1040" t="s">
        <v>5095</v>
      </c>
      <c r="P391" s="1177" t="s">
        <v>5175</v>
      </c>
      <c r="Q391" s="1391">
        <v>7174</v>
      </c>
      <c r="R391" s="1514" t="s">
        <v>5095</v>
      </c>
      <c r="S391" s="1513">
        <v>4</v>
      </c>
      <c r="T391" s="1150">
        <f>IFERROR(VLOOKUP(S391,'TAB OBR'!A:B,2,0),0)</f>
        <v>161</v>
      </c>
      <c r="U391" s="1151">
        <v>0</v>
      </c>
      <c r="V391" s="1150">
        <f t="shared" si="1117"/>
        <v>161</v>
      </c>
      <c r="W391" s="1151">
        <f t="shared" si="1118"/>
        <v>80.5</v>
      </c>
      <c r="X391" s="1180" t="s">
        <v>2884</v>
      </c>
      <c r="Y391" s="1180" t="s">
        <v>2884</v>
      </c>
      <c r="Z391" s="1180">
        <v>2</v>
      </c>
      <c r="AA391" s="1150">
        <f>ROUND(IF(H391&lt;&gt;"",VLOOKUP(SUM(I391+J391),'CONCEPTOS Y PARAMETROS'!F:G,2,0)*V391,0),2)</f>
        <v>3.22</v>
      </c>
      <c r="AB391" s="1150">
        <f>IF(S391&lt;&gt;"",IF(M391="",'CONCEPTOS Y PARAMETROS'!$C$4,0),0)</f>
        <v>130</v>
      </c>
      <c r="AC391" s="1150">
        <f>IF(S391&lt;&gt;"",IF(M391="",'CONCEPTOS Y PARAMETROS'!$C$7*Z391,0),0)</f>
        <v>25</v>
      </c>
      <c r="AD391" s="1150">
        <f>IFERROR(ROUND(VLOOKUP($X391,'CONCEPTOS Y PARAMETROS'!H:I,2,0)*($V391+AA391+AB391+AC391),2),0)</f>
        <v>0</v>
      </c>
      <c r="AE391" s="1150">
        <f t="shared" si="1119"/>
        <v>158.22</v>
      </c>
      <c r="AF391" s="1150">
        <f t="shared" si="1120"/>
        <v>1.61</v>
      </c>
      <c r="AG391" s="1150">
        <f t="shared" si="1121"/>
        <v>1.61</v>
      </c>
      <c r="AH391" s="1150">
        <f t="shared" si="1122"/>
        <v>65</v>
      </c>
      <c r="AI391" s="1150">
        <f t="shared" si="1123"/>
        <v>65</v>
      </c>
      <c r="AJ391" s="1150">
        <f t="shared" si="1124"/>
        <v>0</v>
      </c>
      <c r="AK391" s="1150">
        <f t="shared" si="1125"/>
        <v>0</v>
      </c>
      <c r="AL391" s="1151">
        <f t="shared" si="1126"/>
        <v>91.61</v>
      </c>
      <c r="AM391" s="1151">
        <f t="shared" si="1127"/>
        <v>66.61</v>
      </c>
      <c r="AN391" s="1028">
        <v>0</v>
      </c>
      <c r="AO391" s="1193">
        <f>'CONCEPTOS Y PARAMETROS'!$C$18*AN391</f>
        <v>0</v>
      </c>
      <c r="AP391" s="1028">
        <v>0</v>
      </c>
      <c r="AQ391" s="1193">
        <f>'CONCEPTOS Y PARAMETROS'!$C$21*AP391</f>
        <v>0</v>
      </c>
      <c r="AR391" s="1394">
        <v>0</v>
      </c>
      <c r="AS391" s="1394">
        <v>0</v>
      </c>
      <c r="AT391" s="1394">
        <f t="shared" si="1092"/>
        <v>0</v>
      </c>
      <c r="AU391" s="1151">
        <f t="shared" si="1128"/>
        <v>414.99</v>
      </c>
      <c r="AV391" s="1178" t="s">
        <v>5080</v>
      </c>
      <c r="AW391" s="1151">
        <f t="shared" si="1129"/>
        <v>95.77</v>
      </c>
      <c r="AX391" s="1150">
        <f>IF(T391&lt;&gt;"0",(ROUND(IF(A391="EMPLEADO",eval_formula('CONCEPTOS Y PARAMETROS'!$C$8,NOMINA!V391,NOMINA!$AU391,NOMINA!I391+NOMINA!J391),eval_formula('CONCEPTOS Y PARAMETROS'!$D$8,NOMINA!V391,NOMINA!$AU391,NOMINA!I391+NOMINA!J391)),2))*IF(H391&lt;&gt;"",IF(MONTH(H391)=$BR$8,IF(YEAR(H391)&lt;$BT$7,1,0),0)))</f>
        <v>0</v>
      </c>
      <c r="AY391" s="1151">
        <v>180</v>
      </c>
      <c r="AZ391" s="1150">
        <f>IFERROR(VLOOKUP(AY391,'CONCEPTOS Y PARAMETROS'!Y:Z,2,0),0)</f>
        <v>150</v>
      </c>
      <c r="BA391" s="1150">
        <f t="shared" si="1130"/>
        <v>3112.43</v>
      </c>
      <c r="BB391" s="1150">
        <f t="shared" si="1131"/>
        <v>0</v>
      </c>
      <c r="BC391" s="1028">
        <v>0</v>
      </c>
      <c r="BD391" s="1150" t="str">
        <f t="shared" si="1132"/>
        <v>0</v>
      </c>
      <c r="BE391" s="1028">
        <v>2</v>
      </c>
      <c r="BF391" s="1150">
        <f t="shared" si="1093"/>
        <v>41.5</v>
      </c>
      <c r="BG391" s="1151">
        <v>290</v>
      </c>
      <c r="BH391" s="1151">
        <f t="shared" si="1094"/>
        <v>0</v>
      </c>
      <c r="BI391" s="1151">
        <v>0</v>
      </c>
      <c r="BJ391" s="1151">
        <f t="shared" si="1095"/>
        <v>0</v>
      </c>
      <c r="BK391" s="1151">
        <v>0</v>
      </c>
      <c r="BL391" s="1150">
        <f t="shared" si="1140"/>
        <v>15.32</v>
      </c>
      <c r="BM391" s="1150">
        <f t="shared" si="1141"/>
        <v>1.92</v>
      </c>
      <c r="BN391" s="1150">
        <f t="shared" si="1096"/>
        <v>4.1500000000000004</v>
      </c>
      <c r="BO391" s="1150">
        <v>0</v>
      </c>
      <c r="BP391" s="1150">
        <v>0</v>
      </c>
      <c r="BQ391" s="1396">
        <f t="shared" si="1133"/>
        <v>21.39</v>
      </c>
      <c r="BR391" s="1150">
        <f t="shared" si="1142"/>
        <v>34.479999999999997</v>
      </c>
      <c r="BS391" s="1150">
        <f t="shared" si="1143"/>
        <v>7.66</v>
      </c>
      <c r="BT391" s="1150">
        <f t="shared" si="1097"/>
        <v>8.3000000000000007</v>
      </c>
      <c r="BU391" s="1150">
        <v>0</v>
      </c>
      <c r="BV391" s="1151">
        <f t="shared" si="1134"/>
        <v>50.44</v>
      </c>
      <c r="BW391" s="1155">
        <f t="shared" si="1135"/>
        <v>71.83</v>
      </c>
      <c r="BX391" s="1155">
        <f t="shared" si="1067"/>
        <v>778.11</v>
      </c>
      <c r="BY391" s="1151">
        <v>0</v>
      </c>
      <c r="BZ391" s="1151">
        <f t="shared" si="1098"/>
        <v>778.11</v>
      </c>
      <c r="CA391" s="1397">
        <f>'CONCEPTOS Y PARAMETROS'!$A$102</f>
        <v>2120</v>
      </c>
      <c r="CB391" s="1155">
        <f t="shared" si="1099"/>
        <v>150.72000000000003</v>
      </c>
      <c r="CC391" s="1156">
        <f t="shared" si="1100"/>
        <v>574.38</v>
      </c>
      <c r="CD391" s="514"/>
      <c r="CE391" s="514"/>
      <c r="CF391" s="520"/>
      <c r="CG391" s="497">
        <f t="shared" si="1101"/>
        <v>150.72000000000003</v>
      </c>
      <c r="CH391" s="1711">
        <f t="shared" si="1102"/>
        <v>290</v>
      </c>
      <c r="CI391" s="497">
        <f t="shared" si="1103"/>
        <v>437.11</v>
      </c>
      <c r="CJ391" s="497">
        <f t="shared" si="1104"/>
        <v>437.11</v>
      </c>
      <c r="CK391" s="497">
        <f t="shared" si="1105"/>
        <v>0</v>
      </c>
      <c r="CL391" s="497">
        <f t="shared" si="1106"/>
        <v>0</v>
      </c>
      <c r="CM391" s="497">
        <f t="shared" si="1107"/>
        <v>0</v>
      </c>
      <c r="CN391" s="498">
        <f t="shared" si="1108"/>
        <v>41.5</v>
      </c>
      <c r="CO391" s="499">
        <v>0</v>
      </c>
      <c r="CP391" s="498">
        <f t="shared" si="1109"/>
        <v>95.77</v>
      </c>
      <c r="CQ391" s="500">
        <f t="shared" si="1110"/>
        <v>0</v>
      </c>
      <c r="CR391" s="498">
        <f t="shared" si="1111"/>
        <v>0</v>
      </c>
      <c r="CS391" s="498">
        <f t="shared" si="1112"/>
        <v>137.26999999999998</v>
      </c>
      <c r="CT391" s="498">
        <f t="shared" si="1113"/>
        <v>71.83</v>
      </c>
      <c r="CU391" s="498">
        <f t="shared" si="1114"/>
        <v>2120</v>
      </c>
      <c r="CV391" s="1554"/>
      <c r="CW391" s="1343" t="s">
        <v>7350</v>
      </c>
      <c r="CX391" s="1343" t="s">
        <v>6944</v>
      </c>
      <c r="CY391" s="472"/>
      <c r="CZ391" s="514" t="s">
        <v>6549</v>
      </c>
      <c r="DA391" s="514" t="s">
        <v>6171</v>
      </c>
      <c r="DB391" s="514" t="s">
        <v>6171</v>
      </c>
      <c r="DC391" s="514" t="s">
        <v>6581</v>
      </c>
      <c r="DD391" s="472"/>
      <c r="DE391" s="472"/>
      <c r="DF391" s="472"/>
      <c r="DG391" s="472"/>
      <c r="DH391" s="472"/>
      <c r="DJ391" s="473" t="str">
        <f>VLOOKUP(X391,Hoja1!$A$4:$B$10,2,0)</f>
        <v>BACHILLER</v>
      </c>
      <c r="DK391" s="473" t="str">
        <f>VLOOKUP(S391,Hoja1!$D$4:$F$77,3,0)</f>
        <v>GRADO (4) - MÁX</v>
      </c>
      <c r="DL391" s="1216" t="str">
        <f t="shared" si="1115"/>
        <v>SI</v>
      </c>
      <c r="DM391" s="1741" t="str">
        <f t="shared" si="1116"/>
        <v>M</v>
      </c>
      <c r="DN391" s="1741"/>
    </row>
    <row r="392" spans="1:118" s="473" customFormat="1" ht="21.95" customHeight="1">
      <c r="A392" s="510" t="s">
        <v>2834</v>
      </c>
      <c r="B392" s="1390">
        <f t="shared" ca="1" si="1136"/>
        <v>81</v>
      </c>
      <c r="C392" s="1028">
        <v>21366579</v>
      </c>
      <c r="D392" s="1343" t="s">
        <v>5037</v>
      </c>
      <c r="E392" s="1180" t="s">
        <v>4622</v>
      </c>
      <c r="F392" s="1161">
        <v>33948</v>
      </c>
      <c r="G392" s="1180" t="s">
        <v>4621</v>
      </c>
      <c r="H392" s="1161">
        <v>44774</v>
      </c>
      <c r="I392" s="1185">
        <f t="shared" si="1090"/>
        <v>2</v>
      </c>
      <c r="J392" s="1177">
        <v>0</v>
      </c>
      <c r="K392" s="1185">
        <f t="shared" si="1091"/>
        <v>2</v>
      </c>
      <c r="L392" s="1191" t="s">
        <v>5559</v>
      </c>
      <c r="M392" s="1177"/>
      <c r="N392" s="1177"/>
      <c r="O392" s="1040" t="s">
        <v>5087</v>
      </c>
      <c r="P392" s="1177" t="s">
        <v>5176</v>
      </c>
      <c r="Q392" s="1391">
        <v>7129</v>
      </c>
      <c r="R392" s="1514" t="s">
        <v>5087</v>
      </c>
      <c r="S392" s="1513">
        <v>2</v>
      </c>
      <c r="T392" s="1150">
        <f>IFERROR(VLOOKUP(S392,'TAB OBR'!A:B,2,0),0)</f>
        <v>142</v>
      </c>
      <c r="U392" s="1151">
        <v>0</v>
      </c>
      <c r="V392" s="1150">
        <f t="shared" si="1117"/>
        <v>142</v>
      </c>
      <c r="W392" s="1151">
        <f t="shared" si="1118"/>
        <v>71</v>
      </c>
      <c r="X392" s="1180" t="s">
        <v>2884</v>
      </c>
      <c r="Y392" s="1180" t="s">
        <v>2884</v>
      </c>
      <c r="Z392" s="1180">
        <v>1</v>
      </c>
      <c r="AA392" s="1150">
        <f>ROUND(IF(H392&lt;&gt;"",VLOOKUP(SUM(I392+J392),'CONCEPTOS Y PARAMETROS'!F:G,2,0)*V392,0),2)</f>
        <v>2.84</v>
      </c>
      <c r="AB392" s="1150">
        <f>IF(S392&lt;&gt;"",IF(M392="",'CONCEPTOS Y PARAMETROS'!$C$4,0),0)</f>
        <v>130</v>
      </c>
      <c r="AC392" s="1150">
        <f>IF(S392&lt;&gt;"",IF(M392="",'CONCEPTOS Y PARAMETROS'!$C$7*Z392,0),0)</f>
        <v>12.5</v>
      </c>
      <c r="AD392" s="1150">
        <f>IFERROR(ROUND(VLOOKUP($X392,'CONCEPTOS Y PARAMETROS'!H:I,2,0)*($V392+AA392+AB392+AC392),2),0)</f>
        <v>0</v>
      </c>
      <c r="AE392" s="1150">
        <f t="shared" si="1119"/>
        <v>145.34</v>
      </c>
      <c r="AF392" s="1150">
        <f t="shared" si="1120"/>
        <v>1.42</v>
      </c>
      <c r="AG392" s="1150">
        <f t="shared" si="1121"/>
        <v>1.42</v>
      </c>
      <c r="AH392" s="1150">
        <f t="shared" si="1122"/>
        <v>65</v>
      </c>
      <c r="AI392" s="1150">
        <f t="shared" si="1123"/>
        <v>65</v>
      </c>
      <c r="AJ392" s="1150">
        <f t="shared" si="1124"/>
        <v>0</v>
      </c>
      <c r="AK392" s="1150">
        <f t="shared" si="1125"/>
        <v>0</v>
      </c>
      <c r="AL392" s="1151">
        <f t="shared" si="1126"/>
        <v>78.92</v>
      </c>
      <c r="AM392" s="1151">
        <f t="shared" si="1127"/>
        <v>66.42</v>
      </c>
      <c r="AN392" s="1583">
        <v>1</v>
      </c>
      <c r="AO392" s="1193">
        <f>'CONCEPTOS Y PARAMETROS'!$C$18*AN392</f>
        <v>12.5</v>
      </c>
      <c r="AP392" s="1028">
        <v>0</v>
      </c>
      <c r="AQ392" s="1193">
        <f>'CONCEPTOS Y PARAMETROS'!$C$21*AP392</f>
        <v>0</v>
      </c>
      <c r="AR392" s="1394">
        <v>0</v>
      </c>
      <c r="AS392" s="1394">
        <v>0</v>
      </c>
      <c r="AT392" s="1394">
        <f t="shared" si="1092"/>
        <v>12.5</v>
      </c>
      <c r="AU392" s="1151">
        <f t="shared" si="1128"/>
        <v>287.34000000000003</v>
      </c>
      <c r="AV392" s="1178">
        <v>0</v>
      </c>
      <c r="AW392" s="1151">
        <f t="shared" si="1129"/>
        <v>0</v>
      </c>
      <c r="AX392" s="1150">
        <f>IF(T392&lt;&gt;"0",(ROUND(IF(A392="EMPLEADO",eval_formula('CONCEPTOS Y PARAMETROS'!$C$8,NOMINA!V392,NOMINA!$AU392,NOMINA!I392+NOMINA!J392),eval_formula('CONCEPTOS Y PARAMETROS'!$D$8,NOMINA!V392,NOMINA!$AU392,NOMINA!I392+NOMINA!J392)),2))*IF(H392&lt;&gt;"",IF(MONTH(H392)=$BR$8,IF(YEAR(H392)&lt;$BT$7,1,0),0)))</f>
        <v>0</v>
      </c>
      <c r="AY392" s="1151">
        <v>180</v>
      </c>
      <c r="AZ392" s="1150">
        <f>IFERROR(VLOOKUP(AY392,'CONCEPTOS Y PARAMETROS'!Y:Z,2,0),0)</f>
        <v>150</v>
      </c>
      <c r="BA392" s="1150">
        <f t="shared" si="1130"/>
        <v>2155.0500000000002</v>
      </c>
      <c r="BB392" s="1150">
        <f t="shared" si="1131"/>
        <v>0</v>
      </c>
      <c r="BC392" s="1028">
        <v>0</v>
      </c>
      <c r="BD392" s="1150" t="str">
        <f t="shared" si="1132"/>
        <v>0</v>
      </c>
      <c r="BE392" s="1028">
        <v>0</v>
      </c>
      <c r="BF392" s="1150">
        <f t="shared" si="1093"/>
        <v>0</v>
      </c>
      <c r="BG392" s="1151">
        <v>290</v>
      </c>
      <c r="BH392" s="1151">
        <f t="shared" si="1094"/>
        <v>0</v>
      </c>
      <c r="BI392" s="1151">
        <v>0</v>
      </c>
      <c r="BJ392" s="1151">
        <f t="shared" si="1095"/>
        <v>0</v>
      </c>
      <c r="BK392" s="1151">
        <v>0</v>
      </c>
      <c r="BL392" s="1150">
        <f t="shared" si="1140"/>
        <v>10.61</v>
      </c>
      <c r="BM392" s="1150">
        <f t="shared" si="1141"/>
        <v>1.33</v>
      </c>
      <c r="BN392" s="1150">
        <f t="shared" si="1096"/>
        <v>2.87</v>
      </c>
      <c r="BO392" s="1150">
        <v>0</v>
      </c>
      <c r="BP392" s="1150">
        <v>0</v>
      </c>
      <c r="BQ392" s="1396">
        <f t="shared" si="1133"/>
        <v>14.81</v>
      </c>
      <c r="BR392" s="1150">
        <f t="shared" si="1142"/>
        <v>23.87</v>
      </c>
      <c r="BS392" s="1150">
        <f t="shared" si="1143"/>
        <v>5.3</v>
      </c>
      <c r="BT392" s="1150">
        <f t="shared" si="1097"/>
        <v>5.74</v>
      </c>
      <c r="BU392" s="1150">
        <v>0</v>
      </c>
      <c r="BV392" s="1151">
        <f t="shared" si="1134"/>
        <v>34.909999999999997</v>
      </c>
      <c r="BW392" s="1155">
        <f t="shared" si="1135"/>
        <v>49.72</v>
      </c>
      <c r="BX392" s="1155">
        <f t="shared" si="1067"/>
        <v>538.76</v>
      </c>
      <c r="BY392" s="1151">
        <v>0</v>
      </c>
      <c r="BZ392" s="1151">
        <f t="shared" si="1098"/>
        <v>538.76</v>
      </c>
      <c r="CA392" s="1397">
        <f>'CONCEPTOS Y PARAMETROS'!$A$102</f>
        <v>2120</v>
      </c>
      <c r="CB392" s="1155">
        <f t="shared" si="1099"/>
        <v>135.11000000000001</v>
      </c>
      <c r="CC392" s="1156">
        <f t="shared" si="1100"/>
        <v>439.92</v>
      </c>
      <c r="CD392" s="514"/>
      <c r="CE392" s="514"/>
      <c r="CF392" s="520"/>
      <c r="CG392" s="497">
        <f t="shared" si="1101"/>
        <v>135.11000000000001</v>
      </c>
      <c r="CH392" s="1711">
        <f t="shared" si="1102"/>
        <v>290</v>
      </c>
      <c r="CI392" s="497">
        <f t="shared" si="1103"/>
        <v>427.42</v>
      </c>
      <c r="CJ392" s="497">
        <f t="shared" si="1104"/>
        <v>427.42</v>
      </c>
      <c r="CK392" s="497">
        <f t="shared" si="1105"/>
        <v>0</v>
      </c>
      <c r="CL392" s="497">
        <f t="shared" si="1106"/>
        <v>0</v>
      </c>
      <c r="CM392" s="497">
        <f t="shared" si="1107"/>
        <v>0</v>
      </c>
      <c r="CN392" s="498">
        <f t="shared" si="1108"/>
        <v>0</v>
      </c>
      <c r="CO392" s="499">
        <v>0</v>
      </c>
      <c r="CP392" s="498">
        <f t="shared" si="1109"/>
        <v>0</v>
      </c>
      <c r="CQ392" s="500">
        <f t="shared" si="1110"/>
        <v>12.5</v>
      </c>
      <c r="CR392" s="498">
        <f t="shared" si="1111"/>
        <v>0</v>
      </c>
      <c r="CS392" s="498">
        <f t="shared" si="1112"/>
        <v>12.5</v>
      </c>
      <c r="CT392" s="498">
        <f t="shared" si="1113"/>
        <v>49.72</v>
      </c>
      <c r="CU392" s="498">
        <f t="shared" si="1114"/>
        <v>2120</v>
      </c>
      <c r="CV392" s="1554"/>
      <c r="CW392" s="1343" t="s">
        <v>7351</v>
      </c>
      <c r="CX392" s="1343" t="s">
        <v>7352</v>
      </c>
      <c r="CY392" s="472"/>
      <c r="CZ392" s="514" t="s">
        <v>6550</v>
      </c>
      <c r="DA392" s="514" t="s">
        <v>6173</v>
      </c>
      <c r="DB392" s="514" t="s">
        <v>6185</v>
      </c>
      <c r="DC392" s="514" t="s">
        <v>6613</v>
      </c>
      <c r="DD392" s="472"/>
      <c r="DE392" s="472"/>
      <c r="DF392" s="472"/>
      <c r="DG392" s="472"/>
      <c r="DH392" s="472"/>
      <c r="DJ392" s="473" t="str">
        <f>VLOOKUP(X392,Hoja1!$A$4:$B$10,2,0)</f>
        <v>BACHILLER</v>
      </c>
      <c r="DK392" s="473" t="str">
        <f>VLOOKUP(S392,Hoja1!$D$4:$F$77,3,0)</f>
        <v>GRADO (2) - MÁX</v>
      </c>
      <c r="DL392" s="1216" t="str">
        <f t="shared" si="1115"/>
        <v>0</v>
      </c>
      <c r="DM392" s="1741" t="str">
        <f t="shared" si="1116"/>
        <v>M</v>
      </c>
      <c r="DN392" s="1741"/>
    </row>
    <row r="393" spans="1:118" s="478" customFormat="1" ht="21.95" customHeight="1">
      <c r="A393" s="510" t="s">
        <v>2834</v>
      </c>
      <c r="B393" s="1390">
        <f t="shared" ca="1" si="1136"/>
        <v>82</v>
      </c>
      <c r="C393" s="1028">
        <v>23594381</v>
      </c>
      <c r="D393" s="1343" t="s">
        <v>6908</v>
      </c>
      <c r="E393" s="1180" t="s">
        <v>4622</v>
      </c>
      <c r="F393" s="1161">
        <v>34507</v>
      </c>
      <c r="G393" s="1180" t="s">
        <v>4621</v>
      </c>
      <c r="H393" s="1161">
        <v>45597</v>
      </c>
      <c r="I393" s="1185">
        <f t="shared" si="1090"/>
        <v>0</v>
      </c>
      <c r="J393" s="1177">
        <v>0</v>
      </c>
      <c r="K393" s="1185">
        <f t="shared" si="1091"/>
        <v>0</v>
      </c>
      <c r="L393" s="1191" t="s">
        <v>5559</v>
      </c>
      <c r="M393" s="1177"/>
      <c r="N393" s="1177"/>
      <c r="O393" s="1040" t="s">
        <v>5084</v>
      </c>
      <c r="P393" s="1197" t="s">
        <v>6909</v>
      </c>
      <c r="Q393" s="1391">
        <v>7129</v>
      </c>
      <c r="R393" s="1514" t="s">
        <v>5084</v>
      </c>
      <c r="S393" s="1513">
        <v>2</v>
      </c>
      <c r="T393" s="1150">
        <f>IFERROR(VLOOKUP(S393,'TAB OBR'!A:B,2,0),0)</f>
        <v>142</v>
      </c>
      <c r="U393" s="1151">
        <v>0</v>
      </c>
      <c r="V393" s="1150">
        <f t="shared" ref="V393" si="1175">T393-U393</f>
        <v>142</v>
      </c>
      <c r="W393" s="1151">
        <f t="shared" ref="W393" si="1176">ROUND(V393/2,2)</f>
        <v>71</v>
      </c>
      <c r="X393" s="1180" t="s">
        <v>2884</v>
      </c>
      <c r="Y393" s="1180" t="s">
        <v>2884</v>
      </c>
      <c r="Z393" s="1180">
        <v>1</v>
      </c>
      <c r="AA393" s="1150">
        <f>ROUND(IF(H393&lt;&gt;"",VLOOKUP(SUM(I393+J393),'CONCEPTOS Y PARAMETROS'!F:G,2,0)*V393,0),2)</f>
        <v>0</v>
      </c>
      <c r="AB393" s="1150">
        <f>IF(S393&lt;&gt;"",IF(M393="",'CONCEPTOS Y PARAMETROS'!$C$4,0),0)</f>
        <v>130</v>
      </c>
      <c r="AC393" s="1150">
        <f>IF(S393&lt;&gt;"",IF(M393="",'CONCEPTOS Y PARAMETROS'!$C$7*Z393,0),0)</f>
        <v>12.5</v>
      </c>
      <c r="AD393" s="1150">
        <f>IFERROR(ROUND(VLOOKUP($X393,'CONCEPTOS Y PARAMETROS'!H:I,2,0)*($V393+AA393+AB393+AC393),2),0)</f>
        <v>0</v>
      </c>
      <c r="AE393" s="1150">
        <f t="shared" ref="AE393" si="1177">SUM(AA393:AD393)</f>
        <v>142.5</v>
      </c>
      <c r="AF393" s="1150">
        <f t="shared" ref="AF393" si="1178">ROUND(AA393/2,2)</f>
        <v>0</v>
      </c>
      <c r="AG393" s="1150">
        <f t="shared" ref="AG393" si="1179">ROUND(AA393-AF393,2)</f>
        <v>0</v>
      </c>
      <c r="AH393" s="1150">
        <f t="shared" ref="AH393" si="1180">ROUND(AB393/2,2)</f>
        <v>65</v>
      </c>
      <c r="AI393" s="1150">
        <f t="shared" ref="AI393" si="1181">ROUND(AB393-AH393,2)</f>
        <v>65</v>
      </c>
      <c r="AJ393" s="1150">
        <f t="shared" ref="AJ393" si="1182">ROUND(AD393/2,2)</f>
        <v>0</v>
      </c>
      <c r="AK393" s="1150">
        <f t="shared" ref="AK393" si="1183">ROUND(AD393-AJ393,2)</f>
        <v>0</v>
      </c>
      <c r="AL393" s="1151">
        <f t="shared" ref="AL393" si="1184">ROUND(AF393+AH393+AJ393+AC393,2)</f>
        <v>77.5</v>
      </c>
      <c r="AM393" s="1151">
        <f t="shared" ref="AM393" si="1185">ROUND(AG393+AI393+AK393,2)</f>
        <v>65</v>
      </c>
      <c r="AN393" s="1028">
        <v>0</v>
      </c>
      <c r="AO393" s="1193">
        <f>'CONCEPTOS Y PARAMETROS'!$C$18*AN393</f>
        <v>0</v>
      </c>
      <c r="AP393" s="1028">
        <v>0</v>
      </c>
      <c r="AQ393" s="1193">
        <f>'CONCEPTOS Y PARAMETROS'!$C$21*AP393</f>
        <v>0</v>
      </c>
      <c r="AR393" s="1394">
        <v>0</v>
      </c>
      <c r="AS393" s="1394">
        <v>0</v>
      </c>
      <c r="AT393" s="1394">
        <f t="shared" ref="AT393" si="1186">+AO393+AQ393+AR393+AS393</f>
        <v>0</v>
      </c>
      <c r="AU393" s="1151">
        <f t="shared" ref="AU393" si="1187">V393+AE393+AW393</f>
        <v>284.5</v>
      </c>
      <c r="AV393" s="1178">
        <v>0</v>
      </c>
      <c r="AW393" s="1151">
        <f t="shared" ref="AW393" si="1188">ROUND(IF(AV393="NOCTURN",(V393+AE393)*30%,0),2)</f>
        <v>0</v>
      </c>
      <c r="AX393" s="1150">
        <f>IF(T393&lt;&gt;"0",(ROUND(IF(A393="EMPLEADO",eval_formula('CONCEPTOS Y PARAMETROS'!$C$8,NOMINA!V393,NOMINA!$AU393,NOMINA!I393+NOMINA!J393),eval_formula('CONCEPTOS Y PARAMETROS'!$D$8,NOMINA!V393,NOMINA!$AU393,NOMINA!I393+NOMINA!J393)),2))*IF(H393&lt;&gt;"",IF(MONTH(H393)=$BR$8,IF(YEAR(H393)&lt;$BT$7,1,0),0)))</f>
        <v>0</v>
      </c>
      <c r="AY393" s="1151">
        <v>30</v>
      </c>
      <c r="AZ393" s="1150">
        <f>IFERROR(VLOOKUP(AY393,'CONCEPTOS Y PARAMETROS'!Y:Z,2,0),0)</f>
        <v>25</v>
      </c>
      <c r="BA393" s="1150">
        <f t="shared" ref="BA393" si="1189">ROUND((((AU393))/30*AY393/12+(AU393))/30*AZ393,2)</f>
        <v>256.83999999999997</v>
      </c>
      <c r="BB393" s="1150">
        <f t="shared" ref="BB393" si="1190">ROUND(AU393/30*$BB$10,2)</f>
        <v>0</v>
      </c>
      <c r="BC393" s="1028">
        <v>0</v>
      </c>
      <c r="BD393" s="1150" t="str">
        <f t="shared" ref="BD393" si="1191">IF(BC393&gt;0,((((((V393+AA393+AB393+AC393+AD393)/30)/8)*50%)+((((V393+AA393+AB393+AC393+AD393)/30)/8)))*30%+(((((V393+AA393+AB393+AC393+AD393)/30)/8)*50%)+((((V393+AA393+AB393+AC393+AD393)/30)/8))))*BC393,"0")</f>
        <v>0</v>
      </c>
      <c r="BE393" s="1028">
        <v>1</v>
      </c>
      <c r="BF393" s="1150">
        <f t="shared" si="1093"/>
        <v>14.23</v>
      </c>
      <c r="BG393" s="1151">
        <v>290</v>
      </c>
      <c r="BH393" s="1151">
        <f t="shared" si="1094"/>
        <v>0</v>
      </c>
      <c r="BI393" s="1151">
        <v>0</v>
      </c>
      <c r="BJ393" s="1151">
        <f t="shared" si="1095"/>
        <v>0</v>
      </c>
      <c r="BK393" s="1151">
        <v>0</v>
      </c>
      <c r="BL393" s="1150">
        <f t="shared" si="1140"/>
        <v>10.5</v>
      </c>
      <c r="BM393" s="1150">
        <f t="shared" si="1141"/>
        <v>1.31</v>
      </c>
      <c r="BN393" s="1150">
        <f t="shared" si="1096"/>
        <v>2.85</v>
      </c>
      <c r="BO393" s="1150">
        <v>0</v>
      </c>
      <c r="BP393" s="1150">
        <v>0</v>
      </c>
      <c r="BQ393" s="1396">
        <f t="shared" ref="BQ393" si="1192">ROUND(SUM(BL393:BP393),2)</f>
        <v>14.66</v>
      </c>
      <c r="BR393" s="1150">
        <f t="shared" si="1142"/>
        <v>23.64</v>
      </c>
      <c r="BS393" s="1150">
        <f t="shared" si="1143"/>
        <v>5.25</v>
      </c>
      <c r="BT393" s="1150">
        <f t="shared" si="1097"/>
        <v>5.7</v>
      </c>
      <c r="BU393" s="1150">
        <v>0</v>
      </c>
      <c r="BV393" s="1151">
        <f t="shared" ref="BV393" si="1193">ROUND(SUM(BR393:BT393),2)</f>
        <v>34.590000000000003</v>
      </c>
      <c r="BW393" s="1155">
        <f t="shared" ref="BW393" si="1194">BQ393+BV393</f>
        <v>49.25</v>
      </c>
      <c r="BX393" s="1155">
        <f>ROUND(BA393/3,2)</f>
        <v>85.61</v>
      </c>
      <c r="BY393" s="1151">
        <v>0</v>
      </c>
      <c r="BZ393" s="1151">
        <f t="shared" si="1098"/>
        <v>85.61</v>
      </c>
      <c r="CA393" s="1397">
        <f>'CONCEPTOS Y PARAMETROS'!$A$102</f>
        <v>2120</v>
      </c>
      <c r="CB393" s="1155">
        <f t="shared" si="1099"/>
        <v>133.84</v>
      </c>
      <c r="CC393" s="1156">
        <f t="shared" si="1100"/>
        <v>440.23</v>
      </c>
      <c r="CD393" s="1582"/>
      <c r="CE393" s="514"/>
      <c r="CF393" s="521"/>
      <c r="CG393" s="511">
        <f t="shared" si="1101"/>
        <v>133.84</v>
      </c>
      <c r="CH393" s="1712">
        <f t="shared" si="1102"/>
        <v>290</v>
      </c>
      <c r="CI393" s="511">
        <f t="shared" si="1103"/>
        <v>426</v>
      </c>
      <c r="CJ393" s="511">
        <f t="shared" si="1104"/>
        <v>426</v>
      </c>
      <c r="CK393" s="511">
        <f t="shared" si="1105"/>
        <v>0</v>
      </c>
      <c r="CL393" s="511">
        <f t="shared" si="1106"/>
        <v>0</v>
      </c>
      <c r="CM393" s="511">
        <f t="shared" si="1107"/>
        <v>0</v>
      </c>
      <c r="CN393" s="512">
        <f t="shared" si="1108"/>
        <v>14.23</v>
      </c>
      <c r="CO393" s="513">
        <v>0</v>
      </c>
      <c r="CP393" s="512">
        <f t="shared" si="1109"/>
        <v>0</v>
      </c>
      <c r="CQ393" s="500">
        <f t="shared" si="1110"/>
        <v>0</v>
      </c>
      <c r="CR393" s="512">
        <f t="shared" si="1111"/>
        <v>0</v>
      </c>
      <c r="CS393" s="512">
        <f t="shared" si="1112"/>
        <v>14.23</v>
      </c>
      <c r="CT393" s="512">
        <f t="shared" si="1113"/>
        <v>49.25</v>
      </c>
      <c r="CU393" s="512">
        <f t="shared" si="1114"/>
        <v>2120</v>
      </c>
      <c r="CV393" s="1556"/>
      <c r="CW393" s="1343" t="s">
        <v>7353</v>
      </c>
      <c r="CX393" s="1343" t="s">
        <v>7354</v>
      </c>
      <c r="CY393" s="514"/>
      <c r="CZ393" s="1199" t="s">
        <v>6910</v>
      </c>
      <c r="DA393" s="514" t="s">
        <v>6173</v>
      </c>
      <c r="DB393" s="514"/>
      <c r="DC393" s="514"/>
      <c r="DD393" s="514"/>
      <c r="DE393" s="514"/>
      <c r="DF393" s="514"/>
      <c r="DG393" s="514"/>
      <c r="DH393" s="514"/>
      <c r="DJ393" s="478" t="str">
        <f>VLOOKUP(X393,Hoja1!$A$4:$B$10,2,0)</f>
        <v>BACHILLER</v>
      </c>
      <c r="DK393" s="478" t="str">
        <f>VLOOKUP(S393,Hoja1!$D$4:$F$77,3,0)</f>
        <v>GRADO (2) - MÁX</v>
      </c>
      <c r="DL393" s="1581" t="str">
        <f t="shared" si="1115"/>
        <v>0</v>
      </c>
      <c r="DM393" s="1743" t="str">
        <f t="shared" si="1116"/>
        <v>M</v>
      </c>
      <c r="DN393" s="1743"/>
    </row>
    <row r="394" spans="1:118" s="473" customFormat="1" ht="21.95" customHeight="1">
      <c r="A394" s="510" t="s">
        <v>2834</v>
      </c>
      <c r="B394" s="1390">
        <f t="shared" ca="1" si="1136"/>
        <v>83</v>
      </c>
      <c r="C394" s="1028">
        <v>25173228</v>
      </c>
      <c r="D394" s="1343" t="s">
        <v>5039</v>
      </c>
      <c r="E394" s="1180" t="s">
        <v>4622</v>
      </c>
      <c r="F394" s="1161">
        <v>34247</v>
      </c>
      <c r="G394" s="1180" t="s">
        <v>4621</v>
      </c>
      <c r="H394" s="1161">
        <v>44531</v>
      </c>
      <c r="I394" s="1185">
        <f t="shared" si="1090"/>
        <v>3</v>
      </c>
      <c r="J394" s="1177">
        <v>0</v>
      </c>
      <c r="K394" s="1185">
        <f t="shared" si="1091"/>
        <v>3</v>
      </c>
      <c r="L394" s="1191" t="s">
        <v>5543</v>
      </c>
      <c r="M394" s="1177"/>
      <c r="N394" s="1177"/>
      <c r="O394" s="1040" t="s">
        <v>5084</v>
      </c>
      <c r="P394" s="1177" t="s">
        <v>5178</v>
      </c>
      <c r="Q394" s="1391">
        <v>7152</v>
      </c>
      <c r="R394" s="1514" t="s">
        <v>5084</v>
      </c>
      <c r="S394" s="1513">
        <v>3</v>
      </c>
      <c r="T394" s="1150">
        <f>IFERROR(VLOOKUP(S394,'TAB OBR'!A:B,2,0),0)</f>
        <v>152</v>
      </c>
      <c r="U394" s="1151">
        <v>0</v>
      </c>
      <c r="V394" s="1150">
        <f t="shared" si="1117"/>
        <v>152</v>
      </c>
      <c r="W394" s="1151">
        <f t="shared" si="1118"/>
        <v>76</v>
      </c>
      <c r="X394" s="1180" t="s">
        <v>2884</v>
      </c>
      <c r="Y394" s="1180" t="s">
        <v>2884</v>
      </c>
      <c r="Z394" s="1180">
        <v>2</v>
      </c>
      <c r="AA394" s="1150">
        <f>ROUND(IF(H394&lt;&gt;"",VLOOKUP(SUM(I394+J394),'CONCEPTOS Y PARAMETROS'!F:G,2,0)*V394,0),2)</f>
        <v>4.5599999999999996</v>
      </c>
      <c r="AB394" s="1150">
        <f>IF(S394&lt;&gt;"",IF(M394="",'CONCEPTOS Y PARAMETROS'!$C$4,0),0)</f>
        <v>130</v>
      </c>
      <c r="AC394" s="1150">
        <f>IF(S394&lt;&gt;"",IF(M394="",'CONCEPTOS Y PARAMETROS'!$C$7*Z394,0),0)</f>
        <v>25</v>
      </c>
      <c r="AD394" s="1150">
        <f>IFERROR(ROUND(VLOOKUP($X394,'CONCEPTOS Y PARAMETROS'!H:I,2,0)*($V394+AA394+AB394+AC394),2),0)</f>
        <v>0</v>
      </c>
      <c r="AE394" s="1150">
        <f t="shared" si="1119"/>
        <v>159.56</v>
      </c>
      <c r="AF394" s="1150">
        <f t="shared" si="1120"/>
        <v>2.2799999999999998</v>
      </c>
      <c r="AG394" s="1150">
        <f t="shared" si="1121"/>
        <v>2.2799999999999998</v>
      </c>
      <c r="AH394" s="1150">
        <f t="shared" si="1122"/>
        <v>65</v>
      </c>
      <c r="AI394" s="1150">
        <f t="shared" si="1123"/>
        <v>65</v>
      </c>
      <c r="AJ394" s="1150">
        <f t="shared" si="1124"/>
        <v>0</v>
      </c>
      <c r="AK394" s="1150">
        <f t="shared" si="1125"/>
        <v>0</v>
      </c>
      <c r="AL394" s="1151">
        <f t="shared" si="1126"/>
        <v>92.28</v>
      </c>
      <c r="AM394" s="1151">
        <f t="shared" si="1127"/>
        <v>67.28</v>
      </c>
      <c r="AN394" s="1583">
        <v>2</v>
      </c>
      <c r="AO394" s="1193">
        <f>'CONCEPTOS Y PARAMETROS'!$C$18*AN394</f>
        <v>25</v>
      </c>
      <c r="AP394" s="1028">
        <v>0</v>
      </c>
      <c r="AQ394" s="1193">
        <f>'CONCEPTOS Y PARAMETROS'!$C$21*AP394</f>
        <v>0</v>
      </c>
      <c r="AR394" s="1394">
        <v>0</v>
      </c>
      <c r="AS394" s="1394">
        <v>0</v>
      </c>
      <c r="AT394" s="1394">
        <f t="shared" si="1092"/>
        <v>25</v>
      </c>
      <c r="AU394" s="1151">
        <f t="shared" si="1128"/>
        <v>405.03</v>
      </c>
      <c r="AV394" s="1178" t="s">
        <v>5080</v>
      </c>
      <c r="AW394" s="1151">
        <f t="shared" si="1129"/>
        <v>93.47</v>
      </c>
      <c r="AX394" s="1150">
        <f>IF(T394&lt;&gt;"0",(ROUND(IF(A394="EMPLEADO",eval_formula('CONCEPTOS Y PARAMETROS'!$C$8,NOMINA!V394,NOMINA!$AU394,NOMINA!I394+NOMINA!J394),eval_formula('CONCEPTOS Y PARAMETROS'!$D$8,NOMINA!V394,NOMINA!$AU394,NOMINA!I394+NOMINA!J394)),2))*IF(H394&lt;&gt;"",IF(MONTH(H394)=$BR$8,IF(YEAR(H394)&lt;$BT$7,1,0),0)))</f>
        <v>0</v>
      </c>
      <c r="AY394" s="1151">
        <v>180</v>
      </c>
      <c r="AZ394" s="1150">
        <f>IFERROR(VLOOKUP(AY394,'CONCEPTOS Y PARAMETROS'!Y:Z,2,0),0)</f>
        <v>150</v>
      </c>
      <c r="BA394" s="1150">
        <f t="shared" si="1130"/>
        <v>3037.73</v>
      </c>
      <c r="BB394" s="1150">
        <f t="shared" si="1131"/>
        <v>0</v>
      </c>
      <c r="BC394" s="1028">
        <v>0</v>
      </c>
      <c r="BD394" s="1150" t="str">
        <f t="shared" si="1132"/>
        <v>0</v>
      </c>
      <c r="BE394" s="1028">
        <v>0</v>
      </c>
      <c r="BF394" s="1150">
        <f t="shared" si="1093"/>
        <v>0</v>
      </c>
      <c r="BG394" s="1151">
        <v>290</v>
      </c>
      <c r="BH394" s="1151">
        <f t="shared" si="1094"/>
        <v>0</v>
      </c>
      <c r="BI394" s="1151">
        <v>0</v>
      </c>
      <c r="BJ394" s="1151">
        <f t="shared" si="1095"/>
        <v>0</v>
      </c>
      <c r="BK394" s="1151">
        <v>0</v>
      </c>
      <c r="BL394" s="1150">
        <f t="shared" si="1140"/>
        <v>14.95</v>
      </c>
      <c r="BM394" s="1150">
        <f t="shared" si="1141"/>
        <v>1.87</v>
      </c>
      <c r="BN394" s="1150">
        <f t="shared" si="1096"/>
        <v>4.05</v>
      </c>
      <c r="BO394" s="1150">
        <v>0</v>
      </c>
      <c r="BP394" s="1150">
        <v>0</v>
      </c>
      <c r="BQ394" s="1396">
        <f t="shared" si="1133"/>
        <v>20.87</v>
      </c>
      <c r="BR394" s="1150">
        <f t="shared" si="1142"/>
        <v>33.65</v>
      </c>
      <c r="BS394" s="1150">
        <f t="shared" si="1143"/>
        <v>7.48</v>
      </c>
      <c r="BT394" s="1150">
        <f t="shared" si="1097"/>
        <v>8.1</v>
      </c>
      <c r="BU394" s="1150">
        <v>0</v>
      </c>
      <c r="BV394" s="1151">
        <f t="shared" si="1134"/>
        <v>49.23</v>
      </c>
      <c r="BW394" s="1155">
        <f t="shared" si="1135"/>
        <v>70.099999999999994</v>
      </c>
      <c r="BX394" s="1155">
        <f>ROUND(BA394/4,2)</f>
        <v>759.43</v>
      </c>
      <c r="BY394" s="1151">
        <v>0</v>
      </c>
      <c r="BZ394" s="1151">
        <f t="shared" si="1098"/>
        <v>759.43</v>
      </c>
      <c r="CA394" s="1397">
        <f>'CONCEPTOS Y PARAMETROS'!$A$102</f>
        <v>2120</v>
      </c>
      <c r="CB394" s="1155">
        <f t="shared" si="1099"/>
        <v>147.41</v>
      </c>
      <c r="CC394" s="1156">
        <f t="shared" si="1100"/>
        <v>551.75</v>
      </c>
      <c r="CD394" s="514"/>
      <c r="CE394" s="514"/>
      <c r="CF394" s="520"/>
      <c r="CG394" s="497">
        <f t="shared" si="1101"/>
        <v>147.41</v>
      </c>
      <c r="CH394" s="1711">
        <f t="shared" si="1102"/>
        <v>290</v>
      </c>
      <c r="CI394" s="497">
        <f t="shared" si="1103"/>
        <v>433.28</v>
      </c>
      <c r="CJ394" s="497">
        <f t="shared" si="1104"/>
        <v>433.28</v>
      </c>
      <c r="CK394" s="497">
        <f t="shared" si="1105"/>
        <v>0</v>
      </c>
      <c r="CL394" s="497">
        <f t="shared" si="1106"/>
        <v>0</v>
      </c>
      <c r="CM394" s="497">
        <f t="shared" si="1107"/>
        <v>0</v>
      </c>
      <c r="CN394" s="498">
        <f t="shared" si="1108"/>
        <v>0</v>
      </c>
      <c r="CO394" s="499">
        <v>0</v>
      </c>
      <c r="CP394" s="498">
        <f t="shared" si="1109"/>
        <v>93.47</v>
      </c>
      <c r="CQ394" s="500">
        <f t="shared" si="1110"/>
        <v>25</v>
      </c>
      <c r="CR394" s="498">
        <f t="shared" si="1111"/>
        <v>0</v>
      </c>
      <c r="CS394" s="498">
        <f t="shared" si="1112"/>
        <v>118.47</v>
      </c>
      <c r="CT394" s="498">
        <f t="shared" si="1113"/>
        <v>70.099999999999994</v>
      </c>
      <c r="CU394" s="498">
        <f t="shared" si="1114"/>
        <v>2120</v>
      </c>
      <c r="CV394" s="1554"/>
      <c r="CW394" s="1343" t="s">
        <v>7355</v>
      </c>
      <c r="CX394" s="1343" t="s">
        <v>7356</v>
      </c>
      <c r="CY394" s="472"/>
      <c r="CZ394" s="514" t="s">
        <v>6551</v>
      </c>
      <c r="DA394" s="514" t="s">
        <v>6161</v>
      </c>
      <c r="DB394" s="514" t="s">
        <v>6439</v>
      </c>
      <c r="DC394" s="514" t="s">
        <v>6440</v>
      </c>
      <c r="DD394" s="472"/>
      <c r="DE394" s="472"/>
      <c r="DF394" s="472"/>
      <c r="DG394" s="472"/>
      <c r="DH394" s="472"/>
      <c r="DJ394" s="473" t="str">
        <f>VLOOKUP(X394,Hoja1!$A$4:$B$10,2,0)</f>
        <v>BACHILLER</v>
      </c>
      <c r="DK394" s="473" t="str">
        <f>VLOOKUP(S394,Hoja1!$D$4:$F$77,3,0)</f>
        <v>GRADO (3) - MÁX</v>
      </c>
      <c r="DL394" s="1216" t="str">
        <f t="shared" si="1115"/>
        <v>SI</v>
      </c>
      <c r="DM394" s="1741" t="str">
        <f t="shared" si="1116"/>
        <v>M</v>
      </c>
      <c r="DN394" s="1741"/>
    </row>
    <row r="395" spans="1:118" s="473" customFormat="1" ht="21.95" customHeight="1">
      <c r="A395" s="510" t="s">
        <v>2834</v>
      </c>
      <c r="B395" s="1390">
        <f t="shared" ca="1" si="1136"/>
        <v>84</v>
      </c>
      <c r="C395" s="1028">
        <v>25631811</v>
      </c>
      <c r="D395" s="1343" t="s">
        <v>5040</v>
      </c>
      <c r="E395" s="1180" t="s">
        <v>4622</v>
      </c>
      <c r="F395" s="1161">
        <v>35366</v>
      </c>
      <c r="G395" s="1180" t="s">
        <v>4621</v>
      </c>
      <c r="H395" s="1161">
        <v>44440</v>
      </c>
      <c r="I395" s="1185">
        <f t="shared" si="1090"/>
        <v>3</v>
      </c>
      <c r="J395" s="1177">
        <v>0</v>
      </c>
      <c r="K395" s="1185">
        <f t="shared" si="1091"/>
        <v>3</v>
      </c>
      <c r="L395" s="1191" t="s">
        <v>5558</v>
      </c>
      <c r="M395" s="1177"/>
      <c r="N395" s="1177"/>
      <c r="O395" s="1040" t="s">
        <v>5092</v>
      </c>
      <c r="P395" s="1177" t="s">
        <v>5179</v>
      </c>
      <c r="Q395" s="1391">
        <v>7102</v>
      </c>
      <c r="R395" s="1514" t="s">
        <v>5092</v>
      </c>
      <c r="S395" s="1513">
        <v>5</v>
      </c>
      <c r="T395" s="1150">
        <f>IFERROR(VLOOKUP(S395,'TAB OBR'!A:B,2,0),0)</f>
        <v>171</v>
      </c>
      <c r="U395" s="1151">
        <v>0</v>
      </c>
      <c r="V395" s="1150">
        <f t="shared" si="1117"/>
        <v>171</v>
      </c>
      <c r="W395" s="1151">
        <f t="shared" si="1118"/>
        <v>85.5</v>
      </c>
      <c r="X395" s="1180" t="s">
        <v>2884</v>
      </c>
      <c r="Y395" s="1180" t="s">
        <v>2884</v>
      </c>
      <c r="Z395" s="1180">
        <v>0</v>
      </c>
      <c r="AA395" s="1150">
        <f>ROUND(IF(H395&lt;&gt;"",VLOOKUP(SUM(I395+J395),'CONCEPTOS Y PARAMETROS'!F:G,2,0)*V395,0),2)</f>
        <v>5.13</v>
      </c>
      <c r="AB395" s="1150">
        <f>IF(S395&lt;&gt;"",IF(M395="",'CONCEPTOS Y PARAMETROS'!$C$4,0),0)</f>
        <v>130</v>
      </c>
      <c r="AC395" s="1150">
        <f>IF(S395&lt;&gt;"",IF(M395="",'CONCEPTOS Y PARAMETROS'!$C$7*Z395,0),0)</f>
        <v>0</v>
      </c>
      <c r="AD395" s="1150">
        <f>IFERROR(ROUND(VLOOKUP($X395,'CONCEPTOS Y PARAMETROS'!H:I,2,0)*($V395+AA395+AB395+AC395),2),0)</f>
        <v>0</v>
      </c>
      <c r="AE395" s="1150">
        <f t="shared" si="1119"/>
        <v>135.13</v>
      </c>
      <c r="AF395" s="1150">
        <f t="shared" si="1120"/>
        <v>2.57</v>
      </c>
      <c r="AG395" s="1150">
        <f t="shared" si="1121"/>
        <v>2.56</v>
      </c>
      <c r="AH395" s="1150">
        <f t="shared" si="1122"/>
        <v>65</v>
      </c>
      <c r="AI395" s="1150">
        <f t="shared" si="1123"/>
        <v>65</v>
      </c>
      <c r="AJ395" s="1150">
        <f t="shared" si="1124"/>
        <v>0</v>
      </c>
      <c r="AK395" s="1150">
        <f t="shared" si="1125"/>
        <v>0</v>
      </c>
      <c r="AL395" s="1151">
        <f t="shared" si="1126"/>
        <v>67.569999999999993</v>
      </c>
      <c r="AM395" s="1151">
        <f t="shared" si="1127"/>
        <v>67.56</v>
      </c>
      <c r="AN395" s="1028">
        <v>0</v>
      </c>
      <c r="AO395" s="1193">
        <f>'CONCEPTOS Y PARAMETROS'!$C$18*AN395</f>
        <v>0</v>
      </c>
      <c r="AP395" s="1028">
        <v>0</v>
      </c>
      <c r="AQ395" s="1193">
        <f>'CONCEPTOS Y PARAMETROS'!$C$21*AP395</f>
        <v>0</v>
      </c>
      <c r="AR395" s="1394">
        <v>0</v>
      </c>
      <c r="AS395" s="1394">
        <v>0</v>
      </c>
      <c r="AT395" s="1394">
        <f t="shared" si="1092"/>
        <v>0</v>
      </c>
      <c r="AU395" s="1151">
        <f t="shared" si="1128"/>
        <v>306.13</v>
      </c>
      <c r="AV395" s="1178">
        <v>0</v>
      </c>
      <c r="AW395" s="1151">
        <f t="shared" si="1129"/>
        <v>0</v>
      </c>
      <c r="AX395" s="1150">
        <f>IF(T395&lt;&gt;"0",(ROUND(IF(A395="EMPLEADO",eval_formula('CONCEPTOS Y PARAMETROS'!$C$8,NOMINA!V395,NOMINA!$AU395,NOMINA!I395+NOMINA!J395),eval_formula('CONCEPTOS Y PARAMETROS'!$D$8,NOMINA!V395,NOMINA!$AU395,NOMINA!I395+NOMINA!J395)),2))*IF(H395&lt;&gt;"",IF(MONTH(H395)=$BR$8,IF(YEAR(H395)&lt;$BT$7,1,0),0)))</f>
        <v>0</v>
      </c>
      <c r="AY395" s="1151">
        <v>180</v>
      </c>
      <c r="AZ395" s="1150">
        <f>IFERROR(VLOOKUP(AY395,'CONCEPTOS Y PARAMETROS'!Y:Z,2,0),0)</f>
        <v>150</v>
      </c>
      <c r="BA395" s="1150">
        <f t="shared" si="1130"/>
        <v>2295.98</v>
      </c>
      <c r="BB395" s="1150">
        <f t="shared" si="1131"/>
        <v>0</v>
      </c>
      <c r="BC395" s="1028">
        <v>0</v>
      </c>
      <c r="BD395" s="1150" t="str">
        <f t="shared" si="1132"/>
        <v>0</v>
      </c>
      <c r="BE395" s="1028">
        <v>4</v>
      </c>
      <c r="BF395" s="1150">
        <f t="shared" si="1093"/>
        <v>61.23</v>
      </c>
      <c r="BG395" s="1151">
        <v>290</v>
      </c>
      <c r="BH395" s="1151">
        <f t="shared" si="1094"/>
        <v>0</v>
      </c>
      <c r="BI395" s="1151">
        <v>0</v>
      </c>
      <c r="BJ395" s="1151">
        <f t="shared" si="1095"/>
        <v>0</v>
      </c>
      <c r="BK395" s="1151">
        <v>0</v>
      </c>
      <c r="BL395" s="1150">
        <f t="shared" si="1140"/>
        <v>11.3</v>
      </c>
      <c r="BM395" s="1150">
        <f t="shared" si="1141"/>
        <v>1.41</v>
      </c>
      <c r="BN395" s="1150">
        <f t="shared" si="1096"/>
        <v>3.06</v>
      </c>
      <c r="BO395" s="1150">
        <v>0</v>
      </c>
      <c r="BP395" s="1150">
        <v>0</v>
      </c>
      <c r="BQ395" s="1396">
        <f t="shared" si="1133"/>
        <v>15.77</v>
      </c>
      <c r="BR395" s="1150">
        <f t="shared" si="1142"/>
        <v>25.43</v>
      </c>
      <c r="BS395" s="1150">
        <f t="shared" si="1143"/>
        <v>5.65</v>
      </c>
      <c r="BT395" s="1150">
        <f t="shared" si="1097"/>
        <v>6.12</v>
      </c>
      <c r="BU395" s="1150">
        <v>0</v>
      </c>
      <c r="BV395" s="1151">
        <f t="shared" si="1134"/>
        <v>37.200000000000003</v>
      </c>
      <c r="BW395" s="1155">
        <f t="shared" si="1135"/>
        <v>52.97</v>
      </c>
      <c r="BX395" s="1155">
        <f>ROUND(BA395/4,2)</f>
        <v>574</v>
      </c>
      <c r="BY395" s="1151">
        <v>0</v>
      </c>
      <c r="BZ395" s="1151">
        <f t="shared" si="1098"/>
        <v>574</v>
      </c>
      <c r="CA395" s="1397">
        <f>'CONCEPTOS Y PARAMETROS'!$A$102</f>
        <v>2120</v>
      </c>
      <c r="CB395" s="1155">
        <f t="shared" si="1099"/>
        <v>137.29999999999998</v>
      </c>
      <c r="CC395" s="1156">
        <f t="shared" si="1100"/>
        <v>504.29</v>
      </c>
      <c r="CD395" s="514"/>
      <c r="CE395" s="514"/>
      <c r="CF395" s="520"/>
      <c r="CG395" s="497">
        <f t="shared" si="1101"/>
        <v>137.29999999999998</v>
      </c>
      <c r="CH395" s="1711">
        <f t="shared" si="1102"/>
        <v>290</v>
      </c>
      <c r="CI395" s="497">
        <f t="shared" si="1103"/>
        <v>443.06</v>
      </c>
      <c r="CJ395" s="497">
        <f t="shared" si="1104"/>
        <v>443.06</v>
      </c>
      <c r="CK395" s="497">
        <f t="shared" si="1105"/>
        <v>0</v>
      </c>
      <c r="CL395" s="497">
        <f t="shared" si="1106"/>
        <v>0</v>
      </c>
      <c r="CM395" s="497">
        <f t="shared" si="1107"/>
        <v>0</v>
      </c>
      <c r="CN395" s="498">
        <f t="shared" si="1108"/>
        <v>61.23</v>
      </c>
      <c r="CO395" s="499">
        <v>0</v>
      </c>
      <c r="CP395" s="498">
        <f t="shared" si="1109"/>
        <v>0</v>
      </c>
      <c r="CQ395" s="500">
        <f t="shared" si="1110"/>
        <v>0</v>
      </c>
      <c r="CR395" s="498">
        <f t="shared" si="1111"/>
        <v>0</v>
      </c>
      <c r="CS395" s="498">
        <f t="shared" si="1112"/>
        <v>61.23</v>
      </c>
      <c r="CT395" s="498">
        <f t="shared" si="1113"/>
        <v>52.97</v>
      </c>
      <c r="CU395" s="498">
        <f t="shared" si="1114"/>
        <v>2120</v>
      </c>
      <c r="CV395" s="1554"/>
      <c r="CW395" s="1343" t="s">
        <v>7131</v>
      </c>
      <c r="CX395" s="1343" t="s">
        <v>7050</v>
      </c>
      <c r="CY395" s="472"/>
      <c r="CZ395" s="514" t="s">
        <v>6552</v>
      </c>
      <c r="DA395" s="514" t="s">
        <v>6188</v>
      </c>
      <c r="DB395" s="514" t="s">
        <v>6401</v>
      </c>
      <c r="DC395" s="514" t="s">
        <v>6381</v>
      </c>
      <c r="DD395" s="472"/>
      <c r="DE395" s="472"/>
      <c r="DF395" s="472"/>
      <c r="DG395" s="472"/>
      <c r="DH395" s="472"/>
      <c r="DJ395" s="473" t="str">
        <f>VLOOKUP(X395,Hoja1!$A$4:$B$10,2,0)</f>
        <v>BACHILLER</v>
      </c>
      <c r="DK395" s="473" t="str">
        <f>VLOOKUP(S395,Hoja1!$D$4:$F$77,3,0)</f>
        <v>GRADO (5) - MÁX</v>
      </c>
      <c r="DL395" s="1216" t="str">
        <f t="shared" si="1115"/>
        <v>0</v>
      </c>
      <c r="DM395" s="1741" t="str">
        <f t="shared" si="1116"/>
        <v>M</v>
      </c>
      <c r="DN395" s="1741"/>
    </row>
    <row r="396" spans="1:118" s="473" customFormat="1" ht="21.95" customHeight="1">
      <c r="A396" s="510" t="s">
        <v>2834</v>
      </c>
      <c r="B396" s="1390">
        <f t="shared" ca="1" si="1136"/>
        <v>85</v>
      </c>
      <c r="C396" s="1028">
        <v>25919888</v>
      </c>
      <c r="D396" s="1343" t="s">
        <v>5041</v>
      </c>
      <c r="E396" s="1180" t="s">
        <v>4622</v>
      </c>
      <c r="F396" s="1161">
        <v>35616</v>
      </c>
      <c r="G396" s="1180" t="s">
        <v>4620</v>
      </c>
      <c r="H396" s="1161">
        <v>44805</v>
      </c>
      <c r="I396" s="1185">
        <f t="shared" si="1090"/>
        <v>2</v>
      </c>
      <c r="J396" s="1177">
        <v>0</v>
      </c>
      <c r="K396" s="1185">
        <f t="shared" si="1091"/>
        <v>2</v>
      </c>
      <c r="L396" s="1191" t="s">
        <v>5559</v>
      </c>
      <c r="M396" s="1177"/>
      <c r="N396" s="1177"/>
      <c r="O396" s="1040" t="s">
        <v>5088</v>
      </c>
      <c r="P396" s="1177" t="s">
        <v>5180</v>
      </c>
      <c r="Q396" s="1391">
        <v>7102</v>
      </c>
      <c r="R396" s="1514" t="s">
        <v>5088</v>
      </c>
      <c r="S396" s="1513">
        <v>1</v>
      </c>
      <c r="T396" s="1150">
        <f>IFERROR(VLOOKUP(S396,'TAB OBR'!A:B,2,0),0)</f>
        <v>130</v>
      </c>
      <c r="U396" s="1151">
        <v>0</v>
      </c>
      <c r="V396" s="1150">
        <f t="shared" si="1117"/>
        <v>130</v>
      </c>
      <c r="W396" s="1151">
        <f t="shared" si="1118"/>
        <v>65</v>
      </c>
      <c r="X396" s="1180" t="s">
        <v>2884</v>
      </c>
      <c r="Y396" s="1180" t="s">
        <v>2884</v>
      </c>
      <c r="Z396" s="1180">
        <v>2</v>
      </c>
      <c r="AA396" s="1150">
        <f>ROUND(IF(H396&lt;&gt;"",VLOOKUP(SUM(I396+J396),'CONCEPTOS Y PARAMETROS'!F:G,2,0)*V396,0),2)</f>
        <v>2.6</v>
      </c>
      <c r="AB396" s="1150">
        <f>IF(S396&lt;&gt;"",IF(M396="",'CONCEPTOS Y PARAMETROS'!$C$4,0),0)</f>
        <v>130</v>
      </c>
      <c r="AC396" s="1150">
        <f>IF(S396&lt;&gt;"",IF(M396="",'CONCEPTOS Y PARAMETROS'!$C$7*Z396,0),0)</f>
        <v>25</v>
      </c>
      <c r="AD396" s="1150">
        <f>IFERROR(ROUND(VLOOKUP($X396,'CONCEPTOS Y PARAMETROS'!H:I,2,0)*($V396+AA396+AB396+AC396),2),0)</f>
        <v>0</v>
      </c>
      <c r="AE396" s="1150">
        <f t="shared" si="1119"/>
        <v>157.6</v>
      </c>
      <c r="AF396" s="1150">
        <f t="shared" si="1120"/>
        <v>1.3</v>
      </c>
      <c r="AG396" s="1150">
        <f t="shared" si="1121"/>
        <v>1.3</v>
      </c>
      <c r="AH396" s="1150">
        <f t="shared" si="1122"/>
        <v>65</v>
      </c>
      <c r="AI396" s="1150">
        <f t="shared" si="1123"/>
        <v>65</v>
      </c>
      <c r="AJ396" s="1150">
        <f t="shared" si="1124"/>
        <v>0</v>
      </c>
      <c r="AK396" s="1150">
        <f t="shared" si="1125"/>
        <v>0</v>
      </c>
      <c r="AL396" s="1151">
        <f t="shared" si="1126"/>
        <v>91.3</v>
      </c>
      <c r="AM396" s="1151">
        <f t="shared" si="1127"/>
        <v>66.3</v>
      </c>
      <c r="AN396" s="1028">
        <v>0</v>
      </c>
      <c r="AO396" s="1193">
        <f>'CONCEPTOS Y PARAMETROS'!$C$18*AN396</f>
        <v>0</v>
      </c>
      <c r="AP396" s="1028">
        <v>0</v>
      </c>
      <c r="AQ396" s="1193">
        <f>'CONCEPTOS Y PARAMETROS'!$C$21*AP396</f>
        <v>0</v>
      </c>
      <c r="AR396" s="1394">
        <v>0</v>
      </c>
      <c r="AS396" s="1394">
        <v>0</v>
      </c>
      <c r="AT396" s="1394">
        <f t="shared" si="1092"/>
        <v>0</v>
      </c>
      <c r="AU396" s="1151">
        <f t="shared" si="1128"/>
        <v>287.60000000000002</v>
      </c>
      <c r="AV396" s="1178">
        <v>0</v>
      </c>
      <c r="AW396" s="1151">
        <f t="shared" si="1129"/>
        <v>0</v>
      </c>
      <c r="AX396" s="1150">
        <f>IF(T396&lt;&gt;"0",(ROUND(IF(A396="EMPLEADO",eval_formula('CONCEPTOS Y PARAMETROS'!$C$8,NOMINA!V396,NOMINA!$AU396,NOMINA!I396+NOMINA!J396),eval_formula('CONCEPTOS Y PARAMETROS'!$D$8,NOMINA!V396,NOMINA!$AU396,NOMINA!I396+NOMINA!J396)),2))*IF(H396&lt;&gt;"",IF(MONTH(H396)=$BR$8,IF(YEAR(H396)&lt;$BT$7,1,0),0)))</f>
        <v>0</v>
      </c>
      <c r="AY396" s="1151">
        <v>180</v>
      </c>
      <c r="AZ396" s="1150">
        <f>IFERROR(VLOOKUP(AY396,'CONCEPTOS Y PARAMETROS'!Y:Z,2,0),0)</f>
        <v>150</v>
      </c>
      <c r="BA396" s="1150">
        <f t="shared" si="1130"/>
        <v>2157</v>
      </c>
      <c r="BB396" s="1150">
        <f t="shared" si="1131"/>
        <v>0</v>
      </c>
      <c r="BC396" s="1028">
        <v>0</v>
      </c>
      <c r="BD396" s="1150" t="str">
        <f t="shared" si="1132"/>
        <v>0</v>
      </c>
      <c r="BE396" s="1028">
        <v>0</v>
      </c>
      <c r="BF396" s="1150">
        <f t="shared" si="1093"/>
        <v>0</v>
      </c>
      <c r="BG396" s="1151">
        <v>290</v>
      </c>
      <c r="BH396" s="1151">
        <f t="shared" si="1094"/>
        <v>0</v>
      </c>
      <c r="BI396" s="1151">
        <v>0</v>
      </c>
      <c r="BJ396" s="1151">
        <f t="shared" si="1095"/>
        <v>0</v>
      </c>
      <c r="BK396" s="1151">
        <v>0</v>
      </c>
      <c r="BL396" s="1150">
        <f t="shared" si="1140"/>
        <v>10.62</v>
      </c>
      <c r="BM396" s="1150">
        <f t="shared" si="1141"/>
        <v>1.33</v>
      </c>
      <c r="BN396" s="1150">
        <f t="shared" si="1096"/>
        <v>2.88</v>
      </c>
      <c r="BO396" s="1150">
        <v>0</v>
      </c>
      <c r="BP396" s="1150">
        <v>0</v>
      </c>
      <c r="BQ396" s="1396">
        <f t="shared" si="1133"/>
        <v>14.83</v>
      </c>
      <c r="BR396" s="1150">
        <f t="shared" si="1142"/>
        <v>23.89</v>
      </c>
      <c r="BS396" s="1150">
        <f t="shared" si="1143"/>
        <v>5.31</v>
      </c>
      <c r="BT396" s="1150">
        <f t="shared" si="1097"/>
        <v>5.76</v>
      </c>
      <c r="BU396" s="1150">
        <v>0</v>
      </c>
      <c r="BV396" s="1151">
        <f t="shared" si="1134"/>
        <v>34.96</v>
      </c>
      <c r="BW396" s="1155">
        <f t="shared" si="1135"/>
        <v>49.79</v>
      </c>
      <c r="BX396" s="1155">
        <f>ROUND(BA396/4,2)</f>
        <v>539.25</v>
      </c>
      <c r="BY396" s="1151">
        <v>0</v>
      </c>
      <c r="BZ396" s="1151">
        <f t="shared" si="1098"/>
        <v>539.25</v>
      </c>
      <c r="CA396" s="1397">
        <f>'CONCEPTOS Y PARAMETROS'!$A$102</f>
        <v>2120</v>
      </c>
      <c r="CB396" s="1155">
        <f t="shared" si="1099"/>
        <v>141.47</v>
      </c>
      <c r="CC396" s="1156">
        <f t="shared" si="1100"/>
        <v>421.3</v>
      </c>
      <c r="CD396" s="514"/>
      <c r="CE396" s="514"/>
      <c r="CF396" s="520"/>
      <c r="CG396" s="497">
        <f t="shared" si="1101"/>
        <v>141.47</v>
      </c>
      <c r="CH396" s="1711">
        <f t="shared" si="1102"/>
        <v>290</v>
      </c>
      <c r="CI396" s="497">
        <f t="shared" si="1103"/>
        <v>421.3</v>
      </c>
      <c r="CJ396" s="497">
        <f t="shared" si="1104"/>
        <v>421.3</v>
      </c>
      <c r="CK396" s="497">
        <f t="shared" si="1105"/>
        <v>0</v>
      </c>
      <c r="CL396" s="497">
        <f t="shared" si="1106"/>
        <v>0</v>
      </c>
      <c r="CM396" s="497">
        <f t="shared" si="1107"/>
        <v>0</v>
      </c>
      <c r="CN396" s="498">
        <f t="shared" si="1108"/>
        <v>0</v>
      </c>
      <c r="CO396" s="499">
        <v>0</v>
      </c>
      <c r="CP396" s="498">
        <f t="shared" si="1109"/>
        <v>0</v>
      </c>
      <c r="CQ396" s="500">
        <f t="shared" si="1110"/>
        <v>0</v>
      </c>
      <c r="CR396" s="498">
        <f t="shared" si="1111"/>
        <v>0</v>
      </c>
      <c r="CS396" s="498">
        <f t="shared" si="1112"/>
        <v>0</v>
      </c>
      <c r="CT396" s="498">
        <f t="shared" si="1113"/>
        <v>49.79</v>
      </c>
      <c r="CU396" s="498">
        <f t="shared" si="1114"/>
        <v>2120</v>
      </c>
      <c r="CV396" s="1554"/>
      <c r="CW396" s="1343" t="s">
        <v>6937</v>
      </c>
      <c r="CX396" s="1343" t="s">
        <v>7357</v>
      </c>
      <c r="CY396" s="472"/>
      <c r="CZ396" s="514" t="s">
        <v>6553</v>
      </c>
      <c r="DA396" s="514" t="s">
        <v>6173</v>
      </c>
      <c r="DB396" s="514" t="s">
        <v>6202</v>
      </c>
      <c r="DC396" s="514" t="s">
        <v>6271</v>
      </c>
      <c r="DD396" s="472"/>
      <c r="DE396" s="472"/>
      <c r="DF396" s="472"/>
      <c r="DG396" s="472"/>
      <c r="DH396" s="472"/>
      <c r="DJ396" s="473" t="str">
        <f>VLOOKUP(X396,Hoja1!$A$4:$B$10,2,0)</f>
        <v>BACHILLER</v>
      </c>
      <c r="DK396" s="473" t="str">
        <f>VLOOKUP(S396,Hoja1!$D$4:$F$77,3,0)</f>
        <v>GRADO (1) - MIN</v>
      </c>
      <c r="DL396" s="1216" t="str">
        <f t="shared" si="1115"/>
        <v>0</v>
      </c>
      <c r="DM396" s="1741" t="str">
        <f t="shared" si="1116"/>
        <v>F</v>
      </c>
      <c r="DN396" s="1741"/>
    </row>
    <row r="397" spans="1:118" s="478" customFormat="1" ht="21.95" customHeight="1">
      <c r="A397" s="510" t="s">
        <v>2834</v>
      </c>
      <c r="B397" s="1390">
        <f t="shared" ca="1" si="1136"/>
        <v>86</v>
      </c>
      <c r="C397" s="1028">
        <v>26235670</v>
      </c>
      <c r="D397" s="1343" t="s">
        <v>6911</v>
      </c>
      <c r="E397" s="1180" t="s">
        <v>4622</v>
      </c>
      <c r="F397" s="1161">
        <v>35999</v>
      </c>
      <c r="G397" s="1180" t="s">
        <v>4621</v>
      </c>
      <c r="H397" s="1161">
        <v>45597</v>
      </c>
      <c r="I397" s="1185">
        <f t="shared" si="1090"/>
        <v>0</v>
      </c>
      <c r="J397" s="1177">
        <v>0</v>
      </c>
      <c r="K397" s="1185">
        <f t="shared" si="1091"/>
        <v>0</v>
      </c>
      <c r="L397" s="1191" t="s">
        <v>5544</v>
      </c>
      <c r="M397" s="1177"/>
      <c r="N397" s="1177"/>
      <c r="O397" s="1040" t="s">
        <v>5084</v>
      </c>
      <c r="P397" s="1197" t="s">
        <v>6912</v>
      </c>
      <c r="Q397" s="1391">
        <v>7129</v>
      </c>
      <c r="R397" s="1514" t="s">
        <v>5084</v>
      </c>
      <c r="S397" s="1513">
        <v>2</v>
      </c>
      <c r="T397" s="1150">
        <f>IFERROR(VLOOKUP(S397,'TAB OBR'!A:B,2,0),0)</f>
        <v>142</v>
      </c>
      <c r="U397" s="1151">
        <v>0</v>
      </c>
      <c r="V397" s="1150">
        <f t="shared" si="1117"/>
        <v>142</v>
      </c>
      <c r="W397" s="1151">
        <f t="shared" si="1118"/>
        <v>71</v>
      </c>
      <c r="X397" s="1180" t="s">
        <v>2884</v>
      </c>
      <c r="Y397" s="1180" t="s">
        <v>2884</v>
      </c>
      <c r="Z397" s="1180">
        <v>1</v>
      </c>
      <c r="AA397" s="1150">
        <f>ROUND(IF(H397&lt;&gt;"",VLOOKUP(SUM(I397+J397),'CONCEPTOS Y PARAMETROS'!F:G,2,0)*V397,0),2)</f>
        <v>0</v>
      </c>
      <c r="AB397" s="1150">
        <f>IF(S397&lt;&gt;"",IF(M397="",'CONCEPTOS Y PARAMETROS'!$C$4,0),0)</f>
        <v>130</v>
      </c>
      <c r="AC397" s="1150">
        <f>IF(S397&lt;&gt;"",IF(M397="",'CONCEPTOS Y PARAMETROS'!$C$7*Z397,0),0)</f>
        <v>12.5</v>
      </c>
      <c r="AD397" s="1150">
        <f>IFERROR(ROUND(VLOOKUP($X397,'CONCEPTOS Y PARAMETROS'!H:I,2,0)*($V397+AA397+AB397+AC397),2),0)</f>
        <v>0</v>
      </c>
      <c r="AE397" s="1150">
        <f t="shared" si="1119"/>
        <v>142.5</v>
      </c>
      <c r="AF397" s="1150">
        <f t="shared" si="1120"/>
        <v>0</v>
      </c>
      <c r="AG397" s="1150">
        <f t="shared" si="1121"/>
        <v>0</v>
      </c>
      <c r="AH397" s="1150">
        <f t="shared" si="1122"/>
        <v>65</v>
      </c>
      <c r="AI397" s="1150">
        <f t="shared" si="1123"/>
        <v>65</v>
      </c>
      <c r="AJ397" s="1150">
        <f t="shared" si="1124"/>
        <v>0</v>
      </c>
      <c r="AK397" s="1150">
        <f t="shared" si="1125"/>
        <v>0</v>
      </c>
      <c r="AL397" s="1151">
        <f t="shared" si="1126"/>
        <v>77.5</v>
      </c>
      <c r="AM397" s="1151">
        <f t="shared" si="1127"/>
        <v>65</v>
      </c>
      <c r="AN397" s="1028">
        <v>0</v>
      </c>
      <c r="AO397" s="1193">
        <f>'CONCEPTOS Y PARAMETROS'!$C$18*AN397</f>
        <v>0</v>
      </c>
      <c r="AP397" s="1028">
        <v>0</v>
      </c>
      <c r="AQ397" s="1193">
        <f>'CONCEPTOS Y PARAMETROS'!$C$21*AP397</f>
        <v>0</v>
      </c>
      <c r="AR397" s="1394">
        <v>0</v>
      </c>
      <c r="AS397" s="1394">
        <v>0</v>
      </c>
      <c r="AT397" s="1394">
        <f t="shared" si="1092"/>
        <v>0</v>
      </c>
      <c r="AU397" s="1151">
        <f t="shared" si="1128"/>
        <v>284.5</v>
      </c>
      <c r="AV397" s="1178">
        <v>0</v>
      </c>
      <c r="AW397" s="1151">
        <f t="shared" si="1129"/>
        <v>0</v>
      </c>
      <c r="AX397" s="1150">
        <f>IF(T397&lt;&gt;"0",(ROUND(IF(A397="EMPLEADO",eval_formula('CONCEPTOS Y PARAMETROS'!$C$8,NOMINA!V397,NOMINA!$AU397,NOMINA!I397+NOMINA!J397),eval_formula('CONCEPTOS Y PARAMETROS'!$D$8,NOMINA!V397,NOMINA!$AU397,NOMINA!I397+NOMINA!J397)),2))*IF(H397&lt;&gt;"",IF(MONTH(H397)=$BR$8,IF(YEAR(H397)&lt;$BT$7,1,0),0)))</f>
        <v>0</v>
      </c>
      <c r="AY397" s="1151">
        <v>30</v>
      </c>
      <c r="AZ397" s="1150">
        <f>IFERROR(VLOOKUP(AY397,'CONCEPTOS Y PARAMETROS'!Y:Z,2,0),0)</f>
        <v>25</v>
      </c>
      <c r="BA397" s="1150">
        <f t="shared" si="1130"/>
        <v>256.83999999999997</v>
      </c>
      <c r="BB397" s="1150">
        <f t="shared" si="1131"/>
        <v>0</v>
      </c>
      <c r="BC397" s="1028">
        <v>0</v>
      </c>
      <c r="BD397" s="1150" t="str">
        <f t="shared" si="1132"/>
        <v>0</v>
      </c>
      <c r="BE397" s="1028">
        <v>0</v>
      </c>
      <c r="BF397" s="1150">
        <f t="shared" si="1093"/>
        <v>0</v>
      </c>
      <c r="BG397" s="1151">
        <v>290</v>
      </c>
      <c r="BH397" s="1151">
        <f t="shared" si="1094"/>
        <v>0</v>
      </c>
      <c r="BI397" s="1151">
        <v>0</v>
      </c>
      <c r="BJ397" s="1151">
        <f t="shared" si="1095"/>
        <v>0</v>
      </c>
      <c r="BK397" s="1151">
        <v>0</v>
      </c>
      <c r="BL397" s="1150">
        <f t="shared" si="1140"/>
        <v>10.5</v>
      </c>
      <c r="BM397" s="1150">
        <f t="shared" si="1141"/>
        <v>1.31</v>
      </c>
      <c r="BN397" s="1150">
        <f t="shared" si="1096"/>
        <v>2.85</v>
      </c>
      <c r="BO397" s="1150">
        <v>0</v>
      </c>
      <c r="BP397" s="1150">
        <v>0</v>
      </c>
      <c r="BQ397" s="1396">
        <f t="shared" si="1133"/>
        <v>14.66</v>
      </c>
      <c r="BR397" s="1150">
        <f t="shared" si="1142"/>
        <v>23.64</v>
      </c>
      <c r="BS397" s="1150">
        <f t="shared" si="1143"/>
        <v>5.25</v>
      </c>
      <c r="BT397" s="1150">
        <f t="shared" si="1097"/>
        <v>5.7</v>
      </c>
      <c r="BU397" s="1150">
        <v>0</v>
      </c>
      <c r="BV397" s="1151">
        <f t="shared" si="1134"/>
        <v>34.590000000000003</v>
      </c>
      <c r="BW397" s="1155">
        <f t="shared" si="1135"/>
        <v>49.25</v>
      </c>
      <c r="BX397" s="1155">
        <f>ROUND(BA397/3,2)</f>
        <v>85.61</v>
      </c>
      <c r="BY397" s="1151">
        <v>0</v>
      </c>
      <c r="BZ397" s="1151">
        <f t="shared" si="1098"/>
        <v>85.61</v>
      </c>
      <c r="CA397" s="1397">
        <f>'CONCEPTOS Y PARAMETROS'!$A$102</f>
        <v>2120</v>
      </c>
      <c r="CB397" s="1155">
        <f t="shared" si="1099"/>
        <v>133.84</v>
      </c>
      <c r="CC397" s="1156">
        <f t="shared" si="1100"/>
        <v>426</v>
      </c>
      <c r="CD397" s="1582"/>
      <c r="CE397" s="514"/>
      <c r="CF397" s="521"/>
      <c r="CG397" s="511">
        <f t="shared" si="1101"/>
        <v>133.84</v>
      </c>
      <c r="CH397" s="1712">
        <f t="shared" si="1102"/>
        <v>290</v>
      </c>
      <c r="CI397" s="511">
        <f t="shared" si="1103"/>
        <v>426</v>
      </c>
      <c r="CJ397" s="511">
        <f t="shared" si="1104"/>
        <v>426</v>
      </c>
      <c r="CK397" s="511">
        <f t="shared" si="1105"/>
        <v>0</v>
      </c>
      <c r="CL397" s="511">
        <f t="shared" si="1106"/>
        <v>0</v>
      </c>
      <c r="CM397" s="511">
        <f t="shared" si="1107"/>
        <v>0</v>
      </c>
      <c r="CN397" s="512">
        <f t="shared" si="1108"/>
        <v>0</v>
      </c>
      <c r="CO397" s="513">
        <v>0</v>
      </c>
      <c r="CP397" s="512">
        <f t="shared" si="1109"/>
        <v>0</v>
      </c>
      <c r="CQ397" s="500">
        <f t="shared" si="1110"/>
        <v>0</v>
      </c>
      <c r="CR397" s="512">
        <f t="shared" si="1111"/>
        <v>0</v>
      </c>
      <c r="CS397" s="512">
        <f t="shared" si="1112"/>
        <v>0</v>
      </c>
      <c r="CT397" s="512">
        <f t="shared" si="1113"/>
        <v>49.25</v>
      </c>
      <c r="CU397" s="512">
        <f t="shared" si="1114"/>
        <v>2120</v>
      </c>
      <c r="CV397" s="1556"/>
      <c r="CW397" s="1343" t="s">
        <v>7020</v>
      </c>
      <c r="CX397" s="1343" t="s">
        <v>7358</v>
      </c>
      <c r="CY397" s="514"/>
      <c r="CZ397" s="1199" t="s">
        <v>6914</v>
      </c>
      <c r="DA397" s="514" t="s">
        <v>6173</v>
      </c>
      <c r="DB397" s="514"/>
      <c r="DC397" s="514"/>
      <c r="DD397" s="514"/>
      <c r="DE397" s="514"/>
      <c r="DF397" s="514"/>
      <c r="DG397" s="514"/>
      <c r="DH397" s="514"/>
      <c r="DJ397" s="478" t="str">
        <f>VLOOKUP(X397,Hoja1!$A$4:$B$10,2,0)</f>
        <v>BACHILLER</v>
      </c>
      <c r="DK397" s="478" t="str">
        <f>VLOOKUP(S397,Hoja1!$D$4:$F$77,3,0)</f>
        <v>GRADO (2) - MÁX</v>
      </c>
      <c r="DL397" s="1581" t="str">
        <f t="shared" si="1115"/>
        <v>0</v>
      </c>
      <c r="DM397" s="1743" t="str">
        <f t="shared" si="1116"/>
        <v>M</v>
      </c>
      <c r="DN397" s="1743"/>
    </row>
    <row r="398" spans="1:118" s="473" customFormat="1" ht="21.95" customHeight="1">
      <c r="A398" s="510" t="s">
        <v>2834</v>
      </c>
      <c r="B398" s="1390">
        <f t="shared" ca="1" si="1136"/>
        <v>87</v>
      </c>
      <c r="C398" s="1028">
        <v>26482867</v>
      </c>
      <c r="D398" s="1343" t="s">
        <v>5751</v>
      </c>
      <c r="E398" s="1180" t="s">
        <v>4622</v>
      </c>
      <c r="F398" s="1161">
        <v>35786</v>
      </c>
      <c r="G398" s="1180" t="s">
        <v>4621</v>
      </c>
      <c r="H398" s="1161">
        <v>45078</v>
      </c>
      <c r="I398" s="1185">
        <f t="shared" si="1090"/>
        <v>1</v>
      </c>
      <c r="J398" s="1177">
        <v>0</v>
      </c>
      <c r="K398" s="1185">
        <f t="shared" si="1091"/>
        <v>1</v>
      </c>
      <c r="L398" s="1191" t="s">
        <v>5559</v>
      </c>
      <c r="M398" s="1177"/>
      <c r="N398" s="1177"/>
      <c r="O398" s="1040" t="s">
        <v>5084</v>
      </c>
      <c r="P398" s="1197" t="s">
        <v>5786</v>
      </c>
      <c r="Q398" s="1391">
        <v>7152</v>
      </c>
      <c r="R398" s="1514" t="s">
        <v>5084</v>
      </c>
      <c r="S398" s="1513">
        <v>3</v>
      </c>
      <c r="T398" s="1150">
        <f>IFERROR(VLOOKUP(S398,'TAB OBR'!A:B,2,0),0)</f>
        <v>152</v>
      </c>
      <c r="U398" s="1151">
        <v>0</v>
      </c>
      <c r="V398" s="1150">
        <f t="shared" si="1117"/>
        <v>152</v>
      </c>
      <c r="W398" s="1151">
        <f t="shared" si="1118"/>
        <v>76</v>
      </c>
      <c r="X398" s="1180" t="s">
        <v>2884</v>
      </c>
      <c r="Y398" s="1180" t="s">
        <v>2884</v>
      </c>
      <c r="Z398" s="1180">
        <v>0</v>
      </c>
      <c r="AA398" s="1150">
        <f>ROUND(IF(H398&lt;&gt;"",VLOOKUP(SUM(I398+J398),'CONCEPTOS Y PARAMETROS'!F:G,2,0)*V398,0),2)</f>
        <v>1.52</v>
      </c>
      <c r="AB398" s="1150">
        <f>IF(S398&lt;&gt;"",IF(M398="",'CONCEPTOS Y PARAMETROS'!$C$4,0),0)</f>
        <v>130</v>
      </c>
      <c r="AC398" s="1150">
        <f>IF(S398&lt;&gt;"",IF(M398="",'CONCEPTOS Y PARAMETROS'!$C$7*Z398,0),0)</f>
        <v>0</v>
      </c>
      <c r="AD398" s="1150">
        <f>IFERROR(ROUND(VLOOKUP($X398,'CONCEPTOS Y PARAMETROS'!H:I,2,0)*($V398+AA398+AB398+AC398),2),0)</f>
        <v>0</v>
      </c>
      <c r="AE398" s="1150">
        <f t="shared" si="1119"/>
        <v>131.52000000000001</v>
      </c>
      <c r="AF398" s="1150">
        <f t="shared" si="1120"/>
        <v>0.76</v>
      </c>
      <c r="AG398" s="1150">
        <f t="shared" si="1121"/>
        <v>0.76</v>
      </c>
      <c r="AH398" s="1150">
        <f t="shared" si="1122"/>
        <v>65</v>
      </c>
      <c r="AI398" s="1150">
        <f t="shared" si="1123"/>
        <v>65</v>
      </c>
      <c r="AJ398" s="1150">
        <f t="shared" si="1124"/>
        <v>0</v>
      </c>
      <c r="AK398" s="1150">
        <f t="shared" si="1125"/>
        <v>0</v>
      </c>
      <c r="AL398" s="1151">
        <f t="shared" si="1126"/>
        <v>65.760000000000005</v>
      </c>
      <c r="AM398" s="1151">
        <f t="shared" si="1127"/>
        <v>65.760000000000005</v>
      </c>
      <c r="AN398" s="1028">
        <v>0</v>
      </c>
      <c r="AO398" s="1193">
        <f>'CONCEPTOS Y PARAMETROS'!$C$18*AN398</f>
        <v>0</v>
      </c>
      <c r="AP398" s="1028">
        <v>0</v>
      </c>
      <c r="AQ398" s="1193">
        <f>'CONCEPTOS Y PARAMETROS'!$C$21*AP398</f>
        <v>0</v>
      </c>
      <c r="AR398" s="1394">
        <v>0</v>
      </c>
      <c r="AS398" s="1394">
        <v>0</v>
      </c>
      <c r="AT398" s="1394">
        <f t="shared" ref="AT398" si="1195">+AO398+AQ398+AR398+AS398</f>
        <v>0</v>
      </c>
      <c r="AU398" s="1151">
        <f t="shared" si="1128"/>
        <v>283.52</v>
      </c>
      <c r="AV398" s="1178">
        <v>0</v>
      </c>
      <c r="AW398" s="1151">
        <f t="shared" si="1129"/>
        <v>0</v>
      </c>
      <c r="AX398" s="1150">
        <f>IF(T398&lt;&gt;"0",(ROUND(IF(A398="EMPLEADO",eval_formula('CONCEPTOS Y PARAMETROS'!$C$8,NOMINA!V398,NOMINA!$AU398,NOMINA!I398+NOMINA!J398),eval_formula('CONCEPTOS Y PARAMETROS'!$D$8,NOMINA!V398,NOMINA!$AU398,NOMINA!I398+NOMINA!J398)),2))*IF(H398&lt;&gt;"",IF(MONTH(H398)=$BR$8,IF(YEAR(H398)&lt;$BT$7,1,0),0)))</f>
        <v>0</v>
      </c>
      <c r="AY398" s="1151">
        <v>180</v>
      </c>
      <c r="AZ398" s="1150">
        <f>IFERROR(VLOOKUP(AY398,'CONCEPTOS Y PARAMETROS'!Y:Z,2,0),0)</f>
        <v>150</v>
      </c>
      <c r="BA398" s="1150">
        <f t="shared" si="1130"/>
        <v>2126.4</v>
      </c>
      <c r="BB398" s="1150">
        <f t="shared" si="1131"/>
        <v>0</v>
      </c>
      <c r="BC398" s="1028">
        <v>0</v>
      </c>
      <c r="BD398" s="1150" t="str">
        <f t="shared" si="1132"/>
        <v>0</v>
      </c>
      <c r="BE398" s="1028">
        <v>0</v>
      </c>
      <c r="BF398" s="1150">
        <f t="shared" si="1093"/>
        <v>0</v>
      </c>
      <c r="BG398" s="1151">
        <v>290</v>
      </c>
      <c r="BH398" s="1151">
        <f t="shared" si="1094"/>
        <v>0</v>
      </c>
      <c r="BI398" s="1151">
        <v>0</v>
      </c>
      <c r="BJ398" s="1151">
        <f t="shared" si="1095"/>
        <v>0</v>
      </c>
      <c r="BK398" s="1151">
        <v>0</v>
      </c>
      <c r="BL398" s="1150">
        <f t="shared" si="1140"/>
        <v>10.47</v>
      </c>
      <c r="BM398" s="1150">
        <f t="shared" si="1141"/>
        <v>1.31</v>
      </c>
      <c r="BN398" s="1150">
        <f t="shared" si="1096"/>
        <v>2.84</v>
      </c>
      <c r="BO398" s="1150">
        <v>0</v>
      </c>
      <c r="BP398" s="1150">
        <v>0</v>
      </c>
      <c r="BQ398" s="1396">
        <f t="shared" ref="BQ398" si="1196">ROUND(SUM(BL398:BP398),2)</f>
        <v>14.62</v>
      </c>
      <c r="BR398" s="1150">
        <f t="shared" si="1142"/>
        <v>23.55</v>
      </c>
      <c r="BS398" s="1150">
        <f t="shared" si="1143"/>
        <v>5.23</v>
      </c>
      <c r="BT398" s="1150">
        <f t="shared" si="1097"/>
        <v>5.68</v>
      </c>
      <c r="BU398" s="1150">
        <v>0</v>
      </c>
      <c r="BV398" s="1151">
        <f t="shared" ref="BV398" si="1197">ROUND(SUM(BR398:BT398),2)</f>
        <v>34.46</v>
      </c>
      <c r="BW398" s="1155">
        <f t="shared" ref="BW398" si="1198">BQ398+BV398</f>
        <v>49.08</v>
      </c>
      <c r="BX398" s="1155">
        <f t="shared" ref="BX398:BX403" si="1199">ROUND(BA398/4,2)</f>
        <v>531.6</v>
      </c>
      <c r="BY398" s="1151">
        <v>0</v>
      </c>
      <c r="BZ398" s="1151">
        <f t="shared" si="1098"/>
        <v>531.6</v>
      </c>
      <c r="CA398" s="1397">
        <f>'CONCEPTOS Y PARAMETROS'!$A$102</f>
        <v>2120</v>
      </c>
      <c r="CB398" s="1155">
        <f t="shared" si="1099"/>
        <v>127.13999999999999</v>
      </c>
      <c r="CC398" s="1156">
        <f t="shared" si="1100"/>
        <v>431.76</v>
      </c>
      <c r="CD398" s="514"/>
      <c r="CE398" s="514"/>
      <c r="CF398" s="520"/>
      <c r="CG398" s="511">
        <f t="shared" si="1101"/>
        <v>127.13999999999999</v>
      </c>
      <c r="CH398" s="1711">
        <f t="shared" si="1102"/>
        <v>290</v>
      </c>
      <c r="CI398" s="497">
        <f t="shared" si="1103"/>
        <v>431.76</v>
      </c>
      <c r="CJ398" s="511">
        <f t="shared" si="1104"/>
        <v>431.76</v>
      </c>
      <c r="CK398" s="511">
        <f t="shared" si="1105"/>
        <v>0</v>
      </c>
      <c r="CL398" s="497">
        <f t="shared" si="1106"/>
        <v>0</v>
      </c>
      <c r="CM398" s="497">
        <f t="shared" si="1107"/>
        <v>0</v>
      </c>
      <c r="CN398" s="512">
        <f t="shared" si="1108"/>
        <v>0</v>
      </c>
      <c r="CO398" s="513">
        <v>0</v>
      </c>
      <c r="CP398" s="512">
        <f t="shared" si="1109"/>
        <v>0</v>
      </c>
      <c r="CQ398" s="500">
        <f t="shared" si="1110"/>
        <v>0</v>
      </c>
      <c r="CR398" s="512">
        <f t="shared" si="1111"/>
        <v>0</v>
      </c>
      <c r="CS398" s="498">
        <f t="shared" si="1112"/>
        <v>0</v>
      </c>
      <c r="CT398" s="498">
        <f t="shared" si="1113"/>
        <v>49.08</v>
      </c>
      <c r="CU398" s="512">
        <f t="shared" si="1114"/>
        <v>2120</v>
      </c>
      <c r="CV398" s="1556"/>
      <c r="CW398" s="1343" t="s">
        <v>7359</v>
      </c>
      <c r="CX398" s="1343" t="s">
        <v>7360</v>
      </c>
      <c r="CY398" s="514"/>
      <c r="CZ398" s="1199" t="s">
        <v>6611</v>
      </c>
      <c r="DA398" s="1199" t="s">
        <v>6299</v>
      </c>
      <c r="DB398" s="1199" t="s">
        <v>6299</v>
      </c>
      <c r="DC398" s="514" t="s">
        <v>6561</v>
      </c>
      <c r="DD398" s="514"/>
      <c r="DE398" s="514"/>
      <c r="DF398" s="514"/>
      <c r="DG398" s="514"/>
      <c r="DH398" s="514"/>
      <c r="DI398" s="478"/>
      <c r="DJ398" s="473" t="str">
        <f>VLOOKUP(X398,Hoja1!$A$4:$B$10,2,0)</f>
        <v>BACHILLER</v>
      </c>
      <c r="DK398" s="473" t="str">
        <f>VLOOKUP(S398,Hoja1!$D$4:$F$77,3,0)</f>
        <v>GRADO (3) - MÁX</v>
      </c>
      <c r="DL398" s="1216" t="str">
        <f t="shared" si="1115"/>
        <v>0</v>
      </c>
      <c r="DM398" s="1741" t="str">
        <f t="shared" si="1116"/>
        <v>M</v>
      </c>
      <c r="DN398" s="1741"/>
    </row>
    <row r="399" spans="1:118" s="473" customFormat="1" ht="21.95" customHeight="1">
      <c r="A399" s="510" t="s">
        <v>2834</v>
      </c>
      <c r="B399" s="1390">
        <f t="shared" ca="1" si="1136"/>
        <v>88</v>
      </c>
      <c r="C399" s="1028">
        <v>27415509</v>
      </c>
      <c r="D399" s="1343" t="s">
        <v>5042</v>
      </c>
      <c r="E399" s="1180" t="s">
        <v>4622</v>
      </c>
      <c r="F399" s="1161">
        <v>36637</v>
      </c>
      <c r="G399" s="1180" t="s">
        <v>4621</v>
      </c>
      <c r="H399" s="1161">
        <v>43678</v>
      </c>
      <c r="I399" s="1185">
        <f t="shared" si="1090"/>
        <v>5</v>
      </c>
      <c r="J399" s="1177">
        <v>0</v>
      </c>
      <c r="K399" s="1185">
        <f t="shared" si="1091"/>
        <v>5</v>
      </c>
      <c r="L399" s="1191" t="s">
        <v>5556</v>
      </c>
      <c r="M399" s="1177"/>
      <c r="N399" s="1177"/>
      <c r="O399" s="1040" t="s">
        <v>5084</v>
      </c>
      <c r="P399" s="1177" t="s">
        <v>5181</v>
      </c>
      <c r="Q399" s="1391">
        <v>7152</v>
      </c>
      <c r="R399" s="1514" t="s">
        <v>5084</v>
      </c>
      <c r="S399" s="1513">
        <v>3</v>
      </c>
      <c r="T399" s="1150">
        <f>IFERROR(VLOOKUP(S399,'TAB OBR'!A:B,2,0),0)</f>
        <v>152</v>
      </c>
      <c r="U399" s="1151">
        <v>0</v>
      </c>
      <c r="V399" s="1150">
        <f t="shared" si="1117"/>
        <v>152</v>
      </c>
      <c r="W399" s="1151">
        <f t="shared" si="1118"/>
        <v>76</v>
      </c>
      <c r="X399" s="1180" t="s">
        <v>2884</v>
      </c>
      <c r="Y399" s="1180" t="s">
        <v>2884</v>
      </c>
      <c r="Z399" s="1180">
        <v>0</v>
      </c>
      <c r="AA399" s="1150">
        <f>ROUND(IF(H399&lt;&gt;"",VLOOKUP(SUM(I399+J399),'CONCEPTOS Y PARAMETROS'!F:G,2,0)*V399,0),2)</f>
        <v>7.6</v>
      </c>
      <c r="AB399" s="1150">
        <f>IF(S399&lt;&gt;"",IF(M399="",'CONCEPTOS Y PARAMETROS'!$C$4,0),0)</f>
        <v>130</v>
      </c>
      <c r="AC399" s="1150">
        <f>IF(S399&lt;&gt;"",IF(M399="",'CONCEPTOS Y PARAMETROS'!$C$7*Z399,0),0)</f>
        <v>0</v>
      </c>
      <c r="AD399" s="1150">
        <f>IFERROR(ROUND(VLOOKUP($X399,'CONCEPTOS Y PARAMETROS'!H:I,2,0)*($V399+AA399+AB399+AC399),2),0)</f>
        <v>0</v>
      </c>
      <c r="AE399" s="1150">
        <f t="shared" si="1119"/>
        <v>137.6</v>
      </c>
      <c r="AF399" s="1150">
        <f t="shared" si="1120"/>
        <v>3.8</v>
      </c>
      <c r="AG399" s="1150">
        <f t="shared" si="1121"/>
        <v>3.8</v>
      </c>
      <c r="AH399" s="1150">
        <f t="shared" si="1122"/>
        <v>65</v>
      </c>
      <c r="AI399" s="1150">
        <f t="shared" si="1123"/>
        <v>65</v>
      </c>
      <c r="AJ399" s="1150">
        <f t="shared" si="1124"/>
        <v>0</v>
      </c>
      <c r="AK399" s="1150">
        <f t="shared" si="1125"/>
        <v>0</v>
      </c>
      <c r="AL399" s="1151">
        <f t="shared" si="1126"/>
        <v>68.8</v>
      </c>
      <c r="AM399" s="1151">
        <f t="shared" si="1127"/>
        <v>68.8</v>
      </c>
      <c r="AN399" s="1028">
        <v>0</v>
      </c>
      <c r="AO399" s="1193">
        <f>'CONCEPTOS Y PARAMETROS'!$C$18*AN399</f>
        <v>0</v>
      </c>
      <c r="AP399" s="1028">
        <v>0</v>
      </c>
      <c r="AQ399" s="1193">
        <f>'CONCEPTOS Y PARAMETROS'!$C$21*AP399</f>
        <v>0</v>
      </c>
      <c r="AR399" s="1394">
        <v>0</v>
      </c>
      <c r="AS399" s="1394">
        <v>0</v>
      </c>
      <c r="AT399" s="1394">
        <f t="shared" si="1092"/>
        <v>0</v>
      </c>
      <c r="AU399" s="1151">
        <f t="shared" si="1128"/>
        <v>289.60000000000002</v>
      </c>
      <c r="AV399" s="1178">
        <v>0</v>
      </c>
      <c r="AW399" s="1151">
        <f t="shared" si="1129"/>
        <v>0</v>
      </c>
      <c r="AX399" s="1150">
        <f>IF(T399&lt;&gt;"0",(ROUND(IF(A399="EMPLEADO",eval_formula('CONCEPTOS Y PARAMETROS'!$C$8,NOMINA!V399,NOMINA!$AU399,NOMINA!I399+NOMINA!J399),eval_formula('CONCEPTOS Y PARAMETROS'!$D$8,NOMINA!V399,NOMINA!$AU399,NOMINA!I399+NOMINA!J399)),2))*IF(H399&lt;&gt;"",IF(MONTH(H399)=$BR$8,IF(YEAR(H399)&lt;$BT$7,1,0),0)))</f>
        <v>0</v>
      </c>
      <c r="AY399" s="1151">
        <v>180</v>
      </c>
      <c r="AZ399" s="1150">
        <f>IFERROR(VLOOKUP(AY399,'CONCEPTOS Y PARAMETROS'!Y:Z,2,0),0)</f>
        <v>150</v>
      </c>
      <c r="BA399" s="1150">
        <f t="shared" si="1130"/>
        <v>2172</v>
      </c>
      <c r="BB399" s="1150">
        <f t="shared" si="1131"/>
        <v>0</v>
      </c>
      <c r="BC399" s="1028">
        <v>0</v>
      </c>
      <c r="BD399" s="1150" t="str">
        <f t="shared" si="1132"/>
        <v>0</v>
      </c>
      <c r="BE399" s="1028">
        <v>0</v>
      </c>
      <c r="BF399" s="1150">
        <f t="shared" si="1093"/>
        <v>0</v>
      </c>
      <c r="BG399" s="1151">
        <v>290</v>
      </c>
      <c r="BH399" s="1151">
        <f t="shared" si="1094"/>
        <v>0</v>
      </c>
      <c r="BI399" s="1151">
        <v>0</v>
      </c>
      <c r="BJ399" s="1151">
        <f t="shared" si="1095"/>
        <v>0</v>
      </c>
      <c r="BK399" s="1151">
        <v>0</v>
      </c>
      <c r="BL399" s="1150">
        <f t="shared" si="1140"/>
        <v>10.69</v>
      </c>
      <c r="BM399" s="1150">
        <f t="shared" si="1141"/>
        <v>1.34</v>
      </c>
      <c r="BN399" s="1150">
        <f t="shared" si="1096"/>
        <v>2.9</v>
      </c>
      <c r="BO399" s="1150">
        <v>0</v>
      </c>
      <c r="BP399" s="1150">
        <v>0</v>
      </c>
      <c r="BQ399" s="1396">
        <f t="shared" si="1133"/>
        <v>14.93</v>
      </c>
      <c r="BR399" s="1150">
        <f t="shared" si="1142"/>
        <v>24.06</v>
      </c>
      <c r="BS399" s="1150">
        <f t="shared" si="1143"/>
        <v>5.35</v>
      </c>
      <c r="BT399" s="1150">
        <f t="shared" si="1097"/>
        <v>5.8</v>
      </c>
      <c r="BU399" s="1150">
        <v>0</v>
      </c>
      <c r="BV399" s="1151">
        <f t="shared" si="1134"/>
        <v>35.21</v>
      </c>
      <c r="BW399" s="1155">
        <f t="shared" si="1135"/>
        <v>50.14</v>
      </c>
      <c r="BX399" s="1155">
        <f t="shared" si="1199"/>
        <v>543</v>
      </c>
      <c r="BY399" s="1151">
        <v>0</v>
      </c>
      <c r="BZ399" s="1151">
        <f t="shared" si="1098"/>
        <v>543</v>
      </c>
      <c r="CA399" s="1397">
        <f>'CONCEPTOS Y PARAMETROS'!$A$102</f>
        <v>2120</v>
      </c>
      <c r="CB399" s="1155">
        <f t="shared" si="1099"/>
        <v>129.87</v>
      </c>
      <c r="CC399" s="1156">
        <f t="shared" si="1100"/>
        <v>434.8</v>
      </c>
      <c r="CD399" s="514"/>
      <c r="CE399" s="514"/>
      <c r="CF399" s="520"/>
      <c r="CG399" s="497">
        <f t="shared" si="1101"/>
        <v>129.87</v>
      </c>
      <c r="CH399" s="1711">
        <f t="shared" si="1102"/>
        <v>290</v>
      </c>
      <c r="CI399" s="497">
        <f t="shared" si="1103"/>
        <v>434.8</v>
      </c>
      <c r="CJ399" s="497">
        <f t="shared" si="1104"/>
        <v>434.8</v>
      </c>
      <c r="CK399" s="497">
        <f t="shared" si="1105"/>
        <v>0</v>
      </c>
      <c r="CL399" s="497">
        <f t="shared" si="1106"/>
        <v>0</v>
      </c>
      <c r="CM399" s="497">
        <f t="shared" si="1107"/>
        <v>0</v>
      </c>
      <c r="CN399" s="498">
        <f t="shared" si="1108"/>
        <v>0</v>
      </c>
      <c r="CO399" s="499">
        <v>0</v>
      </c>
      <c r="CP399" s="498">
        <f t="shared" si="1109"/>
        <v>0</v>
      </c>
      <c r="CQ399" s="500">
        <f t="shared" si="1110"/>
        <v>0</v>
      </c>
      <c r="CR399" s="498">
        <f t="shared" si="1111"/>
        <v>0</v>
      </c>
      <c r="CS399" s="498">
        <f t="shared" si="1112"/>
        <v>0</v>
      </c>
      <c r="CT399" s="498">
        <f t="shared" si="1113"/>
        <v>50.14</v>
      </c>
      <c r="CU399" s="498">
        <f t="shared" si="1114"/>
        <v>2120</v>
      </c>
      <c r="CV399" s="1554"/>
      <c r="CW399" s="1343" t="s">
        <v>7021</v>
      </c>
      <c r="CX399" s="1343" t="s">
        <v>7139</v>
      </c>
      <c r="CY399" s="472"/>
      <c r="CZ399" s="514" t="s">
        <v>6510</v>
      </c>
      <c r="DA399" s="514" t="s">
        <v>6198</v>
      </c>
      <c r="DB399" s="514" t="s">
        <v>6265</v>
      </c>
      <c r="DC399" s="514" t="s">
        <v>6271</v>
      </c>
      <c r="DD399" s="472"/>
      <c r="DE399" s="472"/>
      <c r="DF399" s="472"/>
      <c r="DG399" s="472"/>
      <c r="DH399" s="472"/>
      <c r="DJ399" s="473" t="str">
        <f>VLOOKUP(X399,Hoja1!$A$4:$B$10,2,0)</f>
        <v>BACHILLER</v>
      </c>
      <c r="DK399" s="473" t="str">
        <f>VLOOKUP(S399,Hoja1!$D$4:$F$77,3,0)</f>
        <v>GRADO (3) - MÁX</v>
      </c>
      <c r="DL399" s="1216" t="str">
        <f t="shared" si="1115"/>
        <v>0</v>
      </c>
      <c r="DM399" s="1741" t="str">
        <f t="shared" si="1116"/>
        <v>M</v>
      </c>
      <c r="DN399" s="1741"/>
    </row>
    <row r="400" spans="1:118" s="473" customFormat="1" ht="21.95" customHeight="1">
      <c r="A400" s="510" t="s">
        <v>2834</v>
      </c>
      <c r="B400" s="1390">
        <f t="shared" ca="1" si="1136"/>
        <v>89</v>
      </c>
      <c r="C400" s="1028">
        <v>27470077</v>
      </c>
      <c r="D400" s="1343" t="s">
        <v>5043</v>
      </c>
      <c r="E400" s="1180" t="s">
        <v>4622</v>
      </c>
      <c r="F400" s="1161">
        <v>35661</v>
      </c>
      <c r="G400" s="1180" t="s">
        <v>4620</v>
      </c>
      <c r="H400" s="1161">
        <v>44743</v>
      </c>
      <c r="I400" s="1185">
        <f t="shared" si="1090"/>
        <v>2</v>
      </c>
      <c r="J400" s="1177">
        <v>0</v>
      </c>
      <c r="K400" s="1185">
        <f t="shared" si="1091"/>
        <v>2</v>
      </c>
      <c r="L400" s="1191" t="s">
        <v>5542</v>
      </c>
      <c r="M400" s="1177"/>
      <c r="N400" s="1177"/>
      <c r="O400" s="1040" t="s">
        <v>5088</v>
      </c>
      <c r="P400" s="1177" t="s">
        <v>5182</v>
      </c>
      <c r="Q400" s="1391">
        <v>7102</v>
      </c>
      <c r="R400" s="1514" t="s">
        <v>5088</v>
      </c>
      <c r="S400" s="1513">
        <v>1</v>
      </c>
      <c r="T400" s="1150">
        <f>IFERROR(VLOOKUP(S400,'TAB OBR'!A:B,2,0),0)</f>
        <v>130</v>
      </c>
      <c r="U400" s="1151">
        <v>0</v>
      </c>
      <c r="V400" s="1150">
        <f t="shared" si="1117"/>
        <v>130</v>
      </c>
      <c r="W400" s="1151">
        <f t="shared" si="1118"/>
        <v>65</v>
      </c>
      <c r="X400" s="1180" t="s">
        <v>2884</v>
      </c>
      <c r="Y400" s="1180" t="s">
        <v>2884</v>
      </c>
      <c r="Z400" s="1180">
        <v>1</v>
      </c>
      <c r="AA400" s="1150">
        <f>ROUND(IF(H400&lt;&gt;"",VLOOKUP(SUM(I400+J400),'CONCEPTOS Y PARAMETROS'!F:G,2,0)*V400,0),2)</f>
        <v>2.6</v>
      </c>
      <c r="AB400" s="1150">
        <f>IF(S400&lt;&gt;"",IF(M400="",'CONCEPTOS Y PARAMETROS'!$C$4,0),0)</f>
        <v>130</v>
      </c>
      <c r="AC400" s="1150">
        <f>IF(S400&lt;&gt;"",IF(M400="",'CONCEPTOS Y PARAMETROS'!$C$7*Z400,0),0)</f>
        <v>12.5</v>
      </c>
      <c r="AD400" s="1150">
        <f>IFERROR(ROUND(VLOOKUP($X400,'CONCEPTOS Y PARAMETROS'!H:I,2,0)*($V400+AA400+AB400+AC400),2),0)</f>
        <v>0</v>
      </c>
      <c r="AE400" s="1150">
        <f t="shared" si="1119"/>
        <v>145.1</v>
      </c>
      <c r="AF400" s="1150">
        <f t="shared" si="1120"/>
        <v>1.3</v>
      </c>
      <c r="AG400" s="1150">
        <f t="shared" si="1121"/>
        <v>1.3</v>
      </c>
      <c r="AH400" s="1150">
        <f t="shared" si="1122"/>
        <v>65</v>
      </c>
      <c r="AI400" s="1150">
        <f t="shared" si="1123"/>
        <v>65</v>
      </c>
      <c r="AJ400" s="1150">
        <f t="shared" si="1124"/>
        <v>0</v>
      </c>
      <c r="AK400" s="1150">
        <f t="shared" si="1125"/>
        <v>0</v>
      </c>
      <c r="AL400" s="1151">
        <f t="shared" si="1126"/>
        <v>78.8</v>
      </c>
      <c r="AM400" s="1151">
        <f t="shared" si="1127"/>
        <v>66.3</v>
      </c>
      <c r="AN400" s="1028">
        <v>0</v>
      </c>
      <c r="AO400" s="1193">
        <f>'CONCEPTOS Y PARAMETROS'!$C$18*AN400</f>
        <v>0</v>
      </c>
      <c r="AP400" s="1028">
        <v>0</v>
      </c>
      <c r="AQ400" s="1193">
        <f>'CONCEPTOS Y PARAMETROS'!$C$21*AP400</f>
        <v>0</v>
      </c>
      <c r="AR400" s="1394">
        <v>0</v>
      </c>
      <c r="AS400" s="1394">
        <v>0</v>
      </c>
      <c r="AT400" s="1394">
        <f t="shared" si="1092"/>
        <v>0</v>
      </c>
      <c r="AU400" s="1151">
        <f t="shared" si="1128"/>
        <v>275.10000000000002</v>
      </c>
      <c r="AV400" s="1178">
        <v>0</v>
      </c>
      <c r="AW400" s="1151">
        <f t="shared" si="1129"/>
        <v>0</v>
      </c>
      <c r="AX400" s="1150">
        <f>IF(T400&lt;&gt;"0",(ROUND(IF(A400="EMPLEADO",eval_formula('CONCEPTOS Y PARAMETROS'!$C$8,NOMINA!V400,NOMINA!$AU400,NOMINA!I400+NOMINA!J400),eval_formula('CONCEPTOS Y PARAMETROS'!$D$8,NOMINA!V400,NOMINA!$AU400,NOMINA!I400+NOMINA!J400)),2))*IF(H400&lt;&gt;"",IF(MONTH(H400)=$BR$8,IF(YEAR(H400)&lt;$BT$7,1,0),0)))</f>
        <v>0</v>
      </c>
      <c r="AY400" s="1151">
        <v>180</v>
      </c>
      <c r="AZ400" s="1150">
        <f>IFERROR(VLOOKUP(AY400,'CONCEPTOS Y PARAMETROS'!Y:Z,2,0),0)</f>
        <v>150</v>
      </c>
      <c r="BA400" s="1150">
        <f t="shared" si="1130"/>
        <v>2063.25</v>
      </c>
      <c r="BB400" s="1150">
        <f t="shared" si="1131"/>
        <v>0</v>
      </c>
      <c r="BC400" s="1028">
        <v>0</v>
      </c>
      <c r="BD400" s="1150" t="str">
        <f t="shared" si="1132"/>
        <v>0</v>
      </c>
      <c r="BE400" s="1028">
        <v>0</v>
      </c>
      <c r="BF400" s="1150">
        <f t="shared" si="1093"/>
        <v>0</v>
      </c>
      <c r="BG400" s="1151">
        <v>290</v>
      </c>
      <c r="BH400" s="1151">
        <f t="shared" si="1094"/>
        <v>0</v>
      </c>
      <c r="BI400" s="1151">
        <v>0</v>
      </c>
      <c r="BJ400" s="1151">
        <f t="shared" si="1095"/>
        <v>0</v>
      </c>
      <c r="BK400" s="1151">
        <v>0</v>
      </c>
      <c r="BL400" s="1150">
        <f t="shared" si="1140"/>
        <v>10.16</v>
      </c>
      <c r="BM400" s="1150">
        <f t="shared" si="1141"/>
        <v>1.27</v>
      </c>
      <c r="BN400" s="1150">
        <f t="shared" si="1096"/>
        <v>2.75</v>
      </c>
      <c r="BO400" s="1150">
        <v>0</v>
      </c>
      <c r="BP400" s="1150">
        <v>0</v>
      </c>
      <c r="BQ400" s="1396">
        <f t="shared" si="1133"/>
        <v>14.18</v>
      </c>
      <c r="BR400" s="1150">
        <f t="shared" si="1142"/>
        <v>22.85</v>
      </c>
      <c r="BS400" s="1150">
        <f t="shared" si="1143"/>
        <v>5.08</v>
      </c>
      <c r="BT400" s="1150">
        <f t="shared" si="1097"/>
        <v>5.5</v>
      </c>
      <c r="BU400" s="1150">
        <v>0</v>
      </c>
      <c r="BV400" s="1151">
        <f t="shared" si="1134"/>
        <v>33.43</v>
      </c>
      <c r="BW400" s="1155">
        <f t="shared" si="1135"/>
        <v>47.61</v>
      </c>
      <c r="BX400" s="1155">
        <f t="shared" si="1199"/>
        <v>515.80999999999995</v>
      </c>
      <c r="BY400" s="1151">
        <v>0</v>
      </c>
      <c r="BZ400" s="1151">
        <f t="shared" si="1098"/>
        <v>515.80999999999995</v>
      </c>
      <c r="CA400" s="1397">
        <f>'CONCEPTOS Y PARAMETROS'!$A$102</f>
        <v>2120</v>
      </c>
      <c r="CB400" s="1155">
        <f t="shared" si="1099"/>
        <v>129.62</v>
      </c>
      <c r="CC400" s="1156">
        <f t="shared" si="1100"/>
        <v>421.3</v>
      </c>
      <c r="CD400" s="514"/>
      <c r="CE400" s="514"/>
      <c r="CF400" s="520"/>
      <c r="CG400" s="497">
        <f t="shared" si="1101"/>
        <v>129.62</v>
      </c>
      <c r="CH400" s="1711">
        <f t="shared" si="1102"/>
        <v>290</v>
      </c>
      <c r="CI400" s="497">
        <f t="shared" si="1103"/>
        <v>421.3</v>
      </c>
      <c r="CJ400" s="497">
        <f t="shared" si="1104"/>
        <v>421.3</v>
      </c>
      <c r="CK400" s="497">
        <f t="shared" si="1105"/>
        <v>0</v>
      </c>
      <c r="CL400" s="497">
        <f t="shared" si="1106"/>
        <v>0</v>
      </c>
      <c r="CM400" s="497">
        <f t="shared" si="1107"/>
        <v>0</v>
      </c>
      <c r="CN400" s="498">
        <f t="shared" si="1108"/>
        <v>0</v>
      </c>
      <c r="CO400" s="499">
        <v>0</v>
      </c>
      <c r="CP400" s="498">
        <f t="shared" si="1109"/>
        <v>0</v>
      </c>
      <c r="CQ400" s="500">
        <f t="shared" si="1110"/>
        <v>0</v>
      </c>
      <c r="CR400" s="498">
        <f t="shared" si="1111"/>
        <v>0</v>
      </c>
      <c r="CS400" s="498">
        <f t="shared" si="1112"/>
        <v>0</v>
      </c>
      <c r="CT400" s="498">
        <f t="shared" si="1113"/>
        <v>47.61</v>
      </c>
      <c r="CU400" s="498">
        <f t="shared" si="1114"/>
        <v>2120</v>
      </c>
      <c r="CV400" s="1554"/>
      <c r="CW400" s="1343" t="s">
        <v>6998</v>
      </c>
      <c r="CX400" s="1343" t="s">
        <v>7361</v>
      </c>
      <c r="CY400" s="472"/>
      <c r="CZ400" s="514" t="s">
        <v>6554</v>
      </c>
      <c r="DA400" s="514" t="s">
        <v>6173</v>
      </c>
      <c r="DB400" s="514" t="s">
        <v>6213</v>
      </c>
      <c r="DC400" s="514" t="s">
        <v>6625</v>
      </c>
      <c r="DD400" s="472"/>
      <c r="DE400" s="472"/>
      <c r="DF400" s="472"/>
      <c r="DG400" s="472"/>
      <c r="DH400" s="472"/>
      <c r="DJ400" s="473" t="str">
        <f>VLOOKUP(X400,Hoja1!$A$4:$B$10,2,0)</f>
        <v>BACHILLER</v>
      </c>
      <c r="DK400" s="473" t="str">
        <f>VLOOKUP(S400,Hoja1!$D$4:$F$77,3,0)</f>
        <v>GRADO (1) - MIN</v>
      </c>
      <c r="DL400" s="1216" t="str">
        <f t="shared" si="1115"/>
        <v>0</v>
      </c>
      <c r="DM400" s="1741" t="str">
        <f t="shared" si="1116"/>
        <v>F</v>
      </c>
      <c r="DN400" s="1741"/>
    </row>
    <row r="401" spans="1:118" s="473" customFormat="1" ht="21.95" customHeight="1">
      <c r="A401" s="510" t="s">
        <v>2834</v>
      </c>
      <c r="B401" s="1390">
        <f t="shared" ca="1" si="1136"/>
        <v>90</v>
      </c>
      <c r="C401" s="1028">
        <v>29539270</v>
      </c>
      <c r="D401" s="1343" t="s">
        <v>5044</v>
      </c>
      <c r="E401" s="1180" t="s">
        <v>4622</v>
      </c>
      <c r="F401" s="1161">
        <v>36956</v>
      </c>
      <c r="G401" s="1180" t="s">
        <v>4621</v>
      </c>
      <c r="H401" s="1161">
        <v>44287</v>
      </c>
      <c r="I401" s="1185">
        <f t="shared" si="1090"/>
        <v>3</v>
      </c>
      <c r="J401" s="1177">
        <v>0</v>
      </c>
      <c r="K401" s="1185">
        <f t="shared" si="1091"/>
        <v>3</v>
      </c>
      <c r="L401" s="1191" t="s">
        <v>5543</v>
      </c>
      <c r="M401" s="1177"/>
      <c r="N401" s="1177"/>
      <c r="O401" s="1040" t="s">
        <v>5084</v>
      </c>
      <c r="P401" s="1177" t="s">
        <v>5183</v>
      </c>
      <c r="Q401" s="1391">
        <v>7152</v>
      </c>
      <c r="R401" s="1514" t="s">
        <v>5084</v>
      </c>
      <c r="S401" s="1513">
        <v>3</v>
      </c>
      <c r="T401" s="1150">
        <f>IFERROR(VLOOKUP(S401,'TAB OBR'!A:B,2,0),0)</f>
        <v>152</v>
      </c>
      <c r="U401" s="1151">
        <v>0</v>
      </c>
      <c r="V401" s="1150">
        <f t="shared" si="1117"/>
        <v>152</v>
      </c>
      <c r="W401" s="1151">
        <f t="shared" si="1118"/>
        <v>76</v>
      </c>
      <c r="X401" s="1180" t="s">
        <v>2884</v>
      </c>
      <c r="Y401" s="1180" t="s">
        <v>2884</v>
      </c>
      <c r="Z401" s="1180">
        <v>0</v>
      </c>
      <c r="AA401" s="1150">
        <f>ROUND(IF(H401&lt;&gt;"",VLOOKUP(SUM(I401+J401),'CONCEPTOS Y PARAMETROS'!F:G,2,0)*V401,0),2)</f>
        <v>4.5599999999999996</v>
      </c>
      <c r="AB401" s="1150">
        <f>IF(S401&lt;&gt;"",IF(M401="",'CONCEPTOS Y PARAMETROS'!$C$4,0),0)</f>
        <v>130</v>
      </c>
      <c r="AC401" s="1150">
        <f>IF(S401&lt;&gt;"",IF(M401="",'CONCEPTOS Y PARAMETROS'!$C$7*Z401,0),0)</f>
        <v>0</v>
      </c>
      <c r="AD401" s="1150">
        <f>IFERROR(ROUND(VLOOKUP($X401,'CONCEPTOS Y PARAMETROS'!H:I,2,0)*($V401+AA401+AB401+AC401),2),0)</f>
        <v>0</v>
      </c>
      <c r="AE401" s="1150">
        <f t="shared" si="1119"/>
        <v>134.56</v>
      </c>
      <c r="AF401" s="1150">
        <f t="shared" si="1120"/>
        <v>2.2799999999999998</v>
      </c>
      <c r="AG401" s="1150">
        <f t="shared" si="1121"/>
        <v>2.2799999999999998</v>
      </c>
      <c r="AH401" s="1150">
        <f t="shared" si="1122"/>
        <v>65</v>
      </c>
      <c r="AI401" s="1150">
        <f t="shared" si="1123"/>
        <v>65</v>
      </c>
      <c r="AJ401" s="1150">
        <f t="shared" si="1124"/>
        <v>0</v>
      </c>
      <c r="AK401" s="1150">
        <f t="shared" si="1125"/>
        <v>0</v>
      </c>
      <c r="AL401" s="1151">
        <f t="shared" si="1126"/>
        <v>67.28</v>
      </c>
      <c r="AM401" s="1151">
        <f t="shared" si="1127"/>
        <v>67.28</v>
      </c>
      <c r="AN401" s="1028">
        <v>0</v>
      </c>
      <c r="AO401" s="1193">
        <f>'CONCEPTOS Y PARAMETROS'!$C$18*AN401</f>
        <v>0</v>
      </c>
      <c r="AP401" s="1028">
        <v>0</v>
      </c>
      <c r="AQ401" s="1193">
        <f>'CONCEPTOS Y PARAMETROS'!$C$21*AP401</f>
        <v>0</v>
      </c>
      <c r="AR401" s="1394">
        <v>0</v>
      </c>
      <c r="AS401" s="1394">
        <v>0</v>
      </c>
      <c r="AT401" s="1394">
        <f t="shared" si="1092"/>
        <v>0</v>
      </c>
      <c r="AU401" s="1151">
        <f t="shared" si="1128"/>
        <v>286.56</v>
      </c>
      <c r="AV401" s="1178">
        <v>0</v>
      </c>
      <c r="AW401" s="1151">
        <f t="shared" si="1129"/>
        <v>0</v>
      </c>
      <c r="AX401" s="1150">
        <f>IF(T401&lt;&gt;"0",(ROUND(IF(A401="EMPLEADO",eval_formula('CONCEPTOS Y PARAMETROS'!$C$8,NOMINA!V401,NOMINA!$AU401,NOMINA!I401+NOMINA!J401),eval_formula('CONCEPTOS Y PARAMETROS'!$D$8,NOMINA!V401,NOMINA!$AU401,NOMINA!I401+NOMINA!J401)),2))*IF(H401&lt;&gt;"",IF(MONTH(H401)=$BR$8,IF(YEAR(H401)&lt;$BT$7,1,0),0)))</f>
        <v>0</v>
      </c>
      <c r="AY401" s="1151">
        <v>180</v>
      </c>
      <c r="AZ401" s="1150">
        <f>IFERROR(VLOOKUP(AY401,'CONCEPTOS Y PARAMETROS'!Y:Z,2,0),0)</f>
        <v>150</v>
      </c>
      <c r="BA401" s="1150">
        <f t="shared" si="1130"/>
        <v>2149.1999999999998</v>
      </c>
      <c r="BB401" s="1150">
        <f t="shared" si="1131"/>
        <v>0</v>
      </c>
      <c r="BC401" s="1028">
        <v>0</v>
      </c>
      <c r="BD401" s="1150" t="str">
        <f t="shared" si="1132"/>
        <v>0</v>
      </c>
      <c r="BE401" s="1028">
        <v>0</v>
      </c>
      <c r="BF401" s="1150">
        <f t="shared" si="1093"/>
        <v>0</v>
      </c>
      <c r="BG401" s="1151">
        <v>290</v>
      </c>
      <c r="BH401" s="1151">
        <f t="shared" si="1094"/>
        <v>0</v>
      </c>
      <c r="BI401" s="1151">
        <v>0</v>
      </c>
      <c r="BJ401" s="1151">
        <f t="shared" si="1095"/>
        <v>0</v>
      </c>
      <c r="BK401" s="1151">
        <v>0</v>
      </c>
      <c r="BL401" s="1150">
        <f t="shared" si="1140"/>
        <v>10.58</v>
      </c>
      <c r="BM401" s="1150">
        <f t="shared" si="1141"/>
        <v>1.32</v>
      </c>
      <c r="BN401" s="1150">
        <f t="shared" si="1096"/>
        <v>2.87</v>
      </c>
      <c r="BO401" s="1150">
        <v>0</v>
      </c>
      <c r="BP401" s="1150">
        <v>0</v>
      </c>
      <c r="BQ401" s="1396">
        <f t="shared" si="1133"/>
        <v>14.77</v>
      </c>
      <c r="BR401" s="1150">
        <f t="shared" si="1142"/>
        <v>23.81</v>
      </c>
      <c r="BS401" s="1150">
        <f t="shared" si="1143"/>
        <v>5.29</v>
      </c>
      <c r="BT401" s="1150">
        <f t="shared" si="1097"/>
        <v>5.74</v>
      </c>
      <c r="BU401" s="1150">
        <v>0</v>
      </c>
      <c r="BV401" s="1151">
        <f t="shared" si="1134"/>
        <v>34.840000000000003</v>
      </c>
      <c r="BW401" s="1155">
        <f t="shared" si="1135"/>
        <v>49.61</v>
      </c>
      <c r="BX401" s="1155">
        <f t="shared" si="1199"/>
        <v>537.29999999999995</v>
      </c>
      <c r="BY401" s="1151">
        <v>0</v>
      </c>
      <c r="BZ401" s="1151">
        <f t="shared" si="1098"/>
        <v>537.29999999999995</v>
      </c>
      <c r="CA401" s="1397">
        <f>'CONCEPTOS Y PARAMETROS'!$A$102</f>
        <v>2120</v>
      </c>
      <c r="CB401" s="1155">
        <f t="shared" si="1099"/>
        <v>128.51</v>
      </c>
      <c r="CC401" s="1156">
        <f t="shared" si="1100"/>
        <v>433.28</v>
      </c>
      <c r="CD401" s="514"/>
      <c r="CE401" s="514"/>
      <c r="CF401" s="520"/>
      <c r="CG401" s="497">
        <f t="shared" si="1101"/>
        <v>128.51</v>
      </c>
      <c r="CH401" s="1711">
        <f t="shared" si="1102"/>
        <v>290</v>
      </c>
      <c r="CI401" s="497">
        <f t="shared" si="1103"/>
        <v>433.28</v>
      </c>
      <c r="CJ401" s="497">
        <f t="shared" si="1104"/>
        <v>433.28</v>
      </c>
      <c r="CK401" s="497">
        <f t="shared" si="1105"/>
        <v>0</v>
      </c>
      <c r="CL401" s="497">
        <f t="shared" si="1106"/>
        <v>0</v>
      </c>
      <c r="CM401" s="497">
        <f t="shared" si="1107"/>
        <v>0</v>
      </c>
      <c r="CN401" s="498">
        <f t="shared" si="1108"/>
        <v>0</v>
      </c>
      <c r="CO401" s="499">
        <v>0</v>
      </c>
      <c r="CP401" s="498">
        <f t="shared" si="1109"/>
        <v>0</v>
      </c>
      <c r="CQ401" s="500">
        <f t="shared" si="1110"/>
        <v>0</v>
      </c>
      <c r="CR401" s="498">
        <f t="shared" si="1111"/>
        <v>0</v>
      </c>
      <c r="CS401" s="498">
        <f t="shared" si="1112"/>
        <v>0</v>
      </c>
      <c r="CT401" s="498">
        <f t="shared" si="1113"/>
        <v>49.61</v>
      </c>
      <c r="CU401" s="498">
        <f t="shared" si="1114"/>
        <v>2120</v>
      </c>
      <c r="CV401" s="1554"/>
      <c r="CW401" s="1343" t="s">
        <v>6974</v>
      </c>
      <c r="CX401" s="1343" t="s">
        <v>7362</v>
      </c>
      <c r="CY401" s="472"/>
      <c r="CZ401" s="514" t="s">
        <v>6555</v>
      </c>
      <c r="DA401" s="514" t="s">
        <v>6181</v>
      </c>
      <c r="DB401" s="1199" t="s">
        <v>6180</v>
      </c>
      <c r="DC401" s="514" t="s">
        <v>6731</v>
      </c>
      <c r="DD401" s="472"/>
      <c r="DE401" s="472"/>
      <c r="DF401" s="472"/>
      <c r="DG401" s="472"/>
      <c r="DH401" s="472"/>
      <c r="DJ401" s="473" t="str">
        <f>VLOOKUP(X401,Hoja1!$A$4:$B$10,2,0)</f>
        <v>BACHILLER</v>
      </c>
      <c r="DK401" s="473" t="str">
        <f>VLOOKUP(S401,Hoja1!$D$4:$F$77,3,0)</f>
        <v>GRADO (3) - MÁX</v>
      </c>
      <c r="DL401" s="1216" t="str">
        <f t="shared" si="1115"/>
        <v>0</v>
      </c>
      <c r="DM401" s="1741" t="str">
        <f t="shared" si="1116"/>
        <v>M</v>
      </c>
      <c r="DN401" s="1741"/>
    </row>
    <row r="402" spans="1:118" s="473" customFormat="1" ht="21.95" customHeight="1">
      <c r="A402" s="510" t="s">
        <v>2834</v>
      </c>
      <c r="B402" s="1390">
        <f t="shared" ca="1" si="1136"/>
        <v>91</v>
      </c>
      <c r="C402" s="1028">
        <v>29994277</v>
      </c>
      <c r="D402" s="1343" t="s">
        <v>5045</v>
      </c>
      <c r="E402" s="1180" t="s">
        <v>4622</v>
      </c>
      <c r="F402" s="1161">
        <v>36612</v>
      </c>
      <c r="G402" s="1180" t="s">
        <v>4621</v>
      </c>
      <c r="H402" s="1161">
        <v>44562</v>
      </c>
      <c r="I402" s="1185">
        <f t="shared" si="1090"/>
        <v>3</v>
      </c>
      <c r="J402" s="1177">
        <v>0</v>
      </c>
      <c r="K402" s="1185">
        <f t="shared" si="1091"/>
        <v>3</v>
      </c>
      <c r="L402" s="1191" t="s">
        <v>5558</v>
      </c>
      <c r="M402" s="1177"/>
      <c r="N402" s="1177"/>
      <c r="O402" s="1040" t="s">
        <v>5084</v>
      </c>
      <c r="P402" s="1177" t="s">
        <v>5184</v>
      </c>
      <c r="Q402" s="1391">
        <v>7152</v>
      </c>
      <c r="R402" s="1514" t="s">
        <v>5084</v>
      </c>
      <c r="S402" s="1513">
        <v>3</v>
      </c>
      <c r="T402" s="1150">
        <f>IFERROR(VLOOKUP(S402,'TAB OBR'!A:B,2,0),0)</f>
        <v>152</v>
      </c>
      <c r="U402" s="1151">
        <v>0</v>
      </c>
      <c r="V402" s="1150">
        <f t="shared" si="1117"/>
        <v>152</v>
      </c>
      <c r="W402" s="1151">
        <f t="shared" si="1118"/>
        <v>76</v>
      </c>
      <c r="X402" s="1180" t="s">
        <v>2884</v>
      </c>
      <c r="Y402" s="1180" t="s">
        <v>2884</v>
      </c>
      <c r="Z402" s="1180">
        <v>0</v>
      </c>
      <c r="AA402" s="1150">
        <f>ROUND(IF(H402&lt;&gt;"",VLOOKUP(SUM(I402+J402),'CONCEPTOS Y PARAMETROS'!F:G,2,0)*V402,0),2)</f>
        <v>4.5599999999999996</v>
      </c>
      <c r="AB402" s="1150">
        <f>IF(S402&lt;&gt;"",IF(M402="",'CONCEPTOS Y PARAMETROS'!$C$4,0),0)</f>
        <v>130</v>
      </c>
      <c r="AC402" s="1150">
        <f>IF(S402&lt;&gt;"",IF(M402="",'CONCEPTOS Y PARAMETROS'!$C$7*Z402,0),0)</f>
        <v>0</v>
      </c>
      <c r="AD402" s="1150">
        <f>IFERROR(ROUND(VLOOKUP($X402,'CONCEPTOS Y PARAMETROS'!H:I,2,0)*($V402+AA402+AB402+AC402),2),0)</f>
        <v>0</v>
      </c>
      <c r="AE402" s="1150">
        <f t="shared" si="1119"/>
        <v>134.56</v>
      </c>
      <c r="AF402" s="1150">
        <f t="shared" si="1120"/>
        <v>2.2799999999999998</v>
      </c>
      <c r="AG402" s="1150">
        <f t="shared" si="1121"/>
        <v>2.2799999999999998</v>
      </c>
      <c r="AH402" s="1150">
        <f t="shared" si="1122"/>
        <v>65</v>
      </c>
      <c r="AI402" s="1150">
        <f t="shared" si="1123"/>
        <v>65</v>
      </c>
      <c r="AJ402" s="1150">
        <f t="shared" si="1124"/>
        <v>0</v>
      </c>
      <c r="AK402" s="1150">
        <f t="shared" si="1125"/>
        <v>0</v>
      </c>
      <c r="AL402" s="1151">
        <f t="shared" si="1126"/>
        <v>67.28</v>
      </c>
      <c r="AM402" s="1151">
        <f t="shared" si="1127"/>
        <v>67.28</v>
      </c>
      <c r="AN402" s="1028">
        <v>0</v>
      </c>
      <c r="AO402" s="1193">
        <f>'CONCEPTOS Y PARAMETROS'!$C$18*AN402</f>
        <v>0</v>
      </c>
      <c r="AP402" s="1028">
        <v>0</v>
      </c>
      <c r="AQ402" s="1193">
        <f>'CONCEPTOS Y PARAMETROS'!$C$21*AP402</f>
        <v>0</v>
      </c>
      <c r="AR402" s="1394">
        <v>0</v>
      </c>
      <c r="AS402" s="1394">
        <v>0</v>
      </c>
      <c r="AT402" s="1394">
        <f t="shared" si="1092"/>
        <v>0</v>
      </c>
      <c r="AU402" s="1151">
        <f t="shared" si="1128"/>
        <v>286.56</v>
      </c>
      <c r="AV402" s="1178">
        <v>0</v>
      </c>
      <c r="AW402" s="1151">
        <f t="shared" si="1129"/>
        <v>0</v>
      </c>
      <c r="AX402" s="1150">
        <f>IF(T402&lt;&gt;"0",(ROUND(IF(A402="EMPLEADO",eval_formula('CONCEPTOS Y PARAMETROS'!$C$8,NOMINA!V402,NOMINA!$AU402,NOMINA!I402+NOMINA!J402),eval_formula('CONCEPTOS Y PARAMETROS'!$D$8,NOMINA!V402,NOMINA!$AU402,NOMINA!I402+NOMINA!J402)),2))*IF(H402&lt;&gt;"",IF(MONTH(H402)=$BR$8,IF(YEAR(H402)&lt;$BT$7,1,0),0)))</f>
        <v>2292.48</v>
      </c>
      <c r="AY402" s="1151">
        <v>180</v>
      </c>
      <c r="AZ402" s="1150">
        <f>IFERROR(VLOOKUP(AY402,'CONCEPTOS Y PARAMETROS'!Y:Z,2,0),0)</f>
        <v>150</v>
      </c>
      <c r="BA402" s="1150">
        <f t="shared" si="1130"/>
        <v>2149.1999999999998</v>
      </c>
      <c r="BB402" s="1150">
        <f t="shared" si="1131"/>
        <v>0</v>
      </c>
      <c r="BC402" s="1028">
        <v>0</v>
      </c>
      <c r="BD402" s="1150" t="str">
        <f t="shared" si="1132"/>
        <v>0</v>
      </c>
      <c r="BE402" s="1028">
        <v>2</v>
      </c>
      <c r="BF402" s="1150">
        <f t="shared" si="1093"/>
        <v>28.66</v>
      </c>
      <c r="BG402" s="1151">
        <v>290</v>
      </c>
      <c r="BH402" s="1151">
        <f t="shared" si="1094"/>
        <v>0</v>
      </c>
      <c r="BI402" s="1151">
        <v>0</v>
      </c>
      <c r="BJ402" s="1151">
        <f t="shared" si="1095"/>
        <v>0</v>
      </c>
      <c r="BK402" s="1151">
        <v>0</v>
      </c>
      <c r="BL402" s="1150">
        <f t="shared" si="1140"/>
        <v>10.58</v>
      </c>
      <c r="BM402" s="1150">
        <f t="shared" si="1141"/>
        <v>1.32</v>
      </c>
      <c r="BN402" s="1150">
        <f t="shared" si="1096"/>
        <v>2.87</v>
      </c>
      <c r="BO402" s="1150">
        <v>0</v>
      </c>
      <c r="BP402" s="1150">
        <v>0</v>
      </c>
      <c r="BQ402" s="1396">
        <f t="shared" si="1133"/>
        <v>14.77</v>
      </c>
      <c r="BR402" s="1150">
        <f t="shared" si="1142"/>
        <v>23.81</v>
      </c>
      <c r="BS402" s="1150">
        <f t="shared" si="1143"/>
        <v>5.29</v>
      </c>
      <c r="BT402" s="1150">
        <f t="shared" si="1097"/>
        <v>5.74</v>
      </c>
      <c r="BU402" s="1150">
        <v>0</v>
      </c>
      <c r="BV402" s="1151">
        <f t="shared" si="1134"/>
        <v>34.840000000000003</v>
      </c>
      <c r="BW402" s="1155">
        <f t="shared" si="1135"/>
        <v>49.61</v>
      </c>
      <c r="BX402" s="1155">
        <f t="shared" si="1199"/>
        <v>537.29999999999995</v>
      </c>
      <c r="BY402" s="1151">
        <v>0</v>
      </c>
      <c r="BZ402" s="1151">
        <f t="shared" si="1098"/>
        <v>537.29999999999995</v>
      </c>
      <c r="CA402" s="1397">
        <f>'CONCEPTOS Y PARAMETROS'!$A$102</f>
        <v>2120</v>
      </c>
      <c r="CB402" s="1155">
        <f t="shared" si="1099"/>
        <v>128.51</v>
      </c>
      <c r="CC402" s="1156">
        <f t="shared" si="1100"/>
        <v>2754.42</v>
      </c>
      <c r="CD402" s="514"/>
      <c r="CE402" s="514"/>
      <c r="CF402" s="520"/>
      <c r="CG402" s="497">
        <f t="shared" si="1101"/>
        <v>128.51</v>
      </c>
      <c r="CH402" s="1711">
        <f t="shared" si="1102"/>
        <v>290</v>
      </c>
      <c r="CI402" s="497">
        <f t="shared" si="1103"/>
        <v>433.28</v>
      </c>
      <c r="CJ402" s="497">
        <f t="shared" si="1104"/>
        <v>433.28</v>
      </c>
      <c r="CK402" s="497">
        <f t="shared" si="1105"/>
        <v>0</v>
      </c>
      <c r="CL402" s="497">
        <f t="shared" si="1106"/>
        <v>0</v>
      </c>
      <c r="CM402" s="497">
        <f t="shared" si="1107"/>
        <v>0</v>
      </c>
      <c r="CN402" s="498">
        <f t="shared" si="1108"/>
        <v>28.66</v>
      </c>
      <c r="CO402" s="499">
        <v>0</v>
      </c>
      <c r="CP402" s="498">
        <f t="shared" si="1109"/>
        <v>0</v>
      </c>
      <c r="CQ402" s="500">
        <f t="shared" si="1110"/>
        <v>0</v>
      </c>
      <c r="CR402" s="498">
        <f t="shared" si="1111"/>
        <v>2292.48</v>
      </c>
      <c r="CS402" s="498">
        <f t="shared" si="1112"/>
        <v>2321.14</v>
      </c>
      <c r="CT402" s="498">
        <f t="shared" si="1113"/>
        <v>49.61</v>
      </c>
      <c r="CU402" s="498">
        <f t="shared" si="1114"/>
        <v>2120</v>
      </c>
      <c r="CV402" s="1554"/>
      <c r="CW402" s="1343" t="s">
        <v>7081</v>
      </c>
      <c r="CX402" s="1343" t="s">
        <v>6944</v>
      </c>
      <c r="CY402" s="472"/>
      <c r="CZ402" s="1199" t="s">
        <v>6667</v>
      </c>
      <c r="DA402" s="514" t="s">
        <v>6198</v>
      </c>
      <c r="DB402" s="514" t="s">
        <v>6265</v>
      </c>
      <c r="DC402" s="514" t="s">
        <v>6271</v>
      </c>
      <c r="DD402" s="472"/>
      <c r="DE402" s="472"/>
      <c r="DF402" s="472"/>
      <c r="DG402" s="472"/>
      <c r="DH402" s="472"/>
      <c r="DJ402" s="473" t="str">
        <f>VLOOKUP(X402,Hoja1!$A$4:$B$10,2,0)</f>
        <v>BACHILLER</v>
      </c>
      <c r="DK402" s="473" t="str">
        <f>VLOOKUP(S402,Hoja1!$D$4:$F$77,3,0)</f>
        <v>GRADO (3) - MÁX</v>
      </c>
      <c r="DL402" s="1216" t="str">
        <f t="shared" si="1115"/>
        <v>0</v>
      </c>
      <c r="DM402" s="1741" t="str">
        <f t="shared" si="1116"/>
        <v>M</v>
      </c>
      <c r="DN402" s="1741"/>
    </row>
    <row r="403" spans="1:118" s="473" customFormat="1" ht="21.95" customHeight="1" thickBot="1">
      <c r="A403" s="1527" t="s">
        <v>2834</v>
      </c>
      <c r="B403" s="415">
        <f t="shared" ca="1" si="1136"/>
        <v>92</v>
      </c>
      <c r="C403" s="416">
        <v>32084560</v>
      </c>
      <c r="D403" s="537" t="s">
        <v>5046</v>
      </c>
      <c r="E403" s="387" t="s">
        <v>4622</v>
      </c>
      <c r="F403" s="422">
        <v>37763</v>
      </c>
      <c r="G403" s="387" t="s">
        <v>4620</v>
      </c>
      <c r="H403" s="422">
        <v>44348</v>
      </c>
      <c r="I403" s="1528">
        <f t="shared" si="1090"/>
        <v>3</v>
      </c>
      <c r="J403" s="388">
        <v>0</v>
      </c>
      <c r="K403" s="1528">
        <f t="shared" si="1091"/>
        <v>3</v>
      </c>
      <c r="L403" s="1529" t="s">
        <v>5566</v>
      </c>
      <c r="M403" s="388"/>
      <c r="N403" s="388"/>
      <c r="O403" s="389" t="s">
        <v>5098</v>
      </c>
      <c r="P403" s="388" t="s">
        <v>5185</v>
      </c>
      <c r="Q403" s="1530">
        <v>2202</v>
      </c>
      <c r="R403" s="1544" t="s">
        <v>5098</v>
      </c>
      <c r="S403" s="418">
        <v>5</v>
      </c>
      <c r="T403" s="1389">
        <f>IFERROR(VLOOKUP(S403,'TAB OBR'!A:B,2,0),0)</f>
        <v>171</v>
      </c>
      <c r="U403" s="390">
        <v>0</v>
      </c>
      <c r="V403" s="1389">
        <f t="shared" si="1117"/>
        <v>171</v>
      </c>
      <c r="W403" s="390">
        <f t="shared" si="1118"/>
        <v>85.5</v>
      </c>
      <c r="X403" s="387" t="s">
        <v>2884</v>
      </c>
      <c r="Y403" s="387" t="s">
        <v>2884</v>
      </c>
      <c r="Z403" s="387">
        <v>0</v>
      </c>
      <c r="AA403" s="1389">
        <f>ROUND(IF(H403&lt;&gt;"",VLOOKUP(SUM(I403+J403),'CONCEPTOS Y PARAMETROS'!F:G,2,0)*V403,0),2)</f>
        <v>5.13</v>
      </c>
      <c r="AB403" s="1389">
        <f>IF(S403&lt;&gt;"",IF(M403="",'CONCEPTOS Y PARAMETROS'!$C$4,0),0)</f>
        <v>130</v>
      </c>
      <c r="AC403" s="1389">
        <f>IF(S403&lt;&gt;"",IF(M403="",'CONCEPTOS Y PARAMETROS'!$C$7*Z403,0),0)</f>
        <v>0</v>
      </c>
      <c r="AD403" s="1389">
        <f>IFERROR(ROUND(VLOOKUP($X403,'CONCEPTOS Y PARAMETROS'!H:I,2,0)*($V403+AA403+AB403+AC403),2),0)</f>
        <v>0</v>
      </c>
      <c r="AE403" s="1389">
        <f t="shared" si="1119"/>
        <v>135.13</v>
      </c>
      <c r="AF403" s="1389">
        <f t="shared" si="1120"/>
        <v>2.57</v>
      </c>
      <c r="AG403" s="1389">
        <f t="shared" si="1121"/>
        <v>2.56</v>
      </c>
      <c r="AH403" s="1389">
        <f t="shared" si="1122"/>
        <v>65</v>
      </c>
      <c r="AI403" s="1389">
        <f t="shared" si="1123"/>
        <v>65</v>
      </c>
      <c r="AJ403" s="1389">
        <f t="shared" si="1124"/>
        <v>0</v>
      </c>
      <c r="AK403" s="1389">
        <f t="shared" si="1125"/>
        <v>0</v>
      </c>
      <c r="AL403" s="390">
        <f t="shared" si="1126"/>
        <v>67.569999999999993</v>
      </c>
      <c r="AM403" s="390">
        <f t="shared" si="1127"/>
        <v>67.56</v>
      </c>
      <c r="AN403" s="416">
        <v>0</v>
      </c>
      <c r="AO403" s="1533">
        <f>'CONCEPTOS Y PARAMETROS'!$C$18*AN403</f>
        <v>0</v>
      </c>
      <c r="AP403" s="416">
        <v>0</v>
      </c>
      <c r="AQ403" s="1533">
        <f>'CONCEPTOS Y PARAMETROS'!$C$21*AP403</f>
        <v>0</v>
      </c>
      <c r="AR403" s="1534">
        <v>0</v>
      </c>
      <c r="AS403" s="1534">
        <v>0</v>
      </c>
      <c r="AT403" s="1534">
        <f t="shared" si="1092"/>
        <v>0</v>
      </c>
      <c r="AU403" s="390">
        <f t="shared" si="1128"/>
        <v>306.13</v>
      </c>
      <c r="AV403" s="1535">
        <v>0</v>
      </c>
      <c r="AW403" s="390">
        <f t="shared" si="1129"/>
        <v>0</v>
      </c>
      <c r="AX403" s="1389">
        <f>IF(T403&lt;&gt;"0",(ROUND(IF(A403="EMPLEADO",eval_formula('CONCEPTOS Y PARAMETROS'!$C$8,NOMINA!V403,NOMINA!$AU403,NOMINA!I403+NOMINA!J403),eval_formula('CONCEPTOS Y PARAMETROS'!$D$8,NOMINA!V403,NOMINA!$AU403,NOMINA!I403+NOMINA!J403)),2))*IF(H403&lt;&gt;"",IF(MONTH(H403)=$BR$8,IF(YEAR(H403)&lt;$BT$7,1,0),0)))</f>
        <v>0</v>
      </c>
      <c r="AY403" s="390">
        <v>180</v>
      </c>
      <c r="AZ403" s="1389">
        <f>IFERROR(VLOOKUP(AY403,'CONCEPTOS Y PARAMETROS'!Y:Z,2,0),0)</f>
        <v>150</v>
      </c>
      <c r="BA403" s="1389">
        <f t="shared" si="1130"/>
        <v>2295.98</v>
      </c>
      <c r="BB403" s="1389">
        <f t="shared" si="1131"/>
        <v>0</v>
      </c>
      <c r="BC403" s="416">
        <v>0</v>
      </c>
      <c r="BD403" s="1389" t="str">
        <f t="shared" si="1132"/>
        <v>0</v>
      </c>
      <c r="BE403" s="1028">
        <v>1</v>
      </c>
      <c r="BF403" s="1389">
        <f t="shared" si="1093"/>
        <v>15.31</v>
      </c>
      <c r="BG403" s="390">
        <v>290</v>
      </c>
      <c r="BH403" s="390">
        <f t="shared" si="1094"/>
        <v>0</v>
      </c>
      <c r="BI403" s="390">
        <v>0</v>
      </c>
      <c r="BJ403" s="1599">
        <f t="shared" si="1095"/>
        <v>0</v>
      </c>
      <c r="BK403" s="1151">
        <v>0</v>
      </c>
      <c r="BL403" s="1389">
        <f t="shared" si="1140"/>
        <v>11.3</v>
      </c>
      <c r="BM403" s="1389">
        <f t="shared" si="1141"/>
        <v>1.41</v>
      </c>
      <c r="BN403" s="1389">
        <f t="shared" si="1096"/>
        <v>3.06</v>
      </c>
      <c r="BO403" s="1389">
        <v>0</v>
      </c>
      <c r="BP403" s="1389">
        <v>0</v>
      </c>
      <c r="BQ403" s="1537">
        <f t="shared" si="1133"/>
        <v>15.77</v>
      </c>
      <c r="BR403" s="1389">
        <f t="shared" si="1142"/>
        <v>25.43</v>
      </c>
      <c r="BS403" s="1389">
        <f t="shared" si="1143"/>
        <v>5.65</v>
      </c>
      <c r="BT403" s="1389">
        <f t="shared" si="1097"/>
        <v>6.12</v>
      </c>
      <c r="BU403" s="1389">
        <v>0</v>
      </c>
      <c r="BV403" s="390">
        <f t="shared" si="1134"/>
        <v>37.200000000000003</v>
      </c>
      <c r="BW403" s="880">
        <f t="shared" si="1135"/>
        <v>52.97</v>
      </c>
      <c r="BX403" s="880">
        <f t="shared" si="1199"/>
        <v>574</v>
      </c>
      <c r="BY403" s="390">
        <v>0</v>
      </c>
      <c r="BZ403" s="390">
        <f t="shared" si="1098"/>
        <v>574</v>
      </c>
      <c r="CA403" s="1538">
        <f>'CONCEPTOS Y PARAMETROS'!$A$102</f>
        <v>2120</v>
      </c>
      <c r="CB403" s="880">
        <f t="shared" si="1099"/>
        <v>137.29999999999998</v>
      </c>
      <c r="CC403" s="1539">
        <f t="shared" si="1100"/>
        <v>458.37</v>
      </c>
      <c r="CD403" s="514"/>
      <c r="CE403" s="514"/>
      <c r="CF403" s="520"/>
      <c r="CG403" s="497">
        <f t="shared" si="1101"/>
        <v>137.29999999999998</v>
      </c>
      <c r="CH403" s="1711">
        <f t="shared" si="1102"/>
        <v>290</v>
      </c>
      <c r="CI403" s="497">
        <f t="shared" si="1103"/>
        <v>443.06</v>
      </c>
      <c r="CJ403" s="497">
        <f t="shared" si="1104"/>
        <v>443.06</v>
      </c>
      <c r="CK403" s="497">
        <f t="shared" si="1105"/>
        <v>0</v>
      </c>
      <c r="CL403" s="497">
        <f t="shared" si="1106"/>
        <v>0</v>
      </c>
      <c r="CM403" s="497">
        <f t="shared" si="1107"/>
        <v>0</v>
      </c>
      <c r="CN403" s="498">
        <f t="shared" si="1108"/>
        <v>15.31</v>
      </c>
      <c r="CO403" s="499">
        <v>0</v>
      </c>
      <c r="CP403" s="498">
        <f t="shared" si="1109"/>
        <v>0</v>
      </c>
      <c r="CQ403" s="500">
        <f t="shared" si="1110"/>
        <v>0</v>
      </c>
      <c r="CR403" s="498">
        <f t="shared" si="1111"/>
        <v>0</v>
      </c>
      <c r="CS403" s="498">
        <f t="shared" si="1112"/>
        <v>15.31</v>
      </c>
      <c r="CT403" s="498">
        <f t="shared" si="1113"/>
        <v>52.97</v>
      </c>
      <c r="CU403" s="498">
        <f t="shared" si="1114"/>
        <v>2120</v>
      </c>
      <c r="CV403" s="1554"/>
      <c r="CW403" s="537" t="s">
        <v>7100</v>
      </c>
      <c r="CX403" s="537" t="s">
        <v>7143</v>
      </c>
      <c r="CY403" s="472"/>
      <c r="CZ403" s="514" t="s">
        <v>6552</v>
      </c>
      <c r="DA403" s="514" t="s">
        <v>6173</v>
      </c>
      <c r="DB403" s="514" t="s">
        <v>6213</v>
      </c>
      <c r="DC403" s="514" t="s">
        <v>6277</v>
      </c>
      <c r="DD403" s="472"/>
      <c r="DE403" s="472"/>
      <c r="DF403" s="472"/>
      <c r="DG403" s="472"/>
      <c r="DH403" s="472"/>
      <c r="DJ403" s="473" t="str">
        <f>VLOOKUP(X403,Hoja1!$A$4:$B$10,2,0)</f>
        <v>BACHILLER</v>
      </c>
      <c r="DK403" s="473" t="str">
        <f>VLOOKUP(S403,Hoja1!$D$4:$F$77,3,0)</f>
        <v>GRADO (5) - MÁX</v>
      </c>
      <c r="DL403" s="1216" t="str">
        <f t="shared" si="1115"/>
        <v>0</v>
      </c>
      <c r="DM403" s="1741" t="str">
        <f t="shared" si="1116"/>
        <v>F</v>
      </c>
      <c r="DN403" s="1741"/>
    </row>
    <row r="404" spans="1:118" s="473" customFormat="1" ht="16.5" thickBot="1">
      <c r="A404" s="538"/>
      <c r="B404" s="408">
        <f ca="1">COUNT(B312:B403)</f>
        <v>92</v>
      </c>
      <c r="C404" s="539" t="s">
        <v>4493</v>
      </c>
      <c r="D404" s="540"/>
      <c r="E404" s="540"/>
      <c r="F404" s="408"/>
      <c r="G404" s="540"/>
      <c r="H404" s="408"/>
      <c r="I404" s="195">
        <f>SUM(I312:I403)</f>
        <v>690</v>
      </c>
      <c r="J404" s="195">
        <f t="shared" ref="J404:K404" si="1200">SUM(J312:J403)</f>
        <v>50</v>
      </c>
      <c r="K404" s="195">
        <f t="shared" si="1200"/>
        <v>740</v>
      </c>
      <c r="L404" s="540"/>
      <c r="M404" s="540"/>
      <c r="N404" s="540"/>
      <c r="O404" s="540"/>
      <c r="P404" s="540"/>
      <c r="Q404" s="408"/>
      <c r="R404" s="541"/>
      <c r="S404" s="540"/>
      <c r="T404" s="195">
        <f>SUM(T312:T403)</f>
        <v>14244</v>
      </c>
      <c r="U404" s="195">
        <f>SUM(U312:U403)</f>
        <v>0</v>
      </c>
      <c r="V404" s="195">
        <f>SUM(V312:V403)</f>
        <v>14244</v>
      </c>
      <c r="W404" s="195">
        <f>SUM(W312:W403)</f>
        <v>7122</v>
      </c>
      <c r="X404" s="540"/>
      <c r="Y404" s="540"/>
      <c r="Z404" s="373">
        <f t="shared" ref="Z404:AU404" si="1201">SUM(Z312:Z403)</f>
        <v>45</v>
      </c>
      <c r="AA404" s="195">
        <f t="shared" si="1201"/>
        <v>1370.5599999999997</v>
      </c>
      <c r="AB404" s="195">
        <f t="shared" si="1201"/>
        <v>11960</v>
      </c>
      <c r="AC404" s="195">
        <f t="shared" si="1201"/>
        <v>562.5</v>
      </c>
      <c r="AD404" s="195">
        <f t="shared" si="1201"/>
        <v>0</v>
      </c>
      <c r="AE404" s="195">
        <f t="shared" si="1201"/>
        <v>13893.05999999999</v>
      </c>
      <c r="AF404" s="195">
        <f t="shared" si="1201"/>
        <v>685.42999999999984</v>
      </c>
      <c r="AG404" s="195">
        <f t="shared" si="1201"/>
        <v>685.12999999999954</v>
      </c>
      <c r="AH404" s="195">
        <f t="shared" si="1201"/>
        <v>5980</v>
      </c>
      <c r="AI404" s="195">
        <f t="shared" si="1201"/>
        <v>5980</v>
      </c>
      <c r="AJ404" s="195">
        <f t="shared" si="1201"/>
        <v>0</v>
      </c>
      <c r="AK404" s="195">
        <f t="shared" si="1201"/>
        <v>0</v>
      </c>
      <c r="AL404" s="195">
        <f t="shared" si="1201"/>
        <v>7227.9299999999976</v>
      </c>
      <c r="AM404" s="195">
        <f t="shared" si="1201"/>
        <v>6665.13</v>
      </c>
      <c r="AN404" s="196">
        <f t="shared" si="1201"/>
        <v>16</v>
      </c>
      <c r="AO404" s="195">
        <f t="shared" si="1201"/>
        <v>200</v>
      </c>
      <c r="AP404" s="196">
        <f t="shared" si="1201"/>
        <v>1</v>
      </c>
      <c r="AQ404" s="195">
        <f t="shared" si="1201"/>
        <v>12.5</v>
      </c>
      <c r="AR404" s="195">
        <f t="shared" si="1201"/>
        <v>0</v>
      </c>
      <c r="AS404" s="195">
        <f t="shared" si="1201"/>
        <v>12.5</v>
      </c>
      <c r="AT404" s="195">
        <f t="shared" si="1201"/>
        <v>225</v>
      </c>
      <c r="AU404" s="195">
        <f t="shared" si="1201"/>
        <v>29467.110000000008</v>
      </c>
      <c r="AV404" s="340"/>
      <c r="AW404" s="195">
        <f t="shared" ref="AW404:CC404" si="1202">SUM(AW312:AW403)</f>
        <v>1330.05</v>
      </c>
      <c r="AX404" s="195">
        <f t="shared" si="1202"/>
        <v>33214.640000000007</v>
      </c>
      <c r="AY404" s="195">
        <f t="shared" si="1202"/>
        <v>15885</v>
      </c>
      <c r="AZ404" s="412">
        <f t="shared" si="1202"/>
        <v>13237.5</v>
      </c>
      <c r="BA404" s="412">
        <f t="shared" si="1202"/>
        <v>211468.13000000003</v>
      </c>
      <c r="BB404" s="195">
        <f t="shared" si="1202"/>
        <v>0</v>
      </c>
      <c r="BC404" s="196">
        <f t="shared" si="1202"/>
        <v>0</v>
      </c>
      <c r="BD404" s="195">
        <f t="shared" si="1202"/>
        <v>0</v>
      </c>
      <c r="BE404" s="195">
        <f t="shared" si="1202"/>
        <v>78</v>
      </c>
      <c r="BF404" s="195">
        <f t="shared" si="1202"/>
        <v>1269.68</v>
      </c>
      <c r="BG404" s="195">
        <f t="shared" si="1202"/>
        <v>26680</v>
      </c>
      <c r="BH404" s="195">
        <f t="shared" si="1202"/>
        <v>0</v>
      </c>
      <c r="BI404" s="195">
        <f t="shared" si="1202"/>
        <v>0</v>
      </c>
      <c r="BJ404" s="195">
        <f t="shared" si="1202"/>
        <v>0</v>
      </c>
      <c r="BK404" s="195">
        <f t="shared" si="1202"/>
        <v>0</v>
      </c>
      <c r="BL404" s="195">
        <f t="shared" si="1202"/>
        <v>1064.02</v>
      </c>
      <c r="BM404" s="195">
        <f t="shared" si="1202"/>
        <v>133.03000000000003</v>
      </c>
      <c r="BN404" s="195">
        <f t="shared" si="1202"/>
        <v>294.74</v>
      </c>
      <c r="BO404" s="195">
        <f t="shared" si="1202"/>
        <v>1.52</v>
      </c>
      <c r="BP404" s="195">
        <f t="shared" si="1202"/>
        <v>0.76</v>
      </c>
      <c r="BQ404" s="195">
        <f t="shared" si="1202"/>
        <v>1494.0699999999997</v>
      </c>
      <c r="BR404" s="195">
        <f t="shared" si="1202"/>
        <v>2394.12</v>
      </c>
      <c r="BS404" s="195">
        <f t="shared" si="1202"/>
        <v>531.96</v>
      </c>
      <c r="BT404" s="195">
        <f t="shared" si="1202"/>
        <v>589.48</v>
      </c>
      <c r="BU404" s="195">
        <f t="shared" si="1202"/>
        <v>0</v>
      </c>
      <c r="BV404" s="195">
        <f t="shared" si="1202"/>
        <v>3515.5600000000009</v>
      </c>
      <c r="BW404" s="195">
        <f t="shared" si="1202"/>
        <v>5009.6299999999992</v>
      </c>
      <c r="BX404" s="195">
        <f t="shared" si="1202"/>
        <v>52930.420000000013</v>
      </c>
      <c r="BY404" s="195">
        <f t="shared" si="1202"/>
        <v>0</v>
      </c>
      <c r="BZ404" s="195">
        <f t="shared" si="1202"/>
        <v>52930.420000000013</v>
      </c>
      <c r="CA404" s="195">
        <f t="shared" si="1202"/>
        <v>192920</v>
      </c>
      <c r="CB404" s="195">
        <f t="shared" si="1202"/>
        <v>12855.86</v>
      </c>
      <c r="CC404" s="195">
        <f t="shared" si="1202"/>
        <v>76506.499999999985</v>
      </c>
      <c r="CD404" s="520"/>
      <c r="CE404" s="520"/>
      <c r="CF404" s="520"/>
      <c r="CG404" s="533">
        <f t="shared" ref="CG404:CU404" si="1203">SUM(CG312:CG403)</f>
        <v>12855.86</v>
      </c>
      <c r="CH404" s="470">
        <f>SUM(CH312:CH403)</f>
        <v>26680</v>
      </c>
      <c r="CI404" s="532">
        <f>SUM(CI312:CI403)</f>
        <v>40467.129999999997</v>
      </c>
      <c r="CJ404" s="470">
        <f t="shared" si="1203"/>
        <v>40467.129999999997</v>
      </c>
      <c r="CK404" s="470">
        <f t="shared" si="1203"/>
        <v>0</v>
      </c>
      <c r="CL404" s="532">
        <f t="shared" si="1203"/>
        <v>0</v>
      </c>
      <c r="CM404" s="532">
        <f t="shared" si="1203"/>
        <v>0</v>
      </c>
      <c r="CN404" s="533">
        <f t="shared" si="1203"/>
        <v>1269.68</v>
      </c>
      <c r="CO404" s="533">
        <f t="shared" si="1203"/>
        <v>0</v>
      </c>
      <c r="CP404" s="533">
        <f t="shared" si="1203"/>
        <v>1330.05</v>
      </c>
      <c r="CQ404" s="533">
        <f t="shared" si="1203"/>
        <v>225</v>
      </c>
      <c r="CR404" s="533">
        <f t="shared" si="1203"/>
        <v>33214.640000000007</v>
      </c>
      <c r="CS404" s="533">
        <f t="shared" si="1203"/>
        <v>36039.370000000003</v>
      </c>
      <c r="CT404" s="533">
        <f t="shared" si="1203"/>
        <v>5009.6299999999992</v>
      </c>
      <c r="CU404" s="533">
        <f t="shared" si="1203"/>
        <v>192920</v>
      </c>
      <c r="CV404" s="1562"/>
      <c r="CW404" s="1562"/>
      <c r="CX404" s="1562"/>
      <c r="CY404" s="472"/>
      <c r="CZ404" s="478"/>
      <c r="DA404" s="478"/>
      <c r="DB404" s="478"/>
      <c r="DC404" s="478"/>
      <c r="DD404" s="472"/>
      <c r="DE404" s="472"/>
      <c r="DF404" s="472"/>
      <c r="DG404" s="472"/>
      <c r="DH404" s="472"/>
      <c r="DJ404" s="520"/>
      <c r="DK404" s="520"/>
      <c r="DL404" s="161"/>
      <c r="DM404" s="472"/>
    </row>
    <row r="405" spans="1:118" s="473" customFormat="1">
      <c r="A405" s="1216"/>
      <c r="B405" s="1216"/>
      <c r="C405" s="1216"/>
      <c r="D405" s="218"/>
      <c r="F405" s="420"/>
      <c r="G405" s="1216"/>
      <c r="H405" s="1216"/>
      <c r="I405" s="1615"/>
      <c r="Q405" s="1216"/>
      <c r="R405" s="477"/>
      <c r="S405" s="1216"/>
      <c r="T405" s="1216"/>
      <c r="U405" s="1216"/>
      <c r="V405" s="1216"/>
      <c r="W405" s="1216"/>
      <c r="X405" s="1216"/>
      <c r="Y405" s="1216"/>
      <c r="Z405" s="478"/>
      <c r="AA405" s="1216"/>
      <c r="AB405" s="1216"/>
      <c r="AC405" s="1216"/>
      <c r="AD405" s="1216"/>
      <c r="AE405" s="1216"/>
      <c r="AF405" s="1216"/>
      <c r="AG405" s="1216"/>
      <c r="AH405" s="1216"/>
      <c r="AI405" s="1216"/>
      <c r="AJ405" s="1216"/>
      <c r="AK405" s="1216"/>
      <c r="AL405" s="1216"/>
      <c r="AM405" s="1216"/>
      <c r="AN405" s="1216"/>
      <c r="AO405" s="162"/>
      <c r="AP405" s="162"/>
      <c r="AQ405" s="162"/>
      <c r="AR405" s="162"/>
      <c r="AS405" s="162"/>
      <c r="AT405" s="162"/>
      <c r="AU405" s="1216"/>
      <c r="AV405" s="163"/>
      <c r="AW405" s="1216"/>
      <c r="AX405" s="1216"/>
      <c r="AY405" s="1216"/>
      <c r="AZ405" s="598"/>
      <c r="BA405" s="598"/>
      <c r="BB405" s="1216"/>
      <c r="BC405" s="1216"/>
      <c r="BD405" s="1216"/>
      <c r="BE405" s="1216"/>
      <c r="BF405" s="1216"/>
      <c r="BG405" s="1216"/>
      <c r="BH405" s="1216"/>
      <c r="BI405" s="1216"/>
      <c r="BJ405" s="1595"/>
      <c r="BK405" s="1216"/>
      <c r="BL405" s="1216"/>
      <c r="BM405" s="1216"/>
      <c r="BN405" s="1216"/>
      <c r="BO405" s="1216"/>
      <c r="BP405" s="1216"/>
      <c r="BQ405" s="1216"/>
      <c r="BR405" s="1216"/>
      <c r="BS405" s="1216"/>
      <c r="BT405" s="1216"/>
      <c r="BU405" s="1216"/>
      <c r="BV405" s="1216"/>
      <c r="BW405" s="1216"/>
      <c r="BX405" s="1216"/>
      <c r="BY405" s="1378"/>
      <c r="BZ405" s="1565"/>
      <c r="CA405" s="1216"/>
      <c r="CG405" s="472"/>
      <c r="CH405" s="472"/>
      <c r="CJ405" s="472"/>
      <c r="CK405" s="472"/>
      <c r="CY405" s="472"/>
      <c r="CZ405" s="478"/>
      <c r="DA405" s="478"/>
      <c r="DB405" s="478"/>
      <c r="DC405" s="478"/>
      <c r="DD405" s="472"/>
      <c r="DE405" s="472"/>
      <c r="DF405" s="472"/>
      <c r="DG405" s="472"/>
      <c r="DH405" s="472"/>
      <c r="DJ405" s="520"/>
      <c r="DL405" s="161"/>
      <c r="DM405" s="472"/>
    </row>
    <row r="406" spans="1:118" s="473" customFormat="1" ht="15.75" thickBot="1">
      <c r="A406" s="1216"/>
      <c r="B406" s="1216"/>
      <c r="C406" s="1216"/>
      <c r="D406" s="218"/>
      <c r="F406" s="420"/>
      <c r="G406" s="1216"/>
      <c r="H406" s="1216"/>
      <c r="I406" s="1615"/>
      <c r="Q406" s="1216"/>
      <c r="R406" s="477"/>
      <c r="S406" s="1216"/>
      <c r="T406" s="1216"/>
      <c r="U406" s="1216"/>
      <c r="V406" s="1216"/>
      <c r="W406" s="1216"/>
      <c r="X406" s="1216"/>
      <c r="Y406" s="1216"/>
      <c r="Z406" s="478"/>
      <c r="AA406" s="1216"/>
      <c r="AB406" s="1216"/>
      <c r="AC406" s="1216"/>
      <c r="AD406" s="1216"/>
      <c r="AE406" s="1216"/>
      <c r="AF406" s="1216"/>
      <c r="AG406" s="1216"/>
      <c r="AH406" s="1216"/>
      <c r="AI406" s="1216"/>
      <c r="AJ406" s="1216"/>
      <c r="AK406" s="1216"/>
      <c r="AL406" s="1216"/>
      <c r="AM406" s="1216"/>
      <c r="AN406" s="1216"/>
      <c r="AO406" s="162"/>
      <c r="AP406" s="162"/>
      <c r="AQ406" s="162"/>
      <c r="AR406" s="162"/>
      <c r="AS406" s="162"/>
      <c r="AT406" s="162"/>
      <c r="AU406" s="1216"/>
      <c r="AV406" s="163"/>
      <c r="AW406" s="1216"/>
      <c r="AX406" s="1216"/>
      <c r="AY406" s="163"/>
      <c r="AZ406" s="598"/>
      <c r="BA406" s="598"/>
      <c r="BB406" s="1216"/>
      <c r="BC406" s="1216"/>
      <c r="BD406" s="1216"/>
      <c r="BE406" s="1216"/>
      <c r="BF406" s="1216"/>
      <c r="BG406" s="1216"/>
      <c r="BH406" s="1216"/>
      <c r="BI406" s="1216"/>
      <c r="BJ406" s="1595"/>
      <c r="BK406" s="1216"/>
      <c r="BL406" s="1216"/>
      <c r="BM406" s="1216"/>
      <c r="BN406" s="1216"/>
      <c r="BO406" s="1216"/>
      <c r="BP406" s="1216"/>
      <c r="BQ406" s="1216"/>
      <c r="BR406" s="1216"/>
      <c r="BS406" s="1216"/>
      <c r="BT406" s="1216"/>
      <c r="BU406" s="1216"/>
      <c r="BV406" s="1216"/>
      <c r="BW406" s="1216"/>
      <c r="BX406" s="1216"/>
      <c r="BY406" s="1378"/>
      <c r="BZ406" s="1565"/>
      <c r="CA406" s="1216"/>
      <c r="CY406" s="472"/>
      <c r="CZ406" s="478"/>
      <c r="DA406" s="478"/>
      <c r="DB406" s="478"/>
      <c r="DC406" s="478"/>
      <c r="DD406" s="472"/>
      <c r="DE406" s="472"/>
      <c r="DF406" s="472"/>
      <c r="DG406" s="472"/>
      <c r="DH406" s="472"/>
      <c r="DJ406" s="520"/>
      <c r="DL406" s="161"/>
      <c r="DM406" s="472"/>
    </row>
    <row r="407" spans="1:118" s="473" customFormat="1" ht="24.95" customHeight="1" thickBot="1">
      <c r="A407" s="199"/>
      <c r="B407" s="197">
        <f ca="1">B41+B310+B404+B15</f>
        <v>385</v>
      </c>
      <c r="C407" s="542"/>
      <c r="D407" s="543"/>
      <c r="E407" s="544"/>
      <c r="F407" s="543"/>
      <c r="G407" s="544"/>
      <c r="H407" s="544" t="s">
        <v>2875</v>
      </c>
      <c r="I407" s="198">
        <f>I41+I310+I404+I15</f>
        <v>2901</v>
      </c>
      <c r="J407" s="198">
        <f t="shared" ref="J407:K407" si="1204">J41+J310+J404+J15</f>
        <v>473</v>
      </c>
      <c r="K407" s="198">
        <f t="shared" si="1204"/>
        <v>3374</v>
      </c>
      <c r="L407" s="544"/>
      <c r="M407" s="544"/>
      <c r="N407" s="544"/>
      <c r="O407" s="545"/>
      <c r="P407" s="544"/>
      <c r="Q407" s="544"/>
      <c r="R407" s="546"/>
      <c r="S407" s="199"/>
      <c r="T407" s="198">
        <f>T41+T310+T404+T15</f>
        <v>75619</v>
      </c>
      <c r="U407" s="198">
        <f>U41+U310+U404+U15</f>
        <v>310</v>
      </c>
      <c r="V407" s="198">
        <f>V41+V310+V404+V15</f>
        <v>75309</v>
      </c>
      <c r="W407" s="198">
        <f>W41+W310+W404+W15</f>
        <v>37654.5</v>
      </c>
      <c r="X407" s="198"/>
      <c r="Y407" s="198"/>
      <c r="Z407" s="374">
        <f t="shared" ref="Z407:AU407" si="1205">Z41+Z310+Z404+Z15</f>
        <v>266</v>
      </c>
      <c r="AA407" s="198">
        <f t="shared" si="1205"/>
        <v>8167.3400000000047</v>
      </c>
      <c r="AB407" s="198">
        <f t="shared" si="1205"/>
        <v>47060</v>
      </c>
      <c r="AC407" s="198">
        <f t="shared" si="1205"/>
        <v>3325</v>
      </c>
      <c r="AD407" s="198">
        <f t="shared" si="1205"/>
        <v>18358.429999999997</v>
      </c>
      <c r="AE407" s="198">
        <f t="shared" si="1205"/>
        <v>76910.770000000019</v>
      </c>
      <c r="AF407" s="198">
        <f t="shared" si="1205"/>
        <v>4084.1800000000012</v>
      </c>
      <c r="AG407" s="198">
        <f t="shared" si="1205"/>
        <v>4083.1600000000026</v>
      </c>
      <c r="AH407" s="198">
        <f t="shared" si="1205"/>
        <v>23530</v>
      </c>
      <c r="AI407" s="198">
        <f t="shared" si="1205"/>
        <v>23530</v>
      </c>
      <c r="AJ407" s="198">
        <f t="shared" si="1205"/>
        <v>9179.6600000000035</v>
      </c>
      <c r="AK407" s="198">
        <f t="shared" si="1205"/>
        <v>9178.7699999999986</v>
      </c>
      <c r="AL407" s="198">
        <f t="shared" si="1205"/>
        <v>40118.839999999997</v>
      </c>
      <c r="AM407" s="198">
        <f t="shared" si="1205"/>
        <v>36791.930000000015</v>
      </c>
      <c r="AN407" s="200">
        <f t="shared" si="1205"/>
        <v>119</v>
      </c>
      <c r="AO407" s="198">
        <f t="shared" si="1205"/>
        <v>1487.5</v>
      </c>
      <c r="AP407" s="201">
        <f t="shared" si="1205"/>
        <v>3</v>
      </c>
      <c r="AQ407" s="198">
        <f t="shared" si="1205"/>
        <v>37.5</v>
      </c>
      <c r="AR407" s="198">
        <f t="shared" si="1205"/>
        <v>62.5</v>
      </c>
      <c r="AS407" s="198">
        <f t="shared" si="1205"/>
        <v>25</v>
      </c>
      <c r="AT407" s="198">
        <f t="shared" si="1205"/>
        <v>1612.5</v>
      </c>
      <c r="AU407" s="198">
        <f t="shared" si="1205"/>
        <v>164111.82000000007</v>
      </c>
      <c r="AV407" s="341"/>
      <c r="AW407" s="198">
        <f t="shared" ref="AW407:CC407" si="1206">AW41+AW310+AW404+AW15</f>
        <v>11892.05</v>
      </c>
      <c r="AX407" s="198">
        <f t="shared" si="1206"/>
        <v>141068.64000000001</v>
      </c>
      <c r="AY407" s="591">
        <f t="shared" si="1206"/>
        <v>64965</v>
      </c>
      <c r="AZ407" s="599">
        <f t="shared" si="1206"/>
        <v>54137.5</v>
      </c>
      <c r="BA407" s="599">
        <f t="shared" si="1206"/>
        <v>1146590.3200000003</v>
      </c>
      <c r="BB407" s="198">
        <f t="shared" si="1206"/>
        <v>0</v>
      </c>
      <c r="BC407" s="200">
        <f t="shared" si="1206"/>
        <v>0</v>
      </c>
      <c r="BD407" s="198">
        <f t="shared" si="1206"/>
        <v>0</v>
      </c>
      <c r="BE407" s="198">
        <f t="shared" si="1206"/>
        <v>377</v>
      </c>
      <c r="BF407" s="198">
        <f t="shared" si="1206"/>
        <v>8656.8700000000026</v>
      </c>
      <c r="BG407" s="198">
        <f t="shared" si="1206"/>
        <v>107980</v>
      </c>
      <c r="BH407" s="198">
        <f t="shared" si="1206"/>
        <v>0</v>
      </c>
      <c r="BI407" s="374">
        <f t="shared" si="1206"/>
        <v>0</v>
      </c>
      <c r="BJ407" s="717">
        <f t="shared" si="1206"/>
        <v>0</v>
      </c>
      <c r="BK407" s="198">
        <f t="shared" si="1206"/>
        <v>0</v>
      </c>
      <c r="BL407" s="198">
        <f t="shared" si="1206"/>
        <v>5996.6699999999964</v>
      </c>
      <c r="BM407" s="198">
        <f t="shared" si="1206"/>
        <v>749.68000000000029</v>
      </c>
      <c r="BN407" s="198">
        <f t="shared" si="1206"/>
        <v>1640.5500000000009</v>
      </c>
      <c r="BO407" s="198">
        <f t="shared" si="1206"/>
        <v>1.52</v>
      </c>
      <c r="BP407" s="198">
        <f t="shared" si="1206"/>
        <v>4.1899999999999995</v>
      </c>
      <c r="BQ407" s="198">
        <f t="shared" si="1206"/>
        <v>8392.6100000000024</v>
      </c>
      <c r="BR407" s="198">
        <f t="shared" si="1206"/>
        <v>13492.489999999994</v>
      </c>
      <c r="BS407" s="198">
        <f t="shared" si="1206"/>
        <v>2998.23</v>
      </c>
      <c r="BT407" s="198">
        <f t="shared" si="1206"/>
        <v>3281.1000000000017</v>
      </c>
      <c r="BU407" s="198">
        <f t="shared" si="1206"/>
        <v>0</v>
      </c>
      <c r="BV407" s="198">
        <f t="shared" si="1206"/>
        <v>19771.820000000007</v>
      </c>
      <c r="BW407" s="198">
        <f t="shared" si="1206"/>
        <v>28164.43</v>
      </c>
      <c r="BX407" s="198">
        <f t="shared" si="1206"/>
        <v>287543.61000000016</v>
      </c>
      <c r="BY407" s="198">
        <f t="shared" si="1206"/>
        <v>0</v>
      </c>
      <c r="BZ407" s="198">
        <f t="shared" si="1206"/>
        <v>287543.61000000016</v>
      </c>
      <c r="CA407" s="198">
        <f t="shared" si="1206"/>
        <v>756840</v>
      </c>
      <c r="CB407" s="198">
        <f t="shared" si="1206"/>
        <v>69380.730000000025</v>
      </c>
      <c r="CC407" s="198">
        <f t="shared" si="1206"/>
        <v>345656.48999999982</v>
      </c>
      <c r="CD407" s="547"/>
      <c r="CE407" s="547"/>
      <c r="CF407" s="547"/>
      <c r="CG407" s="548">
        <f t="shared" ref="CG407:CU407" si="1207">CG41+CG310+CG404+CG15</f>
        <v>69380.730000000025</v>
      </c>
      <c r="CH407" s="549">
        <f>CH41+CH310+CH404+CH15</f>
        <v>107980</v>
      </c>
      <c r="CI407" s="548">
        <f>CI41+CI310+CI404+CI15</f>
        <v>182426.43000000002</v>
      </c>
      <c r="CJ407" s="548">
        <f t="shared" si="1207"/>
        <v>157105.12</v>
      </c>
      <c r="CK407" s="548">
        <f t="shared" si="1207"/>
        <v>25321.309999999998</v>
      </c>
      <c r="CL407" s="548">
        <f t="shared" si="1207"/>
        <v>0</v>
      </c>
      <c r="CM407" s="548">
        <f t="shared" si="1207"/>
        <v>0</v>
      </c>
      <c r="CN407" s="548">
        <f t="shared" si="1207"/>
        <v>8656.8700000000026</v>
      </c>
      <c r="CO407" s="548">
        <f t="shared" si="1207"/>
        <v>0</v>
      </c>
      <c r="CP407" s="548">
        <f t="shared" si="1207"/>
        <v>11892.05</v>
      </c>
      <c r="CQ407" s="548">
        <f t="shared" si="1207"/>
        <v>1612.5</v>
      </c>
      <c r="CR407" s="548">
        <f t="shared" si="1207"/>
        <v>141068.64000000001</v>
      </c>
      <c r="CS407" s="548">
        <f t="shared" si="1207"/>
        <v>163230.06000000006</v>
      </c>
      <c r="CT407" s="548">
        <f t="shared" si="1207"/>
        <v>28164.43</v>
      </c>
      <c r="CU407" s="548">
        <f t="shared" si="1207"/>
        <v>756840</v>
      </c>
      <c r="CV407" s="1563"/>
      <c r="CW407" s="1563"/>
      <c r="CX407" s="1563"/>
      <c r="CY407" s="193"/>
      <c r="CZ407" s="478"/>
      <c r="DA407" s="478"/>
      <c r="DB407" s="478"/>
      <c r="DC407" s="478"/>
      <c r="DD407" s="193"/>
      <c r="DE407" s="193"/>
      <c r="DF407" s="193"/>
      <c r="DG407" s="193"/>
      <c r="DH407" s="193"/>
      <c r="DI407" s="193"/>
      <c r="DJ407" s="520"/>
      <c r="DK407" s="547"/>
      <c r="DL407" s="161"/>
      <c r="DM407" s="472"/>
      <c r="DN407" s="193"/>
    </row>
    <row r="408" spans="1:118" s="473" customFormat="1">
      <c r="A408" s="1216"/>
      <c r="B408" s="1216"/>
      <c r="C408" s="1216"/>
      <c r="D408" s="218"/>
      <c r="F408" s="420"/>
      <c r="G408" s="1216"/>
      <c r="H408" s="476"/>
      <c r="I408" s="1216"/>
      <c r="J408" s="1216"/>
      <c r="K408" s="1216"/>
      <c r="L408" s="1216"/>
      <c r="M408" s="1216"/>
      <c r="N408" s="1216"/>
      <c r="P408" s="1216"/>
      <c r="Q408" s="1216"/>
      <c r="R408" s="477"/>
      <c r="S408" s="1216"/>
      <c r="T408" s="161"/>
      <c r="U408" s="161"/>
      <c r="V408" s="161"/>
      <c r="W408" s="161"/>
      <c r="X408" s="161"/>
      <c r="Y408" s="161"/>
      <c r="Z408" s="514"/>
      <c r="AA408" s="202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2"/>
      <c r="AP408" s="162"/>
      <c r="AQ408" s="162"/>
      <c r="AR408" s="162"/>
      <c r="AS408" s="162"/>
      <c r="AT408" s="162"/>
      <c r="AU408" s="161"/>
      <c r="AV408" s="164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  <c r="BS408" s="161"/>
      <c r="BT408" s="161"/>
      <c r="BU408" s="161"/>
      <c r="BV408" s="161"/>
      <c r="BW408" s="161"/>
      <c r="BX408" s="161"/>
      <c r="BY408" s="161"/>
      <c r="BZ408" s="161"/>
      <c r="CA408" s="161"/>
      <c r="CB408" s="472"/>
      <c r="CC408" s="472"/>
      <c r="CD408" s="472"/>
      <c r="CE408" s="472"/>
      <c r="CF408" s="472"/>
      <c r="CG408" s="472"/>
      <c r="CH408" s="472"/>
      <c r="CI408" s="472"/>
      <c r="CJ408" s="472"/>
      <c r="CK408" s="472"/>
      <c r="CL408" s="472"/>
      <c r="CM408" s="472"/>
      <c r="CN408" s="472"/>
      <c r="CO408" s="472"/>
      <c r="CP408" s="472"/>
      <c r="CQ408" s="472"/>
      <c r="CR408" s="472"/>
      <c r="CS408" s="472"/>
      <c r="CT408" s="472"/>
      <c r="CU408" s="472"/>
      <c r="CV408" s="472"/>
      <c r="CW408" s="472"/>
      <c r="CX408" s="472"/>
      <c r="CY408" s="472"/>
      <c r="CZ408" s="514"/>
      <c r="DA408" s="514"/>
      <c r="DB408" s="514"/>
      <c r="DC408" s="514"/>
      <c r="DD408" s="472"/>
      <c r="DE408" s="472"/>
      <c r="DF408" s="472"/>
      <c r="DG408" s="472"/>
      <c r="DH408" s="472"/>
      <c r="DJ408" s="520"/>
      <c r="DK408" s="472"/>
      <c r="DL408" s="161"/>
      <c r="DM408" s="472"/>
    </row>
    <row r="409" spans="1:118" s="473" customFormat="1">
      <c r="A409" s="1216"/>
      <c r="B409" s="1216"/>
      <c r="C409" s="1216"/>
      <c r="D409" s="218"/>
      <c r="F409" s="420"/>
      <c r="G409" s="1216"/>
      <c r="H409" s="1216"/>
      <c r="Q409" s="1216"/>
      <c r="R409" s="477"/>
      <c r="S409" s="1216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1"/>
      <c r="AP409" s="161"/>
      <c r="AQ409" s="161"/>
      <c r="AR409" s="161"/>
      <c r="AS409" s="161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  <c r="BS409" s="161"/>
      <c r="BT409" s="161"/>
      <c r="BU409" s="161"/>
      <c r="BV409" s="161"/>
      <c r="BW409" s="161"/>
      <c r="BX409" s="161"/>
      <c r="BY409" s="161"/>
      <c r="BZ409" s="161"/>
      <c r="CA409" s="161"/>
      <c r="CB409" s="161"/>
      <c r="CC409" s="161"/>
      <c r="CD409" s="472"/>
      <c r="CE409" s="472"/>
      <c r="CF409" s="472"/>
      <c r="CG409" s="472"/>
      <c r="CH409" s="472"/>
      <c r="CI409" s="472"/>
      <c r="CJ409" s="472"/>
      <c r="CK409" s="472"/>
      <c r="CL409" s="482"/>
      <c r="CM409" s="482"/>
      <c r="CN409" s="472"/>
      <c r="CO409" s="472"/>
      <c r="CP409" s="472"/>
      <c r="CQ409" s="472"/>
      <c r="CR409" s="472"/>
      <c r="CS409" s="472"/>
      <c r="CT409" s="472"/>
      <c r="CU409" s="472"/>
      <c r="CV409" s="472"/>
      <c r="CW409" s="472"/>
      <c r="CX409" s="472"/>
      <c r="CY409" s="472"/>
      <c r="CZ409" s="514"/>
      <c r="DA409" s="514"/>
      <c r="DB409" s="514"/>
      <c r="DC409" s="514"/>
      <c r="DD409" s="472"/>
      <c r="DE409" s="472"/>
      <c r="DF409" s="472"/>
      <c r="DG409" s="472"/>
      <c r="DH409" s="472"/>
      <c r="DJ409" s="520"/>
      <c r="DK409" s="472"/>
      <c r="DL409" s="161"/>
      <c r="DM409" s="472"/>
    </row>
    <row r="410" spans="1:118" s="473" customFormat="1">
      <c r="A410" s="1216"/>
      <c r="B410" s="1216"/>
      <c r="C410" s="1216"/>
      <c r="D410" s="218"/>
      <c r="F410" s="420"/>
      <c r="G410" s="1216"/>
      <c r="H410" s="1216"/>
      <c r="Q410" s="1216"/>
      <c r="R410" s="477"/>
      <c r="S410" s="1216"/>
      <c r="T410" s="161"/>
      <c r="U410" s="161"/>
      <c r="V410" s="161"/>
      <c r="W410" s="161"/>
      <c r="X410" s="1680"/>
      <c r="Y410" s="1680"/>
      <c r="Z410" s="478"/>
      <c r="AA410" s="1681">
        <v>8066.85</v>
      </c>
      <c r="AB410" s="1681"/>
      <c r="AC410" s="1681"/>
      <c r="AD410" s="1681">
        <v>18345.8</v>
      </c>
      <c r="AE410" s="1681"/>
      <c r="AF410" s="1681"/>
      <c r="AG410" s="1681"/>
      <c r="AH410" s="1681"/>
      <c r="AI410" s="1681"/>
      <c r="AJ410" s="1681"/>
      <c r="AK410" s="1681"/>
      <c r="AL410" s="1681"/>
      <c r="AM410" s="1681"/>
      <c r="AN410" s="1681"/>
      <c r="AO410" s="1682"/>
      <c r="AP410" s="1682"/>
      <c r="AQ410" s="1682"/>
      <c r="AR410" s="1682"/>
      <c r="AS410" s="1682"/>
      <c r="AT410" s="1682"/>
      <c r="AU410" s="1681"/>
      <c r="AV410" s="1683"/>
      <c r="AW410" s="1681">
        <v>11887.61</v>
      </c>
      <c r="AX410" s="1681"/>
      <c r="AY410" s="1681"/>
      <c r="AZ410" s="1681"/>
      <c r="BA410" s="1681"/>
      <c r="BB410" s="1684"/>
      <c r="BC410" s="1684"/>
      <c r="BD410" s="1684"/>
      <c r="BE410" s="1681"/>
      <c r="BF410" s="1681">
        <v>8653.4500000000007</v>
      </c>
      <c r="BG410" s="1681"/>
      <c r="BH410" s="1681"/>
      <c r="BI410" s="1681"/>
      <c r="BJ410" s="1681"/>
      <c r="BK410" s="1681"/>
      <c r="BL410" s="1684">
        <v>0</v>
      </c>
      <c r="BM410" s="1684">
        <v>0</v>
      </c>
      <c r="BN410" s="1681">
        <v>1639.4</v>
      </c>
      <c r="BO410" s="1684"/>
      <c r="BP410" s="1684"/>
      <c r="BQ410" s="1681"/>
      <c r="BR410" s="1681">
        <v>0</v>
      </c>
      <c r="BS410" s="1681">
        <v>0</v>
      </c>
      <c r="BT410" s="1681">
        <v>3278.8</v>
      </c>
      <c r="BU410" s="1681"/>
      <c r="BV410" s="1681"/>
      <c r="BW410" s="1681"/>
      <c r="BX410" s="1681"/>
      <c r="BY410" s="1681"/>
      <c r="BZ410" s="1685"/>
      <c r="CA410" s="1681"/>
      <c r="CB410" s="1681"/>
      <c r="CC410" s="472"/>
      <c r="CD410" s="472"/>
      <c r="CE410" s="472"/>
      <c r="CF410" s="472"/>
      <c r="CG410" s="472"/>
      <c r="CH410" s="472"/>
      <c r="CI410" s="472"/>
      <c r="CJ410" s="472"/>
      <c r="CK410" s="472"/>
      <c r="CL410" s="472"/>
      <c r="CM410" s="472"/>
      <c r="CN410" s="472"/>
      <c r="CO410" s="472"/>
      <c r="CP410" s="472"/>
      <c r="CQ410" s="472"/>
      <c r="CR410" s="472"/>
      <c r="CS410" s="472"/>
      <c r="CT410" s="472"/>
      <c r="CU410" s="472"/>
      <c r="CV410" s="472"/>
      <c r="CW410" s="472"/>
      <c r="CX410" s="472"/>
      <c r="CY410" s="472"/>
      <c r="CZ410" s="478"/>
      <c r="DA410" s="478"/>
      <c r="DB410" s="478"/>
      <c r="DC410" s="478"/>
      <c r="DD410" s="472"/>
      <c r="DE410" s="472"/>
      <c r="DF410" s="472"/>
      <c r="DG410" s="472"/>
      <c r="DH410" s="472"/>
      <c r="DJ410" s="520"/>
      <c r="DK410" s="472"/>
      <c r="DL410" s="161"/>
      <c r="DM410" s="472"/>
    </row>
    <row r="411" spans="1:118" s="473" customFormat="1">
      <c r="A411" s="1216"/>
      <c r="B411" s="550" t="s">
        <v>6014</v>
      </c>
      <c r="C411" s="551"/>
      <c r="D411" s="552"/>
      <c r="E411" s="525"/>
      <c r="F411" s="553"/>
      <c r="G411" s="345"/>
      <c r="H411" s="345"/>
      <c r="I411" s="525"/>
      <c r="T411" s="472"/>
      <c r="U411" s="472"/>
      <c r="V411" s="472"/>
      <c r="W411" s="472"/>
      <c r="X411" s="472"/>
      <c r="Y411" s="472"/>
      <c r="Z411" s="472"/>
      <c r="AA411" s="1681">
        <f t="shared" ref="AA411:BT411" si="1208">+AA407-AA410</f>
        <v>100.49000000000433</v>
      </c>
      <c r="AB411" s="1681"/>
      <c r="AC411" s="1681"/>
      <c r="AD411" s="1681">
        <f t="shared" si="1208"/>
        <v>12.629999999997381</v>
      </c>
      <c r="AE411" s="1681"/>
      <c r="AF411" s="1681"/>
      <c r="AG411" s="1681"/>
      <c r="AH411" s="1681"/>
      <c r="AI411" s="1681"/>
      <c r="AJ411" s="1681"/>
      <c r="AK411" s="1681"/>
      <c r="AL411" s="1681"/>
      <c r="AM411" s="1681"/>
      <c r="AN411" s="1681"/>
      <c r="AO411" s="1681"/>
      <c r="AP411" s="1681"/>
      <c r="AQ411" s="1681"/>
      <c r="AR411" s="1681"/>
      <c r="AS411" s="1681"/>
      <c r="AT411" s="1681"/>
      <c r="AU411" s="1681"/>
      <c r="AV411" s="1681"/>
      <c r="AW411" s="1681">
        <f t="shared" si="1208"/>
        <v>4.4399999999986903</v>
      </c>
      <c r="AX411" s="1681">
        <f t="shared" si="1208"/>
        <v>141068.64000000001</v>
      </c>
      <c r="AY411" s="1681"/>
      <c r="AZ411" s="1681"/>
      <c r="BA411" s="1681"/>
      <c r="BB411" s="1681"/>
      <c r="BC411" s="1681"/>
      <c r="BD411" s="1681"/>
      <c r="BE411" s="1681"/>
      <c r="BF411" s="1681">
        <f t="shared" si="1208"/>
        <v>3.4200000000018917</v>
      </c>
      <c r="BG411" s="1681"/>
      <c r="BH411" s="1681"/>
      <c r="BI411" s="1681"/>
      <c r="BJ411" s="1681"/>
      <c r="BK411" s="1681"/>
      <c r="BL411" s="1681">
        <f t="shared" si="1208"/>
        <v>5996.6699999999964</v>
      </c>
      <c r="BM411" s="1681">
        <f t="shared" si="1208"/>
        <v>749.68000000000029</v>
      </c>
      <c r="BN411" s="1681">
        <f t="shared" si="1208"/>
        <v>1.1500000000007731</v>
      </c>
      <c r="BO411" s="1681"/>
      <c r="BP411" s="1681"/>
      <c r="BQ411" s="1681"/>
      <c r="BR411" s="1681">
        <f t="shared" si="1208"/>
        <v>13492.489999999994</v>
      </c>
      <c r="BS411" s="1681">
        <f t="shared" si="1208"/>
        <v>2998.23</v>
      </c>
      <c r="BT411" s="1681">
        <f t="shared" si="1208"/>
        <v>2.3000000000015461</v>
      </c>
      <c r="BU411" s="1681"/>
      <c r="BV411" s="1681"/>
      <c r="BW411" s="1681"/>
      <c r="BX411" s="1681"/>
      <c r="BY411" s="1681"/>
      <c r="BZ411" s="1681"/>
      <c r="CA411" s="1681"/>
      <c r="CB411" s="1681"/>
      <c r="CC411" s="472"/>
      <c r="CZ411" s="514"/>
      <c r="DA411" s="514"/>
      <c r="DB411" s="514"/>
      <c r="DC411" s="514"/>
    </row>
    <row r="412" spans="1:118" s="473" customFormat="1">
      <c r="A412" s="1216"/>
      <c r="B412" s="550" t="s">
        <v>4665</v>
      </c>
      <c r="C412" s="551"/>
      <c r="D412" s="552"/>
      <c r="E412" s="525"/>
      <c r="F412" s="553"/>
      <c r="G412" s="345"/>
      <c r="H412" s="345"/>
      <c r="I412" s="525"/>
      <c r="J412" s="1216"/>
      <c r="K412" s="1216"/>
      <c r="L412" s="1216"/>
      <c r="M412" s="1216"/>
      <c r="N412" s="1216"/>
      <c r="Q412" s="1216"/>
      <c r="R412" s="477"/>
      <c r="S412" s="1216"/>
      <c r="T412" s="161"/>
      <c r="U412" s="161"/>
      <c r="V412" s="161"/>
      <c r="W412" s="161"/>
      <c r="X412" s="1216"/>
      <c r="Y412" s="1216"/>
      <c r="Z412" s="478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2"/>
      <c r="AP412" s="162"/>
      <c r="AQ412" s="162"/>
      <c r="AR412" s="162"/>
      <c r="AS412" s="162"/>
      <c r="AT412" s="162"/>
      <c r="AU412" s="1216"/>
      <c r="AV412" s="163"/>
      <c r="AW412" s="1216"/>
      <c r="AX412" s="161"/>
      <c r="AY412" s="161"/>
      <c r="AZ412" s="161"/>
      <c r="BA412" s="161"/>
      <c r="BB412" s="1216"/>
      <c r="BC412" s="1216"/>
      <c r="BD412" s="1216"/>
      <c r="BE412" s="1216"/>
      <c r="BF412" s="1216"/>
      <c r="BG412" s="161"/>
      <c r="BH412" s="161"/>
      <c r="BI412" s="161"/>
      <c r="BJ412" s="161"/>
      <c r="BK412" s="161"/>
      <c r="BL412" s="1216"/>
      <c r="BM412" s="1216"/>
      <c r="BN412" s="1216"/>
      <c r="BO412" s="1216"/>
      <c r="BP412" s="1216"/>
      <c r="BQ412" s="1216"/>
      <c r="BR412" s="161"/>
      <c r="BS412" s="161"/>
      <c r="BT412" s="161"/>
      <c r="BU412" s="161"/>
      <c r="BV412" s="161"/>
      <c r="BW412" s="161"/>
      <c r="BX412" s="161"/>
      <c r="BY412" s="161"/>
      <c r="BZ412" s="161"/>
      <c r="CA412" s="161"/>
      <c r="CB412" s="472"/>
      <c r="CC412" s="472"/>
      <c r="CD412" s="472"/>
      <c r="CE412" s="472"/>
      <c r="CF412" s="472"/>
      <c r="CG412" s="472"/>
      <c r="CH412" s="472"/>
      <c r="CI412" s="472"/>
      <c r="CJ412" s="472"/>
      <c r="CK412" s="472"/>
      <c r="CL412" s="472"/>
      <c r="CM412" s="472"/>
      <c r="CN412" s="472"/>
      <c r="CO412" s="472"/>
      <c r="CP412" s="472"/>
      <c r="CQ412" s="472"/>
      <c r="CR412" s="472"/>
      <c r="CS412" s="472"/>
      <c r="CT412" s="472"/>
      <c r="CU412" s="472"/>
      <c r="CV412" s="472"/>
      <c r="CW412" s="472"/>
      <c r="CX412" s="472"/>
      <c r="CY412" s="472"/>
      <c r="CZ412" s="478"/>
      <c r="DA412" s="478"/>
      <c r="DB412" s="478"/>
      <c r="DC412" s="478"/>
      <c r="DD412" s="472"/>
      <c r="DE412" s="472"/>
      <c r="DF412" s="472"/>
      <c r="DG412" s="472"/>
      <c r="DH412" s="472"/>
      <c r="DJ412" s="520"/>
      <c r="DK412" s="472"/>
      <c r="DL412" s="161"/>
      <c r="DM412" s="472"/>
    </row>
    <row r="413" spans="1:118" s="473" customFormat="1" ht="12">
      <c r="A413" s="1216"/>
      <c r="B413" s="1331"/>
      <c r="C413" s="1331"/>
      <c r="D413" s="1331"/>
      <c r="E413" s="1331"/>
      <c r="F413" s="1331"/>
      <c r="G413" s="1331"/>
      <c r="H413" s="1331"/>
      <c r="I413" s="1331"/>
      <c r="J413" s="1331"/>
      <c r="BX413" s="472"/>
      <c r="BY413" s="472"/>
      <c r="BZ413" s="472"/>
      <c r="CA413" s="472"/>
      <c r="CB413" s="472"/>
      <c r="CK413" s="472"/>
      <c r="CZ413" s="514"/>
      <c r="DA413" s="514"/>
      <c r="DB413" s="514"/>
      <c r="DC413" s="514"/>
    </row>
    <row r="414" spans="1:118" s="473" customFormat="1">
      <c r="A414" s="1216"/>
      <c r="B414" s="1216"/>
      <c r="C414" s="1216"/>
      <c r="D414" s="218"/>
      <c r="F414" s="420"/>
      <c r="G414" s="1216"/>
      <c r="H414" s="476"/>
      <c r="I414" s="1216"/>
      <c r="J414" s="1216"/>
      <c r="K414" s="1216"/>
      <c r="L414" s="1216"/>
      <c r="M414" s="1216"/>
      <c r="N414" s="1216"/>
      <c r="Q414" s="1216"/>
      <c r="R414" s="477"/>
      <c r="S414" s="1216"/>
      <c r="T414" s="161"/>
      <c r="U414" s="161"/>
      <c r="V414" s="161"/>
      <c r="W414" s="161"/>
      <c r="X414" s="1216"/>
      <c r="Y414" s="1216"/>
      <c r="Z414" s="478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2"/>
      <c r="AP414" s="162"/>
      <c r="AQ414" s="162"/>
      <c r="AR414" s="162"/>
      <c r="AS414" s="162"/>
      <c r="AT414" s="162"/>
      <c r="AU414" s="1216"/>
      <c r="AV414" s="163"/>
      <c r="AW414" s="1216"/>
      <c r="AX414" s="161"/>
      <c r="AY414" s="161"/>
      <c r="AZ414" s="161"/>
      <c r="BA414" s="161"/>
      <c r="BB414" s="1216"/>
      <c r="BC414" s="1216"/>
      <c r="BD414" s="1216"/>
      <c r="BE414" s="1216"/>
      <c r="BF414" s="1216"/>
      <c r="BG414" s="161"/>
      <c r="BH414" s="161"/>
      <c r="BI414" s="161"/>
      <c r="BJ414" s="161"/>
      <c r="BK414" s="161"/>
      <c r="BL414" s="1216"/>
      <c r="BM414" s="1216"/>
      <c r="BN414" s="1216"/>
      <c r="BO414" s="1216"/>
      <c r="BP414" s="1216"/>
      <c r="BQ414" s="1216"/>
      <c r="BR414" s="161"/>
      <c r="BS414" s="161"/>
      <c r="BT414" s="161"/>
      <c r="BU414" s="161"/>
      <c r="BV414" s="161"/>
      <c r="BW414" s="161"/>
      <c r="BX414" s="161"/>
      <c r="BY414" s="161"/>
      <c r="BZ414" s="161"/>
      <c r="CA414" s="161"/>
      <c r="CB414" s="472"/>
      <c r="CC414" s="472"/>
      <c r="CD414" s="472"/>
      <c r="CE414" s="472"/>
      <c r="CF414" s="472"/>
      <c r="CG414" s="472"/>
      <c r="CH414" s="472"/>
      <c r="CI414" s="472"/>
      <c r="CJ414" s="472"/>
      <c r="CK414" s="472"/>
      <c r="CL414" s="472"/>
      <c r="CM414" s="472"/>
      <c r="CN414" s="472"/>
      <c r="CO414" s="472"/>
      <c r="CP414" s="472"/>
      <c r="CQ414" s="472"/>
      <c r="CR414" s="472"/>
      <c r="CS414" s="472"/>
      <c r="CT414" s="472"/>
      <c r="CU414" s="472"/>
      <c r="CV414" s="472"/>
      <c r="CW414" s="472"/>
      <c r="CX414" s="472"/>
      <c r="CY414" s="472"/>
      <c r="CZ414" s="514"/>
      <c r="DA414" s="514"/>
      <c r="DB414" s="514"/>
      <c r="DC414" s="514"/>
      <c r="DD414" s="472"/>
      <c r="DE414" s="472"/>
      <c r="DF414" s="472"/>
      <c r="DG414" s="472"/>
      <c r="DH414" s="472"/>
      <c r="DJ414" s="520"/>
      <c r="DK414" s="472"/>
      <c r="DL414" s="161"/>
      <c r="DM414" s="472"/>
    </row>
    <row r="415" spans="1:118" s="473" customFormat="1" ht="15.75" thickBot="1">
      <c r="A415" s="1216"/>
      <c r="B415" s="1216"/>
      <c r="C415" s="1216"/>
      <c r="D415" s="218"/>
      <c r="F415" s="420"/>
      <c r="G415" s="1216"/>
      <c r="H415" s="476"/>
      <c r="I415" s="1741"/>
      <c r="J415" s="1741"/>
      <c r="K415" s="1216"/>
      <c r="L415" s="1216"/>
      <c r="M415" s="1216"/>
      <c r="N415" s="1216"/>
      <c r="Q415" s="1216"/>
      <c r="R415" s="477"/>
      <c r="S415" s="1216"/>
      <c r="T415" s="161"/>
      <c r="U415" s="161"/>
      <c r="V415" s="161"/>
      <c r="W415" s="161"/>
      <c r="X415" s="1216"/>
      <c r="Y415" s="1216"/>
      <c r="Z415" s="478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2"/>
      <c r="AP415" s="162"/>
      <c r="AQ415" s="162"/>
      <c r="AR415" s="162"/>
      <c r="AS415" s="162"/>
      <c r="AT415" s="162"/>
      <c r="AU415" s="1216"/>
      <c r="AV415" s="163"/>
      <c r="AW415" s="1216"/>
      <c r="AX415" s="161"/>
      <c r="AY415" s="161"/>
      <c r="AZ415" s="161"/>
      <c r="BA415" s="161"/>
      <c r="BB415" s="1216"/>
      <c r="BC415" s="1216"/>
      <c r="BD415" s="1216"/>
      <c r="BE415" s="1216"/>
      <c r="BF415" s="1216"/>
      <c r="BG415" s="161"/>
      <c r="BH415" s="161"/>
      <c r="BI415" s="161"/>
      <c r="BJ415" s="161"/>
      <c r="BK415" s="161"/>
      <c r="BL415" s="1216"/>
      <c r="BM415" s="1216"/>
      <c r="BN415" s="1216"/>
      <c r="BO415" s="1216"/>
      <c r="BP415" s="1216"/>
      <c r="BQ415" s="1216"/>
      <c r="BR415" s="161"/>
      <c r="BS415" s="161"/>
      <c r="BT415" s="161"/>
      <c r="BU415" s="161"/>
      <c r="BV415" s="161"/>
      <c r="BW415" s="161"/>
      <c r="BX415" s="161"/>
      <c r="BY415" s="161"/>
      <c r="BZ415" s="161"/>
      <c r="CA415" s="161"/>
      <c r="CB415" s="472"/>
      <c r="CC415" s="472"/>
      <c r="CD415" s="472"/>
      <c r="CE415" s="472"/>
      <c r="CF415" s="472"/>
      <c r="CG415" s="472"/>
      <c r="CH415" s="472"/>
      <c r="CI415" s="472"/>
      <c r="CJ415" s="472"/>
      <c r="CK415" s="472"/>
      <c r="CL415" s="472"/>
      <c r="CM415" s="472"/>
      <c r="CN415" s="472"/>
      <c r="CO415" s="472"/>
      <c r="CP415" s="472"/>
      <c r="CQ415" s="472"/>
      <c r="CR415" s="472"/>
      <c r="CS415" s="472"/>
      <c r="CT415" s="472"/>
      <c r="CU415" s="472"/>
      <c r="CV415" s="472"/>
      <c r="CW415" s="472"/>
      <c r="CX415" s="472"/>
      <c r="CY415" s="472"/>
      <c r="CZ415" s="514"/>
      <c r="DA415" s="514"/>
      <c r="DB415" s="514"/>
      <c r="DC415" s="514"/>
      <c r="DD415" s="472"/>
      <c r="DE415" s="472"/>
      <c r="DF415" s="472"/>
      <c r="DG415" s="472"/>
      <c r="DH415" s="472"/>
      <c r="DJ415" s="520"/>
      <c r="DK415" s="472"/>
      <c r="DL415" s="161"/>
      <c r="DM415" s="472"/>
    </row>
    <row r="416" spans="1:118" s="473" customFormat="1" ht="18">
      <c r="A416" s="554"/>
      <c r="B416" s="1049" t="s">
        <v>6011</v>
      </c>
      <c r="C416" s="556"/>
      <c r="D416" s="557"/>
      <c r="E416" s="557"/>
      <c r="F416" s="558"/>
      <c r="G416" s="558"/>
      <c r="H416" s="559"/>
      <c r="I416" s="1216"/>
      <c r="J416" s="1216"/>
      <c r="K416" s="1216"/>
      <c r="L416" s="1216"/>
      <c r="M416" s="1216"/>
      <c r="N416" s="1216"/>
      <c r="Q416" s="1216"/>
      <c r="R416" s="477"/>
      <c r="S416" s="1216"/>
      <c r="T416" s="161"/>
      <c r="U416" s="161"/>
      <c r="V416" s="161"/>
      <c r="W416" s="161"/>
      <c r="X416" s="1216"/>
      <c r="Y416" s="1216"/>
      <c r="Z416" s="478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2"/>
      <c r="AP416" s="162"/>
      <c r="AQ416" s="162"/>
      <c r="AR416" s="162"/>
      <c r="AS416" s="162"/>
      <c r="AT416" s="162"/>
      <c r="AU416" s="1216"/>
      <c r="AV416" s="163"/>
      <c r="AW416" s="1216"/>
      <c r="AX416" s="161"/>
      <c r="AY416" s="161"/>
      <c r="AZ416" s="161"/>
      <c r="BA416" s="161"/>
      <c r="BB416" s="1216"/>
      <c r="BC416" s="1216"/>
      <c r="BD416" s="1216"/>
      <c r="BE416" s="1216"/>
      <c r="BF416" s="1216"/>
      <c r="BG416" s="161"/>
      <c r="BH416" s="161"/>
      <c r="BI416" s="161"/>
      <c r="BJ416" s="161"/>
      <c r="BK416" s="161"/>
      <c r="BL416" s="1216"/>
      <c r="BM416" s="1216"/>
      <c r="BN416" s="1216"/>
      <c r="BO416" s="1216"/>
      <c r="BP416" s="1216"/>
      <c r="BQ416" s="1216"/>
      <c r="BR416" s="161"/>
      <c r="BS416" s="161"/>
      <c r="BT416" s="161"/>
      <c r="BU416" s="161"/>
      <c r="BV416" s="161"/>
      <c r="BW416" s="161"/>
      <c r="BX416" s="161"/>
      <c r="BY416" s="161"/>
      <c r="BZ416" s="161"/>
      <c r="CA416" s="161"/>
      <c r="CB416" s="472"/>
      <c r="CC416" s="472"/>
      <c r="CD416" s="472"/>
      <c r="CE416" s="472"/>
      <c r="CF416" s="472"/>
      <c r="CG416" s="472"/>
      <c r="CH416" s="472"/>
      <c r="CI416" s="472"/>
      <c r="CJ416" s="472"/>
      <c r="CK416" s="472"/>
      <c r="CL416" s="472"/>
      <c r="CM416" s="472"/>
      <c r="CN416" s="472"/>
      <c r="CO416" s="472"/>
      <c r="CP416" s="472"/>
      <c r="CQ416" s="472"/>
      <c r="CR416" s="472"/>
      <c r="CS416" s="472"/>
      <c r="CT416" s="472"/>
      <c r="CU416" s="472"/>
      <c r="CV416" s="472"/>
      <c r="CW416" s="472"/>
      <c r="CX416" s="472"/>
      <c r="CY416" s="472"/>
      <c r="CZ416" s="514"/>
      <c r="DA416" s="514"/>
      <c r="DB416" s="514"/>
      <c r="DC416" s="514"/>
      <c r="DD416" s="472"/>
      <c r="DE416" s="472"/>
      <c r="DF416" s="472"/>
      <c r="DG416" s="472"/>
      <c r="DH416" s="472"/>
      <c r="DJ416" s="520"/>
      <c r="DK416" s="472"/>
      <c r="DL416" s="161"/>
      <c r="DM416" s="472"/>
    </row>
    <row r="417" spans="1:117" s="473" customFormat="1" ht="20.100000000000001" customHeight="1">
      <c r="A417" s="1220"/>
      <c r="B417" s="1044">
        <v>1</v>
      </c>
      <c r="C417" s="1045"/>
      <c r="D417" s="1043" t="s">
        <v>6016</v>
      </c>
      <c r="E417" s="1046" t="s">
        <v>6784</v>
      </c>
      <c r="F417" s="1047"/>
      <c r="G417" s="1047"/>
      <c r="H417" s="1048"/>
      <c r="I417" s="1220"/>
      <c r="J417" s="1216"/>
      <c r="K417" s="1216"/>
      <c r="L417" s="1216"/>
      <c r="M417" s="1216"/>
      <c r="N417" s="1216"/>
      <c r="Q417" s="1216"/>
      <c r="R417" s="477"/>
      <c r="S417" s="1216"/>
      <c r="T417" s="161"/>
      <c r="U417" s="161"/>
      <c r="V417" s="161"/>
      <c r="W417" s="161"/>
      <c r="X417" s="1216"/>
      <c r="Y417" s="1216"/>
      <c r="Z417" s="478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2"/>
      <c r="AP417" s="162"/>
      <c r="AQ417" s="162"/>
      <c r="AR417" s="162"/>
      <c r="AS417" s="162"/>
      <c r="AT417" s="162"/>
      <c r="AU417" s="1216"/>
      <c r="AV417" s="163"/>
      <c r="AW417" s="1216"/>
      <c r="AX417" s="161"/>
      <c r="AY417" s="161"/>
      <c r="AZ417" s="161"/>
      <c r="BA417" s="161"/>
      <c r="BB417" s="1216"/>
      <c r="BC417" s="1216"/>
      <c r="BD417" s="1216"/>
      <c r="BE417" s="1216"/>
      <c r="BF417" s="161"/>
      <c r="BG417" s="161"/>
      <c r="BH417" s="161"/>
      <c r="BI417" s="161"/>
      <c r="BJ417" s="161"/>
      <c r="BK417" s="161"/>
      <c r="BL417" s="1216"/>
      <c r="BM417" s="1216"/>
      <c r="BN417" s="1216"/>
      <c r="BO417" s="1216"/>
      <c r="BP417" s="1216"/>
      <c r="BQ417" s="1216"/>
      <c r="BR417" s="161"/>
      <c r="BS417" s="161"/>
      <c r="BT417" s="161"/>
      <c r="BU417" s="161"/>
      <c r="BV417" s="161"/>
      <c r="BW417" s="161"/>
      <c r="BX417" s="161"/>
      <c r="BY417" s="161"/>
      <c r="BZ417" s="161"/>
      <c r="CA417" s="161"/>
      <c r="CB417" s="472"/>
      <c r="CC417" s="472"/>
      <c r="CD417" s="472"/>
      <c r="CE417" s="472"/>
      <c r="CF417" s="472"/>
      <c r="CG417" s="472"/>
      <c r="CH417" s="472"/>
      <c r="CI417" s="472"/>
      <c r="CJ417" s="472"/>
      <c r="CK417" s="472"/>
      <c r="CL417" s="472"/>
      <c r="CM417" s="472"/>
      <c r="CN417" s="472"/>
      <c r="CO417" s="472"/>
      <c r="CP417" s="472"/>
      <c r="CQ417" s="472"/>
      <c r="CR417" s="472"/>
      <c r="CS417" s="472"/>
      <c r="CT417" s="472"/>
      <c r="CU417" s="472"/>
      <c r="CV417" s="472"/>
      <c r="CW417" s="472"/>
      <c r="CX417" s="472"/>
      <c r="CY417" s="472"/>
      <c r="CZ417" s="514"/>
      <c r="DA417" s="514"/>
      <c r="DB417" s="514"/>
      <c r="DC417" s="514"/>
      <c r="DD417" s="472"/>
      <c r="DE417" s="472"/>
      <c r="DF417" s="472"/>
      <c r="DG417" s="472"/>
      <c r="DH417" s="472"/>
      <c r="DJ417" s="520"/>
      <c r="DK417" s="472"/>
      <c r="DL417" s="161"/>
      <c r="DM417" s="472"/>
    </row>
    <row r="418" spans="1:117" s="473" customFormat="1" ht="20.100000000000001" customHeight="1">
      <c r="A418" s="1673"/>
      <c r="B418" s="1676">
        <f>+B417+1</f>
        <v>2</v>
      </c>
      <c r="C418" s="1231"/>
      <c r="D418" s="1232"/>
      <c r="E418" s="1046" t="s">
        <v>7444</v>
      </c>
      <c r="F418" s="1047"/>
      <c r="G418" s="1047"/>
      <c r="H418" s="1048"/>
      <c r="I418" s="1678" t="s">
        <v>7445</v>
      </c>
      <c r="J418" s="1672"/>
      <c r="K418" s="1672"/>
      <c r="L418" s="1672"/>
      <c r="M418" s="1672"/>
      <c r="N418" s="1672"/>
      <c r="Q418" s="1672"/>
      <c r="R418" s="477"/>
      <c r="S418" s="1672"/>
      <c r="T418" s="161"/>
      <c r="U418" s="161"/>
      <c r="V418" s="161"/>
      <c r="W418" s="161"/>
      <c r="X418" s="1672"/>
      <c r="Y418" s="1672"/>
      <c r="Z418" s="478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2"/>
      <c r="AP418" s="162"/>
      <c r="AQ418" s="162"/>
      <c r="AR418" s="162"/>
      <c r="AS418" s="162"/>
      <c r="AT418" s="162"/>
      <c r="AU418" s="1672"/>
      <c r="AV418" s="163"/>
      <c r="AW418" s="1672"/>
      <c r="AX418" s="161"/>
      <c r="AY418" s="161"/>
      <c r="AZ418" s="161"/>
      <c r="BA418" s="161"/>
      <c r="BB418" s="1672"/>
      <c r="BC418" s="1672"/>
      <c r="BD418" s="1672"/>
      <c r="BE418" s="1672"/>
      <c r="BF418" s="161"/>
      <c r="BG418" s="161"/>
      <c r="BH418" s="161"/>
      <c r="BI418" s="161"/>
      <c r="BJ418" s="161"/>
      <c r="BK418" s="161"/>
      <c r="BL418" s="1672"/>
      <c r="BM418" s="1672"/>
      <c r="BN418" s="1672"/>
      <c r="BO418" s="1672"/>
      <c r="BP418" s="1672"/>
      <c r="BQ418" s="1672"/>
      <c r="BR418" s="161"/>
      <c r="BS418" s="161"/>
      <c r="BT418" s="161"/>
      <c r="BU418" s="161"/>
      <c r="BV418" s="161"/>
      <c r="BW418" s="161"/>
      <c r="BX418" s="161"/>
      <c r="BY418" s="161"/>
      <c r="BZ418" s="161"/>
      <c r="CA418" s="161"/>
      <c r="CB418" s="472"/>
      <c r="CC418" s="472"/>
      <c r="CD418" s="472"/>
      <c r="CE418" s="472"/>
      <c r="CF418" s="472"/>
      <c r="CG418" s="472"/>
      <c r="CH418" s="472"/>
      <c r="CI418" s="472"/>
      <c r="CJ418" s="472"/>
      <c r="CK418" s="472"/>
      <c r="CL418" s="472"/>
      <c r="CM418" s="472"/>
      <c r="CN418" s="472"/>
      <c r="CO418" s="472"/>
      <c r="CP418" s="472"/>
      <c r="CQ418" s="472"/>
      <c r="CR418" s="472"/>
      <c r="CS418" s="472"/>
      <c r="CT418" s="472"/>
      <c r="CU418" s="472"/>
      <c r="CV418" s="472"/>
      <c r="CW418" s="472"/>
      <c r="CX418" s="472"/>
      <c r="CY418" s="472"/>
      <c r="CZ418" s="514"/>
      <c r="DA418" s="514"/>
      <c r="DB418" s="514"/>
      <c r="DC418" s="514"/>
      <c r="DD418" s="472"/>
      <c r="DE418" s="472"/>
      <c r="DF418" s="472"/>
      <c r="DG418" s="472"/>
      <c r="DH418" s="472"/>
      <c r="DJ418" s="520"/>
      <c r="DK418" s="472"/>
      <c r="DL418" s="161"/>
      <c r="DM418" s="472"/>
    </row>
    <row r="419" spans="1:117" s="473" customFormat="1" ht="20.100000000000001" customHeight="1">
      <c r="A419" s="1673"/>
      <c r="B419" s="1676">
        <f t="shared" ref="B419:B422" si="1209">+B418+1</f>
        <v>3</v>
      </c>
      <c r="C419" s="1231"/>
      <c r="D419" s="1232"/>
      <c r="E419" s="1046" t="s">
        <v>7444</v>
      </c>
      <c r="F419" s="1047"/>
      <c r="G419" s="1047"/>
      <c r="H419" s="1048"/>
      <c r="I419" s="1678" t="s">
        <v>7446</v>
      </c>
      <c r="J419" s="1672"/>
      <c r="K419" s="1672"/>
      <c r="L419" s="1672"/>
      <c r="M419" s="1672"/>
      <c r="N419" s="1672"/>
      <c r="Q419" s="1672"/>
      <c r="R419" s="477"/>
      <c r="S419" s="1672"/>
      <c r="T419" s="161"/>
      <c r="U419" s="161"/>
      <c r="V419" s="161"/>
      <c r="W419" s="161"/>
      <c r="X419" s="1672"/>
      <c r="Y419" s="1672"/>
      <c r="Z419" s="478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2"/>
      <c r="AP419" s="162"/>
      <c r="AQ419" s="162"/>
      <c r="AR419" s="162"/>
      <c r="AS419" s="162"/>
      <c r="AT419" s="162"/>
      <c r="AU419" s="1672"/>
      <c r="AV419" s="163"/>
      <c r="AW419" s="1672"/>
      <c r="AX419" s="161"/>
      <c r="AY419" s="161"/>
      <c r="AZ419" s="161"/>
      <c r="BA419" s="161"/>
      <c r="BB419" s="1672"/>
      <c r="BC419" s="1672"/>
      <c r="BD419" s="1672"/>
      <c r="BE419" s="1672"/>
      <c r="BF419" s="161"/>
      <c r="BG419" s="161"/>
      <c r="BH419" s="161"/>
      <c r="BI419" s="161"/>
      <c r="BJ419" s="161"/>
      <c r="BK419" s="161"/>
      <c r="BL419" s="1672"/>
      <c r="BM419" s="1672"/>
      <c r="BN419" s="1672"/>
      <c r="BO419" s="1672"/>
      <c r="BP419" s="1672"/>
      <c r="BQ419" s="1672"/>
      <c r="BR419" s="161"/>
      <c r="BS419" s="161"/>
      <c r="BT419" s="161"/>
      <c r="BU419" s="161"/>
      <c r="BV419" s="161"/>
      <c r="BW419" s="161"/>
      <c r="BX419" s="161"/>
      <c r="BY419" s="161"/>
      <c r="BZ419" s="161"/>
      <c r="CA419" s="161"/>
      <c r="CB419" s="472"/>
      <c r="CC419" s="472"/>
      <c r="CD419" s="472"/>
      <c r="CE419" s="472"/>
      <c r="CF419" s="472"/>
      <c r="CG419" s="472"/>
      <c r="CH419" s="472"/>
      <c r="CI419" s="472"/>
      <c r="CJ419" s="472"/>
      <c r="CK419" s="472"/>
      <c r="CL419" s="472"/>
      <c r="CM419" s="472"/>
      <c r="CN419" s="472"/>
      <c r="CO419" s="472"/>
      <c r="CP419" s="472"/>
      <c r="CQ419" s="472"/>
      <c r="CR419" s="472"/>
      <c r="CS419" s="472"/>
      <c r="CT419" s="472"/>
      <c r="CU419" s="472"/>
      <c r="CV419" s="472"/>
      <c r="CW419" s="472"/>
      <c r="CX419" s="472"/>
      <c r="CY419" s="472"/>
      <c r="CZ419" s="514"/>
      <c r="DA419" s="514"/>
      <c r="DB419" s="514"/>
      <c r="DC419" s="514"/>
      <c r="DD419" s="472"/>
      <c r="DE419" s="472"/>
      <c r="DF419" s="472"/>
      <c r="DG419" s="472"/>
      <c r="DH419" s="472"/>
      <c r="DJ419" s="520"/>
      <c r="DK419" s="472"/>
      <c r="DL419" s="161"/>
      <c r="DM419" s="472"/>
    </row>
    <row r="420" spans="1:117" s="473" customFormat="1" ht="20.100000000000001" customHeight="1">
      <c r="A420" s="1675"/>
      <c r="B420" s="1676">
        <f t="shared" si="1209"/>
        <v>4</v>
      </c>
      <c r="C420" s="1231">
        <v>11318037</v>
      </c>
      <c r="D420" s="1232" t="s">
        <v>6741</v>
      </c>
      <c r="E420" s="1046" t="s">
        <v>5558</v>
      </c>
      <c r="F420" s="1047"/>
      <c r="G420" s="1047"/>
      <c r="H420" s="1048"/>
      <c r="I420" s="1678"/>
      <c r="J420" s="1674"/>
      <c r="K420" s="1674"/>
      <c r="L420" s="1674"/>
      <c r="M420" s="1674"/>
      <c r="N420" s="1674"/>
      <c r="Q420" s="1674"/>
      <c r="R420" s="477"/>
      <c r="S420" s="1674"/>
      <c r="T420" s="161"/>
      <c r="U420" s="161"/>
      <c r="V420" s="161"/>
      <c r="W420" s="161"/>
      <c r="X420" s="1674"/>
      <c r="Y420" s="1674"/>
      <c r="Z420" s="478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2"/>
      <c r="AP420" s="162"/>
      <c r="AQ420" s="162"/>
      <c r="AR420" s="162"/>
      <c r="AS420" s="162"/>
      <c r="AT420" s="162"/>
      <c r="AU420" s="1674"/>
      <c r="AV420" s="163"/>
      <c r="AW420" s="1674"/>
      <c r="AX420" s="161"/>
      <c r="AY420" s="161"/>
      <c r="AZ420" s="161"/>
      <c r="BA420" s="161"/>
      <c r="BB420" s="1674"/>
      <c r="BC420" s="1674"/>
      <c r="BD420" s="1674"/>
      <c r="BE420" s="1674"/>
      <c r="BF420" s="161"/>
      <c r="BG420" s="161"/>
      <c r="BH420" s="161"/>
      <c r="BI420" s="161"/>
      <c r="BJ420" s="161"/>
      <c r="BK420" s="161"/>
      <c r="BL420" s="1674"/>
      <c r="BM420" s="1674"/>
      <c r="BN420" s="1674"/>
      <c r="BO420" s="1674"/>
      <c r="BP420" s="1674"/>
      <c r="BQ420" s="1674"/>
      <c r="BR420" s="161"/>
      <c r="BS420" s="161"/>
      <c r="BT420" s="161"/>
      <c r="BU420" s="161"/>
      <c r="BV420" s="161"/>
      <c r="BW420" s="161"/>
      <c r="BX420" s="161"/>
      <c r="BY420" s="161"/>
      <c r="BZ420" s="161"/>
      <c r="CA420" s="161"/>
      <c r="CB420" s="472"/>
      <c r="CC420" s="472"/>
      <c r="CD420" s="472"/>
      <c r="CE420" s="472"/>
      <c r="CF420" s="472"/>
      <c r="CG420" s="472"/>
      <c r="CH420" s="472"/>
      <c r="CI420" s="472"/>
      <c r="CJ420" s="472"/>
      <c r="CK420" s="472"/>
      <c r="CL420" s="472"/>
      <c r="CM420" s="472"/>
      <c r="CN420" s="472"/>
      <c r="CO420" s="472"/>
      <c r="CP420" s="472"/>
      <c r="CQ420" s="472"/>
      <c r="CR420" s="472"/>
      <c r="CS420" s="472"/>
      <c r="CT420" s="472"/>
      <c r="CU420" s="472"/>
      <c r="CV420" s="472"/>
      <c r="CW420" s="472"/>
      <c r="CX420" s="472"/>
      <c r="CY420" s="472"/>
      <c r="CZ420" s="514"/>
      <c r="DA420" s="514"/>
      <c r="DB420" s="514"/>
      <c r="DC420" s="514"/>
      <c r="DD420" s="472"/>
      <c r="DE420" s="472"/>
      <c r="DF420" s="472"/>
      <c r="DG420" s="472"/>
      <c r="DH420" s="472"/>
      <c r="DJ420" s="520"/>
      <c r="DK420" s="472"/>
      <c r="DL420" s="161"/>
      <c r="DM420" s="472"/>
    </row>
    <row r="421" spans="1:117" s="473" customFormat="1" ht="20.100000000000001" customHeight="1">
      <c r="A421" s="1673"/>
      <c r="B421" s="1676">
        <f t="shared" si="1209"/>
        <v>5</v>
      </c>
      <c r="C421" s="1231"/>
      <c r="D421" s="1232"/>
      <c r="E421" s="1046" t="s">
        <v>7444</v>
      </c>
      <c r="F421" s="1047"/>
      <c r="G421" s="1047"/>
      <c r="H421" s="1048"/>
      <c r="I421" s="1677" t="s">
        <v>7418</v>
      </c>
      <c r="J421" s="1672"/>
      <c r="K421" s="1672"/>
      <c r="L421" s="1672"/>
      <c r="M421" s="1672"/>
      <c r="N421" s="1672"/>
      <c r="Q421" s="1672"/>
      <c r="R421" s="477"/>
      <c r="S421" s="1672"/>
      <c r="T421" s="161"/>
      <c r="U421" s="161"/>
      <c r="V421" s="161"/>
      <c r="W421" s="161"/>
      <c r="X421" s="1672"/>
      <c r="Y421" s="1672"/>
      <c r="Z421" s="478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2"/>
      <c r="AP421" s="162"/>
      <c r="AQ421" s="162"/>
      <c r="AR421" s="162"/>
      <c r="AS421" s="162"/>
      <c r="AT421" s="162"/>
      <c r="AU421" s="1672"/>
      <c r="AV421" s="163"/>
      <c r="AW421" s="1672"/>
      <c r="AX421" s="161"/>
      <c r="AY421" s="161"/>
      <c r="AZ421" s="161"/>
      <c r="BA421" s="161"/>
      <c r="BB421" s="1672"/>
      <c r="BC421" s="1672"/>
      <c r="BD421" s="1672"/>
      <c r="BE421" s="1672"/>
      <c r="BF421" s="161"/>
      <c r="BG421" s="161"/>
      <c r="BH421" s="161"/>
      <c r="BI421" s="161"/>
      <c r="BJ421" s="161"/>
      <c r="BK421" s="161"/>
      <c r="BL421" s="1672"/>
      <c r="BM421" s="1672"/>
      <c r="BN421" s="1672"/>
      <c r="BO421" s="1672"/>
      <c r="BP421" s="1672"/>
      <c r="BQ421" s="1672"/>
      <c r="BR421" s="161"/>
      <c r="BS421" s="161"/>
      <c r="BT421" s="161"/>
      <c r="BU421" s="161"/>
      <c r="BV421" s="161"/>
      <c r="BW421" s="161"/>
      <c r="BX421" s="161"/>
      <c r="BY421" s="161"/>
      <c r="BZ421" s="161"/>
      <c r="CA421" s="161"/>
      <c r="CB421" s="472"/>
      <c r="CC421" s="472"/>
      <c r="CD421" s="472"/>
      <c r="CE421" s="472"/>
      <c r="CF421" s="472"/>
      <c r="CG421" s="472"/>
      <c r="CH421" s="472"/>
      <c r="CI421" s="472"/>
      <c r="CJ421" s="472"/>
      <c r="CK421" s="472"/>
      <c r="CL421" s="472"/>
      <c r="CM421" s="472"/>
      <c r="CN421" s="472"/>
      <c r="CO421" s="472"/>
      <c r="CP421" s="472"/>
      <c r="CQ421" s="472"/>
      <c r="CR421" s="472"/>
      <c r="CS421" s="472"/>
      <c r="CT421" s="472"/>
      <c r="CU421" s="472"/>
      <c r="CV421" s="472"/>
      <c r="CW421" s="472"/>
      <c r="CX421" s="472"/>
      <c r="CY421" s="472"/>
      <c r="CZ421" s="514"/>
      <c r="DA421" s="514"/>
      <c r="DB421" s="514"/>
      <c r="DC421" s="514"/>
      <c r="DD421" s="472"/>
      <c r="DE421" s="472"/>
      <c r="DF421" s="472"/>
      <c r="DG421" s="472"/>
      <c r="DH421" s="472"/>
      <c r="DJ421" s="520"/>
      <c r="DK421" s="472"/>
      <c r="DL421" s="161"/>
      <c r="DM421" s="472"/>
    </row>
    <row r="422" spans="1:117" s="473" customFormat="1" ht="20.100000000000001" customHeight="1">
      <c r="A422" s="1230"/>
      <c r="B422" s="1676">
        <f t="shared" si="1209"/>
        <v>6</v>
      </c>
      <c r="C422" s="1231"/>
      <c r="D422" s="1232" t="s">
        <v>6822</v>
      </c>
      <c r="E422" s="1046" t="s">
        <v>6823</v>
      </c>
      <c r="F422" s="1047"/>
      <c r="G422" s="1047"/>
      <c r="H422" s="1048"/>
      <c r="I422" s="1230"/>
      <c r="J422" s="1229"/>
      <c r="K422" s="1229"/>
      <c r="L422" s="1229"/>
      <c r="M422" s="1229"/>
      <c r="N422" s="1229"/>
      <c r="Q422" s="1229"/>
      <c r="R422" s="477"/>
      <c r="S422" s="1229"/>
      <c r="T422" s="161"/>
      <c r="U422" s="161"/>
      <c r="V422" s="161"/>
      <c r="W422" s="161"/>
      <c r="X422" s="1229"/>
      <c r="Y422" s="1229"/>
      <c r="Z422" s="478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2"/>
      <c r="AP422" s="162"/>
      <c r="AQ422" s="162"/>
      <c r="AR422" s="162"/>
      <c r="AS422" s="162"/>
      <c r="AT422" s="162"/>
      <c r="AU422" s="1229"/>
      <c r="AV422" s="163"/>
      <c r="AW422" s="1229"/>
      <c r="AX422" s="161"/>
      <c r="AY422" s="161"/>
      <c r="AZ422" s="161"/>
      <c r="BA422" s="161"/>
      <c r="BB422" s="1229"/>
      <c r="BC422" s="1229"/>
      <c r="BD422" s="1229"/>
      <c r="BE422" s="161"/>
      <c r="BF422" s="1229"/>
      <c r="BG422" s="161"/>
      <c r="BH422" s="161"/>
      <c r="BI422" s="161"/>
      <c r="BJ422" s="161"/>
      <c r="BK422" s="161"/>
      <c r="BL422" s="1229"/>
      <c r="BM422" s="1229"/>
      <c r="BN422" s="1229"/>
      <c r="BO422" s="1229"/>
      <c r="BP422" s="1229"/>
      <c r="BQ422" s="1229"/>
      <c r="BR422" s="161"/>
      <c r="BS422" s="161"/>
      <c r="BT422" s="161"/>
      <c r="BU422" s="161"/>
      <c r="BV422" s="161"/>
      <c r="BW422" s="161"/>
      <c r="BX422" s="161"/>
      <c r="BY422" s="161"/>
      <c r="BZ422" s="161"/>
      <c r="CA422" s="161"/>
      <c r="CB422" s="472"/>
      <c r="CC422" s="472"/>
      <c r="CD422" s="472"/>
      <c r="CE422" s="472"/>
      <c r="CF422" s="472"/>
      <c r="CG422" s="472"/>
      <c r="CH422" s="472"/>
      <c r="CI422" s="472"/>
      <c r="CJ422" s="472"/>
      <c r="CK422" s="472"/>
      <c r="CL422" s="472"/>
      <c r="CM422" s="472"/>
      <c r="CN422" s="472"/>
      <c r="CO422" s="472"/>
      <c r="CP422" s="472"/>
      <c r="CQ422" s="472"/>
      <c r="CR422" s="472"/>
      <c r="CS422" s="472"/>
      <c r="CT422" s="472"/>
      <c r="CU422" s="472"/>
      <c r="CV422" s="472"/>
      <c r="CW422" s="472"/>
      <c r="CX422" s="472"/>
      <c r="CY422" s="472"/>
      <c r="CZ422" s="514"/>
      <c r="DA422" s="514"/>
      <c r="DB422" s="514"/>
      <c r="DC422" s="514"/>
      <c r="DD422" s="472"/>
      <c r="DE422" s="472"/>
      <c r="DF422" s="472"/>
      <c r="DG422" s="472"/>
      <c r="DH422" s="472"/>
      <c r="DJ422" s="520"/>
      <c r="DK422" s="472"/>
      <c r="DL422" s="161"/>
      <c r="DM422" s="472"/>
    </row>
    <row r="423" spans="1:117" s="473" customFormat="1">
      <c r="A423" s="1220"/>
      <c r="B423" s="180"/>
      <c r="C423" s="180"/>
      <c r="D423" s="560"/>
      <c r="E423" s="479"/>
      <c r="F423" s="561"/>
      <c r="G423" s="180"/>
      <c r="H423" s="562"/>
      <c r="I423" s="1216"/>
      <c r="J423" s="1216"/>
      <c r="K423" s="1216"/>
      <c r="L423" s="1216"/>
      <c r="M423" s="1216"/>
      <c r="N423" s="1216"/>
      <c r="Q423" s="1216"/>
      <c r="R423" s="477"/>
      <c r="S423" s="1216"/>
      <c r="T423" s="161"/>
      <c r="U423" s="161"/>
      <c r="V423" s="161"/>
      <c r="W423" s="161"/>
      <c r="X423" s="1216"/>
      <c r="Y423" s="1216"/>
      <c r="Z423" s="478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2"/>
      <c r="AP423" s="162"/>
      <c r="AQ423" s="162"/>
      <c r="AR423" s="162"/>
      <c r="AS423" s="162"/>
      <c r="AT423" s="162"/>
      <c r="AU423" s="1216"/>
      <c r="AV423" s="163"/>
      <c r="AW423" s="1216"/>
      <c r="AX423" s="161"/>
      <c r="AY423" s="161"/>
      <c r="AZ423" s="161"/>
      <c r="BA423" s="161"/>
      <c r="BB423" s="1216"/>
      <c r="BC423" s="1216"/>
      <c r="BD423" s="1216"/>
      <c r="BE423" s="1216"/>
      <c r="BF423" s="1216"/>
      <c r="BG423" s="161"/>
      <c r="BH423" s="161"/>
      <c r="BI423" s="161"/>
      <c r="BJ423" s="161"/>
      <c r="BK423" s="161"/>
      <c r="BL423" s="1216"/>
      <c r="BM423" s="1216"/>
      <c r="BN423" s="1216"/>
      <c r="BO423" s="1216"/>
      <c r="BP423" s="1216"/>
      <c r="BQ423" s="1216"/>
      <c r="BR423" s="161"/>
      <c r="BS423" s="161"/>
      <c r="BT423" s="161"/>
      <c r="BU423" s="161"/>
      <c r="BV423" s="161"/>
      <c r="BW423" s="161"/>
      <c r="BX423" s="161"/>
      <c r="BY423" s="161"/>
      <c r="BZ423" s="161"/>
      <c r="CA423" s="161"/>
      <c r="CB423" s="472"/>
      <c r="CC423" s="472"/>
      <c r="CD423" s="472"/>
      <c r="CE423" s="472"/>
      <c r="CF423" s="472"/>
      <c r="CG423" s="472"/>
      <c r="CH423" s="472"/>
      <c r="CI423" s="472"/>
      <c r="CJ423" s="472"/>
      <c r="CK423" s="472"/>
      <c r="CL423" s="472"/>
      <c r="CM423" s="472"/>
      <c r="CN423" s="472"/>
      <c r="CO423" s="472"/>
      <c r="CP423" s="472"/>
      <c r="CQ423" s="472"/>
      <c r="CR423" s="472"/>
      <c r="CS423" s="472"/>
      <c r="CT423" s="472"/>
      <c r="CU423" s="472"/>
      <c r="CV423" s="472"/>
      <c r="CW423" s="472"/>
      <c r="CX423" s="472"/>
      <c r="CY423" s="472"/>
      <c r="CZ423" s="514"/>
      <c r="DA423" s="514"/>
      <c r="DB423" s="514"/>
      <c r="DC423" s="514"/>
      <c r="DD423" s="472"/>
      <c r="DE423" s="472"/>
      <c r="DF423" s="472"/>
      <c r="DG423" s="472"/>
      <c r="DH423" s="472"/>
      <c r="DJ423" s="520"/>
      <c r="DK423" s="472"/>
      <c r="DL423" s="161"/>
      <c r="DM423" s="472"/>
    </row>
    <row r="424" spans="1:117" s="473" customFormat="1" ht="18.75">
      <c r="A424" s="563">
        <v>32</v>
      </c>
      <c r="B424" s="1087" t="s">
        <v>7414</v>
      </c>
      <c r="D424" s="560"/>
      <c r="E424" s="479"/>
      <c r="F424" s="561"/>
      <c r="G424" s="180"/>
      <c r="H424" s="562"/>
      <c r="I424" s="1216"/>
      <c r="J424" s="1216"/>
      <c r="K424" s="1216"/>
      <c r="L424" s="1216"/>
      <c r="M424" s="1216"/>
      <c r="N424" s="1216"/>
      <c r="Q424" s="1216"/>
      <c r="R424" s="477"/>
      <c r="S424" s="1216"/>
      <c r="T424" s="161"/>
      <c r="U424" s="161"/>
      <c r="V424" s="161"/>
      <c r="W424" s="161"/>
      <c r="X424" s="1216"/>
      <c r="Y424" s="1216"/>
      <c r="Z424" s="478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2"/>
      <c r="AP424" s="162"/>
      <c r="AQ424" s="162"/>
      <c r="AR424" s="162"/>
      <c r="AS424" s="162"/>
      <c r="AT424" s="162"/>
      <c r="AU424" s="1216"/>
      <c r="AV424" s="163"/>
      <c r="AW424" s="1216"/>
      <c r="AX424" s="161"/>
      <c r="AY424" s="161"/>
      <c r="AZ424" s="161"/>
      <c r="BA424" s="161"/>
      <c r="BB424" s="1216"/>
      <c r="BC424" s="1216"/>
      <c r="BD424" s="1216"/>
      <c r="BE424" s="1216"/>
      <c r="BF424" s="1216"/>
      <c r="BG424" s="161"/>
      <c r="BH424" s="161"/>
      <c r="BI424" s="161"/>
      <c r="BJ424" s="161"/>
      <c r="BK424" s="161"/>
      <c r="BL424" s="1216"/>
      <c r="BM424" s="1216"/>
      <c r="BN424" s="1216"/>
      <c r="BO424" s="1216"/>
      <c r="BP424" s="1216"/>
      <c r="BQ424" s="1216"/>
      <c r="BR424" s="161"/>
      <c r="BS424" s="161"/>
      <c r="BT424" s="161"/>
      <c r="BU424" s="161"/>
      <c r="BV424" s="161"/>
      <c r="BW424" s="161"/>
      <c r="BX424" s="161"/>
      <c r="BY424" s="161"/>
      <c r="BZ424" s="161"/>
      <c r="CA424" s="161"/>
      <c r="CB424" s="472"/>
      <c r="CC424" s="472"/>
      <c r="CD424" s="472"/>
      <c r="CE424" s="472"/>
      <c r="CF424" s="472"/>
      <c r="CG424" s="472"/>
      <c r="CH424" s="472"/>
      <c r="CI424" s="472"/>
      <c r="CJ424" s="472"/>
      <c r="CK424" s="472"/>
      <c r="CL424" s="472"/>
      <c r="CM424" s="472"/>
      <c r="CN424" s="472"/>
      <c r="CO424" s="472"/>
      <c r="CP424" s="472"/>
      <c r="CQ424" s="472"/>
      <c r="CR424" s="472"/>
      <c r="CS424" s="472"/>
      <c r="CT424" s="472"/>
      <c r="CU424" s="472"/>
      <c r="CV424" s="472"/>
      <c r="CW424" s="472"/>
      <c r="CX424" s="472"/>
      <c r="CY424" s="472"/>
      <c r="CZ424" s="514"/>
      <c r="DA424" s="514"/>
      <c r="DB424" s="514"/>
      <c r="DC424" s="514"/>
      <c r="DD424" s="472"/>
      <c r="DE424" s="472"/>
      <c r="DF424" s="472"/>
      <c r="DG424" s="472"/>
      <c r="DH424" s="472"/>
      <c r="DJ424" s="520"/>
      <c r="DK424" s="472"/>
      <c r="DL424" s="161"/>
      <c r="DM424" s="472"/>
    </row>
    <row r="425" spans="1:117" s="473" customFormat="1" ht="19.5" thickBot="1">
      <c r="A425" s="565">
        <f ca="1">A424-(B41+B422+B15)</f>
        <v>0</v>
      </c>
      <c r="B425" s="1088" t="s">
        <v>5186</v>
      </c>
      <c r="C425" s="566"/>
      <c r="D425" s="566"/>
      <c r="E425" s="566"/>
      <c r="F425" s="567"/>
      <c r="G425" s="567"/>
      <c r="H425" s="568"/>
      <c r="I425" s="1757"/>
      <c r="J425" s="1741"/>
      <c r="K425" s="1216"/>
      <c r="L425" s="1216"/>
      <c r="M425" s="1216"/>
      <c r="N425" s="1216"/>
      <c r="Q425" s="1216"/>
      <c r="R425" s="477"/>
      <c r="S425" s="1216"/>
      <c r="T425" s="161"/>
      <c r="U425" s="161"/>
      <c r="V425" s="161"/>
      <c r="W425" s="161"/>
      <c r="X425" s="1216"/>
      <c r="Y425" s="1216"/>
      <c r="Z425" s="478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2"/>
      <c r="AP425" s="162"/>
      <c r="AQ425" s="162"/>
      <c r="AR425" s="162"/>
      <c r="AS425" s="162"/>
      <c r="AT425" s="162"/>
      <c r="AU425" s="1216"/>
      <c r="AV425" s="163"/>
      <c r="AW425" s="1216"/>
      <c r="AX425" s="161"/>
      <c r="AY425" s="161"/>
      <c r="AZ425" s="161"/>
      <c r="BA425" s="161"/>
      <c r="BB425" s="1216"/>
      <c r="BC425" s="1216"/>
      <c r="BD425" s="1216"/>
      <c r="BE425" s="1216"/>
      <c r="BF425" s="1216"/>
      <c r="BG425" s="161"/>
      <c r="BH425" s="161"/>
      <c r="BI425" s="161"/>
      <c r="BJ425" s="161"/>
      <c r="BK425" s="161"/>
      <c r="BL425" s="1216"/>
      <c r="BM425" s="1216"/>
      <c r="BN425" s="1216"/>
      <c r="BO425" s="1216"/>
      <c r="BP425" s="1216"/>
      <c r="BQ425" s="1216"/>
      <c r="BR425" s="161"/>
      <c r="BS425" s="161"/>
      <c r="BT425" s="161"/>
      <c r="BU425" s="161"/>
      <c r="BV425" s="161"/>
      <c r="BW425" s="161"/>
      <c r="BX425" s="161"/>
      <c r="BY425" s="161"/>
      <c r="BZ425" s="161"/>
      <c r="CA425" s="161"/>
      <c r="CB425" s="472"/>
      <c r="CC425" s="472"/>
      <c r="CD425" s="472"/>
      <c r="CE425" s="472"/>
      <c r="CF425" s="472"/>
      <c r="CG425" s="472"/>
      <c r="CH425" s="472"/>
      <c r="CI425" s="472"/>
      <c r="CJ425" s="472"/>
      <c r="CK425" s="472"/>
      <c r="CL425" s="472"/>
      <c r="CM425" s="472"/>
      <c r="CN425" s="472"/>
      <c r="CO425" s="472"/>
      <c r="CP425" s="472"/>
      <c r="CQ425" s="472"/>
      <c r="CR425" s="472"/>
      <c r="CS425" s="472"/>
      <c r="CT425" s="472"/>
      <c r="CU425" s="472"/>
      <c r="CV425" s="472"/>
      <c r="CW425" s="472"/>
      <c r="CX425" s="472"/>
      <c r="CY425" s="472"/>
      <c r="CZ425" s="514"/>
      <c r="DA425" s="514"/>
      <c r="DB425" s="514"/>
      <c r="DC425" s="514"/>
      <c r="DD425" s="472"/>
      <c r="DE425" s="472"/>
      <c r="DF425" s="472"/>
      <c r="DG425" s="472"/>
      <c r="DH425" s="472"/>
      <c r="DJ425" s="520"/>
      <c r="DK425" s="472"/>
      <c r="DL425" s="161"/>
      <c r="DM425" s="472"/>
    </row>
    <row r="426" spans="1:117" s="473" customFormat="1" ht="12">
      <c r="C426" s="1216"/>
      <c r="F426" s="1216"/>
      <c r="G426" s="1216"/>
      <c r="H426" s="476"/>
      <c r="I426" s="1741"/>
      <c r="J426" s="1741"/>
      <c r="K426" s="1216"/>
      <c r="L426" s="1216"/>
      <c r="M426" s="1216"/>
      <c r="N426" s="1216"/>
      <c r="Q426" s="1216"/>
      <c r="R426" s="477"/>
      <c r="S426" s="1216"/>
      <c r="T426" s="161"/>
      <c r="U426" s="161"/>
      <c r="V426" s="161"/>
      <c r="W426" s="161"/>
      <c r="X426" s="1216"/>
      <c r="Y426" s="1216"/>
      <c r="Z426" s="478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2"/>
      <c r="AP426" s="162"/>
      <c r="AQ426" s="162"/>
      <c r="AR426" s="162"/>
      <c r="AS426" s="162"/>
      <c r="AT426" s="162"/>
      <c r="AU426" s="1216"/>
      <c r="AV426" s="163"/>
      <c r="AW426" s="1216"/>
      <c r="AX426" s="161"/>
      <c r="AY426" s="161"/>
      <c r="AZ426" s="161"/>
      <c r="BA426" s="161"/>
      <c r="BB426" s="1216"/>
      <c r="BC426" s="1216"/>
      <c r="BD426" s="1216"/>
      <c r="BE426" s="1216"/>
      <c r="BF426" s="1216"/>
      <c r="BG426" s="161"/>
      <c r="BH426" s="161"/>
      <c r="BI426" s="161"/>
      <c r="BJ426" s="161"/>
      <c r="BK426" s="161"/>
      <c r="BL426" s="1216"/>
      <c r="BM426" s="1216"/>
      <c r="BN426" s="1216"/>
      <c r="BO426" s="1216"/>
      <c r="BP426" s="1216"/>
      <c r="BQ426" s="1216"/>
      <c r="BR426" s="161"/>
      <c r="BS426" s="161"/>
      <c r="BT426" s="161"/>
      <c r="BU426" s="161"/>
      <c r="BV426" s="161"/>
      <c r="BW426" s="161"/>
      <c r="BX426" s="161"/>
      <c r="BY426" s="161"/>
      <c r="BZ426" s="161"/>
      <c r="CA426" s="161"/>
      <c r="CB426" s="472"/>
      <c r="CC426" s="472"/>
      <c r="CD426" s="472"/>
      <c r="CE426" s="472"/>
      <c r="CF426" s="472"/>
      <c r="CG426" s="472"/>
      <c r="CH426" s="472"/>
      <c r="CI426" s="472"/>
      <c r="CJ426" s="472"/>
      <c r="CK426" s="472"/>
      <c r="CL426" s="472"/>
      <c r="CM426" s="472"/>
      <c r="CN426" s="472"/>
      <c r="CO426" s="472"/>
      <c r="CP426" s="472"/>
      <c r="CQ426" s="472"/>
      <c r="CR426" s="472"/>
      <c r="CS426" s="472"/>
      <c r="CT426" s="472"/>
      <c r="CU426" s="472"/>
      <c r="CV426" s="472"/>
      <c r="CW426" s="472"/>
      <c r="CX426" s="472"/>
      <c r="CY426" s="472"/>
      <c r="CZ426" s="514"/>
      <c r="DA426" s="514"/>
      <c r="DB426" s="514"/>
      <c r="DC426" s="514"/>
      <c r="DD426" s="472"/>
      <c r="DE426" s="472"/>
      <c r="DF426" s="472"/>
      <c r="DG426" s="472"/>
      <c r="DH426" s="472"/>
      <c r="DJ426" s="520"/>
      <c r="DK426" s="472"/>
      <c r="DL426" s="161"/>
      <c r="DM426" s="472"/>
    </row>
    <row r="427" spans="1:117" s="473" customFormat="1" ht="15.75" thickBot="1">
      <c r="C427" s="1216"/>
      <c r="D427" s="218"/>
      <c r="F427" s="420"/>
      <c r="G427" s="1216"/>
      <c r="H427" s="476"/>
      <c r="I427" s="1216"/>
      <c r="J427" s="1216"/>
      <c r="K427" s="1216"/>
      <c r="L427" s="1216"/>
      <c r="M427" s="1216"/>
      <c r="N427" s="1216"/>
      <c r="Q427" s="1216"/>
      <c r="R427" s="477"/>
      <c r="S427" s="1216"/>
      <c r="T427" s="161"/>
      <c r="U427" s="161"/>
      <c r="V427" s="161"/>
      <c r="W427" s="161"/>
      <c r="X427" s="1216"/>
      <c r="Y427" s="1216"/>
      <c r="Z427" s="478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2"/>
      <c r="AP427" s="162"/>
      <c r="AQ427" s="162"/>
      <c r="AR427" s="162"/>
      <c r="AS427" s="162"/>
      <c r="AT427" s="162"/>
      <c r="AU427" s="1216"/>
      <c r="AV427" s="163"/>
      <c r="AW427" s="1216"/>
      <c r="AX427" s="161"/>
      <c r="AY427" s="161"/>
      <c r="AZ427" s="161"/>
      <c r="BA427" s="161"/>
      <c r="BB427" s="1216"/>
      <c r="BC427" s="1216"/>
      <c r="BD427" s="1216"/>
      <c r="BE427" s="1216"/>
      <c r="BF427" s="1216"/>
      <c r="BG427" s="161"/>
      <c r="BH427" s="161"/>
      <c r="BI427" s="161"/>
      <c r="BJ427" s="161"/>
      <c r="BK427" s="161"/>
      <c r="BL427" s="1216"/>
      <c r="BM427" s="1216"/>
      <c r="BN427" s="1216"/>
      <c r="BO427" s="1216"/>
      <c r="BP427" s="1216"/>
      <c r="BQ427" s="1216"/>
      <c r="BR427" s="161"/>
      <c r="BS427" s="161"/>
      <c r="BT427" s="161"/>
      <c r="BU427" s="161"/>
      <c r="BV427" s="161"/>
      <c r="BW427" s="161"/>
      <c r="BX427" s="161"/>
      <c r="BY427" s="161"/>
      <c r="BZ427" s="161"/>
      <c r="CA427" s="161"/>
      <c r="CB427" s="472"/>
      <c r="CC427" s="472"/>
      <c r="CD427" s="472"/>
      <c r="CE427" s="472"/>
      <c r="CF427" s="472"/>
      <c r="CG427" s="472"/>
      <c r="CH427" s="472"/>
      <c r="CI427" s="472"/>
      <c r="CJ427" s="472"/>
      <c r="CK427" s="472"/>
      <c r="CL427" s="472"/>
      <c r="CM427" s="472"/>
      <c r="CN427" s="472"/>
      <c r="CO427" s="472"/>
      <c r="CP427" s="472"/>
      <c r="CQ427" s="472"/>
      <c r="CR427" s="472"/>
      <c r="CS427" s="472"/>
      <c r="CT427" s="472"/>
      <c r="CU427" s="472"/>
      <c r="CV427" s="472"/>
      <c r="CW427" s="472"/>
      <c r="CX427" s="472"/>
      <c r="CY427" s="472"/>
      <c r="CZ427" s="514"/>
      <c r="DA427" s="514"/>
      <c r="DB427" s="514"/>
      <c r="DC427" s="514"/>
      <c r="DD427" s="472"/>
      <c r="DE427" s="472"/>
      <c r="DF427" s="472"/>
      <c r="DG427" s="472"/>
      <c r="DH427" s="472"/>
      <c r="DJ427" s="520"/>
      <c r="DK427" s="472"/>
      <c r="DL427" s="161"/>
      <c r="DM427" s="472"/>
    </row>
    <row r="428" spans="1:117" s="473" customFormat="1" ht="18.75" thickBot="1">
      <c r="A428" s="554"/>
      <c r="B428" s="1075" t="s">
        <v>6012</v>
      </c>
      <c r="C428" s="1076"/>
      <c r="D428" s="557"/>
      <c r="E428" s="557"/>
      <c r="F428" s="1064"/>
      <c r="G428" s="558"/>
      <c r="H428" s="559"/>
      <c r="I428" s="1216"/>
      <c r="J428" s="1216"/>
      <c r="K428" s="1216"/>
      <c r="L428" s="1216"/>
      <c r="M428" s="1216"/>
      <c r="N428" s="1216"/>
      <c r="Q428" s="1216"/>
      <c r="R428" s="477"/>
      <c r="S428" s="1216"/>
      <c r="T428" s="161"/>
      <c r="U428" s="161"/>
      <c r="V428" s="161"/>
      <c r="W428" s="161"/>
      <c r="X428" s="1216"/>
      <c r="Y428" s="1216"/>
      <c r="Z428" s="478"/>
      <c r="AA428" s="161"/>
      <c r="AB428" s="161"/>
      <c r="AC428" s="161"/>
      <c r="AD428" s="161"/>
      <c r="AE428" s="161"/>
      <c r="AF428" s="161"/>
      <c r="AG428" s="161"/>
      <c r="AH428" s="161"/>
      <c r="AI428" s="161"/>
      <c r="AJ428" s="161"/>
      <c r="AK428" s="161"/>
      <c r="AL428" s="161"/>
      <c r="AM428" s="161"/>
      <c r="AN428" s="161"/>
      <c r="AO428" s="162"/>
      <c r="AP428" s="162"/>
      <c r="AQ428" s="162"/>
      <c r="AR428" s="162"/>
      <c r="AS428" s="162"/>
      <c r="AT428" s="162"/>
      <c r="AU428" s="1216"/>
      <c r="AV428" s="163"/>
      <c r="AW428" s="1216"/>
      <c r="AX428" s="161"/>
      <c r="AY428" s="161"/>
      <c r="AZ428" s="161"/>
      <c r="BA428" s="161"/>
      <c r="BB428" s="1216"/>
      <c r="BC428" s="1216"/>
      <c r="BD428" s="1216"/>
      <c r="BE428" s="1216"/>
      <c r="BF428" s="1216"/>
      <c r="BG428" s="161"/>
      <c r="BH428" s="161"/>
      <c r="BI428" s="161"/>
      <c r="BJ428" s="161"/>
      <c r="BK428" s="161"/>
      <c r="BL428" s="1216"/>
      <c r="BM428" s="1216"/>
      <c r="BN428" s="1216"/>
      <c r="BO428" s="1216"/>
      <c r="BP428" s="1216"/>
      <c r="BQ428" s="1216"/>
      <c r="BR428" s="161"/>
      <c r="BS428" s="161"/>
      <c r="BT428" s="161"/>
      <c r="BU428" s="161"/>
      <c r="BV428" s="161"/>
      <c r="BW428" s="161"/>
      <c r="BX428" s="161"/>
      <c r="BY428" s="161"/>
      <c r="BZ428" s="161"/>
      <c r="CA428" s="161"/>
      <c r="CB428" s="472"/>
      <c r="CC428" s="472"/>
      <c r="CD428" s="472"/>
      <c r="CE428" s="472"/>
      <c r="CF428" s="472"/>
      <c r="CG428" s="472"/>
      <c r="CH428" s="472"/>
      <c r="CI428" s="472"/>
      <c r="CJ428" s="472"/>
      <c r="CK428" s="472"/>
      <c r="CL428" s="472"/>
      <c r="CM428" s="472"/>
      <c r="CN428" s="472"/>
      <c r="CO428" s="472"/>
      <c r="CP428" s="472"/>
      <c r="CQ428" s="472"/>
      <c r="CR428" s="472"/>
      <c r="CS428" s="472"/>
      <c r="CT428" s="472"/>
      <c r="CU428" s="472"/>
      <c r="CV428" s="472"/>
      <c r="CW428" s="472"/>
      <c r="CX428" s="472"/>
      <c r="CY428" s="472"/>
      <c r="CZ428" s="514"/>
      <c r="DA428" s="514"/>
      <c r="DB428" s="514"/>
      <c r="DC428" s="514"/>
      <c r="DD428" s="472"/>
      <c r="DE428" s="472"/>
      <c r="DF428" s="472"/>
      <c r="DG428" s="472"/>
      <c r="DH428" s="472"/>
      <c r="DJ428" s="520"/>
      <c r="DK428" s="472"/>
      <c r="DL428" s="161"/>
      <c r="DM428" s="472"/>
    </row>
    <row r="429" spans="1:117" s="473" customFormat="1" ht="20.100000000000001" customHeight="1">
      <c r="A429" s="1220"/>
      <c r="B429" s="1029">
        <v>1</v>
      </c>
      <c r="C429" s="1030">
        <v>9495661</v>
      </c>
      <c r="D429" s="1031" t="s">
        <v>5187</v>
      </c>
      <c r="E429" s="1039" t="s">
        <v>5218</v>
      </c>
      <c r="F429" s="1057"/>
      <c r="G429" s="1050"/>
      <c r="H429" s="1051"/>
      <c r="I429" s="1216"/>
      <c r="J429" s="1216"/>
      <c r="K429" s="1216"/>
      <c r="L429" s="1216"/>
      <c r="M429" s="1216"/>
      <c r="N429" s="1216"/>
      <c r="Q429" s="1216"/>
      <c r="R429" s="477"/>
      <c r="S429" s="1216"/>
      <c r="T429" s="161"/>
      <c r="U429" s="161"/>
      <c r="V429" s="161"/>
      <c r="W429" s="161"/>
      <c r="X429" s="1216"/>
      <c r="Y429" s="1216"/>
      <c r="Z429" s="478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2"/>
      <c r="AP429" s="162"/>
      <c r="AQ429" s="162"/>
      <c r="AR429" s="162"/>
      <c r="AS429" s="162"/>
      <c r="AT429" s="162"/>
      <c r="AU429" s="1216"/>
      <c r="AV429" s="163"/>
      <c r="AW429" s="1216"/>
      <c r="AX429" s="161"/>
      <c r="AY429" s="161"/>
      <c r="AZ429" s="161"/>
      <c r="BA429" s="161"/>
      <c r="BB429" s="1216"/>
      <c r="BC429" s="1216"/>
      <c r="BD429" s="1216"/>
      <c r="BE429" s="1216"/>
      <c r="BF429" s="1216"/>
      <c r="BG429" s="161"/>
      <c r="BH429" s="161"/>
      <c r="BI429" s="161"/>
      <c r="BJ429" s="161"/>
      <c r="BK429" s="161"/>
      <c r="BL429" s="1216"/>
      <c r="BM429" s="1216"/>
      <c r="BN429" s="1216"/>
      <c r="BO429" s="1216"/>
      <c r="BP429" s="1216"/>
      <c r="BQ429" s="1216"/>
      <c r="BR429" s="161"/>
      <c r="BS429" s="161"/>
      <c r="BT429" s="161"/>
      <c r="BU429" s="161"/>
      <c r="BV429" s="161"/>
      <c r="BW429" s="161"/>
      <c r="BX429" s="161"/>
      <c r="BY429" s="161"/>
      <c r="BZ429" s="161"/>
      <c r="CA429" s="161"/>
      <c r="CB429" s="472"/>
      <c r="CC429" s="472"/>
      <c r="CD429" s="472"/>
      <c r="CE429" s="472"/>
      <c r="CF429" s="472"/>
      <c r="CG429" s="472"/>
      <c r="CH429" s="472"/>
      <c r="CI429" s="472"/>
      <c r="CJ429" s="472"/>
      <c r="CK429" s="472"/>
      <c r="CL429" s="472"/>
      <c r="CM429" s="472"/>
      <c r="CN429" s="472"/>
      <c r="CO429" s="472"/>
      <c r="CP429" s="472"/>
      <c r="CQ429" s="472"/>
      <c r="CR429" s="472"/>
      <c r="CS429" s="472"/>
      <c r="CT429" s="472"/>
      <c r="CU429" s="472"/>
      <c r="CV429" s="472"/>
      <c r="CW429" s="472"/>
      <c r="CX429" s="472"/>
      <c r="CY429" s="472"/>
      <c r="CZ429" s="514"/>
      <c r="DA429" s="514"/>
      <c r="DB429" s="514"/>
      <c r="DC429" s="514"/>
      <c r="DD429" s="472"/>
      <c r="DE429" s="472"/>
      <c r="DF429" s="472"/>
      <c r="DG429" s="472"/>
      <c r="DH429" s="472"/>
      <c r="DJ429" s="520"/>
      <c r="DK429" s="472"/>
      <c r="DL429" s="161"/>
      <c r="DM429" s="472"/>
    </row>
    <row r="430" spans="1:117" s="473" customFormat="1" ht="20.100000000000001" customHeight="1">
      <c r="A430" s="1220"/>
      <c r="B430" s="1032">
        <f>B429+1</f>
        <v>2</v>
      </c>
      <c r="C430" s="1033">
        <v>9311822</v>
      </c>
      <c r="D430" s="1034" t="s">
        <v>4670</v>
      </c>
      <c r="E430" s="1035" t="s">
        <v>5219</v>
      </c>
      <c r="F430" s="1058"/>
      <c r="G430" s="1052"/>
      <c r="H430" s="1053"/>
      <c r="I430" s="1216"/>
      <c r="J430" s="1216"/>
      <c r="K430" s="1216"/>
      <c r="L430" s="1216"/>
      <c r="M430" s="1216"/>
      <c r="N430" s="1216"/>
      <c r="Q430" s="1216"/>
      <c r="R430" s="477"/>
      <c r="S430" s="1216"/>
      <c r="T430" s="161"/>
      <c r="U430" s="161"/>
      <c r="V430" s="161"/>
      <c r="W430" s="161"/>
      <c r="X430" s="1216"/>
      <c r="Y430" s="1216"/>
      <c r="Z430" s="478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2"/>
      <c r="AP430" s="162"/>
      <c r="AQ430" s="162"/>
      <c r="AR430" s="162"/>
      <c r="AS430" s="162"/>
      <c r="AT430" s="162"/>
      <c r="AU430" s="1216"/>
      <c r="AV430" s="163"/>
      <c r="AW430" s="1216"/>
      <c r="AX430" s="161"/>
      <c r="AY430" s="161"/>
      <c r="AZ430" s="161"/>
      <c r="BA430" s="161"/>
      <c r="BB430" s="1216"/>
      <c r="BC430" s="1216"/>
      <c r="BD430" s="1216"/>
      <c r="BE430" s="1216"/>
      <c r="BF430" s="1216"/>
      <c r="BG430" s="161"/>
      <c r="BH430" s="161"/>
      <c r="BI430" s="161"/>
      <c r="BJ430" s="161"/>
      <c r="BK430" s="161"/>
      <c r="BL430" s="1216"/>
      <c r="BM430" s="1216"/>
      <c r="BN430" s="1216"/>
      <c r="BO430" s="1216"/>
      <c r="BP430" s="1216"/>
      <c r="BQ430" s="1216"/>
      <c r="BR430" s="161"/>
      <c r="BS430" s="161"/>
      <c r="BT430" s="161"/>
      <c r="BU430" s="161"/>
      <c r="BV430" s="161"/>
      <c r="BW430" s="161"/>
      <c r="BX430" s="161"/>
      <c r="BY430" s="161"/>
      <c r="BZ430" s="161"/>
      <c r="CA430" s="161"/>
      <c r="CB430" s="472"/>
      <c r="CC430" s="472"/>
      <c r="CD430" s="472"/>
      <c r="CE430" s="472"/>
      <c r="CF430" s="472"/>
      <c r="CG430" s="472"/>
      <c r="CH430" s="472"/>
      <c r="CI430" s="472"/>
      <c r="CJ430" s="472"/>
      <c r="CK430" s="472"/>
      <c r="CL430" s="472"/>
      <c r="CM430" s="472"/>
      <c r="CN430" s="472"/>
      <c r="CO430" s="472"/>
      <c r="CP430" s="472"/>
      <c r="CQ430" s="472"/>
      <c r="CR430" s="472"/>
      <c r="CS430" s="472"/>
      <c r="CT430" s="472"/>
      <c r="CU430" s="472"/>
      <c r="CV430" s="472"/>
      <c r="CW430" s="472"/>
      <c r="CX430" s="472"/>
      <c r="CY430" s="472"/>
      <c r="CZ430" s="514"/>
      <c r="DA430" s="514"/>
      <c r="DB430" s="514"/>
      <c r="DC430" s="514"/>
      <c r="DD430" s="472"/>
      <c r="DE430" s="472"/>
      <c r="DF430" s="472"/>
      <c r="DG430" s="472"/>
      <c r="DH430" s="472"/>
      <c r="DJ430" s="520"/>
      <c r="DK430" s="472"/>
      <c r="DL430" s="161"/>
      <c r="DM430" s="472"/>
    </row>
    <row r="431" spans="1:117" s="473" customFormat="1" ht="20.100000000000001" customHeight="1">
      <c r="A431" s="1220"/>
      <c r="B431" s="1032">
        <f t="shared" ref="B431:B446" si="1210">B430+1</f>
        <v>3</v>
      </c>
      <c r="C431" s="1033">
        <v>21592108</v>
      </c>
      <c r="D431" s="1034" t="s">
        <v>4682</v>
      </c>
      <c r="E431" s="1035" t="s">
        <v>5268</v>
      </c>
      <c r="F431" s="1058"/>
      <c r="G431" s="1052"/>
      <c r="H431" s="1053"/>
      <c r="I431" s="1216"/>
      <c r="J431" s="1216"/>
      <c r="K431" s="1216"/>
      <c r="L431" s="1216"/>
      <c r="M431" s="1216"/>
      <c r="N431" s="1216"/>
      <c r="Q431" s="1216"/>
      <c r="R431" s="477"/>
      <c r="S431" s="1216"/>
      <c r="T431" s="161"/>
      <c r="U431" s="161"/>
      <c r="V431" s="161"/>
      <c r="W431" s="161"/>
      <c r="X431" s="1216"/>
      <c r="Y431" s="1216"/>
      <c r="Z431" s="478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2"/>
      <c r="AP431" s="162"/>
      <c r="AQ431" s="162"/>
      <c r="AR431" s="162"/>
      <c r="AS431" s="162"/>
      <c r="AT431" s="162"/>
      <c r="AU431" s="1216"/>
      <c r="AV431" s="163"/>
      <c r="AW431" s="1216"/>
      <c r="AX431" s="161"/>
      <c r="AY431" s="161"/>
      <c r="AZ431" s="161"/>
      <c r="BA431" s="161"/>
      <c r="BB431" s="1216"/>
      <c r="BC431" s="1216"/>
      <c r="BD431" s="1216"/>
      <c r="BE431" s="1216"/>
      <c r="BF431" s="1216"/>
      <c r="BG431" s="161"/>
      <c r="BH431" s="161"/>
      <c r="BI431" s="161"/>
      <c r="BJ431" s="161"/>
      <c r="BK431" s="161"/>
      <c r="BL431" s="1216"/>
      <c r="BM431" s="1216"/>
      <c r="BN431" s="1216"/>
      <c r="BO431" s="1216"/>
      <c r="BP431" s="1216"/>
      <c r="BQ431" s="1216"/>
      <c r="BR431" s="161"/>
      <c r="BS431" s="161"/>
      <c r="BT431" s="161"/>
      <c r="BU431" s="161"/>
      <c r="BV431" s="161"/>
      <c r="BW431" s="161"/>
      <c r="BX431" s="161"/>
      <c r="BY431" s="161"/>
      <c r="BZ431" s="161"/>
      <c r="CA431" s="161"/>
      <c r="CB431" s="472"/>
      <c r="CC431" s="472"/>
      <c r="CD431" s="472"/>
      <c r="CE431" s="472"/>
      <c r="CF431" s="472"/>
      <c r="CG431" s="472"/>
      <c r="CH431" s="472"/>
      <c r="CI431" s="472"/>
      <c r="CJ431" s="472"/>
      <c r="CK431" s="472"/>
      <c r="CL431" s="472"/>
      <c r="CM431" s="472"/>
      <c r="CN431" s="472"/>
      <c r="CO431" s="472"/>
      <c r="CP431" s="472"/>
      <c r="CQ431" s="472"/>
      <c r="CR431" s="472"/>
      <c r="CS431" s="472"/>
      <c r="CT431" s="472"/>
      <c r="CU431" s="472"/>
      <c r="CV431" s="472"/>
      <c r="CW431" s="472"/>
      <c r="CX431" s="472"/>
      <c r="CY431" s="472"/>
      <c r="CZ431" s="514"/>
      <c r="DA431" s="514"/>
      <c r="DB431" s="514"/>
      <c r="DC431" s="514"/>
      <c r="DD431" s="472"/>
      <c r="DE431" s="472"/>
      <c r="DF431" s="472"/>
      <c r="DG431" s="472"/>
      <c r="DH431" s="472"/>
      <c r="DJ431" s="520"/>
      <c r="DK431" s="472"/>
      <c r="DL431" s="161"/>
      <c r="DM431" s="472"/>
    </row>
    <row r="432" spans="1:117" s="473" customFormat="1" ht="20.100000000000001" customHeight="1">
      <c r="A432" s="1220"/>
      <c r="B432" s="1032">
        <f t="shared" si="1210"/>
        <v>4</v>
      </c>
      <c r="C432" s="1033">
        <v>10912595</v>
      </c>
      <c r="D432" s="1034" t="s">
        <v>4681</v>
      </c>
      <c r="E432" s="1035" t="s">
        <v>5221</v>
      </c>
      <c r="F432" s="1058"/>
      <c r="G432" s="1052"/>
      <c r="H432" s="1053"/>
      <c r="I432" s="1216"/>
      <c r="J432" s="1216"/>
      <c r="K432" s="1216"/>
      <c r="L432" s="1216"/>
      <c r="M432" s="1216"/>
      <c r="N432" s="1216"/>
      <c r="Q432" s="1216"/>
      <c r="R432" s="477"/>
      <c r="S432" s="1216"/>
      <c r="T432" s="161"/>
      <c r="U432" s="161"/>
      <c r="V432" s="161"/>
      <c r="W432" s="161"/>
      <c r="X432" s="1216"/>
      <c r="Y432" s="1216"/>
      <c r="Z432" s="478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2"/>
      <c r="AP432" s="162"/>
      <c r="AQ432" s="162"/>
      <c r="AR432" s="162"/>
      <c r="AS432" s="162"/>
      <c r="AT432" s="162"/>
      <c r="AU432" s="1216"/>
      <c r="AV432" s="163"/>
      <c r="AW432" s="1216"/>
      <c r="AX432" s="161"/>
      <c r="AY432" s="161"/>
      <c r="AZ432" s="161"/>
      <c r="BA432" s="161"/>
      <c r="BB432" s="1216"/>
      <c r="BC432" s="1216"/>
      <c r="BD432" s="1216"/>
      <c r="BE432" s="1216"/>
      <c r="BF432" s="1216"/>
      <c r="BG432" s="161"/>
      <c r="BH432" s="161"/>
      <c r="BI432" s="161"/>
      <c r="BJ432" s="161"/>
      <c r="BK432" s="161"/>
      <c r="BL432" s="1216"/>
      <c r="BM432" s="1216"/>
      <c r="BN432" s="1216"/>
      <c r="BO432" s="1216"/>
      <c r="BP432" s="1216"/>
      <c r="BQ432" s="1216"/>
      <c r="BR432" s="161"/>
      <c r="BS432" s="161"/>
      <c r="BT432" s="161"/>
      <c r="BU432" s="161"/>
      <c r="BV432" s="161"/>
      <c r="BW432" s="161"/>
      <c r="BX432" s="161"/>
      <c r="BY432" s="161"/>
      <c r="BZ432" s="161"/>
      <c r="CA432" s="161"/>
      <c r="CB432" s="472"/>
      <c r="CC432" s="472"/>
      <c r="CD432" s="472"/>
      <c r="CE432" s="472"/>
      <c r="CF432" s="472"/>
      <c r="CG432" s="472"/>
      <c r="CH432" s="472"/>
      <c r="CI432" s="472"/>
      <c r="CJ432" s="472"/>
      <c r="CK432" s="472"/>
      <c r="CL432" s="472"/>
      <c r="CM432" s="472"/>
      <c r="CN432" s="472"/>
      <c r="CO432" s="472"/>
      <c r="CP432" s="472"/>
      <c r="CQ432" s="472"/>
      <c r="CR432" s="472"/>
      <c r="CS432" s="472"/>
      <c r="CT432" s="472"/>
      <c r="CU432" s="472"/>
      <c r="CV432" s="472"/>
      <c r="CW432" s="472"/>
      <c r="CX432" s="472"/>
      <c r="CY432" s="472"/>
      <c r="CZ432" s="514"/>
      <c r="DA432" s="514"/>
      <c r="DB432" s="514"/>
      <c r="DC432" s="514"/>
      <c r="DD432" s="472"/>
      <c r="DE432" s="472"/>
      <c r="DF432" s="472"/>
      <c r="DG432" s="472"/>
      <c r="DH432" s="472"/>
      <c r="DJ432" s="520"/>
      <c r="DK432" s="472"/>
      <c r="DL432" s="161"/>
      <c r="DM432" s="472"/>
    </row>
    <row r="433" spans="1:117" s="473" customFormat="1" ht="20.100000000000001" customHeight="1">
      <c r="A433" s="1220"/>
      <c r="B433" s="1032">
        <f t="shared" si="1210"/>
        <v>5</v>
      </c>
      <c r="C433" s="1033">
        <v>11894534</v>
      </c>
      <c r="D433" s="1034" t="s">
        <v>4667</v>
      </c>
      <c r="E433" s="1035" t="s">
        <v>5495</v>
      </c>
      <c r="F433" s="1058"/>
      <c r="G433" s="1052"/>
      <c r="H433" s="1053"/>
      <c r="I433" s="1216"/>
      <c r="J433" s="1216"/>
      <c r="K433" s="1216"/>
      <c r="L433" s="1216"/>
      <c r="M433" s="1216"/>
      <c r="N433" s="1216"/>
      <c r="Q433" s="1216"/>
      <c r="R433" s="477"/>
      <c r="S433" s="1216"/>
      <c r="T433" s="161"/>
      <c r="U433" s="161"/>
      <c r="V433" s="161"/>
      <c r="W433" s="161"/>
      <c r="X433" s="1216"/>
      <c r="Y433" s="1216"/>
      <c r="Z433" s="478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2"/>
      <c r="AP433" s="162"/>
      <c r="AQ433" s="162"/>
      <c r="AR433" s="162"/>
      <c r="AS433" s="162"/>
      <c r="AT433" s="162"/>
      <c r="AU433" s="1216"/>
      <c r="AV433" s="163"/>
      <c r="AW433" s="1216"/>
      <c r="AX433" s="161"/>
      <c r="AY433" s="161"/>
      <c r="AZ433" s="161"/>
      <c r="BA433" s="161"/>
      <c r="BB433" s="1216"/>
      <c r="BC433" s="1216"/>
      <c r="BD433" s="1216"/>
      <c r="BE433" s="1216"/>
      <c r="BF433" s="1216"/>
      <c r="BG433" s="161"/>
      <c r="BH433" s="161"/>
      <c r="BI433" s="161"/>
      <c r="BJ433" s="161"/>
      <c r="BK433" s="161"/>
      <c r="BL433" s="1216"/>
      <c r="BM433" s="1216"/>
      <c r="BN433" s="1216"/>
      <c r="BO433" s="1216"/>
      <c r="BP433" s="1216"/>
      <c r="BQ433" s="1216"/>
      <c r="BR433" s="161"/>
      <c r="BS433" s="161"/>
      <c r="BT433" s="161"/>
      <c r="BU433" s="161"/>
      <c r="BV433" s="161"/>
      <c r="BW433" s="161"/>
      <c r="BX433" s="161"/>
      <c r="BY433" s="161"/>
      <c r="BZ433" s="161"/>
      <c r="CA433" s="161"/>
      <c r="CB433" s="472"/>
      <c r="CC433" s="472"/>
      <c r="CD433" s="472"/>
      <c r="CE433" s="472"/>
      <c r="CF433" s="472"/>
      <c r="CG433" s="472"/>
      <c r="CH433" s="472"/>
      <c r="CI433" s="472"/>
      <c r="CJ433" s="472"/>
      <c r="CK433" s="472"/>
      <c r="CL433" s="472"/>
      <c r="CM433" s="472"/>
      <c r="CN433" s="472"/>
      <c r="CO433" s="472"/>
      <c r="CP433" s="472"/>
      <c r="CQ433" s="472"/>
      <c r="CR433" s="472"/>
      <c r="CS433" s="472"/>
      <c r="CT433" s="472"/>
      <c r="CU433" s="472"/>
      <c r="CV433" s="472"/>
      <c r="CW433" s="472"/>
      <c r="CX433" s="472"/>
      <c r="CY433" s="472"/>
      <c r="CZ433" s="514"/>
      <c r="DA433" s="514"/>
      <c r="DB433" s="514"/>
      <c r="DC433" s="514"/>
      <c r="DD433" s="472"/>
      <c r="DE433" s="472"/>
      <c r="DF433" s="472"/>
      <c r="DG433" s="472"/>
      <c r="DH433" s="472"/>
      <c r="DJ433" s="520"/>
      <c r="DK433" s="472"/>
      <c r="DL433" s="161"/>
      <c r="DM433" s="472"/>
    </row>
    <row r="434" spans="1:117" s="473" customFormat="1" ht="20.100000000000001" customHeight="1">
      <c r="A434" s="1220"/>
      <c r="B434" s="1032">
        <f t="shared" si="1210"/>
        <v>6</v>
      </c>
      <c r="C434" s="1033">
        <v>10404528</v>
      </c>
      <c r="D434" s="1034" t="s">
        <v>4669</v>
      </c>
      <c r="E434" s="1035" t="s">
        <v>5241</v>
      </c>
      <c r="F434" s="1058"/>
      <c r="G434" s="1052"/>
      <c r="H434" s="1053"/>
      <c r="I434" s="1216"/>
      <c r="J434" s="1216"/>
      <c r="K434" s="1216"/>
      <c r="L434" s="1216"/>
      <c r="M434" s="1216"/>
      <c r="N434" s="1216"/>
      <c r="Q434" s="1216"/>
      <c r="R434" s="477"/>
      <c r="S434" s="1216"/>
      <c r="T434" s="161"/>
      <c r="U434" s="161"/>
      <c r="V434" s="161"/>
      <c r="W434" s="161"/>
      <c r="X434" s="1216"/>
      <c r="Y434" s="1216"/>
      <c r="Z434" s="478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2"/>
      <c r="AP434" s="162"/>
      <c r="AQ434" s="162"/>
      <c r="AR434" s="162"/>
      <c r="AS434" s="162"/>
      <c r="AT434" s="162"/>
      <c r="AU434" s="1216"/>
      <c r="AV434" s="163"/>
      <c r="AW434" s="1216"/>
      <c r="AX434" s="161"/>
      <c r="AY434" s="161"/>
      <c r="AZ434" s="161"/>
      <c r="BA434" s="161"/>
      <c r="BB434" s="1216"/>
      <c r="BC434" s="1216"/>
      <c r="BD434" s="1216"/>
      <c r="BE434" s="1216"/>
      <c r="BF434" s="1216"/>
      <c r="BG434" s="161"/>
      <c r="BH434" s="161"/>
      <c r="BI434" s="161"/>
      <c r="BJ434" s="161"/>
      <c r="BK434" s="161"/>
      <c r="BL434" s="1216"/>
      <c r="BM434" s="1216"/>
      <c r="BN434" s="1216"/>
      <c r="BO434" s="1216"/>
      <c r="BP434" s="1216"/>
      <c r="BQ434" s="1216"/>
      <c r="BR434" s="161"/>
      <c r="BS434" s="161"/>
      <c r="BT434" s="161"/>
      <c r="BU434" s="161"/>
      <c r="BV434" s="161"/>
      <c r="BW434" s="161"/>
      <c r="BX434" s="161"/>
      <c r="BY434" s="161"/>
      <c r="BZ434" s="161"/>
      <c r="CA434" s="161"/>
      <c r="CB434" s="472"/>
      <c r="CC434" s="472"/>
      <c r="CD434" s="472"/>
      <c r="CE434" s="472"/>
      <c r="CF434" s="472"/>
      <c r="CG434" s="472"/>
      <c r="CH434" s="472"/>
      <c r="CI434" s="472"/>
      <c r="CJ434" s="472"/>
      <c r="CK434" s="472"/>
      <c r="CL434" s="472"/>
      <c r="CM434" s="472"/>
      <c r="CN434" s="472"/>
      <c r="CO434" s="472"/>
      <c r="CP434" s="472"/>
      <c r="CQ434" s="472"/>
      <c r="CR434" s="472"/>
      <c r="CS434" s="472"/>
      <c r="CT434" s="472"/>
      <c r="CU434" s="472"/>
      <c r="CV434" s="472"/>
      <c r="CW434" s="472"/>
      <c r="CX434" s="472"/>
      <c r="CY434" s="472"/>
      <c r="CZ434" s="514"/>
      <c r="DA434" s="514"/>
      <c r="DB434" s="514"/>
      <c r="DC434" s="514"/>
      <c r="DD434" s="472"/>
      <c r="DE434" s="472"/>
      <c r="DF434" s="472"/>
      <c r="DG434" s="472"/>
      <c r="DH434" s="472"/>
      <c r="DJ434" s="520"/>
      <c r="DK434" s="472"/>
      <c r="DL434" s="161"/>
      <c r="DM434" s="472"/>
    </row>
    <row r="435" spans="1:117" s="473" customFormat="1" ht="20.100000000000001" customHeight="1">
      <c r="A435" s="1220"/>
      <c r="B435" s="1032">
        <f t="shared" si="1210"/>
        <v>7</v>
      </c>
      <c r="C435" s="1033">
        <v>13462933</v>
      </c>
      <c r="D435" s="1034" t="s">
        <v>4672</v>
      </c>
      <c r="E435" s="1035" t="s">
        <v>5495</v>
      </c>
      <c r="F435" s="1058"/>
      <c r="G435" s="1052"/>
      <c r="H435" s="1053"/>
      <c r="I435" s="1216"/>
      <c r="J435" s="1216"/>
      <c r="K435" s="1216"/>
      <c r="L435" s="1216"/>
      <c r="M435" s="1216"/>
      <c r="N435" s="1216"/>
      <c r="Q435" s="1216"/>
      <c r="R435" s="477"/>
      <c r="S435" s="1216"/>
      <c r="T435" s="161"/>
      <c r="U435" s="161"/>
      <c r="V435" s="161"/>
      <c r="W435" s="161"/>
      <c r="X435" s="1216"/>
      <c r="Y435" s="1216"/>
      <c r="Z435" s="478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2"/>
      <c r="AP435" s="162"/>
      <c r="AQ435" s="162"/>
      <c r="AR435" s="162"/>
      <c r="AS435" s="162"/>
      <c r="AT435" s="162"/>
      <c r="AU435" s="1216"/>
      <c r="AV435" s="163"/>
      <c r="AW435" s="1216"/>
      <c r="AX435" s="161"/>
      <c r="AY435" s="161"/>
      <c r="AZ435" s="161"/>
      <c r="BA435" s="161"/>
      <c r="BB435" s="1216"/>
      <c r="BC435" s="1216"/>
      <c r="BD435" s="1216"/>
      <c r="BE435" s="1216"/>
      <c r="BF435" s="1216"/>
      <c r="BG435" s="161"/>
      <c r="BH435" s="161"/>
      <c r="BI435" s="161"/>
      <c r="BJ435" s="161"/>
      <c r="BK435" s="161"/>
      <c r="BL435" s="1216"/>
      <c r="BM435" s="1216"/>
      <c r="BN435" s="1216"/>
      <c r="BO435" s="1216"/>
      <c r="BP435" s="1216"/>
      <c r="BQ435" s="1216"/>
      <c r="BR435" s="161"/>
      <c r="BS435" s="161"/>
      <c r="BT435" s="161"/>
      <c r="BU435" s="161"/>
      <c r="BV435" s="161"/>
      <c r="BW435" s="161"/>
      <c r="BX435" s="161"/>
      <c r="BY435" s="161"/>
      <c r="BZ435" s="161"/>
      <c r="CA435" s="161"/>
      <c r="CB435" s="472"/>
      <c r="CC435" s="472"/>
      <c r="CD435" s="472"/>
      <c r="CE435" s="472"/>
      <c r="CF435" s="472"/>
      <c r="CG435" s="472"/>
      <c r="CH435" s="472"/>
      <c r="CI435" s="472"/>
      <c r="CJ435" s="472"/>
      <c r="CK435" s="472"/>
      <c r="CL435" s="472"/>
      <c r="CM435" s="472"/>
      <c r="CN435" s="472"/>
      <c r="CO435" s="472"/>
      <c r="CP435" s="472"/>
      <c r="CQ435" s="472"/>
      <c r="CR435" s="472"/>
      <c r="CS435" s="472"/>
      <c r="CT435" s="472"/>
      <c r="CU435" s="472"/>
      <c r="CV435" s="472"/>
      <c r="CW435" s="472"/>
      <c r="CX435" s="472"/>
      <c r="CY435" s="472"/>
      <c r="CZ435" s="514"/>
      <c r="DA435" s="514"/>
      <c r="DB435" s="514"/>
      <c r="DC435" s="514"/>
      <c r="DD435" s="472"/>
      <c r="DE435" s="472"/>
      <c r="DF435" s="472"/>
      <c r="DG435" s="472"/>
      <c r="DH435" s="472"/>
      <c r="DJ435" s="520"/>
      <c r="DK435" s="472"/>
      <c r="DL435" s="161"/>
      <c r="DM435" s="472"/>
    </row>
    <row r="436" spans="1:117" s="473" customFormat="1" ht="20.100000000000001" customHeight="1">
      <c r="A436" s="1220"/>
      <c r="B436" s="1032">
        <f t="shared" si="1210"/>
        <v>8</v>
      </c>
      <c r="C436" s="1033">
        <v>13896239</v>
      </c>
      <c r="D436" s="1034" t="s">
        <v>4688</v>
      </c>
      <c r="E436" s="1035" t="s">
        <v>5225</v>
      </c>
      <c r="F436" s="1058"/>
      <c r="G436" s="1052"/>
      <c r="H436" s="1053"/>
      <c r="I436" s="1216"/>
      <c r="J436" s="1216"/>
      <c r="K436" s="1216"/>
      <c r="L436" s="1216"/>
      <c r="M436" s="1216"/>
      <c r="N436" s="1216"/>
      <c r="Q436" s="1216"/>
      <c r="R436" s="477"/>
      <c r="S436" s="1216"/>
      <c r="T436" s="161"/>
      <c r="U436" s="161"/>
      <c r="V436" s="161"/>
      <c r="W436" s="161"/>
      <c r="X436" s="1216"/>
      <c r="Y436" s="1216"/>
      <c r="Z436" s="478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2"/>
      <c r="AP436" s="162"/>
      <c r="AQ436" s="162"/>
      <c r="AR436" s="162"/>
      <c r="AS436" s="162"/>
      <c r="AT436" s="162"/>
      <c r="AU436" s="1216"/>
      <c r="AV436" s="163"/>
      <c r="AW436" s="1216"/>
      <c r="AX436" s="161"/>
      <c r="AY436" s="161"/>
      <c r="AZ436" s="161"/>
      <c r="BA436" s="161"/>
      <c r="BB436" s="1216"/>
      <c r="BC436" s="1216"/>
      <c r="BD436" s="1216"/>
      <c r="BE436" s="1216"/>
      <c r="BF436" s="1216"/>
      <c r="BG436" s="161"/>
      <c r="BH436" s="161"/>
      <c r="BI436" s="161"/>
      <c r="BJ436" s="161"/>
      <c r="BK436" s="161"/>
      <c r="BL436" s="1216"/>
      <c r="BM436" s="1216"/>
      <c r="BN436" s="1216"/>
      <c r="BO436" s="1216"/>
      <c r="BP436" s="1216"/>
      <c r="BQ436" s="1216"/>
      <c r="BR436" s="161"/>
      <c r="BS436" s="161"/>
      <c r="BT436" s="161"/>
      <c r="BU436" s="161"/>
      <c r="BV436" s="161"/>
      <c r="BW436" s="161"/>
      <c r="BX436" s="161"/>
      <c r="BY436" s="161"/>
      <c r="BZ436" s="161"/>
      <c r="CA436" s="161"/>
      <c r="CB436" s="472"/>
      <c r="CC436" s="472"/>
      <c r="CD436" s="472"/>
      <c r="CE436" s="472"/>
      <c r="CF436" s="472"/>
      <c r="CG436" s="472"/>
      <c r="CH436" s="472"/>
      <c r="CI436" s="472"/>
      <c r="CJ436" s="472"/>
      <c r="CK436" s="472"/>
      <c r="CL436" s="472"/>
      <c r="CM436" s="472"/>
      <c r="CN436" s="472"/>
      <c r="CO436" s="472"/>
      <c r="CP436" s="472"/>
      <c r="CQ436" s="472"/>
      <c r="CR436" s="472"/>
      <c r="CS436" s="472"/>
      <c r="CT436" s="472"/>
      <c r="CU436" s="472"/>
      <c r="CV436" s="472"/>
      <c r="CW436" s="472"/>
      <c r="CX436" s="472"/>
      <c r="CY436" s="472"/>
      <c r="CZ436" s="514"/>
      <c r="DA436" s="514"/>
      <c r="DB436" s="514"/>
      <c r="DC436" s="514"/>
      <c r="DD436" s="472"/>
      <c r="DE436" s="472"/>
      <c r="DF436" s="472"/>
      <c r="DG436" s="472"/>
      <c r="DH436" s="472"/>
      <c r="DJ436" s="520"/>
      <c r="DK436" s="472"/>
      <c r="DL436" s="161"/>
      <c r="DM436" s="472"/>
    </row>
    <row r="437" spans="1:117" s="473" customFormat="1" ht="20.100000000000001" customHeight="1">
      <c r="A437" s="1220"/>
      <c r="B437" s="1032">
        <f t="shared" si="1210"/>
        <v>9</v>
      </c>
      <c r="C437" s="1033">
        <v>12542413</v>
      </c>
      <c r="D437" s="1034" t="s">
        <v>7398</v>
      </c>
      <c r="E437" s="1035" t="s">
        <v>5221</v>
      </c>
      <c r="F437" s="1058"/>
      <c r="G437" s="1052"/>
      <c r="H437" s="1053"/>
      <c r="I437" s="1216"/>
      <c r="J437" s="1216"/>
      <c r="K437" s="1216"/>
      <c r="L437" s="1216"/>
      <c r="M437" s="1216"/>
      <c r="N437" s="1216"/>
      <c r="Q437" s="1216"/>
      <c r="R437" s="477"/>
      <c r="S437" s="1216"/>
      <c r="T437" s="161"/>
      <c r="U437" s="161"/>
      <c r="V437" s="161"/>
      <c r="W437" s="161"/>
      <c r="X437" s="1216"/>
      <c r="Y437" s="1216"/>
      <c r="Z437" s="478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2"/>
      <c r="AP437" s="162"/>
      <c r="AQ437" s="162"/>
      <c r="AR437" s="162"/>
      <c r="AS437" s="162"/>
      <c r="AT437" s="162"/>
      <c r="AU437" s="1216"/>
      <c r="AV437" s="163"/>
      <c r="AW437" s="1216"/>
      <c r="AX437" s="161"/>
      <c r="AY437" s="161"/>
      <c r="AZ437" s="161"/>
      <c r="BA437" s="161"/>
      <c r="BB437" s="1216"/>
      <c r="BC437" s="1216"/>
      <c r="BD437" s="1216"/>
      <c r="BE437" s="1216"/>
      <c r="BF437" s="1216"/>
      <c r="BG437" s="161"/>
      <c r="BH437" s="161"/>
      <c r="BI437" s="161"/>
      <c r="BJ437" s="161"/>
      <c r="BK437" s="161"/>
      <c r="BL437" s="1216"/>
      <c r="BM437" s="1216"/>
      <c r="BN437" s="1216"/>
      <c r="BO437" s="1216"/>
      <c r="BP437" s="1216"/>
      <c r="BQ437" s="1216"/>
      <c r="BR437" s="161"/>
      <c r="BS437" s="161"/>
      <c r="BT437" s="161"/>
      <c r="BU437" s="161"/>
      <c r="BV437" s="161"/>
      <c r="BW437" s="161"/>
      <c r="BX437" s="161"/>
      <c r="BY437" s="161"/>
      <c r="BZ437" s="161"/>
      <c r="CA437" s="161"/>
      <c r="CB437" s="472"/>
      <c r="CC437" s="472"/>
      <c r="CD437" s="472"/>
      <c r="CE437" s="472"/>
      <c r="CF437" s="472"/>
      <c r="CG437" s="472"/>
      <c r="CH437" s="472"/>
      <c r="CI437" s="472"/>
      <c r="CJ437" s="472"/>
      <c r="CK437" s="472"/>
      <c r="CL437" s="472"/>
      <c r="CM437" s="472"/>
      <c r="CN437" s="472"/>
      <c r="CO437" s="472"/>
      <c r="CP437" s="472"/>
      <c r="CQ437" s="472"/>
      <c r="CR437" s="472"/>
      <c r="CS437" s="472"/>
      <c r="CT437" s="472"/>
      <c r="CU437" s="472"/>
      <c r="CV437" s="472"/>
      <c r="CW437" s="472"/>
      <c r="CX437" s="472"/>
      <c r="CY437" s="472"/>
      <c r="CZ437" s="514"/>
      <c r="DA437" s="514"/>
      <c r="DB437" s="514"/>
      <c r="DC437" s="514"/>
      <c r="DD437" s="472"/>
      <c r="DE437" s="472"/>
      <c r="DF437" s="472"/>
      <c r="DG437" s="472"/>
      <c r="DH437" s="472"/>
      <c r="DJ437" s="520"/>
      <c r="DK437" s="472"/>
      <c r="DL437" s="161"/>
      <c r="DM437" s="472"/>
    </row>
    <row r="438" spans="1:117" s="473" customFormat="1" ht="20.100000000000001" customHeight="1">
      <c r="A438" s="1220"/>
      <c r="B438" s="1032">
        <f t="shared" si="1210"/>
        <v>10</v>
      </c>
      <c r="C438" s="1033">
        <v>18457406</v>
      </c>
      <c r="D438" s="1034" t="s">
        <v>4676</v>
      </c>
      <c r="E438" s="1035" t="s">
        <v>5496</v>
      </c>
      <c r="F438" s="1058"/>
      <c r="G438" s="1052"/>
      <c r="H438" s="1053"/>
      <c r="I438" s="1216"/>
      <c r="J438" s="1216"/>
      <c r="K438" s="1216"/>
      <c r="L438" s="1216"/>
      <c r="M438" s="1216"/>
      <c r="N438" s="1216"/>
      <c r="Q438" s="1216"/>
      <c r="R438" s="477"/>
      <c r="S438" s="1216"/>
      <c r="T438" s="161"/>
      <c r="U438" s="161"/>
      <c r="V438" s="161"/>
      <c r="W438" s="161"/>
      <c r="X438" s="1216"/>
      <c r="Y438" s="1216"/>
      <c r="Z438" s="478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2"/>
      <c r="AP438" s="162"/>
      <c r="AQ438" s="162"/>
      <c r="AR438" s="162"/>
      <c r="AS438" s="162"/>
      <c r="AT438" s="162"/>
      <c r="AU438" s="1216"/>
      <c r="AV438" s="163"/>
      <c r="AW438" s="1216"/>
      <c r="AX438" s="161"/>
      <c r="AY438" s="161"/>
      <c r="AZ438" s="161"/>
      <c r="BA438" s="161"/>
      <c r="BB438" s="1216"/>
      <c r="BC438" s="1216"/>
      <c r="BD438" s="1216"/>
      <c r="BE438" s="1216"/>
      <c r="BF438" s="1216"/>
      <c r="BG438" s="161"/>
      <c r="BH438" s="161"/>
      <c r="BI438" s="161"/>
      <c r="BJ438" s="161"/>
      <c r="BK438" s="161"/>
      <c r="BL438" s="1216"/>
      <c r="BM438" s="1216"/>
      <c r="BN438" s="1216"/>
      <c r="BO438" s="1216"/>
      <c r="BP438" s="1216"/>
      <c r="BQ438" s="1216"/>
      <c r="BR438" s="161"/>
      <c r="BS438" s="161"/>
      <c r="BT438" s="161"/>
      <c r="BU438" s="161"/>
      <c r="BV438" s="161"/>
      <c r="BW438" s="161"/>
      <c r="BX438" s="161"/>
      <c r="BY438" s="161"/>
      <c r="BZ438" s="161"/>
      <c r="CA438" s="161"/>
      <c r="CB438" s="472"/>
      <c r="CC438" s="472"/>
      <c r="CD438" s="472"/>
      <c r="CE438" s="472"/>
      <c r="CF438" s="472"/>
      <c r="CG438" s="472"/>
      <c r="CH438" s="472"/>
      <c r="CI438" s="472"/>
      <c r="CJ438" s="472"/>
      <c r="CK438" s="472"/>
      <c r="CL438" s="472"/>
      <c r="CM438" s="472"/>
      <c r="CN438" s="472"/>
      <c r="CO438" s="472"/>
      <c r="CP438" s="472"/>
      <c r="CQ438" s="472"/>
      <c r="CR438" s="472"/>
      <c r="CS438" s="472"/>
      <c r="CT438" s="472"/>
      <c r="CU438" s="472"/>
      <c r="CV438" s="472"/>
      <c r="CW438" s="472"/>
      <c r="CX438" s="472"/>
      <c r="CY438" s="472"/>
      <c r="CZ438" s="514"/>
      <c r="DA438" s="514"/>
      <c r="DB438" s="514"/>
      <c r="DC438" s="514"/>
      <c r="DD438" s="472"/>
      <c r="DE438" s="472"/>
      <c r="DF438" s="472"/>
      <c r="DG438" s="472"/>
      <c r="DH438" s="472"/>
      <c r="DJ438" s="520"/>
      <c r="DK438" s="472"/>
      <c r="DL438" s="161"/>
      <c r="DM438" s="472"/>
    </row>
    <row r="439" spans="1:117" s="473" customFormat="1" ht="20.100000000000001" customHeight="1">
      <c r="A439" s="1242"/>
      <c r="B439" s="1032">
        <f t="shared" si="1210"/>
        <v>11</v>
      </c>
      <c r="C439" s="1033">
        <v>11895772</v>
      </c>
      <c r="D439" s="1034" t="s">
        <v>4677</v>
      </c>
      <c r="E439" s="1035" t="s">
        <v>5232</v>
      </c>
      <c r="F439" s="1058"/>
      <c r="G439" s="1052"/>
      <c r="H439" s="1053"/>
      <c r="I439" s="1241"/>
      <c r="J439" s="1241"/>
      <c r="K439" s="1241"/>
      <c r="L439" s="1241"/>
      <c r="M439" s="1241"/>
      <c r="N439" s="1241"/>
      <c r="Q439" s="1241"/>
      <c r="R439" s="477"/>
      <c r="S439" s="1241"/>
      <c r="T439" s="161"/>
      <c r="U439" s="161"/>
      <c r="V439" s="161"/>
      <c r="W439" s="161"/>
      <c r="X439" s="1241"/>
      <c r="Y439" s="1241"/>
      <c r="Z439" s="478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2"/>
      <c r="AP439" s="162"/>
      <c r="AQ439" s="162"/>
      <c r="AR439" s="162"/>
      <c r="AS439" s="162"/>
      <c r="AT439" s="162"/>
      <c r="AU439" s="1241"/>
      <c r="AV439" s="163"/>
      <c r="AW439" s="1241"/>
      <c r="AX439" s="161"/>
      <c r="AY439" s="161"/>
      <c r="AZ439" s="161"/>
      <c r="BA439" s="161"/>
      <c r="BB439" s="1241"/>
      <c r="BC439" s="1241"/>
      <c r="BD439" s="1241"/>
      <c r="BE439" s="1241"/>
      <c r="BF439" s="1241"/>
      <c r="BG439" s="161"/>
      <c r="BH439" s="161"/>
      <c r="BI439" s="161"/>
      <c r="BJ439" s="161"/>
      <c r="BK439" s="161"/>
      <c r="BL439" s="1241"/>
      <c r="BM439" s="1241"/>
      <c r="BN439" s="1241"/>
      <c r="BO439" s="1241"/>
      <c r="BP439" s="1241"/>
      <c r="BQ439" s="1241"/>
      <c r="BR439" s="161"/>
      <c r="BS439" s="161"/>
      <c r="BT439" s="161"/>
      <c r="BU439" s="161"/>
      <c r="BV439" s="161"/>
      <c r="BW439" s="161"/>
      <c r="BX439" s="161"/>
      <c r="BY439" s="161"/>
      <c r="BZ439" s="161"/>
      <c r="CA439" s="161"/>
      <c r="CB439" s="472"/>
      <c r="CC439" s="472"/>
      <c r="CD439" s="472"/>
      <c r="CE439" s="472"/>
      <c r="CF439" s="472"/>
      <c r="CG439" s="472"/>
      <c r="CH439" s="472"/>
      <c r="CI439" s="472"/>
      <c r="CJ439" s="472"/>
      <c r="CK439" s="472"/>
      <c r="CL439" s="472"/>
      <c r="CM439" s="472"/>
      <c r="CN439" s="472"/>
      <c r="CO439" s="472"/>
      <c r="CP439" s="472"/>
      <c r="CQ439" s="472"/>
      <c r="CR439" s="472"/>
      <c r="CS439" s="472"/>
      <c r="CT439" s="472"/>
      <c r="CU439" s="472"/>
      <c r="CV439" s="472"/>
      <c r="CW439" s="472"/>
      <c r="CX439" s="472"/>
      <c r="CY439" s="472"/>
      <c r="CZ439" s="514"/>
      <c r="DA439" s="514"/>
      <c r="DB439" s="514"/>
      <c r="DC439" s="514"/>
      <c r="DD439" s="472"/>
      <c r="DE439" s="472"/>
      <c r="DF439" s="472"/>
      <c r="DG439" s="472"/>
      <c r="DH439" s="472"/>
      <c r="DJ439" s="520"/>
      <c r="DK439" s="472"/>
      <c r="DL439" s="161"/>
      <c r="DM439" s="472"/>
    </row>
    <row r="440" spans="1:117" s="473" customFormat="1" ht="20.100000000000001" customHeight="1">
      <c r="A440" s="1220"/>
      <c r="B440" s="1032">
        <f t="shared" si="1210"/>
        <v>12</v>
      </c>
      <c r="C440" s="1033">
        <v>8719807</v>
      </c>
      <c r="D440" s="1034" t="s">
        <v>4668</v>
      </c>
      <c r="E440" s="1035" t="s">
        <v>5497</v>
      </c>
      <c r="F440" s="1058"/>
      <c r="G440" s="1052"/>
      <c r="H440" s="1053"/>
      <c r="I440" s="1216"/>
      <c r="J440" s="1216"/>
      <c r="K440" s="1216"/>
      <c r="L440" s="1216"/>
      <c r="M440" s="1216"/>
      <c r="N440" s="1216"/>
      <c r="Q440" s="1216"/>
      <c r="R440" s="477"/>
      <c r="S440" s="1216"/>
      <c r="T440" s="161"/>
      <c r="U440" s="161"/>
      <c r="V440" s="161"/>
      <c r="W440" s="161"/>
      <c r="X440" s="1216"/>
      <c r="Y440" s="1216"/>
      <c r="Z440" s="478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2"/>
      <c r="AP440" s="162"/>
      <c r="AQ440" s="162"/>
      <c r="AR440" s="162"/>
      <c r="AS440" s="162"/>
      <c r="AT440" s="162"/>
      <c r="AU440" s="1216"/>
      <c r="AV440" s="163"/>
      <c r="AW440" s="1216"/>
      <c r="AX440" s="161"/>
      <c r="AY440" s="161"/>
      <c r="AZ440" s="161"/>
      <c r="BA440" s="161"/>
      <c r="BB440" s="1216"/>
      <c r="BC440" s="1216"/>
      <c r="BD440" s="1216"/>
      <c r="BE440" s="1216"/>
      <c r="BF440" s="1216"/>
      <c r="BG440" s="161"/>
      <c r="BH440" s="161"/>
      <c r="BI440" s="161"/>
      <c r="BJ440" s="161"/>
      <c r="BK440" s="161"/>
      <c r="BL440" s="1216"/>
      <c r="BM440" s="1216"/>
      <c r="BN440" s="1216"/>
      <c r="BO440" s="1216"/>
      <c r="BP440" s="1216"/>
      <c r="BQ440" s="1216"/>
      <c r="BR440" s="161"/>
      <c r="BS440" s="161"/>
      <c r="BT440" s="161"/>
      <c r="BU440" s="161"/>
      <c r="BV440" s="161"/>
      <c r="BW440" s="161"/>
      <c r="BX440" s="161"/>
      <c r="BY440" s="161"/>
      <c r="BZ440" s="161"/>
      <c r="CA440" s="161"/>
      <c r="CB440" s="472"/>
      <c r="CC440" s="472"/>
      <c r="CD440" s="472"/>
      <c r="CE440" s="472"/>
      <c r="CF440" s="472"/>
      <c r="CG440" s="472"/>
      <c r="CH440" s="472"/>
      <c r="CI440" s="472"/>
      <c r="CJ440" s="472"/>
      <c r="CK440" s="472"/>
      <c r="CL440" s="472"/>
      <c r="CM440" s="472"/>
      <c r="CN440" s="472"/>
      <c r="CO440" s="472"/>
      <c r="CP440" s="472"/>
      <c r="CQ440" s="472"/>
      <c r="CR440" s="472"/>
      <c r="CS440" s="472"/>
      <c r="CT440" s="472"/>
      <c r="CU440" s="472"/>
      <c r="CV440" s="472"/>
      <c r="CW440" s="472"/>
      <c r="CX440" s="472"/>
      <c r="CY440" s="472"/>
      <c r="CZ440" s="514"/>
      <c r="DA440" s="514"/>
      <c r="DB440" s="514"/>
      <c r="DC440" s="514"/>
      <c r="DD440" s="472"/>
      <c r="DE440" s="472"/>
      <c r="DF440" s="472"/>
      <c r="DG440" s="472"/>
      <c r="DH440" s="472"/>
      <c r="DJ440" s="520"/>
      <c r="DK440" s="472"/>
      <c r="DL440" s="161"/>
      <c r="DM440" s="472"/>
    </row>
    <row r="441" spans="1:117" s="473" customFormat="1" ht="20.100000000000001" customHeight="1">
      <c r="A441" s="1220"/>
      <c r="B441" s="1032">
        <f t="shared" si="1210"/>
        <v>13</v>
      </c>
      <c r="C441" s="1033">
        <v>20790947</v>
      </c>
      <c r="D441" s="1034" t="s">
        <v>4686</v>
      </c>
      <c r="E441" s="1035" t="s">
        <v>5219</v>
      </c>
      <c r="F441" s="1058"/>
      <c r="G441" s="1052"/>
      <c r="H441" s="1053"/>
      <c r="I441" s="1216"/>
      <c r="J441" s="1216"/>
      <c r="K441" s="1216"/>
      <c r="L441" s="1216"/>
      <c r="M441" s="1216"/>
      <c r="N441" s="1216"/>
      <c r="Q441" s="1216"/>
      <c r="R441" s="477"/>
      <c r="S441" s="1216"/>
      <c r="T441" s="161"/>
      <c r="U441" s="161"/>
      <c r="V441" s="161"/>
      <c r="W441" s="161"/>
      <c r="X441" s="1216"/>
      <c r="Y441" s="1216"/>
      <c r="Z441" s="478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2"/>
      <c r="AP441" s="162"/>
      <c r="AQ441" s="162"/>
      <c r="AR441" s="162"/>
      <c r="AS441" s="162"/>
      <c r="AT441" s="162"/>
      <c r="AU441" s="1216"/>
      <c r="AV441" s="163"/>
      <c r="AW441" s="1216"/>
      <c r="AX441" s="161"/>
      <c r="AY441" s="161"/>
      <c r="AZ441" s="161"/>
      <c r="BA441" s="161"/>
      <c r="BB441" s="1216"/>
      <c r="BC441" s="1216"/>
      <c r="BD441" s="1216"/>
      <c r="BE441" s="1216"/>
      <c r="BF441" s="1216"/>
      <c r="BG441" s="161"/>
      <c r="BH441" s="161"/>
      <c r="BI441" s="161"/>
      <c r="BJ441" s="161"/>
      <c r="BK441" s="161"/>
      <c r="BL441" s="1216"/>
      <c r="BM441" s="1216"/>
      <c r="BN441" s="1216"/>
      <c r="BO441" s="1216"/>
      <c r="BP441" s="1216"/>
      <c r="BQ441" s="1216"/>
      <c r="BR441" s="161"/>
      <c r="BS441" s="161"/>
      <c r="BT441" s="161"/>
      <c r="BU441" s="161"/>
      <c r="BV441" s="161"/>
      <c r="BW441" s="161"/>
      <c r="BX441" s="161"/>
      <c r="BY441" s="161"/>
      <c r="BZ441" s="161"/>
      <c r="CA441" s="161"/>
      <c r="CB441" s="472"/>
      <c r="CC441" s="472"/>
      <c r="CD441" s="472"/>
      <c r="CE441" s="472"/>
      <c r="CF441" s="472"/>
      <c r="CG441" s="472"/>
      <c r="CH441" s="472"/>
      <c r="CI441" s="472"/>
      <c r="CJ441" s="472"/>
      <c r="CK441" s="472"/>
      <c r="CL441" s="472"/>
      <c r="CM441" s="472"/>
      <c r="CN441" s="472"/>
      <c r="CO441" s="472"/>
      <c r="CP441" s="472"/>
      <c r="CQ441" s="472"/>
      <c r="CR441" s="472"/>
      <c r="CS441" s="472"/>
      <c r="CT441" s="472"/>
      <c r="CU441" s="472"/>
      <c r="CV441" s="472"/>
      <c r="CW441" s="472"/>
      <c r="CX441" s="472"/>
      <c r="CY441" s="472"/>
      <c r="CZ441" s="514"/>
      <c r="DA441" s="514"/>
      <c r="DB441" s="514"/>
      <c r="DC441" s="514"/>
      <c r="DD441" s="472"/>
      <c r="DE441" s="472"/>
      <c r="DF441" s="472"/>
      <c r="DG441" s="472"/>
      <c r="DH441" s="472"/>
      <c r="DJ441" s="520"/>
      <c r="DK441" s="472"/>
      <c r="DL441" s="161"/>
      <c r="DM441" s="472"/>
    </row>
    <row r="442" spans="1:117" s="473" customFormat="1" ht="20.100000000000001" customHeight="1">
      <c r="A442" s="1220"/>
      <c r="B442" s="1032">
        <f t="shared" si="1210"/>
        <v>14</v>
      </c>
      <c r="C442" s="1033">
        <v>13206767</v>
      </c>
      <c r="D442" s="1034" t="s">
        <v>4767</v>
      </c>
      <c r="E442" s="1035" t="s">
        <v>5223</v>
      </c>
      <c r="F442" s="1058"/>
      <c r="G442" s="1052"/>
      <c r="H442" s="1053"/>
      <c r="I442" s="1216"/>
      <c r="J442" s="1216"/>
      <c r="K442" s="1216"/>
      <c r="L442" s="1216"/>
      <c r="M442" s="1216"/>
      <c r="N442" s="1216"/>
      <c r="Q442" s="1216"/>
      <c r="R442" s="477"/>
      <c r="S442" s="1216"/>
      <c r="T442" s="161"/>
      <c r="U442" s="161"/>
      <c r="V442" s="161"/>
      <c r="W442" s="161"/>
      <c r="X442" s="1216"/>
      <c r="Y442" s="1216"/>
      <c r="Z442" s="478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2"/>
      <c r="AP442" s="162"/>
      <c r="AQ442" s="162"/>
      <c r="AR442" s="162"/>
      <c r="AS442" s="162"/>
      <c r="AT442" s="162"/>
      <c r="AU442" s="1216"/>
      <c r="AV442" s="163"/>
      <c r="AW442" s="1216"/>
      <c r="AX442" s="161"/>
      <c r="AY442" s="161"/>
      <c r="AZ442" s="161"/>
      <c r="BA442" s="161"/>
      <c r="BB442" s="1216"/>
      <c r="BC442" s="1216"/>
      <c r="BD442" s="1216"/>
      <c r="BE442" s="1216"/>
      <c r="BF442" s="1216"/>
      <c r="BG442" s="161"/>
      <c r="BH442" s="161"/>
      <c r="BI442" s="161"/>
      <c r="BJ442" s="161"/>
      <c r="BK442" s="161"/>
      <c r="BL442" s="1216"/>
      <c r="BM442" s="1216"/>
      <c r="BN442" s="1216"/>
      <c r="BO442" s="1216"/>
      <c r="BP442" s="1216"/>
      <c r="BQ442" s="1216"/>
      <c r="BR442" s="161"/>
      <c r="BS442" s="161"/>
      <c r="BT442" s="161"/>
      <c r="BU442" s="161"/>
      <c r="BV442" s="161"/>
      <c r="BW442" s="161"/>
      <c r="BX442" s="161"/>
      <c r="BY442" s="161"/>
      <c r="BZ442" s="161"/>
      <c r="CA442" s="161"/>
      <c r="CB442" s="472"/>
      <c r="CC442" s="472"/>
      <c r="CD442" s="472"/>
      <c r="CE442" s="472"/>
      <c r="CF442" s="472"/>
      <c r="CG442" s="472"/>
      <c r="CH442" s="472"/>
      <c r="CI442" s="472"/>
      <c r="CJ442" s="472"/>
      <c r="CK442" s="472"/>
      <c r="CL442" s="472"/>
      <c r="CM442" s="472"/>
      <c r="CN442" s="472"/>
      <c r="CO442" s="472"/>
      <c r="CP442" s="472"/>
      <c r="CQ442" s="472"/>
      <c r="CR442" s="472"/>
      <c r="CS442" s="472"/>
      <c r="CT442" s="472"/>
      <c r="CU442" s="472"/>
      <c r="CV442" s="472"/>
      <c r="CW442" s="472"/>
      <c r="CX442" s="472"/>
      <c r="CY442" s="472"/>
      <c r="CZ442" s="514"/>
      <c r="DA442" s="514"/>
      <c r="DB442" s="514"/>
      <c r="DC442" s="514"/>
      <c r="DD442" s="472"/>
      <c r="DE442" s="472"/>
      <c r="DF442" s="472"/>
      <c r="DG442" s="472"/>
      <c r="DH442" s="472"/>
      <c r="DJ442" s="520"/>
      <c r="DK442" s="472"/>
      <c r="DL442" s="161"/>
      <c r="DM442" s="472"/>
    </row>
    <row r="443" spans="1:117" s="473" customFormat="1" ht="20.100000000000001" customHeight="1">
      <c r="A443" s="1325"/>
      <c r="B443" s="1032">
        <f t="shared" si="1210"/>
        <v>15</v>
      </c>
      <c r="C443" s="1033">
        <v>16739081</v>
      </c>
      <c r="D443" s="1034" t="s">
        <v>4828</v>
      </c>
      <c r="E443" s="386" t="s">
        <v>5219</v>
      </c>
      <c r="F443" s="1058"/>
      <c r="G443" s="1052"/>
      <c r="H443" s="1053"/>
      <c r="I443" s="1324"/>
      <c r="J443" s="1324"/>
      <c r="K443" s="1324"/>
      <c r="L443" s="1324"/>
      <c r="M443" s="1324"/>
      <c r="N443" s="1324"/>
      <c r="Q443" s="1324"/>
      <c r="R443" s="477"/>
      <c r="S443" s="1324"/>
      <c r="T443" s="161"/>
      <c r="U443" s="161"/>
      <c r="V443" s="161"/>
      <c r="W443" s="161"/>
      <c r="X443" s="1324"/>
      <c r="Y443" s="1324"/>
      <c r="Z443" s="478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2"/>
      <c r="AP443" s="162"/>
      <c r="AQ443" s="162"/>
      <c r="AR443" s="162"/>
      <c r="AS443" s="162"/>
      <c r="AT443" s="162"/>
      <c r="AU443" s="1324"/>
      <c r="AV443" s="163"/>
      <c r="AW443" s="1324"/>
      <c r="AX443" s="161"/>
      <c r="AY443" s="161"/>
      <c r="AZ443" s="161"/>
      <c r="BA443" s="161"/>
      <c r="BB443" s="1324"/>
      <c r="BC443" s="1324"/>
      <c r="BD443" s="1324"/>
      <c r="BE443" s="1324"/>
      <c r="BF443" s="1324"/>
      <c r="BG443" s="161"/>
      <c r="BH443" s="161"/>
      <c r="BI443" s="161"/>
      <c r="BJ443" s="161"/>
      <c r="BK443" s="161"/>
      <c r="BL443" s="1324"/>
      <c r="BM443" s="1324"/>
      <c r="BN443" s="1324"/>
      <c r="BO443" s="1324"/>
      <c r="BP443" s="1324"/>
      <c r="BQ443" s="1324"/>
      <c r="BR443" s="161"/>
      <c r="BS443" s="161"/>
      <c r="BT443" s="161"/>
      <c r="BU443" s="161"/>
      <c r="BV443" s="161"/>
      <c r="BW443" s="161"/>
      <c r="BX443" s="161"/>
      <c r="BY443" s="161"/>
      <c r="BZ443" s="161"/>
      <c r="CA443" s="161"/>
      <c r="CB443" s="472"/>
      <c r="CC443" s="472"/>
      <c r="CD443" s="472"/>
      <c r="CE443" s="472"/>
      <c r="CF443" s="472"/>
      <c r="CG443" s="472"/>
      <c r="CH443" s="472"/>
      <c r="CI443" s="472"/>
      <c r="CJ443" s="472"/>
      <c r="CK443" s="472"/>
      <c r="CL443" s="472"/>
      <c r="CM443" s="472"/>
      <c r="CN443" s="472"/>
      <c r="CO443" s="472"/>
      <c r="CP443" s="472"/>
      <c r="CQ443" s="472"/>
      <c r="CR443" s="472"/>
      <c r="CS443" s="472"/>
      <c r="CT443" s="472"/>
      <c r="CU443" s="472"/>
      <c r="CV443" s="472"/>
      <c r="CW443" s="472"/>
      <c r="CX443" s="472"/>
      <c r="CY443" s="472"/>
      <c r="CZ443" s="514"/>
      <c r="DA443" s="514"/>
      <c r="DB443" s="514"/>
      <c r="DC443" s="514"/>
      <c r="DD443" s="472"/>
      <c r="DE443" s="472"/>
      <c r="DF443" s="472"/>
      <c r="DG443" s="472"/>
      <c r="DH443" s="472"/>
      <c r="DJ443" s="520"/>
      <c r="DK443" s="472"/>
      <c r="DL443" s="161"/>
      <c r="DM443" s="472"/>
    </row>
    <row r="444" spans="1:117" s="473" customFormat="1" ht="20.100000000000001" customHeight="1">
      <c r="A444" s="1220"/>
      <c r="B444" s="1032">
        <f t="shared" si="1210"/>
        <v>16</v>
      </c>
      <c r="C444" s="1033">
        <v>15752183</v>
      </c>
      <c r="D444" s="1034" t="s">
        <v>4684</v>
      </c>
      <c r="E444" s="1035" t="s">
        <v>5263</v>
      </c>
      <c r="F444" s="1059"/>
      <c r="G444" s="1052"/>
      <c r="H444" s="1053"/>
      <c r="I444" s="1216"/>
      <c r="J444" s="1216"/>
      <c r="K444" s="1216"/>
      <c r="L444" s="1216"/>
      <c r="M444" s="1216"/>
      <c r="N444" s="1216"/>
      <c r="Q444" s="1216"/>
      <c r="R444" s="477"/>
      <c r="S444" s="1216"/>
      <c r="T444" s="161"/>
      <c r="U444" s="161"/>
      <c r="V444" s="161"/>
      <c r="W444" s="161"/>
      <c r="X444" s="1216"/>
      <c r="Y444" s="1216"/>
      <c r="Z444" s="478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2"/>
      <c r="AP444" s="162"/>
      <c r="AQ444" s="162"/>
      <c r="AR444" s="162"/>
      <c r="AS444" s="162"/>
      <c r="AT444" s="162"/>
      <c r="AU444" s="1216"/>
      <c r="AV444" s="163"/>
      <c r="AW444" s="1216"/>
      <c r="AX444" s="161"/>
      <c r="AY444" s="161"/>
      <c r="AZ444" s="161"/>
      <c r="BA444" s="161"/>
      <c r="BB444" s="1216"/>
      <c r="BC444" s="1216"/>
      <c r="BD444" s="1216"/>
      <c r="BE444" s="1216"/>
      <c r="BF444" s="1216"/>
      <c r="BG444" s="161"/>
      <c r="BH444" s="161"/>
      <c r="BI444" s="161"/>
      <c r="BJ444" s="161"/>
      <c r="BK444" s="161"/>
      <c r="BL444" s="1216"/>
      <c r="BM444" s="1216"/>
      <c r="BN444" s="1216"/>
      <c r="BO444" s="1216"/>
      <c r="BP444" s="1216"/>
      <c r="BQ444" s="1216"/>
      <c r="BR444" s="161"/>
      <c r="BS444" s="161"/>
      <c r="BT444" s="161"/>
      <c r="BU444" s="161"/>
      <c r="BV444" s="161"/>
      <c r="BW444" s="161"/>
      <c r="BX444" s="161"/>
      <c r="BY444" s="161"/>
      <c r="BZ444" s="161"/>
      <c r="CA444" s="161"/>
      <c r="CB444" s="472"/>
      <c r="CC444" s="472"/>
      <c r="CD444" s="472"/>
      <c r="CE444" s="472"/>
      <c r="CF444" s="472"/>
      <c r="CG444" s="472"/>
      <c r="CH444" s="472"/>
      <c r="CI444" s="472"/>
      <c r="CJ444" s="472"/>
      <c r="CK444" s="472"/>
      <c r="CL444" s="472"/>
      <c r="CM444" s="472"/>
      <c r="CN444" s="472"/>
      <c r="CO444" s="472"/>
      <c r="CP444" s="472"/>
      <c r="CQ444" s="472"/>
      <c r="CR444" s="472"/>
      <c r="CS444" s="472"/>
      <c r="CT444" s="472"/>
      <c r="CU444" s="472"/>
      <c r="CV444" s="472"/>
      <c r="CW444" s="472"/>
      <c r="CX444" s="472"/>
      <c r="CY444" s="472"/>
      <c r="CZ444" s="514"/>
      <c r="DA444" s="514"/>
      <c r="DB444" s="514"/>
      <c r="DC444" s="514"/>
      <c r="DD444" s="472"/>
      <c r="DE444" s="472"/>
      <c r="DF444" s="472"/>
      <c r="DG444" s="472"/>
      <c r="DH444" s="472"/>
      <c r="DJ444" s="520"/>
      <c r="DK444" s="472"/>
      <c r="DL444" s="161"/>
      <c r="DM444" s="472"/>
    </row>
    <row r="445" spans="1:117" s="473" customFormat="1" ht="20.100000000000001" customHeight="1">
      <c r="A445" s="1220"/>
      <c r="B445" s="1032">
        <f t="shared" si="1210"/>
        <v>17</v>
      </c>
      <c r="C445" s="1033">
        <v>11320533</v>
      </c>
      <c r="D445" s="1034" t="s">
        <v>4744</v>
      </c>
      <c r="E445" s="1035" t="s">
        <v>5241</v>
      </c>
      <c r="F445" s="1059"/>
      <c r="G445" s="1054"/>
      <c r="H445" s="1053"/>
      <c r="I445" s="163" t="s">
        <v>5813</v>
      </c>
      <c r="J445" s="1216"/>
      <c r="K445" s="1216"/>
      <c r="L445" s="1216"/>
      <c r="M445" s="1216"/>
      <c r="N445" s="1216"/>
      <c r="Q445" s="1216"/>
      <c r="R445" s="477"/>
      <c r="S445" s="1216"/>
      <c r="T445" s="161"/>
      <c r="U445" s="161"/>
      <c r="V445" s="161"/>
      <c r="W445" s="161"/>
      <c r="X445" s="1216"/>
      <c r="Y445" s="1216"/>
      <c r="Z445" s="478"/>
      <c r="AA445" s="161"/>
      <c r="AB445" s="161"/>
      <c r="AC445" s="161"/>
      <c r="AD445" s="161"/>
      <c r="AE445" s="161"/>
      <c r="AF445" s="161"/>
      <c r="AG445" s="161"/>
      <c r="AH445" s="161"/>
      <c r="AI445" s="161"/>
      <c r="AJ445" s="161"/>
      <c r="AK445" s="161"/>
      <c r="AL445" s="161"/>
      <c r="AM445" s="161"/>
      <c r="AN445" s="161"/>
      <c r="AO445" s="162"/>
      <c r="AP445" s="162"/>
      <c r="AQ445" s="162"/>
      <c r="AR445" s="162"/>
      <c r="AS445" s="162"/>
      <c r="AT445" s="162"/>
      <c r="AU445" s="1216"/>
      <c r="AV445" s="163"/>
      <c r="AW445" s="1216"/>
      <c r="AX445" s="161"/>
      <c r="AY445" s="161"/>
      <c r="AZ445" s="161"/>
      <c r="BA445" s="161"/>
      <c r="BB445" s="1216"/>
      <c r="BC445" s="1216"/>
      <c r="BD445" s="1216"/>
      <c r="BE445" s="1216"/>
      <c r="BF445" s="1216"/>
      <c r="BG445" s="161"/>
      <c r="BH445" s="161"/>
      <c r="BI445" s="161"/>
      <c r="BJ445" s="161"/>
      <c r="BK445" s="161"/>
      <c r="BL445" s="1216"/>
      <c r="BM445" s="1216"/>
      <c r="BN445" s="1216"/>
      <c r="BO445" s="1216"/>
      <c r="BP445" s="1216"/>
      <c r="BQ445" s="1216"/>
      <c r="BR445" s="161"/>
      <c r="BS445" s="161"/>
      <c r="BT445" s="161"/>
      <c r="BU445" s="161"/>
      <c r="BV445" s="161"/>
      <c r="BW445" s="161"/>
      <c r="BX445" s="161"/>
      <c r="BY445" s="161"/>
      <c r="BZ445" s="161"/>
      <c r="CA445" s="161"/>
      <c r="CB445" s="472"/>
      <c r="CC445" s="472"/>
      <c r="CD445" s="472"/>
      <c r="CE445" s="472"/>
      <c r="CF445" s="472"/>
      <c r="CG445" s="472"/>
      <c r="CH445" s="472"/>
      <c r="CI445" s="472"/>
      <c r="CJ445" s="472"/>
      <c r="CK445" s="472"/>
      <c r="CL445" s="472"/>
      <c r="CM445" s="472"/>
      <c r="CN445" s="472"/>
      <c r="CO445" s="472"/>
      <c r="CP445" s="472"/>
      <c r="CQ445" s="472"/>
      <c r="CR445" s="472"/>
      <c r="CS445" s="472"/>
      <c r="CT445" s="472"/>
      <c r="CU445" s="472"/>
      <c r="CV445" s="472"/>
      <c r="CW445" s="472"/>
      <c r="CX445" s="472"/>
      <c r="CY445" s="472"/>
      <c r="CZ445" s="514"/>
      <c r="DA445" s="514"/>
      <c r="DB445" s="514"/>
      <c r="DC445" s="514"/>
      <c r="DD445" s="472"/>
      <c r="DE445" s="472"/>
      <c r="DF445" s="472"/>
      <c r="DG445" s="472"/>
      <c r="DH445" s="472"/>
      <c r="DJ445" s="520"/>
      <c r="DK445" s="472"/>
      <c r="DL445" s="161"/>
      <c r="DM445" s="472"/>
    </row>
    <row r="446" spans="1:117" s="473" customFormat="1" ht="20.100000000000001" customHeight="1" thickBot="1">
      <c r="A446" s="1220"/>
      <c r="B446" s="1032">
        <f t="shared" si="1210"/>
        <v>18</v>
      </c>
      <c r="C446" s="1036">
        <v>12458942</v>
      </c>
      <c r="D446" s="1037" t="s">
        <v>5211</v>
      </c>
      <c r="E446" s="1038" t="s">
        <v>5253</v>
      </c>
      <c r="F446" s="1060"/>
      <c r="G446" s="1055"/>
      <c r="H446" s="1056"/>
      <c r="I446" s="163" t="s">
        <v>5813</v>
      </c>
      <c r="J446" s="1216"/>
      <c r="K446" s="1216"/>
      <c r="L446" s="1216"/>
      <c r="M446" s="1216"/>
      <c r="N446" s="1216"/>
      <c r="Q446" s="1216"/>
      <c r="R446" s="477"/>
      <c r="S446" s="1216"/>
      <c r="T446" s="161"/>
      <c r="U446" s="161"/>
      <c r="V446" s="161"/>
      <c r="W446" s="161"/>
      <c r="X446" s="1216"/>
      <c r="Y446" s="1216"/>
      <c r="Z446" s="478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2"/>
      <c r="AP446" s="162"/>
      <c r="AQ446" s="162"/>
      <c r="AR446" s="162"/>
      <c r="AS446" s="162"/>
      <c r="AT446" s="162"/>
      <c r="AU446" s="1216"/>
      <c r="AV446" s="163"/>
      <c r="AW446" s="1216"/>
      <c r="AX446" s="161"/>
      <c r="AY446" s="161"/>
      <c r="AZ446" s="161"/>
      <c r="BA446" s="161"/>
      <c r="BB446" s="1216"/>
      <c r="BC446" s="1216"/>
      <c r="BD446" s="1216"/>
      <c r="BE446" s="1216"/>
      <c r="BF446" s="1216"/>
      <c r="BG446" s="161"/>
      <c r="BH446" s="161"/>
      <c r="BI446" s="161"/>
      <c r="BJ446" s="161"/>
      <c r="BK446" s="161"/>
      <c r="BL446" s="1216"/>
      <c r="BM446" s="1216"/>
      <c r="BN446" s="1216"/>
      <c r="BO446" s="1216"/>
      <c r="BP446" s="1216"/>
      <c r="BQ446" s="1216"/>
      <c r="BR446" s="161"/>
      <c r="BS446" s="161"/>
      <c r="BT446" s="161"/>
      <c r="BU446" s="161"/>
      <c r="BV446" s="161"/>
      <c r="BW446" s="161"/>
      <c r="BX446" s="161"/>
      <c r="BY446" s="161"/>
      <c r="BZ446" s="161"/>
      <c r="CA446" s="161"/>
      <c r="CB446" s="472"/>
      <c r="CC446" s="472"/>
      <c r="CD446" s="472"/>
      <c r="CE446" s="472"/>
      <c r="CF446" s="472"/>
      <c r="CG446" s="472"/>
      <c r="CH446" s="472"/>
      <c r="CI446" s="472"/>
      <c r="CJ446" s="472"/>
      <c r="CK446" s="472"/>
      <c r="CL446" s="472"/>
      <c r="CM446" s="472"/>
      <c r="CN446" s="472"/>
      <c r="CO446" s="472"/>
      <c r="CP446" s="472"/>
      <c r="CQ446" s="472"/>
      <c r="CR446" s="472"/>
      <c r="CS446" s="472"/>
      <c r="CT446" s="472"/>
      <c r="CU446" s="472"/>
      <c r="CV446" s="472"/>
      <c r="CW446" s="472"/>
      <c r="CX446" s="472"/>
      <c r="CY446" s="472"/>
      <c r="CZ446" s="514"/>
      <c r="DA446" s="514"/>
      <c r="DB446" s="514"/>
      <c r="DC446" s="514"/>
      <c r="DD446" s="472"/>
      <c r="DE446" s="472"/>
      <c r="DF446" s="472"/>
      <c r="DG446" s="472"/>
      <c r="DH446" s="472"/>
      <c r="DJ446" s="520"/>
      <c r="DK446" s="472"/>
      <c r="DL446" s="161"/>
      <c r="DM446" s="472"/>
    </row>
    <row r="447" spans="1:117" s="473" customFormat="1" ht="18.75">
      <c r="A447" s="1220"/>
      <c r="B447" s="569"/>
      <c r="C447" s="180"/>
      <c r="D447" s="560"/>
      <c r="E447" s="479"/>
      <c r="F447" s="561"/>
      <c r="G447" s="180"/>
      <c r="H447" s="562"/>
      <c r="I447" s="1216"/>
      <c r="J447" s="1216"/>
      <c r="K447" s="1216"/>
      <c r="L447" s="1216"/>
      <c r="M447" s="1216"/>
      <c r="N447" s="1216"/>
      <c r="Q447" s="1216"/>
      <c r="R447" s="477"/>
      <c r="S447" s="1216"/>
      <c r="T447" s="161"/>
      <c r="U447" s="161"/>
      <c r="V447" s="161"/>
      <c r="W447" s="161"/>
      <c r="X447" s="1216"/>
      <c r="Y447" s="1216"/>
      <c r="Z447" s="478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2"/>
      <c r="AP447" s="162"/>
      <c r="AQ447" s="162"/>
      <c r="AR447" s="162"/>
      <c r="AS447" s="162"/>
      <c r="AT447" s="162"/>
      <c r="AU447" s="1216"/>
      <c r="AV447" s="163"/>
      <c r="AW447" s="1216"/>
      <c r="AX447" s="161"/>
      <c r="AY447" s="161"/>
      <c r="AZ447" s="161"/>
      <c r="BA447" s="161"/>
      <c r="BB447" s="1216"/>
      <c r="BC447" s="1216"/>
      <c r="BD447" s="1216"/>
      <c r="BE447" s="1216"/>
      <c r="BF447" s="1216"/>
      <c r="BG447" s="161"/>
      <c r="BH447" s="161"/>
      <c r="BI447" s="161"/>
      <c r="BJ447" s="161"/>
      <c r="BK447" s="161"/>
      <c r="BL447" s="1216"/>
      <c r="BM447" s="1216"/>
      <c r="BN447" s="1216"/>
      <c r="BO447" s="1216"/>
      <c r="BP447" s="1216"/>
      <c r="BQ447" s="1216"/>
      <c r="BR447" s="161"/>
      <c r="BS447" s="161"/>
      <c r="BT447" s="161"/>
      <c r="BU447" s="161"/>
      <c r="BV447" s="161"/>
      <c r="BW447" s="161"/>
      <c r="BX447" s="161"/>
      <c r="BY447" s="161"/>
      <c r="BZ447" s="161"/>
      <c r="CA447" s="161"/>
      <c r="CB447" s="472"/>
      <c r="CC447" s="472"/>
      <c r="CD447" s="472"/>
      <c r="CE447" s="472"/>
      <c r="CF447" s="472"/>
      <c r="CG447" s="472"/>
      <c r="CH447" s="472"/>
      <c r="CI447" s="472"/>
      <c r="CJ447" s="472"/>
      <c r="CK447" s="472"/>
      <c r="CL447" s="472"/>
      <c r="CM447" s="472"/>
      <c r="CN447" s="472"/>
      <c r="CO447" s="472"/>
      <c r="CP447" s="472"/>
      <c r="CQ447" s="472"/>
      <c r="CR447" s="472"/>
      <c r="CS447" s="472"/>
      <c r="CT447" s="472"/>
      <c r="CU447" s="472"/>
      <c r="CV447" s="472"/>
      <c r="CW447" s="472"/>
      <c r="CX447" s="472"/>
      <c r="CY447" s="472"/>
      <c r="CZ447" s="514"/>
      <c r="DA447" s="514"/>
      <c r="DB447" s="514"/>
      <c r="DC447" s="514"/>
      <c r="DD447" s="472"/>
      <c r="DE447" s="472"/>
      <c r="DF447" s="472"/>
      <c r="DG447" s="472"/>
      <c r="DH447" s="472"/>
      <c r="DJ447" s="520"/>
      <c r="DK447" s="472"/>
      <c r="DL447" s="161"/>
      <c r="DM447" s="472"/>
    </row>
    <row r="448" spans="1:117" s="473" customFormat="1" ht="18.75" thickBot="1">
      <c r="A448" s="1220"/>
      <c r="B448" s="1065" t="s">
        <v>5500</v>
      </c>
      <c r="C448" s="479"/>
      <c r="D448" s="1066"/>
      <c r="E448" s="1066"/>
      <c r="F448" s="1067"/>
      <c r="G448" s="180"/>
      <c r="H448" s="562"/>
      <c r="I448" s="1216"/>
      <c r="J448" s="1216"/>
      <c r="K448" s="1216"/>
      <c r="L448" s="1216"/>
      <c r="M448" s="1216"/>
      <c r="N448" s="1216"/>
      <c r="Q448" s="1216"/>
      <c r="R448" s="477"/>
      <c r="S448" s="1216"/>
      <c r="T448" s="161"/>
      <c r="U448" s="161"/>
      <c r="V448" s="161"/>
      <c r="W448" s="161"/>
      <c r="X448" s="1216"/>
      <c r="Y448" s="1216"/>
      <c r="Z448" s="478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2"/>
      <c r="AP448" s="162"/>
      <c r="AQ448" s="162"/>
      <c r="AR448" s="162"/>
      <c r="AS448" s="162"/>
      <c r="AT448" s="162"/>
      <c r="AU448" s="1216"/>
      <c r="AV448" s="163"/>
      <c r="AW448" s="1216"/>
      <c r="AX448" s="161"/>
      <c r="AY448" s="161"/>
      <c r="AZ448" s="161"/>
      <c r="BA448" s="161"/>
      <c r="BB448" s="1216"/>
      <c r="BC448" s="1216"/>
      <c r="BD448" s="1216"/>
      <c r="BE448" s="1216"/>
      <c r="BF448" s="1216"/>
      <c r="BG448" s="161"/>
      <c r="BH448" s="161"/>
      <c r="BI448" s="161"/>
      <c r="BJ448" s="161"/>
      <c r="BK448" s="161"/>
      <c r="BL448" s="1216"/>
      <c r="BM448" s="1216"/>
      <c r="BN448" s="1216"/>
      <c r="BO448" s="1216"/>
      <c r="BP448" s="1216"/>
      <c r="BQ448" s="1216"/>
      <c r="BR448" s="161"/>
      <c r="BS448" s="161"/>
      <c r="BT448" s="161"/>
      <c r="BU448" s="161"/>
      <c r="BV448" s="161"/>
      <c r="BW448" s="161"/>
      <c r="BX448" s="161"/>
      <c r="BY448" s="161"/>
      <c r="BZ448" s="161"/>
      <c r="CA448" s="161"/>
      <c r="CB448" s="472"/>
      <c r="CC448" s="472"/>
      <c r="CD448" s="472"/>
      <c r="CE448" s="472"/>
      <c r="CF448" s="472"/>
      <c r="CG448" s="472"/>
      <c r="CH448" s="472"/>
      <c r="CI448" s="472"/>
      <c r="CJ448" s="472"/>
      <c r="CK448" s="472"/>
      <c r="CL448" s="472"/>
      <c r="CM448" s="472"/>
      <c r="CN448" s="472"/>
      <c r="CO448" s="472"/>
      <c r="CP448" s="472"/>
      <c r="CQ448" s="472"/>
      <c r="CR448" s="472"/>
      <c r="CS448" s="472"/>
      <c r="CT448" s="472"/>
      <c r="CU448" s="472"/>
      <c r="CV448" s="472"/>
      <c r="CW448" s="472"/>
      <c r="CX448" s="472"/>
      <c r="CY448" s="472"/>
      <c r="CZ448" s="514"/>
      <c r="DA448" s="514"/>
      <c r="DB448" s="514"/>
      <c r="DC448" s="514"/>
      <c r="DD448" s="472"/>
      <c r="DE448" s="472"/>
      <c r="DF448" s="472"/>
      <c r="DG448" s="472"/>
      <c r="DH448" s="472"/>
      <c r="DJ448" s="520"/>
      <c r="DK448" s="472"/>
      <c r="DL448" s="161"/>
      <c r="DM448" s="472"/>
    </row>
    <row r="449" spans="1:118" s="478" customFormat="1" ht="20.100000000000001" customHeight="1">
      <c r="A449" s="1077"/>
      <c r="B449" s="1029">
        <v>1</v>
      </c>
      <c r="C449" s="344"/>
      <c r="D449" s="380" t="s">
        <v>5982</v>
      </c>
      <c r="E449" s="1606" t="s">
        <v>5224</v>
      </c>
      <c r="F449" s="1607"/>
      <c r="G449" s="1608"/>
      <c r="H449" s="1609"/>
      <c r="I449" s="1218"/>
      <c r="J449" s="1218"/>
      <c r="K449" s="1218"/>
      <c r="L449" s="1218"/>
      <c r="M449" s="1218"/>
      <c r="N449" s="1218"/>
      <c r="Q449" s="1218"/>
      <c r="R449" s="918"/>
      <c r="S449" s="1218"/>
      <c r="T449" s="919"/>
      <c r="U449" s="919"/>
      <c r="V449" s="919"/>
      <c r="W449" s="919"/>
      <c r="X449" s="1218"/>
      <c r="Y449" s="1218"/>
      <c r="AA449" s="919"/>
      <c r="AB449" s="919"/>
      <c r="AC449" s="919"/>
      <c r="AD449" s="919"/>
      <c r="AE449" s="919"/>
      <c r="AF449" s="919"/>
      <c r="AG449" s="919"/>
      <c r="AH449" s="919"/>
      <c r="AI449" s="919"/>
      <c r="AJ449" s="919"/>
      <c r="AK449" s="919"/>
      <c r="AL449" s="919"/>
      <c r="AM449" s="919"/>
      <c r="AN449" s="919"/>
      <c r="AO449" s="920"/>
      <c r="AP449" s="920"/>
      <c r="AQ449" s="920"/>
      <c r="AR449" s="920"/>
      <c r="AS449" s="920"/>
      <c r="AT449" s="920"/>
      <c r="AU449" s="1218"/>
      <c r="AV449" s="628"/>
      <c r="AW449" s="1218"/>
      <c r="AX449" s="919"/>
      <c r="AY449" s="919"/>
      <c r="AZ449" s="919"/>
      <c r="BA449" s="919"/>
      <c r="BB449" s="1218"/>
      <c r="BC449" s="1218"/>
      <c r="BD449" s="1218"/>
      <c r="BE449" s="1218"/>
      <c r="BF449" s="1218"/>
      <c r="BG449" s="919"/>
      <c r="BH449" s="919"/>
      <c r="BI449" s="919"/>
      <c r="BJ449" s="919"/>
      <c r="BK449" s="919"/>
      <c r="BL449" s="1218"/>
      <c r="BM449" s="1218"/>
      <c r="BN449" s="1218"/>
      <c r="BO449" s="1218"/>
      <c r="BP449" s="1218"/>
      <c r="BQ449" s="1218"/>
      <c r="BR449" s="919"/>
      <c r="BS449" s="919"/>
      <c r="BT449" s="919"/>
      <c r="BU449" s="919"/>
      <c r="BV449" s="919"/>
      <c r="BW449" s="919"/>
      <c r="BX449" s="919"/>
      <c r="BY449" s="919"/>
      <c r="BZ449" s="919"/>
      <c r="CA449" s="919"/>
      <c r="CB449" s="514"/>
      <c r="CC449" s="514"/>
      <c r="CD449" s="514"/>
      <c r="CE449" s="514"/>
      <c r="CF449" s="514"/>
      <c r="CG449" s="514"/>
      <c r="CH449" s="514"/>
      <c r="CI449" s="514"/>
      <c r="CJ449" s="514"/>
      <c r="CK449" s="514"/>
      <c r="CL449" s="514"/>
      <c r="CM449" s="514"/>
      <c r="CN449" s="514"/>
      <c r="CO449" s="514"/>
      <c r="CP449" s="514"/>
      <c r="CQ449" s="514"/>
      <c r="CR449" s="514"/>
      <c r="CS449" s="514"/>
      <c r="CT449" s="514"/>
      <c r="CU449" s="514"/>
      <c r="CV449" s="514"/>
      <c r="CW449" s="514"/>
      <c r="CX449" s="514"/>
      <c r="CY449" s="514"/>
      <c r="CZ449" s="514"/>
      <c r="DA449" s="514"/>
      <c r="DB449" s="514"/>
      <c r="DC449" s="514"/>
      <c r="DD449" s="514"/>
      <c r="DE449" s="514"/>
      <c r="DF449" s="514"/>
      <c r="DG449" s="514"/>
      <c r="DH449" s="514"/>
      <c r="DJ449" s="521"/>
      <c r="DK449" s="514"/>
      <c r="DL449" s="919"/>
      <c r="DM449" s="514"/>
    </row>
    <row r="450" spans="1:118" s="473" customFormat="1" ht="20.100000000000001" customHeight="1">
      <c r="A450" s="1220"/>
      <c r="B450" s="1032">
        <f t="shared" ref="B450:B460" si="1211">B449+1</f>
        <v>2</v>
      </c>
      <c r="C450" s="1028"/>
      <c r="D450" s="1040" t="s">
        <v>5982</v>
      </c>
      <c r="E450" s="1041" t="s">
        <v>5216</v>
      </c>
      <c r="F450" s="1061"/>
      <c r="G450" s="1052"/>
      <c r="H450" s="1053"/>
      <c r="I450" s="1216"/>
      <c r="J450" s="1216"/>
      <c r="K450" s="1216"/>
      <c r="L450" s="1216"/>
      <c r="M450" s="1216"/>
      <c r="N450" s="1216"/>
      <c r="Q450" s="1216"/>
      <c r="R450" s="477"/>
      <c r="S450" s="1216"/>
      <c r="T450" s="161"/>
      <c r="U450" s="161"/>
      <c r="V450" s="161"/>
      <c r="W450" s="161"/>
      <c r="X450" s="1216"/>
      <c r="Y450" s="1216"/>
      <c r="Z450" s="478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2"/>
      <c r="AP450" s="162"/>
      <c r="AQ450" s="162"/>
      <c r="AR450" s="162"/>
      <c r="AS450" s="162"/>
      <c r="AT450" s="162"/>
      <c r="AU450" s="1216"/>
      <c r="AV450" s="163"/>
      <c r="AW450" s="1216"/>
      <c r="AX450" s="161"/>
      <c r="AY450" s="161"/>
      <c r="AZ450" s="161"/>
      <c r="BA450" s="161"/>
      <c r="BB450" s="1216"/>
      <c r="BC450" s="1216"/>
      <c r="BD450" s="1216"/>
      <c r="BE450" s="1216"/>
      <c r="BF450" s="1216"/>
      <c r="BG450" s="161"/>
      <c r="BH450" s="161"/>
      <c r="BI450" s="161"/>
      <c r="BJ450" s="161"/>
      <c r="BK450" s="161"/>
      <c r="BL450" s="1216"/>
      <c r="BM450" s="1216"/>
      <c r="BN450" s="1216"/>
      <c r="BO450" s="1216"/>
      <c r="BP450" s="1216"/>
      <c r="BQ450" s="1216"/>
      <c r="BR450" s="161"/>
      <c r="BS450" s="161"/>
      <c r="BT450" s="161"/>
      <c r="BU450" s="161"/>
      <c r="BV450" s="161"/>
      <c r="BW450" s="161"/>
      <c r="BX450" s="161"/>
      <c r="BY450" s="161"/>
      <c r="BZ450" s="161"/>
      <c r="CA450" s="161"/>
      <c r="CB450" s="472"/>
      <c r="CC450" s="472"/>
      <c r="CD450" s="472"/>
      <c r="CE450" s="472"/>
      <c r="CF450" s="472"/>
      <c r="CG450" s="472"/>
      <c r="CH450" s="472"/>
      <c r="CI450" s="472"/>
      <c r="CJ450" s="472"/>
      <c r="CK450" s="472"/>
      <c r="CL450" s="472"/>
      <c r="CM450" s="472"/>
      <c r="CN450" s="472"/>
      <c r="CO450" s="472"/>
      <c r="CP450" s="472"/>
      <c r="CQ450" s="472"/>
      <c r="CR450" s="472"/>
      <c r="CS450" s="472"/>
      <c r="CT450" s="472"/>
      <c r="CU450" s="472"/>
      <c r="CV450" s="472"/>
      <c r="CW450" s="472"/>
      <c r="CX450" s="472"/>
      <c r="CY450" s="472"/>
      <c r="CZ450" s="478"/>
      <c r="DA450" s="478"/>
      <c r="DB450" s="478"/>
      <c r="DC450" s="478"/>
      <c r="DD450" s="472"/>
      <c r="DE450" s="472"/>
      <c r="DF450" s="472"/>
      <c r="DG450" s="472"/>
      <c r="DH450" s="472"/>
      <c r="DJ450" s="520"/>
      <c r="DK450" s="472"/>
      <c r="DL450" s="161"/>
      <c r="DM450" s="472"/>
    </row>
    <row r="451" spans="1:118" ht="20.100000000000001" customHeight="1">
      <c r="A451" s="1220"/>
      <c r="B451" s="1032">
        <f t="shared" si="1211"/>
        <v>3</v>
      </c>
      <c r="C451" s="1028"/>
      <c r="D451" s="1040" t="s">
        <v>5983</v>
      </c>
      <c r="E451" s="1041" t="s">
        <v>5267</v>
      </c>
      <c r="F451" s="1061"/>
      <c r="G451" s="1052"/>
      <c r="H451" s="1053"/>
      <c r="I451" s="1216"/>
      <c r="J451" s="1216"/>
      <c r="K451" s="1216"/>
      <c r="L451" s="1216"/>
      <c r="M451" s="1216"/>
      <c r="N451" s="1216"/>
      <c r="O451" s="473"/>
      <c r="P451" s="473"/>
      <c r="Q451" s="1216"/>
      <c r="R451" s="477"/>
      <c r="S451" s="1216"/>
      <c r="T451" s="161"/>
      <c r="U451" s="161"/>
      <c r="V451" s="161"/>
      <c r="W451" s="161"/>
      <c r="X451" s="1216"/>
      <c r="Y451" s="1216"/>
      <c r="Z451" s="478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2"/>
      <c r="AP451" s="162"/>
      <c r="AQ451" s="162"/>
      <c r="AR451" s="162"/>
      <c r="AS451" s="162"/>
      <c r="AT451" s="162"/>
      <c r="AU451" s="1216"/>
      <c r="AV451" s="163"/>
      <c r="AW451" s="1216"/>
      <c r="AX451" s="161"/>
      <c r="AY451" s="161"/>
      <c r="AZ451" s="161"/>
      <c r="BA451" s="161"/>
      <c r="BB451" s="1216"/>
      <c r="BC451" s="1216"/>
      <c r="BD451" s="1216"/>
      <c r="BE451" s="1216"/>
      <c r="BF451" s="1216"/>
      <c r="BG451" s="161"/>
      <c r="BH451" s="161"/>
      <c r="BI451" s="161"/>
      <c r="BJ451" s="161"/>
      <c r="BK451" s="161"/>
      <c r="BL451" s="1216"/>
      <c r="BM451" s="1216"/>
      <c r="BN451" s="1216"/>
      <c r="BO451" s="1216"/>
      <c r="BP451" s="1216"/>
      <c r="BQ451" s="1216"/>
      <c r="BR451" s="161"/>
      <c r="BS451" s="161"/>
      <c r="BT451" s="161"/>
      <c r="BU451" s="161"/>
      <c r="BV451" s="161"/>
      <c r="BW451" s="161"/>
      <c r="BX451" s="161"/>
      <c r="BY451" s="161"/>
      <c r="BZ451" s="161"/>
      <c r="CA451" s="161"/>
      <c r="CB451" s="472"/>
      <c r="CC451" s="472"/>
      <c r="CD451" s="472"/>
      <c r="CE451" s="472"/>
      <c r="CF451" s="472"/>
      <c r="CG451" s="472"/>
      <c r="CH451" s="472"/>
      <c r="CI451" s="472"/>
      <c r="CJ451" s="472"/>
      <c r="CK451" s="472"/>
      <c r="CL451" s="472"/>
      <c r="CM451" s="472"/>
      <c r="CN451" s="472"/>
      <c r="CO451" s="472"/>
      <c r="CP451" s="472"/>
      <c r="CQ451" s="472"/>
      <c r="CR451" s="472"/>
      <c r="CS451" s="472"/>
      <c r="CT451" s="472"/>
      <c r="CU451" s="472"/>
      <c r="CV451" s="472"/>
      <c r="CW451" s="472"/>
      <c r="CX451" s="472"/>
      <c r="CY451" s="472"/>
      <c r="CZ451" s="514"/>
      <c r="DA451" s="514"/>
      <c r="DB451" s="514"/>
      <c r="DC451" s="514"/>
      <c r="DD451" s="472"/>
      <c r="DE451" s="472"/>
      <c r="DF451" s="472"/>
      <c r="DG451" s="472"/>
      <c r="DH451" s="472"/>
      <c r="DI451" s="473"/>
      <c r="DJ451" s="520"/>
      <c r="DK451" s="472"/>
      <c r="DL451" s="161"/>
      <c r="DM451" s="472"/>
      <c r="DN451" s="473"/>
    </row>
    <row r="452" spans="1:118" ht="20.100000000000001" customHeight="1">
      <c r="A452" s="1220"/>
      <c r="B452" s="1032">
        <f t="shared" si="1211"/>
        <v>4</v>
      </c>
      <c r="C452" s="1028"/>
      <c r="D452" s="1040" t="s">
        <v>5983</v>
      </c>
      <c r="E452" s="1041" t="s">
        <v>5267</v>
      </c>
      <c r="F452" s="1061"/>
      <c r="G452" s="1052"/>
      <c r="H452" s="1053"/>
      <c r="I452" s="1216"/>
      <c r="J452" s="1216"/>
      <c r="K452" s="1216"/>
      <c r="L452" s="1216"/>
      <c r="M452" s="1216"/>
      <c r="N452" s="1216"/>
      <c r="O452" s="473"/>
      <c r="P452" s="473"/>
      <c r="Q452" s="1216"/>
      <c r="R452" s="477"/>
      <c r="S452" s="1216"/>
      <c r="T452" s="161"/>
      <c r="U452" s="161"/>
      <c r="V452" s="161"/>
      <c r="W452" s="161"/>
      <c r="X452" s="1216"/>
      <c r="Y452" s="1216"/>
      <c r="Z452" s="478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2"/>
      <c r="AP452" s="162"/>
      <c r="AQ452" s="162"/>
      <c r="AR452" s="162"/>
      <c r="AS452" s="162"/>
      <c r="AT452" s="162"/>
      <c r="AU452" s="1216"/>
      <c r="AV452" s="163"/>
      <c r="AW452" s="1216"/>
      <c r="AX452" s="161"/>
      <c r="AY452" s="161"/>
      <c r="AZ452" s="161"/>
      <c r="BA452" s="161"/>
      <c r="BB452" s="1216"/>
      <c r="BC452" s="1216"/>
      <c r="BD452" s="1216"/>
      <c r="BE452" s="1216"/>
      <c r="BF452" s="1216"/>
      <c r="BG452" s="161"/>
      <c r="BH452" s="161"/>
      <c r="BI452" s="161"/>
      <c r="BJ452" s="161"/>
      <c r="BK452" s="161"/>
      <c r="BL452" s="1216"/>
      <c r="BM452" s="1216"/>
      <c r="BN452" s="1216"/>
      <c r="BO452" s="1216"/>
      <c r="BP452" s="1216"/>
      <c r="BQ452" s="1216"/>
      <c r="BR452" s="161"/>
      <c r="BS452" s="161"/>
      <c r="BT452" s="161"/>
      <c r="BU452" s="161"/>
      <c r="BV452" s="161"/>
      <c r="BW452" s="161"/>
      <c r="BX452" s="161"/>
      <c r="BY452" s="161"/>
      <c r="BZ452" s="161"/>
      <c r="CA452" s="161"/>
      <c r="CB452" s="472"/>
      <c r="CC452" s="472"/>
      <c r="CD452" s="472"/>
      <c r="CE452" s="472"/>
      <c r="CF452" s="472"/>
      <c r="CG452" s="472"/>
      <c r="CH452" s="472"/>
      <c r="CI452" s="472"/>
      <c r="CJ452" s="472"/>
      <c r="CK452" s="472"/>
      <c r="CL452" s="472"/>
      <c r="CM452" s="472"/>
      <c r="CN452" s="472"/>
      <c r="CO452" s="472"/>
      <c r="CP452" s="472"/>
      <c r="CQ452" s="472"/>
      <c r="CR452" s="472"/>
      <c r="CS452" s="472"/>
      <c r="CT452" s="472"/>
      <c r="CU452" s="472"/>
      <c r="CV452" s="472"/>
      <c r="CW452" s="472"/>
      <c r="CX452" s="472"/>
      <c r="CY452" s="472"/>
      <c r="CZ452" s="514"/>
      <c r="DA452" s="514"/>
      <c r="DB452" s="514"/>
      <c r="DC452" s="514"/>
      <c r="DD452" s="472"/>
      <c r="DE452" s="472"/>
      <c r="DF452" s="472"/>
      <c r="DG452" s="472"/>
      <c r="DH452" s="472"/>
      <c r="DI452" s="473"/>
      <c r="DJ452" s="520"/>
      <c r="DK452" s="472"/>
      <c r="DL452" s="161"/>
      <c r="DM452" s="472"/>
      <c r="DN452" s="473"/>
    </row>
    <row r="453" spans="1:118" ht="20.100000000000001" customHeight="1">
      <c r="A453" s="1220"/>
      <c r="B453" s="1032">
        <f t="shared" si="1211"/>
        <v>5</v>
      </c>
      <c r="C453" s="1028"/>
      <c r="D453" s="1040" t="s">
        <v>5983</v>
      </c>
      <c r="E453" s="1042" t="s">
        <v>5267</v>
      </c>
      <c r="F453" s="1062"/>
      <c r="G453" s="1052"/>
      <c r="H453" s="1053"/>
      <c r="I453" s="1216"/>
      <c r="J453" s="1216"/>
      <c r="K453" s="1216"/>
      <c r="L453" s="1216"/>
      <c r="M453" s="1216"/>
      <c r="N453" s="1216"/>
      <c r="O453" s="473"/>
      <c r="P453" s="473"/>
      <c r="Q453" s="1216"/>
      <c r="R453" s="477"/>
      <c r="S453" s="1216"/>
      <c r="T453" s="161"/>
      <c r="U453" s="161"/>
      <c r="V453" s="161"/>
      <c r="W453" s="161"/>
      <c r="X453" s="1216"/>
      <c r="Y453" s="1216"/>
      <c r="Z453" s="478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2"/>
      <c r="AP453" s="162"/>
      <c r="AQ453" s="162"/>
      <c r="AR453" s="162"/>
      <c r="AS453" s="162"/>
      <c r="AT453" s="162"/>
      <c r="AU453" s="1216"/>
      <c r="AV453" s="163"/>
      <c r="AW453" s="1216"/>
      <c r="AX453" s="161"/>
      <c r="AY453" s="161"/>
      <c r="AZ453" s="161"/>
      <c r="BA453" s="161"/>
      <c r="BB453" s="1216"/>
      <c r="BC453" s="1216"/>
      <c r="BD453" s="1216"/>
      <c r="BE453" s="1216"/>
      <c r="BF453" s="1216"/>
      <c r="BG453" s="161"/>
      <c r="BH453" s="161"/>
      <c r="BI453" s="161"/>
      <c r="BJ453" s="161"/>
      <c r="BK453" s="161"/>
      <c r="BL453" s="1216"/>
      <c r="BM453" s="1216"/>
      <c r="BN453" s="1216"/>
      <c r="BO453" s="1216"/>
      <c r="BP453" s="1216"/>
      <c r="BQ453" s="1216"/>
      <c r="BR453" s="161"/>
      <c r="BS453" s="161"/>
      <c r="BT453" s="161"/>
      <c r="BU453" s="161"/>
      <c r="BV453" s="161"/>
      <c r="BW453" s="161"/>
      <c r="BX453" s="161"/>
      <c r="BY453" s="161"/>
      <c r="BZ453" s="161"/>
      <c r="CA453" s="161"/>
      <c r="CB453" s="472"/>
      <c r="CC453" s="472"/>
      <c r="CD453" s="472"/>
      <c r="CE453" s="472"/>
      <c r="CF453" s="472"/>
      <c r="CG453" s="472"/>
      <c r="CH453" s="472"/>
      <c r="CI453" s="472"/>
      <c r="CJ453" s="472"/>
      <c r="CK453" s="472"/>
      <c r="CL453" s="472"/>
      <c r="CM453" s="472"/>
      <c r="CN453" s="472"/>
      <c r="CO453" s="472"/>
      <c r="CP453" s="472"/>
      <c r="CQ453" s="472"/>
      <c r="CR453" s="472"/>
      <c r="CS453" s="472"/>
      <c r="CT453" s="472"/>
      <c r="CU453" s="472"/>
      <c r="CV453" s="472"/>
      <c r="CW453" s="472"/>
      <c r="CX453" s="472"/>
      <c r="CY453" s="472"/>
      <c r="CZ453" s="514"/>
      <c r="DA453" s="514"/>
      <c r="DB453" s="514"/>
      <c r="DC453" s="514"/>
      <c r="DD453" s="472"/>
      <c r="DE453" s="472"/>
      <c r="DF453" s="472"/>
      <c r="DG453" s="472"/>
      <c r="DH453" s="472"/>
      <c r="DI453" s="473"/>
      <c r="DJ453" s="520"/>
      <c r="DK453" s="472"/>
      <c r="DL453" s="161"/>
      <c r="DM453" s="472"/>
      <c r="DN453" s="473"/>
    </row>
    <row r="454" spans="1:118" ht="20.100000000000001" customHeight="1">
      <c r="A454" s="1332"/>
      <c r="B454" s="1032">
        <f t="shared" si="1211"/>
        <v>6</v>
      </c>
      <c r="C454" s="1033"/>
      <c r="D454" s="1040" t="s">
        <v>5983</v>
      </c>
      <c r="E454" s="1041" t="s">
        <v>5267</v>
      </c>
      <c r="F454" s="1337"/>
      <c r="G454" s="1063"/>
      <c r="H454" s="1053"/>
      <c r="I454" s="1012"/>
      <c r="J454" s="1331"/>
      <c r="K454" s="1331"/>
      <c r="L454" s="1331"/>
      <c r="M454" s="1331"/>
      <c r="N454" s="1331"/>
      <c r="O454" s="473"/>
      <c r="P454" s="473"/>
      <c r="Q454" s="1331"/>
      <c r="R454" s="477"/>
      <c r="S454" s="1331"/>
      <c r="T454" s="161"/>
      <c r="U454" s="161"/>
      <c r="V454" s="161"/>
      <c r="W454" s="161"/>
      <c r="X454" s="1331"/>
      <c r="Y454" s="1331"/>
      <c r="Z454" s="478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2"/>
      <c r="AP454" s="162"/>
      <c r="AQ454" s="162"/>
      <c r="AR454" s="162"/>
      <c r="AS454" s="162"/>
      <c r="AT454" s="162"/>
      <c r="AU454" s="1331"/>
      <c r="AV454" s="163"/>
      <c r="AW454" s="1331"/>
      <c r="AX454" s="161"/>
      <c r="AY454" s="161"/>
      <c r="AZ454" s="161"/>
      <c r="BA454" s="161"/>
      <c r="BB454" s="1331"/>
      <c r="BC454" s="1331"/>
      <c r="BD454" s="1331"/>
      <c r="BE454" s="1331"/>
      <c r="BF454" s="1331"/>
      <c r="BG454" s="161"/>
      <c r="BH454" s="161"/>
      <c r="BI454" s="161"/>
      <c r="BJ454" s="161"/>
      <c r="BK454" s="161"/>
      <c r="BL454" s="1331"/>
      <c r="BM454" s="1331"/>
      <c r="BN454" s="1331"/>
      <c r="BO454" s="1331"/>
      <c r="BP454" s="1331"/>
      <c r="BQ454" s="1331"/>
      <c r="BR454" s="161"/>
      <c r="BS454" s="161"/>
      <c r="BT454" s="161"/>
      <c r="BU454" s="161"/>
      <c r="BV454" s="161"/>
      <c r="BW454" s="161"/>
      <c r="BX454" s="161"/>
      <c r="BY454" s="161"/>
      <c r="BZ454" s="161"/>
      <c r="CA454" s="161"/>
      <c r="CB454" s="472"/>
      <c r="CC454" s="472"/>
      <c r="CD454" s="472"/>
      <c r="CE454" s="472"/>
      <c r="CF454" s="472"/>
      <c r="CG454" s="472"/>
      <c r="CH454" s="472"/>
      <c r="CI454" s="472"/>
      <c r="CJ454" s="472"/>
      <c r="CK454" s="472"/>
      <c r="CL454" s="472"/>
      <c r="CM454" s="472"/>
      <c r="CN454" s="472"/>
      <c r="CO454" s="472"/>
      <c r="CP454" s="472"/>
      <c r="CQ454" s="472"/>
      <c r="CR454" s="472"/>
      <c r="CS454" s="472"/>
      <c r="CT454" s="472"/>
      <c r="CU454" s="472"/>
      <c r="CV454" s="472"/>
      <c r="CW454" s="472"/>
      <c r="CX454" s="472"/>
      <c r="CY454" s="472"/>
      <c r="CZ454" s="514"/>
      <c r="DA454" s="514"/>
      <c r="DB454" s="514"/>
      <c r="DC454" s="514"/>
      <c r="DD454" s="472"/>
      <c r="DE454" s="472"/>
      <c r="DF454" s="472"/>
      <c r="DG454" s="472"/>
      <c r="DH454" s="472"/>
      <c r="DI454" s="473"/>
      <c r="DJ454" s="520"/>
      <c r="DK454" s="472"/>
      <c r="DL454" s="161"/>
      <c r="DM454" s="472"/>
      <c r="DN454" s="473"/>
    </row>
    <row r="455" spans="1:118" ht="20.100000000000001" customHeight="1">
      <c r="A455" s="1220"/>
      <c r="B455" s="1032">
        <f t="shared" si="1211"/>
        <v>7</v>
      </c>
      <c r="C455" s="1028"/>
      <c r="D455" s="1040" t="s">
        <v>5983</v>
      </c>
      <c r="E455" s="1041" t="s">
        <v>5985</v>
      </c>
      <c r="F455" s="1062"/>
      <c r="G455" s="1052"/>
      <c r="H455" s="1053"/>
      <c r="I455" s="1216"/>
      <c r="J455" s="1216"/>
      <c r="K455" s="1216"/>
      <c r="L455" s="1216"/>
      <c r="M455" s="1216"/>
      <c r="N455" s="1216"/>
      <c r="O455" s="473"/>
      <c r="P455" s="473"/>
      <c r="Q455" s="1216"/>
      <c r="R455" s="477"/>
      <c r="S455" s="1216"/>
      <c r="T455" s="161"/>
      <c r="U455" s="161"/>
      <c r="V455" s="161"/>
      <c r="W455" s="161"/>
      <c r="X455" s="1216"/>
      <c r="Y455" s="1216"/>
      <c r="Z455" s="478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2"/>
      <c r="AP455" s="162"/>
      <c r="AQ455" s="162"/>
      <c r="AR455" s="162"/>
      <c r="AS455" s="162"/>
      <c r="AT455" s="162"/>
      <c r="AU455" s="1216"/>
      <c r="AV455" s="163"/>
      <c r="AW455" s="1216"/>
      <c r="AX455" s="161"/>
      <c r="AY455" s="161"/>
      <c r="AZ455" s="161"/>
      <c r="BA455" s="161"/>
      <c r="BB455" s="1216"/>
      <c r="BC455" s="1216"/>
      <c r="BD455" s="1216"/>
      <c r="BE455" s="1216"/>
      <c r="BF455" s="1216"/>
      <c r="BG455" s="161"/>
      <c r="BH455" s="161"/>
      <c r="BI455" s="161"/>
      <c r="BJ455" s="161"/>
      <c r="BK455" s="161"/>
      <c r="BL455" s="1216"/>
      <c r="BM455" s="1216"/>
      <c r="BN455" s="1216"/>
      <c r="BO455" s="1216"/>
      <c r="BP455" s="1216"/>
      <c r="BQ455" s="1216"/>
      <c r="BR455" s="161"/>
      <c r="BS455" s="161"/>
      <c r="BT455" s="161"/>
      <c r="BU455" s="161"/>
      <c r="BV455" s="161"/>
      <c r="BW455" s="161"/>
      <c r="BX455" s="161"/>
      <c r="BY455" s="161"/>
      <c r="BZ455" s="161"/>
      <c r="CA455" s="161"/>
      <c r="CB455" s="472"/>
      <c r="CC455" s="472"/>
      <c r="CD455" s="472"/>
      <c r="CE455" s="472"/>
      <c r="CF455" s="472"/>
      <c r="CG455" s="472"/>
      <c r="CH455" s="472"/>
      <c r="CI455" s="472"/>
      <c r="CJ455" s="472"/>
      <c r="CK455" s="472"/>
      <c r="CL455" s="472"/>
      <c r="CM455" s="472"/>
      <c r="CN455" s="472"/>
      <c r="CO455" s="472"/>
      <c r="CP455" s="472"/>
      <c r="CQ455" s="472"/>
      <c r="CR455" s="472"/>
      <c r="CS455" s="472"/>
      <c r="CT455" s="472"/>
      <c r="CU455" s="472"/>
      <c r="CV455" s="472"/>
      <c r="CW455" s="472"/>
      <c r="CX455" s="472"/>
      <c r="CY455" s="472"/>
      <c r="CZ455" s="514"/>
      <c r="DA455" s="514"/>
      <c r="DB455" s="514"/>
      <c r="DC455" s="514"/>
      <c r="DD455" s="472"/>
      <c r="DE455" s="472"/>
      <c r="DF455" s="472"/>
      <c r="DG455" s="472"/>
      <c r="DH455" s="472"/>
      <c r="DI455" s="473"/>
      <c r="DJ455" s="520"/>
      <c r="DK455" s="472"/>
      <c r="DL455" s="161"/>
      <c r="DM455" s="472"/>
      <c r="DN455" s="473"/>
    </row>
    <row r="456" spans="1:118" ht="20.100000000000001" customHeight="1">
      <c r="A456" s="1220"/>
      <c r="B456" s="1032">
        <f t="shared" si="1211"/>
        <v>8</v>
      </c>
      <c r="C456" s="1028">
        <v>27029096</v>
      </c>
      <c r="D456" s="1040" t="s">
        <v>5524</v>
      </c>
      <c r="E456" s="1035" t="s">
        <v>5267</v>
      </c>
      <c r="F456" s="1059"/>
      <c r="G456" s="1063"/>
      <c r="H456" s="1053"/>
      <c r="I456" s="1012" t="s">
        <v>5999</v>
      </c>
      <c r="J456" s="1216"/>
      <c r="K456" s="1216"/>
      <c r="L456" s="1216"/>
      <c r="M456" s="1216"/>
      <c r="N456" s="1216"/>
      <c r="O456" s="473"/>
      <c r="P456" s="473"/>
      <c r="Q456" s="1216"/>
      <c r="R456" s="477"/>
      <c r="S456" s="1216"/>
      <c r="T456" s="161"/>
      <c r="U456" s="161"/>
      <c r="V456" s="161"/>
      <c r="W456" s="161"/>
      <c r="X456" s="1216"/>
      <c r="Y456" s="1216"/>
      <c r="Z456" s="478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2"/>
      <c r="AP456" s="162"/>
      <c r="AQ456" s="162"/>
      <c r="AR456" s="162"/>
      <c r="AS456" s="162"/>
      <c r="AT456" s="162"/>
      <c r="AU456" s="1216"/>
      <c r="AV456" s="163"/>
      <c r="AW456" s="1216"/>
      <c r="AX456" s="161"/>
      <c r="AY456" s="161"/>
      <c r="AZ456" s="161"/>
      <c r="BA456" s="161"/>
      <c r="BB456" s="1216"/>
      <c r="BC456" s="1216"/>
      <c r="BD456" s="1216"/>
      <c r="BE456" s="1216"/>
      <c r="BF456" s="1216"/>
      <c r="BG456" s="161"/>
      <c r="BH456" s="161"/>
      <c r="BI456" s="161"/>
      <c r="BJ456" s="161"/>
      <c r="BK456" s="161"/>
      <c r="BL456" s="1216"/>
      <c r="BM456" s="1216"/>
      <c r="BN456" s="1216"/>
      <c r="BO456" s="1216"/>
      <c r="BP456" s="1216"/>
      <c r="BQ456" s="1216"/>
      <c r="BR456" s="161"/>
      <c r="BS456" s="161"/>
      <c r="BT456" s="161"/>
      <c r="BU456" s="161"/>
      <c r="BV456" s="161"/>
      <c r="BW456" s="161"/>
      <c r="BX456" s="161"/>
      <c r="BY456" s="161"/>
      <c r="BZ456" s="161"/>
      <c r="CA456" s="161"/>
      <c r="CB456" s="472"/>
      <c r="CC456" s="472"/>
      <c r="CD456" s="472"/>
      <c r="CE456" s="472"/>
      <c r="CF456" s="472"/>
      <c r="CG456" s="472"/>
      <c r="CH456" s="472"/>
      <c r="CI456" s="472"/>
      <c r="CJ456" s="472"/>
      <c r="CK456" s="472"/>
      <c r="CL456" s="472"/>
      <c r="CM456" s="472"/>
      <c r="CN456" s="472"/>
      <c r="CO456" s="472"/>
      <c r="CP456" s="472"/>
      <c r="CQ456" s="472"/>
      <c r="CR456" s="472"/>
      <c r="CS456" s="472"/>
      <c r="CT456" s="472"/>
      <c r="CU456" s="472"/>
      <c r="CV456" s="472"/>
      <c r="CW456" s="472"/>
      <c r="CX456" s="472"/>
      <c r="CY456" s="472"/>
      <c r="CZ456" s="514"/>
      <c r="DA456" s="514"/>
      <c r="DB456" s="514"/>
      <c r="DC456" s="514"/>
      <c r="DD456" s="472"/>
      <c r="DE456" s="472"/>
      <c r="DF456" s="472"/>
      <c r="DG456" s="472"/>
      <c r="DH456" s="472"/>
      <c r="DI456" s="473"/>
      <c r="DJ456" s="520"/>
      <c r="DK456" s="472"/>
      <c r="DL456" s="161"/>
      <c r="DM456" s="472"/>
      <c r="DN456" s="473"/>
    </row>
    <row r="457" spans="1:118" ht="20.100000000000001" customHeight="1">
      <c r="A457" s="1220"/>
      <c r="B457" s="1032">
        <f t="shared" si="1211"/>
        <v>9</v>
      </c>
      <c r="C457" s="1033">
        <v>21209137</v>
      </c>
      <c r="D457" s="1335" t="s">
        <v>6810</v>
      </c>
      <c r="E457" s="1336" t="s">
        <v>6755</v>
      </c>
      <c r="F457" s="1337"/>
      <c r="G457" s="1063"/>
      <c r="H457" s="1053"/>
      <c r="I457" s="1012" t="s">
        <v>6811</v>
      </c>
      <c r="J457" s="364"/>
      <c r="K457" s="1216"/>
      <c r="L457" s="1216"/>
      <c r="M457" s="1216"/>
      <c r="N457" s="1216"/>
      <c r="O457" s="473"/>
      <c r="P457" s="473"/>
      <c r="Q457" s="1216"/>
      <c r="R457" s="477"/>
      <c r="S457" s="1216"/>
      <c r="T457" s="161"/>
      <c r="U457" s="161"/>
      <c r="V457" s="161"/>
      <c r="W457" s="161"/>
      <c r="X457" s="1216"/>
      <c r="Y457" s="1216"/>
      <c r="Z457" s="478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2"/>
      <c r="AP457" s="162"/>
      <c r="AQ457" s="162"/>
      <c r="AR457" s="162"/>
      <c r="AS457" s="162"/>
      <c r="AT457" s="162"/>
      <c r="AU457" s="1216"/>
      <c r="AV457" s="163"/>
      <c r="AW457" s="1216"/>
      <c r="AX457" s="161"/>
      <c r="AY457" s="161"/>
      <c r="AZ457" s="161"/>
      <c r="BA457" s="161"/>
      <c r="BB457" s="1216"/>
      <c r="BC457" s="1216"/>
      <c r="BD457" s="1216"/>
      <c r="BE457" s="1216"/>
      <c r="BF457" s="1216"/>
      <c r="BG457" s="161"/>
      <c r="BH457" s="161"/>
      <c r="BI457" s="161"/>
      <c r="BJ457" s="161"/>
      <c r="BK457" s="161"/>
      <c r="BL457" s="1216"/>
      <c r="BM457" s="1216"/>
      <c r="BN457" s="1216"/>
      <c r="BO457" s="1216"/>
      <c r="BP457" s="1216"/>
      <c r="BQ457" s="1216"/>
      <c r="BR457" s="161"/>
      <c r="BS457" s="161"/>
      <c r="BT457" s="161"/>
      <c r="BU457" s="161"/>
      <c r="BV457" s="161"/>
      <c r="BW457" s="161"/>
      <c r="BX457" s="161"/>
      <c r="BY457" s="161"/>
      <c r="BZ457" s="161"/>
      <c r="CA457" s="161"/>
      <c r="CB457" s="472"/>
      <c r="CC457" s="472"/>
      <c r="CD457" s="472"/>
      <c r="CE457" s="472"/>
      <c r="CF457" s="472"/>
      <c r="CG457" s="472"/>
      <c r="CH457" s="472"/>
      <c r="CI457" s="472"/>
      <c r="CJ457" s="472"/>
      <c r="CK457" s="472"/>
      <c r="CL457" s="472"/>
      <c r="CM457" s="472"/>
      <c r="CN457" s="472"/>
      <c r="CO457" s="472"/>
      <c r="CP457" s="472"/>
      <c r="CQ457" s="472"/>
      <c r="CR457" s="472"/>
      <c r="CS457" s="472"/>
      <c r="CT457" s="472"/>
      <c r="CU457" s="472"/>
      <c r="CV457" s="472"/>
      <c r="CW457" s="472"/>
      <c r="CX457" s="472"/>
      <c r="CY457" s="472"/>
      <c r="CZ457" s="514"/>
      <c r="DA457" s="514"/>
      <c r="DB457" s="514"/>
      <c r="DC457" s="514"/>
      <c r="DD457" s="472"/>
      <c r="DE457" s="472"/>
      <c r="DF457" s="472"/>
      <c r="DG457" s="472"/>
      <c r="DH457" s="472"/>
      <c r="DI457" s="473"/>
      <c r="DJ457" s="520"/>
      <c r="DK457" s="472"/>
      <c r="DL457" s="161"/>
      <c r="DM457" s="472"/>
      <c r="DN457" s="473"/>
    </row>
    <row r="458" spans="1:118" ht="20.100000000000001" customHeight="1">
      <c r="A458" s="1220"/>
      <c r="B458" s="1032">
        <f t="shared" si="1211"/>
        <v>10</v>
      </c>
      <c r="C458" s="1033">
        <v>11798459</v>
      </c>
      <c r="D458" s="1335" t="s">
        <v>4666</v>
      </c>
      <c r="E458" s="1336" t="s">
        <v>5495</v>
      </c>
      <c r="F458" s="1337"/>
      <c r="G458" s="1063"/>
      <c r="H458" s="1053"/>
      <c r="I458" s="1012" t="s">
        <v>6812</v>
      </c>
      <c r="J458" s="364"/>
      <c r="K458" s="1216"/>
      <c r="L458" s="1216"/>
      <c r="M458" s="1216"/>
      <c r="N458" s="1216"/>
      <c r="O458" s="473"/>
      <c r="P458" s="473"/>
      <c r="Q458" s="1216"/>
      <c r="R458" s="477"/>
      <c r="S458" s="1216"/>
      <c r="T458" s="161"/>
      <c r="U458" s="161"/>
      <c r="V458" s="161"/>
      <c r="W458" s="161"/>
      <c r="X458" s="1216"/>
      <c r="Y458" s="1216"/>
      <c r="Z458" s="478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2"/>
      <c r="AP458" s="162"/>
      <c r="AQ458" s="162"/>
      <c r="AR458" s="162"/>
      <c r="AS458" s="162"/>
      <c r="AT458" s="162"/>
      <c r="AU458" s="1216"/>
      <c r="AV458" s="163"/>
      <c r="AW458" s="1216"/>
      <c r="AX458" s="161"/>
      <c r="AY458" s="161"/>
      <c r="AZ458" s="161"/>
      <c r="BA458" s="161"/>
      <c r="BB458" s="1216"/>
      <c r="BC458" s="1216"/>
      <c r="BD458" s="1216"/>
      <c r="BE458" s="1216"/>
      <c r="BF458" s="1216"/>
      <c r="BG458" s="161"/>
      <c r="BH458" s="161"/>
      <c r="BI458" s="161"/>
      <c r="BJ458" s="161"/>
      <c r="BK458" s="161"/>
      <c r="BL458" s="1216"/>
      <c r="BM458" s="1216"/>
      <c r="BN458" s="1216"/>
      <c r="BO458" s="1216"/>
      <c r="BP458" s="1216"/>
      <c r="BQ458" s="1216"/>
      <c r="BR458" s="161"/>
      <c r="BS458" s="161"/>
      <c r="BT458" s="161"/>
      <c r="BU458" s="161"/>
      <c r="BV458" s="161"/>
      <c r="BW458" s="161"/>
      <c r="BX458" s="161"/>
      <c r="BY458" s="161"/>
      <c r="BZ458" s="161"/>
      <c r="CA458" s="161"/>
      <c r="CB458" s="472"/>
      <c r="CC458" s="472"/>
      <c r="CD458" s="472"/>
      <c r="CE458" s="472"/>
      <c r="CF458" s="472"/>
      <c r="CG458" s="472"/>
      <c r="CH458" s="472"/>
      <c r="CI458" s="472"/>
      <c r="CJ458" s="472"/>
      <c r="CK458" s="472"/>
      <c r="CL458" s="472"/>
      <c r="CM458" s="472"/>
      <c r="CN458" s="472"/>
      <c r="CO458" s="472"/>
      <c r="CP458" s="472"/>
      <c r="CQ458" s="472"/>
      <c r="CR458" s="472"/>
      <c r="CS458" s="472"/>
      <c r="CT458" s="472"/>
      <c r="CU458" s="472"/>
      <c r="CV458" s="472"/>
      <c r="CW458" s="472"/>
      <c r="CX458" s="472"/>
      <c r="CY458" s="472"/>
      <c r="CZ458" s="514"/>
      <c r="DA458" s="514"/>
      <c r="DB458" s="514"/>
      <c r="DC458" s="514"/>
      <c r="DD458" s="472"/>
      <c r="DE458" s="472"/>
      <c r="DF458" s="472"/>
      <c r="DG458" s="472"/>
      <c r="DH458" s="472"/>
      <c r="DI458" s="473"/>
      <c r="DJ458" s="520"/>
      <c r="DK458" s="472"/>
      <c r="DL458" s="161"/>
      <c r="DM458" s="472"/>
      <c r="DN458" s="473"/>
    </row>
    <row r="459" spans="1:118" ht="20.100000000000001" customHeight="1">
      <c r="A459" s="1334"/>
      <c r="B459" s="1032">
        <f t="shared" si="1211"/>
        <v>11</v>
      </c>
      <c r="C459" s="1371">
        <v>26114988</v>
      </c>
      <c r="D459" s="1372" t="s">
        <v>6154</v>
      </c>
      <c r="E459" s="1373" t="s">
        <v>5224</v>
      </c>
      <c r="F459" s="1374"/>
      <c r="G459" s="1375"/>
      <c r="H459" s="1376"/>
      <c r="I459" s="1012" t="s">
        <v>6155</v>
      </c>
      <c r="J459" s="364"/>
      <c r="K459" s="1333"/>
      <c r="L459" s="1333"/>
      <c r="M459" s="1333"/>
      <c r="N459" s="1333"/>
      <c r="O459" s="473"/>
      <c r="P459" s="473"/>
      <c r="Q459" s="1333"/>
      <c r="R459" s="477"/>
      <c r="S459" s="1333"/>
      <c r="T459" s="161"/>
      <c r="U459" s="161"/>
      <c r="V459" s="161"/>
      <c r="W459" s="161"/>
      <c r="X459" s="1333"/>
      <c r="Y459" s="1333"/>
      <c r="Z459" s="478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2"/>
      <c r="AP459" s="162"/>
      <c r="AQ459" s="162"/>
      <c r="AR459" s="162"/>
      <c r="AS459" s="162"/>
      <c r="AT459" s="162"/>
      <c r="AU459" s="1333"/>
      <c r="AV459" s="163"/>
      <c r="AW459" s="1333"/>
      <c r="AX459" s="161"/>
      <c r="AY459" s="161"/>
      <c r="AZ459" s="161"/>
      <c r="BA459" s="161"/>
      <c r="BB459" s="1333"/>
      <c r="BC459" s="1333"/>
      <c r="BD459" s="1333"/>
      <c r="BE459" s="1333"/>
      <c r="BF459" s="1333"/>
      <c r="BG459" s="161"/>
      <c r="BH459" s="161"/>
      <c r="BI459" s="161"/>
      <c r="BJ459" s="161"/>
      <c r="BK459" s="161"/>
      <c r="BL459" s="1333"/>
      <c r="BM459" s="1333"/>
      <c r="BN459" s="1333"/>
      <c r="BO459" s="1333"/>
      <c r="BP459" s="1333"/>
      <c r="BQ459" s="1333"/>
      <c r="BR459" s="161"/>
      <c r="BS459" s="161"/>
      <c r="BT459" s="161"/>
      <c r="BU459" s="161"/>
      <c r="BV459" s="161"/>
      <c r="BW459" s="161"/>
      <c r="BX459" s="161"/>
      <c r="BY459" s="161"/>
      <c r="BZ459" s="161"/>
      <c r="CA459" s="161"/>
      <c r="CB459" s="472"/>
      <c r="CC459" s="472"/>
      <c r="CD459" s="472"/>
      <c r="CE459" s="472"/>
      <c r="CF459" s="472"/>
      <c r="CG459" s="472"/>
      <c r="CH459" s="472"/>
      <c r="CI459" s="472"/>
      <c r="CJ459" s="472"/>
      <c r="CK459" s="472"/>
      <c r="CL459" s="472"/>
      <c r="CM459" s="472"/>
      <c r="CN459" s="472"/>
      <c r="CO459" s="472"/>
      <c r="CP459" s="472"/>
      <c r="CQ459" s="472"/>
      <c r="CR459" s="472"/>
      <c r="CS459" s="472"/>
      <c r="CT459" s="472"/>
      <c r="CU459" s="472"/>
      <c r="CV459" s="472"/>
      <c r="CW459" s="472"/>
      <c r="CX459" s="472"/>
      <c r="CY459" s="472"/>
      <c r="CZ459" s="514"/>
      <c r="DA459" s="514"/>
      <c r="DB459" s="514"/>
      <c r="DC459" s="514"/>
      <c r="DD459" s="472"/>
      <c r="DE459" s="472"/>
      <c r="DF459" s="472"/>
      <c r="DG459" s="472"/>
      <c r="DH459" s="472"/>
      <c r="DI459" s="473"/>
      <c r="DJ459" s="520"/>
      <c r="DK459" s="472"/>
      <c r="DL459" s="161"/>
      <c r="DM459" s="472"/>
      <c r="DN459" s="473"/>
    </row>
    <row r="460" spans="1:118" ht="20.100000000000001" customHeight="1">
      <c r="A460" s="1673"/>
      <c r="B460" s="1032">
        <f t="shared" si="1211"/>
        <v>12</v>
      </c>
      <c r="C460" s="1371">
        <v>14599252</v>
      </c>
      <c r="D460" s="1372" t="s">
        <v>4790</v>
      </c>
      <c r="E460" s="1373" t="s">
        <v>5237</v>
      </c>
      <c r="F460" s="1374"/>
      <c r="G460" s="1375"/>
      <c r="H460" s="1376"/>
      <c r="I460" s="1012" t="s">
        <v>7447</v>
      </c>
      <c r="J460" s="364"/>
      <c r="K460" s="1672"/>
      <c r="L460" s="1672"/>
      <c r="M460" s="1672"/>
      <c r="N460" s="1672"/>
      <c r="O460" s="473"/>
      <c r="P460" s="473"/>
      <c r="Q460" s="1672"/>
      <c r="R460" s="477"/>
      <c r="S460" s="1672"/>
      <c r="T460" s="161"/>
      <c r="U460" s="161"/>
      <c r="V460" s="161"/>
      <c r="W460" s="161"/>
      <c r="X460" s="1672"/>
      <c r="Y460" s="1672"/>
      <c r="Z460" s="478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2"/>
      <c r="AP460" s="162"/>
      <c r="AQ460" s="162"/>
      <c r="AR460" s="162"/>
      <c r="AS460" s="162"/>
      <c r="AT460" s="162"/>
      <c r="AU460" s="1672"/>
      <c r="AV460" s="163"/>
      <c r="AW460" s="1672"/>
      <c r="AX460" s="161"/>
      <c r="AY460" s="161"/>
      <c r="AZ460" s="161"/>
      <c r="BA460" s="161"/>
      <c r="BB460" s="1672"/>
      <c r="BC460" s="1672"/>
      <c r="BD460" s="1672"/>
      <c r="BE460" s="1672"/>
      <c r="BF460" s="1672"/>
      <c r="BG460" s="161"/>
      <c r="BH460" s="161"/>
      <c r="BI460" s="161"/>
      <c r="BJ460" s="161"/>
      <c r="BK460" s="161"/>
      <c r="BL460" s="1672"/>
      <c r="BM460" s="1672"/>
      <c r="BN460" s="1672"/>
      <c r="BO460" s="1672"/>
      <c r="BP460" s="1672"/>
      <c r="BQ460" s="1672"/>
      <c r="BR460" s="161"/>
      <c r="BS460" s="161"/>
      <c r="BT460" s="161"/>
      <c r="BU460" s="161"/>
      <c r="BV460" s="161"/>
      <c r="BW460" s="161"/>
      <c r="BX460" s="161"/>
      <c r="BY460" s="161"/>
      <c r="BZ460" s="161"/>
      <c r="CA460" s="161"/>
      <c r="CB460" s="472"/>
      <c r="CC460" s="472"/>
      <c r="CD460" s="472"/>
      <c r="CE460" s="472"/>
      <c r="CF460" s="472"/>
      <c r="CG460" s="472"/>
      <c r="CH460" s="472"/>
      <c r="CI460" s="472"/>
      <c r="CJ460" s="472"/>
      <c r="CK460" s="472"/>
      <c r="CL460" s="472"/>
      <c r="CM460" s="472"/>
      <c r="CN460" s="472"/>
      <c r="CO460" s="472"/>
      <c r="CP460" s="472"/>
      <c r="CQ460" s="472"/>
      <c r="CR460" s="472"/>
      <c r="CS460" s="472"/>
      <c r="CT460" s="472"/>
      <c r="CU460" s="472"/>
      <c r="CV460" s="472"/>
      <c r="CW460" s="472"/>
      <c r="CX460" s="472"/>
      <c r="CY460" s="472"/>
      <c r="CZ460" s="514"/>
      <c r="DA460" s="514"/>
      <c r="DB460" s="514"/>
      <c r="DC460" s="514"/>
      <c r="DD460" s="472"/>
      <c r="DE460" s="472"/>
      <c r="DF460" s="472"/>
      <c r="DG460" s="472"/>
      <c r="DH460" s="472"/>
      <c r="DI460" s="473"/>
      <c r="DJ460" s="520"/>
      <c r="DK460" s="472"/>
      <c r="DL460" s="161"/>
      <c r="DM460" s="472"/>
      <c r="DN460" s="473"/>
    </row>
    <row r="461" spans="1:118" ht="20.100000000000001" customHeight="1" thickBot="1">
      <c r="A461" s="1587"/>
      <c r="B461" s="1032">
        <f>+B460+1</f>
        <v>13</v>
      </c>
      <c r="C461" s="1036">
        <v>16266087</v>
      </c>
      <c r="D461" s="1338" t="s">
        <v>6809</v>
      </c>
      <c r="E461" s="1339" t="s">
        <v>5259</v>
      </c>
      <c r="F461" s="1340"/>
      <c r="G461" s="1341"/>
      <c r="H461" s="1056"/>
      <c r="I461" s="1012" t="s">
        <v>7379</v>
      </c>
      <c r="J461" s="364"/>
      <c r="K461" s="1586"/>
      <c r="L461" s="1586"/>
      <c r="M461" s="1586"/>
      <c r="N461" s="1586"/>
      <c r="O461" s="473"/>
      <c r="P461" s="473"/>
      <c r="Q461" s="1586"/>
      <c r="R461" s="477"/>
      <c r="S461" s="1586"/>
      <c r="T461" s="161"/>
      <c r="U461" s="161"/>
      <c r="V461" s="161"/>
      <c r="W461" s="161"/>
      <c r="X461" s="1586"/>
      <c r="Y461" s="1586"/>
      <c r="Z461" s="478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2"/>
      <c r="AP461" s="162"/>
      <c r="AQ461" s="162"/>
      <c r="AR461" s="162"/>
      <c r="AS461" s="162"/>
      <c r="AT461" s="162"/>
      <c r="AU461" s="1586"/>
      <c r="AV461" s="163"/>
      <c r="AW461" s="1586"/>
      <c r="AX461" s="161"/>
      <c r="AY461" s="161"/>
      <c r="AZ461" s="161"/>
      <c r="BA461" s="161"/>
      <c r="BB461" s="1586"/>
      <c r="BC461" s="1586"/>
      <c r="BD461" s="1586"/>
      <c r="BE461" s="1586"/>
      <c r="BF461" s="1586"/>
      <c r="BG461" s="161"/>
      <c r="BH461" s="161"/>
      <c r="BI461" s="161"/>
      <c r="BJ461" s="161"/>
      <c r="BK461" s="161"/>
      <c r="BL461" s="1586"/>
      <c r="BM461" s="1586"/>
      <c r="BN461" s="1586"/>
      <c r="BO461" s="1586"/>
      <c r="BP461" s="1586"/>
      <c r="BQ461" s="1586"/>
      <c r="BR461" s="161"/>
      <c r="BS461" s="161"/>
      <c r="BT461" s="161"/>
      <c r="BU461" s="161"/>
      <c r="BV461" s="161"/>
      <c r="BW461" s="161"/>
      <c r="BX461" s="161"/>
      <c r="BY461" s="161"/>
      <c r="BZ461" s="161"/>
      <c r="CA461" s="161"/>
      <c r="CB461" s="472"/>
      <c r="CC461" s="472"/>
      <c r="CD461" s="472"/>
      <c r="CE461" s="472"/>
      <c r="CF461" s="472"/>
      <c r="CG461" s="472"/>
      <c r="CH461" s="472"/>
      <c r="CI461" s="472"/>
      <c r="CJ461" s="472"/>
      <c r="CK461" s="472"/>
      <c r="CL461" s="472"/>
      <c r="CM461" s="472"/>
      <c r="CN461" s="472"/>
      <c r="CO461" s="472"/>
      <c r="CP461" s="472"/>
      <c r="CQ461" s="472"/>
      <c r="CR461" s="472"/>
      <c r="CS461" s="472"/>
      <c r="CT461" s="472"/>
      <c r="CU461" s="472"/>
      <c r="CV461" s="472"/>
      <c r="CW461" s="472"/>
      <c r="CX461" s="472"/>
      <c r="CY461" s="472"/>
      <c r="CZ461" s="514"/>
      <c r="DA461" s="514"/>
      <c r="DB461" s="514"/>
      <c r="DC461" s="514"/>
      <c r="DD461" s="472"/>
      <c r="DE461" s="472"/>
      <c r="DF461" s="472"/>
      <c r="DG461" s="472"/>
      <c r="DH461" s="472"/>
      <c r="DI461" s="473"/>
      <c r="DJ461" s="520"/>
      <c r="DK461" s="472"/>
      <c r="DL461" s="161"/>
      <c r="DM461" s="472"/>
      <c r="DN461" s="473"/>
    </row>
    <row r="462" spans="1:118" ht="18.75">
      <c r="A462" s="1220"/>
      <c r="B462" s="564"/>
      <c r="C462" s="914"/>
      <c r="D462" s="915"/>
      <c r="E462" s="916"/>
      <c r="F462" s="916"/>
      <c r="G462" s="180"/>
      <c r="H462" s="562"/>
      <c r="I462" s="1216"/>
      <c r="J462" s="1216"/>
      <c r="K462" s="1216"/>
      <c r="L462" s="1216"/>
      <c r="M462" s="1216"/>
      <c r="N462" s="1216"/>
      <c r="O462" s="473"/>
      <c r="P462" s="473"/>
      <c r="Q462" s="1216"/>
      <c r="R462" s="477"/>
      <c r="S462" s="1216"/>
      <c r="T462" s="161"/>
      <c r="U462" s="161"/>
      <c r="V462" s="161"/>
      <c r="W462" s="161"/>
      <c r="X462" s="1216"/>
      <c r="Y462" s="1216"/>
      <c r="Z462" s="478"/>
      <c r="AA462" s="161"/>
      <c r="AB462" s="161"/>
      <c r="AC462" s="161"/>
      <c r="AD462" s="161"/>
      <c r="AE462" s="161"/>
      <c r="AF462" s="161"/>
      <c r="AG462" s="161"/>
      <c r="AH462" s="161"/>
      <c r="AI462" s="161"/>
      <c r="AJ462" s="161"/>
      <c r="AK462" s="161"/>
      <c r="AL462" s="161"/>
      <c r="AM462" s="161"/>
      <c r="AN462" s="161"/>
      <c r="AO462" s="162"/>
      <c r="AP462" s="162"/>
      <c r="AQ462" s="162"/>
      <c r="AR462" s="162"/>
      <c r="AS462" s="162"/>
      <c r="AT462" s="162"/>
      <c r="AU462" s="1216"/>
      <c r="AV462" s="163"/>
      <c r="AW462" s="1216"/>
      <c r="AX462" s="161"/>
      <c r="AY462" s="161"/>
      <c r="AZ462" s="161"/>
      <c r="BA462" s="161"/>
      <c r="BB462" s="1216"/>
      <c r="BC462" s="1216"/>
      <c r="BD462" s="1216"/>
      <c r="BE462" s="1216"/>
      <c r="BF462" s="1216"/>
      <c r="BG462" s="161"/>
      <c r="BH462" s="161"/>
      <c r="BI462" s="161"/>
      <c r="BJ462" s="161"/>
      <c r="BK462" s="161"/>
      <c r="BL462" s="1216"/>
      <c r="BM462" s="1216"/>
      <c r="BN462" s="1216"/>
      <c r="BO462" s="1216"/>
      <c r="BP462" s="1216"/>
      <c r="BQ462" s="1216"/>
      <c r="BR462" s="161"/>
      <c r="BS462" s="161"/>
      <c r="BT462" s="161"/>
      <c r="BU462" s="161"/>
      <c r="BV462" s="161"/>
      <c r="BW462" s="161"/>
      <c r="BX462" s="161"/>
      <c r="BY462" s="161"/>
      <c r="BZ462" s="161"/>
      <c r="CA462" s="161"/>
      <c r="CB462" s="472"/>
      <c r="CC462" s="472"/>
      <c r="CD462" s="472"/>
      <c r="CE462" s="472"/>
      <c r="CF462" s="472"/>
      <c r="CG462" s="472"/>
      <c r="CH462" s="472"/>
      <c r="CI462" s="472"/>
      <c r="CJ462" s="472"/>
      <c r="CK462" s="472"/>
      <c r="CL462" s="472"/>
      <c r="CM462" s="472"/>
      <c r="CN462" s="472"/>
      <c r="CO462" s="472"/>
      <c r="CP462" s="472"/>
      <c r="CQ462" s="472"/>
      <c r="CR462" s="472"/>
      <c r="CS462" s="472"/>
      <c r="CT462" s="472"/>
      <c r="CU462" s="472"/>
      <c r="CV462" s="472"/>
      <c r="CW462" s="472"/>
      <c r="CX462" s="472"/>
      <c r="CY462" s="472"/>
      <c r="CZ462" s="514"/>
      <c r="DA462" s="514"/>
      <c r="DB462" s="514"/>
      <c r="DC462" s="514"/>
      <c r="DD462" s="472"/>
      <c r="DE462" s="472"/>
      <c r="DF462" s="472"/>
      <c r="DG462" s="472"/>
      <c r="DH462" s="472"/>
      <c r="DI462" s="473"/>
      <c r="DJ462" s="520"/>
      <c r="DK462" s="472"/>
      <c r="DL462" s="161"/>
      <c r="DM462" s="472"/>
      <c r="DN462" s="473"/>
    </row>
    <row r="463" spans="1:118" ht="18.75">
      <c r="A463" s="563">
        <v>280</v>
      </c>
      <c r="B463" s="569" t="s">
        <v>7415</v>
      </c>
      <c r="C463" s="180"/>
      <c r="D463" s="560"/>
      <c r="E463" s="479"/>
      <c r="F463" s="561"/>
      <c r="G463" s="180"/>
      <c r="H463" s="562"/>
      <c r="I463" s="1216"/>
      <c r="J463" s="1216"/>
      <c r="K463" s="1216"/>
      <c r="L463" s="1216"/>
      <c r="M463" s="1216"/>
      <c r="N463" s="1216"/>
      <c r="O463" s="473"/>
      <c r="P463" s="473"/>
      <c r="Q463" s="1216"/>
      <c r="R463" s="477"/>
      <c r="S463" s="1216"/>
      <c r="T463" s="161"/>
      <c r="U463" s="161"/>
      <c r="V463" s="161"/>
      <c r="W463" s="161"/>
      <c r="X463" s="1216"/>
      <c r="Y463" s="1216"/>
      <c r="Z463" s="478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2"/>
      <c r="AP463" s="162"/>
      <c r="AQ463" s="162"/>
      <c r="AR463" s="162"/>
      <c r="AS463" s="162"/>
      <c r="AT463" s="162"/>
      <c r="AU463" s="1216"/>
      <c r="AV463" s="163"/>
      <c r="AW463" s="1216"/>
      <c r="AX463" s="161"/>
      <c r="AY463" s="161"/>
      <c r="AZ463" s="161"/>
      <c r="BA463" s="161"/>
      <c r="BB463" s="1216"/>
      <c r="BC463" s="1216"/>
      <c r="BD463" s="1216"/>
      <c r="BE463" s="1216"/>
      <c r="BF463" s="1216"/>
      <c r="BG463" s="161"/>
      <c r="BH463" s="161"/>
      <c r="BI463" s="161"/>
      <c r="BJ463" s="161"/>
      <c r="BK463" s="161"/>
      <c r="BL463" s="1216"/>
      <c r="BM463" s="1216"/>
      <c r="BN463" s="1216"/>
      <c r="BO463" s="1216"/>
      <c r="BP463" s="1216"/>
      <c r="BQ463" s="1216"/>
      <c r="BR463" s="161"/>
      <c r="BS463" s="161"/>
      <c r="BT463" s="161"/>
      <c r="BU463" s="161"/>
      <c r="BV463" s="161"/>
      <c r="BW463" s="161"/>
      <c r="BX463" s="161"/>
      <c r="BY463" s="161"/>
      <c r="BZ463" s="161"/>
      <c r="CA463" s="161"/>
      <c r="CB463" s="472"/>
      <c r="CC463" s="472"/>
      <c r="CD463" s="472"/>
      <c r="CE463" s="472"/>
      <c r="CF463" s="472"/>
      <c r="CG463" s="472"/>
      <c r="CH463" s="472"/>
      <c r="CI463" s="472"/>
      <c r="CJ463" s="472"/>
      <c r="CK463" s="472"/>
      <c r="CL463" s="472"/>
      <c r="CM463" s="472"/>
      <c r="CN463" s="472"/>
      <c r="CO463" s="472"/>
      <c r="CP463" s="472"/>
      <c r="CQ463" s="472"/>
      <c r="CR463" s="472"/>
      <c r="CS463" s="472"/>
      <c r="CT463" s="472"/>
      <c r="CU463" s="472"/>
      <c r="CV463" s="472"/>
      <c r="CW463" s="472"/>
      <c r="CX463" s="472"/>
      <c r="CY463" s="472"/>
      <c r="CZ463" s="514"/>
      <c r="DA463" s="514"/>
      <c r="DB463" s="514"/>
      <c r="DC463" s="514"/>
      <c r="DD463" s="472"/>
      <c r="DE463" s="472"/>
      <c r="DF463" s="472"/>
      <c r="DG463" s="472"/>
      <c r="DH463" s="472"/>
      <c r="DI463" s="473"/>
      <c r="DJ463" s="520"/>
      <c r="DK463" s="472"/>
      <c r="DL463" s="161"/>
      <c r="DM463" s="472"/>
      <c r="DN463" s="473"/>
    </row>
    <row r="464" spans="1:118" ht="19.5" thickBot="1">
      <c r="A464" s="1068">
        <f ca="1">A463-(B310+B446*0+B461)</f>
        <v>0</v>
      </c>
      <c r="B464" s="1069" t="s">
        <v>5186</v>
      </c>
      <c r="C464" s="1070"/>
      <c r="D464" s="1071"/>
      <c r="E464" s="1072"/>
      <c r="F464" s="1073"/>
      <c r="G464" s="1070"/>
      <c r="H464" s="1074"/>
      <c r="I464" s="1216"/>
      <c r="J464" s="1216"/>
      <c r="K464" s="1216"/>
      <c r="L464" s="1216"/>
      <c r="M464" s="1216"/>
      <c r="N464" s="1216"/>
      <c r="O464" s="473"/>
      <c r="P464" s="473"/>
      <c r="Q464" s="1216"/>
      <c r="R464" s="477"/>
      <c r="S464" s="1216"/>
      <c r="T464" s="161"/>
      <c r="U464" s="161"/>
      <c r="V464" s="161"/>
      <c r="W464" s="161"/>
      <c r="X464" s="1216"/>
      <c r="Y464" s="1216"/>
      <c r="Z464" s="478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2"/>
      <c r="AP464" s="162"/>
      <c r="AQ464" s="162"/>
      <c r="AR464" s="162"/>
      <c r="AS464" s="162"/>
      <c r="AT464" s="162"/>
      <c r="AU464" s="1216"/>
      <c r="AV464" s="163"/>
      <c r="AW464" s="1216"/>
      <c r="AX464" s="161"/>
      <c r="AY464" s="161"/>
      <c r="AZ464" s="161"/>
      <c r="BA464" s="161"/>
      <c r="BB464" s="1216"/>
      <c r="BC464" s="1216"/>
      <c r="BD464" s="1216"/>
      <c r="BE464" s="1216"/>
      <c r="BF464" s="1216"/>
      <c r="BG464" s="161"/>
      <c r="BH464" s="161"/>
      <c r="BI464" s="161"/>
      <c r="BJ464" s="161"/>
      <c r="BK464" s="161"/>
      <c r="BL464" s="1216"/>
      <c r="BM464" s="1216"/>
      <c r="BN464" s="1216"/>
      <c r="BO464" s="1216"/>
      <c r="BP464" s="1216"/>
      <c r="BQ464" s="1216"/>
      <c r="BR464" s="161"/>
      <c r="BS464" s="161"/>
      <c r="BT464" s="161"/>
      <c r="BU464" s="161"/>
      <c r="BV464" s="161"/>
      <c r="BW464" s="161"/>
      <c r="BX464" s="161"/>
      <c r="BY464" s="161"/>
      <c r="BZ464" s="161"/>
      <c r="CA464" s="161"/>
      <c r="CB464" s="472"/>
      <c r="CC464" s="472"/>
      <c r="CD464" s="472"/>
      <c r="CE464" s="472"/>
      <c r="CF464" s="472"/>
      <c r="CG464" s="472"/>
      <c r="CH464" s="472"/>
      <c r="CI464" s="472"/>
      <c r="CJ464" s="472"/>
      <c r="CK464" s="472"/>
      <c r="CL464" s="472"/>
      <c r="CM464" s="472"/>
      <c r="CN464" s="472"/>
      <c r="CO464" s="472"/>
      <c r="CP464" s="472"/>
      <c r="CQ464" s="472"/>
      <c r="CR464" s="472"/>
      <c r="CS464" s="472"/>
      <c r="CT464" s="472"/>
      <c r="CU464" s="472"/>
      <c r="CV464" s="472"/>
      <c r="CW464" s="472"/>
      <c r="CX464" s="472"/>
      <c r="CY464" s="472"/>
      <c r="CZ464" s="514"/>
      <c r="DA464" s="514"/>
      <c r="DB464" s="514"/>
      <c r="DC464" s="514"/>
      <c r="DD464" s="472"/>
      <c r="DE464" s="472"/>
      <c r="DF464" s="472"/>
      <c r="DG464" s="472"/>
      <c r="DH464" s="472"/>
      <c r="DI464" s="473"/>
      <c r="DJ464" s="520"/>
      <c r="DK464" s="472"/>
      <c r="DL464" s="161"/>
      <c r="DM464" s="472"/>
      <c r="DN464" s="473"/>
    </row>
    <row r="465" spans="1:118" ht="18.75">
      <c r="A465" s="1216"/>
      <c r="B465" s="569"/>
      <c r="C465" s="1216"/>
      <c r="D465" s="218"/>
      <c r="E465" s="473"/>
      <c r="F465" s="420"/>
      <c r="G465" s="1216"/>
      <c r="H465" s="476"/>
      <c r="I465" s="1216"/>
      <c r="J465" s="1216"/>
      <c r="K465" s="1216"/>
      <c r="L465" s="1216"/>
      <c r="M465" s="1216"/>
      <c r="N465" s="1216"/>
      <c r="O465" s="473"/>
      <c r="P465" s="473"/>
      <c r="Q465" s="1216"/>
      <c r="R465" s="477"/>
      <c r="S465" s="1216"/>
      <c r="T465" s="161"/>
      <c r="U465" s="161"/>
      <c r="V465" s="161"/>
      <c r="W465" s="161"/>
      <c r="X465" s="1216"/>
      <c r="Y465" s="1216"/>
      <c r="Z465" s="478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2"/>
      <c r="AP465" s="162"/>
      <c r="AQ465" s="162"/>
      <c r="AR465" s="162"/>
      <c r="AS465" s="162"/>
      <c r="AT465" s="162"/>
      <c r="AU465" s="1216"/>
      <c r="AV465" s="163"/>
      <c r="AW465" s="1216"/>
      <c r="AX465" s="161"/>
      <c r="AY465" s="161"/>
      <c r="AZ465" s="161"/>
      <c r="BA465" s="161"/>
      <c r="BB465" s="1216"/>
      <c r="BC465" s="1216"/>
      <c r="BD465" s="1216"/>
      <c r="BE465" s="1216"/>
      <c r="BF465" s="1216"/>
      <c r="BG465" s="161"/>
      <c r="BH465" s="161"/>
      <c r="BI465" s="161"/>
      <c r="BJ465" s="161"/>
      <c r="BK465" s="161"/>
      <c r="BL465" s="1216"/>
      <c r="BM465" s="1216"/>
      <c r="BN465" s="1216"/>
      <c r="BO465" s="1216"/>
      <c r="BP465" s="1216"/>
      <c r="BQ465" s="1216"/>
      <c r="BR465" s="161"/>
      <c r="BS465" s="161"/>
      <c r="BT465" s="161"/>
      <c r="BU465" s="161"/>
      <c r="BV465" s="161"/>
      <c r="BW465" s="161"/>
      <c r="BX465" s="161"/>
      <c r="BY465" s="161"/>
      <c r="BZ465" s="161"/>
      <c r="CA465" s="161"/>
      <c r="CB465" s="472"/>
      <c r="CC465" s="472"/>
      <c r="CD465" s="472"/>
      <c r="CE465" s="472"/>
      <c r="CF465" s="472"/>
      <c r="CG465" s="472"/>
      <c r="CH465" s="472"/>
      <c r="CI465" s="472"/>
      <c r="CJ465" s="472"/>
      <c r="CK465" s="472"/>
      <c r="CL465" s="472"/>
      <c r="CM465" s="472"/>
      <c r="CN465" s="472"/>
      <c r="CO465" s="472"/>
      <c r="CP465" s="472"/>
      <c r="CQ465" s="472"/>
      <c r="CR465" s="472"/>
      <c r="CS465" s="472"/>
      <c r="CT465" s="472"/>
      <c r="CU465" s="472"/>
      <c r="CV465" s="472"/>
      <c r="CW465" s="472"/>
      <c r="CX465" s="472"/>
      <c r="CY465" s="472"/>
      <c r="CZ465" s="514"/>
      <c r="DA465" s="514"/>
      <c r="DB465" s="514"/>
      <c r="DC465" s="514"/>
      <c r="DD465" s="472"/>
      <c r="DE465" s="472"/>
      <c r="DF465" s="472"/>
      <c r="DG465" s="472"/>
      <c r="DH465" s="472"/>
      <c r="DI465" s="473"/>
      <c r="DJ465" s="520"/>
      <c r="DK465" s="472"/>
      <c r="DL465" s="161"/>
      <c r="DM465" s="472"/>
      <c r="DN465" s="473"/>
    </row>
    <row r="466" spans="1:118" ht="15.75" thickBot="1">
      <c r="A466" s="1216"/>
      <c r="B466" s="1216"/>
      <c r="C466" s="1216"/>
      <c r="D466" s="218"/>
      <c r="E466" s="473"/>
      <c r="F466" s="420"/>
      <c r="G466" s="1216"/>
      <c r="H466" s="476"/>
      <c r="I466" s="1216"/>
      <c r="J466" s="1216"/>
      <c r="K466" s="1216"/>
      <c r="L466" s="1216"/>
      <c r="M466" s="1216"/>
      <c r="N466" s="1216"/>
      <c r="O466" s="473"/>
      <c r="P466" s="473"/>
      <c r="Q466" s="1216"/>
      <c r="R466" s="477"/>
      <c r="S466" s="1216"/>
      <c r="T466" s="161"/>
      <c r="U466" s="161"/>
      <c r="V466" s="161"/>
      <c r="W466" s="161"/>
      <c r="X466" s="1216"/>
      <c r="Y466" s="1216"/>
      <c r="Z466" s="478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2"/>
      <c r="AP466" s="162"/>
      <c r="AQ466" s="162"/>
      <c r="AR466" s="162"/>
      <c r="AS466" s="162"/>
      <c r="AT466" s="162"/>
      <c r="AU466" s="1216"/>
      <c r="AV466" s="163"/>
      <c r="AW466" s="1216"/>
      <c r="AX466" s="161"/>
      <c r="AY466" s="161"/>
      <c r="AZ466" s="161"/>
      <c r="BA466" s="161"/>
      <c r="BB466" s="1216"/>
      <c r="BC466" s="1216"/>
      <c r="BD466" s="1216"/>
      <c r="BE466" s="1216"/>
      <c r="BF466" s="1216"/>
      <c r="BG466" s="161"/>
      <c r="BH466" s="161"/>
      <c r="BI466" s="161"/>
      <c r="BJ466" s="161"/>
      <c r="BK466" s="161"/>
      <c r="BL466" s="1216"/>
      <c r="BM466" s="1216"/>
      <c r="BN466" s="1216"/>
      <c r="BO466" s="1216"/>
      <c r="BP466" s="1216"/>
      <c r="BQ466" s="1216"/>
      <c r="BR466" s="161"/>
      <c r="BS466" s="161"/>
      <c r="BT466" s="161"/>
      <c r="BU466" s="161"/>
      <c r="BV466" s="161"/>
      <c r="BW466" s="161"/>
      <c r="BX466" s="161"/>
      <c r="BY466" s="161"/>
      <c r="BZ466" s="161"/>
      <c r="CA466" s="161"/>
      <c r="CB466" s="472"/>
      <c r="CC466" s="472"/>
      <c r="CD466" s="472"/>
      <c r="CE466" s="472"/>
      <c r="CF466" s="472"/>
      <c r="CG466" s="472"/>
      <c r="CH466" s="472"/>
      <c r="CI466" s="472"/>
      <c r="CJ466" s="472"/>
      <c r="CK466" s="472"/>
      <c r="CL466" s="472"/>
      <c r="CM466" s="472"/>
      <c r="CN466" s="472"/>
      <c r="CO466" s="472"/>
      <c r="CP466" s="472"/>
      <c r="CQ466" s="472"/>
      <c r="CR466" s="472"/>
      <c r="CS466" s="472"/>
      <c r="CT466" s="472"/>
      <c r="CU466" s="472"/>
      <c r="CV466" s="472"/>
      <c r="CW466" s="472"/>
      <c r="CX466" s="472"/>
      <c r="CY466" s="472"/>
      <c r="CZ466" s="514"/>
      <c r="DA466" s="514"/>
      <c r="DB466" s="514"/>
      <c r="DC466" s="514"/>
      <c r="DD466" s="472"/>
      <c r="DE466" s="472"/>
      <c r="DF466" s="472"/>
      <c r="DG466" s="472"/>
      <c r="DH466" s="472"/>
      <c r="DI466" s="473"/>
      <c r="DJ466" s="520"/>
      <c r="DK466" s="472"/>
      <c r="DL466" s="161"/>
      <c r="DM466" s="472"/>
      <c r="DN466" s="473"/>
    </row>
    <row r="467" spans="1:118" ht="18">
      <c r="A467" s="554"/>
      <c r="B467" s="1342" t="s">
        <v>6013</v>
      </c>
      <c r="C467" s="558"/>
      <c r="D467" s="572"/>
      <c r="E467" s="557"/>
      <c r="F467" s="1064"/>
      <c r="G467" s="558"/>
      <c r="H467" s="559"/>
      <c r="I467" s="1216"/>
      <c r="J467" s="1216"/>
      <c r="K467" s="1216"/>
      <c r="L467" s="1216"/>
      <c r="M467" s="1216"/>
      <c r="N467" s="1216"/>
      <c r="O467" s="473"/>
      <c r="P467" s="473"/>
      <c r="Q467" s="1216"/>
      <c r="R467" s="477"/>
      <c r="S467" s="1216"/>
      <c r="T467" s="161"/>
      <c r="U467" s="161"/>
      <c r="V467" s="161"/>
      <c r="W467" s="161"/>
      <c r="X467" s="1216"/>
      <c r="Y467" s="1216"/>
      <c r="Z467" s="478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2"/>
      <c r="AP467" s="162"/>
      <c r="AQ467" s="162"/>
      <c r="AR467" s="162"/>
      <c r="AS467" s="162"/>
      <c r="AT467" s="162"/>
      <c r="AU467" s="1216"/>
      <c r="AV467" s="163"/>
      <c r="AW467" s="1216"/>
      <c r="AX467" s="161"/>
      <c r="AY467" s="161"/>
      <c r="AZ467" s="161"/>
      <c r="BA467" s="161"/>
      <c r="BB467" s="1216"/>
      <c r="BC467" s="1216"/>
      <c r="BD467" s="1216"/>
      <c r="BE467" s="1216"/>
      <c r="BF467" s="1216"/>
      <c r="BG467" s="161"/>
      <c r="BH467" s="161"/>
      <c r="BI467" s="161"/>
      <c r="BJ467" s="161"/>
      <c r="BK467" s="161"/>
      <c r="BL467" s="1216"/>
      <c r="BM467" s="1216"/>
      <c r="BN467" s="1216"/>
      <c r="BO467" s="1216"/>
      <c r="BP467" s="1216"/>
      <c r="BQ467" s="1216"/>
      <c r="BR467" s="161"/>
      <c r="BS467" s="161"/>
      <c r="BT467" s="161"/>
      <c r="BU467" s="161"/>
      <c r="BV467" s="161"/>
      <c r="BW467" s="161"/>
      <c r="BX467" s="161"/>
      <c r="BY467" s="161"/>
      <c r="BZ467" s="161"/>
      <c r="CA467" s="161"/>
      <c r="CB467" s="472"/>
      <c r="CC467" s="472"/>
      <c r="CD467" s="472"/>
      <c r="CE467" s="472"/>
      <c r="CF467" s="472"/>
      <c r="CG467" s="472"/>
      <c r="CH467" s="472"/>
      <c r="CI467" s="472"/>
      <c r="CJ467" s="472"/>
      <c r="CK467" s="472"/>
      <c r="CL467" s="472"/>
      <c r="CM467" s="472"/>
      <c r="CN467" s="472"/>
      <c r="CO467" s="472"/>
      <c r="CP467" s="472"/>
      <c r="CQ467" s="472"/>
      <c r="CR467" s="472"/>
      <c r="CS467" s="472"/>
      <c r="CT467" s="472"/>
      <c r="CU467" s="472"/>
      <c r="CV467" s="472"/>
      <c r="CW467" s="472"/>
      <c r="CX467" s="472"/>
      <c r="CY467" s="472"/>
      <c r="CZ467" s="514"/>
      <c r="DA467" s="514"/>
      <c r="DB467" s="514"/>
      <c r="DC467" s="514"/>
      <c r="DD467" s="472"/>
      <c r="DE467" s="472"/>
      <c r="DF467" s="472"/>
      <c r="DG467" s="472"/>
      <c r="DH467" s="472"/>
      <c r="DI467" s="473"/>
      <c r="DJ467" s="520"/>
      <c r="DK467" s="472"/>
      <c r="DL467" s="161"/>
      <c r="DM467" s="472"/>
      <c r="DN467" s="473"/>
    </row>
    <row r="468" spans="1:118" s="581" customFormat="1">
      <c r="A468" s="1077"/>
      <c r="B468" s="917"/>
      <c r="C468" s="922"/>
      <c r="D468" s="923"/>
      <c r="E468" s="496"/>
      <c r="F468" s="1067"/>
      <c r="G468" s="917"/>
      <c r="H468" s="1078"/>
      <c r="I468" s="1218"/>
      <c r="J468" s="1218"/>
      <c r="K468" s="1218"/>
      <c r="L468" s="1218"/>
      <c r="M468" s="1218"/>
      <c r="N468" s="1218"/>
      <c r="O468" s="921"/>
      <c r="P468" s="478"/>
      <c r="Q468" s="1218"/>
      <c r="R468" s="918"/>
      <c r="S468" s="1218"/>
      <c r="T468" s="919"/>
      <c r="U468" s="919"/>
      <c r="V468" s="919"/>
      <c r="W468" s="919"/>
      <c r="X468" s="1218"/>
      <c r="Y468" s="1218"/>
      <c r="Z468" s="478"/>
      <c r="AA468" s="919"/>
      <c r="AB468" s="919"/>
      <c r="AC468" s="919"/>
      <c r="AD468" s="919"/>
      <c r="AE468" s="919"/>
      <c r="AF468" s="919"/>
      <c r="AG468" s="919"/>
      <c r="AH468" s="919"/>
      <c r="AI468" s="919"/>
      <c r="AJ468" s="919"/>
      <c r="AK468" s="919"/>
      <c r="AL468" s="919"/>
      <c r="AM468" s="919"/>
      <c r="AN468" s="919"/>
      <c r="AO468" s="920"/>
      <c r="AP468" s="920"/>
      <c r="AQ468" s="920"/>
      <c r="AR468" s="920"/>
      <c r="AS468" s="920"/>
      <c r="AT468" s="920"/>
      <c r="AU468" s="1218"/>
      <c r="AV468" s="628"/>
      <c r="AW468" s="1218"/>
      <c r="AX468" s="919"/>
      <c r="AY468" s="919"/>
      <c r="AZ468" s="919"/>
      <c r="BA468" s="919"/>
      <c r="BB468" s="1218"/>
      <c r="BC468" s="1218"/>
      <c r="BD468" s="1218"/>
      <c r="BE468" s="1218"/>
      <c r="BF468" s="1218"/>
      <c r="BG468" s="919"/>
      <c r="BH468" s="919"/>
      <c r="BI468" s="919"/>
      <c r="BJ468" s="919"/>
      <c r="BK468" s="919"/>
      <c r="BL468" s="1218"/>
      <c r="BM468" s="1218"/>
      <c r="BN468" s="1218"/>
      <c r="BO468" s="1218"/>
      <c r="BP468" s="1218"/>
      <c r="BQ468" s="1218"/>
      <c r="BR468" s="919"/>
      <c r="BS468" s="919"/>
      <c r="BT468" s="919"/>
      <c r="BU468" s="919"/>
      <c r="BV468" s="919"/>
      <c r="BW468" s="919"/>
      <c r="BX468" s="919"/>
      <c r="BY468" s="919"/>
      <c r="BZ468" s="919"/>
      <c r="CA468" s="919"/>
      <c r="CB468" s="514"/>
      <c r="CC468" s="514"/>
      <c r="CD468" s="514"/>
      <c r="CE468" s="514"/>
      <c r="CF468" s="514"/>
      <c r="CG468" s="514"/>
      <c r="CH468" s="514"/>
      <c r="CI468" s="514"/>
      <c r="CJ468" s="514"/>
      <c r="CK468" s="514"/>
      <c r="CL468" s="514"/>
      <c r="CM468" s="514"/>
      <c r="CN468" s="514"/>
      <c r="CO468" s="514"/>
      <c r="CP468" s="514"/>
      <c r="CQ468" s="514"/>
      <c r="CR468" s="514"/>
      <c r="CS468" s="514"/>
      <c r="CT468" s="514"/>
      <c r="CU468" s="514"/>
      <c r="CV468" s="514"/>
      <c r="CW468" s="514"/>
      <c r="CX468" s="514"/>
      <c r="CY468" s="514"/>
      <c r="CZ468" s="514"/>
      <c r="DA468" s="514"/>
      <c r="DB468" s="514"/>
      <c r="DC468" s="514"/>
      <c r="DD468" s="514"/>
      <c r="DE468" s="514"/>
      <c r="DF468" s="514"/>
      <c r="DG468" s="514"/>
      <c r="DH468" s="514"/>
      <c r="DI468" s="478"/>
      <c r="DJ468" s="521"/>
      <c r="DK468" s="514"/>
      <c r="DL468" s="919"/>
      <c r="DM468" s="514"/>
      <c r="DN468" s="478"/>
    </row>
    <row r="469" spans="1:118" s="581" customFormat="1" ht="18.75">
      <c r="A469" s="1079">
        <v>92</v>
      </c>
      <c r="B469" s="569" t="s">
        <v>7416</v>
      </c>
      <c r="C469" s="922"/>
      <c r="D469" s="915"/>
      <c r="E469" s="496"/>
      <c r="F469" s="1067"/>
      <c r="G469" s="917"/>
      <c r="H469" s="1078"/>
      <c r="I469" s="1763"/>
      <c r="J469" s="1743"/>
      <c r="K469" s="1218"/>
      <c r="L469" s="1218"/>
      <c r="M469" s="1218"/>
      <c r="N469" s="1218"/>
      <c r="O469" s="478"/>
      <c r="P469" s="478"/>
      <c r="Q469" s="1218"/>
      <c r="R469" s="918"/>
      <c r="S469" s="1218"/>
      <c r="T469" s="919"/>
      <c r="U469" s="919"/>
      <c r="V469" s="919"/>
      <c r="W469" s="919"/>
      <c r="X469" s="1218"/>
      <c r="Y469" s="1218"/>
      <c r="Z469" s="478"/>
      <c r="AA469" s="919"/>
      <c r="AB469" s="919"/>
      <c r="AC469" s="919"/>
      <c r="AD469" s="919"/>
      <c r="AE469" s="919"/>
      <c r="AF469" s="919"/>
      <c r="AG469" s="919"/>
      <c r="AH469" s="919"/>
      <c r="AI469" s="919"/>
      <c r="AJ469" s="919"/>
      <c r="AK469" s="919"/>
      <c r="AL469" s="919"/>
      <c r="AM469" s="919"/>
      <c r="AN469" s="919"/>
      <c r="AO469" s="920"/>
      <c r="AP469" s="920"/>
      <c r="AQ469" s="920"/>
      <c r="AR469" s="920"/>
      <c r="AS469" s="920"/>
      <c r="AT469" s="920"/>
      <c r="AU469" s="1218"/>
      <c r="AV469" s="628"/>
      <c r="AW469" s="1218"/>
      <c r="AX469" s="919"/>
      <c r="AY469" s="919"/>
      <c r="AZ469" s="919"/>
      <c r="BA469" s="919"/>
      <c r="BB469" s="1218"/>
      <c r="BC469" s="1218"/>
      <c r="BD469" s="1218"/>
      <c r="BE469" s="1218"/>
      <c r="BF469" s="1218"/>
      <c r="BG469" s="919"/>
      <c r="BH469" s="919"/>
      <c r="BI469" s="919"/>
      <c r="BJ469" s="919"/>
      <c r="BK469" s="919"/>
      <c r="BL469" s="1218"/>
      <c r="BM469" s="1218"/>
      <c r="BN469" s="1218"/>
      <c r="BO469" s="1218"/>
      <c r="BP469" s="1218"/>
      <c r="BQ469" s="1218"/>
      <c r="BR469" s="919"/>
      <c r="BS469" s="919"/>
      <c r="BT469" s="919"/>
      <c r="BU469" s="919"/>
      <c r="BV469" s="919"/>
      <c r="BW469" s="919"/>
      <c r="BX469" s="919"/>
      <c r="BY469" s="919"/>
      <c r="BZ469" s="919"/>
      <c r="CA469" s="919"/>
      <c r="CB469" s="514"/>
      <c r="CC469" s="514"/>
      <c r="CD469" s="514"/>
      <c r="CE469" s="514"/>
      <c r="CF469" s="514"/>
      <c r="CG469" s="514"/>
      <c r="CH469" s="514"/>
      <c r="CI469" s="514"/>
      <c r="CJ469" s="514"/>
      <c r="CK469" s="514"/>
      <c r="CL469" s="514"/>
      <c r="CM469" s="514"/>
      <c r="CN469" s="514"/>
      <c r="CO469" s="514"/>
      <c r="CP469" s="514"/>
      <c r="CQ469" s="514"/>
      <c r="CR469" s="514"/>
      <c r="CS469" s="514"/>
      <c r="CT469" s="514"/>
      <c r="CU469" s="514"/>
      <c r="CV469" s="514"/>
      <c r="CW469" s="514"/>
      <c r="CX469" s="514"/>
      <c r="CY469" s="514"/>
      <c r="CZ469" s="514"/>
      <c r="DA469" s="514"/>
      <c r="DB469" s="514"/>
      <c r="DC469" s="514"/>
      <c r="DD469" s="514"/>
      <c r="DE469" s="514"/>
      <c r="DF469" s="514"/>
      <c r="DG469" s="514"/>
      <c r="DH469" s="514"/>
      <c r="DI469" s="478"/>
      <c r="DJ469" s="521"/>
      <c r="DK469" s="514"/>
      <c r="DL469" s="919"/>
      <c r="DM469" s="514"/>
      <c r="DN469" s="478"/>
    </row>
    <row r="470" spans="1:118" s="581" customFormat="1" ht="19.5" thickBot="1">
      <c r="A470" s="1080">
        <f ca="1">A469-(B403+0)</f>
        <v>0</v>
      </c>
      <c r="B470" s="570" t="s">
        <v>5186</v>
      </c>
      <c r="C470" s="1081"/>
      <c r="D470" s="1082"/>
      <c r="E470" s="1083"/>
      <c r="F470" s="1086"/>
      <c r="G470" s="1084"/>
      <c r="H470" s="1085"/>
      <c r="I470" s="1763"/>
      <c r="J470" s="1743"/>
      <c r="K470" s="1218"/>
      <c r="L470" s="1218"/>
      <c r="M470" s="1218"/>
      <c r="N470" s="1218"/>
      <c r="O470" s="478"/>
      <c r="P470" s="478"/>
      <c r="Q470" s="1218"/>
      <c r="R470" s="918"/>
      <c r="S470" s="1218"/>
      <c r="T470" s="919"/>
      <c r="U470" s="919"/>
      <c r="V470" s="919"/>
      <c r="W470" s="919"/>
      <c r="X470" s="1218"/>
      <c r="Y470" s="1218"/>
      <c r="Z470" s="478"/>
      <c r="AA470" s="919"/>
      <c r="AB470" s="919"/>
      <c r="AC470" s="919"/>
      <c r="AD470" s="919"/>
      <c r="AE470" s="919"/>
      <c r="AF470" s="919"/>
      <c r="AG470" s="919"/>
      <c r="AH470" s="919"/>
      <c r="AI470" s="919"/>
      <c r="AJ470" s="919"/>
      <c r="AK470" s="919"/>
      <c r="AL470" s="919"/>
      <c r="AM470" s="919"/>
      <c r="AN470" s="919"/>
      <c r="AO470" s="920"/>
      <c r="AP470" s="920"/>
      <c r="AQ470" s="920"/>
      <c r="AR470" s="920"/>
      <c r="AS470" s="920"/>
      <c r="AT470" s="920"/>
      <c r="AU470" s="1218"/>
      <c r="AV470" s="628"/>
      <c r="AW470" s="1218"/>
      <c r="AX470" s="919"/>
      <c r="AY470" s="919"/>
      <c r="AZ470" s="919"/>
      <c r="BA470" s="919"/>
      <c r="BB470" s="1218"/>
      <c r="BC470" s="1218"/>
      <c r="BD470" s="1218"/>
      <c r="BE470" s="1218"/>
      <c r="BF470" s="1218"/>
      <c r="BG470" s="919"/>
      <c r="BH470" s="919"/>
      <c r="BI470" s="919"/>
      <c r="BJ470" s="919"/>
      <c r="BK470" s="919"/>
      <c r="BL470" s="1218"/>
      <c r="BM470" s="1218"/>
      <c r="BN470" s="1218"/>
      <c r="BO470" s="1218"/>
      <c r="BP470" s="1218"/>
      <c r="BQ470" s="1218"/>
      <c r="BR470" s="919"/>
      <c r="BS470" s="919"/>
      <c r="BT470" s="919"/>
      <c r="BU470" s="919"/>
      <c r="BV470" s="919"/>
      <c r="BW470" s="919"/>
      <c r="BX470" s="919"/>
      <c r="BY470" s="919"/>
      <c r="BZ470" s="919"/>
      <c r="CA470" s="919"/>
      <c r="CB470" s="514"/>
      <c r="CC470" s="514"/>
      <c r="CD470" s="514"/>
      <c r="CE470" s="514"/>
      <c r="CF470" s="514"/>
      <c r="CG470" s="514"/>
      <c r="CH470" s="514"/>
      <c r="CI470" s="514"/>
      <c r="CJ470" s="514"/>
      <c r="CK470" s="514"/>
      <c r="CL470" s="514"/>
      <c r="CM470" s="514"/>
      <c r="CN470" s="514"/>
      <c r="CO470" s="514"/>
      <c r="CP470" s="514"/>
      <c r="CQ470" s="514"/>
      <c r="CR470" s="514"/>
      <c r="CS470" s="514"/>
      <c r="CT470" s="514"/>
      <c r="CU470" s="514"/>
      <c r="CV470" s="514"/>
      <c r="CW470" s="514"/>
      <c r="CX470" s="514"/>
      <c r="CY470" s="514"/>
      <c r="CZ470" s="514"/>
      <c r="DA470" s="514"/>
      <c r="DB470" s="514"/>
      <c r="DC470" s="514"/>
      <c r="DD470" s="514"/>
      <c r="DE470" s="514"/>
      <c r="DF470" s="514"/>
      <c r="DG470" s="514"/>
      <c r="DH470" s="514"/>
      <c r="DI470" s="478"/>
      <c r="DJ470" s="521"/>
      <c r="DK470" s="514"/>
      <c r="DL470" s="919"/>
      <c r="DM470" s="514"/>
      <c r="DN470" s="478"/>
    </row>
    <row r="471" spans="1:118">
      <c r="A471" s="1216"/>
      <c r="B471" s="1216"/>
      <c r="C471" s="1216"/>
      <c r="D471" s="218"/>
      <c r="E471" s="473"/>
      <c r="F471" s="420"/>
      <c r="G471" s="1216"/>
      <c r="H471" s="476"/>
      <c r="I471" s="1741"/>
      <c r="J471" s="1741"/>
      <c r="K471" s="1216"/>
      <c r="L471" s="1216"/>
      <c r="M471" s="1216"/>
      <c r="N471" s="1216"/>
      <c r="O471" s="473"/>
      <c r="P471" s="473"/>
      <c r="Q471" s="1216"/>
      <c r="R471" s="477"/>
      <c r="S471" s="1216"/>
      <c r="T471" s="161"/>
      <c r="U471" s="161"/>
      <c r="V471" s="161"/>
      <c r="W471" s="161"/>
      <c r="X471" s="1216"/>
      <c r="Y471" s="1216"/>
      <c r="Z471" s="478"/>
      <c r="AA471" s="161"/>
      <c r="AB471" s="161"/>
      <c r="AC471" s="161"/>
      <c r="AD471" s="161"/>
      <c r="AE471" s="161"/>
      <c r="AF471" s="161"/>
      <c r="AG471" s="161"/>
      <c r="AH471" s="161"/>
      <c r="AI471" s="161"/>
      <c r="AJ471" s="161"/>
      <c r="AK471" s="161"/>
      <c r="AL471" s="161"/>
      <c r="AM471" s="161"/>
      <c r="AN471" s="161"/>
      <c r="AO471" s="162"/>
      <c r="AP471" s="162"/>
      <c r="AQ471" s="162"/>
      <c r="AR471" s="162"/>
      <c r="AS471" s="162"/>
      <c r="AT471" s="162"/>
      <c r="AU471" s="1216"/>
      <c r="AV471" s="163"/>
      <c r="AW471" s="1216"/>
      <c r="AX471" s="161"/>
      <c r="AY471" s="161"/>
      <c r="AZ471" s="161"/>
      <c r="BA471" s="161"/>
      <c r="BB471" s="1216"/>
      <c r="BC471" s="1216"/>
      <c r="BD471" s="1216"/>
      <c r="BE471" s="1216"/>
      <c r="BF471" s="1216"/>
      <c r="BG471" s="161"/>
      <c r="BH471" s="161"/>
      <c r="BI471" s="161"/>
      <c r="BJ471" s="161"/>
      <c r="BK471" s="161"/>
      <c r="BL471" s="1216"/>
      <c r="BM471" s="1216"/>
      <c r="BN471" s="1216"/>
      <c r="BO471" s="1216"/>
      <c r="BP471" s="1216"/>
      <c r="BQ471" s="1216"/>
      <c r="BR471" s="161"/>
      <c r="BS471" s="161"/>
      <c r="BT471" s="161"/>
      <c r="BU471" s="161"/>
      <c r="BV471" s="161"/>
      <c r="BW471" s="161"/>
      <c r="BX471" s="161"/>
      <c r="BY471" s="161"/>
      <c r="BZ471" s="161"/>
      <c r="CA471" s="161"/>
      <c r="CB471" s="472"/>
      <c r="CC471" s="472"/>
      <c r="CD471" s="472"/>
      <c r="CE471" s="472"/>
      <c r="CF471" s="472"/>
      <c r="CG471" s="472"/>
      <c r="CH471" s="472"/>
      <c r="CI471" s="472"/>
      <c r="CJ471" s="472"/>
      <c r="CK471" s="472"/>
      <c r="CL471" s="472"/>
      <c r="CM471" s="472"/>
      <c r="CN471" s="472"/>
      <c r="CO471" s="472"/>
      <c r="CP471" s="472"/>
      <c r="CQ471" s="472"/>
      <c r="CR471" s="472"/>
      <c r="CS471" s="472"/>
      <c r="CT471" s="472"/>
      <c r="CU471" s="472"/>
      <c r="CV471" s="472"/>
      <c r="CW471" s="472"/>
      <c r="CX471" s="472"/>
      <c r="CY471" s="472"/>
      <c r="CZ471" s="514"/>
      <c r="DA471" s="514"/>
      <c r="DB471" s="514"/>
      <c r="DC471" s="514"/>
      <c r="DD471" s="472"/>
      <c r="DE471" s="472"/>
      <c r="DF471" s="472"/>
      <c r="DG471" s="472"/>
      <c r="DH471" s="472"/>
      <c r="DI471" s="473"/>
      <c r="DJ471" s="520"/>
      <c r="DK471" s="472"/>
      <c r="DL471" s="161"/>
      <c r="DM471" s="472"/>
      <c r="DN471" s="473"/>
    </row>
    <row r="472" spans="1:118" ht="15.75" thickBot="1">
      <c r="A472" s="1216"/>
      <c r="B472" s="1216"/>
      <c r="C472" s="1216"/>
      <c r="D472" s="218"/>
      <c r="E472" s="473"/>
      <c r="F472" s="420"/>
      <c r="G472" s="1216"/>
      <c r="H472" s="476"/>
      <c r="I472" s="1741"/>
      <c r="J472" s="1741"/>
      <c r="K472" s="1216"/>
      <c r="L472" s="1216"/>
      <c r="M472" s="1216"/>
      <c r="N472" s="1216"/>
      <c r="O472" s="473"/>
      <c r="P472" s="473"/>
      <c r="Q472" s="1216"/>
      <c r="R472" s="477"/>
      <c r="S472" s="1216"/>
      <c r="T472" s="161"/>
      <c r="U472" s="161"/>
      <c r="V472" s="161"/>
      <c r="W472" s="161"/>
      <c r="X472" s="1216"/>
      <c r="Y472" s="1216"/>
      <c r="Z472" s="478"/>
      <c r="AA472" s="161"/>
      <c r="AB472" s="161"/>
      <c r="AC472" s="161"/>
      <c r="AD472" s="161"/>
      <c r="AE472" s="161"/>
      <c r="AF472" s="161"/>
      <c r="AG472" s="161"/>
      <c r="AH472" s="161"/>
      <c r="AI472" s="161"/>
      <c r="AJ472" s="161"/>
      <c r="AK472" s="161"/>
      <c r="AL472" s="161"/>
      <c r="AM472" s="161"/>
      <c r="AN472" s="161"/>
      <c r="AO472" s="162"/>
      <c r="AP472" s="162"/>
      <c r="AQ472" s="162"/>
      <c r="AR472" s="162"/>
      <c r="AS472" s="162"/>
      <c r="AT472" s="162"/>
      <c r="AU472" s="1216"/>
      <c r="AV472" s="163"/>
      <c r="AW472" s="1216"/>
      <c r="AX472" s="161"/>
      <c r="AY472" s="161"/>
      <c r="AZ472" s="161"/>
      <c r="BA472" s="161"/>
      <c r="BB472" s="1216"/>
      <c r="BC472" s="1216"/>
      <c r="BD472" s="1216"/>
      <c r="BE472" s="1216"/>
      <c r="BF472" s="1216"/>
      <c r="BG472" s="161"/>
      <c r="BH472" s="161"/>
      <c r="BI472" s="161"/>
      <c r="BJ472" s="161"/>
      <c r="BK472" s="161"/>
      <c r="BL472" s="1216"/>
      <c r="BM472" s="1216"/>
      <c r="BN472" s="1216"/>
      <c r="BO472" s="1216"/>
      <c r="BP472" s="1216"/>
      <c r="BQ472" s="1216"/>
      <c r="BR472" s="161"/>
      <c r="BS472" s="161"/>
      <c r="BT472" s="161"/>
      <c r="BU472" s="161"/>
      <c r="BV472" s="161"/>
      <c r="BW472" s="161"/>
      <c r="BX472" s="161"/>
      <c r="BY472" s="161"/>
      <c r="BZ472" s="161"/>
      <c r="CA472" s="161"/>
      <c r="CB472" s="472"/>
      <c r="CC472" s="472"/>
      <c r="CD472" s="472"/>
      <c r="CE472" s="472"/>
      <c r="CF472" s="472"/>
      <c r="CG472" s="472"/>
      <c r="CH472" s="472"/>
      <c r="CI472" s="472"/>
      <c r="CJ472" s="472"/>
      <c r="CK472" s="472"/>
      <c r="CL472" s="472"/>
      <c r="CM472" s="472"/>
      <c r="CN472" s="472"/>
      <c r="CO472" s="472"/>
      <c r="CP472" s="472"/>
      <c r="CQ472" s="472"/>
      <c r="CR472" s="472"/>
      <c r="CS472" s="472"/>
      <c r="CT472" s="472"/>
      <c r="CU472" s="472"/>
      <c r="CV472" s="472"/>
      <c r="CW472" s="472"/>
      <c r="CX472" s="472"/>
      <c r="CY472" s="472"/>
      <c r="CZ472" s="514"/>
      <c r="DA472" s="514"/>
      <c r="DB472" s="514"/>
      <c r="DC472" s="514"/>
      <c r="DD472" s="472"/>
      <c r="DE472" s="472"/>
      <c r="DF472" s="472"/>
      <c r="DG472" s="472"/>
      <c r="DH472" s="472"/>
      <c r="DI472" s="473"/>
      <c r="DJ472" s="520"/>
      <c r="DK472" s="472"/>
      <c r="DL472" s="161"/>
      <c r="DM472" s="472"/>
      <c r="DN472" s="473"/>
    </row>
    <row r="473" spans="1:118" ht="25.5">
      <c r="A473" s="571">
        <f>SUM(A424+A463+A469)</f>
        <v>404</v>
      </c>
      <c r="B473" s="555" t="s">
        <v>7413</v>
      </c>
      <c r="C473" s="558"/>
      <c r="D473" s="572"/>
      <c r="E473" s="557"/>
      <c r="F473" s="573"/>
      <c r="G473" s="1216"/>
      <c r="H473" s="476"/>
      <c r="I473" s="1741"/>
      <c r="J473" s="1741"/>
      <c r="K473" s="1216"/>
      <c r="L473" s="1216"/>
      <c r="M473" s="1216"/>
      <c r="N473" s="1216"/>
      <c r="O473" s="473"/>
      <c r="P473" s="473"/>
      <c r="Q473" s="1216"/>
      <c r="R473" s="477"/>
      <c r="S473" s="1216"/>
      <c r="T473" s="161"/>
      <c r="U473" s="161"/>
      <c r="V473" s="161"/>
      <c r="W473" s="161"/>
      <c r="X473" s="1216"/>
      <c r="Y473" s="1216"/>
      <c r="Z473" s="478"/>
      <c r="AA473" s="161"/>
      <c r="AB473" s="161"/>
      <c r="AC473" s="161"/>
      <c r="AD473" s="161"/>
      <c r="AE473" s="161"/>
      <c r="AF473" s="161"/>
      <c r="AG473" s="161"/>
      <c r="AH473" s="161"/>
      <c r="AI473" s="161"/>
      <c r="AJ473" s="161"/>
      <c r="AK473" s="161"/>
      <c r="AL473" s="161"/>
      <c r="AM473" s="161"/>
      <c r="AN473" s="161"/>
      <c r="AO473" s="162"/>
      <c r="AP473" s="162"/>
      <c r="AQ473" s="162"/>
      <c r="AR473" s="162"/>
      <c r="AS473" s="162"/>
      <c r="AT473" s="162"/>
      <c r="AU473" s="1216"/>
      <c r="AV473" s="163"/>
      <c r="AW473" s="1216"/>
      <c r="AX473" s="161"/>
      <c r="AY473" s="161"/>
      <c r="AZ473" s="161"/>
      <c r="BA473" s="161"/>
      <c r="BB473" s="1216"/>
      <c r="BC473" s="1216"/>
      <c r="BD473" s="1216"/>
      <c r="BE473" s="1216"/>
      <c r="BF473" s="1216"/>
      <c r="BG473" s="161"/>
      <c r="BH473" s="161"/>
      <c r="BI473" s="161"/>
      <c r="BJ473" s="161"/>
      <c r="BK473" s="161"/>
      <c r="BL473" s="1216"/>
      <c r="BM473" s="1216"/>
      <c r="BN473" s="1216"/>
      <c r="BO473" s="1216"/>
      <c r="BP473" s="1216"/>
      <c r="BQ473" s="1216"/>
      <c r="BR473" s="161"/>
      <c r="BS473" s="161"/>
      <c r="BT473" s="161"/>
      <c r="BU473" s="161"/>
      <c r="BV473" s="161"/>
      <c r="BW473" s="161"/>
      <c r="BX473" s="161"/>
      <c r="BY473" s="161"/>
      <c r="BZ473" s="161"/>
      <c r="CA473" s="161"/>
      <c r="CB473" s="472"/>
      <c r="CC473" s="472"/>
      <c r="CD473" s="472"/>
      <c r="CE473" s="472"/>
      <c r="CF473" s="472"/>
      <c r="CG473" s="472"/>
      <c r="CH473" s="472"/>
      <c r="CI473" s="472"/>
      <c r="CJ473" s="472"/>
      <c r="CK473" s="472"/>
      <c r="CL473" s="472"/>
      <c r="CM473" s="472"/>
      <c r="CN473" s="472"/>
      <c r="CO473" s="472"/>
      <c r="CP473" s="472"/>
      <c r="CQ473" s="472"/>
      <c r="CR473" s="472"/>
      <c r="CS473" s="472"/>
      <c r="CT473" s="472"/>
      <c r="CU473" s="472"/>
      <c r="CV473" s="472"/>
      <c r="CW473" s="472"/>
      <c r="CX473" s="472"/>
      <c r="CY473" s="472"/>
      <c r="CZ473" s="514"/>
      <c r="DA473" s="514"/>
      <c r="DB473" s="514"/>
      <c r="DC473" s="514"/>
      <c r="DD473" s="472"/>
      <c r="DE473" s="472"/>
      <c r="DF473" s="472"/>
      <c r="DG473" s="472"/>
      <c r="DH473" s="472"/>
      <c r="DI473" s="473"/>
      <c r="DJ473" s="520"/>
      <c r="DK473" s="472"/>
      <c r="DL473" s="161"/>
      <c r="DM473" s="472"/>
      <c r="DN473" s="473"/>
    </row>
    <row r="474" spans="1:118" ht="19.5" thickBot="1">
      <c r="A474" s="565">
        <f ca="1">+A473-(B407+B461+B422+B446*0)</f>
        <v>0</v>
      </c>
      <c r="B474" s="570" t="s">
        <v>5186</v>
      </c>
      <c r="C474" s="567"/>
      <c r="D474" s="574"/>
      <c r="E474" s="566"/>
      <c r="F474" s="575"/>
      <c r="G474" s="1216"/>
      <c r="H474" s="476"/>
      <c r="I474" s="1741"/>
      <c r="J474" s="1741"/>
      <c r="K474" s="1216"/>
      <c r="L474" s="1216"/>
      <c r="M474" s="1216"/>
      <c r="N474" s="1216"/>
      <c r="O474" s="473"/>
      <c r="P474" s="473"/>
      <c r="Q474" s="1216"/>
      <c r="R474" s="477"/>
      <c r="S474" s="1216"/>
      <c r="T474" s="161"/>
      <c r="U474" s="161"/>
      <c r="V474" s="161"/>
      <c r="W474" s="161"/>
      <c r="X474" s="1216"/>
      <c r="Y474" s="1216"/>
      <c r="Z474" s="478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2"/>
      <c r="AP474" s="162"/>
      <c r="AQ474" s="162"/>
      <c r="AR474" s="162"/>
      <c r="AS474" s="162"/>
      <c r="AT474" s="162"/>
      <c r="AU474" s="1216"/>
      <c r="AV474" s="163"/>
      <c r="AW474" s="1216"/>
      <c r="AX474" s="161"/>
      <c r="AY474" s="161"/>
      <c r="AZ474" s="161"/>
      <c r="BA474" s="161"/>
      <c r="BB474" s="1216"/>
      <c r="BC474" s="1216"/>
      <c r="BD474" s="1216"/>
      <c r="BE474" s="1216"/>
      <c r="BF474" s="1216"/>
      <c r="BG474" s="161"/>
      <c r="BH474" s="161"/>
      <c r="BI474" s="161"/>
      <c r="BJ474" s="161"/>
      <c r="BK474" s="161"/>
      <c r="BL474" s="1216"/>
      <c r="BM474" s="1216"/>
      <c r="BN474" s="1216"/>
      <c r="BO474" s="1216"/>
      <c r="BP474" s="1216"/>
      <c r="BQ474" s="1216"/>
      <c r="BR474" s="161"/>
      <c r="BS474" s="161"/>
      <c r="BT474" s="161"/>
      <c r="BU474" s="161"/>
      <c r="BV474" s="161"/>
      <c r="BW474" s="161"/>
      <c r="BX474" s="161"/>
      <c r="BY474" s="161"/>
      <c r="BZ474" s="161"/>
      <c r="CA474" s="161"/>
      <c r="CB474" s="472"/>
      <c r="CC474" s="472"/>
      <c r="CD474" s="472"/>
      <c r="CE474" s="472"/>
      <c r="CF474" s="472"/>
      <c r="CG474" s="472"/>
      <c r="CH474" s="472"/>
      <c r="CI474" s="472"/>
      <c r="CJ474" s="472"/>
      <c r="CK474" s="472"/>
      <c r="CL474" s="472"/>
      <c r="CM474" s="472"/>
      <c r="CN474" s="472"/>
      <c r="CO474" s="472"/>
      <c r="CP474" s="472"/>
      <c r="CQ474" s="472"/>
      <c r="CR474" s="472"/>
      <c r="CS474" s="472"/>
      <c r="CT474" s="472"/>
      <c r="CU474" s="472"/>
      <c r="CV474" s="472"/>
      <c r="CW474" s="472"/>
      <c r="CX474" s="472"/>
      <c r="CY474" s="472"/>
      <c r="CZ474" s="514"/>
      <c r="DA474" s="514"/>
      <c r="DB474" s="514"/>
      <c r="DC474" s="514"/>
      <c r="DD474" s="472"/>
      <c r="DE474" s="472"/>
      <c r="DF474" s="472"/>
      <c r="DG474" s="472"/>
      <c r="DH474" s="472"/>
      <c r="DI474" s="473"/>
      <c r="DJ474" s="520"/>
      <c r="DK474" s="472"/>
      <c r="DL474" s="161"/>
      <c r="DM474" s="472"/>
      <c r="DN474" s="473"/>
    </row>
  </sheetData>
  <sheetProtection formatCells="0" formatColumns="0" formatRows="0" insertColumns="0" insertRows="0" deleteColumns="0" deleteRows="0" sort="0" autoFilter="0"/>
  <dataConsolidate/>
  <mergeCells count="400">
    <mergeCell ref="DM86:DN86"/>
    <mergeCell ref="DM87:DN87"/>
    <mergeCell ref="DM106:DN106"/>
    <mergeCell ref="DM126:DN126"/>
    <mergeCell ref="DM134:DN134"/>
    <mergeCell ref="DM121:DN121"/>
    <mergeCell ref="DM100:DN100"/>
    <mergeCell ref="DM112:DN112"/>
    <mergeCell ref="DM118:DN118"/>
    <mergeCell ref="DM124:DN124"/>
    <mergeCell ref="DM130:DN130"/>
    <mergeCell ref="DM131:DN131"/>
    <mergeCell ref="DM132:DN132"/>
    <mergeCell ref="DM133:DN133"/>
    <mergeCell ref="DM125:DN125"/>
    <mergeCell ref="DM107:DN107"/>
    <mergeCell ref="DM93:DN93"/>
    <mergeCell ref="DM95:DN95"/>
    <mergeCell ref="DM111:DN111"/>
    <mergeCell ref="DM113:DN113"/>
    <mergeCell ref="DM114:DN114"/>
    <mergeCell ref="DM115:DN115"/>
    <mergeCell ref="DM117:DN117"/>
    <mergeCell ref="DM88:DN88"/>
    <mergeCell ref="DM94:DN94"/>
    <mergeCell ref="DM116:DN116"/>
    <mergeCell ref="DM108:DN108"/>
    <mergeCell ref="DM109:DN109"/>
    <mergeCell ref="DM110:DN110"/>
    <mergeCell ref="DM123:DN123"/>
    <mergeCell ref="DM90:DN90"/>
    <mergeCell ref="DM269:DN269"/>
    <mergeCell ref="DM150:DN150"/>
    <mergeCell ref="DM136:DN136"/>
    <mergeCell ref="DM146:DN146"/>
    <mergeCell ref="DM147:DN147"/>
    <mergeCell ref="DM148:DN148"/>
    <mergeCell ref="DM149:DN149"/>
    <mergeCell ref="DM135:DN135"/>
    <mergeCell ref="DM122:DN122"/>
    <mergeCell ref="DM129:DN129"/>
    <mergeCell ref="DM127:DN127"/>
    <mergeCell ref="DM157:DN157"/>
    <mergeCell ref="DM159:DN159"/>
    <mergeCell ref="DM156:DN156"/>
    <mergeCell ref="DM151:DN151"/>
    <mergeCell ref="DM152:DN152"/>
    <mergeCell ref="DM153:DN153"/>
    <mergeCell ref="I474:J474"/>
    <mergeCell ref="I470:J470"/>
    <mergeCell ref="I471:J471"/>
    <mergeCell ref="I472:J472"/>
    <mergeCell ref="I473:J473"/>
    <mergeCell ref="DM259:DN259"/>
    <mergeCell ref="DM263:DN263"/>
    <mergeCell ref="I469:J469"/>
    <mergeCell ref="DM262:DN262"/>
    <mergeCell ref="DM264:DN264"/>
    <mergeCell ref="DM286:DN286"/>
    <mergeCell ref="DM288:DN288"/>
    <mergeCell ref="DM289:DN289"/>
    <mergeCell ref="DM290:DN290"/>
    <mergeCell ref="DM283:DN283"/>
    <mergeCell ref="DM284:DN284"/>
    <mergeCell ref="DM285:DN285"/>
    <mergeCell ref="DM287:DN287"/>
    <mergeCell ref="DM300:DN300"/>
    <mergeCell ref="DM273:DN273"/>
    <mergeCell ref="DM271:DN271"/>
    <mergeCell ref="DM297:DN297"/>
    <mergeCell ref="DM298:DN298"/>
    <mergeCell ref="DM277:DN277"/>
    <mergeCell ref="CG9:CP9"/>
    <mergeCell ref="CS10:CT10"/>
    <mergeCell ref="Z10:AD10"/>
    <mergeCell ref="M10:N10"/>
    <mergeCell ref="I426:J426"/>
    <mergeCell ref="I425:J425"/>
    <mergeCell ref="I415:J415"/>
    <mergeCell ref="AY10:BA10"/>
    <mergeCell ref="DM19:DN19"/>
    <mergeCell ref="DM20:DN20"/>
    <mergeCell ref="DM21:DN21"/>
    <mergeCell ref="DM22:DN22"/>
    <mergeCell ref="DM23:DN23"/>
    <mergeCell ref="DM11:DN11"/>
    <mergeCell ref="DM13:DN13"/>
    <mergeCell ref="DM14:DN14"/>
    <mergeCell ref="DM17:DN17"/>
    <mergeCell ref="DM18:DN18"/>
    <mergeCell ref="DM28:DN28"/>
    <mergeCell ref="DM29:DN29"/>
    <mergeCell ref="DM30:DN30"/>
    <mergeCell ref="DM31:DN31"/>
    <mergeCell ref="DM97:DN97"/>
    <mergeCell ref="DM43:DN43"/>
    <mergeCell ref="DM44:DN44"/>
    <mergeCell ref="DM45:DN45"/>
    <mergeCell ref="DM46:DN46"/>
    <mergeCell ref="DM47:DN47"/>
    <mergeCell ref="DM50:DN50"/>
    <mergeCell ref="DM51:DN51"/>
    <mergeCell ref="DM24:DN24"/>
    <mergeCell ref="DM26:DN26"/>
    <mergeCell ref="DM27:DN27"/>
    <mergeCell ref="DM35:DN35"/>
    <mergeCell ref="DM36:DN36"/>
    <mergeCell ref="DM37:DN37"/>
    <mergeCell ref="DM39:DN39"/>
    <mergeCell ref="DM40:DN40"/>
    <mergeCell ref="DM32:DN32"/>
    <mergeCell ref="DM33:DN33"/>
    <mergeCell ref="DM34:DN34"/>
    <mergeCell ref="DM25:DN25"/>
    <mergeCell ref="DM38:DN38"/>
    <mergeCell ref="DM54:DN54"/>
    <mergeCell ref="DM55:DN55"/>
    <mergeCell ref="DM56:DN56"/>
    <mergeCell ref="DM59:DN59"/>
    <mergeCell ref="DM58:DN58"/>
    <mergeCell ref="DM48:DN48"/>
    <mergeCell ref="DM49:DN49"/>
    <mergeCell ref="DM52:DN52"/>
    <mergeCell ref="DM53:DN53"/>
    <mergeCell ref="DM57:DN57"/>
    <mergeCell ref="DM65:DN65"/>
    <mergeCell ref="DM67:DN67"/>
    <mergeCell ref="DM68:DN68"/>
    <mergeCell ref="DM69:DN69"/>
    <mergeCell ref="DM70:DN70"/>
    <mergeCell ref="DM66:DN66"/>
    <mergeCell ref="DM60:DN60"/>
    <mergeCell ref="DM61:DN61"/>
    <mergeCell ref="DM62:DN62"/>
    <mergeCell ref="DM63:DN63"/>
    <mergeCell ref="DM64:DN64"/>
    <mergeCell ref="DM76:DN76"/>
    <mergeCell ref="DM77:DN77"/>
    <mergeCell ref="DM78:DN78"/>
    <mergeCell ref="DM79:DN79"/>
    <mergeCell ref="DM82:DN82"/>
    <mergeCell ref="DM83:DN83"/>
    <mergeCell ref="DM71:DN71"/>
    <mergeCell ref="DM72:DN72"/>
    <mergeCell ref="DM73:DN73"/>
    <mergeCell ref="DM74:DN74"/>
    <mergeCell ref="DM75:DN75"/>
    <mergeCell ref="DM80:DN80"/>
    <mergeCell ref="DM81:DN81"/>
    <mergeCell ref="DM84:DN84"/>
    <mergeCell ref="DM85:DN85"/>
    <mergeCell ref="DM128:DN128"/>
    <mergeCell ref="DM142:DN142"/>
    <mergeCell ref="DM143:DN143"/>
    <mergeCell ref="DM144:DN144"/>
    <mergeCell ref="DM145:DN145"/>
    <mergeCell ref="DM138:DN138"/>
    <mergeCell ref="DM139:DN139"/>
    <mergeCell ref="DM140:DN140"/>
    <mergeCell ref="DM141:DN141"/>
    <mergeCell ref="DM89:DN89"/>
    <mergeCell ref="DM101:DN101"/>
    <mergeCell ref="DM103:DN103"/>
    <mergeCell ref="DM104:DN104"/>
    <mergeCell ref="DM105:DN105"/>
    <mergeCell ref="DM96:DN96"/>
    <mergeCell ref="DM98:DN98"/>
    <mergeCell ref="DM99:DN99"/>
    <mergeCell ref="DM102:DN102"/>
    <mergeCell ref="DM91:DN91"/>
    <mergeCell ref="DM92:DN92"/>
    <mergeCell ref="DM137:DN137"/>
    <mergeCell ref="DM120:DN120"/>
    <mergeCell ref="DM154:DN154"/>
    <mergeCell ref="DM155:DN155"/>
    <mergeCell ref="DM158:DN158"/>
    <mergeCell ref="DM176:DN176"/>
    <mergeCell ref="DM177:DN177"/>
    <mergeCell ref="DM165:DN165"/>
    <mergeCell ref="DM166:DN166"/>
    <mergeCell ref="DM167:DN167"/>
    <mergeCell ref="DM169:DN169"/>
    <mergeCell ref="DM170:DN170"/>
    <mergeCell ref="DM171:DN171"/>
    <mergeCell ref="DM168:DN168"/>
    <mergeCell ref="DM160:DN160"/>
    <mergeCell ref="DM161:DN161"/>
    <mergeCell ref="DM163:DN163"/>
    <mergeCell ref="DM164:DN164"/>
    <mergeCell ref="DM174:DN174"/>
    <mergeCell ref="DM175:DN175"/>
    <mergeCell ref="DM162:DN162"/>
    <mergeCell ref="DM172:DN172"/>
    <mergeCell ref="DM173:DN173"/>
    <mergeCell ref="DM185:DN185"/>
    <mergeCell ref="DM178:DN178"/>
    <mergeCell ref="DM194:DN194"/>
    <mergeCell ref="DM187:DN187"/>
    <mergeCell ref="DM188:DN188"/>
    <mergeCell ref="DM189:DN189"/>
    <mergeCell ref="DM179:DN179"/>
    <mergeCell ref="DM180:DN180"/>
    <mergeCell ref="DM181:DN181"/>
    <mergeCell ref="DM182:DN182"/>
    <mergeCell ref="DM184:DN184"/>
    <mergeCell ref="DM183:DN183"/>
    <mergeCell ref="DM186:DN186"/>
    <mergeCell ref="DM196:DN196"/>
    <mergeCell ref="DM197:DN197"/>
    <mergeCell ref="DM198:DN198"/>
    <mergeCell ref="DM200:DN200"/>
    <mergeCell ref="DM201:DN201"/>
    <mergeCell ref="DM190:DN190"/>
    <mergeCell ref="DM191:DN191"/>
    <mergeCell ref="DM192:DN192"/>
    <mergeCell ref="DM193:DN193"/>
    <mergeCell ref="DM195:DN195"/>
    <mergeCell ref="DM217:DN217"/>
    <mergeCell ref="DM220:DN220"/>
    <mergeCell ref="DM199:DN199"/>
    <mergeCell ref="DM221:DN221"/>
    <mergeCell ref="DM209:DN209"/>
    <mergeCell ref="DM211:DN211"/>
    <mergeCell ref="DM212:DN212"/>
    <mergeCell ref="DM213:DN213"/>
    <mergeCell ref="DM214:DN214"/>
    <mergeCell ref="DM204:DN204"/>
    <mergeCell ref="DM205:DN205"/>
    <mergeCell ref="DM206:DN206"/>
    <mergeCell ref="DM207:DN207"/>
    <mergeCell ref="DM208:DN208"/>
    <mergeCell ref="DM210:DN210"/>
    <mergeCell ref="DM202:DN202"/>
    <mergeCell ref="DM215:DN215"/>
    <mergeCell ref="DM219:DN219"/>
    <mergeCell ref="DM218:DN218"/>
    <mergeCell ref="DM203:DN203"/>
    <mergeCell ref="DM216:DN216"/>
    <mergeCell ref="DM230:DN230"/>
    <mergeCell ref="DM231:DN231"/>
    <mergeCell ref="DM233:DN233"/>
    <mergeCell ref="DM234:DN234"/>
    <mergeCell ref="DM222:DN222"/>
    <mergeCell ref="DM223:DN223"/>
    <mergeCell ref="DM227:DN227"/>
    <mergeCell ref="DM228:DN228"/>
    <mergeCell ref="DM229:DN229"/>
    <mergeCell ref="DM226:DN226"/>
    <mergeCell ref="DM232:DN232"/>
    <mergeCell ref="DM225:DN225"/>
    <mergeCell ref="DM224:DN224"/>
    <mergeCell ref="DM239:DN239"/>
    <mergeCell ref="DM240:DN240"/>
    <mergeCell ref="DM241:DN241"/>
    <mergeCell ref="DM242:DN242"/>
    <mergeCell ref="DM244:DN244"/>
    <mergeCell ref="DM255:DN255"/>
    <mergeCell ref="DM252:DN252"/>
    <mergeCell ref="DM235:DN235"/>
    <mergeCell ref="DM236:DN236"/>
    <mergeCell ref="DM237:DN237"/>
    <mergeCell ref="DM238:DN238"/>
    <mergeCell ref="DM253:DN253"/>
    <mergeCell ref="DM247:DN247"/>
    <mergeCell ref="DM254:DN254"/>
    <mergeCell ref="DM251:DN251"/>
    <mergeCell ref="DM243:DN243"/>
    <mergeCell ref="DM256:DN256"/>
    <mergeCell ref="DM245:DN245"/>
    <mergeCell ref="DM246:DN246"/>
    <mergeCell ref="DM248:DN248"/>
    <mergeCell ref="DM249:DN249"/>
    <mergeCell ref="DM250:DN250"/>
    <mergeCell ref="DM291:DN291"/>
    <mergeCell ref="DM299:DN299"/>
    <mergeCell ref="DM257:DN257"/>
    <mergeCell ref="DM258:DN258"/>
    <mergeCell ref="DM260:DN260"/>
    <mergeCell ref="DM261:DN261"/>
    <mergeCell ref="DM278:DN278"/>
    <mergeCell ref="DM279:DN279"/>
    <mergeCell ref="DM281:DN281"/>
    <mergeCell ref="DM282:DN282"/>
    <mergeCell ref="DM274:DN274"/>
    <mergeCell ref="DM275:DN275"/>
    <mergeCell ref="DM276:DN276"/>
    <mergeCell ref="DM265:DN265"/>
    <mergeCell ref="DM266:DN266"/>
    <mergeCell ref="DM267:DN267"/>
    <mergeCell ref="DM268:DN268"/>
    <mergeCell ref="DM296:DN296"/>
    <mergeCell ref="DM293:DN293"/>
    <mergeCell ref="DM316:DN316"/>
    <mergeCell ref="DM308:DN308"/>
    <mergeCell ref="DM309:DN309"/>
    <mergeCell ref="DM301:DN301"/>
    <mergeCell ref="DM302:DN302"/>
    <mergeCell ref="DM304:DN304"/>
    <mergeCell ref="DM312:DN312"/>
    <mergeCell ref="DM305:DN305"/>
    <mergeCell ref="DM306:DN306"/>
    <mergeCell ref="DM307:DN307"/>
    <mergeCell ref="DM303:DN303"/>
    <mergeCell ref="DM317:DN317"/>
    <mergeCell ref="DM318:DN318"/>
    <mergeCell ref="DM319:DN319"/>
    <mergeCell ref="DM320:DN320"/>
    <mergeCell ref="DM321:DN321"/>
    <mergeCell ref="DM313:DN313"/>
    <mergeCell ref="DM314:DN314"/>
    <mergeCell ref="DM315:DN315"/>
    <mergeCell ref="DM294:DN294"/>
    <mergeCell ref="DM295:DN295"/>
    <mergeCell ref="DM327:DN327"/>
    <mergeCell ref="DM328:DN328"/>
    <mergeCell ref="DM329:DN329"/>
    <mergeCell ref="DM330:DN330"/>
    <mergeCell ref="DM332:DN332"/>
    <mergeCell ref="DM322:DN322"/>
    <mergeCell ref="DM323:DN323"/>
    <mergeCell ref="DM324:DN324"/>
    <mergeCell ref="DM325:DN325"/>
    <mergeCell ref="DM326:DN326"/>
    <mergeCell ref="DM337:DN337"/>
    <mergeCell ref="DM338:DN338"/>
    <mergeCell ref="DM339:DN339"/>
    <mergeCell ref="DM340:DN340"/>
    <mergeCell ref="DM341:DN341"/>
    <mergeCell ref="DM333:DN333"/>
    <mergeCell ref="DM334:DN334"/>
    <mergeCell ref="DM335:DN335"/>
    <mergeCell ref="DM336:DN336"/>
    <mergeCell ref="DM347:DN347"/>
    <mergeCell ref="DM348:DN348"/>
    <mergeCell ref="DM349:DN349"/>
    <mergeCell ref="DM350:DN350"/>
    <mergeCell ref="DM351:DN351"/>
    <mergeCell ref="DM342:DN342"/>
    <mergeCell ref="DM343:DN343"/>
    <mergeCell ref="DM344:DN344"/>
    <mergeCell ref="DM345:DN345"/>
    <mergeCell ref="DM346:DN346"/>
    <mergeCell ref="DM356:DN356"/>
    <mergeCell ref="DM357:DN357"/>
    <mergeCell ref="DM359:DN359"/>
    <mergeCell ref="DM360:DN360"/>
    <mergeCell ref="DM361:DN361"/>
    <mergeCell ref="DM358:DN358"/>
    <mergeCell ref="DM352:DN352"/>
    <mergeCell ref="DM353:DN353"/>
    <mergeCell ref="DM354:DN354"/>
    <mergeCell ref="DM355:DN355"/>
    <mergeCell ref="DM403:DN403"/>
    <mergeCell ref="DM399:DN399"/>
    <mergeCell ref="DM400:DN400"/>
    <mergeCell ref="DM401:DN401"/>
    <mergeCell ref="DM402:DN402"/>
    <mergeCell ref="DM270:DN270"/>
    <mergeCell ref="DM394:DN394"/>
    <mergeCell ref="DM395:DN395"/>
    <mergeCell ref="DM396:DN396"/>
    <mergeCell ref="DM398:DN398"/>
    <mergeCell ref="DM388:DN388"/>
    <mergeCell ref="DM390:DN390"/>
    <mergeCell ref="DM391:DN391"/>
    <mergeCell ref="DM392:DN392"/>
    <mergeCell ref="DM383:DN383"/>
    <mergeCell ref="DM384:DN384"/>
    <mergeCell ref="DM386:DN386"/>
    <mergeCell ref="DM387:DN387"/>
    <mergeCell ref="DM378:DN378"/>
    <mergeCell ref="DM379:DN379"/>
    <mergeCell ref="DM380:DN380"/>
    <mergeCell ref="DM381:DN381"/>
    <mergeCell ref="DM382:DN382"/>
    <mergeCell ref="DM373:DN373"/>
    <mergeCell ref="DM292:DN292"/>
    <mergeCell ref="DM389:DN389"/>
    <mergeCell ref="DM272:DN272"/>
    <mergeCell ref="DM393:DN393"/>
    <mergeCell ref="DM397:DN397"/>
    <mergeCell ref="DM331:DN331"/>
    <mergeCell ref="DM119:DN119"/>
    <mergeCell ref="DM385:DN385"/>
    <mergeCell ref="DM280:DN280"/>
    <mergeCell ref="DM374:DN374"/>
    <mergeCell ref="DM375:DN375"/>
    <mergeCell ref="DM376:DN376"/>
    <mergeCell ref="DM377:DN377"/>
    <mergeCell ref="DM367:DN367"/>
    <mergeCell ref="DM368:DN368"/>
    <mergeCell ref="DM369:DN369"/>
    <mergeCell ref="DM370:DN370"/>
    <mergeCell ref="DM371:DN371"/>
    <mergeCell ref="DM372:DN372"/>
    <mergeCell ref="DM362:DN362"/>
    <mergeCell ref="DM363:DN363"/>
    <mergeCell ref="DM364:DN364"/>
    <mergeCell ref="DM365:DN365"/>
    <mergeCell ref="DM366:DN366"/>
  </mergeCells>
  <conditionalFormatting sqref="S13:S14 H13:H14 H17:H40 S17:S40 H43:H309 S43:S309 H312:H403 S312:S403">
    <cfRule type="expression" dxfId="1" priority="125">
      <formula>AND(MONTH($H13)=$BR$8,YEAR($H13)&lt;$H$9)</formula>
    </cfRule>
  </conditionalFormatting>
  <conditionalFormatting sqref="AX13:AX14 H13:H14 S13:S14 AX17:AX40 H17:H40 S17:S40 H43:H309 AX43:AX309 S43:S309 H312:H403 AX312:AX403 S312:S403">
    <cfRule type="expression" dxfId="0" priority="133">
      <formula>AND(MONTH($H13)=$BR$8,YEAR($H13)&lt;$H$10)</formula>
    </cfRule>
  </conditionalFormatting>
  <dataValidations count="19">
    <dataValidation type="list" allowBlank="1" showInputMessage="1" showErrorMessage="1" sqref="E443 O16:O40 O13:O14 O119 O142:O155 O51:O57 O108:O117 O103:O105 O89:O101 O59:O81 O83:O87 O43:O49 R51 O135:O140 O127:O133 O121:O125 O163:O228 R194 O157:O161 R251:R252 O230:O258 O260:O298 O300:O309">
      <formula1>Empleado</formula1>
    </dataValidation>
    <dataValidation type="list" allowBlank="1" showInputMessage="1" showErrorMessage="1" sqref="Y270 X16:X40 X13:X14 X43:X309 X312:Y403">
      <formula1>"BACHILLER,TSU,UNIVERSITARIO,ESPECIALISTA,MAESTRIA,DOCTOR"</formula1>
    </dataValidation>
    <dataValidation type="list" allowBlank="1" showInputMessage="1" showErrorMessage="1" sqref="O312:O403">
      <formula1>Obrero</formula1>
    </dataValidation>
    <dataValidation type="list" allowBlank="1" showInputMessage="1" showErrorMessage="1" sqref="S312:S403">
      <formula1>TABOBR</formula1>
    </dataValidation>
    <dataValidation type="list" allowBlank="1" showInputMessage="1" showErrorMessage="1" sqref="CA368 CA16 CA53 CA189 CA273 CA265">
      <formula1>CESTAT</formula1>
    </dataValidation>
    <dataValidation type="list" allowBlank="1" showInputMessage="1" showErrorMessage="1" sqref="AP312:AP403 AN16:AN40 AP16:AP40 Z16:Z40 AP13:AP14 Z13:Z14 AN13:AN14 BI38:BJ38 BI127:BJ133 BI121:BJ125 BI136:BJ140 BI142:BJ161 BI51:BJ57 BI83:BJ87 BI59:BJ65 BI67:BJ81 BI89:BJ101 BI103:BJ105 BI43:BJ49 BI108:BJ117 BI119:BJ119 AP43:AP309 Z43:Z309 AN43:AN309 BI163:BJ217 BI218 BI219:BJ228 BI230:BJ258 BI271:BJ309 BI264:BJ269 BI260:BJ262 Z312:Z403 AN312:AN403">
      <formula1>PHIJOS</formula1>
    </dataValidation>
    <dataValidation showDropDown="1" showInputMessage="1" showErrorMessage="1" sqref="AT312:AT403 AT16:AT40 AT13:AT14 AT43:AT309"/>
    <dataValidation type="list" allowBlank="1" showInputMessage="1" showErrorMessage="1" sqref="BC312:BC403 BC16:BC40 BC13:BC14 BC43:BC309">
      <formula1>HORASE</formula1>
    </dataValidation>
    <dataValidation type="list" allowBlank="1" showInputMessage="1" showErrorMessage="1" sqref="BE311:BE403 BE16:BE40 BE13:BE14 BE43:BE309">
      <formula1>DIASDESC</formula1>
    </dataValidation>
    <dataValidation type="list" allowBlank="1" showInputMessage="1" showErrorMessage="1" sqref="AV312:AV403 AV17:AV40 AV13:AV14 AV43:AV309">
      <formula1>BONONOCTURN</formula1>
    </dataValidation>
    <dataValidation type="list" allowBlank="1" showInputMessage="1" showErrorMessage="1" sqref="AR312:AS403 AR16:AS40 AR13:AS14 AR43:AS309">
      <formula1>#REF!</formula1>
    </dataValidation>
    <dataValidation type="list" allowBlank="1" showInputMessage="1" showErrorMessage="1" sqref="A312:A404 A17:A41 A14:A15 A43:A310">
      <formula1>"EMPLEADO,OBRERO,BOMBERO"</formula1>
    </dataValidation>
    <dataValidation type="list" allowBlank="1" showInputMessage="1" showErrorMessage="1" sqref="E312:E403 E16:E40 E13:E14 E43:E309">
      <formula1>NAC</formula1>
    </dataValidation>
    <dataValidation type="list" allowBlank="1" showInputMessage="1" showErrorMessage="1" sqref="G312:G403 G16:G40 G13:G14 H16 G43:G309">
      <formula1>GEN</formula1>
    </dataValidation>
    <dataValidation type="list" allowBlank="1" showInputMessage="1" showErrorMessage="1" sqref="S43:S309">
      <formula1>TABEMP</formula1>
    </dataValidation>
    <dataValidation type="list" allowBlank="1" showInputMessage="1" showErrorMessage="1" sqref="S13:S14 S17:S40">
      <formula1>DIRECTIVOS</formula1>
    </dataValidation>
    <dataValidation type="list" showInputMessage="1" showErrorMessage="1" sqref="BB10">
      <formula1>DIAF</formula1>
    </dataValidation>
    <dataValidation type="list" allowBlank="1" showInputMessage="1" showErrorMessage="1" sqref="F9">
      <formula1>MES</formula1>
    </dataValidation>
    <dataValidation type="list" allowBlank="1" showInputMessage="1" showErrorMessage="1" sqref="A13">
      <formula1>"99,EMPLEADO,OBRERO"</formula1>
    </dataValidation>
  </dataValidations>
  <pageMargins left="0.7" right="0.7" top="0.75" bottom="0.75" header="0.3" footer="0.3"/>
  <pageSetup paperSize="120" scale="1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'CONCEPTOS Y PARAMETROS'!$Y$3:$Y$14</xm:f>
          </x14:formula1>
          <xm:sqref>AX14 AX44:AX278 AX280:AX313 AX316:AX406 AX17:AX38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rgb="FFFFFF00"/>
  </sheetPr>
  <dimension ref="A1:V79"/>
  <sheetViews>
    <sheetView view="pageBreakPreview" zoomScale="57" zoomScaleNormal="70" zoomScaleSheetLayoutView="57" workbookViewId="0">
      <selection activeCell="L19" sqref="L19"/>
    </sheetView>
  </sheetViews>
  <sheetFormatPr baseColWidth="10" defaultRowHeight="15"/>
  <cols>
    <col min="1" max="1" width="6.7109375" style="364" customWidth="1"/>
    <col min="2" max="2" width="20.42578125" style="364" customWidth="1"/>
    <col min="3" max="3" width="16.7109375" style="364" customWidth="1"/>
    <col min="4" max="4" width="20.7109375" style="364" customWidth="1"/>
    <col min="5" max="5" width="13.5703125" style="364" customWidth="1"/>
    <col min="6" max="6" width="18.28515625" style="364" customWidth="1"/>
    <col min="7" max="7" width="12.85546875" style="364" customWidth="1"/>
    <col min="8" max="8" width="21.42578125" style="364" customWidth="1"/>
    <col min="9" max="12" width="13.5703125" style="364" customWidth="1"/>
    <col min="13" max="13" width="15.5703125" style="364" customWidth="1"/>
    <col min="14" max="14" width="18" style="364" customWidth="1"/>
    <col min="15" max="15" width="18.28515625" style="364" customWidth="1"/>
    <col min="16" max="16" width="23.140625" style="364" customWidth="1"/>
    <col min="17" max="17" width="18.28515625" style="364" customWidth="1"/>
    <col min="18" max="18" width="23.140625" style="364" customWidth="1"/>
    <col min="19" max="19" width="20" style="364" customWidth="1"/>
    <col min="20" max="20" width="26.140625" style="364" hidden="1" customWidth="1"/>
    <col min="21" max="21" width="11.42578125" style="364" customWidth="1"/>
    <col min="22" max="22" width="21" style="364" customWidth="1"/>
    <col min="23" max="256" width="11.42578125" style="364"/>
    <col min="257" max="257" width="6.7109375" style="364" customWidth="1"/>
    <col min="258" max="258" width="20.42578125" style="364" customWidth="1"/>
    <col min="259" max="259" width="14.42578125" style="364" customWidth="1"/>
    <col min="260" max="260" width="20.7109375" style="364" customWidth="1"/>
    <col min="261" max="261" width="13.5703125" style="364" customWidth="1"/>
    <col min="262" max="262" width="18.28515625" style="364" customWidth="1"/>
    <col min="263" max="263" width="12.85546875" style="364" customWidth="1"/>
    <col min="264" max="264" width="21.42578125" style="364" customWidth="1"/>
    <col min="265" max="268" width="13.5703125" style="364" customWidth="1"/>
    <col min="269" max="269" width="15.5703125" style="364" customWidth="1"/>
    <col min="270" max="270" width="18" style="364" customWidth="1"/>
    <col min="271" max="271" width="18.28515625" style="364" customWidth="1"/>
    <col min="272" max="272" width="23.140625" style="364" customWidth="1"/>
    <col min="273" max="273" width="18.28515625" style="364" customWidth="1"/>
    <col min="274" max="274" width="23.140625" style="364" customWidth="1"/>
    <col min="275" max="275" width="20" style="364" customWidth="1"/>
    <col min="276" max="276" width="0" style="364" hidden="1" customWidth="1"/>
    <col min="277" max="277" width="11.42578125" style="364" customWidth="1"/>
    <col min="278" max="278" width="21" style="364" customWidth="1"/>
    <col min="279" max="512" width="11.42578125" style="364"/>
    <col min="513" max="513" width="6.7109375" style="364" customWidth="1"/>
    <col min="514" max="514" width="20.42578125" style="364" customWidth="1"/>
    <col min="515" max="515" width="14.42578125" style="364" customWidth="1"/>
    <col min="516" max="516" width="20.7109375" style="364" customWidth="1"/>
    <col min="517" max="517" width="13.5703125" style="364" customWidth="1"/>
    <col min="518" max="518" width="18.28515625" style="364" customWidth="1"/>
    <col min="519" max="519" width="12.85546875" style="364" customWidth="1"/>
    <col min="520" max="520" width="21.42578125" style="364" customWidth="1"/>
    <col min="521" max="524" width="13.5703125" style="364" customWidth="1"/>
    <col min="525" max="525" width="15.5703125" style="364" customWidth="1"/>
    <col min="526" max="526" width="18" style="364" customWidth="1"/>
    <col min="527" max="527" width="18.28515625" style="364" customWidth="1"/>
    <col min="528" max="528" width="23.140625" style="364" customWidth="1"/>
    <col min="529" max="529" width="18.28515625" style="364" customWidth="1"/>
    <col min="530" max="530" width="23.140625" style="364" customWidth="1"/>
    <col min="531" max="531" width="20" style="364" customWidth="1"/>
    <col min="532" max="532" width="0" style="364" hidden="1" customWidth="1"/>
    <col min="533" max="533" width="11.42578125" style="364" customWidth="1"/>
    <col min="534" max="534" width="21" style="364" customWidth="1"/>
    <col min="535" max="768" width="11.42578125" style="364"/>
    <col min="769" max="769" width="6.7109375" style="364" customWidth="1"/>
    <col min="770" max="770" width="20.42578125" style="364" customWidth="1"/>
    <col min="771" max="771" width="14.42578125" style="364" customWidth="1"/>
    <col min="772" max="772" width="20.7109375" style="364" customWidth="1"/>
    <col min="773" max="773" width="13.5703125" style="364" customWidth="1"/>
    <col min="774" max="774" width="18.28515625" style="364" customWidth="1"/>
    <col min="775" max="775" width="12.85546875" style="364" customWidth="1"/>
    <col min="776" max="776" width="21.42578125" style="364" customWidth="1"/>
    <col min="777" max="780" width="13.5703125" style="364" customWidth="1"/>
    <col min="781" max="781" width="15.5703125" style="364" customWidth="1"/>
    <col min="782" max="782" width="18" style="364" customWidth="1"/>
    <col min="783" max="783" width="18.28515625" style="364" customWidth="1"/>
    <col min="784" max="784" width="23.140625" style="364" customWidth="1"/>
    <col min="785" max="785" width="18.28515625" style="364" customWidth="1"/>
    <col min="786" max="786" width="23.140625" style="364" customWidth="1"/>
    <col min="787" max="787" width="20" style="364" customWidth="1"/>
    <col min="788" max="788" width="0" style="364" hidden="1" customWidth="1"/>
    <col min="789" max="789" width="11.42578125" style="364" customWidth="1"/>
    <col min="790" max="790" width="21" style="364" customWidth="1"/>
    <col min="791" max="1024" width="11.42578125" style="364"/>
    <col min="1025" max="1025" width="6.7109375" style="364" customWidth="1"/>
    <col min="1026" max="1026" width="20.42578125" style="364" customWidth="1"/>
    <col min="1027" max="1027" width="14.42578125" style="364" customWidth="1"/>
    <col min="1028" max="1028" width="20.7109375" style="364" customWidth="1"/>
    <col min="1029" max="1029" width="13.5703125" style="364" customWidth="1"/>
    <col min="1030" max="1030" width="18.28515625" style="364" customWidth="1"/>
    <col min="1031" max="1031" width="12.85546875" style="364" customWidth="1"/>
    <col min="1032" max="1032" width="21.42578125" style="364" customWidth="1"/>
    <col min="1033" max="1036" width="13.5703125" style="364" customWidth="1"/>
    <col min="1037" max="1037" width="15.5703125" style="364" customWidth="1"/>
    <col min="1038" max="1038" width="18" style="364" customWidth="1"/>
    <col min="1039" max="1039" width="18.28515625" style="364" customWidth="1"/>
    <col min="1040" max="1040" width="23.140625" style="364" customWidth="1"/>
    <col min="1041" max="1041" width="18.28515625" style="364" customWidth="1"/>
    <col min="1042" max="1042" width="23.140625" style="364" customWidth="1"/>
    <col min="1043" max="1043" width="20" style="364" customWidth="1"/>
    <col min="1044" max="1044" width="0" style="364" hidden="1" customWidth="1"/>
    <col min="1045" max="1045" width="11.42578125" style="364" customWidth="1"/>
    <col min="1046" max="1046" width="21" style="364" customWidth="1"/>
    <col min="1047" max="1280" width="11.42578125" style="364"/>
    <col min="1281" max="1281" width="6.7109375" style="364" customWidth="1"/>
    <col min="1282" max="1282" width="20.42578125" style="364" customWidth="1"/>
    <col min="1283" max="1283" width="14.42578125" style="364" customWidth="1"/>
    <col min="1284" max="1284" width="20.7109375" style="364" customWidth="1"/>
    <col min="1285" max="1285" width="13.5703125" style="364" customWidth="1"/>
    <col min="1286" max="1286" width="18.28515625" style="364" customWidth="1"/>
    <col min="1287" max="1287" width="12.85546875" style="364" customWidth="1"/>
    <col min="1288" max="1288" width="21.42578125" style="364" customWidth="1"/>
    <col min="1289" max="1292" width="13.5703125" style="364" customWidth="1"/>
    <col min="1293" max="1293" width="15.5703125" style="364" customWidth="1"/>
    <col min="1294" max="1294" width="18" style="364" customWidth="1"/>
    <col min="1295" max="1295" width="18.28515625" style="364" customWidth="1"/>
    <col min="1296" max="1296" width="23.140625" style="364" customWidth="1"/>
    <col min="1297" max="1297" width="18.28515625" style="364" customWidth="1"/>
    <col min="1298" max="1298" width="23.140625" style="364" customWidth="1"/>
    <col min="1299" max="1299" width="20" style="364" customWidth="1"/>
    <col min="1300" max="1300" width="0" style="364" hidden="1" customWidth="1"/>
    <col min="1301" max="1301" width="11.42578125" style="364" customWidth="1"/>
    <col min="1302" max="1302" width="21" style="364" customWidth="1"/>
    <col min="1303" max="1536" width="11.42578125" style="364"/>
    <col min="1537" max="1537" width="6.7109375" style="364" customWidth="1"/>
    <col min="1538" max="1538" width="20.42578125" style="364" customWidth="1"/>
    <col min="1539" max="1539" width="14.42578125" style="364" customWidth="1"/>
    <col min="1540" max="1540" width="20.7109375" style="364" customWidth="1"/>
    <col min="1541" max="1541" width="13.5703125" style="364" customWidth="1"/>
    <col min="1542" max="1542" width="18.28515625" style="364" customWidth="1"/>
    <col min="1543" max="1543" width="12.85546875" style="364" customWidth="1"/>
    <col min="1544" max="1544" width="21.42578125" style="364" customWidth="1"/>
    <col min="1545" max="1548" width="13.5703125" style="364" customWidth="1"/>
    <col min="1549" max="1549" width="15.5703125" style="364" customWidth="1"/>
    <col min="1550" max="1550" width="18" style="364" customWidth="1"/>
    <col min="1551" max="1551" width="18.28515625" style="364" customWidth="1"/>
    <col min="1552" max="1552" width="23.140625" style="364" customWidth="1"/>
    <col min="1553" max="1553" width="18.28515625" style="364" customWidth="1"/>
    <col min="1554" max="1554" width="23.140625" style="364" customWidth="1"/>
    <col min="1555" max="1555" width="20" style="364" customWidth="1"/>
    <col min="1556" max="1556" width="0" style="364" hidden="1" customWidth="1"/>
    <col min="1557" max="1557" width="11.42578125" style="364" customWidth="1"/>
    <col min="1558" max="1558" width="21" style="364" customWidth="1"/>
    <col min="1559" max="1792" width="11.42578125" style="364"/>
    <col min="1793" max="1793" width="6.7109375" style="364" customWidth="1"/>
    <col min="1794" max="1794" width="20.42578125" style="364" customWidth="1"/>
    <col min="1795" max="1795" width="14.42578125" style="364" customWidth="1"/>
    <col min="1796" max="1796" width="20.7109375" style="364" customWidth="1"/>
    <col min="1797" max="1797" width="13.5703125" style="364" customWidth="1"/>
    <col min="1798" max="1798" width="18.28515625" style="364" customWidth="1"/>
    <col min="1799" max="1799" width="12.85546875" style="364" customWidth="1"/>
    <col min="1800" max="1800" width="21.42578125" style="364" customWidth="1"/>
    <col min="1801" max="1804" width="13.5703125" style="364" customWidth="1"/>
    <col min="1805" max="1805" width="15.5703125" style="364" customWidth="1"/>
    <col min="1806" max="1806" width="18" style="364" customWidth="1"/>
    <col min="1807" max="1807" width="18.28515625" style="364" customWidth="1"/>
    <col min="1808" max="1808" width="23.140625" style="364" customWidth="1"/>
    <col min="1809" max="1809" width="18.28515625" style="364" customWidth="1"/>
    <col min="1810" max="1810" width="23.140625" style="364" customWidth="1"/>
    <col min="1811" max="1811" width="20" style="364" customWidth="1"/>
    <col min="1812" max="1812" width="0" style="364" hidden="1" customWidth="1"/>
    <col min="1813" max="1813" width="11.42578125" style="364" customWidth="1"/>
    <col min="1814" max="1814" width="21" style="364" customWidth="1"/>
    <col min="1815" max="2048" width="11.42578125" style="364"/>
    <col min="2049" max="2049" width="6.7109375" style="364" customWidth="1"/>
    <col min="2050" max="2050" width="20.42578125" style="364" customWidth="1"/>
    <col min="2051" max="2051" width="14.42578125" style="364" customWidth="1"/>
    <col min="2052" max="2052" width="20.7109375" style="364" customWidth="1"/>
    <col min="2053" max="2053" width="13.5703125" style="364" customWidth="1"/>
    <col min="2054" max="2054" width="18.28515625" style="364" customWidth="1"/>
    <col min="2055" max="2055" width="12.85546875" style="364" customWidth="1"/>
    <col min="2056" max="2056" width="21.42578125" style="364" customWidth="1"/>
    <col min="2057" max="2060" width="13.5703125" style="364" customWidth="1"/>
    <col min="2061" max="2061" width="15.5703125" style="364" customWidth="1"/>
    <col min="2062" max="2062" width="18" style="364" customWidth="1"/>
    <col min="2063" max="2063" width="18.28515625" style="364" customWidth="1"/>
    <col min="2064" max="2064" width="23.140625" style="364" customWidth="1"/>
    <col min="2065" max="2065" width="18.28515625" style="364" customWidth="1"/>
    <col min="2066" max="2066" width="23.140625" style="364" customWidth="1"/>
    <col min="2067" max="2067" width="20" style="364" customWidth="1"/>
    <col min="2068" max="2068" width="0" style="364" hidden="1" customWidth="1"/>
    <col min="2069" max="2069" width="11.42578125" style="364" customWidth="1"/>
    <col min="2070" max="2070" width="21" style="364" customWidth="1"/>
    <col min="2071" max="2304" width="11.42578125" style="364"/>
    <col min="2305" max="2305" width="6.7109375" style="364" customWidth="1"/>
    <col min="2306" max="2306" width="20.42578125" style="364" customWidth="1"/>
    <col min="2307" max="2307" width="14.42578125" style="364" customWidth="1"/>
    <col min="2308" max="2308" width="20.7109375" style="364" customWidth="1"/>
    <col min="2309" max="2309" width="13.5703125" style="364" customWidth="1"/>
    <col min="2310" max="2310" width="18.28515625" style="364" customWidth="1"/>
    <col min="2311" max="2311" width="12.85546875" style="364" customWidth="1"/>
    <col min="2312" max="2312" width="21.42578125" style="364" customWidth="1"/>
    <col min="2313" max="2316" width="13.5703125" style="364" customWidth="1"/>
    <col min="2317" max="2317" width="15.5703125" style="364" customWidth="1"/>
    <col min="2318" max="2318" width="18" style="364" customWidth="1"/>
    <col min="2319" max="2319" width="18.28515625" style="364" customWidth="1"/>
    <col min="2320" max="2320" width="23.140625" style="364" customWidth="1"/>
    <col min="2321" max="2321" width="18.28515625" style="364" customWidth="1"/>
    <col min="2322" max="2322" width="23.140625" style="364" customWidth="1"/>
    <col min="2323" max="2323" width="20" style="364" customWidth="1"/>
    <col min="2324" max="2324" width="0" style="364" hidden="1" customWidth="1"/>
    <col min="2325" max="2325" width="11.42578125" style="364" customWidth="1"/>
    <col min="2326" max="2326" width="21" style="364" customWidth="1"/>
    <col min="2327" max="2560" width="11.42578125" style="364"/>
    <col min="2561" max="2561" width="6.7109375" style="364" customWidth="1"/>
    <col min="2562" max="2562" width="20.42578125" style="364" customWidth="1"/>
    <col min="2563" max="2563" width="14.42578125" style="364" customWidth="1"/>
    <col min="2564" max="2564" width="20.7109375" style="364" customWidth="1"/>
    <col min="2565" max="2565" width="13.5703125" style="364" customWidth="1"/>
    <col min="2566" max="2566" width="18.28515625" style="364" customWidth="1"/>
    <col min="2567" max="2567" width="12.85546875" style="364" customWidth="1"/>
    <col min="2568" max="2568" width="21.42578125" style="364" customWidth="1"/>
    <col min="2569" max="2572" width="13.5703125" style="364" customWidth="1"/>
    <col min="2573" max="2573" width="15.5703125" style="364" customWidth="1"/>
    <col min="2574" max="2574" width="18" style="364" customWidth="1"/>
    <col min="2575" max="2575" width="18.28515625" style="364" customWidth="1"/>
    <col min="2576" max="2576" width="23.140625" style="364" customWidth="1"/>
    <col min="2577" max="2577" width="18.28515625" style="364" customWidth="1"/>
    <col min="2578" max="2578" width="23.140625" style="364" customWidth="1"/>
    <col min="2579" max="2579" width="20" style="364" customWidth="1"/>
    <col min="2580" max="2580" width="0" style="364" hidden="1" customWidth="1"/>
    <col min="2581" max="2581" width="11.42578125" style="364" customWidth="1"/>
    <col min="2582" max="2582" width="21" style="364" customWidth="1"/>
    <col min="2583" max="2816" width="11.42578125" style="364"/>
    <col min="2817" max="2817" width="6.7109375" style="364" customWidth="1"/>
    <col min="2818" max="2818" width="20.42578125" style="364" customWidth="1"/>
    <col min="2819" max="2819" width="14.42578125" style="364" customWidth="1"/>
    <col min="2820" max="2820" width="20.7109375" style="364" customWidth="1"/>
    <col min="2821" max="2821" width="13.5703125" style="364" customWidth="1"/>
    <col min="2822" max="2822" width="18.28515625" style="364" customWidth="1"/>
    <col min="2823" max="2823" width="12.85546875" style="364" customWidth="1"/>
    <col min="2824" max="2824" width="21.42578125" style="364" customWidth="1"/>
    <col min="2825" max="2828" width="13.5703125" style="364" customWidth="1"/>
    <col min="2829" max="2829" width="15.5703125" style="364" customWidth="1"/>
    <col min="2830" max="2830" width="18" style="364" customWidth="1"/>
    <col min="2831" max="2831" width="18.28515625" style="364" customWidth="1"/>
    <col min="2832" max="2832" width="23.140625" style="364" customWidth="1"/>
    <col min="2833" max="2833" width="18.28515625" style="364" customWidth="1"/>
    <col min="2834" max="2834" width="23.140625" style="364" customWidth="1"/>
    <col min="2835" max="2835" width="20" style="364" customWidth="1"/>
    <col min="2836" max="2836" width="0" style="364" hidden="1" customWidth="1"/>
    <col min="2837" max="2837" width="11.42578125" style="364" customWidth="1"/>
    <col min="2838" max="2838" width="21" style="364" customWidth="1"/>
    <col min="2839" max="3072" width="11.42578125" style="364"/>
    <col min="3073" max="3073" width="6.7109375" style="364" customWidth="1"/>
    <col min="3074" max="3074" width="20.42578125" style="364" customWidth="1"/>
    <col min="3075" max="3075" width="14.42578125" style="364" customWidth="1"/>
    <col min="3076" max="3076" width="20.7109375" style="364" customWidth="1"/>
    <col min="3077" max="3077" width="13.5703125" style="364" customWidth="1"/>
    <col min="3078" max="3078" width="18.28515625" style="364" customWidth="1"/>
    <col min="3079" max="3079" width="12.85546875" style="364" customWidth="1"/>
    <col min="3080" max="3080" width="21.42578125" style="364" customWidth="1"/>
    <col min="3081" max="3084" width="13.5703125" style="364" customWidth="1"/>
    <col min="3085" max="3085" width="15.5703125" style="364" customWidth="1"/>
    <col min="3086" max="3086" width="18" style="364" customWidth="1"/>
    <col min="3087" max="3087" width="18.28515625" style="364" customWidth="1"/>
    <col min="3088" max="3088" width="23.140625" style="364" customWidth="1"/>
    <col min="3089" max="3089" width="18.28515625" style="364" customWidth="1"/>
    <col min="3090" max="3090" width="23.140625" style="364" customWidth="1"/>
    <col min="3091" max="3091" width="20" style="364" customWidth="1"/>
    <col min="3092" max="3092" width="0" style="364" hidden="1" customWidth="1"/>
    <col min="3093" max="3093" width="11.42578125" style="364" customWidth="1"/>
    <col min="3094" max="3094" width="21" style="364" customWidth="1"/>
    <col min="3095" max="3328" width="11.42578125" style="364"/>
    <col min="3329" max="3329" width="6.7109375" style="364" customWidth="1"/>
    <col min="3330" max="3330" width="20.42578125" style="364" customWidth="1"/>
    <col min="3331" max="3331" width="14.42578125" style="364" customWidth="1"/>
    <col min="3332" max="3332" width="20.7109375" style="364" customWidth="1"/>
    <col min="3333" max="3333" width="13.5703125" style="364" customWidth="1"/>
    <col min="3334" max="3334" width="18.28515625" style="364" customWidth="1"/>
    <col min="3335" max="3335" width="12.85546875" style="364" customWidth="1"/>
    <col min="3336" max="3336" width="21.42578125" style="364" customWidth="1"/>
    <col min="3337" max="3340" width="13.5703125" style="364" customWidth="1"/>
    <col min="3341" max="3341" width="15.5703125" style="364" customWidth="1"/>
    <col min="3342" max="3342" width="18" style="364" customWidth="1"/>
    <col min="3343" max="3343" width="18.28515625" style="364" customWidth="1"/>
    <col min="3344" max="3344" width="23.140625" style="364" customWidth="1"/>
    <col min="3345" max="3345" width="18.28515625" style="364" customWidth="1"/>
    <col min="3346" max="3346" width="23.140625" style="364" customWidth="1"/>
    <col min="3347" max="3347" width="20" style="364" customWidth="1"/>
    <col min="3348" max="3348" width="0" style="364" hidden="1" customWidth="1"/>
    <col min="3349" max="3349" width="11.42578125" style="364" customWidth="1"/>
    <col min="3350" max="3350" width="21" style="364" customWidth="1"/>
    <col min="3351" max="3584" width="11.42578125" style="364"/>
    <col min="3585" max="3585" width="6.7109375" style="364" customWidth="1"/>
    <col min="3586" max="3586" width="20.42578125" style="364" customWidth="1"/>
    <col min="3587" max="3587" width="14.42578125" style="364" customWidth="1"/>
    <col min="3588" max="3588" width="20.7109375" style="364" customWidth="1"/>
    <col min="3589" max="3589" width="13.5703125" style="364" customWidth="1"/>
    <col min="3590" max="3590" width="18.28515625" style="364" customWidth="1"/>
    <col min="3591" max="3591" width="12.85546875" style="364" customWidth="1"/>
    <col min="3592" max="3592" width="21.42578125" style="364" customWidth="1"/>
    <col min="3593" max="3596" width="13.5703125" style="364" customWidth="1"/>
    <col min="3597" max="3597" width="15.5703125" style="364" customWidth="1"/>
    <col min="3598" max="3598" width="18" style="364" customWidth="1"/>
    <col min="3599" max="3599" width="18.28515625" style="364" customWidth="1"/>
    <col min="3600" max="3600" width="23.140625" style="364" customWidth="1"/>
    <col min="3601" max="3601" width="18.28515625" style="364" customWidth="1"/>
    <col min="3602" max="3602" width="23.140625" style="364" customWidth="1"/>
    <col min="3603" max="3603" width="20" style="364" customWidth="1"/>
    <col min="3604" max="3604" width="0" style="364" hidden="1" customWidth="1"/>
    <col min="3605" max="3605" width="11.42578125" style="364" customWidth="1"/>
    <col min="3606" max="3606" width="21" style="364" customWidth="1"/>
    <col min="3607" max="3840" width="11.42578125" style="364"/>
    <col min="3841" max="3841" width="6.7109375" style="364" customWidth="1"/>
    <col min="3842" max="3842" width="20.42578125" style="364" customWidth="1"/>
    <col min="3843" max="3843" width="14.42578125" style="364" customWidth="1"/>
    <col min="3844" max="3844" width="20.7109375" style="364" customWidth="1"/>
    <col min="3845" max="3845" width="13.5703125" style="364" customWidth="1"/>
    <col min="3846" max="3846" width="18.28515625" style="364" customWidth="1"/>
    <col min="3847" max="3847" width="12.85546875" style="364" customWidth="1"/>
    <col min="3848" max="3848" width="21.42578125" style="364" customWidth="1"/>
    <col min="3849" max="3852" width="13.5703125" style="364" customWidth="1"/>
    <col min="3853" max="3853" width="15.5703125" style="364" customWidth="1"/>
    <col min="3854" max="3854" width="18" style="364" customWidth="1"/>
    <col min="3855" max="3855" width="18.28515625" style="364" customWidth="1"/>
    <col min="3856" max="3856" width="23.140625" style="364" customWidth="1"/>
    <col min="3857" max="3857" width="18.28515625" style="364" customWidth="1"/>
    <col min="3858" max="3858" width="23.140625" style="364" customWidth="1"/>
    <col min="3859" max="3859" width="20" style="364" customWidth="1"/>
    <col min="3860" max="3860" width="0" style="364" hidden="1" customWidth="1"/>
    <col min="3861" max="3861" width="11.42578125" style="364" customWidth="1"/>
    <col min="3862" max="3862" width="21" style="364" customWidth="1"/>
    <col min="3863" max="4096" width="11.42578125" style="364"/>
    <col min="4097" max="4097" width="6.7109375" style="364" customWidth="1"/>
    <col min="4098" max="4098" width="20.42578125" style="364" customWidth="1"/>
    <col min="4099" max="4099" width="14.42578125" style="364" customWidth="1"/>
    <col min="4100" max="4100" width="20.7109375" style="364" customWidth="1"/>
    <col min="4101" max="4101" width="13.5703125" style="364" customWidth="1"/>
    <col min="4102" max="4102" width="18.28515625" style="364" customWidth="1"/>
    <col min="4103" max="4103" width="12.85546875" style="364" customWidth="1"/>
    <col min="4104" max="4104" width="21.42578125" style="364" customWidth="1"/>
    <col min="4105" max="4108" width="13.5703125" style="364" customWidth="1"/>
    <col min="4109" max="4109" width="15.5703125" style="364" customWidth="1"/>
    <col min="4110" max="4110" width="18" style="364" customWidth="1"/>
    <col min="4111" max="4111" width="18.28515625" style="364" customWidth="1"/>
    <col min="4112" max="4112" width="23.140625" style="364" customWidth="1"/>
    <col min="4113" max="4113" width="18.28515625" style="364" customWidth="1"/>
    <col min="4114" max="4114" width="23.140625" style="364" customWidth="1"/>
    <col min="4115" max="4115" width="20" style="364" customWidth="1"/>
    <col min="4116" max="4116" width="0" style="364" hidden="1" customWidth="1"/>
    <col min="4117" max="4117" width="11.42578125" style="364" customWidth="1"/>
    <col min="4118" max="4118" width="21" style="364" customWidth="1"/>
    <col min="4119" max="4352" width="11.42578125" style="364"/>
    <col min="4353" max="4353" width="6.7109375" style="364" customWidth="1"/>
    <col min="4354" max="4354" width="20.42578125" style="364" customWidth="1"/>
    <col min="4355" max="4355" width="14.42578125" style="364" customWidth="1"/>
    <col min="4356" max="4356" width="20.7109375" style="364" customWidth="1"/>
    <col min="4357" max="4357" width="13.5703125" style="364" customWidth="1"/>
    <col min="4358" max="4358" width="18.28515625" style="364" customWidth="1"/>
    <col min="4359" max="4359" width="12.85546875" style="364" customWidth="1"/>
    <col min="4360" max="4360" width="21.42578125" style="364" customWidth="1"/>
    <col min="4361" max="4364" width="13.5703125" style="364" customWidth="1"/>
    <col min="4365" max="4365" width="15.5703125" style="364" customWidth="1"/>
    <col min="4366" max="4366" width="18" style="364" customWidth="1"/>
    <col min="4367" max="4367" width="18.28515625" style="364" customWidth="1"/>
    <col min="4368" max="4368" width="23.140625" style="364" customWidth="1"/>
    <col min="4369" max="4369" width="18.28515625" style="364" customWidth="1"/>
    <col min="4370" max="4370" width="23.140625" style="364" customWidth="1"/>
    <col min="4371" max="4371" width="20" style="364" customWidth="1"/>
    <col min="4372" max="4372" width="0" style="364" hidden="1" customWidth="1"/>
    <col min="4373" max="4373" width="11.42578125" style="364" customWidth="1"/>
    <col min="4374" max="4374" width="21" style="364" customWidth="1"/>
    <col min="4375" max="4608" width="11.42578125" style="364"/>
    <col min="4609" max="4609" width="6.7109375" style="364" customWidth="1"/>
    <col min="4610" max="4610" width="20.42578125" style="364" customWidth="1"/>
    <col min="4611" max="4611" width="14.42578125" style="364" customWidth="1"/>
    <col min="4612" max="4612" width="20.7109375" style="364" customWidth="1"/>
    <col min="4613" max="4613" width="13.5703125" style="364" customWidth="1"/>
    <col min="4614" max="4614" width="18.28515625" style="364" customWidth="1"/>
    <col min="4615" max="4615" width="12.85546875" style="364" customWidth="1"/>
    <col min="4616" max="4616" width="21.42578125" style="364" customWidth="1"/>
    <col min="4617" max="4620" width="13.5703125" style="364" customWidth="1"/>
    <col min="4621" max="4621" width="15.5703125" style="364" customWidth="1"/>
    <col min="4622" max="4622" width="18" style="364" customWidth="1"/>
    <col min="4623" max="4623" width="18.28515625" style="364" customWidth="1"/>
    <col min="4624" max="4624" width="23.140625" style="364" customWidth="1"/>
    <col min="4625" max="4625" width="18.28515625" style="364" customWidth="1"/>
    <col min="4626" max="4626" width="23.140625" style="364" customWidth="1"/>
    <col min="4627" max="4627" width="20" style="364" customWidth="1"/>
    <col min="4628" max="4628" width="0" style="364" hidden="1" customWidth="1"/>
    <col min="4629" max="4629" width="11.42578125" style="364" customWidth="1"/>
    <col min="4630" max="4630" width="21" style="364" customWidth="1"/>
    <col min="4631" max="4864" width="11.42578125" style="364"/>
    <col min="4865" max="4865" width="6.7109375" style="364" customWidth="1"/>
    <col min="4866" max="4866" width="20.42578125" style="364" customWidth="1"/>
    <col min="4867" max="4867" width="14.42578125" style="364" customWidth="1"/>
    <col min="4868" max="4868" width="20.7109375" style="364" customWidth="1"/>
    <col min="4869" max="4869" width="13.5703125" style="364" customWidth="1"/>
    <col min="4870" max="4870" width="18.28515625" style="364" customWidth="1"/>
    <col min="4871" max="4871" width="12.85546875" style="364" customWidth="1"/>
    <col min="4872" max="4872" width="21.42578125" style="364" customWidth="1"/>
    <col min="4873" max="4876" width="13.5703125" style="364" customWidth="1"/>
    <col min="4877" max="4877" width="15.5703125" style="364" customWidth="1"/>
    <col min="4878" max="4878" width="18" style="364" customWidth="1"/>
    <col min="4879" max="4879" width="18.28515625" style="364" customWidth="1"/>
    <col min="4880" max="4880" width="23.140625" style="364" customWidth="1"/>
    <col min="4881" max="4881" width="18.28515625" style="364" customWidth="1"/>
    <col min="4882" max="4882" width="23.140625" style="364" customWidth="1"/>
    <col min="4883" max="4883" width="20" style="364" customWidth="1"/>
    <col min="4884" max="4884" width="0" style="364" hidden="1" customWidth="1"/>
    <col min="4885" max="4885" width="11.42578125" style="364" customWidth="1"/>
    <col min="4886" max="4886" width="21" style="364" customWidth="1"/>
    <col min="4887" max="5120" width="11.42578125" style="364"/>
    <col min="5121" max="5121" width="6.7109375" style="364" customWidth="1"/>
    <col min="5122" max="5122" width="20.42578125" style="364" customWidth="1"/>
    <col min="5123" max="5123" width="14.42578125" style="364" customWidth="1"/>
    <col min="5124" max="5124" width="20.7109375" style="364" customWidth="1"/>
    <col min="5125" max="5125" width="13.5703125" style="364" customWidth="1"/>
    <col min="5126" max="5126" width="18.28515625" style="364" customWidth="1"/>
    <col min="5127" max="5127" width="12.85546875" style="364" customWidth="1"/>
    <col min="5128" max="5128" width="21.42578125" style="364" customWidth="1"/>
    <col min="5129" max="5132" width="13.5703125" style="364" customWidth="1"/>
    <col min="5133" max="5133" width="15.5703125" style="364" customWidth="1"/>
    <col min="5134" max="5134" width="18" style="364" customWidth="1"/>
    <col min="5135" max="5135" width="18.28515625" style="364" customWidth="1"/>
    <col min="5136" max="5136" width="23.140625" style="364" customWidth="1"/>
    <col min="5137" max="5137" width="18.28515625" style="364" customWidth="1"/>
    <col min="5138" max="5138" width="23.140625" style="364" customWidth="1"/>
    <col min="5139" max="5139" width="20" style="364" customWidth="1"/>
    <col min="5140" max="5140" width="0" style="364" hidden="1" customWidth="1"/>
    <col min="5141" max="5141" width="11.42578125" style="364" customWidth="1"/>
    <col min="5142" max="5142" width="21" style="364" customWidth="1"/>
    <col min="5143" max="5376" width="11.42578125" style="364"/>
    <col min="5377" max="5377" width="6.7109375" style="364" customWidth="1"/>
    <col min="5378" max="5378" width="20.42578125" style="364" customWidth="1"/>
    <col min="5379" max="5379" width="14.42578125" style="364" customWidth="1"/>
    <col min="5380" max="5380" width="20.7109375" style="364" customWidth="1"/>
    <col min="5381" max="5381" width="13.5703125" style="364" customWidth="1"/>
    <col min="5382" max="5382" width="18.28515625" style="364" customWidth="1"/>
    <col min="5383" max="5383" width="12.85546875" style="364" customWidth="1"/>
    <col min="5384" max="5384" width="21.42578125" style="364" customWidth="1"/>
    <col min="5385" max="5388" width="13.5703125" style="364" customWidth="1"/>
    <col min="5389" max="5389" width="15.5703125" style="364" customWidth="1"/>
    <col min="5390" max="5390" width="18" style="364" customWidth="1"/>
    <col min="5391" max="5391" width="18.28515625" style="364" customWidth="1"/>
    <col min="5392" max="5392" width="23.140625" style="364" customWidth="1"/>
    <col min="5393" max="5393" width="18.28515625" style="364" customWidth="1"/>
    <col min="5394" max="5394" width="23.140625" style="364" customWidth="1"/>
    <col min="5395" max="5395" width="20" style="364" customWidth="1"/>
    <col min="5396" max="5396" width="0" style="364" hidden="1" customWidth="1"/>
    <col min="5397" max="5397" width="11.42578125" style="364" customWidth="1"/>
    <col min="5398" max="5398" width="21" style="364" customWidth="1"/>
    <col min="5399" max="5632" width="11.42578125" style="364"/>
    <col min="5633" max="5633" width="6.7109375" style="364" customWidth="1"/>
    <col min="5634" max="5634" width="20.42578125" style="364" customWidth="1"/>
    <col min="5635" max="5635" width="14.42578125" style="364" customWidth="1"/>
    <col min="5636" max="5636" width="20.7109375" style="364" customWidth="1"/>
    <col min="5637" max="5637" width="13.5703125" style="364" customWidth="1"/>
    <col min="5638" max="5638" width="18.28515625" style="364" customWidth="1"/>
    <col min="5639" max="5639" width="12.85546875" style="364" customWidth="1"/>
    <col min="5640" max="5640" width="21.42578125" style="364" customWidth="1"/>
    <col min="5641" max="5644" width="13.5703125" style="364" customWidth="1"/>
    <col min="5645" max="5645" width="15.5703125" style="364" customWidth="1"/>
    <col min="5646" max="5646" width="18" style="364" customWidth="1"/>
    <col min="5647" max="5647" width="18.28515625" style="364" customWidth="1"/>
    <col min="5648" max="5648" width="23.140625" style="364" customWidth="1"/>
    <col min="5649" max="5649" width="18.28515625" style="364" customWidth="1"/>
    <col min="5650" max="5650" width="23.140625" style="364" customWidth="1"/>
    <col min="5651" max="5651" width="20" style="364" customWidth="1"/>
    <col min="5652" max="5652" width="0" style="364" hidden="1" customWidth="1"/>
    <col min="5653" max="5653" width="11.42578125" style="364" customWidth="1"/>
    <col min="5654" max="5654" width="21" style="364" customWidth="1"/>
    <col min="5655" max="5888" width="11.42578125" style="364"/>
    <col min="5889" max="5889" width="6.7109375" style="364" customWidth="1"/>
    <col min="5890" max="5890" width="20.42578125" style="364" customWidth="1"/>
    <col min="5891" max="5891" width="14.42578125" style="364" customWidth="1"/>
    <col min="5892" max="5892" width="20.7109375" style="364" customWidth="1"/>
    <col min="5893" max="5893" width="13.5703125" style="364" customWidth="1"/>
    <col min="5894" max="5894" width="18.28515625" style="364" customWidth="1"/>
    <col min="5895" max="5895" width="12.85546875" style="364" customWidth="1"/>
    <col min="5896" max="5896" width="21.42578125" style="364" customWidth="1"/>
    <col min="5897" max="5900" width="13.5703125" style="364" customWidth="1"/>
    <col min="5901" max="5901" width="15.5703125" style="364" customWidth="1"/>
    <col min="5902" max="5902" width="18" style="364" customWidth="1"/>
    <col min="5903" max="5903" width="18.28515625" style="364" customWidth="1"/>
    <col min="5904" max="5904" width="23.140625" style="364" customWidth="1"/>
    <col min="5905" max="5905" width="18.28515625" style="364" customWidth="1"/>
    <col min="5906" max="5906" width="23.140625" style="364" customWidth="1"/>
    <col min="5907" max="5907" width="20" style="364" customWidth="1"/>
    <col min="5908" max="5908" width="0" style="364" hidden="1" customWidth="1"/>
    <col min="5909" max="5909" width="11.42578125" style="364" customWidth="1"/>
    <col min="5910" max="5910" width="21" style="364" customWidth="1"/>
    <col min="5911" max="6144" width="11.42578125" style="364"/>
    <col min="6145" max="6145" width="6.7109375" style="364" customWidth="1"/>
    <col min="6146" max="6146" width="20.42578125" style="364" customWidth="1"/>
    <col min="6147" max="6147" width="14.42578125" style="364" customWidth="1"/>
    <col min="6148" max="6148" width="20.7109375" style="364" customWidth="1"/>
    <col min="6149" max="6149" width="13.5703125" style="364" customWidth="1"/>
    <col min="6150" max="6150" width="18.28515625" style="364" customWidth="1"/>
    <col min="6151" max="6151" width="12.85546875" style="364" customWidth="1"/>
    <col min="6152" max="6152" width="21.42578125" style="364" customWidth="1"/>
    <col min="6153" max="6156" width="13.5703125" style="364" customWidth="1"/>
    <col min="6157" max="6157" width="15.5703125" style="364" customWidth="1"/>
    <col min="6158" max="6158" width="18" style="364" customWidth="1"/>
    <col min="6159" max="6159" width="18.28515625" style="364" customWidth="1"/>
    <col min="6160" max="6160" width="23.140625" style="364" customWidth="1"/>
    <col min="6161" max="6161" width="18.28515625" style="364" customWidth="1"/>
    <col min="6162" max="6162" width="23.140625" style="364" customWidth="1"/>
    <col min="6163" max="6163" width="20" style="364" customWidth="1"/>
    <col min="6164" max="6164" width="0" style="364" hidden="1" customWidth="1"/>
    <col min="6165" max="6165" width="11.42578125" style="364" customWidth="1"/>
    <col min="6166" max="6166" width="21" style="364" customWidth="1"/>
    <col min="6167" max="6400" width="11.42578125" style="364"/>
    <col min="6401" max="6401" width="6.7109375" style="364" customWidth="1"/>
    <col min="6402" max="6402" width="20.42578125" style="364" customWidth="1"/>
    <col min="6403" max="6403" width="14.42578125" style="364" customWidth="1"/>
    <col min="6404" max="6404" width="20.7109375" style="364" customWidth="1"/>
    <col min="6405" max="6405" width="13.5703125" style="364" customWidth="1"/>
    <col min="6406" max="6406" width="18.28515625" style="364" customWidth="1"/>
    <col min="6407" max="6407" width="12.85546875" style="364" customWidth="1"/>
    <col min="6408" max="6408" width="21.42578125" style="364" customWidth="1"/>
    <col min="6409" max="6412" width="13.5703125" style="364" customWidth="1"/>
    <col min="6413" max="6413" width="15.5703125" style="364" customWidth="1"/>
    <col min="6414" max="6414" width="18" style="364" customWidth="1"/>
    <col min="6415" max="6415" width="18.28515625" style="364" customWidth="1"/>
    <col min="6416" max="6416" width="23.140625" style="364" customWidth="1"/>
    <col min="6417" max="6417" width="18.28515625" style="364" customWidth="1"/>
    <col min="6418" max="6418" width="23.140625" style="364" customWidth="1"/>
    <col min="6419" max="6419" width="20" style="364" customWidth="1"/>
    <col min="6420" max="6420" width="0" style="364" hidden="1" customWidth="1"/>
    <col min="6421" max="6421" width="11.42578125" style="364" customWidth="1"/>
    <col min="6422" max="6422" width="21" style="364" customWidth="1"/>
    <col min="6423" max="6656" width="11.42578125" style="364"/>
    <col min="6657" max="6657" width="6.7109375" style="364" customWidth="1"/>
    <col min="6658" max="6658" width="20.42578125" style="364" customWidth="1"/>
    <col min="6659" max="6659" width="14.42578125" style="364" customWidth="1"/>
    <col min="6660" max="6660" width="20.7109375" style="364" customWidth="1"/>
    <col min="6661" max="6661" width="13.5703125" style="364" customWidth="1"/>
    <col min="6662" max="6662" width="18.28515625" style="364" customWidth="1"/>
    <col min="6663" max="6663" width="12.85546875" style="364" customWidth="1"/>
    <col min="6664" max="6664" width="21.42578125" style="364" customWidth="1"/>
    <col min="6665" max="6668" width="13.5703125" style="364" customWidth="1"/>
    <col min="6669" max="6669" width="15.5703125" style="364" customWidth="1"/>
    <col min="6670" max="6670" width="18" style="364" customWidth="1"/>
    <col min="6671" max="6671" width="18.28515625" style="364" customWidth="1"/>
    <col min="6672" max="6672" width="23.140625" style="364" customWidth="1"/>
    <col min="6673" max="6673" width="18.28515625" style="364" customWidth="1"/>
    <col min="6674" max="6674" width="23.140625" style="364" customWidth="1"/>
    <col min="6675" max="6675" width="20" style="364" customWidth="1"/>
    <col min="6676" max="6676" width="0" style="364" hidden="1" customWidth="1"/>
    <col min="6677" max="6677" width="11.42578125" style="364" customWidth="1"/>
    <col min="6678" max="6678" width="21" style="364" customWidth="1"/>
    <col min="6679" max="6912" width="11.42578125" style="364"/>
    <col min="6913" max="6913" width="6.7109375" style="364" customWidth="1"/>
    <col min="6914" max="6914" width="20.42578125" style="364" customWidth="1"/>
    <col min="6915" max="6915" width="14.42578125" style="364" customWidth="1"/>
    <col min="6916" max="6916" width="20.7109375" style="364" customWidth="1"/>
    <col min="6917" max="6917" width="13.5703125" style="364" customWidth="1"/>
    <col min="6918" max="6918" width="18.28515625" style="364" customWidth="1"/>
    <col min="6919" max="6919" width="12.85546875" style="364" customWidth="1"/>
    <col min="6920" max="6920" width="21.42578125" style="364" customWidth="1"/>
    <col min="6921" max="6924" width="13.5703125" style="364" customWidth="1"/>
    <col min="6925" max="6925" width="15.5703125" style="364" customWidth="1"/>
    <col min="6926" max="6926" width="18" style="364" customWidth="1"/>
    <col min="6927" max="6927" width="18.28515625" style="364" customWidth="1"/>
    <col min="6928" max="6928" width="23.140625" style="364" customWidth="1"/>
    <col min="6929" max="6929" width="18.28515625" style="364" customWidth="1"/>
    <col min="6930" max="6930" width="23.140625" style="364" customWidth="1"/>
    <col min="6931" max="6931" width="20" style="364" customWidth="1"/>
    <col min="6932" max="6932" width="0" style="364" hidden="1" customWidth="1"/>
    <col min="6933" max="6933" width="11.42578125" style="364" customWidth="1"/>
    <col min="6934" max="6934" width="21" style="364" customWidth="1"/>
    <col min="6935" max="7168" width="11.42578125" style="364"/>
    <col min="7169" max="7169" width="6.7109375" style="364" customWidth="1"/>
    <col min="7170" max="7170" width="20.42578125" style="364" customWidth="1"/>
    <col min="7171" max="7171" width="14.42578125" style="364" customWidth="1"/>
    <col min="7172" max="7172" width="20.7109375" style="364" customWidth="1"/>
    <col min="7173" max="7173" width="13.5703125" style="364" customWidth="1"/>
    <col min="7174" max="7174" width="18.28515625" style="364" customWidth="1"/>
    <col min="7175" max="7175" width="12.85546875" style="364" customWidth="1"/>
    <col min="7176" max="7176" width="21.42578125" style="364" customWidth="1"/>
    <col min="7177" max="7180" width="13.5703125" style="364" customWidth="1"/>
    <col min="7181" max="7181" width="15.5703125" style="364" customWidth="1"/>
    <col min="7182" max="7182" width="18" style="364" customWidth="1"/>
    <col min="7183" max="7183" width="18.28515625" style="364" customWidth="1"/>
    <col min="7184" max="7184" width="23.140625" style="364" customWidth="1"/>
    <col min="7185" max="7185" width="18.28515625" style="364" customWidth="1"/>
    <col min="7186" max="7186" width="23.140625" style="364" customWidth="1"/>
    <col min="7187" max="7187" width="20" style="364" customWidth="1"/>
    <col min="7188" max="7188" width="0" style="364" hidden="1" customWidth="1"/>
    <col min="7189" max="7189" width="11.42578125" style="364" customWidth="1"/>
    <col min="7190" max="7190" width="21" style="364" customWidth="1"/>
    <col min="7191" max="7424" width="11.42578125" style="364"/>
    <col min="7425" max="7425" width="6.7109375" style="364" customWidth="1"/>
    <col min="7426" max="7426" width="20.42578125" style="364" customWidth="1"/>
    <col min="7427" max="7427" width="14.42578125" style="364" customWidth="1"/>
    <col min="7428" max="7428" width="20.7109375" style="364" customWidth="1"/>
    <col min="7429" max="7429" width="13.5703125" style="364" customWidth="1"/>
    <col min="7430" max="7430" width="18.28515625" style="364" customWidth="1"/>
    <col min="7431" max="7431" width="12.85546875" style="364" customWidth="1"/>
    <col min="7432" max="7432" width="21.42578125" style="364" customWidth="1"/>
    <col min="7433" max="7436" width="13.5703125" style="364" customWidth="1"/>
    <col min="7437" max="7437" width="15.5703125" style="364" customWidth="1"/>
    <col min="7438" max="7438" width="18" style="364" customWidth="1"/>
    <col min="7439" max="7439" width="18.28515625" style="364" customWidth="1"/>
    <col min="7440" max="7440" width="23.140625" style="364" customWidth="1"/>
    <col min="7441" max="7441" width="18.28515625" style="364" customWidth="1"/>
    <col min="7442" max="7442" width="23.140625" style="364" customWidth="1"/>
    <col min="7443" max="7443" width="20" style="364" customWidth="1"/>
    <col min="7444" max="7444" width="0" style="364" hidden="1" customWidth="1"/>
    <col min="7445" max="7445" width="11.42578125" style="364" customWidth="1"/>
    <col min="7446" max="7446" width="21" style="364" customWidth="1"/>
    <col min="7447" max="7680" width="11.42578125" style="364"/>
    <col min="7681" max="7681" width="6.7109375" style="364" customWidth="1"/>
    <col min="7682" max="7682" width="20.42578125" style="364" customWidth="1"/>
    <col min="7683" max="7683" width="14.42578125" style="364" customWidth="1"/>
    <col min="7684" max="7684" width="20.7109375" style="364" customWidth="1"/>
    <col min="7685" max="7685" width="13.5703125" style="364" customWidth="1"/>
    <col min="7686" max="7686" width="18.28515625" style="364" customWidth="1"/>
    <col min="7687" max="7687" width="12.85546875" style="364" customWidth="1"/>
    <col min="7688" max="7688" width="21.42578125" style="364" customWidth="1"/>
    <col min="7689" max="7692" width="13.5703125" style="364" customWidth="1"/>
    <col min="7693" max="7693" width="15.5703125" style="364" customWidth="1"/>
    <col min="7694" max="7694" width="18" style="364" customWidth="1"/>
    <col min="7695" max="7695" width="18.28515625" style="364" customWidth="1"/>
    <col min="7696" max="7696" width="23.140625" style="364" customWidth="1"/>
    <col min="7697" max="7697" width="18.28515625" style="364" customWidth="1"/>
    <col min="7698" max="7698" width="23.140625" style="364" customWidth="1"/>
    <col min="7699" max="7699" width="20" style="364" customWidth="1"/>
    <col min="7700" max="7700" width="0" style="364" hidden="1" customWidth="1"/>
    <col min="7701" max="7701" width="11.42578125" style="364" customWidth="1"/>
    <col min="7702" max="7702" width="21" style="364" customWidth="1"/>
    <col min="7703" max="7936" width="11.42578125" style="364"/>
    <col min="7937" max="7937" width="6.7109375" style="364" customWidth="1"/>
    <col min="7938" max="7938" width="20.42578125" style="364" customWidth="1"/>
    <col min="7939" max="7939" width="14.42578125" style="364" customWidth="1"/>
    <col min="7940" max="7940" width="20.7109375" style="364" customWidth="1"/>
    <col min="7941" max="7941" width="13.5703125" style="364" customWidth="1"/>
    <col min="7942" max="7942" width="18.28515625" style="364" customWidth="1"/>
    <col min="7943" max="7943" width="12.85546875" style="364" customWidth="1"/>
    <col min="7944" max="7944" width="21.42578125" style="364" customWidth="1"/>
    <col min="7945" max="7948" width="13.5703125" style="364" customWidth="1"/>
    <col min="7949" max="7949" width="15.5703125" style="364" customWidth="1"/>
    <col min="7950" max="7950" width="18" style="364" customWidth="1"/>
    <col min="7951" max="7951" width="18.28515625" style="364" customWidth="1"/>
    <col min="7952" max="7952" width="23.140625" style="364" customWidth="1"/>
    <col min="7953" max="7953" width="18.28515625" style="364" customWidth="1"/>
    <col min="7954" max="7954" width="23.140625" style="364" customWidth="1"/>
    <col min="7955" max="7955" width="20" style="364" customWidth="1"/>
    <col min="7956" max="7956" width="0" style="364" hidden="1" customWidth="1"/>
    <col min="7957" max="7957" width="11.42578125" style="364" customWidth="1"/>
    <col min="7958" max="7958" width="21" style="364" customWidth="1"/>
    <col min="7959" max="8192" width="11.42578125" style="364"/>
    <col min="8193" max="8193" width="6.7109375" style="364" customWidth="1"/>
    <col min="8194" max="8194" width="20.42578125" style="364" customWidth="1"/>
    <col min="8195" max="8195" width="14.42578125" style="364" customWidth="1"/>
    <col min="8196" max="8196" width="20.7109375" style="364" customWidth="1"/>
    <col min="8197" max="8197" width="13.5703125" style="364" customWidth="1"/>
    <col min="8198" max="8198" width="18.28515625" style="364" customWidth="1"/>
    <col min="8199" max="8199" width="12.85546875" style="364" customWidth="1"/>
    <col min="8200" max="8200" width="21.42578125" style="364" customWidth="1"/>
    <col min="8201" max="8204" width="13.5703125" style="364" customWidth="1"/>
    <col min="8205" max="8205" width="15.5703125" style="364" customWidth="1"/>
    <col min="8206" max="8206" width="18" style="364" customWidth="1"/>
    <col min="8207" max="8207" width="18.28515625" style="364" customWidth="1"/>
    <col min="8208" max="8208" width="23.140625" style="364" customWidth="1"/>
    <col min="8209" max="8209" width="18.28515625" style="364" customWidth="1"/>
    <col min="8210" max="8210" width="23.140625" style="364" customWidth="1"/>
    <col min="8211" max="8211" width="20" style="364" customWidth="1"/>
    <col min="8212" max="8212" width="0" style="364" hidden="1" customWidth="1"/>
    <col min="8213" max="8213" width="11.42578125" style="364" customWidth="1"/>
    <col min="8214" max="8214" width="21" style="364" customWidth="1"/>
    <col min="8215" max="8448" width="11.42578125" style="364"/>
    <col min="8449" max="8449" width="6.7109375" style="364" customWidth="1"/>
    <col min="8450" max="8450" width="20.42578125" style="364" customWidth="1"/>
    <col min="8451" max="8451" width="14.42578125" style="364" customWidth="1"/>
    <col min="8452" max="8452" width="20.7109375" style="364" customWidth="1"/>
    <col min="8453" max="8453" width="13.5703125" style="364" customWidth="1"/>
    <col min="8454" max="8454" width="18.28515625" style="364" customWidth="1"/>
    <col min="8455" max="8455" width="12.85546875" style="364" customWidth="1"/>
    <col min="8456" max="8456" width="21.42578125" style="364" customWidth="1"/>
    <col min="8457" max="8460" width="13.5703125" style="364" customWidth="1"/>
    <col min="8461" max="8461" width="15.5703125" style="364" customWidth="1"/>
    <col min="8462" max="8462" width="18" style="364" customWidth="1"/>
    <col min="8463" max="8463" width="18.28515625" style="364" customWidth="1"/>
    <col min="8464" max="8464" width="23.140625" style="364" customWidth="1"/>
    <col min="8465" max="8465" width="18.28515625" style="364" customWidth="1"/>
    <col min="8466" max="8466" width="23.140625" style="364" customWidth="1"/>
    <col min="8467" max="8467" width="20" style="364" customWidth="1"/>
    <col min="8468" max="8468" width="0" style="364" hidden="1" customWidth="1"/>
    <col min="8469" max="8469" width="11.42578125" style="364" customWidth="1"/>
    <col min="8470" max="8470" width="21" style="364" customWidth="1"/>
    <col min="8471" max="8704" width="11.42578125" style="364"/>
    <col min="8705" max="8705" width="6.7109375" style="364" customWidth="1"/>
    <col min="8706" max="8706" width="20.42578125" style="364" customWidth="1"/>
    <col min="8707" max="8707" width="14.42578125" style="364" customWidth="1"/>
    <col min="8708" max="8708" width="20.7109375" style="364" customWidth="1"/>
    <col min="8709" max="8709" width="13.5703125" style="364" customWidth="1"/>
    <col min="8710" max="8710" width="18.28515625" style="364" customWidth="1"/>
    <col min="8711" max="8711" width="12.85546875" style="364" customWidth="1"/>
    <col min="8712" max="8712" width="21.42578125" style="364" customWidth="1"/>
    <col min="8713" max="8716" width="13.5703125" style="364" customWidth="1"/>
    <col min="8717" max="8717" width="15.5703125" style="364" customWidth="1"/>
    <col min="8718" max="8718" width="18" style="364" customWidth="1"/>
    <col min="8719" max="8719" width="18.28515625" style="364" customWidth="1"/>
    <col min="8720" max="8720" width="23.140625" style="364" customWidth="1"/>
    <col min="8721" max="8721" width="18.28515625" style="364" customWidth="1"/>
    <col min="8722" max="8722" width="23.140625" style="364" customWidth="1"/>
    <col min="8723" max="8723" width="20" style="364" customWidth="1"/>
    <col min="8724" max="8724" width="0" style="364" hidden="1" customWidth="1"/>
    <col min="8725" max="8725" width="11.42578125" style="364" customWidth="1"/>
    <col min="8726" max="8726" width="21" style="364" customWidth="1"/>
    <col min="8727" max="8960" width="11.42578125" style="364"/>
    <col min="8961" max="8961" width="6.7109375" style="364" customWidth="1"/>
    <col min="8962" max="8962" width="20.42578125" style="364" customWidth="1"/>
    <col min="8963" max="8963" width="14.42578125" style="364" customWidth="1"/>
    <col min="8964" max="8964" width="20.7109375" style="364" customWidth="1"/>
    <col min="8965" max="8965" width="13.5703125" style="364" customWidth="1"/>
    <col min="8966" max="8966" width="18.28515625" style="364" customWidth="1"/>
    <col min="8967" max="8967" width="12.85546875" style="364" customWidth="1"/>
    <col min="8968" max="8968" width="21.42578125" style="364" customWidth="1"/>
    <col min="8969" max="8972" width="13.5703125" style="364" customWidth="1"/>
    <col min="8973" max="8973" width="15.5703125" style="364" customWidth="1"/>
    <col min="8974" max="8974" width="18" style="364" customWidth="1"/>
    <col min="8975" max="8975" width="18.28515625" style="364" customWidth="1"/>
    <col min="8976" max="8976" width="23.140625" style="364" customWidth="1"/>
    <col min="8977" max="8977" width="18.28515625" style="364" customWidth="1"/>
    <col min="8978" max="8978" width="23.140625" style="364" customWidth="1"/>
    <col min="8979" max="8979" width="20" style="364" customWidth="1"/>
    <col min="8980" max="8980" width="0" style="364" hidden="1" customWidth="1"/>
    <col min="8981" max="8981" width="11.42578125" style="364" customWidth="1"/>
    <col min="8982" max="8982" width="21" style="364" customWidth="1"/>
    <col min="8983" max="9216" width="11.42578125" style="364"/>
    <col min="9217" max="9217" width="6.7109375" style="364" customWidth="1"/>
    <col min="9218" max="9218" width="20.42578125" style="364" customWidth="1"/>
    <col min="9219" max="9219" width="14.42578125" style="364" customWidth="1"/>
    <col min="9220" max="9220" width="20.7109375" style="364" customWidth="1"/>
    <col min="9221" max="9221" width="13.5703125" style="364" customWidth="1"/>
    <col min="9222" max="9222" width="18.28515625" style="364" customWidth="1"/>
    <col min="9223" max="9223" width="12.85546875" style="364" customWidth="1"/>
    <col min="9224" max="9224" width="21.42578125" style="364" customWidth="1"/>
    <col min="9225" max="9228" width="13.5703125" style="364" customWidth="1"/>
    <col min="9229" max="9229" width="15.5703125" style="364" customWidth="1"/>
    <col min="9230" max="9230" width="18" style="364" customWidth="1"/>
    <col min="9231" max="9231" width="18.28515625" style="364" customWidth="1"/>
    <col min="9232" max="9232" width="23.140625" style="364" customWidth="1"/>
    <col min="9233" max="9233" width="18.28515625" style="364" customWidth="1"/>
    <col min="9234" max="9234" width="23.140625" style="364" customWidth="1"/>
    <col min="9235" max="9235" width="20" style="364" customWidth="1"/>
    <col min="9236" max="9236" width="0" style="364" hidden="1" customWidth="1"/>
    <col min="9237" max="9237" width="11.42578125" style="364" customWidth="1"/>
    <col min="9238" max="9238" width="21" style="364" customWidth="1"/>
    <col min="9239" max="9472" width="11.42578125" style="364"/>
    <col min="9473" max="9473" width="6.7109375" style="364" customWidth="1"/>
    <col min="9474" max="9474" width="20.42578125" style="364" customWidth="1"/>
    <col min="9475" max="9475" width="14.42578125" style="364" customWidth="1"/>
    <col min="9476" max="9476" width="20.7109375" style="364" customWidth="1"/>
    <col min="9477" max="9477" width="13.5703125" style="364" customWidth="1"/>
    <col min="9478" max="9478" width="18.28515625" style="364" customWidth="1"/>
    <col min="9479" max="9479" width="12.85546875" style="364" customWidth="1"/>
    <col min="9480" max="9480" width="21.42578125" style="364" customWidth="1"/>
    <col min="9481" max="9484" width="13.5703125" style="364" customWidth="1"/>
    <col min="9485" max="9485" width="15.5703125" style="364" customWidth="1"/>
    <col min="9486" max="9486" width="18" style="364" customWidth="1"/>
    <col min="9487" max="9487" width="18.28515625" style="364" customWidth="1"/>
    <col min="9488" max="9488" width="23.140625" style="364" customWidth="1"/>
    <col min="9489" max="9489" width="18.28515625" style="364" customWidth="1"/>
    <col min="9490" max="9490" width="23.140625" style="364" customWidth="1"/>
    <col min="9491" max="9491" width="20" style="364" customWidth="1"/>
    <col min="9492" max="9492" width="0" style="364" hidden="1" customWidth="1"/>
    <col min="9493" max="9493" width="11.42578125" style="364" customWidth="1"/>
    <col min="9494" max="9494" width="21" style="364" customWidth="1"/>
    <col min="9495" max="9728" width="11.42578125" style="364"/>
    <col min="9729" max="9729" width="6.7109375" style="364" customWidth="1"/>
    <col min="9730" max="9730" width="20.42578125" style="364" customWidth="1"/>
    <col min="9731" max="9731" width="14.42578125" style="364" customWidth="1"/>
    <col min="9732" max="9732" width="20.7109375" style="364" customWidth="1"/>
    <col min="9733" max="9733" width="13.5703125" style="364" customWidth="1"/>
    <col min="9734" max="9734" width="18.28515625" style="364" customWidth="1"/>
    <col min="9735" max="9735" width="12.85546875" style="364" customWidth="1"/>
    <col min="9736" max="9736" width="21.42578125" style="364" customWidth="1"/>
    <col min="9737" max="9740" width="13.5703125" style="364" customWidth="1"/>
    <col min="9741" max="9741" width="15.5703125" style="364" customWidth="1"/>
    <col min="9742" max="9742" width="18" style="364" customWidth="1"/>
    <col min="9743" max="9743" width="18.28515625" style="364" customWidth="1"/>
    <col min="9744" max="9744" width="23.140625" style="364" customWidth="1"/>
    <col min="9745" max="9745" width="18.28515625" style="364" customWidth="1"/>
    <col min="9746" max="9746" width="23.140625" style="364" customWidth="1"/>
    <col min="9747" max="9747" width="20" style="364" customWidth="1"/>
    <col min="9748" max="9748" width="0" style="364" hidden="1" customWidth="1"/>
    <col min="9749" max="9749" width="11.42578125" style="364" customWidth="1"/>
    <col min="9750" max="9750" width="21" style="364" customWidth="1"/>
    <col min="9751" max="9984" width="11.42578125" style="364"/>
    <col min="9985" max="9985" width="6.7109375" style="364" customWidth="1"/>
    <col min="9986" max="9986" width="20.42578125" style="364" customWidth="1"/>
    <col min="9987" max="9987" width="14.42578125" style="364" customWidth="1"/>
    <col min="9988" max="9988" width="20.7109375" style="364" customWidth="1"/>
    <col min="9989" max="9989" width="13.5703125" style="364" customWidth="1"/>
    <col min="9990" max="9990" width="18.28515625" style="364" customWidth="1"/>
    <col min="9991" max="9991" width="12.85546875" style="364" customWidth="1"/>
    <col min="9992" max="9992" width="21.42578125" style="364" customWidth="1"/>
    <col min="9993" max="9996" width="13.5703125" style="364" customWidth="1"/>
    <col min="9997" max="9997" width="15.5703125" style="364" customWidth="1"/>
    <col min="9998" max="9998" width="18" style="364" customWidth="1"/>
    <col min="9999" max="9999" width="18.28515625" style="364" customWidth="1"/>
    <col min="10000" max="10000" width="23.140625" style="364" customWidth="1"/>
    <col min="10001" max="10001" width="18.28515625" style="364" customWidth="1"/>
    <col min="10002" max="10002" width="23.140625" style="364" customWidth="1"/>
    <col min="10003" max="10003" width="20" style="364" customWidth="1"/>
    <col min="10004" max="10004" width="0" style="364" hidden="1" customWidth="1"/>
    <col min="10005" max="10005" width="11.42578125" style="364" customWidth="1"/>
    <col min="10006" max="10006" width="21" style="364" customWidth="1"/>
    <col min="10007" max="10240" width="11.42578125" style="364"/>
    <col min="10241" max="10241" width="6.7109375" style="364" customWidth="1"/>
    <col min="10242" max="10242" width="20.42578125" style="364" customWidth="1"/>
    <col min="10243" max="10243" width="14.42578125" style="364" customWidth="1"/>
    <col min="10244" max="10244" width="20.7109375" style="364" customWidth="1"/>
    <col min="10245" max="10245" width="13.5703125" style="364" customWidth="1"/>
    <col min="10246" max="10246" width="18.28515625" style="364" customWidth="1"/>
    <col min="10247" max="10247" width="12.85546875" style="364" customWidth="1"/>
    <col min="10248" max="10248" width="21.42578125" style="364" customWidth="1"/>
    <col min="10249" max="10252" width="13.5703125" style="364" customWidth="1"/>
    <col min="10253" max="10253" width="15.5703125" style="364" customWidth="1"/>
    <col min="10254" max="10254" width="18" style="364" customWidth="1"/>
    <col min="10255" max="10255" width="18.28515625" style="364" customWidth="1"/>
    <col min="10256" max="10256" width="23.140625" style="364" customWidth="1"/>
    <col min="10257" max="10257" width="18.28515625" style="364" customWidth="1"/>
    <col min="10258" max="10258" width="23.140625" style="364" customWidth="1"/>
    <col min="10259" max="10259" width="20" style="364" customWidth="1"/>
    <col min="10260" max="10260" width="0" style="364" hidden="1" customWidth="1"/>
    <col min="10261" max="10261" width="11.42578125" style="364" customWidth="1"/>
    <col min="10262" max="10262" width="21" style="364" customWidth="1"/>
    <col min="10263" max="10496" width="11.42578125" style="364"/>
    <col min="10497" max="10497" width="6.7109375" style="364" customWidth="1"/>
    <col min="10498" max="10498" width="20.42578125" style="364" customWidth="1"/>
    <col min="10499" max="10499" width="14.42578125" style="364" customWidth="1"/>
    <col min="10500" max="10500" width="20.7109375" style="364" customWidth="1"/>
    <col min="10501" max="10501" width="13.5703125" style="364" customWidth="1"/>
    <col min="10502" max="10502" width="18.28515625" style="364" customWidth="1"/>
    <col min="10503" max="10503" width="12.85546875" style="364" customWidth="1"/>
    <col min="10504" max="10504" width="21.42578125" style="364" customWidth="1"/>
    <col min="10505" max="10508" width="13.5703125" style="364" customWidth="1"/>
    <col min="10509" max="10509" width="15.5703125" style="364" customWidth="1"/>
    <col min="10510" max="10510" width="18" style="364" customWidth="1"/>
    <col min="10511" max="10511" width="18.28515625" style="364" customWidth="1"/>
    <col min="10512" max="10512" width="23.140625" style="364" customWidth="1"/>
    <col min="10513" max="10513" width="18.28515625" style="364" customWidth="1"/>
    <col min="10514" max="10514" width="23.140625" style="364" customWidth="1"/>
    <col min="10515" max="10515" width="20" style="364" customWidth="1"/>
    <col min="10516" max="10516" width="0" style="364" hidden="1" customWidth="1"/>
    <col min="10517" max="10517" width="11.42578125" style="364" customWidth="1"/>
    <col min="10518" max="10518" width="21" style="364" customWidth="1"/>
    <col min="10519" max="10752" width="11.42578125" style="364"/>
    <col min="10753" max="10753" width="6.7109375" style="364" customWidth="1"/>
    <col min="10754" max="10754" width="20.42578125" style="364" customWidth="1"/>
    <col min="10755" max="10755" width="14.42578125" style="364" customWidth="1"/>
    <col min="10756" max="10756" width="20.7109375" style="364" customWidth="1"/>
    <col min="10757" max="10757" width="13.5703125" style="364" customWidth="1"/>
    <col min="10758" max="10758" width="18.28515625" style="364" customWidth="1"/>
    <col min="10759" max="10759" width="12.85546875" style="364" customWidth="1"/>
    <col min="10760" max="10760" width="21.42578125" style="364" customWidth="1"/>
    <col min="10761" max="10764" width="13.5703125" style="364" customWidth="1"/>
    <col min="10765" max="10765" width="15.5703125" style="364" customWidth="1"/>
    <col min="10766" max="10766" width="18" style="364" customWidth="1"/>
    <col min="10767" max="10767" width="18.28515625" style="364" customWidth="1"/>
    <col min="10768" max="10768" width="23.140625" style="364" customWidth="1"/>
    <col min="10769" max="10769" width="18.28515625" style="364" customWidth="1"/>
    <col min="10770" max="10770" width="23.140625" style="364" customWidth="1"/>
    <col min="10771" max="10771" width="20" style="364" customWidth="1"/>
    <col min="10772" max="10772" width="0" style="364" hidden="1" customWidth="1"/>
    <col min="10773" max="10773" width="11.42578125" style="364" customWidth="1"/>
    <col min="10774" max="10774" width="21" style="364" customWidth="1"/>
    <col min="10775" max="11008" width="11.42578125" style="364"/>
    <col min="11009" max="11009" width="6.7109375" style="364" customWidth="1"/>
    <col min="11010" max="11010" width="20.42578125" style="364" customWidth="1"/>
    <col min="11011" max="11011" width="14.42578125" style="364" customWidth="1"/>
    <col min="11012" max="11012" width="20.7109375" style="364" customWidth="1"/>
    <col min="11013" max="11013" width="13.5703125" style="364" customWidth="1"/>
    <col min="11014" max="11014" width="18.28515625" style="364" customWidth="1"/>
    <col min="11015" max="11015" width="12.85546875" style="364" customWidth="1"/>
    <col min="11016" max="11016" width="21.42578125" style="364" customWidth="1"/>
    <col min="11017" max="11020" width="13.5703125" style="364" customWidth="1"/>
    <col min="11021" max="11021" width="15.5703125" style="364" customWidth="1"/>
    <col min="11022" max="11022" width="18" style="364" customWidth="1"/>
    <col min="11023" max="11023" width="18.28515625" style="364" customWidth="1"/>
    <col min="11024" max="11024" width="23.140625" style="364" customWidth="1"/>
    <col min="11025" max="11025" width="18.28515625" style="364" customWidth="1"/>
    <col min="11026" max="11026" width="23.140625" style="364" customWidth="1"/>
    <col min="11027" max="11027" width="20" style="364" customWidth="1"/>
    <col min="11028" max="11028" width="0" style="364" hidden="1" customWidth="1"/>
    <col min="11029" max="11029" width="11.42578125" style="364" customWidth="1"/>
    <col min="11030" max="11030" width="21" style="364" customWidth="1"/>
    <col min="11031" max="11264" width="11.42578125" style="364"/>
    <col min="11265" max="11265" width="6.7109375" style="364" customWidth="1"/>
    <col min="11266" max="11266" width="20.42578125" style="364" customWidth="1"/>
    <col min="11267" max="11267" width="14.42578125" style="364" customWidth="1"/>
    <col min="11268" max="11268" width="20.7109375" style="364" customWidth="1"/>
    <col min="11269" max="11269" width="13.5703125" style="364" customWidth="1"/>
    <col min="11270" max="11270" width="18.28515625" style="364" customWidth="1"/>
    <col min="11271" max="11271" width="12.85546875" style="364" customWidth="1"/>
    <col min="11272" max="11272" width="21.42578125" style="364" customWidth="1"/>
    <col min="11273" max="11276" width="13.5703125" style="364" customWidth="1"/>
    <col min="11277" max="11277" width="15.5703125" style="364" customWidth="1"/>
    <col min="11278" max="11278" width="18" style="364" customWidth="1"/>
    <col min="11279" max="11279" width="18.28515625" style="364" customWidth="1"/>
    <col min="11280" max="11280" width="23.140625" style="364" customWidth="1"/>
    <col min="11281" max="11281" width="18.28515625" style="364" customWidth="1"/>
    <col min="11282" max="11282" width="23.140625" style="364" customWidth="1"/>
    <col min="11283" max="11283" width="20" style="364" customWidth="1"/>
    <col min="11284" max="11284" width="0" style="364" hidden="1" customWidth="1"/>
    <col min="11285" max="11285" width="11.42578125" style="364" customWidth="1"/>
    <col min="11286" max="11286" width="21" style="364" customWidth="1"/>
    <col min="11287" max="11520" width="11.42578125" style="364"/>
    <col min="11521" max="11521" width="6.7109375" style="364" customWidth="1"/>
    <col min="11522" max="11522" width="20.42578125" style="364" customWidth="1"/>
    <col min="11523" max="11523" width="14.42578125" style="364" customWidth="1"/>
    <col min="11524" max="11524" width="20.7109375" style="364" customWidth="1"/>
    <col min="11525" max="11525" width="13.5703125" style="364" customWidth="1"/>
    <col min="11526" max="11526" width="18.28515625" style="364" customWidth="1"/>
    <col min="11527" max="11527" width="12.85546875" style="364" customWidth="1"/>
    <col min="11528" max="11528" width="21.42578125" style="364" customWidth="1"/>
    <col min="11529" max="11532" width="13.5703125" style="364" customWidth="1"/>
    <col min="11533" max="11533" width="15.5703125" style="364" customWidth="1"/>
    <col min="11534" max="11534" width="18" style="364" customWidth="1"/>
    <col min="11535" max="11535" width="18.28515625" style="364" customWidth="1"/>
    <col min="11536" max="11536" width="23.140625" style="364" customWidth="1"/>
    <col min="11537" max="11537" width="18.28515625" style="364" customWidth="1"/>
    <col min="11538" max="11538" width="23.140625" style="364" customWidth="1"/>
    <col min="11539" max="11539" width="20" style="364" customWidth="1"/>
    <col min="11540" max="11540" width="0" style="364" hidden="1" customWidth="1"/>
    <col min="11541" max="11541" width="11.42578125" style="364" customWidth="1"/>
    <col min="11542" max="11542" width="21" style="364" customWidth="1"/>
    <col min="11543" max="11776" width="11.42578125" style="364"/>
    <col min="11777" max="11777" width="6.7109375" style="364" customWidth="1"/>
    <col min="11778" max="11778" width="20.42578125" style="364" customWidth="1"/>
    <col min="11779" max="11779" width="14.42578125" style="364" customWidth="1"/>
    <col min="11780" max="11780" width="20.7109375" style="364" customWidth="1"/>
    <col min="11781" max="11781" width="13.5703125" style="364" customWidth="1"/>
    <col min="11782" max="11782" width="18.28515625" style="364" customWidth="1"/>
    <col min="11783" max="11783" width="12.85546875" style="364" customWidth="1"/>
    <col min="11784" max="11784" width="21.42578125" style="364" customWidth="1"/>
    <col min="11785" max="11788" width="13.5703125" style="364" customWidth="1"/>
    <col min="11789" max="11789" width="15.5703125" style="364" customWidth="1"/>
    <col min="11790" max="11790" width="18" style="364" customWidth="1"/>
    <col min="11791" max="11791" width="18.28515625" style="364" customWidth="1"/>
    <col min="11792" max="11792" width="23.140625" style="364" customWidth="1"/>
    <col min="11793" max="11793" width="18.28515625" style="364" customWidth="1"/>
    <col min="11794" max="11794" width="23.140625" style="364" customWidth="1"/>
    <col min="11795" max="11795" width="20" style="364" customWidth="1"/>
    <col min="11796" max="11796" width="0" style="364" hidden="1" customWidth="1"/>
    <col min="11797" max="11797" width="11.42578125" style="364" customWidth="1"/>
    <col min="11798" max="11798" width="21" style="364" customWidth="1"/>
    <col min="11799" max="12032" width="11.42578125" style="364"/>
    <col min="12033" max="12033" width="6.7109375" style="364" customWidth="1"/>
    <col min="12034" max="12034" width="20.42578125" style="364" customWidth="1"/>
    <col min="12035" max="12035" width="14.42578125" style="364" customWidth="1"/>
    <col min="12036" max="12036" width="20.7109375" style="364" customWidth="1"/>
    <col min="12037" max="12037" width="13.5703125" style="364" customWidth="1"/>
    <col min="12038" max="12038" width="18.28515625" style="364" customWidth="1"/>
    <col min="12039" max="12039" width="12.85546875" style="364" customWidth="1"/>
    <col min="12040" max="12040" width="21.42578125" style="364" customWidth="1"/>
    <col min="12041" max="12044" width="13.5703125" style="364" customWidth="1"/>
    <col min="12045" max="12045" width="15.5703125" style="364" customWidth="1"/>
    <col min="12046" max="12046" width="18" style="364" customWidth="1"/>
    <col min="12047" max="12047" width="18.28515625" style="364" customWidth="1"/>
    <col min="12048" max="12048" width="23.140625" style="364" customWidth="1"/>
    <col min="12049" max="12049" width="18.28515625" style="364" customWidth="1"/>
    <col min="12050" max="12050" width="23.140625" style="364" customWidth="1"/>
    <col min="12051" max="12051" width="20" style="364" customWidth="1"/>
    <col min="12052" max="12052" width="0" style="364" hidden="1" customWidth="1"/>
    <col min="12053" max="12053" width="11.42578125" style="364" customWidth="1"/>
    <col min="12054" max="12054" width="21" style="364" customWidth="1"/>
    <col min="12055" max="12288" width="11.42578125" style="364"/>
    <col min="12289" max="12289" width="6.7109375" style="364" customWidth="1"/>
    <col min="12290" max="12290" width="20.42578125" style="364" customWidth="1"/>
    <col min="12291" max="12291" width="14.42578125" style="364" customWidth="1"/>
    <col min="12292" max="12292" width="20.7109375" style="364" customWidth="1"/>
    <col min="12293" max="12293" width="13.5703125" style="364" customWidth="1"/>
    <col min="12294" max="12294" width="18.28515625" style="364" customWidth="1"/>
    <col min="12295" max="12295" width="12.85546875" style="364" customWidth="1"/>
    <col min="12296" max="12296" width="21.42578125" style="364" customWidth="1"/>
    <col min="12297" max="12300" width="13.5703125" style="364" customWidth="1"/>
    <col min="12301" max="12301" width="15.5703125" style="364" customWidth="1"/>
    <col min="12302" max="12302" width="18" style="364" customWidth="1"/>
    <col min="12303" max="12303" width="18.28515625" style="364" customWidth="1"/>
    <col min="12304" max="12304" width="23.140625" style="364" customWidth="1"/>
    <col min="12305" max="12305" width="18.28515625" style="364" customWidth="1"/>
    <col min="12306" max="12306" width="23.140625" style="364" customWidth="1"/>
    <col min="12307" max="12307" width="20" style="364" customWidth="1"/>
    <col min="12308" max="12308" width="0" style="364" hidden="1" customWidth="1"/>
    <col min="12309" max="12309" width="11.42578125" style="364" customWidth="1"/>
    <col min="12310" max="12310" width="21" style="364" customWidth="1"/>
    <col min="12311" max="12544" width="11.42578125" style="364"/>
    <col min="12545" max="12545" width="6.7109375" style="364" customWidth="1"/>
    <col min="12546" max="12546" width="20.42578125" style="364" customWidth="1"/>
    <col min="12547" max="12547" width="14.42578125" style="364" customWidth="1"/>
    <col min="12548" max="12548" width="20.7109375" style="364" customWidth="1"/>
    <col min="12549" max="12549" width="13.5703125" style="364" customWidth="1"/>
    <col min="12550" max="12550" width="18.28515625" style="364" customWidth="1"/>
    <col min="12551" max="12551" width="12.85546875" style="364" customWidth="1"/>
    <col min="12552" max="12552" width="21.42578125" style="364" customWidth="1"/>
    <col min="12553" max="12556" width="13.5703125" style="364" customWidth="1"/>
    <col min="12557" max="12557" width="15.5703125" style="364" customWidth="1"/>
    <col min="12558" max="12558" width="18" style="364" customWidth="1"/>
    <col min="12559" max="12559" width="18.28515625" style="364" customWidth="1"/>
    <col min="12560" max="12560" width="23.140625" style="364" customWidth="1"/>
    <col min="12561" max="12561" width="18.28515625" style="364" customWidth="1"/>
    <col min="12562" max="12562" width="23.140625" style="364" customWidth="1"/>
    <col min="12563" max="12563" width="20" style="364" customWidth="1"/>
    <col min="12564" max="12564" width="0" style="364" hidden="1" customWidth="1"/>
    <col min="12565" max="12565" width="11.42578125" style="364" customWidth="1"/>
    <col min="12566" max="12566" width="21" style="364" customWidth="1"/>
    <col min="12567" max="12800" width="11.42578125" style="364"/>
    <col min="12801" max="12801" width="6.7109375" style="364" customWidth="1"/>
    <col min="12802" max="12802" width="20.42578125" style="364" customWidth="1"/>
    <col min="12803" max="12803" width="14.42578125" style="364" customWidth="1"/>
    <col min="12804" max="12804" width="20.7109375" style="364" customWidth="1"/>
    <col min="12805" max="12805" width="13.5703125" style="364" customWidth="1"/>
    <col min="12806" max="12806" width="18.28515625" style="364" customWidth="1"/>
    <col min="12807" max="12807" width="12.85546875" style="364" customWidth="1"/>
    <col min="12808" max="12808" width="21.42578125" style="364" customWidth="1"/>
    <col min="12809" max="12812" width="13.5703125" style="364" customWidth="1"/>
    <col min="12813" max="12813" width="15.5703125" style="364" customWidth="1"/>
    <col min="12814" max="12814" width="18" style="364" customWidth="1"/>
    <col min="12815" max="12815" width="18.28515625" style="364" customWidth="1"/>
    <col min="12816" max="12816" width="23.140625" style="364" customWidth="1"/>
    <col min="12817" max="12817" width="18.28515625" style="364" customWidth="1"/>
    <col min="12818" max="12818" width="23.140625" style="364" customWidth="1"/>
    <col min="12819" max="12819" width="20" style="364" customWidth="1"/>
    <col min="12820" max="12820" width="0" style="364" hidden="1" customWidth="1"/>
    <col min="12821" max="12821" width="11.42578125" style="364" customWidth="1"/>
    <col min="12822" max="12822" width="21" style="364" customWidth="1"/>
    <col min="12823" max="13056" width="11.42578125" style="364"/>
    <col min="13057" max="13057" width="6.7109375" style="364" customWidth="1"/>
    <col min="13058" max="13058" width="20.42578125" style="364" customWidth="1"/>
    <col min="13059" max="13059" width="14.42578125" style="364" customWidth="1"/>
    <col min="13060" max="13060" width="20.7109375" style="364" customWidth="1"/>
    <col min="13061" max="13061" width="13.5703125" style="364" customWidth="1"/>
    <col min="13062" max="13062" width="18.28515625" style="364" customWidth="1"/>
    <col min="13063" max="13063" width="12.85546875" style="364" customWidth="1"/>
    <col min="13064" max="13064" width="21.42578125" style="364" customWidth="1"/>
    <col min="13065" max="13068" width="13.5703125" style="364" customWidth="1"/>
    <col min="13069" max="13069" width="15.5703125" style="364" customWidth="1"/>
    <col min="13070" max="13070" width="18" style="364" customWidth="1"/>
    <col min="13071" max="13071" width="18.28515625" style="364" customWidth="1"/>
    <col min="13072" max="13072" width="23.140625" style="364" customWidth="1"/>
    <col min="13073" max="13073" width="18.28515625" style="364" customWidth="1"/>
    <col min="13074" max="13074" width="23.140625" style="364" customWidth="1"/>
    <col min="13075" max="13075" width="20" style="364" customWidth="1"/>
    <col min="13076" max="13076" width="0" style="364" hidden="1" customWidth="1"/>
    <col min="13077" max="13077" width="11.42578125" style="364" customWidth="1"/>
    <col min="13078" max="13078" width="21" style="364" customWidth="1"/>
    <col min="13079" max="13312" width="11.42578125" style="364"/>
    <col min="13313" max="13313" width="6.7109375" style="364" customWidth="1"/>
    <col min="13314" max="13314" width="20.42578125" style="364" customWidth="1"/>
    <col min="13315" max="13315" width="14.42578125" style="364" customWidth="1"/>
    <col min="13316" max="13316" width="20.7109375" style="364" customWidth="1"/>
    <col min="13317" max="13317" width="13.5703125" style="364" customWidth="1"/>
    <col min="13318" max="13318" width="18.28515625" style="364" customWidth="1"/>
    <col min="13319" max="13319" width="12.85546875" style="364" customWidth="1"/>
    <col min="13320" max="13320" width="21.42578125" style="364" customWidth="1"/>
    <col min="13321" max="13324" width="13.5703125" style="364" customWidth="1"/>
    <col min="13325" max="13325" width="15.5703125" style="364" customWidth="1"/>
    <col min="13326" max="13326" width="18" style="364" customWidth="1"/>
    <col min="13327" max="13327" width="18.28515625" style="364" customWidth="1"/>
    <col min="13328" max="13328" width="23.140625" style="364" customWidth="1"/>
    <col min="13329" max="13329" width="18.28515625" style="364" customWidth="1"/>
    <col min="13330" max="13330" width="23.140625" style="364" customWidth="1"/>
    <col min="13331" max="13331" width="20" style="364" customWidth="1"/>
    <col min="13332" max="13332" width="0" style="364" hidden="1" customWidth="1"/>
    <col min="13333" max="13333" width="11.42578125" style="364" customWidth="1"/>
    <col min="13334" max="13334" width="21" style="364" customWidth="1"/>
    <col min="13335" max="13568" width="11.42578125" style="364"/>
    <col min="13569" max="13569" width="6.7109375" style="364" customWidth="1"/>
    <col min="13570" max="13570" width="20.42578125" style="364" customWidth="1"/>
    <col min="13571" max="13571" width="14.42578125" style="364" customWidth="1"/>
    <col min="13572" max="13572" width="20.7109375" style="364" customWidth="1"/>
    <col min="13573" max="13573" width="13.5703125" style="364" customWidth="1"/>
    <col min="13574" max="13574" width="18.28515625" style="364" customWidth="1"/>
    <col min="13575" max="13575" width="12.85546875" style="364" customWidth="1"/>
    <col min="13576" max="13576" width="21.42578125" style="364" customWidth="1"/>
    <col min="13577" max="13580" width="13.5703125" style="364" customWidth="1"/>
    <col min="13581" max="13581" width="15.5703125" style="364" customWidth="1"/>
    <col min="13582" max="13582" width="18" style="364" customWidth="1"/>
    <col min="13583" max="13583" width="18.28515625" style="364" customWidth="1"/>
    <col min="13584" max="13584" width="23.140625" style="364" customWidth="1"/>
    <col min="13585" max="13585" width="18.28515625" style="364" customWidth="1"/>
    <col min="13586" max="13586" width="23.140625" style="364" customWidth="1"/>
    <col min="13587" max="13587" width="20" style="364" customWidth="1"/>
    <col min="13588" max="13588" width="0" style="364" hidden="1" customWidth="1"/>
    <col min="13589" max="13589" width="11.42578125" style="364" customWidth="1"/>
    <col min="13590" max="13590" width="21" style="364" customWidth="1"/>
    <col min="13591" max="13824" width="11.42578125" style="364"/>
    <col min="13825" max="13825" width="6.7109375" style="364" customWidth="1"/>
    <col min="13826" max="13826" width="20.42578125" style="364" customWidth="1"/>
    <col min="13827" max="13827" width="14.42578125" style="364" customWidth="1"/>
    <col min="13828" max="13828" width="20.7109375" style="364" customWidth="1"/>
    <col min="13829" max="13829" width="13.5703125" style="364" customWidth="1"/>
    <col min="13830" max="13830" width="18.28515625" style="364" customWidth="1"/>
    <col min="13831" max="13831" width="12.85546875" style="364" customWidth="1"/>
    <col min="13832" max="13832" width="21.42578125" style="364" customWidth="1"/>
    <col min="13833" max="13836" width="13.5703125" style="364" customWidth="1"/>
    <col min="13837" max="13837" width="15.5703125" style="364" customWidth="1"/>
    <col min="13838" max="13838" width="18" style="364" customWidth="1"/>
    <col min="13839" max="13839" width="18.28515625" style="364" customWidth="1"/>
    <col min="13840" max="13840" width="23.140625" style="364" customWidth="1"/>
    <col min="13841" max="13841" width="18.28515625" style="364" customWidth="1"/>
    <col min="13842" max="13842" width="23.140625" style="364" customWidth="1"/>
    <col min="13843" max="13843" width="20" style="364" customWidth="1"/>
    <col min="13844" max="13844" width="0" style="364" hidden="1" customWidth="1"/>
    <col min="13845" max="13845" width="11.42578125" style="364" customWidth="1"/>
    <col min="13846" max="13846" width="21" style="364" customWidth="1"/>
    <col min="13847" max="14080" width="11.42578125" style="364"/>
    <col min="14081" max="14081" width="6.7109375" style="364" customWidth="1"/>
    <col min="14082" max="14082" width="20.42578125" style="364" customWidth="1"/>
    <col min="14083" max="14083" width="14.42578125" style="364" customWidth="1"/>
    <col min="14084" max="14084" width="20.7109375" style="364" customWidth="1"/>
    <col min="14085" max="14085" width="13.5703125" style="364" customWidth="1"/>
    <col min="14086" max="14086" width="18.28515625" style="364" customWidth="1"/>
    <col min="14087" max="14087" width="12.85546875" style="364" customWidth="1"/>
    <col min="14088" max="14088" width="21.42578125" style="364" customWidth="1"/>
    <col min="14089" max="14092" width="13.5703125" style="364" customWidth="1"/>
    <col min="14093" max="14093" width="15.5703125" style="364" customWidth="1"/>
    <col min="14094" max="14094" width="18" style="364" customWidth="1"/>
    <col min="14095" max="14095" width="18.28515625" style="364" customWidth="1"/>
    <col min="14096" max="14096" width="23.140625" style="364" customWidth="1"/>
    <col min="14097" max="14097" width="18.28515625" style="364" customWidth="1"/>
    <col min="14098" max="14098" width="23.140625" style="364" customWidth="1"/>
    <col min="14099" max="14099" width="20" style="364" customWidth="1"/>
    <col min="14100" max="14100" width="0" style="364" hidden="1" customWidth="1"/>
    <col min="14101" max="14101" width="11.42578125" style="364" customWidth="1"/>
    <col min="14102" max="14102" width="21" style="364" customWidth="1"/>
    <col min="14103" max="14336" width="11.42578125" style="364"/>
    <col min="14337" max="14337" width="6.7109375" style="364" customWidth="1"/>
    <col min="14338" max="14338" width="20.42578125" style="364" customWidth="1"/>
    <col min="14339" max="14339" width="14.42578125" style="364" customWidth="1"/>
    <col min="14340" max="14340" width="20.7109375" style="364" customWidth="1"/>
    <col min="14341" max="14341" width="13.5703125" style="364" customWidth="1"/>
    <col min="14342" max="14342" width="18.28515625" style="364" customWidth="1"/>
    <col min="14343" max="14343" width="12.85546875" style="364" customWidth="1"/>
    <col min="14344" max="14344" width="21.42578125" style="364" customWidth="1"/>
    <col min="14345" max="14348" width="13.5703125" style="364" customWidth="1"/>
    <col min="14349" max="14349" width="15.5703125" style="364" customWidth="1"/>
    <col min="14350" max="14350" width="18" style="364" customWidth="1"/>
    <col min="14351" max="14351" width="18.28515625" style="364" customWidth="1"/>
    <col min="14352" max="14352" width="23.140625" style="364" customWidth="1"/>
    <col min="14353" max="14353" width="18.28515625" style="364" customWidth="1"/>
    <col min="14354" max="14354" width="23.140625" style="364" customWidth="1"/>
    <col min="14355" max="14355" width="20" style="364" customWidth="1"/>
    <col min="14356" max="14356" width="0" style="364" hidden="1" customWidth="1"/>
    <col min="14357" max="14357" width="11.42578125" style="364" customWidth="1"/>
    <col min="14358" max="14358" width="21" style="364" customWidth="1"/>
    <col min="14359" max="14592" width="11.42578125" style="364"/>
    <col min="14593" max="14593" width="6.7109375" style="364" customWidth="1"/>
    <col min="14594" max="14594" width="20.42578125" style="364" customWidth="1"/>
    <col min="14595" max="14595" width="14.42578125" style="364" customWidth="1"/>
    <col min="14596" max="14596" width="20.7109375" style="364" customWidth="1"/>
    <col min="14597" max="14597" width="13.5703125" style="364" customWidth="1"/>
    <col min="14598" max="14598" width="18.28515625" style="364" customWidth="1"/>
    <col min="14599" max="14599" width="12.85546875" style="364" customWidth="1"/>
    <col min="14600" max="14600" width="21.42578125" style="364" customWidth="1"/>
    <col min="14601" max="14604" width="13.5703125" style="364" customWidth="1"/>
    <col min="14605" max="14605" width="15.5703125" style="364" customWidth="1"/>
    <col min="14606" max="14606" width="18" style="364" customWidth="1"/>
    <col min="14607" max="14607" width="18.28515625" style="364" customWidth="1"/>
    <col min="14608" max="14608" width="23.140625" style="364" customWidth="1"/>
    <col min="14609" max="14609" width="18.28515625" style="364" customWidth="1"/>
    <col min="14610" max="14610" width="23.140625" style="364" customWidth="1"/>
    <col min="14611" max="14611" width="20" style="364" customWidth="1"/>
    <col min="14612" max="14612" width="0" style="364" hidden="1" customWidth="1"/>
    <col min="14613" max="14613" width="11.42578125" style="364" customWidth="1"/>
    <col min="14614" max="14614" width="21" style="364" customWidth="1"/>
    <col min="14615" max="14848" width="11.42578125" style="364"/>
    <col min="14849" max="14849" width="6.7109375" style="364" customWidth="1"/>
    <col min="14850" max="14850" width="20.42578125" style="364" customWidth="1"/>
    <col min="14851" max="14851" width="14.42578125" style="364" customWidth="1"/>
    <col min="14852" max="14852" width="20.7109375" style="364" customWidth="1"/>
    <col min="14853" max="14853" width="13.5703125" style="364" customWidth="1"/>
    <col min="14854" max="14854" width="18.28515625" style="364" customWidth="1"/>
    <col min="14855" max="14855" width="12.85546875" style="364" customWidth="1"/>
    <col min="14856" max="14856" width="21.42578125" style="364" customWidth="1"/>
    <col min="14857" max="14860" width="13.5703125" style="364" customWidth="1"/>
    <col min="14861" max="14861" width="15.5703125" style="364" customWidth="1"/>
    <col min="14862" max="14862" width="18" style="364" customWidth="1"/>
    <col min="14863" max="14863" width="18.28515625" style="364" customWidth="1"/>
    <col min="14864" max="14864" width="23.140625" style="364" customWidth="1"/>
    <col min="14865" max="14865" width="18.28515625" style="364" customWidth="1"/>
    <col min="14866" max="14866" width="23.140625" style="364" customWidth="1"/>
    <col min="14867" max="14867" width="20" style="364" customWidth="1"/>
    <col min="14868" max="14868" width="0" style="364" hidden="1" customWidth="1"/>
    <col min="14869" max="14869" width="11.42578125" style="364" customWidth="1"/>
    <col min="14870" max="14870" width="21" style="364" customWidth="1"/>
    <col min="14871" max="15104" width="11.42578125" style="364"/>
    <col min="15105" max="15105" width="6.7109375" style="364" customWidth="1"/>
    <col min="15106" max="15106" width="20.42578125" style="364" customWidth="1"/>
    <col min="15107" max="15107" width="14.42578125" style="364" customWidth="1"/>
    <col min="15108" max="15108" width="20.7109375" style="364" customWidth="1"/>
    <col min="15109" max="15109" width="13.5703125" style="364" customWidth="1"/>
    <col min="15110" max="15110" width="18.28515625" style="364" customWidth="1"/>
    <col min="15111" max="15111" width="12.85546875" style="364" customWidth="1"/>
    <col min="15112" max="15112" width="21.42578125" style="364" customWidth="1"/>
    <col min="15113" max="15116" width="13.5703125" style="364" customWidth="1"/>
    <col min="15117" max="15117" width="15.5703125" style="364" customWidth="1"/>
    <col min="15118" max="15118" width="18" style="364" customWidth="1"/>
    <col min="15119" max="15119" width="18.28515625" style="364" customWidth="1"/>
    <col min="15120" max="15120" width="23.140625" style="364" customWidth="1"/>
    <col min="15121" max="15121" width="18.28515625" style="364" customWidth="1"/>
    <col min="15122" max="15122" width="23.140625" style="364" customWidth="1"/>
    <col min="15123" max="15123" width="20" style="364" customWidth="1"/>
    <col min="15124" max="15124" width="0" style="364" hidden="1" customWidth="1"/>
    <col min="15125" max="15125" width="11.42578125" style="364" customWidth="1"/>
    <col min="15126" max="15126" width="21" style="364" customWidth="1"/>
    <col min="15127" max="15360" width="11.42578125" style="364"/>
    <col min="15361" max="15361" width="6.7109375" style="364" customWidth="1"/>
    <col min="15362" max="15362" width="20.42578125" style="364" customWidth="1"/>
    <col min="15363" max="15363" width="14.42578125" style="364" customWidth="1"/>
    <col min="15364" max="15364" width="20.7109375" style="364" customWidth="1"/>
    <col min="15365" max="15365" width="13.5703125" style="364" customWidth="1"/>
    <col min="15366" max="15366" width="18.28515625" style="364" customWidth="1"/>
    <col min="15367" max="15367" width="12.85546875" style="364" customWidth="1"/>
    <col min="15368" max="15368" width="21.42578125" style="364" customWidth="1"/>
    <col min="15369" max="15372" width="13.5703125" style="364" customWidth="1"/>
    <col min="15373" max="15373" width="15.5703125" style="364" customWidth="1"/>
    <col min="15374" max="15374" width="18" style="364" customWidth="1"/>
    <col min="15375" max="15375" width="18.28515625" style="364" customWidth="1"/>
    <col min="15376" max="15376" width="23.140625" style="364" customWidth="1"/>
    <col min="15377" max="15377" width="18.28515625" style="364" customWidth="1"/>
    <col min="15378" max="15378" width="23.140625" style="364" customWidth="1"/>
    <col min="15379" max="15379" width="20" style="364" customWidth="1"/>
    <col min="15380" max="15380" width="0" style="364" hidden="1" customWidth="1"/>
    <col min="15381" max="15381" width="11.42578125" style="364" customWidth="1"/>
    <col min="15382" max="15382" width="21" style="364" customWidth="1"/>
    <col min="15383" max="15616" width="11.42578125" style="364"/>
    <col min="15617" max="15617" width="6.7109375" style="364" customWidth="1"/>
    <col min="15618" max="15618" width="20.42578125" style="364" customWidth="1"/>
    <col min="15619" max="15619" width="14.42578125" style="364" customWidth="1"/>
    <col min="15620" max="15620" width="20.7109375" style="364" customWidth="1"/>
    <col min="15621" max="15621" width="13.5703125" style="364" customWidth="1"/>
    <col min="15622" max="15622" width="18.28515625" style="364" customWidth="1"/>
    <col min="15623" max="15623" width="12.85546875" style="364" customWidth="1"/>
    <col min="15624" max="15624" width="21.42578125" style="364" customWidth="1"/>
    <col min="15625" max="15628" width="13.5703125" style="364" customWidth="1"/>
    <col min="15629" max="15629" width="15.5703125" style="364" customWidth="1"/>
    <col min="15630" max="15630" width="18" style="364" customWidth="1"/>
    <col min="15631" max="15631" width="18.28515625" style="364" customWidth="1"/>
    <col min="15632" max="15632" width="23.140625" style="364" customWidth="1"/>
    <col min="15633" max="15633" width="18.28515625" style="364" customWidth="1"/>
    <col min="15634" max="15634" width="23.140625" style="364" customWidth="1"/>
    <col min="15635" max="15635" width="20" style="364" customWidth="1"/>
    <col min="15636" max="15636" width="0" style="364" hidden="1" customWidth="1"/>
    <col min="15637" max="15637" width="11.42578125" style="364" customWidth="1"/>
    <col min="15638" max="15638" width="21" style="364" customWidth="1"/>
    <col min="15639" max="15872" width="11.42578125" style="364"/>
    <col min="15873" max="15873" width="6.7109375" style="364" customWidth="1"/>
    <col min="15874" max="15874" width="20.42578125" style="364" customWidth="1"/>
    <col min="15875" max="15875" width="14.42578125" style="364" customWidth="1"/>
    <col min="15876" max="15876" width="20.7109375" style="364" customWidth="1"/>
    <col min="15877" max="15877" width="13.5703125" style="364" customWidth="1"/>
    <col min="15878" max="15878" width="18.28515625" style="364" customWidth="1"/>
    <col min="15879" max="15879" width="12.85546875" style="364" customWidth="1"/>
    <col min="15880" max="15880" width="21.42578125" style="364" customWidth="1"/>
    <col min="15881" max="15884" width="13.5703125" style="364" customWidth="1"/>
    <col min="15885" max="15885" width="15.5703125" style="364" customWidth="1"/>
    <col min="15886" max="15886" width="18" style="364" customWidth="1"/>
    <col min="15887" max="15887" width="18.28515625" style="364" customWidth="1"/>
    <col min="15888" max="15888" width="23.140625" style="364" customWidth="1"/>
    <col min="15889" max="15889" width="18.28515625" style="364" customWidth="1"/>
    <col min="15890" max="15890" width="23.140625" style="364" customWidth="1"/>
    <col min="15891" max="15891" width="20" style="364" customWidth="1"/>
    <col min="15892" max="15892" width="0" style="364" hidden="1" customWidth="1"/>
    <col min="15893" max="15893" width="11.42578125" style="364" customWidth="1"/>
    <col min="15894" max="15894" width="21" style="364" customWidth="1"/>
    <col min="15895" max="16128" width="11.42578125" style="364"/>
    <col min="16129" max="16129" width="6.7109375" style="364" customWidth="1"/>
    <col min="16130" max="16130" width="20.42578125" style="364" customWidth="1"/>
    <col min="16131" max="16131" width="14.42578125" style="364" customWidth="1"/>
    <col min="16132" max="16132" width="20.7109375" style="364" customWidth="1"/>
    <col min="16133" max="16133" width="13.5703125" style="364" customWidth="1"/>
    <col min="16134" max="16134" width="18.28515625" style="364" customWidth="1"/>
    <col min="16135" max="16135" width="12.85546875" style="364" customWidth="1"/>
    <col min="16136" max="16136" width="21.42578125" style="364" customWidth="1"/>
    <col min="16137" max="16140" width="13.5703125" style="364" customWidth="1"/>
    <col min="16141" max="16141" width="15.5703125" style="364" customWidth="1"/>
    <col min="16142" max="16142" width="18" style="364" customWidth="1"/>
    <col min="16143" max="16143" width="18.28515625" style="364" customWidth="1"/>
    <col min="16144" max="16144" width="23.140625" style="364" customWidth="1"/>
    <col min="16145" max="16145" width="18.28515625" style="364" customWidth="1"/>
    <col min="16146" max="16146" width="23.140625" style="364" customWidth="1"/>
    <col min="16147" max="16147" width="20" style="364" customWidth="1"/>
    <col min="16148" max="16148" width="0" style="364" hidden="1" customWidth="1"/>
    <col min="16149" max="16149" width="11.42578125" style="364" customWidth="1"/>
    <col min="16150" max="16150" width="21" style="364" customWidth="1"/>
    <col min="16151" max="16384" width="11.42578125" style="364"/>
  </cols>
  <sheetData>
    <row r="1" spans="1:22" ht="27" customHeight="1" thickBot="1">
      <c r="D1" s="1772" t="s">
        <v>6836</v>
      </c>
      <c r="E1" s="1772"/>
      <c r="F1" s="1772"/>
      <c r="G1" s="1772"/>
    </row>
    <row r="2" spans="1:22" ht="23.25" customHeight="1" thickBot="1">
      <c r="O2" s="1243"/>
      <c r="P2" s="1243"/>
      <c r="Q2" s="1243"/>
      <c r="S2" s="1244" t="s">
        <v>6836</v>
      </c>
      <c r="T2" s="1245" t="s">
        <v>4492</v>
      </c>
    </row>
    <row r="3" spans="1:22" ht="76.5" customHeight="1" thickBot="1">
      <c r="A3" s="1246" t="s">
        <v>6837</v>
      </c>
      <c r="B3" s="1247" t="s">
        <v>5578</v>
      </c>
      <c r="C3" s="1248" t="s">
        <v>6838</v>
      </c>
      <c r="D3" s="1248" t="s">
        <v>5</v>
      </c>
      <c r="E3" s="1248" t="s">
        <v>1</v>
      </c>
      <c r="F3" s="1249" t="s">
        <v>4</v>
      </c>
      <c r="G3" s="1250" t="s">
        <v>6839</v>
      </c>
      <c r="H3" s="1248" t="s">
        <v>6840</v>
      </c>
      <c r="I3" s="1251" t="s">
        <v>6841</v>
      </c>
      <c r="J3" s="1251" t="s">
        <v>6842</v>
      </c>
      <c r="K3" s="1251" t="s">
        <v>2851</v>
      </c>
      <c r="L3" s="1251" t="s">
        <v>6843</v>
      </c>
      <c r="M3" s="1251" t="s">
        <v>6844</v>
      </c>
      <c r="N3" s="1252" t="s">
        <v>9</v>
      </c>
      <c r="O3" s="1253" t="s">
        <v>6845</v>
      </c>
      <c r="P3" s="1254" t="s">
        <v>5818</v>
      </c>
      <c r="Q3" s="1254" t="s">
        <v>5819</v>
      </c>
      <c r="R3" s="1255" t="s">
        <v>6846</v>
      </c>
      <c r="S3" s="1256" t="s">
        <v>6847</v>
      </c>
      <c r="T3" s="1257" t="s">
        <v>6848</v>
      </c>
    </row>
    <row r="4" spans="1:22" s="1273" customFormat="1" ht="72.75" thickBot="1">
      <c r="A4" s="1258" t="s">
        <v>6849</v>
      </c>
      <c r="B4" s="1259" t="s">
        <v>6850</v>
      </c>
      <c r="C4" s="1260">
        <v>5757048</v>
      </c>
      <c r="D4" s="1259" t="s">
        <v>893</v>
      </c>
      <c r="E4" s="1261">
        <v>99</v>
      </c>
      <c r="F4" s="1262">
        <v>44197</v>
      </c>
      <c r="G4" s="1263">
        <v>3</v>
      </c>
      <c r="H4" s="1264">
        <v>277</v>
      </c>
      <c r="I4" s="1265">
        <v>0</v>
      </c>
      <c r="J4" s="1265">
        <v>130</v>
      </c>
      <c r="K4" s="1265">
        <f>+H4*2%</f>
        <v>5.54</v>
      </c>
      <c r="L4" s="1265">
        <f>ROUND(SUM(+H4+I4+J4+K4)*25%,2)</f>
        <v>103.14</v>
      </c>
      <c r="M4" s="1266">
        <f>SUM(I4:L4)</f>
        <v>238.68</v>
      </c>
      <c r="N4" s="1267">
        <v>0</v>
      </c>
      <c r="O4" s="1268">
        <f>H4+M4+N4</f>
        <v>515.68000000000006</v>
      </c>
      <c r="P4" s="1269">
        <v>180</v>
      </c>
      <c r="Q4" s="1270">
        <v>150</v>
      </c>
      <c r="R4" s="1271">
        <f>(((O4))/30*P4/12+(O4))/30*Q4</f>
        <v>3867.6</v>
      </c>
      <c r="S4" s="1272">
        <f>R4/4</f>
        <v>966.9</v>
      </c>
      <c r="T4" s="1272">
        <f>S4</f>
        <v>966.9</v>
      </c>
      <c r="V4" s="1274"/>
    </row>
    <row r="5" spans="1:22" s="1273" customFormat="1" ht="72.75" thickBot="1">
      <c r="A5" s="1275" t="s">
        <v>6851</v>
      </c>
      <c r="B5" s="1276" t="s">
        <v>6852</v>
      </c>
      <c r="C5" s="1277">
        <v>24566781</v>
      </c>
      <c r="D5" s="1276" t="s">
        <v>6853</v>
      </c>
      <c r="E5" s="1278" t="s">
        <v>4646</v>
      </c>
      <c r="F5" s="1279">
        <v>45323</v>
      </c>
      <c r="G5" s="1280">
        <v>0</v>
      </c>
      <c r="H5" s="1264">
        <v>246</v>
      </c>
      <c r="I5" s="1265">
        <v>25</v>
      </c>
      <c r="J5" s="1265">
        <v>130</v>
      </c>
      <c r="K5" s="1265">
        <v>0</v>
      </c>
      <c r="L5" s="1265">
        <f>ROUND(SUM(+H5+I5+J5+K5)*25%,2)</f>
        <v>100.25</v>
      </c>
      <c r="M5" s="1266">
        <f>SUM(I5:L5)</f>
        <v>255.25</v>
      </c>
      <c r="N5" s="1267">
        <v>0</v>
      </c>
      <c r="O5" s="1268">
        <f t="shared" ref="O5:O7" si="0">H5+M5+N5</f>
        <v>501.25</v>
      </c>
      <c r="P5" s="1269">
        <v>165</v>
      </c>
      <c r="Q5" s="1270">
        <v>137.5</v>
      </c>
      <c r="R5" s="1271">
        <f>(((O5))/30*P5/12+(O5))/30*Q5</f>
        <v>3350.3689236111113</v>
      </c>
      <c r="S5" s="1272">
        <f>R5/4</f>
        <v>837.59223090277783</v>
      </c>
      <c r="T5" s="1272">
        <f>S5</f>
        <v>837.59223090277783</v>
      </c>
      <c r="V5" s="1274"/>
    </row>
    <row r="6" spans="1:22" s="1273" customFormat="1" ht="72.75" thickBot="1">
      <c r="A6" s="1275" t="s">
        <v>6851</v>
      </c>
      <c r="B6" s="1281" t="s">
        <v>6854</v>
      </c>
      <c r="C6" s="1277">
        <v>18376706</v>
      </c>
      <c r="D6" s="1276" t="s">
        <v>2251</v>
      </c>
      <c r="E6" s="1278" t="s">
        <v>4649</v>
      </c>
      <c r="F6" s="1279">
        <v>45352</v>
      </c>
      <c r="G6" s="1280">
        <v>0</v>
      </c>
      <c r="H6" s="1282">
        <v>192</v>
      </c>
      <c r="I6" s="1265">
        <v>0</v>
      </c>
      <c r="J6" s="1265">
        <v>130</v>
      </c>
      <c r="K6" s="1265">
        <v>0</v>
      </c>
      <c r="L6" s="1265">
        <f>ROUND(SUM(+H6+I6+J6+K6)*25%,2)</f>
        <v>80.5</v>
      </c>
      <c r="M6" s="1266">
        <f>SUM(I6:L6)</f>
        <v>210.5</v>
      </c>
      <c r="N6" s="1267">
        <v>0</v>
      </c>
      <c r="O6" s="1268">
        <f t="shared" si="0"/>
        <v>402.5</v>
      </c>
      <c r="P6" s="1269">
        <v>150</v>
      </c>
      <c r="Q6" s="1270" t="s">
        <v>6855</v>
      </c>
      <c r="R6" s="1271">
        <f>(((O6))/30*P6/12+(O6))/30*Q6</f>
        <v>2375.8680555555557</v>
      </c>
      <c r="S6" s="1272">
        <f>R6/4</f>
        <v>593.96701388888891</v>
      </c>
      <c r="T6" s="1272">
        <f>S6</f>
        <v>593.96701388888891</v>
      </c>
      <c r="V6" s="1274"/>
    </row>
    <row r="7" spans="1:22" s="1273" customFormat="1" ht="72.75" thickBot="1">
      <c r="A7" s="1275" t="s">
        <v>6851</v>
      </c>
      <c r="B7" s="1283" t="s">
        <v>6856</v>
      </c>
      <c r="C7" s="1284">
        <v>12332586</v>
      </c>
      <c r="D7" s="1285" t="s">
        <v>2884</v>
      </c>
      <c r="E7" s="1278" t="s">
        <v>4650</v>
      </c>
      <c r="F7" s="1286">
        <v>45385</v>
      </c>
      <c r="G7" s="1263">
        <v>0</v>
      </c>
      <c r="H7" s="1287">
        <v>130</v>
      </c>
      <c r="I7" s="1265">
        <v>12.5</v>
      </c>
      <c r="J7" s="1265">
        <v>130</v>
      </c>
      <c r="K7" s="1265">
        <v>0</v>
      </c>
      <c r="L7" s="1265">
        <f>ROUND(SUM(+H7+I7+J7+K7)*25%,2)</f>
        <v>68.13</v>
      </c>
      <c r="M7" s="1266">
        <f>SUM(I7:L7)</f>
        <v>210.63</v>
      </c>
      <c r="N7" s="1267">
        <v>0</v>
      </c>
      <c r="O7" s="1268">
        <f t="shared" si="0"/>
        <v>340.63</v>
      </c>
      <c r="P7" s="1288">
        <v>120</v>
      </c>
      <c r="Q7" s="1289" t="s">
        <v>6857</v>
      </c>
      <c r="R7" s="1271">
        <f>(((O7))/30*P7/12+(O7))/30*Q7</f>
        <v>1513.911111111111</v>
      </c>
      <c r="S7" s="1272">
        <f>R7/4</f>
        <v>378.47777777777776</v>
      </c>
      <c r="T7" s="1272">
        <f>S7</f>
        <v>378.47777777777776</v>
      </c>
      <c r="V7" s="1274"/>
    </row>
    <row r="8" spans="1:22" ht="21.75" thickBot="1">
      <c r="H8" s="1290"/>
      <c r="I8" s="1290"/>
      <c r="J8" s="1290"/>
      <c r="K8" s="1290"/>
      <c r="L8" s="1290"/>
      <c r="M8" s="1290"/>
      <c r="N8" s="1290"/>
      <c r="O8" s="1291">
        <f>SUM(O4:O7)</f>
        <v>1760.06</v>
      </c>
      <c r="P8" s="1291"/>
      <c r="Q8" s="1291"/>
      <c r="R8" s="1292"/>
      <c r="S8" s="1292">
        <f>SUM(S4:S7)</f>
        <v>2776.9370225694443</v>
      </c>
      <c r="T8" s="1292">
        <f>SUM(T4:T7)</f>
        <v>2776.9370225694443</v>
      </c>
    </row>
    <row r="9" spans="1:22" ht="21.75" thickBot="1">
      <c r="F9" s="1293"/>
      <c r="H9" s="1290"/>
      <c r="I9" s="1290"/>
      <c r="J9" s="1290"/>
      <c r="K9" s="1290"/>
      <c r="L9" s="1290"/>
      <c r="M9" s="1290"/>
      <c r="N9" s="1290"/>
      <c r="O9" s="1294"/>
      <c r="P9" s="1294"/>
      <c r="Q9" s="1294"/>
      <c r="R9" s="1295"/>
      <c r="S9" s="1295"/>
      <c r="T9" s="1295"/>
    </row>
    <row r="10" spans="1:22" ht="21.75" thickBot="1">
      <c r="F10" s="1293"/>
      <c r="H10" s="1290"/>
      <c r="I10" s="1290"/>
      <c r="J10" s="1290"/>
      <c r="K10" s="1290"/>
      <c r="L10" s="1290"/>
      <c r="M10" s="1290"/>
      <c r="N10" s="1290"/>
      <c r="O10" s="1296">
        <f>O8</f>
        <v>1760.06</v>
      </c>
      <c r="P10" s="1296"/>
      <c r="Q10" s="1296"/>
      <c r="R10" s="1297"/>
      <c r="S10" s="1297">
        <f>S8</f>
        <v>2776.9370225694443</v>
      </c>
      <c r="T10" s="1297">
        <f>T8</f>
        <v>2776.9370225694443</v>
      </c>
    </row>
    <row r="12" spans="1:22">
      <c r="I12" s="601"/>
      <c r="J12" s="601"/>
      <c r="K12" s="601"/>
      <c r="L12" s="601"/>
      <c r="M12" s="601"/>
      <c r="N12" s="601"/>
    </row>
    <row r="13" spans="1:22">
      <c r="D13" s="1298">
        <v>180</v>
      </c>
      <c r="H13" s="1298">
        <v>150</v>
      </c>
      <c r="I13" s="1299"/>
      <c r="J13" s="1299"/>
      <c r="K13" s="1299"/>
      <c r="L13" s="1299"/>
      <c r="M13" s="601"/>
      <c r="N13" s="601"/>
    </row>
    <row r="14" spans="1:22" ht="26.25" customHeight="1">
      <c r="B14" s="1773" t="s">
        <v>6858</v>
      </c>
      <c r="C14" s="1773"/>
      <c r="D14" s="1773"/>
      <c r="F14" s="1773" t="s">
        <v>6858</v>
      </c>
      <c r="G14" s="1773"/>
      <c r="H14" s="1773"/>
      <c r="I14" s="1299"/>
      <c r="J14" s="1299"/>
      <c r="K14" s="1299"/>
      <c r="L14" s="1300" t="s">
        <v>4443</v>
      </c>
      <c r="M14" s="1774" t="s">
        <v>6859</v>
      </c>
      <c r="N14" s="1774"/>
    </row>
    <row r="15" spans="1:22" s="1301" customFormat="1" ht="25.5" customHeight="1" thickBot="1">
      <c r="B15" s="1775" t="s">
        <v>6860</v>
      </c>
      <c r="C15" s="1776"/>
      <c r="D15" s="1777"/>
      <c r="F15" s="1775" t="s">
        <v>6861</v>
      </c>
      <c r="G15" s="1776"/>
      <c r="H15" s="1777"/>
      <c r="I15" s="1302"/>
      <c r="J15" s="1302"/>
      <c r="K15" s="1302"/>
      <c r="L15" s="1302"/>
      <c r="M15" s="1303">
        <v>150</v>
      </c>
      <c r="N15" s="1303">
        <f>M15/4</f>
        <v>37.5</v>
      </c>
      <c r="O15" s="1304" t="s">
        <v>6862</v>
      </c>
    </row>
    <row r="16" spans="1:22" ht="30.75" thickBot="1">
      <c r="B16" s="1305" t="s">
        <v>6863</v>
      </c>
      <c r="C16" s="1306" t="s">
        <v>6864</v>
      </c>
      <c r="D16" s="1307" t="s">
        <v>6865</v>
      </c>
      <c r="F16" s="1305" t="s">
        <v>6863</v>
      </c>
      <c r="G16" s="1306" t="s">
        <v>6864</v>
      </c>
      <c r="H16" s="1307" t="s">
        <v>6866</v>
      </c>
      <c r="I16" s="1308"/>
      <c r="J16" s="1308"/>
      <c r="K16" s="1308"/>
      <c r="L16" s="1308"/>
      <c r="M16" s="601"/>
      <c r="N16" s="601"/>
      <c r="R16" s="1765"/>
      <c r="S16" s="1765"/>
      <c r="T16" s="1765"/>
    </row>
    <row r="17" spans="2:20" s="1311" customFormat="1" ht="27.75" customHeight="1" thickBot="1">
      <c r="B17" s="1309" t="s">
        <v>2865</v>
      </c>
      <c r="C17" s="1310">
        <v>12</v>
      </c>
      <c r="D17" s="1310">
        <f>$D$13/12*C17</f>
        <v>180</v>
      </c>
      <c r="F17" s="1309" t="s">
        <v>2865</v>
      </c>
      <c r="G17" s="1310">
        <v>12</v>
      </c>
      <c r="H17" s="1310">
        <f>$H$13/12*G17</f>
        <v>150</v>
      </c>
      <c r="I17" s="1312"/>
      <c r="J17" s="1312"/>
      <c r="K17" s="1312"/>
      <c r="L17" s="1312"/>
      <c r="M17" s="1313"/>
      <c r="N17" s="1313"/>
      <c r="R17" s="1314"/>
      <c r="S17" s="1314"/>
      <c r="T17" s="1314"/>
    </row>
    <row r="18" spans="2:20" s="1311" customFormat="1" ht="27.75" customHeight="1" thickBot="1">
      <c r="B18" s="1309" t="s">
        <v>2866</v>
      </c>
      <c r="C18" s="1310">
        <v>11</v>
      </c>
      <c r="D18" s="1310">
        <f t="shared" ref="D18:D28" si="1">$D$13/12*C18</f>
        <v>165</v>
      </c>
      <c r="F18" s="1309" t="s">
        <v>2866</v>
      </c>
      <c r="G18" s="1310">
        <v>11</v>
      </c>
      <c r="H18" s="1310">
        <f t="shared" ref="H18:H28" si="2">$H$13/12*G18</f>
        <v>137.5</v>
      </c>
      <c r="I18" s="1315"/>
      <c r="J18" s="1315"/>
      <c r="K18" s="1312"/>
      <c r="L18" s="1312"/>
      <c r="R18" s="1314"/>
      <c r="S18" s="1314"/>
      <c r="T18" s="1314"/>
    </row>
    <row r="19" spans="2:20" s="1311" customFormat="1" ht="27.75" customHeight="1" thickBot="1">
      <c r="B19" s="1309" t="s">
        <v>2867</v>
      </c>
      <c r="C19" s="1310">
        <v>10</v>
      </c>
      <c r="D19" s="1310">
        <f t="shared" si="1"/>
        <v>150</v>
      </c>
      <c r="F19" s="1309" t="s">
        <v>2867</v>
      </c>
      <c r="G19" s="1310">
        <v>10</v>
      </c>
      <c r="H19" s="1310">
        <f t="shared" si="2"/>
        <v>125</v>
      </c>
      <c r="I19" s="1315"/>
      <c r="J19" s="1315"/>
      <c r="K19" s="1312"/>
      <c r="L19" s="1312"/>
      <c r="R19" s="1314"/>
      <c r="S19" s="1314"/>
      <c r="T19" s="1314"/>
    </row>
    <row r="20" spans="2:20" s="1311" customFormat="1" ht="27.75" customHeight="1" thickBot="1">
      <c r="B20" s="1309" t="s">
        <v>2868</v>
      </c>
      <c r="C20" s="1310">
        <v>9</v>
      </c>
      <c r="D20" s="1310">
        <f t="shared" si="1"/>
        <v>135</v>
      </c>
      <c r="F20" s="1309" t="s">
        <v>2868</v>
      </c>
      <c r="G20" s="1310">
        <v>9</v>
      </c>
      <c r="H20" s="1310">
        <f t="shared" si="2"/>
        <v>112.5</v>
      </c>
      <c r="I20" s="1315"/>
      <c r="J20" s="1315"/>
      <c r="K20" s="1312"/>
      <c r="L20" s="1312"/>
      <c r="R20" s="1766"/>
      <c r="S20" s="1766"/>
      <c r="T20" s="1766"/>
    </row>
    <row r="21" spans="2:20" s="1311" customFormat="1" ht="27.75" customHeight="1" thickBot="1">
      <c r="B21" s="1309" t="s">
        <v>2869</v>
      </c>
      <c r="C21" s="1310">
        <v>8</v>
      </c>
      <c r="D21" s="1310">
        <f t="shared" si="1"/>
        <v>120</v>
      </c>
      <c r="F21" s="1309" t="s">
        <v>2869</v>
      </c>
      <c r="G21" s="1310">
        <v>8</v>
      </c>
      <c r="H21" s="1310">
        <f t="shared" si="2"/>
        <v>100</v>
      </c>
      <c r="I21" s="1315"/>
      <c r="J21" s="1315"/>
      <c r="K21" s="1312"/>
      <c r="L21" s="1312"/>
    </row>
    <row r="22" spans="2:20" s="1311" customFormat="1" ht="27.75" customHeight="1" thickBot="1">
      <c r="B22" s="1309" t="s">
        <v>2870</v>
      </c>
      <c r="C22" s="1310">
        <v>7</v>
      </c>
      <c r="D22" s="1310">
        <f t="shared" si="1"/>
        <v>105</v>
      </c>
      <c r="F22" s="1309" t="s">
        <v>2870</v>
      </c>
      <c r="G22" s="1310">
        <v>7</v>
      </c>
      <c r="H22" s="1310">
        <f t="shared" si="2"/>
        <v>87.5</v>
      </c>
      <c r="I22" s="1315"/>
      <c r="J22" s="1315"/>
      <c r="K22" s="1312"/>
      <c r="L22" s="1312"/>
    </row>
    <row r="23" spans="2:20" s="1311" customFormat="1" ht="27.75" customHeight="1" thickBot="1">
      <c r="B23" s="1309" t="s">
        <v>2863</v>
      </c>
      <c r="C23" s="1310">
        <v>6</v>
      </c>
      <c r="D23" s="1310">
        <f t="shared" si="1"/>
        <v>90</v>
      </c>
      <c r="F23" s="1309" t="s">
        <v>2863</v>
      </c>
      <c r="G23" s="1310">
        <v>6</v>
      </c>
      <c r="H23" s="1310">
        <f t="shared" si="2"/>
        <v>75</v>
      </c>
      <c r="I23" s="1315"/>
      <c r="J23" s="1315"/>
      <c r="K23" s="1312"/>
      <c r="L23" s="1312"/>
    </row>
    <row r="24" spans="2:20" s="1311" customFormat="1" ht="27.75" customHeight="1" thickBot="1">
      <c r="B24" s="1309" t="s">
        <v>2871</v>
      </c>
      <c r="C24" s="1310">
        <v>5</v>
      </c>
      <c r="D24" s="1310">
        <f t="shared" si="1"/>
        <v>75</v>
      </c>
      <c r="F24" s="1309" t="s">
        <v>2871</v>
      </c>
      <c r="G24" s="1310">
        <v>5</v>
      </c>
      <c r="H24" s="1310">
        <f t="shared" si="2"/>
        <v>62.5</v>
      </c>
      <c r="I24" s="1315"/>
      <c r="J24" s="1315"/>
      <c r="K24" s="1312"/>
      <c r="L24" s="1312"/>
    </row>
    <row r="25" spans="2:20" s="1311" customFormat="1" ht="27.75" customHeight="1" thickBot="1">
      <c r="B25" s="1309" t="s">
        <v>2872</v>
      </c>
      <c r="C25" s="1310">
        <v>4</v>
      </c>
      <c r="D25" s="1310">
        <f t="shared" si="1"/>
        <v>60</v>
      </c>
      <c r="F25" s="1309" t="s">
        <v>2872</v>
      </c>
      <c r="G25" s="1310">
        <v>4</v>
      </c>
      <c r="H25" s="1310">
        <f t="shared" si="2"/>
        <v>50</v>
      </c>
      <c r="I25" s="1315"/>
      <c r="J25" s="1315"/>
      <c r="K25" s="1312"/>
      <c r="L25" s="1312"/>
    </row>
    <row r="26" spans="2:20" s="1311" customFormat="1" ht="27.75" customHeight="1" thickBot="1">
      <c r="B26" s="1309" t="s">
        <v>2873</v>
      </c>
      <c r="C26" s="1310">
        <v>3</v>
      </c>
      <c r="D26" s="1310">
        <f t="shared" si="1"/>
        <v>45</v>
      </c>
      <c r="F26" s="1309" t="s">
        <v>2873</v>
      </c>
      <c r="G26" s="1310">
        <v>3</v>
      </c>
      <c r="H26" s="1310">
        <f t="shared" si="2"/>
        <v>37.5</v>
      </c>
      <c r="I26" s="1315"/>
      <c r="J26" s="1315"/>
      <c r="K26" s="1312"/>
      <c r="L26" s="1312"/>
    </row>
    <row r="27" spans="2:20" s="1311" customFormat="1" ht="27.75" customHeight="1" thickBot="1">
      <c r="B27" s="1309" t="s">
        <v>2895</v>
      </c>
      <c r="C27" s="1310">
        <v>2</v>
      </c>
      <c r="D27" s="1310">
        <f t="shared" si="1"/>
        <v>30</v>
      </c>
      <c r="F27" s="1309" t="s">
        <v>2895</v>
      </c>
      <c r="G27" s="1310">
        <v>2</v>
      </c>
      <c r="H27" s="1310">
        <f t="shared" si="2"/>
        <v>25</v>
      </c>
      <c r="I27" s="1315"/>
      <c r="J27" s="1315"/>
      <c r="K27" s="1312"/>
      <c r="L27" s="1312"/>
    </row>
    <row r="28" spans="2:20" s="1311" customFormat="1" ht="27.75" customHeight="1" thickBot="1">
      <c r="B28" s="1309" t="s">
        <v>2896</v>
      </c>
      <c r="C28" s="1310">
        <v>1</v>
      </c>
      <c r="D28" s="1310">
        <f t="shared" si="1"/>
        <v>15</v>
      </c>
      <c r="F28" s="1309" t="s">
        <v>2896</v>
      </c>
      <c r="G28" s="1310">
        <v>1</v>
      </c>
      <c r="H28" s="1310">
        <f t="shared" si="2"/>
        <v>12.5</v>
      </c>
      <c r="I28" s="1315"/>
      <c r="J28" s="1315"/>
      <c r="K28" s="1312"/>
      <c r="L28" s="1312"/>
    </row>
    <row r="31" spans="2:20" ht="15.75" thickBot="1"/>
    <row r="32" spans="2:20" ht="38.25" customHeight="1" thickBot="1">
      <c r="B32" s="1767" t="s">
        <v>6867</v>
      </c>
      <c r="C32" s="1768"/>
      <c r="E32" s="1767" t="s">
        <v>6868</v>
      </c>
      <c r="F32" s="1769"/>
    </row>
    <row r="33" spans="2:21" ht="49.5" customHeight="1" thickBot="1">
      <c r="B33" s="1770" t="s">
        <v>6869</v>
      </c>
      <c r="C33" s="1771"/>
      <c r="E33" s="1770" t="s">
        <v>6870</v>
      </c>
      <c r="F33" s="1771"/>
      <c r="T33" s="1314" t="s">
        <v>6871</v>
      </c>
      <c r="U33" s="1316"/>
    </row>
    <row r="34" spans="2:21" ht="23.25">
      <c r="T34" s="1317">
        <f>(((O4/30)*180)/12)</f>
        <v>257.83999999999997</v>
      </c>
      <c r="U34" s="1316"/>
    </row>
    <row r="35" spans="2:21" ht="23.25">
      <c r="T35" s="1317">
        <f>(((O4/30)*150)/12)</f>
        <v>214.86666666666667</v>
      </c>
      <c r="U35" s="1316"/>
    </row>
    <row r="36" spans="2:21" ht="23.25">
      <c r="T36" s="1314"/>
      <c r="U36" s="1316"/>
    </row>
    <row r="37" spans="2:21" ht="23.25">
      <c r="T37" s="1318">
        <f>T34+T35</f>
        <v>472.70666666666665</v>
      </c>
      <c r="U37" s="1316"/>
    </row>
    <row r="38" spans="2:21" ht="23.25">
      <c r="T38" s="1314"/>
      <c r="U38" s="1316"/>
    </row>
    <row r="39" spans="2:21" ht="23.25">
      <c r="T39" s="1314" t="s">
        <v>6872</v>
      </c>
      <c r="U39" s="1316"/>
    </row>
    <row r="40" spans="2:21">
      <c r="T40" s="1316"/>
      <c r="U40" s="1316"/>
    </row>
    <row r="41" spans="2:21">
      <c r="T41" s="1316"/>
      <c r="U41" s="1316"/>
    </row>
    <row r="61" spans="19:20">
      <c r="S61" s="1319" t="s">
        <v>6873</v>
      </c>
      <c r="T61" s="1319" t="s">
        <v>6874</v>
      </c>
    </row>
    <row r="62" spans="19:20" ht="15.75">
      <c r="S62" s="1320">
        <f>((O4/30*180/12))</f>
        <v>257.83999999999997</v>
      </c>
      <c r="T62" s="1321">
        <f>((O4+S62)/30)*150/4</f>
        <v>966.9</v>
      </c>
    </row>
    <row r="79" spans="2:2">
      <c r="B79" s="364" t="s">
        <v>6875</v>
      </c>
    </row>
  </sheetData>
  <mergeCells count="12">
    <mergeCell ref="D1:G1"/>
    <mergeCell ref="B14:D14"/>
    <mergeCell ref="F14:H14"/>
    <mergeCell ref="M14:N14"/>
    <mergeCell ref="B15:D15"/>
    <mergeCell ref="F15:H15"/>
    <mergeCell ref="R16:T16"/>
    <mergeCell ref="R20:T20"/>
    <mergeCell ref="B32:C32"/>
    <mergeCell ref="E32:F32"/>
    <mergeCell ref="B33:C33"/>
    <mergeCell ref="E33:F33"/>
  </mergeCells>
  <pageMargins left="0.39370078740157483" right="0.39370078740157483" top="0.39370078740157483" bottom="0.39370078740157483" header="0.31496062992125984" footer="0.31496062992125984"/>
  <pageSetup paperSize="9" scale="31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>
    <tabColor rgb="FFFFFF00"/>
  </sheetPr>
  <dimension ref="A1:I595"/>
  <sheetViews>
    <sheetView topLeftCell="A7" zoomScale="90" zoomScaleNormal="90" workbookViewId="0">
      <pane ySplit="795" topLeftCell="A175" activePane="bottomLeft"/>
      <selection activeCell="C16" sqref="C1:C1048576"/>
      <selection pane="bottomLeft" activeCell="B563" sqref="B563"/>
    </sheetView>
  </sheetViews>
  <sheetFormatPr baseColWidth="10" defaultRowHeight="15"/>
  <cols>
    <col min="1" max="1" width="11.42578125" style="356"/>
    <col min="2" max="2" width="43.140625" customWidth="1"/>
    <col min="3" max="3" width="35" customWidth="1"/>
    <col min="4" max="4" width="10.5703125" style="454" customWidth="1"/>
    <col min="5" max="5" width="43.85546875" customWidth="1"/>
    <col min="6" max="6" width="11.42578125" style="425"/>
    <col min="7" max="7" width="13.7109375" style="427" customWidth="1"/>
    <col min="8" max="8" width="11.42578125" style="425"/>
    <col min="9" max="9" width="16.42578125" customWidth="1"/>
  </cols>
  <sheetData>
    <row r="1" spans="1:9">
      <c r="B1" s="1785" t="s">
        <v>5743</v>
      </c>
      <c r="C1" s="1785"/>
      <c r="D1" s="1785"/>
      <c r="E1" s="1785"/>
    </row>
    <row r="2" spans="1:9">
      <c r="B2" s="1786" t="s">
        <v>5567</v>
      </c>
      <c r="C2" s="1786"/>
      <c r="D2" s="1786"/>
      <c r="E2" s="1786"/>
      <c r="F2" s="1786"/>
    </row>
    <row r="3" spans="1:9">
      <c r="B3" s="1786" t="s">
        <v>5568</v>
      </c>
      <c r="C3" s="1786"/>
      <c r="D3" s="1786"/>
      <c r="E3" s="1786"/>
      <c r="F3" s="1786"/>
    </row>
    <row r="4" spans="1:9">
      <c r="B4" s="1786" t="s">
        <v>5569</v>
      </c>
      <c r="C4" s="1786"/>
      <c r="D4" s="1786"/>
      <c r="E4" s="1786"/>
      <c r="F4" s="1786"/>
    </row>
    <row r="6" spans="1:9">
      <c r="G6" s="427">
        <f>+NOMINA!H10</f>
        <v>45688</v>
      </c>
    </row>
    <row r="7" spans="1:9">
      <c r="A7" s="357" t="s">
        <v>5570</v>
      </c>
      <c r="B7" s="1787" t="s">
        <v>5578</v>
      </c>
      <c r="C7" s="1787" t="s">
        <v>5577</v>
      </c>
      <c r="D7" s="446" t="s">
        <v>5571</v>
      </c>
      <c r="E7" s="355" t="s">
        <v>5572</v>
      </c>
      <c r="F7" s="1787" t="s">
        <v>5573</v>
      </c>
      <c r="G7" s="428" t="s">
        <v>5574</v>
      </c>
      <c r="H7" s="1781" t="s">
        <v>5575</v>
      </c>
      <c r="I7" s="1782"/>
    </row>
    <row r="8" spans="1:9">
      <c r="A8" s="358" t="s">
        <v>5576</v>
      </c>
      <c r="B8" s="1788"/>
      <c r="C8" s="1788"/>
      <c r="D8" s="455" t="s">
        <v>4612</v>
      </c>
      <c r="E8" s="359" t="s">
        <v>5578</v>
      </c>
      <c r="F8" s="1788"/>
      <c r="G8" s="429" t="s">
        <v>5579</v>
      </c>
      <c r="H8" s="1783"/>
      <c r="I8" s="1784"/>
    </row>
    <row r="9" spans="1:9">
      <c r="A9" s="448" t="s">
        <v>4627</v>
      </c>
      <c r="B9" s="449"/>
      <c r="C9" s="361"/>
      <c r="D9" s="456"/>
      <c r="E9" s="361"/>
      <c r="F9" s="435"/>
      <c r="G9" s="430"/>
      <c r="H9" s="435"/>
      <c r="I9" s="361"/>
    </row>
    <row r="10" spans="1:9" s="601" customFormat="1">
      <c r="A10" s="360"/>
      <c r="B10" s="459"/>
      <c r="C10" s="1172"/>
      <c r="D10" s="1173"/>
      <c r="E10" s="1172"/>
      <c r="F10" s="1174"/>
      <c r="G10" s="1175"/>
      <c r="H10" s="435"/>
      <c r="I10" s="1172"/>
    </row>
    <row r="11" spans="1:9" s="364" customFormat="1">
      <c r="A11" s="370"/>
      <c r="B11" s="371"/>
      <c r="C11" s="371"/>
      <c r="D11" s="457"/>
      <c r="E11" s="371"/>
      <c r="F11" s="442"/>
      <c r="G11" s="431"/>
      <c r="H11" s="442"/>
      <c r="I11" s="371"/>
    </row>
    <row r="12" spans="1:9" s="364" customFormat="1" ht="18.75">
      <c r="A12" s="370"/>
      <c r="B12" s="371"/>
      <c r="C12" s="462" t="s">
        <v>5790</v>
      </c>
      <c r="D12" s="451">
        <f>+SUM(D9:D11)</f>
        <v>0</v>
      </c>
      <c r="E12" s="371"/>
      <c r="F12" s="442"/>
      <c r="G12" s="431"/>
      <c r="H12" s="442"/>
      <c r="I12" s="371"/>
    </row>
    <row r="13" spans="1:9" s="364" customFormat="1">
      <c r="A13" s="370"/>
      <c r="B13" s="371"/>
      <c r="C13" s="371"/>
      <c r="D13" s="457"/>
      <c r="E13" s="371"/>
      <c r="F13" s="442"/>
      <c r="G13" s="431"/>
      <c r="H13" s="442"/>
      <c r="I13" s="371"/>
    </row>
    <row r="14" spans="1:9" s="364" customFormat="1">
      <c r="A14" s="448" t="s">
        <v>5516</v>
      </c>
      <c r="B14" s="450"/>
      <c r="C14" s="371"/>
      <c r="D14" s="457"/>
      <c r="E14" s="371"/>
      <c r="F14" s="442"/>
      <c r="G14" s="431"/>
      <c r="H14" s="442"/>
      <c r="I14" s="371"/>
    </row>
    <row r="15" spans="1:9" s="364" customFormat="1">
      <c r="A15" s="360">
        <v>11894534</v>
      </c>
      <c r="B15" s="376" t="s">
        <v>5735</v>
      </c>
      <c r="C15" s="361"/>
      <c r="D15" s="465">
        <v>0</v>
      </c>
      <c r="E15" s="361" t="s">
        <v>5736</v>
      </c>
      <c r="F15" s="435" t="s">
        <v>4620</v>
      </c>
      <c r="G15" s="430">
        <v>38814</v>
      </c>
      <c r="H15" s="435">
        <f>DATEDIF(G15,$G$6,"Y")</f>
        <v>18</v>
      </c>
      <c r="I15" s="361" t="s">
        <v>5794</v>
      </c>
    </row>
    <row r="16" spans="1:9" s="364" customFormat="1">
      <c r="A16" s="360">
        <v>11894534</v>
      </c>
      <c r="B16" s="376" t="s">
        <v>5735</v>
      </c>
      <c r="C16" s="361"/>
      <c r="D16" s="362"/>
      <c r="E16" s="361" t="s">
        <v>5737</v>
      </c>
      <c r="F16" s="435" t="s">
        <v>4620</v>
      </c>
      <c r="G16" s="430">
        <v>36727</v>
      </c>
      <c r="H16" s="435">
        <f>DATEDIF(G16,$G$6,"Y")</f>
        <v>24</v>
      </c>
      <c r="I16" s="361" t="s">
        <v>5794</v>
      </c>
    </row>
    <row r="17" spans="1:9" s="364" customFormat="1">
      <c r="A17" s="370"/>
      <c r="B17" s="459"/>
      <c r="C17" s="371"/>
      <c r="D17" s="457"/>
      <c r="E17" s="371"/>
      <c r="F17" s="442"/>
      <c r="G17" s="431"/>
      <c r="H17" s="442"/>
      <c r="I17" s="371"/>
    </row>
    <row r="18" spans="1:9" s="364" customFormat="1">
      <c r="A18" s="370">
        <v>10404528</v>
      </c>
      <c r="B18" s="459" t="s">
        <v>4669</v>
      </c>
      <c r="C18" s="371" t="s">
        <v>218</v>
      </c>
      <c r="D18" s="457">
        <v>1</v>
      </c>
      <c r="E18" s="371" t="s">
        <v>5723</v>
      </c>
      <c r="F18" s="442" t="s">
        <v>4621</v>
      </c>
      <c r="G18" s="431">
        <v>40647</v>
      </c>
      <c r="H18" s="435">
        <f>DATEDIF(G18,$G$6,"Y")</f>
        <v>13</v>
      </c>
      <c r="I18" s="371"/>
    </row>
    <row r="19" spans="1:9" s="364" customFormat="1">
      <c r="A19" s="370"/>
      <c r="B19" s="459"/>
      <c r="C19" s="371"/>
      <c r="D19" s="457"/>
      <c r="E19" s="371"/>
      <c r="F19" s="442"/>
      <c r="G19" s="431"/>
      <c r="H19" s="442"/>
      <c r="I19" s="371"/>
    </row>
    <row r="20" spans="1:9" s="364" customFormat="1">
      <c r="A20" s="360">
        <v>21592108</v>
      </c>
      <c r="B20" s="376" t="s">
        <v>5739</v>
      </c>
      <c r="C20" s="361" t="s">
        <v>5740</v>
      </c>
      <c r="D20" s="465">
        <v>1</v>
      </c>
      <c r="E20" s="361" t="s">
        <v>5741</v>
      </c>
      <c r="F20" s="435" t="s">
        <v>4620</v>
      </c>
      <c r="G20" s="430">
        <v>42224</v>
      </c>
      <c r="H20" s="435">
        <f>DATEDIF(G20,$G$6,"Y")</f>
        <v>9</v>
      </c>
      <c r="I20" s="361"/>
    </row>
    <row r="21" spans="1:9" s="364" customFormat="1">
      <c r="A21" s="903"/>
      <c r="B21" s="904"/>
      <c r="C21" s="905"/>
      <c r="D21" s="906"/>
      <c r="E21" s="905"/>
      <c r="F21" s="907"/>
      <c r="G21" s="908"/>
      <c r="H21" s="907"/>
      <c r="I21" s="905"/>
    </row>
    <row r="22" spans="1:9" s="364" customFormat="1">
      <c r="A22" s="360">
        <v>13462933</v>
      </c>
      <c r="B22" s="376" t="s">
        <v>5728</v>
      </c>
      <c r="C22" s="361"/>
      <c r="D22" s="465">
        <v>1</v>
      </c>
      <c r="E22" s="361" t="s">
        <v>5729</v>
      </c>
      <c r="F22" s="435" t="s">
        <v>4621</v>
      </c>
      <c r="G22" s="430">
        <v>37985</v>
      </c>
      <c r="H22" s="435">
        <f>DATEDIF(G22,$G$6,"Y")</f>
        <v>21</v>
      </c>
      <c r="I22" s="361" t="s">
        <v>5752</v>
      </c>
    </row>
    <row r="23" spans="1:9" s="364" customFormat="1">
      <c r="A23" s="360">
        <v>13462933</v>
      </c>
      <c r="B23" s="376" t="s">
        <v>5728</v>
      </c>
      <c r="C23" s="361"/>
      <c r="D23" s="362"/>
      <c r="E23" s="361" t="s">
        <v>5730</v>
      </c>
      <c r="F23" s="435" t="s">
        <v>4620</v>
      </c>
      <c r="G23" s="430">
        <v>40894</v>
      </c>
      <c r="H23" s="435">
        <f>DATEDIF(G23,$G$6,"Y")</f>
        <v>13</v>
      </c>
      <c r="I23" s="361"/>
    </row>
    <row r="24" spans="1:9" s="364" customFormat="1">
      <c r="A24" s="370"/>
      <c r="B24" s="459"/>
      <c r="C24" s="371"/>
      <c r="D24" s="457"/>
      <c r="E24" s="371"/>
      <c r="F24" s="442"/>
      <c r="G24" s="431"/>
      <c r="H24" s="442"/>
      <c r="I24" s="371"/>
    </row>
    <row r="25" spans="1:9" s="364" customFormat="1">
      <c r="A25" s="903"/>
      <c r="B25" s="904"/>
      <c r="C25" s="905"/>
      <c r="D25" s="906"/>
      <c r="E25" s="905"/>
      <c r="F25" s="907"/>
      <c r="G25" s="908"/>
      <c r="H25" s="907"/>
      <c r="I25" s="905"/>
    </row>
    <row r="26" spans="1:9" s="364" customFormat="1">
      <c r="A26" s="360">
        <v>12542413</v>
      </c>
      <c r="B26" s="376" t="s">
        <v>4675</v>
      </c>
      <c r="C26" s="361"/>
      <c r="D26" s="465">
        <v>0</v>
      </c>
      <c r="E26" s="361" t="s">
        <v>5733</v>
      </c>
      <c r="F26" s="435" t="s">
        <v>4620</v>
      </c>
      <c r="G26" s="430">
        <v>36558</v>
      </c>
      <c r="H26" s="435">
        <f>DATEDIF(G26,$G$6,"Y")</f>
        <v>24</v>
      </c>
      <c r="I26" s="361" t="s">
        <v>5596</v>
      </c>
    </row>
    <row r="27" spans="1:9" s="364" customFormat="1">
      <c r="A27" s="360">
        <v>12542413</v>
      </c>
      <c r="B27" s="376" t="s">
        <v>4675</v>
      </c>
      <c r="C27" s="361"/>
      <c r="D27" s="362"/>
      <c r="E27" s="361" t="s">
        <v>5734</v>
      </c>
      <c r="F27" s="435" t="s">
        <v>4620</v>
      </c>
      <c r="G27" s="430">
        <v>38658</v>
      </c>
      <c r="H27" s="435">
        <f>DATEDIF(G27,$G$6,"Y")</f>
        <v>19</v>
      </c>
      <c r="I27" s="361" t="s">
        <v>5596</v>
      </c>
    </row>
    <row r="28" spans="1:9" s="364" customFormat="1">
      <c r="A28" s="360">
        <v>12542413</v>
      </c>
      <c r="B28" s="376" t="s">
        <v>4675</v>
      </c>
      <c r="C28" s="361"/>
      <c r="D28" s="362"/>
      <c r="E28" s="361" t="s">
        <v>5732</v>
      </c>
      <c r="F28" s="435" t="s">
        <v>4620</v>
      </c>
      <c r="G28" s="430">
        <v>38908</v>
      </c>
      <c r="H28" s="435">
        <f>DATEDIF(G28,$G$6,"Y")</f>
        <v>18</v>
      </c>
      <c r="I28" s="361" t="s">
        <v>5596</v>
      </c>
    </row>
    <row r="29" spans="1:9" s="364" customFormat="1">
      <c r="A29" s="360"/>
      <c r="B29" s="376"/>
      <c r="C29" s="361"/>
      <c r="D29" s="362"/>
      <c r="E29" s="361"/>
      <c r="F29" s="435"/>
      <c r="G29" s="430"/>
      <c r="H29" s="435"/>
      <c r="I29" s="361"/>
    </row>
    <row r="30" spans="1:9" s="364" customFormat="1">
      <c r="A30" s="360">
        <v>18457406</v>
      </c>
      <c r="B30" s="376" t="s">
        <v>5727</v>
      </c>
      <c r="C30" s="361"/>
      <c r="D30" s="465">
        <v>1</v>
      </c>
      <c r="E30" s="361" t="s">
        <v>5685</v>
      </c>
      <c r="F30" s="435" t="s">
        <v>4620</v>
      </c>
      <c r="G30" s="430">
        <v>41659</v>
      </c>
      <c r="H30" s="435">
        <f>DATEDIF(G30,$G$6,"Y")</f>
        <v>11</v>
      </c>
      <c r="I30" s="361"/>
    </row>
    <row r="31" spans="1:9" s="364" customFormat="1">
      <c r="A31" s="903"/>
      <c r="B31" s="904"/>
      <c r="C31" s="905"/>
      <c r="D31" s="906"/>
      <c r="E31" s="905"/>
      <c r="F31" s="907"/>
      <c r="G31" s="908"/>
      <c r="H31" s="907"/>
      <c r="I31" s="905"/>
    </row>
    <row r="32" spans="1:9" s="364" customFormat="1">
      <c r="A32" s="370">
        <v>11895772</v>
      </c>
      <c r="B32" s="459" t="s">
        <v>4677</v>
      </c>
      <c r="C32" s="371"/>
      <c r="D32" s="457">
        <v>1</v>
      </c>
      <c r="E32" s="371" t="s">
        <v>6021</v>
      </c>
      <c r="F32" s="442" t="s">
        <v>4621</v>
      </c>
      <c r="G32" s="431">
        <v>39954</v>
      </c>
      <c r="H32" s="435">
        <f>DATEDIF(G32,$G$6,"Y")</f>
        <v>15</v>
      </c>
      <c r="I32" s="371"/>
    </row>
    <row r="33" spans="1:9" s="364" customFormat="1">
      <c r="A33" s="903"/>
      <c r="B33" s="904"/>
      <c r="C33" s="905"/>
      <c r="D33" s="906"/>
      <c r="E33" s="905"/>
      <c r="F33" s="907"/>
      <c r="G33" s="908"/>
      <c r="H33" s="907"/>
      <c r="I33" s="905"/>
    </row>
    <row r="34" spans="1:9" s="364" customFormat="1">
      <c r="A34" s="370">
        <v>5348397</v>
      </c>
      <c r="B34" s="459" t="s">
        <v>4678</v>
      </c>
      <c r="C34" s="371"/>
      <c r="D34" s="457">
        <v>1</v>
      </c>
      <c r="E34" s="371" t="s">
        <v>6022</v>
      </c>
      <c r="F34" s="442" t="s">
        <v>4621</v>
      </c>
      <c r="G34" s="431">
        <v>37449</v>
      </c>
      <c r="H34" s="435">
        <f>DATEDIF(G34,$G$6,"Y")</f>
        <v>22</v>
      </c>
      <c r="I34" s="361" t="s">
        <v>5794</v>
      </c>
    </row>
    <row r="35" spans="1:9" s="364" customFormat="1">
      <c r="A35" s="370">
        <v>5348397</v>
      </c>
      <c r="B35" s="459" t="s">
        <v>4678</v>
      </c>
      <c r="C35" s="371"/>
      <c r="D35" s="457"/>
      <c r="E35" s="371" t="s">
        <v>6023</v>
      </c>
      <c r="F35" s="442" t="s">
        <v>4621</v>
      </c>
      <c r="G35" s="431">
        <v>39396</v>
      </c>
      <c r="H35" s="435">
        <f>DATEDIF(G35,$G$6,"Y")</f>
        <v>17</v>
      </c>
      <c r="I35" s="371"/>
    </row>
    <row r="36" spans="1:9" s="364" customFormat="1">
      <c r="A36" s="370"/>
      <c r="B36" s="459"/>
      <c r="C36" s="371"/>
      <c r="D36" s="457"/>
      <c r="E36" s="371" t="s">
        <v>2904</v>
      </c>
      <c r="F36" s="442"/>
      <c r="G36" s="431"/>
      <c r="H36" s="442"/>
      <c r="I36" s="371"/>
    </row>
    <row r="37" spans="1:9" s="364" customFormat="1">
      <c r="A37" s="903"/>
      <c r="B37" s="904"/>
      <c r="C37" s="905"/>
      <c r="D37" s="906"/>
      <c r="E37" s="905"/>
      <c r="F37" s="907"/>
      <c r="G37" s="908"/>
      <c r="H37" s="907"/>
      <c r="I37" s="905"/>
    </row>
    <row r="38" spans="1:9" s="364" customFormat="1">
      <c r="A38" s="360">
        <v>11320533</v>
      </c>
      <c r="B38" s="361" t="s">
        <v>4744</v>
      </c>
      <c r="C38" s="361" t="s">
        <v>5241</v>
      </c>
      <c r="D38" s="465">
        <v>1</v>
      </c>
      <c r="E38" s="361" t="s">
        <v>5584</v>
      </c>
      <c r="F38" s="435" t="s">
        <v>4620</v>
      </c>
      <c r="G38" s="430">
        <v>38598</v>
      </c>
      <c r="H38" s="435">
        <f>DATEDIF(G38,$G$6,"Y")</f>
        <v>19</v>
      </c>
      <c r="I38" s="361" t="s">
        <v>5794</v>
      </c>
    </row>
    <row r="39" spans="1:9" s="364" customFormat="1">
      <c r="A39" s="360">
        <v>11320533</v>
      </c>
      <c r="B39" s="361" t="s">
        <v>4744</v>
      </c>
      <c r="C39" s="361"/>
      <c r="D39" s="362"/>
      <c r="E39" s="361" t="s">
        <v>5585</v>
      </c>
      <c r="F39" s="435" t="s">
        <v>4620</v>
      </c>
      <c r="G39" s="430">
        <v>39374</v>
      </c>
      <c r="H39" s="435">
        <f>DATEDIF(G39,$G$6,"Y")</f>
        <v>17</v>
      </c>
      <c r="I39" s="361"/>
    </row>
    <row r="40" spans="1:9" s="364" customFormat="1">
      <c r="A40" s="903"/>
      <c r="B40" s="904"/>
      <c r="C40" s="905"/>
      <c r="D40" s="906"/>
      <c r="E40" s="905"/>
      <c r="F40" s="907"/>
      <c r="G40" s="908"/>
      <c r="H40" s="907"/>
      <c r="I40" s="905"/>
    </row>
    <row r="41" spans="1:9" s="364" customFormat="1">
      <c r="A41" s="370">
        <v>13568733</v>
      </c>
      <c r="B41" s="459" t="s">
        <v>4685</v>
      </c>
      <c r="C41" s="371"/>
      <c r="D41" s="457">
        <v>1</v>
      </c>
      <c r="E41" s="371" t="s">
        <v>6025</v>
      </c>
      <c r="F41" s="435" t="s">
        <v>4620</v>
      </c>
      <c r="G41" s="431">
        <v>41229</v>
      </c>
      <c r="H41" s="435">
        <f>DATEDIF(G41,$G$6,"Y")</f>
        <v>12</v>
      </c>
      <c r="I41" s="371"/>
    </row>
    <row r="42" spans="1:9" s="364" customFormat="1">
      <c r="A42" s="903"/>
      <c r="B42" s="904"/>
      <c r="C42" s="905"/>
      <c r="D42" s="906"/>
      <c r="E42" s="905"/>
      <c r="F42" s="907"/>
      <c r="G42" s="908"/>
      <c r="H42" s="907"/>
      <c r="I42" s="905"/>
    </row>
    <row r="43" spans="1:9" s="364" customFormat="1">
      <c r="A43" s="903"/>
      <c r="B43" s="904"/>
      <c r="C43" s="905"/>
      <c r="D43" s="906"/>
      <c r="E43" s="905"/>
      <c r="F43" s="907"/>
      <c r="G43" s="908"/>
      <c r="H43" s="907"/>
      <c r="I43" s="905"/>
    </row>
    <row r="44" spans="1:9" s="364" customFormat="1">
      <c r="A44" s="360">
        <v>15752183</v>
      </c>
      <c r="B44" s="376" t="s">
        <v>5724</v>
      </c>
      <c r="C44" s="361" t="s">
        <v>218</v>
      </c>
      <c r="D44" s="362">
        <v>2</v>
      </c>
      <c r="E44" s="361" t="s">
        <v>5725</v>
      </c>
      <c r="F44" s="435" t="s">
        <v>4621</v>
      </c>
      <c r="G44" s="430">
        <v>39760</v>
      </c>
      <c r="H44" s="435">
        <f>DATEDIF(G44,$G$6,"Y")</f>
        <v>16</v>
      </c>
      <c r="I44" s="361"/>
    </row>
    <row r="45" spans="1:9" s="364" customFormat="1">
      <c r="A45" s="360">
        <v>15752183</v>
      </c>
      <c r="B45" s="376" t="s">
        <v>5724</v>
      </c>
      <c r="C45" s="361"/>
      <c r="D45" s="465"/>
      <c r="E45" s="361" t="s">
        <v>5726</v>
      </c>
      <c r="F45" s="435" t="s">
        <v>4621</v>
      </c>
      <c r="G45" s="430">
        <v>42488</v>
      </c>
      <c r="H45" s="435">
        <f>DATEDIF(G45,$G$6,"Y")</f>
        <v>8</v>
      </c>
      <c r="I45" s="361"/>
    </row>
    <row r="46" spans="1:9" s="364" customFormat="1">
      <c r="A46" s="1164"/>
      <c r="B46" s="1328"/>
      <c r="C46" s="1165"/>
      <c r="D46" s="1166"/>
      <c r="E46" s="1165"/>
      <c r="F46" s="1167"/>
      <c r="G46" s="1168"/>
      <c r="H46" s="1167"/>
      <c r="I46" s="1165"/>
    </row>
    <row r="47" spans="1:9" s="364" customFormat="1">
      <c r="A47" s="360">
        <v>16739081</v>
      </c>
      <c r="B47" s="361" t="s">
        <v>4828</v>
      </c>
      <c r="C47" s="361" t="s">
        <v>5740</v>
      </c>
      <c r="D47" s="1166">
        <v>2</v>
      </c>
      <c r="E47" s="361" t="s">
        <v>5653</v>
      </c>
      <c r="F47" s="435" t="s">
        <v>4620</v>
      </c>
      <c r="G47" s="430">
        <v>40629</v>
      </c>
      <c r="H47" s="435">
        <f t="shared" ref="H47:H48" si="0">DATEDIF(G47,$G$6,"Y")</f>
        <v>13</v>
      </c>
      <c r="I47" s="1165"/>
    </row>
    <row r="48" spans="1:9" s="364" customFormat="1">
      <c r="A48" s="360">
        <v>16739081</v>
      </c>
      <c r="B48" s="361" t="s">
        <v>4828</v>
      </c>
      <c r="C48" s="361"/>
      <c r="D48" s="1166"/>
      <c r="E48" s="361" t="s">
        <v>5654</v>
      </c>
      <c r="F48" s="435" t="s">
        <v>4620</v>
      </c>
      <c r="G48" s="430">
        <v>39951</v>
      </c>
      <c r="H48" s="435">
        <f t="shared" si="0"/>
        <v>15</v>
      </c>
      <c r="I48" s="1165"/>
    </row>
    <row r="49" spans="1:9" s="364" customFormat="1">
      <c r="A49" s="903"/>
      <c r="B49" s="904"/>
      <c r="C49" s="905"/>
      <c r="D49" s="906"/>
      <c r="E49" s="905"/>
      <c r="F49" s="907"/>
      <c r="G49" s="908"/>
      <c r="H49" s="907"/>
      <c r="I49" s="905"/>
    </row>
    <row r="50" spans="1:9" s="364" customFormat="1">
      <c r="A50" s="360">
        <v>13896239</v>
      </c>
      <c r="B50" s="361" t="s">
        <v>4688</v>
      </c>
      <c r="C50" s="361"/>
      <c r="D50" s="465">
        <v>1</v>
      </c>
      <c r="E50" s="361" t="s">
        <v>5738</v>
      </c>
      <c r="F50" s="435" t="s">
        <v>4620</v>
      </c>
      <c r="G50" s="430">
        <v>43719</v>
      </c>
      <c r="H50" s="435">
        <f>DATEDIF(G50,$G$6,"Y")</f>
        <v>5</v>
      </c>
      <c r="I50" s="361"/>
    </row>
    <row r="51" spans="1:9" s="364" customFormat="1">
      <c r="A51" s="903"/>
      <c r="B51" s="904"/>
      <c r="C51" s="905"/>
      <c r="D51" s="906"/>
      <c r="E51" s="905"/>
      <c r="F51" s="907"/>
      <c r="G51" s="908"/>
      <c r="H51" s="907"/>
      <c r="I51" s="905"/>
    </row>
    <row r="53" spans="1:9" s="364" customFormat="1">
      <c r="A53" s="1164"/>
      <c r="B53" s="1328"/>
      <c r="C53" s="1165"/>
      <c r="D53" s="1327"/>
      <c r="E53" s="1165"/>
      <c r="F53" s="1167"/>
      <c r="G53" s="1168"/>
      <c r="H53" s="1167"/>
      <c r="I53" s="1165"/>
    </row>
    <row r="54" spans="1:9" s="364" customFormat="1">
      <c r="A54" s="360">
        <v>20790947</v>
      </c>
      <c r="B54" s="376" t="s">
        <v>4686</v>
      </c>
      <c r="C54" s="361" t="s">
        <v>5050</v>
      </c>
      <c r="D54" s="909">
        <v>1</v>
      </c>
      <c r="E54" s="361" t="s">
        <v>5742</v>
      </c>
      <c r="F54" s="442" t="s">
        <v>4620</v>
      </c>
      <c r="G54" s="430">
        <v>43853</v>
      </c>
      <c r="H54" s="435">
        <f>DATEDIF(G54,$G$6,"Y")</f>
        <v>5</v>
      </c>
      <c r="I54" s="371"/>
    </row>
    <row r="55" spans="1:9" s="364" customFormat="1">
      <c r="A55" s="1164"/>
      <c r="B55" s="1328"/>
      <c r="C55" s="1165"/>
      <c r="D55" s="1166"/>
      <c r="E55" s="1165"/>
      <c r="F55" s="1167"/>
      <c r="G55" s="1168"/>
      <c r="H55" s="1167"/>
      <c r="I55" s="1165"/>
    </row>
    <row r="56" spans="1:9" s="364" customFormat="1">
      <c r="A56" s="370"/>
      <c r="B56" s="371"/>
      <c r="C56" s="371"/>
      <c r="D56" s="457"/>
      <c r="E56" s="371"/>
      <c r="F56" s="442"/>
      <c r="G56" s="431"/>
      <c r="H56" s="442"/>
      <c r="I56" s="371"/>
    </row>
    <row r="57" spans="1:9" s="364" customFormat="1" ht="18.75">
      <c r="A57" s="370"/>
      <c r="B57" s="371"/>
      <c r="C57" s="462" t="s">
        <v>5791</v>
      </c>
      <c r="D57" s="451">
        <f>+SUM(D15:D56)</f>
        <v>14</v>
      </c>
      <c r="E57" s="1622">
        <f>+NOMINA!Z41-D57</f>
        <v>0</v>
      </c>
      <c r="F57" s="463"/>
      <c r="G57" s="464"/>
      <c r="H57" s="463"/>
      <c r="I57" s="450"/>
    </row>
    <row r="58" spans="1:9" s="364" customFormat="1">
      <c r="A58" s="370"/>
      <c r="B58" s="371"/>
      <c r="C58" s="371"/>
      <c r="D58" s="457"/>
      <c r="E58" s="371"/>
      <c r="F58" s="442"/>
      <c r="G58" s="431"/>
      <c r="H58" s="442"/>
      <c r="I58" s="371"/>
    </row>
    <row r="59" spans="1:9" s="364" customFormat="1">
      <c r="A59" s="448" t="s">
        <v>5054</v>
      </c>
      <c r="B59" s="450"/>
      <c r="C59" s="371"/>
      <c r="D59" s="457"/>
      <c r="E59" s="371"/>
      <c r="F59" s="442"/>
      <c r="G59" s="431"/>
      <c r="H59" s="442"/>
      <c r="I59" s="371"/>
    </row>
    <row r="60" spans="1:9" s="364" customFormat="1">
      <c r="A60" s="370"/>
      <c r="B60" s="371"/>
      <c r="C60" s="371"/>
      <c r="D60" s="457"/>
      <c r="E60" s="371"/>
      <c r="F60" s="442"/>
      <c r="G60" s="431"/>
      <c r="H60" s="442"/>
      <c r="I60" s="371"/>
    </row>
    <row r="61" spans="1:9" s="364" customFormat="1">
      <c r="A61" s="1013">
        <v>8266170</v>
      </c>
      <c r="B61" s="1014" t="s">
        <v>4938</v>
      </c>
      <c r="C61" s="361" t="s">
        <v>5222</v>
      </c>
      <c r="D61" s="1015">
        <v>1</v>
      </c>
      <c r="E61" s="1014" t="s">
        <v>6010</v>
      </c>
      <c r="F61" s="435" t="s">
        <v>4621</v>
      </c>
      <c r="G61" s="1017">
        <v>41630</v>
      </c>
      <c r="H61" s="435">
        <f>DATEDIF(G61,$G$6,"Y")</f>
        <v>11</v>
      </c>
      <c r="I61" s="1014"/>
    </row>
    <row r="62" spans="1:9" s="364" customFormat="1">
      <c r="A62" s="1013"/>
      <c r="B62" s="1014"/>
      <c r="C62" s="1014"/>
      <c r="D62" s="1015"/>
      <c r="E62" s="1014"/>
      <c r="F62" s="1016"/>
      <c r="G62" s="1017"/>
      <c r="H62" s="1016"/>
      <c r="I62" s="1014"/>
    </row>
    <row r="63" spans="1:9" s="364" customFormat="1">
      <c r="A63" s="1013">
        <v>9179981</v>
      </c>
      <c r="B63" s="1014" t="s">
        <v>4702</v>
      </c>
      <c r="C63" s="361" t="s">
        <v>5262</v>
      </c>
      <c r="D63" s="1015">
        <v>1</v>
      </c>
      <c r="E63" s="1014" t="s">
        <v>6924</v>
      </c>
      <c r="F63" s="435" t="s">
        <v>4621</v>
      </c>
      <c r="G63" s="1017">
        <v>39307</v>
      </c>
      <c r="H63" s="435">
        <f>DATEDIF(G63,$G$6,"Y")</f>
        <v>17</v>
      </c>
      <c r="I63" s="1165"/>
    </row>
    <row r="64" spans="1:9" s="364" customFormat="1">
      <c r="A64" s="1164"/>
      <c r="B64" s="1165"/>
      <c r="C64" s="1165"/>
      <c r="D64" s="1327"/>
      <c r="E64" s="1165"/>
      <c r="F64" s="1167"/>
      <c r="G64" s="1168"/>
      <c r="H64" s="1167"/>
      <c r="I64" s="1165"/>
    </row>
    <row r="65" spans="1:9">
      <c r="A65" s="360">
        <v>9327253</v>
      </c>
      <c r="B65" s="361" t="s">
        <v>4707</v>
      </c>
      <c r="C65" s="361" t="s">
        <v>5225</v>
      </c>
      <c r="D65" s="465">
        <v>1</v>
      </c>
      <c r="E65" s="361" t="s">
        <v>5580</v>
      </c>
      <c r="F65" s="435" t="s">
        <v>4620</v>
      </c>
      <c r="G65" s="430">
        <v>38120</v>
      </c>
      <c r="H65" s="435">
        <f>DATEDIF(G65,$G$6,"Y")</f>
        <v>20</v>
      </c>
      <c r="I65" s="361" t="s">
        <v>5795</v>
      </c>
    </row>
    <row r="66" spans="1:9">
      <c r="A66" s="360">
        <v>9327253</v>
      </c>
      <c r="B66" s="361" t="s">
        <v>4707</v>
      </c>
      <c r="C66" s="361"/>
      <c r="D66" s="465"/>
      <c r="E66" s="361" t="s">
        <v>5581</v>
      </c>
      <c r="F66" s="435" t="s">
        <v>4620</v>
      </c>
      <c r="G66" s="430">
        <v>39307</v>
      </c>
      <c r="H66" s="435">
        <f>DATEDIF(G66,$G$6,"Y")</f>
        <v>17</v>
      </c>
      <c r="I66" s="361"/>
    </row>
    <row r="67" spans="1:9">
      <c r="A67" s="360"/>
      <c r="B67" s="361"/>
      <c r="C67" s="361"/>
      <c r="D67" s="465"/>
      <c r="E67" s="361"/>
      <c r="F67" s="435"/>
      <c r="G67" s="430"/>
      <c r="H67" s="435"/>
      <c r="I67" s="361"/>
    </row>
    <row r="68" spans="1:9">
      <c r="A68" s="360">
        <v>10319457</v>
      </c>
      <c r="B68" s="361" t="s">
        <v>4718</v>
      </c>
      <c r="C68" s="361" t="s">
        <v>5231</v>
      </c>
      <c r="D68" s="465">
        <v>1</v>
      </c>
      <c r="E68" s="361" t="s">
        <v>5582</v>
      </c>
      <c r="F68" s="435" t="s">
        <v>4620</v>
      </c>
      <c r="G68" s="430">
        <v>40354</v>
      </c>
      <c r="H68" s="435">
        <f>DATEDIF(G68,$G$6,"Y")</f>
        <v>14</v>
      </c>
      <c r="I68" s="361"/>
    </row>
    <row r="69" spans="1:9">
      <c r="A69" s="360"/>
      <c r="B69" s="361"/>
      <c r="C69" s="361"/>
      <c r="D69" s="465"/>
      <c r="E69" s="361"/>
      <c r="F69" s="435"/>
      <c r="G69" s="430"/>
      <c r="H69" s="435"/>
      <c r="I69" s="361"/>
    </row>
    <row r="70" spans="1:9">
      <c r="A70" s="360">
        <v>10906923</v>
      </c>
      <c r="B70" s="361" t="s">
        <v>4727</v>
      </c>
      <c r="C70" s="361" t="s">
        <v>5222</v>
      </c>
      <c r="D70" s="465">
        <v>1</v>
      </c>
      <c r="E70" s="361" t="s">
        <v>6026</v>
      </c>
      <c r="F70" s="435" t="s">
        <v>4621</v>
      </c>
      <c r="G70" s="430">
        <v>41261</v>
      </c>
      <c r="H70" s="435">
        <f>DATEDIF(G70,$G$6,"Y")</f>
        <v>12</v>
      </c>
      <c r="I70" s="361"/>
    </row>
    <row r="71" spans="1:9">
      <c r="A71" s="360"/>
      <c r="B71" s="361"/>
      <c r="C71" s="361"/>
      <c r="D71" s="465"/>
      <c r="E71" s="361" t="s">
        <v>2904</v>
      </c>
      <c r="F71" s="435"/>
      <c r="G71" s="430"/>
      <c r="H71" s="435"/>
      <c r="I71" s="361"/>
    </row>
    <row r="72" spans="1:9">
      <c r="A72" s="360"/>
      <c r="B72" s="361"/>
      <c r="C72" s="361"/>
      <c r="D72" s="465"/>
      <c r="E72" s="361" t="s">
        <v>2904</v>
      </c>
      <c r="F72" s="435"/>
      <c r="G72" s="430"/>
      <c r="H72" s="435"/>
      <c r="I72" s="361"/>
    </row>
    <row r="73" spans="1:9">
      <c r="A73" s="370">
        <v>11128954</v>
      </c>
      <c r="B73" s="371" t="s">
        <v>5792</v>
      </c>
      <c r="C73" s="371" t="s">
        <v>3618</v>
      </c>
      <c r="D73" s="909">
        <v>1</v>
      </c>
      <c r="E73" s="371" t="s">
        <v>5799</v>
      </c>
      <c r="F73" s="435" t="s">
        <v>4620</v>
      </c>
      <c r="G73" s="430">
        <v>41771</v>
      </c>
      <c r="H73" s="435">
        <f>DATEDIF(G73,$G$6,"Y")</f>
        <v>10</v>
      </c>
      <c r="I73" s="371"/>
    </row>
    <row r="74" spans="1:9" s="364" customFormat="1">
      <c r="A74" s="1164"/>
      <c r="B74" s="1165"/>
      <c r="C74" s="1165"/>
      <c r="D74" s="1166"/>
      <c r="E74" s="1165" t="s">
        <v>2904</v>
      </c>
      <c r="F74" s="1167"/>
      <c r="G74" s="1168"/>
      <c r="H74" s="1167"/>
      <c r="I74" s="1165"/>
    </row>
    <row r="75" spans="1:9">
      <c r="A75" s="360">
        <v>11132979</v>
      </c>
      <c r="B75" s="361" t="s">
        <v>4739</v>
      </c>
      <c r="C75" s="361" t="s">
        <v>5221</v>
      </c>
      <c r="D75" s="465">
        <v>1</v>
      </c>
      <c r="E75" s="361" t="s">
        <v>6027</v>
      </c>
      <c r="F75" s="435" t="s">
        <v>4620</v>
      </c>
      <c r="G75" s="430">
        <v>40573</v>
      </c>
      <c r="H75" s="435">
        <f>DATEDIF(G75,$G$6,"Y")</f>
        <v>14</v>
      </c>
      <c r="I75" s="361"/>
    </row>
    <row r="76" spans="1:9">
      <c r="A76" s="360"/>
      <c r="B76" s="361"/>
      <c r="C76" s="363"/>
      <c r="D76" s="465"/>
      <c r="E76" s="361"/>
      <c r="F76" s="435"/>
      <c r="G76" s="430"/>
      <c r="H76" s="435"/>
      <c r="I76" s="361"/>
    </row>
    <row r="77" spans="1:9">
      <c r="A77" s="360">
        <v>11257247</v>
      </c>
      <c r="B77" s="361" t="s">
        <v>4740</v>
      </c>
      <c r="C77" s="361" t="s">
        <v>5239</v>
      </c>
      <c r="D77" s="465">
        <v>1</v>
      </c>
      <c r="E77" s="361" t="s">
        <v>5583</v>
      </c>
      <c r="F77" s="435" t="s">
        <v>4620</v>
      </c>
      <c r="G77" s="430">
        <v>40114</v>
      </c>
      <c r="H77" s="435">
        <f>DATEDIF(G77,$G$6,"Y")</f>
        <v>15</v>
      </c>
      <c r="I77" s="361"/>
    </row>
    <row r="78" spans="1:9">
      <c r="A78" s="360"/>
      <c r="B78" s="361"/>
      <c r="C78" s="361"/>
      <c r="D78" s="465"/>
      <c r="E78" s="361"/>
      <c r="F78" s="435"/>
      <c r="G78" s="430"/>
      <c r="H78" s="435"/>
      <c r="I78" s="361"/>
    </row>
    <row r="79" spans="1:9">
      <c r="A79" s="360"/>
      <c r="B79" s="361"/>
      <c r="C79" s="361"/>
      <c r="D79" s="465"/>
      <c r="E79" s="361"/>
      <c r="F79" s="435"/>
      <c r="G79" s="430"/>
      <c r="H79" s="435"/>
      <c r="I79" s="361"/>
    </row>
    <row r="80" spans="1:9">
      <c r="A80" s="360">
        <v>12040792</v>
      </c>
      <c r="B80" s="361" t="s">
        <v>4751</v>
      </c>
      <c r="C80" s="361" t="s">
        <v>5242</v>
      </c>
      <c r="D80" s="465">
        <v>1</v>
      </c>
      <c r="E80" s="361" t="s">
        <v>5586</v>
      </c>
      <c r="F80" s="435" t="s">
        <v>4620</v>
      </c>
      <c r="G80" s="430">
        <v>40530</v>
      </c>
      <c r="H80" s="435">
        <f>DATEDIF(G80,$G$6,"Y")</f>
        <v>14</v>
      </c>
      <c r="I80" s="361"/>
    </row>
    <row r="81" spans="1:9">
      <c r="A81" s="360"/>
      <c r="B81" s="361"/>
      <c r="C81" s="361"/>
      <c r="D81" s="465"/>
      <c r="E81" s="361"/>
      <c r="F81" s="435"/>
      <c r="G81" s="430"/>
      <c r="H81" s="435"/>
      <c r="I81" s="361"/>
    </row>
    <row r="82" spans="1:9">
      <c r="A82" s="360">
        <v>12045360</v>
      </c>
      <c r="B82" s="361" t="s">
        <v>4754</v>
      </c>
      <c r="C82" s="361" t="s">
        <v>5222</v>
      </c>
      <c r="D82" s="465">
        <v>1</v>
      </c>
      <c r="E82" s="361" t="s">
        <v>5587</v>
      </c>
      <c r="F82" s="435" t="s">
        <v>4620</v>
      </c>
      <c r="G82" s="430">
        <v>40113</v>
      </c>
      <c r="H82" s="435">
        <f>DATEDIF(G82,$G$6,"Y")</f>
        <v>15</v>
      </c>
      <c r="I82" s="361"/>
    </row>
    <row r="83" spans="1:9">
      <c r="A83" s="360"/>
      <c r="B83" s="361"/>
      <c r="C83" s="361"/>
      <c r="D83" s="465"/>
      <c r="E83" s="361"/>
      <c r="F83" s="435"/>
      <c r="G83" s="430"/>
      <c r="H83" s="435"/>
      <c r="I83" s="361"/>
    </row>
    <row r="84" spans="1:9">
      <c r="A84" s="360">
        <v>12045504</v>
      </c>
      <c r="B84" s="361" t="s">
        <v>4755</v>
      </c>
      <c r="C84" s="361" t="s">
        <v>5235</v>
      </c>
      <c r="D84" s="465">
        <v>2</v>
      </c>
      <c r="E84" s="361" t="s">
        <v>5588</v>
      </c>
      <c r="F84" s="435" t="s">
        <v>4620</v>
      </c>
      <c r="G84" s="430">
        <v>40837</v>
      </c>
      <c r="H84" s="435">
        <f>DATEDIF(G84,$G$6,"Y")</f>
        <v>13</v>
      </c>
      <c r="I84" s="361"/>
    </row>
    <row r="85" spans="1:9">
      <c r="A85" s="360">
        <v>12045504</v>
      </c>
      <c r="B85" s="361" t="s">
        <v>4755</v>
      </c>
      <c r="C85" s="361"/>
      <c r="D85" s="465"/>
      <c r="E85" s="361" t="s">
        <v>5589</v>
      </c>
      <c r="F85" s="435" t="s">
        <v>4620</v>
      </c>
      <c r="G85" s="430">
        <v>40154</v>
      </c>
      <c r="H85" s="435">
        <f>DATEDIF(G85,$G$6,"Y")</f>
        <v>15</v>
      </c>
      <c r="I85" s="361"/>
    </row>
    <row r="86" spans="1:9">
      <c r="A86" s="360"/>
      <c r="B86" s="361"/>
      <c r="C86" s="361"/>
      <c r="D86" s="465"/>
      <c r="E86" s="361"/>
      <c r="F86" s="435"/>
      <c r="G86" s="430"/>
      <c r="H86" s="435"/>
      <c r="I86" s="361"/>
    </row>
    <row r="87" spans="1:9">
      <c r="A87" s="360">
        <v>12045934</v>
      </c>
      <c r="B87" s="361" t="s">
        <v>4756</v>
      </c>
      <c r="C87" s="361" t="s">
        <v>5244</v>
      </c>
      <c r="D87" s="465">
        <v>0</v>
      </c>
      <c r="E87" s="361" t="s">
        <v>5590</v>
      </c>
      <c r="F87" s="435" t="s">
        <v>4620</v>
      </c>
      <c r="G87" s="430">
        <v>38604</v>
      </c>
      <c r="H87" s="435">
        <f>DATEDIF(G87,$G$6,"Y")</f>
        <v>19</v>
      </c>
      <c r="I87" s="361" t="s">
        <v>5795</v>
      </c>
    </row>
    <row r="88" spans="1:9">
      <c r="A88" s="360"/>
      <c r="B88" s="361"/>
      <c r="C88" s="361"/>
      <c r="D88" s="465"/>
      <c r="E88" s="361"/>
      <c r="F88" s="435"/>
      <c r="G88" s="430"/>
      <c r="H88" s="435"/>
      <c r="I88" s="361"/>
    </row>
    <row r="89" spans="1:9">
      <c r="A89" s="360">
        <v>12457981</v>
      </c>
      <c r="B89" s="361" t="s">
        <v>4757</v>
      </c>
      <c r="C89" s="361" t="s">
        <v>5245</v>
      </c>
      <c r="D89" s="465">
        <v>1</v>
      </c>
      <c r="E89" s="361" t="s">
        <v>5591</v>
      </c>
      <c r="F89" s="435" t="s">
        <v>4621</v>
      </c>
      <c r="G89" s="430">
        <v>41661</v>
      </c>
      <c r="H89" s="435">
        <f>DATEDIF(G89,$G$6,"Y")</f>
        <v>11</v>
      </c>
      <c r="I89" s="361"/>
    </row>
    <row r="90" spans="1:9">
      <c r="A90" s="360"/>
      <c r="B90" s="361"/>
      <c r="C90" s="361"/>
      <c r="D90" s="465"/>
      <c r="E90" s="361"/>
      <c r="F90" s="435"/>
      <c r="G90" s="430"/>
      <c r="H90" s="435"/>
      <c r="I90" s="361"/>
    </row>
    <row r="91" spans="1:9">
      <c r="A91" s="360">
        <v>12458811</v>
      </c>
      <c r="B91" s="361" t="s">
        <v>4758</v>
      </c>
      <c r="C91" s="361" t="s">
        <v>5246</v>
      </c>
      <c r="D91" s="465">
        <v>1</v>
      </c>
      <c r="E91" s="361" t="s">
        <v>5592</v>
      </c>
      <c r="F91" s="435" t="s">
        <v>4620</v>
      </c>
      <c r="G91" s="430">
        <v>40877</v>
      </c>
      <c r="H91" s="435">
        <f>DATEDIF(G91,$G$6,"Y")</f>
        <v>13</v>
      </c>
      <c r="I91" s="361"/>
    </row>
    <row r="92" spans="1:9" s="364" customFormat="1">
      <c r="A92" s="1164"/>
      <c r="B92" s="1165"/>
      <c r="C92" s="1165"/>
      <c r="D92" s="1166"/>
      <c r="E92" s="1165"/>
      <c r="F92" s="1167"/>
      <c r="G92" s="1168"/>
      <c r="H92" s="1167"/>
      <c r="I92" s="1165"/>
    </row>
    <row r="93" spans="1:9" s="364" customFormat="1">
      <c r="A93" s="360">
        <v>12541044</v>
      </c>
      <c r="B93" s="361" t="s">
        <v>6918</v>
      </c>
      <c r="C93" s="361" t="s">
        <v>5228</v>
      </c>
      <c r="D93" s="465">
        <v>1</v>
      </c>
      <c r="E93" s="361" t="s">
        <v>6920</v>
      </c>
      <c r="F93" s="435" t="s">
        <v>4620</v>
      </c>
      <c r="G93" s="430">
        <v>40540</v>
      </c>
      <c r="H93" s="435">
        <f>DATEDIF(G93,$G$6,"Y")</f>
        <v>14</v>
      </c>
      <c r="I93" s="361"/>
    </row>
    <row r="94" spans="1:9">
      <c r="A94" s="360"/>
      <c r="B94" s="361"/>
      <c r="C94" s="361"/>
      <c r="D94" s="465"/>
      <c r="E94" s="361"/>
      <c r="F94" s="435"/>
      <c r="G94" s="430"/>
      <c r="H94" s="435"/>
      <c r="I94" s="361"/>
    </row>
    <row r="95" spans="1:9">
      <c r="A95" s="360">
        <v>12798604</v>
      </c>
      <c r="B95" s="361" t="s">
        <v>4761</v>
      </c>
      <c r="C95" s="361" t="s">
        <v>5221</v>
      </c>
      <c r="D95" s="465">
        <v>1</v>
      </c>
      <c r="E95" s="361" t="s">
        <v>5593</v>
      </c>
      <c r="F95" s="435" t="s">
        <v>4620</v>
      </c>
      <c r="G95" s="430">
        <v>40280</v>
      </c>
      <c r="H95" s="435">
        <f>DATEDIF(G95,$G$6,"Y")</f>
        <v>14</v>
      </c>
      <c r="I95" s="361"/>
    </row>
    <row r="96" spans="1:9">
      <c r="A96" s="360"/>
      <c r="B96" s="361"/>
      <c r="C96" s="361"/>
      <c r="D96" s="465"/>
      <c r="E96" s="361"/>
      <c r="F96" s="435"/>
      <c r="G96" s="430"/>
      <c r="H96" s="435"/>
      <c r="I96" s="361"/>
    </row>
    <row r="97" spans="1:9">
      <c r="A97" s="360">
        <v>12798736</v>
      </c>
      <c r="B97" s="361" t="s">
        <v>4762</v>
      </c>
      <c r="C97" s="361" t="s">
        <v>5248</v>
      </c>
      <c r="D97" s="465">
        <v>1</v>
      </c>
      <c r="E97" s="361" t="s">
        <v>5594</v>
      </c>
      <c r="F97" s="435" t="s">
        <v>4620</v>
      </c>
      <c r="G97" s="430">
        <v>41108</v>
      </c>
      <c r="H97" s="435">
        <f>DATEDIF(G97,$G$6,"Y")</f>
        <v>12</v>
      </c>
      <c r="I97" s="361"/>
    </row>
    <row r="98" spans="1:9">
      <c r="A98" s="360">
        <v>12798736</v>
      </c>
      <c r="B98" s="361" t="s">
        <v>4762</v>
      </c>
      <c r="C98" s="361"/>
      <c r="D98" s="465"/>
      <c r="E98" s="361" t="s">
        <v>5595</v>
      </c>
      <c r="F98" s="435" t="s">
        <v>4620</v>
      </c>
      <c r="G98" s="430">
        <v>36368</v>
      </c>
      <c r="H98" s="435">
        <f>DATEDIF(G98,$G$6,"Y")</f>
        <v>25</v>
      </c>
      <c r="I98" s="361" t="s">
        <v>5596</v>
      </c>
    </row>
    <row r="99" spans="1:9">
      <c r="A99" s="360"/>
      <c r="B99" s="361"/>
      <c r="C99" s="361"/>
      <c r="D99" s="465"/>
      <c r="E99" s="361"/>
      <c r="F99" s="435"/>
      <c r="G99" s="430"/>
      <c r="H99" s="435"/>
      <c r="I99" s="361"/>
    </row>
    <row r="100" spans="1:9">
      <c r="A100" s="360"/>
      <c r="B100" s="361"/>
      <c r="C100" s="361"/>
      <c r="D100" s="465"/>
      <c r="E100" s="361"/>
      <c r="F100" s="435"/>
      <c r="G100" s="430"/>
      <c r="H100" s="435"/>
      <c r="I100" s="361"/>
    </row>
    <row r="101" spans="1:9">
      <c r="A101" s="360">
        <v>12939010</v>
      </c>
      <c r="B101" s="361" t="s">
        <v>4764</v>
      </c>
      <c r="C101" s="361" t="s">
        <v>5219</v>
      </c>
      <c r="D101" s="465">
        <v>0</v>
      </c>
      <c r="E101" s="361" t="s">
        <v>5597</v>
      </c>
      <c r="F101" s="435" t="s">
        <v>4620</v>
      </c>
      <c r="G101" s="430">
        <v>40128</v>
      </c>
      <c r="H101" s="435">
        <f>DATEDIF(G101,$G$6,"Y")</f>
        <v>15</v>
      </c>
      <c r="I101" s="361" t="s">
        <v>5796</v>
      </c>
    </row>
    <row r="102" spans="1:9">
      <c r="A102" s="360">
        <v>12939010</v>
      </c>
      <c r="B102" s="361" t="s">
        <v>4764</v>
      </c>
      <c r="C102" s="361"/>
      <c r="D102" s="465"/>
      <c r="E102" s="361" t="s">
        <v>5598</v>
      </c>
      <c r="F102" s="435" t="s">
        <v>4620</v>
      </c>
      <c r="G102" s="430">
        <v>38365</v>
      </c>
      <c r="H102" s="435">
        <f>DATEDIF(G102,$G$6,"Y")</f>
        <v>20</v>
      </c>
      <c r="I102" s="361" t="s">
        <v>5596</v>
      </c>
    </row>
    <row r="103" spans="1:9">
      <c r="A103" s="360"/>
      <c r="B103" s="361"/>
      <c r="C103" s="361"/>
      <c r="D103" s="465"/>
      <c r="E103" s="361"/>
      <c r="F103" s="435"/>
      <c r="G103" s="430"/>
      <c r="H103" s="435"/>
      <c r="I103" s="361"/>
    </row>
    <row r="104" spans="1:9">
      <c r="A104" s="360">
        <v>13117904</v>
      </c>
      <c r="B104" s="361" t="s">
        <v>4766</v>
      </c>
      <c r="C104" s="361" t="s">
        <v>5222</v>
      </c>
      <c r="D104" s="465">
        <v>1</v>
      </c>
      <c r="E104" s="361" t="s">
        <v>5599</v>
      </c>
      <c r="F104" s="435" t="s">
        <v>4620</v>
      </c>
      <c r="G104" s="430">
        <v>39684</v>
      </c>
      <c r="H104" s="435">
        <f>DATEDIF(G104,$G$6,"Y")</f>
        <v>16</v>
      </c>
      <c r="I104" s="361"/>
    </row>
    <row r="105" spans="1:9">
      <c r="A105" s="360"/>
      <c r="B105" s="361"/>
      <c r="C105" s="361"/>
      <c r="D105" s="465"/>
      <c r="E105" s="361"/>
      <c r="F105" s="435"/>
      <c r="G105" s="430"/>
      <c r="H105" s="435"/>
      <c r="I105" s="361"/>
    </row>
    <row r="106" spans="1:9">
      <c r="A106" s="360">
        <v>13207692</v>
      </c>
      <c r="B106" s="361" t="s">
        <v>4768</v>
      </c>
      <c r="C106" s="361" t="s">
        <v>5249</v>
      </c>
      <c r="D106" s="465">
        <v>2</v>
      </c>
      <c r="E106" s="361" t="s">
        <v>5600</v>
      </c>
      <c r="F106" s="435" t="s">
        <v>4620</v>
      </c>
      <c r="G106" s="430">
        <v>40711</v>
      </c>
      <c r="H106" s="435">
        <f>DATEDIF(G106,$G$6,"Y")</f>
        <v>13</v>
      </c>
      <c r="I106" s="361"/>
    </row>
    <row r="107" spans="1:9">
      <c r="A107" s="360">
        <v>13207692</v>
      </c>
      <c r="B107" s="361" t="s">
        <v>4768</v>
      </c>
      <c r="C107" s="361"/>
      <c r="D107" s="465"/>
      <c r="E107" s="361" t="s">
        <v>5601</v>
      </c>
      <c r="F107" s="435" t="s">
        <v>4620</v>
      </c>
      <c r="G107" s="430">
        <v>41457</v>
      </c>
      <c r="H107" s="435">
        <f>DATEDIF(G107,$G$6,"Y")</f>
        <v>11</v>
      </c>
      <c r="I107" s="361"/>
    </row>
    <row r="108" spans="1:9" s="364" customFormat="1">
      <c r="A108" s="1164"/>
      <c r="B108" s="1165"/>
      <c r="C108" s="1165"/>
      <c r="D108" s="1166"/>
      <c r="E108" s="1165"/>
      <c r="F108" s="1167"/>
      <c r="G108" s="1168"/>
      <c r="H108" s="1167"/>
      <c r="I108" s="1165"/>
    </row>
    <row r="109" spans="1:9" s="364" customFormat="1">
      <c r="A109" s="1164">
        <v>13260050</v>
      </c>
      <c r="B109" s="1165" t="s">
        <v>6566</v>
      </c>
      <c r="C109" s="1165" t="s">
        <v>5219</v>
      </c>
      <c r="D109" s="1166">
        <v>0</v>
      </c>
      <c r="E109" s="1165" t="s">
        <v>6705</v>
      </c>
      <c r="F109" s="1167" t="s">
        <v>4620</v>
      </c>
      <c r="G109" s="1168">
        <v>38911</v>
      </c>
      <c r="H109" s="435">
        <f>DATEDIF(G109,$G$6,"Y")</f>
        <v>18</v>
      </c>
      <c r="I109" s="1165" t="s">
        <v>5596</v>
      </c>
    </row>
    <row r="110" spans="1:9" s="364" customFormat="1">
      <c r="A110" s="1164">
        <v>13260050</v>
      </c>
      <c r="B110" s="1165" t="s">
        <v>6566</v>
      </c>
      <c r="C110" s="1165"/>
      <c r="D110" s="1166"/>
      <c r="E110" s="1165" t="s">
        <v>6706</v>
      </c>
      <c r="F110" s="1167" t="s">
        <v>4620</v>
      </c>
      <c r="G110" s="1168">
        <v>38911</v>
      </c>
      <c r="H110" s="435">
        <f>DATEDIF(G110,$G$6,"Y")</f>
        <v>18</v>
      </c>
      <c r="I110" s="1165" t="s">
        <v>5596</v>
      </c>
    </row>
    <row r="111" spans="1:9" s="364" customFormat="1">
      <c r="A111" s="1164"/>
      <c r="B111" s="1165"/>
      <c r="C111" s="1165"/>
      <c r="D111" s="1166"/>
      <c r="E111" s="1165"/>
      <c r="F111" s="1167"/>
      <c r="G111" s="1168"/>
      <c r="H111" s="1167"/>
      <c r="I111" s="1165"/>
    </row>
    <row r="112" spans="1:9">
      <c r="A112" s="360"/>
      <c r="B112" s="361"/>
      <c r="C112" s="361"/>
      <c r="D112" s="465"/>
      <c r="E112" s="361"/>
      <c r="F112" s="435"/>
      <c r="G112" s="430"/>
      <c r="H112" s="435"/>
      <c r="I112" s="361"/>
    </row>
    <row r="113" spans="1:9">
      <c r="A113" s="360">
        <v>13261229</v>
      </c>
      <c r="B113" s="361" t="s">
        <v>4770</v>
      </c>
      <c r="C113" s="361" t="s">
        <v>5251</v>
      </c>
      <c r="D113" s="465">
        <v>1</v>
      </c>
      <c r="E113" s="361" t="s">
        <v>5602</v>
      </c>
      <c r="F113" s="435" t="s">
        <v>4621</v>
      </c>
      <c r="G113" s="430">
        <v>37868</v>
      </c>
      <c r="H113" s="435">
        <f>DATEDIF(G113,$G$6,"Y")</f>
        <v>21</v>
      </c>
      <c r="I113" s="361" t="s">
        <v>5603</v>
      </c>
    </row>
    <row r="114" spans="1:9">
      <c r="A114" s="360">
        <v>13261229</v>
      </c>
      <c r="B114" s="361" t="s">
        <v>4770</v>
      </c>
      <c r="C114" s="361"/>
      <c r="D114" s="465"/>
      <c r="E114" s="361" t="s">
        <v>5604</v>
      </c>
      <c r="F114" s="435" t="s">
        <v>4621</v>
      </c>
      <c r="G114" s="430">
        <v>40318</v>
      </c>
      <c r="H114" s="435">
        <f>DATEDIF(G114,$G$6,"Y")</f>
        <v>14</v>
      </c>
      <c r="I114" s="361"/>
    </row>
    <row r="115" spans="1:9" s="364" customFormat="1">
      <c r="A115" s="1164"/>
      <c r="B115" s="1165"/>
      <c r="C115" s="1165"/>
      <c r="D115" s="1166"/>
      <c r="E115" s="1165"/>
      <c r="F115" s="1167"/>
      <c r="G115" s="1168"/>
      <c r="H115" s="1167"/>
      <c r="I115" s="1165"/>
    </row>
    <row r="116" spans="1:9" s="364" customFormat="1">
      <c r="A116" s="360">
        <v>13462511</v>
      </c>
      <c r="B116" s="376" t="s">
        <v>4673</v>
      </c>
      <c r="C116" s="361" t="s">
        <v>5216</v>
      </c>
      <c r="D116" s="465">
        <v>1</v>
      </c>
      <c r="E116" s="361" t="s">
        <v>6020</v>
      </c>
      <c r="F116" s="435" t="s">
        <v>4620</v>
      </c>
      <c r="G116" s="430">
        <v>40008</v>
      </c>
      <c r="H116" s="435">
        <f>DATEDIF(G116,$G$6,"Y")</f>
        <v>15</v>
      </c>
      <c r="I116" s="361"/>
    </row>
    <row r="117" spans="1:9">
      <c r="A117" s="360"/>
      <c r="B117" s="361"/>
      <c r="C117" s="361"/>
      <c r="D117" s="465"/>
      <c r="E117" s="361"/>
      <c r="F117" s="435"/>
      <c r="G117" s="430"/>
      <c r="H117" s="435"/>
      <c r="I117" s="361"/>
    </row>
    <row r="118" spans="1:9">
      <c r="A118" s="360">
        <v>13522518</v>
      </c>
      <c r="B118" s="361" t="s">
        <v>4773</v>
      </c>
      <c r="C118" s="361" t="s">
        <v>5240</v>
      </c>
      <c r="D118" s="465">
        <v>1</v>
      </c>
      <c r="E118" s="361" t="s">
        <v>5605</v>
      </c>
      <c r="F118" s="435" t="s">
        <v>4620</v>
      </c>
      <c r="G118" s="430">
        <v>38954</v>
      </c>
      <c r="H118" s="435">
        <f>DATEDIF(G118,$G$6,"Y")</f>
        <v>18</v>
      </c>
      <c r="I118" s="361" t="s">
        <v>5596</v>
      </c>
    </row>
    <row r="119" spans="1:9">
      <c r="A119" s="360">
        <v>13522518</v>
      </c>
      <c r="B119" s="361" t="s">
        <v>4773</v>
      </c>
      <c r="C119" s="361"/>
      <c r="D119" s="465"/>
      <c r="E119" s="361" t="s">
        <v>5606</v>
      </c>
      <c r="F119" s="435" t="s">
        <v>4620</v>
      </c>
      <c r="G119" s="430">
        <v>42671</v>
      </c>
      <c r="H119" s="435">
        <f>DATEDIF(G119,$G$6,"Y")</f>
        <v>8</v>
      </c>
      <c r="I119" s="361"/>
    </row>
    <row r="120" spans="1:9">
      <c r="A120" s="360"/>
      <c r="B120" s="361"/>
      <c r="C120" s="361"/>
      <c r="D120" s="465"/>
      <c r="E120" s="361"/>
      <c r="F120" s="435"/>
      <c r="G120" s="430"/>
      <c r="H120" s="435"/>
      <c r="I120" s="361"/>
    </row>
    <row r="121" spans="1:9">
      <c r="A121" s="360">
        <v>13523075</v>
      </c>
      <c r="B121" s="361" t="s">
        <v>4774</v>
      </c>
      <c r="C121" s="361" t="s">
        <v>5252</v>
      </c>
      <c r="D121" s="465">
        <v>2</v>
      </c>
      <c r="E121" s="361" t="s">
        <v>5607</v>
      </c>
      <c r="F121" s="435" t="s">
        <v>4620</v>
      </c>
      <c r="G121" s="430">
        <v>42143</v>
      </c>
      <c r="H121" s="435">
        <f>DATEDIF(G121,$G$6,"Y")</f>
        <v>9</v>
      </c>
      <c r="I121" s="361"/>
    </row>
    <row r="122" spans="1:9">
      <c r="A122" s="360">
        <v>13523075</v>
      </c>
      <c r="B122" s="361" t="s">
        <v>4774</v>
      </c>
      <c r="C122" s="361"/>
      <c r="D122" s="465"/>
      <c r="E122" s="361" t="s">
        <v>5608</v>
      </c>
      <c r="F122" s="435" t="s">
        <v>4620</v>
      </c>
      <c r="G122" s="430">
        <v>43553</v>
      </c>
      <c r="H122" s="435">
        <f>DATEDIF(G122,$G$6,"Y")</f>
        <v>5</v>
      </c>
      <c r="I122" s="361"/>
    </row>
    <row r="123" spans="1:9" s="364" customFormat="1">
      <c r="A123" s="1164"/>
      <c r="B123" s="1165"/>
      <c r="C123" s="1165"/>
      <c r="D123" s="1166"/>
      <c r="E123" s="1165"/>
      <c r="F123" s="1167"/>
      <c r="G123" s="1168"/>
      <c r="H123" s="1167"/>
      <c r="I123" s="1165"/>
    </row>
    <row r="124" spans="1:9" s="364" customFormat="1">
      <c r="A124" s="1164">
        <v>18733682</v>
      </c>
      <c r="B124" s="1164" t="s">
        <v>6760</v>
      </c>
      <c r="C124" s="361" t="s">
        <v>5222</v>
      </c>
      <c r="D124" s="1166">
        <v>1</v>
      </c>
      <c r="E124" s="1165" t="s">
        <v>6761</v>
      </c>
      <c r="F124" s="1167" t="s">
        <v>4621</v>
      </c>
      <c r="G124" s="1168">
        <v>43176</v>
      </c>
      <c r="H124" s="435">
        <f>DATEDIF(G124,$G$6,"Y")</f>
        <v>6</v>
      </c>
      <c r="I124" s="1165"/>
    </row>
    <row r="125" spans="1:9">
      <c r="A125" s="360"/>
      <c r="B125" s="361"/>
      <c r="C125" s="361"/>
      <c r="D125" s="465"/>
      <c r="E125" s="361"/>
      <c r="F125" s="435"/>
      <c r="G125" s="430"/>
      <c r="H125" s="435"/>
      <c r="I125" s="361"/>
    </row>
    <row r="126" spans="1:9">
      <c r="A126" s="360">
        <v>13897046</v>
      </c>
      <c r="B126" s="361" t="s">
        <v>4780</v>
      </c>
      <c r="C126" s="361" t="s">
        <v>5254</v>
      </c>
      <c r="D126" s="465">
        <v>2</v>
      </c>
      <c r="E126" s="361" t="s">
        <v>5959</v>
      </c>
      <c r="F126" s="435" t="s">
        <v>4620</v>
      </c>
      <c r="G126" s="430">
        <v>40084</v>
      </c>
      <c r="H126" s="435">
        <f>DATEDIF(G126,$G$6,"Y")</f>
        <v>15</v>
      </c>
      <c r="I126" s="361"/>
    </row>
    <row r="127" spans="1:9">
      <c r="A127" s="360">
        <v>13897046</v>
      </c>
      <c r="B127" s="361" t="s">
        <v>4780</v>
      </c>
      <c r="C127" s="361"/>
      <c r="D127" s="465"/>
      <c r="E127" s="361" t="s">
        <v>5960</v>
      </c>
      <c r="F127" s="435" t="s">
        <v>4620</v>
      </c>
      <c r="G127" s="430">
        <v>39560</v>
      </c>
      <c r="H127" s="435">
        <f>DATEDIF(G127,$G$6,"Y")</f>
        <v>16</v>
      </c>
      <c r="I127" s="361"/>
    </row>
    <row r="128" spans="1:9">
      <c r="A128" s="360"/>
      <c r="B128" s="361"/>
      <c r="C128" s="361"/>
      <c r="D128" s="465"/>
      <c r="E128" s="361"/>
      <c r="F128" s="435"/>
      <c r="G128" s="430"/>
      <c r="H128" s="435"/>
      <c r="I128" s="361"/>
    </row>
    <row r="129" spans="1:9">
      <c r="A129" s="360">
        <v>13897695</v>
      </c>
      <c r="B129" s="361" t="s">
        <v>4781</v>
      </c>
      <c r="C129" s="361" t="s">
        <v>5246</v>
      </c>
      <c r="D129" s="465">
        <v>2</v>
      </c>
      <c r="E129" s="361" t="s">
        <v>5609</v>
      </c>
      <c r="F129" s="435" t="s">
        <v>4620</v>
      </c>
      <c r="G129" s="430">
        <v>39639</v>
      </c>
      <c r="H129" s="435">
        <f>DATEDIF(G129,$G$6,"Y")</f>
        <v>16</v>
      </c>
      <c r="I129" s="361"/>
    </row>
    <row r="130" spans="1:9">
      <c r="A130" s="360">
        <v>13897695</v>
      </c>
      <c r="B130" s="361" t="s">
        <v>4781</v>
      </c>
      <c r="C130" s="361"/>
      <c r="D130" s="465"/>
      <c r="E130" s="361" t="s">
        <v>5610</v>
      </c>
      <c r="F130" s="435" t="s">
        <v>4620</v>
      </c>
      <c r="G130" s="430">
        <v>40206</v>
      </c>
      <c r="H130" s="435">
        <f>DATEDIF(G130,$G$6,"Y")</f>
        <v>15</v>
      </c>
      <c r="I130" s="361"/>
    </row>
    <row r="131" spans="1:9">
      <c r="A131" s="360"/>
      <c r="B131" s="361"/>
      <c r="C131" s="361"/>
      <c r="D131" s="465"/>
      <c r="E131" s="361"/>
      <c r="F131" s="435"/>
      <c r="G131" s="430"/>
      <c r="H131" s="435"/>
      <c r="I131" s="361"/>
    </row>
    <row r="132" spans="1:9">
      <c r="A132" s="360">
        <v>13996024</v>
      </c>
      <c r="B132" s="361" t="s">
        <v>4782</v>
      </c>
      <c r="C132" s="361" t="s">
        <v>5255</v>
      </c>
      <c r="D132" s="465">
        <v>1</v>
      </c>
      <c r="E132" s="361" t="s">
        <v>5611</v>
      </c>
      <c r="F132" s="435" t="s">
        <v>4620</v>
      </c>
      <c r="G132" s="430">
        <v>38621</v>
      </c>
      <c r="H132" s="435">
        <f>DATEDIF(G132,$G$6,"Y")</f>
        <v>19</v>
      </c>
      <c r="I132" s="361" t="s">
        <v>5752</v>
      </c>
    </row>
    <row r="133" spans="1:9">
      <c r="A133" s="360">
        <v>13996024</v>
      </c>
      <c r="B133" s="361" t="s">
        <v>4782</v>
      </c>
      <c r="C133" s="361"/>
      <c r="D133" s="465"/>
      <c r="E133" s="361" t="s">
        <v>5612</v>
      </c>
      <c r="F133" s="435" t="s">
        <v>4620</v>
      </c>
      <c r="G133" s="430">
        <v>41677</v>
      </c>
      <c r="H133" s="435">
        <f>DATEDIF(G133,$G$6,"Y")</f>
        <v>10</v>
      </c>
      <c r="I133" s="361"/>
    </row>
    <row r="134" spans="1:9">
      <c r="A134" s="360"/>
      <c r="B134" s="361"/>
      <c r="C134" s="361"/>
      <c r="D134" s="465"/>
      <c r="E134" s="361"/>
      <c r="F134" s="435"/>
      <c r="G134" s="430"/>
      <c r="H134" s="435"/>
      <c r="I134" s="361"/>
    </row>
    <row r="135" spans="1:9">
      <c r="A135" s="360">
        <v>14106648</v>
      </c>
      <c r="B135" s="361" t="s">
        <v>4783</v>
      </c>
      <c r="C135" s="361" t="s">
        <v>5223</v>
      </c>
      <c r="D135" s="465">
        <v>1</v>
      </c>
      <c r="E135" s="361" t="s">
        <v>5613</v>
      </c>
      <c r="F135" s="435" t="s">
        <v>4620</v>
      </c>
      <c r="G135" s="430">
        <v>39457</v>
      </c>
      <c r="H135" s="435">
        <f>DATEDIF(G135,$G$6,"Y")</f>
        <v>17</v>
      </c>
      <c r="I135" s="361"/>
    </row>
    <row r="136" spans="1:9">
      <c r="A136" s="360"/>
      <c r="B136" s="361"/>
      <c r="C136" s="361"/>
      <c r="D136" s="465"/>
      <c r="E136" s="361"/>
      <c r="F136" s="435"/>
      <c r="G136" s="430"/>
      <c r="H136" s="435"/>
      <c r="I136" s="361"/>
    </row>
    <row r="137" spans="1:9">
      <c r="A137" s="360">
        <v>14329448</v>
      </c>
      <c r="B137" s="361" t="s">
        <v>4784</v>
      </c>
      <c r="C137" s="361" t="s">
        <v>5228</v>
      </c>
      <c r="D137" s="465">
        <v>1</v>
      </c>
      <c r="E137" s="361" t="s">
        <v>6028</v>
      </c>
      <c r="F137" s="435" t="s">
        <v>4621</v>
      </c>
      <c r="G137" s="430">
        <v>42283</v>
      </c>
      <c r="H137" s="435">
        <f>DATEDIF(G137,$G$6,"Y")</f>
        <v>9</v>
      </c>
      <c r="I137" s="361"/>
    </row>
    <row r="138" spans="1:9">
      <c r="A138" s="360"/>
      <c r="B138" s="361"/>
      <c r="C138" s="361"/>
      <c r="D138" s="465"/>
      <c r="E138" s="361"/>
      <c r="F138" s="435"/>
      <c r="G138" s="430"/>
      <c r="H138" s="435"/>
      <c r="I138" s="361"/>
    </row>
    <row r="139" spans="1:9">
      <c r="A139" s="360">
        <v>14459607</v>
      </c>
      <c r="B139" s="361" t="s">
        <v>4787</v>
      </c>
      <c r="C139" s="361" t="s">
        <v>5224</v>
      </c>
      <c r="D139" s="465">
        <v>2</v>
      </c>
      <c r="E139" s="361" t="s">
        <v>5614</v>
      </c>
      <c r="F139" s="435" t="s">
        <v>4620</v>
      </c>
      <c r="G139" s="430">
        <v>40151</v>
      </c>
      <c r="H139" s="435">
        <f>DATEDIF(G139,$G$6,"Y")</f>
        <v>15</v>
      </c>
      <c r="I139" s="361"/>
    </row>
    <row r="140" spans="1:9">
      <c r="A140" s="360">
        <v>14459607</v>
      </c>
      <c r="B140" s="361" t="s">
        <v>4787</v>
      </c>
      <c r="C140" s="361"/>
      <c r="D140" s="465"/>
      <c r="E140" s="361" t="s">
        <v>5615</v>
      </c>
      <c r="F140" s="435" t="s">
        <v>4620</v>
      </c>
      <c r="G140" s="430">
        <v>40522</v>
      </c>
      <c r="H140" s="435">
        <f>DATEDIF(G140,$G$6,"Y")</f>
        <v>14</v>
      </c>
      <c r="I140" s="361"/>
    </row>
    <row r="141" spans="1:9">
      <c r="A141" s="360"/>
      <c r="B141" s="361"/>
      <c r="C141" s="361"/>
      <c r="D141" s="465"/>
      <c r="E141" s="361"/>
      <c r="F141" s="435"/>
      <c r="G141" s="430"/>
      <c r="H141" s="435"/>
      <c r="I141" s="361"/>
    </row>
    <row r="142" spans="1:9">
      <c r="A142" s="360">
        <v>14598170</v>
      </c>
      <c r="B142" s="361" t="s">
        <v>4788</v>
      </c>
      <c r="C142" s="361" t="s">
        <v>5228</v>
      </c>
      <c r="D142" s="465">
        <v>1</v>
      </c>
      <c r="E142" s="361" t="s">
        <v>5616</v>
      </c>
      <c r="F142" s="435" t="s">
        <v>4621</v>
      </c>
      <c r="G142" s="430">
        <v>37840</v>
      </c>
      <c r="H142" s="435">
        <f>DATEDIF(G142,$G$6,"Y")</f>
        <v>21</v>
      </c>
      <c r="I142" s="361" t="s">
        <v>5795</v>
      </c>
    </row>
    <row r="143" spans="1:9">
      <c r="A143" s="360">
        <v>14598170</v>
      </c>
      <c r="B143" s="361" t="s">
        <v>4788</v>
      </c>
      <c r="C143" s="361"/>
      <c r="D143" s="465"/>
      <c r="E143" s="361" t="s">
        <v>6029</v>
      </c>
      <c r="F143" s="435" t="s">
        <v>4621</v>
      </c>
      <c r="G143" s="430">
        <v>41532</v>
      </c>
      <c r="H143" s="435">
        <f>DATEDIF(G143,$G$6,"Y")</f>
        <v>11</v>
      </c>
      <c r="I143" s="361"/>
    </row>
    <row r="144" spans="1:9">
      <c r="A144" s="360"/>
      <c r="B144" s="361"/>
      <c r="C144" s="361"/>
      <c r="D144" s="465"/>
      <c r="E144" s="361"/>
      <c r="F144" s="435"/>
      <c r="G144" s="430"/>
      <c r="H144" s="435"/>
      <c r="I144" s="361"/>
    </row>
    <row r="145" spans="1:9">
      <c r="A145" s="360">
        <v>14598687</v>
      </c>
      <c r="B145" s="361" t="s">
        <v>4789</v>
      </c>
      <c r="C145" s="361" t="s">
        <v>5247</v>
      </c>
      <c r="D145" s="465">
        <v>1</v>
      </c>
      <c r="E145" s="361" t="s">
        <v>6030</v>
      </c>
      <c r="F145" s="435" t="s">
        <v>4621</v>
      </c>
      <c r="G145" s="430">
        <v>44651</v>
      </c>
      <c r="H145" s="435">
        <f>DATEDIF(G145,$G$6,"Y")</f>
        <v>2</v>
      </c>
      <c r="I145" s="361"/>
    </row>
    <row r="146" spans="1:9">
      <c r="A146" s="360"/>
      <c r="B146" s="361"/>
      <c r="C146" s="361"/>
      <c r="D146" s="465"/>
      <c r="E146" s="361" t="s">
        <v>2904</v>
      </c>
      <c r="F146" s="435"/>
      <c r="G146" s="430"/>
      <c r="H146" s="435"/>
      <c r="I146" s="361"/>
    </row>
    <row r="147" spans="1:9">
      <c r="A147" s="360">
        <v>14719639</v>
      </c>
      <c r="B147" s="361" t="s">
        <v>5257</v>
      </c>
      <c r="C147" s="361" t="s">
        <v>5222</v>
      </c>
      <c r="D147" s="465">
        <v>2</v>
      </c>
      <c r="E147" s="361" t="s">
        <v>5618</v>
      </c>
      <c r="F147" s="435" t="s">
        <v>4621</v>
      </c>
      <c r="G147" s="430">
        <v>40845</v>
      </c>
      <c r="H147" s="435">
        <f>DATEDIF(G147,$G$6,"Y")</f>
        <v>13</v>
      </c>
      <c r="I147" s="361"/>
    </row>
    <row r="148" spans="1:9">
      <c r="A148" s="360">
        <v>14719639</v>
      </c>
      <c r="B148" s="361" t="s">
        <v>5257</v>
      </c>
      <c r="C148" s="361"/>
      <c r="D148" s="465"/>
      <c r="E148" s="361" t="s">
        <v>5619</v>
      </c>
      <c r="F148" s="435" t="s">
        <v>4620</v>
      </c>
      <c r="G148" s="430">
        <v>43088</v>
      </c>
      <c r="H148" s="435">
        <f>DATEDIF(G148,$G$6,"Y")</f>
        <v>7</v>
      </c>
      <c r="I148" s="361"/>
    </row>
    <row r="149" spans="1:9">
      <c r="A149" s="360"/>
      <c r="B149" s="361"/>
      <c r="C149" s="361"/>
      <c r="D149" s="465"/>
      <c r="E149" s="361"/>
      <c r="F149" s="435"/>
      <c r="G149" s="430"/>
      <c r="H149" s="435"/>
      <c r="I149" s="361"/>
    </row>
    <row r="150" spans="1:9">
      <c r="A150" s="360">
        <v>14739168</v>
      </c>
      <c r="B150" s="361" t="s">
        <v>4794</v>
      </c>
      <c r="C150" s="361" t="s">
        <v>5258</v>
      </c>
      <c r="D150" s="465">
        <v>1</v>
      </c>
      <c r="E150" s="361" t="s">
        <v>5620</v>
      </c>
      <c r="F150" s="435" t="s">
        <v>4620</v>
      </c>
      <c r="G150" s="430">
        <v>40506</v>
      </c>
      <c r="H150" s="435">
        <f>DATEDIF(G150,$G$6,"Y")</f>
        <v>14</v>
      </c>
      <c r="I150" s="361"/>
    </row>
    <row r="151" spans="1:9">
      <c r="A151" s="360"/>
      <c r="B151" s="361"/>
      <c r="C151" s="361"/>
      <c r="D151" s="465"/>
      <c r="E151" s="361"/>
      <c r="F151" s="435"/>
      <c r="G151" s="430"/>
      <c r="H151" s="435"/>
      <c r="I151" s="361"/>
    </row>
    <row r="152" spans="1:9">
      <c r="A152" s="360">
        <v>14928260</v>
      </c>
      <c r="B152" s="361" t="s">
        <v>4796</v>
      </c>
      <c r="C152" s="361" t="s">
        <v>5228</v>
      </c>
      <c r="D152" s="465">
        <v>1</v>
      </c>
      <c r="E152" s="361" t="s">
        <v>5621</v>
      </c>
      <c r="F152" s="435" t="s">
        <v>4620</v>
      </c>
      <c r="G152" s="430">
        <v>40064</v>
      </c>
      <c r="H152" s="435">
        <f>DATEDIF(G152,$G$6,"Y")</f>
        <v>15</v>
      </c>
      <c r="I152" s="361"/>
    </row>
    <row r="153" spans="1:9">
      <c r="A153" s="360"/>
      <c r="B153" s="361"/>
      <c r="C153" s="361"/>
      <c r="D153" s="465"/>
      <c r="E153" s="361"/>
      <c r="F153" s="435"/>
      <c r="G153" s="430"/>
      <c r="H153" s="435"/>
      <c r="I153" s="361"/>
    </row>
    <row r="154" spans="1:9">
      <c r="A154" s="360">
        <v>14929642</v>
      </c>
      <c r="B154" s="361" t="s">
        <v>4797</v>
      </c>
      <c r="C154" s="361" t="s">
        <v>5222</v>
      </c>
      <c r="D154" s="465">
        <v>1</v>
      </c>
      <c r="E154" s="361" t="s">
        <v>5622</v>
      </c>
      <c r="F154" s="435" t="s">
        <v>4620</v>
      </c>
      <c r="G154" s="430">
        <v>38087</v>
      </c>
      <c r="H154" s="435">
        <f>DATEDIF(G154,$G$6,"Y")</f>
        <v>20</v>
      </c>
      <c r="I154" s="361" t="s">
        <v>5795</v>
      </c>
    </row>
    <row r="155" spans="1:9">
      <c r="A155" s="360">
        <v>14929642</v>
      </c>
      <c r="B155" s="361" t="s">
        <v>4797</v>
      </c>
      <c r="C155" s="361"/>
      <c r="D155" s="465"/>
      <c r="E155" s="361" t="s">
        <v>5623</v>
      </c>
      <c r="F155" s="435" t="s">
        <v>4620</v>
      </c>
      <c r="G155" s="430">
        <v>40884</v>
      </c>
      <c r="H155" s="435">
        <f>DATEDIF(G155,$G$6,"Y")</f>
        <v>13</v>
      </c>
      <c r="I155" s="361"/>
    </row>
    <row r="156" spans="1:9" s="364" customFormat="1">
      <c r="A156" s="370"/>
      <c r="B156" s="371"/>
      <c r="C156" s="371"/>
      <c r="D156" s="909"/>
      <c r="E156" s="371"/>
      <c r="F156" s="442"/>
      <c r="G156" s="431"/>
      <c r="H156" s="442"/>
      <c r="I156" s="371"/>
    </row>
    <row r="157" spans="1:9" s="364" customFormat="1">
      <c r="A157" s="1164"/>
      <c r="B157" s="1165"/>
      <c r="C157" s="1165"/>
      <c r="D157" s="1166"/>
      <c r="E157" s="1165"/>
      <c r="F157" s="1167"/>
      <c r="G157" s="1168"/>
      <c r="H157" s="1167"/>
      <c r="I157" s="1165"/>
    </row>
    <row r="158" spans="1:9" s="364" customFormat="1">
      <c r="A158" s="1164">
        <v>14986675</v>
      </c>
      <c r="B158" s="1165" t="s">
        <v>5020</v>
      </c>
      <c r="C158" s="1165" t="s">
        <v>5228</v>
      </c>
      <c r="D158" s="1166">
        <v>2</v>
      </c>
      <c r="E158" s="1165" t="s">
        <v>6017</v>
      </c>
      <c r="F158" s="1327" t="s">
        <v>4621</v>
      </c>
      <c r="G158" s="1168">
        <v>41627</v>
      </c>
      <c r="H158" s="435">
        <f t="shared" ref="H158:H160" si="1">DATEDIF(G158,$G$6,"Y")</f>
        <v>11</v>
      </c>
      <c r="I158" s="1168"/>
    </row>
    <row r="159" spans="1:9" s="364" customFormat="1">
      <c r="A159" s="1164">
        <v>14986675</v>
      </c>
      <c r="B159" s="1165" t="s">
        <v>5020</v>
      </c>
      <c r="C159" s="1165"/>
      <c r="D159" s="1166"/>
      <c r="E159" s="1165" t="s">
        <v>6018</v>
      </c>
      <c r="F159" s="1327" t="s">
        <v>4621</v>
      </c>
      <c r="G159" s="1168">
        <v>39282</v>
      </c>
      <c r="H159" s="435">
        <f t="shared" si="1"/>
        <v>17</v>
      </c>
      <c r="I159" s="1168"/>
    </row>
    <row r="160" spans="1:9" s="364" customFormat="1">
      <c r="A160" s="1164">
        <v>14986675</v>
      </c>
      <c r="B160" s="1165" t="s">
        <v>5020</v>
      </c>
      <c r="C160" s="1165"/>
      <c r="D160" s="1166"/>
      <c r="E160" s="1165" t="s">
        <v>6019</v>
      </c>
      <c r="F160" s="1327" t="s">
        <v>4620</v>
      </c>
      <c r="G160" s="1168">
        <v>38284</v>
      </c>
      <c r="H160" s="435">
        <f t="shared" si="1"/>
        <v>20</v>
      </c>
      <c r="I160" s="1168" t="s">
        <v>5596</v>
      </c>
    </row>
    <row r="161" spans="1:9" s="364" customFormat="1">
      <c r="A161" s="370"/>
      <c r="B161" s="371"/>
      <c r="C161" s="371"/>
      <c r="D161" s="909"/>
      <c r="E161" s="371" t="s">
        <v>2904</v>
      </c>
      <c r="F161" s="442"/>
      <c r="G161" s="431"/>
      <c r="H161" s="442"/>
      <c r="I161" s="371"/>
    </row>
    <row r="162" spans="1:9">
      <c r="A162" s="360">
        <v>15188927</v>
      </c>
      <c r="B162" s="361" t="s">
        <v>4798</v>
      </c>
      <c r="C162" s="361" t="s">
        <v>5221</v>
      </c>
      <c r="D162" s="465">
        <v>2</v>
      </c>
      <c r="E162" s="361" t="s">
        <v>6032</v>
      </c>
      <c r="F162" s="435" t="s">
        <v>4621</v>
      </c>
      <c r="G162" s="430">
        <v>41241</v>
      </c>
      <c r="H162" s="435">
        <f>DATEDIF(G162,$G$6,"Y")</f>
        <v>12</v>
      </c>
      <c r="I162" s="361"/>
    </row>
    <row r="163" spans="1:9">
      <c r="A163" s="360">
        <v>15188927</v>
      </c>
      <c r="B163" s="361" t="s">
        <v>4798</v>
      </c>
      <c r="C163" s="361"/>
      <c r="D163" s="465"/>
      <c r="E163" s="361" t="s">
        <v>6033</v>
      </c>
      <c r="F163" s="435" t="s">
        <v>4621</v>
      </c>
      <c r="G163" s="430">
        <v>42324</v>
      </c>
      <c r="H163" s="435">
        <f>DATEDIF(G163,$G$6,"Y")</f>
        <v>9</v>
      </c>
      <c r="I163" s="361"/>
    </row>
    <row r="164" spans="1:9">
      <c r="A164" s="360"/>
      <c r="B164" s="361"/>
      <c r="C164" s="361"/>
      <c r="D164" s="465"/>
      <c r="E164" s="361"/>
      <c r="F164" s="435"/>
      <c r="G164" s="430"/>
      <c r="H164" s="435"/>
      <c r="I164" s="361"/>
    </row>
    <row r="165" spans="1:9" s="364" customFormat="1">
      <c r="A165" s="1164">
        <v>15560762</v>
      </c>
      <c r="B165" s="1165" t="s">
        <v>6751</v>
      </c>
      <c r="C165" s="361" t="s">
        <v>6755</v>
      </c>
      <c r="D165" s="1166">
        <v>1</v>
      </c>
      <c r="E165" s="1165" t="s">
        <v>6756</v>
      </c>
      <c r="F165" s="1167" t="s">
        <v>4620</v>
      </c>
      <c r="G165" s="1168">
        <v>40540</v>
      </c>
      <c r="H165" s="435">
        <f>DATEDIF(G165,$G$6,"Y")</f>
        <v>14</v>
      </c>
      <c r="I165" s="1165"/>
    </row>
    <row r="166" spans="1:9">
      <c r="A166" s="360"/>
      <c r="B166" s="361"/>
      <c r="C166" s="361"/>
      <c r="D166" s="465"/>
      <c r="E166" s="361"/>
      <c r="F166" s="435"/>
      <c r="G166" s="430"/>
      <c r="H166" s="435"/>
      <c r="I166" s="361"/>
    </row>
    <row r="167" spans="1:9">
      <c r="A167" s="360">
        <v>15588470</v>
      </c>
      <c r="B167" s="361" t="s">
        <v>4804</v>
      </c>
      <c r="C167" s="361" t="s">
        <v>5260</v>
      </c>
      <c r="D167" s="465">
        <v>1</v>
      </c>
      <c r="E167" s="361" t="s">
        <v>5624</v>
      </c>
      <c r="F167" s="435" t="s">
        <v>4620</v>
      </c>
      <c r="G167" s="430">
        <v>39883</v>
      </c>
      <c r="H167" s="435">
        <f>DATEDIF(G167,$G$6,"Y")</f>
        <v>15</v>
      </c>
      <c r="I167" s="361"/>
    </row>
    <row r="168" spans="1:9">
      <c r="A168" s="360">
        <v>15588470</v>
      </c>
      <c r="B168" s="361" t="s">
        <v>4804</v>
      </c>
      <c r="C168" s="361"/>
      <c r="D168" s="465"/>
      <c r="E168" s="361" t="s">
        <v>5625</v>
      </c>
      <c r="F168" s="435" t="s">
        <v>4620</v>
      </c>
      <c r="G168" s="430">
        <v>37789</v>
      </c>
      <c r="H168" s="435">
        <f>DATEDIF(G168,$G$6,"Y")</f>
        <v>21</v>
      </c>
      <c r="I168" s="361" t="s">
        <v>5797</v>
      </c>
    </row>
    <row r="169" spans="1:9">
      <c r="A169" s="360"/>
      <c r="B169" s="361"/>
      <c r="C169" s="361"/>
      <c r="D169" s="465"/>
      <c r="E169" s="361"/>
      <c r="F169" s="435"/>
      <c r="G169" s="430"/>
      <c r="H169" s="435"/>
      <c r="I169" s="361"/>
    </row>
    <row r="170" spans="1:9" s="364" customFormat="1">
      <c r="A170" s="360">
        <v>15752048</v>
      </c>
      <c r="B170" s="361" t="s">
        <v>4674</v>
      </c>
      <c r="C170" s="361" t="s">
        <v>5221</v>
      </c>
      <c r="D170" s="465">
        <v>0</v>
      </c>
      <c r="E170" s="361" t="s">
        <v>5731</v>
      </c>
      <c r="F170" s="435" t="s">
        <v>4620</v>
      </c>
      <c r="G170" s="430">
        <v>38293</v>
      </c>
      <c r="H170" s="435">
        <f>DATEDIF(G170,$G$6,"Y")</f>
        <v>20</v>
      </c>
      <c r="I170" s="361" t="s">
        <v>5795</v>
      </c>
    </row>
    <row r="171" spans="1:9" s="364" customFormat="1">
      <c r="A171" s="360">
        <v>15752048</v>
      </c>
      <c r="B171" s="361" t="s">
        <v>4674</v>
      </c>
      <c r="C171" s="361"/>
      <c r="D171" s="465"/>
      <c r="E171" s="361" t="s">
        <v>5732</v>
      </c>
      <c r="F171" s="435" t="s">
        <v>4620</v>
      </c>
      <c r="G171" s="430">
        <v>38908</v>
      </c>
      <c r="H171" s="435">
        <f>DATEDIF(G171,$G$6,"Y")</f>
        <v>18</v>
      </c>
      <c r="I171" s="361" t="s">
        <v>5795</v>
      </c>
    </row>
    <row r="172" spans="1:9" s="364" customFormat="1">
      <c r="A172" s="370"/>
      <c r="B172" s="371"/>
      <c r="C172" s="371"/>
      <c r="D172" s="909"/>
      <c r="E172" s="371"/>
      <c r="F172" s="442"/>
      <c r="G172" s="431"/>
      <c r="H172" s="442"/>
      <c r="I172" s="371"/>
    </row>
    <row r="173" spans="1:9">
      <c r="A173" s="360">
        <v>15752386</v>
      </c>
      <c r="B173" s="361" t="s">
        <v>4805</v>
      </c>
      <c r="C173" s="361" t="s">
        <v>5221</v>
      </c>
      <c r="D173" s="465">
        <v>2</v>
      </c>
      <c r="E173" s="376" t="s">
        <v>5626</v>
      </c>
      <c r="F173" s="435" t="s">
        <v>4621</v>
      </c>
      <c r="G173" s="430">
        <v>40191</v>
      </c>
      <c r="H173" s="435">
        <f>DATEDIF(G173,$G$6,"Y")</f>
        <v>15</v>
      </c>
      <c r="I173" s="361"/>
    </row>
    <row r="174" spans="1:9">
      <c r="A174" s="360">
        <v>15752386</v>
      </c>
      <c r="B174" s="361" t="s">
        <v>4805</v>
      </c>
      <c r="C174" s="361"/>
      <c r="D174" s="465"/>
      <c r="E174" s="376" t="s">
        <v>5627</v>
      </c>
      <c r="F174" s="435" t="s">
        <v>4621</v>
      </c>
      <c r="G174" s="430">
        <v>39765</v>
      </c>
      <c r="H174" s="435">
        <f>DATEDIF(G174,$G$6,"Y")</f>
        <v>16</v>
      </c>
      <c r="I174" s="361"/>
    </row>
    <row r="175" spans="1:9" s="364" customFormat="1">
      <c r="A175" s="360">
        <v>15752386</v>
      </c>
      <c r="B175" s="361" t="s">
        <v>4805</v>
      </c>
      <c r="C175" s="371"/>
      <c r="D175" s="909"/>
      <c r="E175" s="371" t="s">
        <v>5749</v>
      </c>
      <c r="F175" s="442" t="s">
        <v>4621</v>
      </c>
      <c r="G175" s="431">
        <v>43821</v>
      </c>
      <c r="H175" s="435">
        <f>DATEDIF(G175,$G$6,"Y")</f>
        <v>5</v>
      </c>
      <c r="I175" s="371"/>
    </row>
    <row r="176" spans="1:9">
      <c r="A176" s="360"/>
      <c r="B176" s="361"/>
      <c r="C176" s="361"/>
      <c r="D176" s="465"/>
      <c r="E176" s="361"/>
      <c r="F176" s="435"/>
      <c r="G176" s="430"/>
      <c r="H176" s="435"/>
      <c r="I176" s="361"/>
    </row>
    <row r="177" spans="1:9" s="364" customFormat="1">
      <c r="A177" s="360">
        <v>15752435</v>
      </c>
      <c r="B177" s="361" t="s">
        <v>4806</v>
      </c>
      <c r="C177" s="361" t="s">
        <v>5260</v>
      </c>
      <c r="D177" s="465">
        <v>2</v>
      </c>
      <c r="E177" s="361" t="s">
        <v>5628</v>
      </c>
      <c r="F177" s="435" t="s">
        <v>4620</v>
      </c>
      <c r="G177" s="430">
        <v>39773</v>
      </c>
      <c r="H177" s="435">
        <f>DATEDIF(G177,$G$6,"Y")</f>
        <v>16</v>
      </c>
      <c r="I177" s="361"/>
    </row>
    <row r="178" spans="1:9" s="364" customFormat="1">
      <c r="A178" s="360">
        <v>15752435</v>
      </c>
      <c r="B178" s="361" t="s">
        <v>4806</v>
      </c>
      <c r="C178" s="361"/>
      <c r="D178" s="465"/>
      <c r="E178" s="361" t="s">
        <v>5629</v>
      </c>
      <c r="F178" s="435" t="s">
        <v>4620</v>
      </c>
      <c r="G178" s="430">
        <v>42982</v>
      </c>
      <c r="H178" s="435">
        <f>DATEDIF(G178,$G$6,"Y")</f>
        <v>7</v>
      </c>
      <c r="I178" s="361"/>
    </row>
    <row r="179" spans="1:9" s="364" customFormat="1">
      <c r="A179" s="370"/>
      <c r="B179" s="371"/>
      <c r="C179" s="371"/>
      <c r="D179" s="909"/>
      <c r="E179" s="371"/>
      <c r="F179" s="442"/>
      <c r="G179" s="431"/>
      <c r="H179" s="442"/>
      <c r="I179" s="371"/>
    </row>
    <row r="180" spans="1:9">
      <c r="A180" s="360">
        <v>15824548</v>
      </c>
      <c r="B180" s="361" t="s">
        <v>4809</v>
      </c>
      <c r="C180" s="361" t="s">
        <v>5224</v>
      </c>
      <c r="D180" s="465">
        <v>1</v>
      </c>
      <c r="E180" s="361" t="s">
        <v>6034</v>
      </c>
      <c r="F180" s="435" t="s">
        <v>4621</v>
      </c>
      <c r="G180" s="430">
        <v>38628</v>
      </c>
      <c r="H180" s="435">
        <f>DATEDIF(G180,$G$6,"Y")</f>
        <v>19</v>
      </c>
      <c r="I180" s="361" t="s">
        <v>5797</v>
      </c>
    </row>
    <row r="181" spans="1:9">
      <c r="A181" s="360">
        <v>15824548</v>
      </c>
      <c r="B181" s="361" t="s">
        <v>4809</v>
      </c>
      <c r="C181" s="361"/>
      <c r="D181" s="465"/>
      <c r="E181" s="361" t="s">
        <v>6035</v>
      </c>
      <c r="F181" s="435" t="s">
        <v>4621</v>
      </c>
      <c r="G181" s="430">
        <v>42812</v>
      </c>
      <c r="H181" s="435">
        <f>DATEDIF(G181,$G$6,"Y")</f>
        <v>7</v>
      </c>
      <c r="I181" s="361"/>
    </row>
    <row r="182" spans="1:9">
      <c r="A182" s="360"/>
      <c r="B182" s="361"/>
      <c r="C182" s="361"/>
      <c r="D182" s="465"/>
      <c r="E182" s="361"/>
      <c r="F182" s="435"/>
      <c r="G182" s="430"/>
      <c r="H182" s="435"/>
      <c r="I182" s="361"/>
    </row>
    <row r="183" spans="1:9">
      <c r="A183" s="360">
        <v>15904692</v>
      </c>
      <c r="B183" s="361" t="s">
        <v>4810</v>
      </c>
      <c r="C183" s="361" t="s">
        <v>5221</v>
      </c>
      <c r="D183" s="465">
        <v>2</v>
      </c>
      <c r="E183" s="361" t="s">
        <v>5630</v>
      </c>
      <c r="F183" s="435" t="s">
        <v>4620</v>
      </c>
      <c r="G183" s="430">
        <v>40413</v>
      </c>
      <c r="H183" s="435">
        <f>DATEDIF(G183,$G$6,"Y")</f>
        <v>14</v>
      </c>
      <c r="I183" s="361"/>
    </row>
    <row r="184" spans="1:9">
      <c r="A184" s="360">
        <v>15904692</v>
      </c>
      <c r="B184" s="361" t="s">
        <v>4810</v>
      </c>
      <c r="C184" s="361"/>
      <c r="D184" s="465"/>
      <c r="E184" s="361" t="s">
        <v>5631</v>
      </c>
      <c r="F184" s="435" t="s">
        <v>4620</v>
      </c>
      <c r="G184" s="430">
        <v>41499</v>
      </c>
      <c r="H184" s="435">
        <f>DATEDIF(G184,$G$6,"Y")</f>
        <v>11</v>
      </c>
      <c r="I184" s="361"/>
    </row>
    <row r="185" spans="1:9">
      <c r="A185" s="360">
        <v>15904692</v>
      </c>
      <c r="B185" s="361" t="s">
        <v>4810</v>
      </c>
      <c r="C185" s="361"/>
      <c r="D185" s="465"/>
      <c r="E185" s="361" t="s">
        <v>5632</v>
      </c>
      <c r="F185" s="435" t="s">
        <v>4620</v>
      </c>
      <c r="G185" s="430">
        <v>43361</v>
      </c>
      <c r="H185" s="435">
        <f>DATEDIF(G185,$G$6,"Y")</f>
        <v>6</v>
      </c>
      <c r="I185" s="361"/>
    </row>
    <row r="186" spans="1:9">
      <c r="A186" s="360"/>
      <c r="B186" s="361"/>
      <c r="C186" s="361"/>
      <c r="D186" s="465"/>
      <c r="E186" s="361"/>
      <c r="F186" s="435"/>
      <c r="G186" s="430"/>
      <c r="H186" s="435"/>
      <c r="I186" s="361"/>
    </row>
    <row r="187" spans="1:9">
      <c r="A187" s="360">
        <v>16015833</v>
      </c>
      <c r="B187" s="361" t="s">
        <v>4811</v>
      </c>
      <c r="C187" s="361" t="s">
        <v>5221</v>
      </c>
      <c r="D187" s="465">
        <v>1</v>
      </c>
      <c r="E187" s="361" t="s">
        <v>5633</v>
      </c>
      <c r="F187" s="435" t="s">
        <v>4620</v>
      </c>
      <c r="G187" s="430">
        <v>38878</v>
      </c>
      <c r="H187" s="435">
        <f>DATEDIF(G187,$G$6,"Y")</f>
        <v>18</v>
      </c>
      <c r="I187" s="361" t="s">
        <v>5795</v>
      </c>
    </row>
    <row r="188" spans="1:9">
      <c r="A188" s="360">
        <v>16015833</v>
      </c>
      <c r="B188" s="361" t="s">
        <v>4811</v>
      </c>
      <c r="C188" s="361"/>
      <c r="D188" s="465"/>
      <c r="E188" s="361" t="s">
        <v>5634</v>
      </c>
      <c r="F188" s="435" t="s">
        <v>4620</v>
      </c>
      <c r="G188" s="430">
        <v>41840</v>
      </c>
      <c r="H188" s="435">
        <f>DATEDIF(G188,$G$6,"Y")</f>
        <v>10</v>
      </c>
      <c r="I188" s="361"/>
    </row>
    <row r="189" spans="1:9">
      <c r="A189" s="360"/>
      <c r="B189" s="361"/>
      <c r="C189" s="361"/>
      <c r="D189" s="465"/>
      <c r="E189" s="361"/>
      <c r="F189" s="435"/>
      <c r="G189" s="430"/>
      <c r="H189" s="435"/>
      <c r="I189" s="361"/>
    </row>
    <row r="190" spans="1:9">
      <c r="A190" s="360">
        <v>16065580</v>
      </c>
      <c r="B190" s="361" t="s">
        <v>4812</v>
      </c>
      <c r="C190" s="361" t="s">
        <v>5228</v>
      </c>
      <c r="D190" s="465">
        <v>1</v>
      </c>
      <c r="E190" s="361" t="s">
        <v>5635</v>
      </c>
      <c r="F190" s="435" t="s">
        <v>4621</v>
      </c>
      <c r="G190" s="430">
        <v>41532</v>
      </c>
      <c r="H190" s="435">
        <f>DATEDIF(G190,$G$6,"Y")</f>
        <v>11</v>
      </c>
      <c r="I190" s="361"/>
    </row>
    <row r="191" spans="1:9">
      <c r="A191" s="360"/>
      <c r="B191" s="361"/>
      <c r="C191" s="361"/>
      <c r="D191" s="465"/>
      <c r="E191" s="361"/>
      <c r="F191" s="435"/>
      <c r="G191" s="430"/>
      <c r="H191" s="435"/>
      <c r="I191" s="361"/>
    </row>
    <row r="192" spans="1:9">
      <c r="A192" s="360">
        <v>16066524</v>
      </c>
      <c r="B192" s="361" t="s">
        <v>4814</v>
      </c>
      <c r="C192" s="361" t="s">
        <v>5219</v>
      </c>
      <c r="D192" s="465">
        <v>2</v>
      </c>
      <c r="E192" s="361" t="s">
        <v>5636</v>
      </c>
      <c r="F192" s="435" t="s">
        <v>4620</v>
      </c>
      <c r="G192" s="430">
        <v>40827</v>
      </c>
      <c r="H192" s="435">
        <f>DATEDIF(G192,$G$6,"Y")</f>
        <v>13</v>
      </c>
      <c r="I192" s="361"/>
    </row>
    <row r="193" spans="1:9">
      <c r="A193" s="360">
        <v>16066524</v>
      </c>
      <c r="B193" s="361" t="s">
        <v>4814</v>
      </c>
      <c r="C193" s="361"/>
      <c r="D193" s="465"/>
      <c r="E193" s="361" t="s">
        <v>5637</v>
      </c>
      <c r="F193" s="435" t="s">
        <v>4620</v>
      </c>
      <c r="G193" s="430">
        <v>40827</v>
      </c>
      <c r="H193" s="435">
        <f>DATEDIF(G193,$G$6,"Y")</f>
        <v>13</v>
      </c>
      <c r="I193" s="361"/>
    </row>
    <row r="194" spans="1:9">
      <c r="A194" s="360">
        <v>16066524</v>
      </c>
      <c r="B194" s="361" t="s">
        <v>4814</v>
      </c>
      <c r="C194" s="361"/>
      <c r="D194" s="465"/>
      <c r="E194" s="361" t="s">
        <v>5638</v>
      </c>
      <c r="F194" s="435" t="s">
        <v>4620</v>
      </c>
      <c r="G194" s="430">
        <v>37378</v>
      </c>
      <c r="H194" s="435">
        <f>DATEDIF(G194,$G$6,"Y")</f>
        <v>22</v>
      </c>
      <c r="I194" s="361" t="s">
        <v>5797</v>
      </c>
    </row>
    <row r="195" spans="1:9">
      <c r="A195" s="360">
        <v>16066524</v>
      </c>
      <c r="B195" s="361" t="s">
        <v>4814</v>
      </c>
      <c r="C195" s="361"/>
      <c r="D195" s="465"/>
      <c r="E195" s="361" t="s">
        <v>5639</v>
      </c>
      <c r="F195" s="435" t="s">
        <v>4620</v>
      </c>
      <c r="G195" s="430">
        <v>37951</v>
      </c>
      <c r="H195" s="435">
        <f>DATEDIF(G195,$G$6,"Y")</f>
        <v>21</v>
      </c>
      <c r="I195" s="361" t="s">
        <v>5797</v>
      </c>
    </row>
    <row r="196" spans="1:9">
      <c r="A196" s="360"/>
      <c r="B196" s="361"/>
      <c r="C196" s="361"/>
      <c r="D196" s="465"/>
      <c r="E196" s="361"/>
      <c r="F196" s="435"/>
      <c r="G196" s="430"/>
      <c r="H196" s="435"/>
      <c r="I196" s="361"/>
    </row>
    <row r="197" spans="1:9">
      <c r="A197" s="360">
        <v>16066554</v>
      </c>
      <c r="B197" s="361" t="s">
        <v>4815</v>
      </c>
      <c r="C197" s="361" t="s">
        <v>5261</v>
      </c>
      <c r="D197" s="465">
        <v>2</v>
      </c>
      <c r="E197" s="361" t="s">
        <v>5640</v>
      </c>
      <c r="F197" s="435" t="s">
        <v>4620</v>
      </c>
      <c r="G197" s="430">
        <v>41207</v>
      </c>
      <c r="H197" s="435">
        <f>DATEDIF(G197,$G$6,"Y")</f>
        <v>12</v>
      </c>
      <c r="I197" s="361"/>
    </row>
    <row r="198" spans="1:9">
      <c r="A198" s="360">
        <v>16066554</v>
      </c>
      <c r="B198" s="361" t="s">
        <v>4815</v>
      </c>
      <c r="C198" s="361"/>
      <c r="D198" s="465"/>
      <c r="E198" s="361" t="s">
        <v>5641</v>
      </c>
      <c r="F198" s="435" t="s">
        <v>4620</v>
      </c>
      <c r="G198" s="430">
        <v>41941</v>
      </c>
      <c r="H198" s="435">
        <f>DATEDIF(G198,$G$6,"Y")</f>
        <v>10</v>
      </c>
      <c r="I198" s="361"/>
    </row>
    <row r="199" spans="1:9">
      <c r="A199" s="360"/>
      <c r="B199" s="361"/>
      <c r="C199" s="361"/>
      <c r="D199" s="465"/>
      <c r="E199" s="361"/>
      <c r="F199" s="435"/>
      <c r="G199" s="430"/>
      <c r="H199" s="435"/>
      <c r="I199" s="361"/>
    </row>
    <row r="200" spans="1:9">
      <c r="A200" s="360">
        <v>16266033</v>
      </c>
      <c r="B200" s="361" t="s">
        <v>4816</v>
      </c>
      <c r="C200" s="361" t="s">
        <v>5222</v>
      </c>
      <c r="D200" s="465">
        <v>2</v>
      </c>
      <c r="E200" s="361" t="s">
        <v>6036</v>
      </c>
      <c r="F200" s="435" t="s">
        <v>4620</v>
      </c>
      <c r="G200" s="430">
        <v>39184</v>
      </c>
      <c r="H200" s="435">
        <f>DATEDIF(G200,$G$6,"Y")</f>
        <v>17</v>
      </c>
      <c r="I200" s="361"/>
    </row>
    <row r="201" spans="1:9">
      <c r="A201" s="360">
        <v>16266033</v>
      </c>
      <c r="B201" s="361" t="s">
        <v>4816</v>
      </c>
      <c r="C201" s="361"/>
      <c r="D201" s="465"/>
      <c r="E201" s="361" t="s">
        <v>6037</v>
      </c>
      <c r="F201" s="435" t="s">
        <v>4620</v>
      </c>
      <c r="G201" s="430">
        <v>39921</v>
      </c>
      <c r="H201" s="435">
        <f>DATEDIF(G201,$G$6,"Y")</f>
        <v>15</v>
      </c>
      <c r="I201" s="361"/>
    </row>
    <row r="202" spans="1:9">
      <c r="A202" s="360">
        <v>16266033</v>
      </c>
      <c r="B202" s="361" t="s">
        <v>4816</v>
      </c>
      <c r="C202" s="361"/>
      <c r="D202" s="465"/>
      <c r="E202" s="361" t="s">
        <v>6038</v>
      </c>
      <c r="F202" s="435" t="s">
        <v>4620</v>
      </c>
      <c r="G202" s="430">
        <v>40546</v>
      </c>
      <c r="H202" s="435">
        <f>DATEDIF(G202,$G$6,"Y")</f>
        <v>14</v>
      </c>
      <c r="I202" s="361"/>
    </row>
    <row r="203" spans="1:9" s="364" customFormat="1">
      <c r="A203" s="1164"/>
      <c r="B203" s="1165"/>
      <c r="C203" s="1165"/>
      <c r="D203" s="1166"/>
      <c r="E203" s="1165"/>
      <c r="F203" s="1167"/>
      <c r="G203" s="1168"/>
      <c r="H203" s="1167"/>
      <c r="I203" s="1165"/>
    </row>
    <row r="204" spans="1:9">
      <c r="A204" s="360">
        <v>16266989</v>
      </c>
      <c r="B204" s="361" t="s">
        <v>4817</v>
      </c>
      <c r="C204" s="361" t="s">
        <v>5221</v>
      </c>
      <c r="D204" s="465">
        <v>2</v>
      </c>
      <c r="E204" s="361" t="s">
        <v>5642</v>
      </c>
      <c r="F204" s="435" t="s">
        <v>4620</v>
      </c>
      <c r="G204" s="430">
        <v>38290</v>
      </c>
      <c r="H204" s="435">
        <f>DATEDIF(G204,$G$6,"Y")</f>
        <v>20</v>
      </c>
      <c r="I204" s="361" t="s">
        <v>5797</v>
      </c>
    </row>
    <row r="205" spans="1:9">
      <c r="A205" s="360">
        <v>16266989</v>
      </c>
      <c r="B205" s="361" t="s">
        <v>4817</v>
      </c>
      <c r="C205" s="361"/>
      <c r="D205" s="465"/>
      <c r="E205" s="361" t="s">
        <v>5643</v>
      </c>
      <c r="F205" s="435" t="s">
        <v>4620</v>
      </c>
      <c r="G205" s="430">
        <v>37344</v>
      </c>
      <c r="H205" s="435">
        <f>DATEDIF(G205,$G$6,"Y")</f>
        <v>22</v>
      </c>
      <c r="I205" s="361" t="s">
        <v>5797</v>
      </c>
    </row>
    <row r="206" spans="1:9">
      <c r="A206" s="360">
        <v>16266989</v>
      </c>
      <c r="B206" s="361" t="s">
        <v>4817</v>
      </c>
      <c r="C206" s="361"/>
      <c r="D206" s="465"/>
      <c r="E206" s="361" t="s">
        <v>5644</v>
      </c>
      <c r="F206" s="435" t="s">
        <v>4620</v>
      </c>
      <c r="G206" s="430">
        <v>40666</v>
      </c>
      <c r="H206" s="435">
        <f>DATEDIF(G206,$G$6,"Y")</f>
        <v>13</v>
      </c>
      <c r="I206" s="361"/>
    </row>
    <row r="207" spans="1:9" s="364" customFormat="1">
      <c r="A207" s="360">
        <v>16266989</v>
      </c>
      <c r="B207" s="361" t="s">
        <v>4817</v>
      </c>
      <c r="C207" s="900"/>
      <c r="D207" s="910"/>
      <c r="E207" s="361" t="s">
        <v>5962</v>
      </c>
      <c r="F207" s="435" t="s">
        <v>4620</v>
      </c>
      <c r="G207" s="430">
        <v>44060</v>
      </c>
      <c r="H207" s="435">
        <f>DATEDIF(G207,$G$6,"Y")</f>
        <v>4</v>
      </c>
      <c r="I207" s="900"/>
    </row>
    <row r="208" spans="1:9">
      <c r="A208" s="360"/>
      <c r="B208" s="361"/>
      <c r="C208" s="361"/>
      <c r="D208" s="465"/>
      <c r="E208" s="361"/>
      <c r="F208" s="435"/>
      <c r="G208" s="430"/>
      <c r="H208" s="435"/>
      <c r="I208" s="361"/>
    </row>
    <row r="209" spans="1:9">
      <c r="A209" s="360">
        <v>16267940</v>
      </c>
      <c r="B209" s="361" t="s">
        <v>4818</v>
      </c>
      <c r="C209" s="361" t="s">
        <v>5224</v>
      </c>
      <c r="D209" s="465">
        <v>2</v>
      </c>
      <c r="E209" s="361" t="s">
        <v>6039</v>
      </c>
      <c r="F209" s="435" t="s">
        <v>4621</v>
      </c>
      <c r="G209" s="430">
        <v>43906</v>
      </c>
      <c r="H209" s="435">
        <f>DATEDIF(G209,$G$6,"Y")</f>
        <v>4</v>
      </c>
      <c r="I209" s="361"/>
    </row>
    <row r="210" spans="1:9">
      <c r="A210" s="360">
        <v>16267940</v>
      </c>
      <c r="B210" s="361" t="s">
        <v>4818</v>
      </c>
      <c r="C210" s="361"/>
      <c r="D210" s="465"/>
      <c r="E210" s="361" t="s">
        <v>5645</v>
      </c>
      <c r="F210" s="435" t="s">
        <v>4620</v>
      </c>
      <c r="G210" s="430">
        <v>39304</v>
      </c>
      <c r="H210" s="435">
        <f>DATEDIF(G210,$G$6,"Y")</f>
        <v>17</v>
      </c>
      <c r="I210" s="361"/>
    </row>
    <row r="211" spans="1:9">
      <c r="A211" s="360"/>
      <c r="B211" s="361"/>
      <c r="C211" s="361"/>
      <c r="D211" s="465"/>
      <c r="E211" s="361"/>
      <c r="F211" s="435"/>
      <c r="G211" s="430"/>
      <c r="H211" s="435"/>
      <c r="I211" s="361"/>
    </row>
    <row r="212" spans="1:9">
      <c r="A212" s="360">
        <v>16376534</v>
      </c>
      <c r="B212" s="361" t="s">
        <v>4820</v>
      </c>
      <c r="C212" s="361" t="s">
        <v>5221</v>
      </c>
      <c r="D212" s="465">
        <v>1</v>
      </c>
      <c r="E212" s="361" t="s">
        <v>5646</v>
      </c>
      <c r="F212" s="435" t="s">
        <v>4620</v>
      </c>
      <c r="G212" s="430">
        <v>38250</v>
      </c>
      <c r="H212" s="435">
        <f>DATEDIF(G212,$G$6,"Y")</f>
        <v>20</v>
      </c>
      <c r="I212" s="361" t="s">
        <v>5647</v>
      </c>
    </row>
    <row r="213" spans="1:9">
      <c r="A213" s="360">
        <v>16376534</v>
      </c>
      <c r="B213" s="361" t="s">
        <v>4820</v>
      </c>
      <c r="C213" s="361"/>
      <c r="D213" s="465"/>
      <c r="E213" s="361" t="s">
        <v>5648</v>
      </c>
      <c r="F213" s="435" t="s">
        <v>4620</v>
      </c>
      <c r="G213" s="430">
        <v>39594</v>
      </c>
      <c r="H213" s="435">
        <f>DATEDIF(G213,$G$6,"Y")</f>
        <v>16</v>
      </c>
      <c r="I213" s="361"/>
    </row>
    <row r="214" spans="1:9">
      <c r="A214" s="360"/>
      <c r="B214" s="361"/>
      <c r="C214" s="361"/>
      <c r="D214" s="465"/>
      <c r="E214" s="361"/>
      <c r="F214" s="435"/>
      <c r="G214" s="430"/>
      <c r="H214" s="435"/>
      <c r="I214" s="361"/>
    </row>
    <row r="215" spans="1:9">
      <c r="A215" s="360">
        <v>16376698</v>
      </c>
      <c r="B215" s="361" t="s">
        <v>4821</v>
      </c>
      <c r="C215" s="361" t="s">
        <v>5233</v>
      </c>
      <c r="D215" s="465">
        <v>2</v>
      </c>
      <c r="E215" s="361" t="s">
        <v>6045</v>
      </c>
      <c r="F215" s="435" t="s">
        <v>4621</v>
      </c>
      <c r="G215" s="430">
        <v>39781</v>
      </c>
      <c r="H215" s="435">
        <f>DATEDIF(G215,$G$6,"Y")</f>
        <v>16</v>
      </c>
      <c r="I215" s="361"/>
    </row>
    <row r="216" spans="1:9">
      <c r="A216" s="360">
        <v>16376698</v>
      </c>
      <c r="B216" s="361" t="s">
        <v>4821</v>
      </c>
      <c r="C216" s="361"/>
      <c r="D216" s="465"/>
      <c r="E216" s="361" t="s">
        <v>6040</v>
      </c>
      <c r="F216" s="435" t="s">
        <v>4620</v>
      </c>
      <c r="G216" s="430">
        <v>38227</v>
      </c>
      <c r="H216" s="435">
        <f t="shared" ref="H216:H296" si="2">DATEDIF(G216,$G$6,"Y")</f>
        <v>20</v>
      </c>
      <c r="I216" s="361" t="s">
        <v>5797</v>
      </c>
    </row>
    <row r="217" spans="1:9">
      <c r="A217" s="360">
        <v>16376698</v>
      </c>
      <c r="B217" s="361" t="s">
        <v>4821</v>
      </c>
      <c r="C217" s="361"/>
      <c r="D217" s="465"/>
      <c r="E217" s="361" t="s">
        <v>6041</v>
      </c>
      <c r="F217" s="435" t="s">
        <v>4621</v>
      </c>
      <c r="G217" s="430">
        <v>42613</v>
      </c>
      <c r="H217" s="435">
        <f t="shared" si="2"/>
        <v>8</v>
      </c>
      <c r="I217" s="361"/>
    </row>
    <row r="218" spans="1:9">
      <c r="A218" s="360"/>
      <c r="B218" s="361"/>
      <c r="C218" s="361"/>
      <c r="D218" s="465"/>
      <c r="E218" s="361" t="s">
        <v>2904</v>
      </c>
      <c r="F218" s="435"/>
      <c r="G218" s="430"/>
      <c r="H218" s="435"/>
      <c r="I218" s="361"/>
    </row>
    <row r="219" spans="1:9" s="364" customFormat="1">
      <c r="A219" s="1164">
        <v>16376781</v>
      </c>
      <c r="B219" s="1165" t="s">
        <v>6563</v>
      </c>
      <c r="C219" s="1165" t="s">
        <v>5222</v>
      </c>
      <c r="D219" s="1166">
        <v>2</v>
      </c>
      <c r="E219" s="1165" t="s">
        <v>6564</v>
      </c>
      <c r="F219" s="435" t="s">
        <v>4621</v>
      </c>
      <c r="G219" s="1168">
        <v>43103</v>
      </c>
      <c r="H219" s="435">
        <f t="shared" si="2"/>
        <v>7</v>
      </c>
      <c r="I219" s="1165"/>
    </row>
    <row r="220" spans="1:9" s="364" customFormat="1">
      <c r="A220" s="1164"/>
      <c r="B220" s="1165"/>
      <c r="C220" s="1165"/>
      <c r="D220" s="1166"/>
      <c r="E220" s="1165" t="s">
        <v>6707</v>
      </c>
      <c r="F220" s="1167" t="s">
        <v>4620</v>
      </c>
      <c r="G220" s="1168">
        <v>39540</v>
      </c>
      <c r="H220" s="1167">
        <f t="shared" si="2"/>
        <v>16</v>
      </c>
      <c r="I220" s="1165"/>
    </row>
    <row r="221" spans="1:9" s="364" customFormat="1">
      <c r="A221" s="1164"/>
      <c r="B221" s="1165"/>
      <c r="C221" s="1165"/>
      <c r="D221" s="1166"/>
      <c r="E221" s="1165"/>
      <c r="F221" s="1167"/>
      <c r="G221" s="1168"/>
      <c r="H221" s="1167"/>
      <c r="I221" s="1165"/>
    </row>
    <row r="222" spans="1:9">
      <c r="A222" s="360">
        <v>16377159</v>
      </c>
      <c r="B222" s="361" t="s">
        <v>4822</v>
      </c>
      <c r="C222" s="361" t="s">
        <v>5222</v>
      </c>
      <c r="D222" s="465">
        <v>2</v>
      </c>
      <c r="E222" s="361" t="s">
        <v>6042</v>
      </c>
      <c r="F222" s="435" t="s">
        <v>4621</v>
      </c>
      <c r="G222" s="430">
        <v>39379</v>
      </c>
      <c r="H222" s="435">
        <f t="shared" si="2"/>
        <v>17</v>
      </c>
      <c r="I222" s="361"/>
    </row>
    <row r="223" spans="1:9">
      <c r="A223" s="360">
        <v>16377159</v>
      </c>
      <c r="B223" s="361" t="s">
        <v>4822</v>
      </c>
      <c r="C223" s="361"/>
      <c r="D223" s="465"/>
      <c r="E223" s="361" t="s">
        <v>6043</v>
      </c>
      <c r="F223" s="435" t="s">
        <v>4621</v>
      </c>
      <c r="G223" s="430">
        <v>40738</v>
      </c>
      <c r="H223" s="435">
        <f t="shared" si="2"/>
        <v>13</v>
      </c>
      <c r="I223" s="361"/>
    </row>
    <row r="224" spans="1:9">
      <c r="A224" s="360">
        <v>16377159</v>
      </c>
      <c r="B224" s="361" t="s">
        <v>4822</v>
      </c>
      <c r="C224" s="361"/>
      <c r="D224" s="465"/>
      <c r="E224" s="361" t="s">
        <v>6044</v>
      </c>
      <c r="F224" s="435" t="s">
        <v>4621</v>
      </c>
      <c r="G224" s="430">
        <v>43664</v>
      </c>
      <c r="H224" s="435">
        <f t="shared" si="2"/>
        <v>5</v>
      </c>
      <c r="I224" s="361"/>
    </row>
    <row r="225" spans="1:9">
      <c r="A225" s="360"/>
      <c r="B225" s="361"/>
      <c r="C225" s="361"/>
      <c r="D225" s="465"/>
      <c r="E225" s="361"/>
      <c r="F225" s="435"/>
      <c r="G225" s="430"/>
      <c r="H225" s="435"/>
      <c r="I225" s="361"/>
    </row>
    <row r="226" spans="1:9">
      <c r="A226" s="360">
        <v>16377588</v>
      </c>
      <c r="B226" s="361" t="s">
        <v>4823</v>
      </c>
      <c r="C226" s="361" t="s">
        <v>5228</v>
      </c>
      <c r="D226" s="465">
        <v>1</v>
      </c>
      <c r="E226" s="361" t="s">
        <v>5649</v>
      </c>
      <c r="F226" s="435" t="s">
        <v>4620</v>
      </c>
      <c r="G226" s="430">
        <v>38427</v>
      </c>
      <c r="H226" s="435">
        <f t="shared" si="2"/>
        <v>19</v>
      </c>
      <c r="I226" s="361" t="s">
        <v>5797</v>
      </c>
    </row>
    <row r="227" spans="1:9">
      <c r="A227" s="360">
        <v>16377588</v>
      </c>
      <c r="B227" s="361" t="s">
        <v>4823</v>
      </c>
      <c r="C227" s="361"/>
      <c r="D227" s="465"/>
      <c r="E227" s="361" t="s">
        <v>5650</v>
      </c>
      <c r="F227" s="435" t="s">
        <v>4620</v>
      </c>
      <c r="G227" s="430">
        <v>40188</v>
      </c>
      <c r="H227" s="435">
        <f t="shared" si="2"/>
        <v>15</v>
      </c>
      <c r="I227" s="361"/>
    </row>
    <row r="228" spans="1:9">
      <c r="A228" s="360"/>
      <c r="B228" s="361"/>
      <c r="C228" s="361"/>
      <c r="D228" s="465"/>
      <c r="E228" s="361"/>
      <c r="F228" s="435"/>
      <c r="G228" s="430"/>
      <c r="H228" s="435"/>
      <c r="I228" s="361"/>
    </row>
    <row r="229" spans="1:9">
      <c r="A229" s="360">
        <v>16377628</v>
      </c>
      <c r="B229" s="361" t="s">
        <v>4824</v>
      </c>
      <c r="C229" s="361" t="s">
        <v>5221</v>
      </c>
      <c r="D229" s="465">
        <v>1</v>
      </c>
      <c r="E229" s="361" t="s">
        <v>6046</v>
      </c>
      <c r="F229" s="435" t="s">
        <v>4621</v>
      </c>
      <c r="G229" s="430">
        <v>43920</v>
      </c>
      <c r="H229" s="435">
        <f t="shared" si="2"/>
        <v>4</v>
      </c>
      <c r="I229" s="361"/>
    </row>
    <row r="230" spans="1:9">
      <c r="A230" s="360">
        <v>16377628</v>
      </c>
      <c r="B230" s="361" t="s">
        <v>4824</v>
      </c>
      <c r="C230" s="361"/>
      <c r="D230" s="465"/>
      <c r="E230" s="361" t="s">
        <v>6047</v>
      </c>
      <c r="F230" s="435" t="s">
        <v>4621</v>
      </c>
      <c r="G230" s="430">
        <v>38833</v>
      </c>
      <c r="H230" s="435">
        <f t="shared" si="2"/>
        <v>18</v>
      </c>
      <c r="I230" s="361" t="s">
        <v>5797</v>
      </c>
    </row>
    <row r="231" spans="1:9">
      <c r="A231" s="360"/>
      <c r="B231" s="361"/>
      <c r="C231" s="361"/>
      <c r="D231" s="465"/>
      <c r="E231" s="361" t="s">
        <v>2904</v>
      </c>
      <c r="F231" s="435"/>
      <c r="G231" s="430"/>
      <c r="H231" s="435"/>
      <c r="I231" s="361"/>
    </row>
    <row r="232" spans="1:9">
      <c r="A232" s="360">
        <v>16533566</v>
      </c>
      <c r="B232" s="361" t="s">
        <v>4826</v>
      </c>
      <c r="C232" s="361" t="s">
        <v>5222</v>
      </c>
      <c r="D232" s="465">
        <v>2</v>
      </c>
      <c r="E232" s="361" t="s">
        <v>6048</v>
      </c>
      <c r="F232" s="435" t="s">
        <v>4620</v>
      </c>
      <c r="G232" s="430">
        <v>40001</v>
      </c>
      <c r="H232" s="435">
        <f t="shared" si="2"/>
        <v>15</v>
      </c>
      <c r="I232" s="361" t="s">
        <v>5651</v>
      </c>
    </row>
    <row r="233" spans="1:9">
      <c r="A233" s="360">
        <v>16533566</v>
      </c>
      <c r="B233" s="361" t="s">
        <v>4826</v>
      </c>
      <c r="C233" s="361"/>
      <c r="D233" s="465"/>
      <c r="E233" s="361" t="s">
        <v>6049</v>
      </c>
      <c r="F233" s="435" t="s">
        <v>4621</v>
      </c>
      <c r="G233" s="430">
        <v>40001</v>
      </c>
      <c r="H233" s="435">
        <f t="shared" si="2"/>
        <v>15</v>
      </c>
      <c r="I233" s="361"/>
    </row>
    <row r="234" spans="1:9">
      <c r="A234" s="360">
        <v>16533566</v>
      </c>
      <c r="B234" s="361" t="s">
        <v>4826</v>
      </c>
      <c r="C234" s="361"/>
      <c r="D234" s="465"/>
      <c r="E234" s="361" t="s">
        <v>6050</v>
      </c>
      <c r="F234" s="435" t="s">
        <v>4620</v>
      </c>
      <c r="G234" s="430">
        <v>42178</v>
      </c>
      <c r="H234" s="435">
        <f t="shared" si="2"/>
        <v>9</v>
      </c>
      <c r="I234" s="361"/>
    </row>
    <row r="235" spans="1:9">
      <c r="A235" s="360">
        <v>16533566</v>
      </c>
      <c r="B235" s="361" t="s">
        <v>4826</v>
      </c>
      <c r="C235" s="361"/>
      <c r="D235" s="465"/>
      <c r="E235" s="361" t="s">
        <v>6051</v>
      </c>
      <c r="F235" s="435" t="s">
        <v>4621</v>
      </c>
      <c r="G235" s="430">
        <v>39231</v>
      </c>
      <c r="H235" s="435">
        <f t="shared" si="2"/>
        <v>17</v>
      </c>
      <c r="I235" s="361"/>
    </row>
    <row r="236" spans="1:9" s="364" customFormat="1">
      <c r="A236" s="1164"/>
      <c r="B236" s="1165"/>
      <c r="C236" s="1165"/>
      <c r="D236" s="1166"/>
      <c r="E236" s="1165"/>
      <c r="F236" s="1167"/>
      <c r="G236" s="1168"/>
      <c r="H236" s="1167"/>
      <c r="I236" s="1165"/>
    </row>
    <row r="237" spans="1:9" s="364" customFormat="1">
      <c r="A237" s="1164">
        <v>16533615</v>
      </c>
      <c r="B237" s="1165" t="s">
        <v>6747</v>
      </c>
      <c r="C237" s="361" t="s">
        <v>5222</v>
      </c>
      <c r="D237" s="1166">
        <v>1</v>
      </c>
      <c r="E237" s="1165" t="s">
        <v>6750</v>
      </c>
      <c r="F237" s="1167" t="s">
        <v>4621</v>
      </c>
      <c r="G237" s="1168">
        <v>41368</v>
      </c>
      <c r="H237" s="435">
        <f t="shared" si="2"/>
        <v>11</v>
      </c>
      <c r="I237" s="1165"/>
    </row>
    <row r="238" spans="1:9" s="364" customFormat="1">
      <c r="A238" s="1164"/>
      <c r="B238" s="1165"/>
      <c r="C238" s="1165"/>
      <c r="D238" s="1166"/>
      <c r="E238" s="1165"/>
      <c r="F238" s="1167"/>
      <c r="G238" s="1168"/>
      <c r="H238" s="1167"/>
      <c r="I238" s="1165"/>
    </row>
    <row r="239" spans="1:9">
      <c r="A239" s="360">
        <v>16533986</v>
      </c>
      <c r="B239" s="361" t="s">
        <v>4827</v>
      </c>
      <c r="C239" s="361" t="s">
        <v>5264</v>
      </c>
      <c r="D239" s="465">
        <v>1</v>
      </c>
      <c r="E239" s="361" t="s">
        <v>5652</v>
      </c>
      <c r="F239" s="435" t="s">
        <v>4620</v>
      </c>
      <c r="G239" s="430">
        <v>42515</v>
      </c>
      <c r="H239" s="435">
        <f t="shared" si="2"/>
        <v>8</v>
      </c>
      <c r="I239" s="361"/>
    </row>
    <row r="240" spans="1:9">
      <c r="A240" s="360"/>
      <c r="B240" s="361"/>
      <c r="C240" s="361"/>
      <c r="D240" s="465"/>
      <c r="E240" s="361"/>
      <c r="F240" s="435"/>
      <c r="G240" s="430"/>
      <c r="H240" s="435"/>
      <c r="I240" s="361"/>
    </row>
    <row r="241" spans="1:9" s="364" customFormat="1">
      <c r="A241" s="1164">
        <v>16740261</v>
      </c>
      <c r="B241" s="1165" t="s">
        <v>6794</v>
      </c>
      <c r="C241" s="1165" t="s">
        <v>6796</v>
      </c>
      <c r="D241" s="1166">
        <v>1</v>
      </c>
      <c r="E241" s="1165" t="s">
        <v>6797</v>
      </c>
      <c r="F241" s="1167" t="s">
        <v>4620</v>
      </c>
      <c r="G241" s="1168">
        <v>42913</v>
      </c>
      <c r="H241" s="435">
        <f t="shared" si="2"/>
        <v>7</v>
      </c>
      <c r="I241" s="1165"/>
    </row>
    <row r="242" spans="1:9">
      <c r="A242" s="360"/>
      <c r="B242" s="361"/>
      <c r="C242" s="361"/>
      <c r="D242" s="465"/>
      <c r="E242" s="361"/>
      <c r="F242" s="435"/>
      <c r="G242" s="430"/>
      <c r="H242" s="435"/>
      <c r="I242" s="361"/>
    </row>
    <row r="243" spans="1:9">
      <c r="A243" s="360">
        <v>16882467</v>
      </c>
      <c r="B243" s="361" t="s">
        <v>4830</v>
      </c>
      <c r="C243" s="361" t="s">
        <v>5265</v>
      </c>
      <c r="D243" s="465">
        <v>1</v>
      </c>
      <c r="E243" s="361" t="s">
        <v>5655</v>
      </c>
      <c r="F243" s="435" t="s">
        <v>4620</v>
      </c>
      <c r="G243" s="430">
        <v>39325</v>
      </c>
      <c r="H243" s="435">
        <f t="shared" si="2"/>
        <v>17</v>
      </c>
      <c r="I243" s="361"/>
    </row>
    <row r="244" spans="1:9">
      <c r="A244" s="360"/>
      <c r="B244" s="361"/>
      <c r="C244" s="361"/>
      <c r="D244" s="465"/>
      <c r="E244" s="361"/>
      <c r="F244" s="435"/>
      <c r="G244" s="430"/>
      <c r="H244" s="435"/>
      <c r="I244" s="361"/>
    </row>
    <row r="245" spans="1:9">
      <c r="A245" s="360">
        <v>16883267</v>
      </c>
      <c r="B245" s="361" t="s">
        <v>4831</v>
      </c>
      <c r="C245" s="361" t="s">
        <v>4831</v>
      </c>
      <c r="D245" s="465">
        <v>0</v>
      </c>
      <c r="E245" s="458" t="s">
        <v>5656</v>
      </c>
      <c r="F245" s="435" t="s">
        <v>4621</v>
      </c>
      <c r="G245" s="430">
        <v>39723</v>
      </c>
      <c r="H245" s="435">
        <f t="shared" si="2"/>
        <v>16</v>
      </c>
      <c r="I245" s="361" t="s">
        <v>5796</v>
      </c>
    </row>
    <row r="246" spans="1:9" s="364" customFormat="1">
      <c r="A246" s="1164"/>
      <c r="B246" s="1165"/>
      <c r="C246" s="1165"/>
      <c r="D246" s="1166"/>
      <c r="E246" s="1166"/>
      <c r="F246" s="1167"/>
      <c r="G246" s="1168"/>
      <c r="H246" s="1167"/>
      <c r="I246" s="1165"/>
    </row>
    <row r="247" spans="1:9">
      <c r="A247" s="360">
        <v>17037244</v>
      </c>
      <c r="B247" s="361" t="s">
        <v>4832</v>
      </c>
      <c r="C247" s="361" t="s">
        <v>5221</v>
      </c>
      <c r="D247" s="465">
        <v>2</v>
      </c>
      <c r="E247" s="361" t="s">
        <v>5657</v>
      </c>
      <c r="F247" s="435" t="s">
        <v>4620</v>
      </c>
      <c r="G247" s="430">
        <v>40515</v>
      </c>
      <c r="H247" s="435">
        <f t="shared" si="2"/>
        <v>14</v>
      </c>
      <c r="I247" s="361"/>
    </row>
    <row r="248" spans="1:9">
      <c r="A248" s="360">
        <v>17037244</v>
      </c>
      <c r="B248" s="361" t="s">
        <v>4832</v>
      </c>
      <c r="C248" s="361"/>
      <c r="D248" s="465"/>
      <c r="E248" s="361" t="s">
        <v>5658</v>
      </c>
      <c r="F248" s="435" t="s">
        <v>4620</v>
      </c>
      <c r="G248" s="430">
        <v>40883</v>
      </c>
      <c r="H248" s="435">
        <f t="shared" si="2"/>
        <v>13</v>
      </c>
      <c r="I248" s="361"/>
    </row>
    <row r="249" spans="1:9" s="364" customFormat="1">
      <c r="A249" s="1164"/>
      <c r="B249" s="1165"/>
      <c r="C249" s="1165"/>
      <c r="D249" s="1166"/>
      <c r="E249" s="1165"/>
      <c r="F249" s="1167"/>
      <c r="G249" s="1168"/>
      <c r="H249" s="1167"/>
      <c r="I249" s="1165"/>
    </row>
    <row r="250" spans="1:9">
      <c r="A250" s="360">
        <v>17094419</v>
      </c>
      <c r="B250" s="361" t="s">
        <v>4833</v>
      </c>
      <c r="C250" s="361" t="s">
        <v>5222</v>
      </c>
      <c r="D250" s="465">
        <v>0</v>
      </c>
      <c r="E250" s="361" t="s">
        <v>6052</v>
      </c>
      <c r="F250" s="435" t="s">
        <v>4620</v>
      </c>
      <c r="G250" s="430">
        <v>40668</v>
      </c>
      <c r="H250" s="435">
        <f t="shared" si="2"/>
        <v>13</v>
      </c>
      <c r="I250" s="361"/>
    </row>
    <row r="251" spans="1:9" s="364" customFormat="1">
      <c r="A251" s="1164"/>
      <c r="B251" s="1165"/>
      <c r="C251" s="1165"/>
      <c r="D251" s="1166"/>
      <c r="E251" s="1165"/>
      <c r="F251" s="1167"/>
      <c r="G251" s="1168"/>
      <c r="H251" s="1167"/>
      <c r="I251" s="1165"/>
    </row>
    <row r="252" spans="1:9" s="364" customFormat="1">
      <c r="A252" s="1164">
        <v>17094426</v>
      </c>
      <c r="B252" s="1165" t="s">
        <v>4834</v>
      </c>
      <c r="C252" s="1165" t="s">
        <v>5221</v>
      </c>
      <c r="D252" s="1166">
        <v>1</v>
      </c>
      <c r="E252" s="1165" t="s">
        <v>6833</v>
      </c>
      <c r="F252" s="1167" t="s">
        <v>4620</v>
      </c>
      <c r="G252" s="1168">
        <v>45414</v>
      </c>
      <c r="H252" s="435">
        <f t="shared" si="2"/>
        <v>0</v>
      </c>
      <c r="I252" s="1165"/>
    </row>
    <row r="253" spans="1:9">
      <c r="A253" s="360"/>
      <c r="B253" s="361"/>
      <c r="C253" s="361"/>
      <c r="D253" s="465"/>
      <c r="E253" s="361"/>
      <c r="F253" s="435"/>
      <c r="G253" s="430"/>
      <c r="H253" s="435"/>
      <c r="I253" s="361"/>
    </row>
    <row r="254" spans="1:9">
      <c r="A254" s="360">
        <v>17130893</v>
      </c>
      <c r="B254" s="361" t="s">
        <v>4835</v>
      </c>
      <c r="C254" s="361" t="s">
        <v>5230</v>
      </c>
      <c r="D254" s="465">
        <v>2</v>
      </c>
      <c r="E254" s="361" t="s">
        <v>5659</v>
      </c>
      <c r="F254" s="435" t="s">
        <v>4620</v>
      </c>
      <c r="G254" s="430">
        <v>37663</v>
      </c>
      <c r="H254" s="435">
        <f t="shared" si="2"/>
        <v>21</v>
      </c>
      <c r="I254" s="361" t="s">
        <v>5797</v>
      </c>
    </row>
    <row r="255" spans="1:9">
      <c r="A255" s="360">
        <v>17130893</v>
      </c>
      <c r="B255" s="361" t="s">
        <v>4835</v>
      </c>
      <c r="C255" s="361"/>
      <c r="D255" s="465"/>
      <c r="E255" s="361" t="s">
        <v>5660</v>
      </c>
      <c r="F255" s="435" t="s">
        <v>4620</v>
      </c>
      <c r="G255" s="430">
        <v>40878</v>
      </c>
      <c r="H255" s="435">
        <f t="shared" si="2"/>
        <v>13</v>
      </c>
      <c r="I255" s="361"/>
    </row>
    <row r="256" spans="1:9">
      <c r="A256" s="360">
        <v>17130893</v>
      </c>
      <c r="B256" s="361" t="s">
        <v>4835</v>
      </c>
      <c r="C256" s="361"/>
      <c r="D256" s="465"/>
      <c r="E256" s="361" t="s">
        <v>5661</v>
      </c>
      <c r="F256" s="435" t="s">
        <v>4620</v>
      </c>
      <c r="G256" s="430">
        <v>41516</v>
      </c>
      <c r="H256" s="435">
        <f t="shared" si="2"/>
        <v>11</v>
      </c>
      <c r="I256" s="361"/>
    </row>
    <row r="257" spans="1:9" s="364" customFormat="1">
      <c r="A257" s="370"/>
      <c r="B257" s="371"/>
      <c r="C257" s="371"/>
      <c r="D257" s="909"/>
      <c r="E257" s="371"/>
      <c r="F257" s="442"/>
      <c r="G257" s="431"/>
      <c r="H257" s="435"/>
      <c r="I257" s="371"/>
    </row>
    <row r="258" spans="1:9" s="364" customFormat="1">
      <c r="A258" s="360">
        <v>17265093</v>
      </c>
      <c r="B258" s="361" t="s">
        <v>6001</v>
      </c>
      <c r="C258" s="361" t="s">
        <v>5267</v>
      </c>
      <c r="D258" s="465">
        <v>1</v>
      </c>
      <c r="E258" s="361" t="s">
        <v>6002</v>
      </c>
      <c r="F258" s="435" t="s">
        <v>4621</v>
      </c>
      <c r="G258" s="430">
        <v>44073</v>
      </c>
      <c r="H258" s="435">
        <f t="shared" ref="H258" si="3">DATEDIF(G258,$G$6,"Y")</f>
        <v>4</v>
      </c>
      <c r="I258" s="361"/>
    </row>
    <row r="259" spans="1:9" s="364" customFormat="1">
      <c r="A259" s="1018"/>
      <c r="B259" s="1019"/>
      <c r="C259" s="1019"/>
      <c r="D259" s="1020"/>
      <c r="E259" s="1019"/>
      <c r="F259" s="1021"/>
      <c r="G259" s="1022"/>
      <c r="H259" s="1021"/>
      <c r="I259" s="1019"/>
    </row>
    <row r="260" spans="1:9" s="364" customFormat="1">
      <c r="A260" s="370">
        <v>17265578</v>
      </c>
      <c r="B260" s="371" t="s">
        <v>5527</v>
      </c>
      <c r="C260" s="371" t="s">
        <v>5256</v>
      </c>
      <c r="D260" s="909">
        <v>2</v>
      </c>
      <c r="E260" s="371" t="s">
        <v>6053</v>
      </c>
      <c r="F260" s="435" t="s">
        <v>4620</v>
      </c>
      <c r="G260" s="430">
        <v>39149</v>
      </c>
      <c r="H260" s="435">
        <f t="shared" si="2"/>
        <v>17</v>
      </c>
      <c r="I260" s="371"/>
    </row>
    <row r="261" spans="1:9" s="364" customFormat="1">
      <c r="A261" s="370">
        <v>17265578</v>
      </c>
      <c r="B261" s="371" t="s">
        <v>5527</v>
      </c>
      <c r="C261" s="371"/>
      <c r="D261" s="909"/>
      <c r="E261" s="371" t="s">
        <v>6054</v>
      </c>
      <c r="F261" s="435" t="s">
        <v>4620</v>
      </c>
      <c r="G261" s="431">
        <v>38043</v>
      </c>
      <c r="H261" s="435">
        <f t="shared" si="2"/>
        <v>20</v>
      </c>
      <c r="I261" s="361" t="s">
        <v>5797</v>
      </c>
    </row>
    <row r="262" spans="1:9" s="364" customFormat="1">
      <c r="A262" s="370">
        <v>17265578</v>
      </c>
      <c r="B262" s="371" t="s">
        <v>5527</v>
      </c>
      <c r="C262" s="371"/>
      <c r="D262" s="909"/>
      <c r="E262" s="371" t="s">
        <v>6055</v>
      </c>
      <c r="F262" s="435" t="s">
        <v>4620</v>
      </c>
      <c r="G262" s="431">
        <v>40503</v>
      </c>
      <c r="H262" s="435">
        <f t="shared" si="2"/>
        <v>14</v>
      </c>
      <c r="I262" s="371"/>
    </row>
    <row r="263" spans="1:9">
      <c r="A263" s="360"/>
      <c r="B263" s="361"/>
      <c r="C263" s="361"/>
      <c r="D263" s="465"/>
      <c r="E263" s="361" t="s">
        <v>2904</v>
      </c>
      <c r="F263" s="435"/>
      <c r="G263" s="430"/>
      <c r="H263" s="435"/>
      <c r="I263" s="361"/>
    </row>
    <row r="264" spans="1:9">
      <c r="A264" s="360">
        <v>17265648</v>
      </c>
      <c r="B264" s="361" t="s">
        <v>4836</v>
      </c>
      <c r="C264" s="361" t="s">
        <v>5221</v>
      </c>
      <c r="D264" s="465">
        <v>2</v>
      </c>
      <c r="E264" s="361" t="s">
        <v>5662</v>
      </c>
      <c r="F264" s="435" t="s">
        <v>4620</v>
      </c>
      <c r="G264" s="430">
        <v>41608</v>
      </c>
      <c r="H264" s="435">
        <f t="shared" si="2"/>
        <v>11</v>
      </c>
      <c r="I264" s="361"/>
    </row>
    <row r="265" spans="1:9">
      <c r="A265" s="360">
        <v>17265648</v>
      </c>
      <c r="B265" s="361" t="s">
        <v>4836</v>
      </c>
      <c r="C265" s="361"/>
      <c r="D265" s="465"/>
      <c r="E265" s="361" t="s">
        <v>5663</v>
      </c>
      <c r="F265" s="435" t="s">
        <v>4620</v>
      </c>
      <c r="G265" s="430">
        <v>40374</v>
      </c>
      <c r="H265" s="435">
        <f t="shared" si="2"/>
        <v>14</v>
      </c>
      <c r="I265" s="361"/>
    </row>
    <row r="266" spans="1:9">
      <c r="A266" s="360"/>
      <c r="B266" s="361"/>
      <c r="C266" s="361"/>
      <c r="D266" s="465"/>
      <c r="E266" s="361" t="s">
        <v>2904</v>
      </c>
      <c r="F266" s="435"/>
      <c r="G266" s="430"/>
      <c r="H266" s="435"/>
      <c r="I266" s="361"/>
    </row>
    <row r="267" spans="1:9">
      <c r="A267" s="360">
        <v>17267324</v>
      </c>
      <c r="B267" s="361" t="s">
        <v>4837</v>
      </c>
      <c r="C267" s="361" t="s">
        <v>5221</v>
      </c>
      <c r="D267" s="465">
        <v>2</v>
      </c>
      <c r="E267" s="361" t="s">
        <v>5664</v>
      </c>
      <c r="F267" s="435" t="s">
        <v>4620</v>
      </c>
      <c r="G267" s="430">
        <v>39210</v>
      </c>
      <c r="H267" s="435">
        <f t="shared" si="2"/>
        <v>17</v>
      </c>
      <c r="I267" s="361"/>
    </row>
    <row r="268" spans="1:9">
      <c r="A268" s="360">
        <v>17267324</v>
      </c>
      <c r="B268" s="361" t="s">
        <v>4837</v>
      </c>
      <c r="C268" s="361"/>
      <c r="D268" s="465"/>
      <c r="E268" s="361" t="s">
        <v>5665</v>
      </c>
      <c r="F268" s="435" t="s">
        <v>4620</v>
      </c>
      <c r="G268" s="430">
        <v>41689</v>
      </c>
      <c r="H268" s="435">
        <f t="shared" si="2"/>
        <v>10</v>
      </c>
      <c r="I268" s="361"/>
    </row>
    <row r="269" spans="1:9">
      <c r="A269" s="360">
        <v>17267324</v>
      </c>
      <c r="B269" s="361" t="s">
        <v>4837</v>
      </c>
      <c r="C269" s="361"/>
      <c r="D269" s="465"/>
      <c r="E269" s="361" t="s">
        <v>5666</v>
      </c>
      <c r="F269" s="435" t="s">
        <v>4620</v>
      </c>
      <c r="G269" s="430">
        <v>38133</v>
      </c>
      <c r="H269" s="435">
        <f t="shared" si="2"/>
        <v>20</v>
      </c>
      <c r="I269" s="361" t="s">
        <v>5797</v>
      </c>
    </row>
    <row r="270" spans="1:9">
      <c r="A270" s="360"/>
      <c r="B270" s="361"/>
      <c r="C270" s="361"/>
      <c r="D270" s="465"/>
      <c r="E270" s="361" t="s">
        <v>2904</v>
      </c>
      <c r="F270" s="435"/>
      <c r="G270" s="430"/>
      <c r="H270" s="435"/>
      <c r="I270" s="361"/>
    </row>
    <row r="271" spans="1:9">
      <c r="A271" s="360">
        <v>17391316</v>
      </c>
      <c r="B271" s="361" t="s">
        <v>4838</v>
      </c>
      <c r="C271" s="361" t="s">
        <v>5222</v>
      </c>
      <c r="D271" s="465">
        <v>1</v>
      </c>
      <c r="E271" s="361" t="s">
        <v>6056</v>
      </c>
      <c r="F271" s="435" t="s">
        <v>4620</v>
      </c>
      <c r="G271" s="430">
        <v>41365</v>
      </c>
      <c r="H271" s="435">
        <f t="shared" si="2"/>
        <v>11</v>
      </c>
      <c r="I271" s="361"/>
    </row>
    <row r="272" spans="1:9">
      <c r="A272" s="360">
        <v>17391316</v>
      </c>
      <c r="B272" s="361" t="s">
        <v>4838</v>
      </c>
      <c r="C272" s="361"/>
      <c r="D272" s="465"/>
      <c r="E272" s="361" t="s">
        <v>6057</v>
      </c>
      <c r="F272" s="435" t="s">
        <v>4621</v>
      </c>
      <c r="G272" s="430">
        <v>38833</v>
      </c>
      <c r="H272" s="435">
        <f t="shared" si="2"/>
        <v>18</v>
      </c>
      <c r="I272" s="361" t="s">
        <v>5797</v>
      </c>
    </row>
    <row r="273" spans="1:9">
      <c r="A273" s="360"/>
      <c r="B273" s="361"/>
      <c r="C273" s="361"/>
      <c r="D273" s="465"/>
      <c r="E273" s="361"/>
      <c r="F273" s="435"/>
      <c r="G273" s="430"/>
      <c r="H273" s="435"/>
      <c r="I273" s="361"/>
    </row>
    <row r="274" spans="1:9" s="364" customFormat="1">
      <c r="A274" s="360">
        <v>17391892</v>
      </c>
      <c r="B274" s="361" t="s">
        <v>5994</v>
      </c>
      <c r="C274" s="361" t="s">
        <v>5265</v>
      </c>
      <c r="D274" s="465">
        <v>2</v>
      </c>
      <c r="E274" s="361" t="s">
        <v>6005</v>
      </c>
      <c r="F274" s="435" t="s">
        <v>4620</v>
      </c>
      <c r="G274" s="430">
        <v>41470</v>
      </c>
      <c r="H274" s="435">
        <f t="shared" ref="H274" si="4">DATEDIF(G274,$G$6,"Y")</f>
        <v>11</v>
      </c>
      <c r="I274" s="1019"/>
    </row>
    <row r="275" spans="1:9" s="364" customFormat="1">
      <c r="A275" s="360">
        <v>17391892</v>
      </c>
      <c r="B275" s="361" t="s">
        <v>5994</v>
      </c>
      <c r="C275" s="1019"/>
      <c r="D275" s="1020"/>
      <c r="E275" s="361" t="s">
        <v>6006</v>
      </c>
      <c r="F275" s="435" t="s">
        <v>4620</v>
      </c>
      <c r="G275" s="430">
        <v>42343</v>
      </c>
      <c r="H275" s="435">
        <f t="shared" ref="H275" si="5">DATEDIF(G275,$G$6,"Y")</f>
        <v>9</v>
      </c>
      <c r="I275" s="1019"/>
    </row>
    <row r="276" spans="1:9" s="364" customFormat="1">
      <c r="A276" s="1018"/>
      <c r="B276" s="1019"/>
      <c r="C276" s="1019"/>
      <c r="D276" s="1020"/>
      <c r="E276" s="1019"/>
      <c r="F276" s="1021"/>
      <c r="G276" s="1022"/>
      <c r="H276" s="1021"/>
      <c r="I276" s="1019"/>
    </row>
    <row r="277" spans="1:9">
      <c r="A277" s="360">
        <v>17392309</v>
      </c>
      <c r="B277" s="361" t="s">
        <v>4839</v>
      </c>
      <c r="C277" s="361" t="s">
        <v>5223</v>
      </c>
      <c r="D277" s="465">
        <v>2</v>
      </c>
      <c r="E277" s="361" t="s">
        <v>5667</v>
      </c>
      <c r="F277" s="435" t="s">
        <v>4620</v>
      </c>
      <c r="G277" s="430">
        <v>39094</v>
      </c>
      <c r="H277" s="435">
        <f t="shared" si="2"/>
        <v>18</v>
      </c>
      <c r="I277" s="361"/>
    </row>
    <row r="278" spans="1:9">
      <c r="A278" s="360">
        <v>17392309</v>
      </c>
      <c r="B278" s="361" t="s">
        <v>4839</v>
      </c>
      <c r="C278" s="361"/>
      <c r="D278" s="465"/>
      <c r="E278" s="361" t="s">
        <v>5668</v>
      </c>
      <c r="F278" s="435" t="s">
        <v>4620</v>
      </c>
      <c r="G278" s="430">
        <v>41283</v>
      </c>
      <c r="H278" s="435">
        <f t="shared" si="2"/>
        <v>12</v>
      </c>
      <c r="I278" s="361"/>
    </row>
    <row r="279" spans="1:9">
      <c r="A279" s="360"/>
      <c r="B279" s="361"/>
      <c r="C279" s="361"/>
      <c r="D279" s="465"/>
      <c r="E279" s="361"/>
      <c r="F279" s="435"/>
      <c r="G279" s="430"/>
      <c r="H279" s="435"/>
      <c r="I279" s="361"/>
    </row>
    <row r="280" spans="1:9">
      <c r="A280" s="360">
        <v>17393693</v>
      </c>
      <c r="B280" s="361" t="s">
        <v>4840</v>
      </c>
      <c r="C280" s="361" t="s">
        <v>5235</v>
      </c>
      <c r="D280" s="465">
        <v>2</v>
      </c>
      <c r="E280" s="361" t="s">
        <v>6058</v>
      </c>
      <c r="F280" s="435" t="s">
        <v>4621</v>
      </c>
      <c r="G280" s="430">
        <v>40896</v>
      </c>
      <c r="H280" s="435">
        <f t="shared" si="2"/>
        <v>13</v>
      </c>
      <c r="I280" s="361"/>
    </row>
    <row r="281" spans="1:9">
      <c r="A281" s="360">
        <v>17393693</v>
      </c>
      <c r="B281" s="361" t="s">
        <v>4840</v>
      </c>
      <c r="C281" s="361"/>
      <c r="D281" s="465"/>
      <c r="E281" s="361" t="s">
        <v>6059</v>
      </c>
      <c r="F281" s="435" t="s">
        <v>4621</v>
      </c>
      <c r="G281" s="430">
        <v>42177</v>
      </c>
      <c r="H281" s="435">
        <f t="shared" si="2"/>
        <v>9</v>
      </c>
      <c r="I281" s="361"/>
    </row>
    <row r="282" spans="1:9" s="364" customFormat="1">
      <c r="A282" s="1164"/>
      <c r="B282" s="1165"/>
      <c r="C282" s="1165"/>
      <c r="D282" s="1166"/>
      <c r="E282" s="1165"/>
      <c r="F282" s="1167"/>
      <c r="G282" s="1168"/>
      <c r="H282" s="1167"/>
      <c r="I282" s="1165"/>
    </row>
    <row r="283" spans="1:9" s="364" customFormat="1">
      <c r="A283" s="1164">
        <v>17596844</v>
      </c>
      <c r="B283" s="1165" t="s">
        <v>6770</v>
      </c>
      <c r="C283" s="1165" t="s">
        <v>5222</v>
      </c>
      <c r="D283" s="1166">
        <v>2</v>
      </c>
      <c r="E283" s="1165" t="s">
        <v>6773</v>
      </c>
      <c r="F283" s="1167" t="s">
        <v>4621</v>
      </c>
      <c r="G283" s="1168">
        <v>42445</v>
      </c>
      <c r="H283" s="435">
        <f t="shared" si="2"/>
        <v>8</v>
      </c>
      <c r="I283" s="1165"/>
    </row>
    <row r="284" spans="1:9" s="364" customFormat="1">
      <c r="A284" s="1164">
        <v>17596844</v>
      </c>
      <c r="B284" s="1165" t="s">
        <v>6770</v>
      </c>
      <c r="C284" s="1165" t="s">
        <v>5222</v>
      </c>
      <c r="D284" s="1166"/>
      <c r="E284" s="1165" t="s">
        <v>6774</v>
      </c>
      <c r="F284" s="1167" t="s">
        <v>4620</v>
      </c>
      <c r="G284" s="1168">
        <v>39912</v>
      </c>
      <c r="H284" s="435">
        <f t="shared" si="2"/>
        <v>15</v>
      </c>
      <c r="I284" s="1165"/>
    </row>
    <row r="285" spans="1:9">
      <c r="A285" s="360"/>
      <c r="B285" s="361"/>
      <c r="C285" s="361"/>
      <c r="D285" s="465"/>
      <c r="E285" s="361"/>
      <c r="F285" s="435"/>
      <c r="G285" s="430"/>
      <c r="H285" s="435"/>
      <c r="I285" s="361"/>
    </row>
    <row r="286" spans="1:9">
      <c r="A286" s="360">
        <v>17604568</v>
      </c>
      <c r="B286" s="361" t="s">
        <v>4842</v>
      </c>
      <c r="C286" s="361" t="s">
        <v>5266</v>
      </c>
      <c r="D286" s="465">
        <v>2</v>
      </c>
      <c r="E286" s="361" t="s">
        <v>5669</v>
      </c>
      <c r="F286" s="435" t="s">
        <v>4620</v>
      </c>
      <c r="G286" s="430">
        <v>43720</v>
      </c>
      <c r="H286" s="435">
        <f t="shared" si="2"/>
        <v>5</v>
      </c>
      <c r="I286" s="361"/>
    </row>
    <row r="287" spans="1:9">
      <c r="A287" s="360">
        <v>17604568</v>
      </c>
      <c r="B287" s="361" t="s">
        <v>4842</v>
      </c>
      <c r="C287" s="361"/>
      <c r="D287" s="465"/>
      <c r="E287" s="361" t="s">
        <v>5670</v>
      </c>
      <c r="F287" s="435" t="s">
        <v>4620</v>
      </c>
      <c r="G287" s="430">
        <v>42998</v>
      </c>
      <c r="H287" s="435">
        <f t="shared" si="2"/>
        <v>7</v>
      </c>
      <c r="I287" s="361"/>
    </row>
    <row r="288" spans="1:9">
      <c r="A288" s="360"/>
      <c r="B288" s="361"/>
      <c r="C288" s="361"/>
      <c r="D288" s="465"/>
      <c r="E288" s="361"/>
      <c r="F288" s="435"/>
      <c r="G288" s="430"/>
      <c r="H288" s="435"/>
      <c r="I288" s="361"/>
    </row>
    <row r="289" spans="1:9">
      <c r="A289" s="360">
        <v>17605492</v>
      </c>
      <c r="B289" s="361" t="s">
        <v>4844</v>
      </c>
      <c r="C289" s="361" t="s">
        <v>5223</v>
      </c>
      <c r="D289" s="465">
        <v>0</v>
      </c>
      <c r="E289" s="361" t="s">
        <v>5671</v>
      </c>
      <c r="F289" s="435" t="s">
        <v>4620</v>
      </c>
      <c r="G289" s="430">
        <v>37896</v>
      </c>
      <c r="H289" s="435">
        <f t="shared" si="2"/>
        <v>21</v>
      </c>
      <c r="I289" s="361" t="s">
        <v>5797</v>
      </c>
    </row>
    <row r="290" spans="1:9">
      <c r="A290" s="360">
        <v>17605492</v>
      </c>
      <c r="B290" s="361" t="s">
        <v>4844</v>
      </c>
      <c r="C290" s="361"/>
      <c r="D290" s="465"/>
      <c r="E290" s="361" t="s">
        <v>5672</v>
      </c>
      <c r="F290" s="435" t="s">
        <v>4620</v>
      </c>
      <c r="G290" s="430">
        <v>38912</v>
      </c>
      <c r="H290" s="435">
        <f t="shared" si="2"/>
        <v>18</v>
      </c>
      <c r="I290" s="361" t="s">
        <v>5797</v>
      </c>
    </row>
    <row r="291" spans="1:9">
      <c r="A291" s="360"/>
      <c r="B291" s="361"/>
      <c r="C291" s="361"/>
      <c r="D291" s="465"/>
      <c r="E291" s="361"/>
      <c r="F291" s="435"/>
      <c r="G291" s="430"/>
      <c r="H291" s="435"/>
      <c r="I291" s="361"/>
    </row>
    <row r="292" spans="1:9" s="364" customFormat="1">
      <c r="A292" s="360">
        <v>17606237</v>
      </c>
      <c r="B292" s="361" t="s">
        <v>5781</v>
      </c>
      <c r="C292" s="361" t="s">
        <v>461</v>
      </c>
      <c r="D292" s="465">
        <v>1</v>
      </c>
      <c r="E292" s="361" t="s">
        <v>5800</v>
      </c>
      <c r="F292" s="435" t="s">
        <v>4621</v>
      </c>
      <c r="G292" s="430">
        <v>43256</v>
      </c>
      <c r="H292" s="435">
        <f t="shared" ref="H292:H294" si="6">DATEDIF(G292,$G$6,"Y")</f>
        <v>6</v>
      </c>
      <c r="I292" s="361"/>
    </row>
    <row r="293" spans="1:9" s="364" customFormat="1">
      <c r="A293" s="1164"/>
      <c r="B293" s="1165"/>
      <c r="C293" s="1165"/>
      <c r="D293" s="1166"/>
      <c r="E293" s="1165"/>
      <c r="F293" s="1167"/>
      <c r="G293" s="1168"/>
      <c r="H293" s="1167"/>
      <c r="I293" s="1165"/>
    </row>
    <row r="294" spans="1:9" s="364" customFormat="1">
      <c r="A294" s="1164">
        <v>17831012</v>
      </c>
      <c r="B294" s="1165" t="s">
        <v>6742</v>
      </c>
      <c r="C294" s="1165" t="s">
        <v>6745</v>
      </c>
      <c r="D294" s="1166">
        <v>1</v>
      </c>
      <c r="E294" s="1165" t="s">
        <v>6746</v>
      </c>
      <c r="F294" s="1167" t="s">
        <v>4621</v>
      </c>
      <c r="G294" s="1168">
        <v>43590</v>
      </c>
      <c r="H294" s="435">
        <f t="shared" si="6"/>
        <v>5</v>
      </c>
      <c r="I294" s="1165"/>
    </row>
    <row r="295" spans="1:9" s="364" customFormat="1">
      <c r="A295" s="1164"/>
      <c r="B295" s="1165"/>
      <c r="C295" s="1165"/>
      <c r="D295" s="1166"/>
      <c r="E295" s="1165"/>
      <c r="F295" s="1167"/>
      <c r="G295" s="1168"/>
      <c r="H295" s="1167"/>
      <c r="I295" s="1165"/>
    </row>
    <row r="296" spans="1:9">
      <c r="A296" s="360">
        <v>17831231</v>
      </c>
      <c r="B296" s="361" t="s">
        <v>4848</v>
      </c>
      <c r="C296" s="361" t="s">
        <v>5216</v>
      </c>
      <c r="D296" s="465">
        <v>1</v>
      </c>
      <c r="E296" s="361" t="s">
        <v>5673</v>
      </c>
      <c r="F296" s="435" t="s">
        <v>4620</v>
      </c>
      <c r="G296" s="430">
        <v>38995</v>
      </c>
      <c r="H296" s="435">
        <f t="shared" si="2"/>
        <v>18</v>
      </c>
      <c r="I296" s="361" t="s">
        <v>5797</v>
      </c>
    </row>
    <row r="297" spans="1:9">
      <c r="A297" s="360">
        <v>17831231</v>
      </c>
      <c r="B297" s="361" t="s">
        <v>4848</v>
      </c>
      <c r="C297" s="361"/>
      <c r="D297" s="465"/>
      <c r="E297" s="361" t="s">
        <v>5674</v>
      </c>
      <c r="F297" s="435" t="s">
        <v>4620</v>
      </c>
      <c r="G297" s="430">
        <v>42155</v>
      </c>
      <c r="H297" s="435">
        <f t="shared" ref="H297:H357" si="7">DATEDIF(G297,$G$6,"Y")</f>
        <v>9</v>
      </c>
      <c r="I297" s="361"/>
    </row>
    <row r="298" spans="1:9">
      <c r="A298" s="360"/>
      <c r="B298" s="361"/>
      <c r="C298" s="361"/>
      <c r="D298" s="465"/>
      <c r="E298" s="361"/>
      <c r="F298" s="435"/>
      <c r="G298" s="430"/>
      <c r="H298" s="435"/>
      <c r="I298" s="361"/>
    </row>
    <row r="299" spans="1:9">
      <c r="A299" s="360">
        <v>17831384</v>
      </c>
      <c r="B299" s="361" t="s">
        <v>4849</v>
      </c>
      <c r="C299" s="361" t="s">
        <v>5221</v>
      </c>
      <c r="D299" s="465">
        <v>1</v>
      </c>
      <c r="E299" s="361" t="s">
        <v>5675</v>
      </c>
      <c r="F299" s="435" t="s">
        <v>4620</v>
      </c>
      <c r="G299" s="430">
        <v>40531</v>
      </c>
      <c r="H299" s="435">
        <f t="shared" si="7"/>
        <v>14</v>
      </c>
      <c r="I299" s="361"/>
    </row>
    <row r="300" spans="1:9">
      <c r="A300" s="360"/>
      <c r="B300" s="361"/>
      <c r="C300" s="361"/>
      <c r="D300" s="465"/>
      <c r="E300" s="361"/>
      <c r="F300" s="435"/>
      <c r="G300" s="430"/>
      <c r="H300" s="435"/>
      <c r="I300" s="361"/>
    </row>
    <row r="301" spans="1:9">
      <c r="A301" s="360">
        <v>17832396</v>
      </c>
      <c r="B301" s="361" t="s">
        <v>4850</v>
      </c>
      <c r="C301" s="361" t="s">
        <v>5243</v>
      </c>
      <c r="D301" s="465">
        <v>2</v>
      </c>
      <c r="E301" s="361" t="s">
        <v>5676</v>
      </c>
      <c r="F301" s="435" t="s">
        <v>4620</v>
      </c>
      <c r="G301" s="430">
        <v>41298</v>
      </c>
      <c r="H301" s="435">
        <f t="shared" si="7"/>
        <v>12</v>
      </c>
      <c r="I301" s="361"/>
    </row>
    <row r="302" spans="1:9">
      <c r="A302" s="360">
        <v>17832396</v>
      </c>
      <c r="B302" s="361" t="s">
        <v>4850</v>
      </c>
      <c r="C302" s="361"/>
      <c r="D302" s="465"/>
      <c r="E302" s="361" t="s">
        <v>5677</v>
      </c>
      <c r="F302" s="435" t="s">
        <v>4620</v>
      </c>
      <c r="G302" s="430">
        <v>41731</v>
      </c>
      <c r="H302" s="435">
        <f t="shared" si="7"/>
        <v>10</v>
      </c>
      <c r="I302" s="361"/>
    </row>
    <row r="303" spans="1:9">
      <c r="A303" s="360">
        <v>17832396</v>
      </c>
      <c r="B303" s="361" t="s">
        <v>4850</v>
      </c>
      <c r="C303" s="361"/>
      <c r="D303" s="465"/>
      <c r="E303" s="361" t="s">
        <v>5678</v>
      </c>
      <c r="F303" s="435" t="s">
        <v>4620</v>
      </c>
      <c r="G303" s="430">
        <v>38223</v>
      </c>
      <c r="H303" s="435">
        <f t="shared" si="7"/>
        <v>20</v>
      </c>
      <c r="I303" s="361" t="s">
        <v>5797</v>
      </c>
    </row>
    <row r="304" spans="1:9" s="364" customFormat="1">
      <c r="A304" s="1164"/>
      <c r="B304" s="1165"/>
      <c r="C304" s="1165"/>
      <c r="D304" s="1166"/>
      <c r="E304" s="1165"/>
      <c r="F304" s="1167"/>
      <c r="G304" s="1168"/>
      <c r="H304" s="1167"/>
      <c r="I304" s="1165"/>
    </row>
    <row r="305" spans="1:9" s="364" customFormat="1">
      <c r="A305" s="1164">
        <v>18036203</v>
      </c>
      <c r="B305" s="1165" t="s">
        <v>6800</v>
      </c>
      <c r="C305" s="361" t="s">
        <v>5222</v>
      </c>
      <c r="D305" s="1166">
        <v>2</v>
      </c>
      <c r="E305" s="1165" t="s">
        <v>6802</v>
      </c>
      <c r="F305" s="1167" t="s">
        <v>4621</v>
      </c>
      <c r="G305" s="1168">
        <v>43900</v>
      </c>
      <c r="H305" s="435">
        <f t="shared" si="7"/>
        <v>4</v>
      </c>
      <c r="I305" s="1165"/>
    </row>
    <row r="306" spans="1:9" s="364" customFormat="1">
      <c r="A306" s="1164">
        <v>18036203</v>
      </c>
      <c r="B306" s="1165" t="s">
        <v>6800</v>
      </c>
      <c r="C306" s="1165"/>
      <c r="D306" s="1166"/>
      <c r="E306" s="1165" t="s">
        <v>6803</v>
      </c>
      <c r="F306" s="1167" t="s">
        <v>4621</v>
      </c>
      <c r="G306" s="1168">
        <v>40425</v>
      </c>
      <c r="H306" s="1167">
        <f t="shared" si="7"/>
        <v>14</v>
      </c>
      <c r="I306" s="1165"/>
    </row>
    <row r="307" spans="1:9">
      <c r="A307" s="360"/>
      <c r="B307" s="361"/>
      <c r="C307" s="361"/>
      <c r="D307" s="465"/>
      <c r="E307" s="361"/>
      <c r="F307" s="435"/>
      <c r="G307" s="430"/>
      <c r="H307" s="435"/>
      <c r="I307" s="361"/>
    </row>
    <row r="308" spans="1:9">
      <c r="A308" s="360">
        <v>18095603</v>
      </c>
      <c r="B308" s="361" t="s">
        <v>4853</v>
      </c>
      <c r="C308" s="361" t="s">
        <v>5254</v>
      </c>
      <c r="D308" s="465">
        <v>1</v>
      </c>
      <c r="E308" s="361" t="s">
        <v>5679</v>
      </c>
      <c r="F308" s="435" t="s">
        <v>4620</v>
      </c>
      <c r="G308" s="430">
        <v>44355</v>
      </c>
      <c r="H308" s="435">
        <f t="shared" si="7"/>
        <v>3</v>
      </c>
      <c r="I308" s="361"/>
    </row>
    <row r="309" spans="1:9">
      <c r="A309" s="360"/>
      <c r="B309" s="361"/>
      <c r="C309" s="361"/>
      <c r="D309" s="465"/>
      <c r="E309" s="361"/>
      <c r="F309" s="435"/>
      <c r="G309" s="430"/>
      <c r="H309" s="435"/>
      <c r="I309" s="361"/>
    </row>
    <row r="310" spans="1:9" s="364" customFormat="1">
      <c r="A310" s="1164">
        <v>18096996</v>
      </c>
      <c r="B310" s="1165" t="s">
        <v>4680</v>
      </c>
      <c r="C310" s="1165" t="s">
        <v>6829</v>
      </c>
      <c r="D310" s="1166">
        <v>1</v>
      </c>
      <c r="E310" s="371" t="s">
        <v>6024</v>
      </c>
      <c r="F310" s="1167" t="s">
        <v>4621</v>
      </c>
      <c r="G310" s="1168">
        <v>41887</v>
      </c>
      <c r="H310" s="435">
        <f>DATEDIF(G310,$G$6,"Y")</f>
        <v>10</v>
      </c>
      <c r="I310" s="1165"/>
    </row>
    <row r="311" spans="1:9" s="364" customFormat="1">
      <c r="A311" s="1164"/>
      <c r="B311" s="1165"/>
      <c r="C311" s="1165"/>
      <c r="D311" s="1166"/>
      <c r="E311" s="1165"/>
      <c r="F311" s="1167"/>
      <c r="G311" s="1168"/>
      <c r="H311" s="1167"/>
      <c r="I311" s="1165"/>
    </row>
    <row r="312" spans="1:9" s="364" customFormat="1">
      <c r="A312" s="1164">
        <v>18097528</v>
      </c>
      <c r="B312" s="1165" t="s">
        <v>6813</v>
      </c>
      <c r="C312" s="361" t="s">
        <v>5222</v>
      </c>
      <c r="D312" s="1166">
        <v>2</v>
      </c>
      <c r="E312" s="1165" t="s">
        <v>6816</v>
      </c>
      <c r="F312" s="1167" t="s">
        <v>4620</v>
      </c>
      <c r="G312" s="1168">
        <v>43483</v>
      </c>
      <c r="H312" s="435">
        <f>DATEDIF(G312,$G$6,"Y")</f>
        <v>6</v>
      </c>
      <c r="I312" s="1165"/>
    </row>
    <row r="313" spans="1:9" s="364" customFormat="1">
      <c r="A313" s="1164">
        <v>18097528</v>
      </c>
      <c r="B313" s="1165" t="s">
        <v>6813</v>
      </c>
      <c r="C313" s="1165"/>
      <c r="D313" s="1166"/>
      <c r="E313" s="1165" t="s">
        <v>6817</v>
      </c>
      <c r="F313" s="1167" t="s">
        <v>4620</v>
      </c>
      <c r="G313" s="1168">
        <v>44982</v>
      </c>
      <c r="H313" s="435">
        <f>DATEDIF(G313,$G$6,"Y")</f>
        <v>1</v>
      </c>
      <c r="I313" s="1165"/>
    </row>
    <row r="314" spans="1:9" s="364" customFormat="1">
      <c r="A314" s="360"/>
      <c r="B314" s="361"/>
      <c r="C314" s="361"/>
      <c r="D314" s="465"/>
      <c r="E314" s="361" t="s">
        <v>2904</v>
      </c>
      <c r="F314" s="435"/>
      <c r="G314" s="430"/>
      <c r="H314" s="435"/>
      <c r="I314" s="361"/>
    </row>
    <row r="315" spans="1:9">
      <c r="A315" s="360">
        <v>18097873</v>
      </c>
      <c r="B315" s="361" t="s">
        <v>4855</v>
      </c>
      <c r="C315" s="361" t="s">
        <v>5222</v>
      </c>
      <c r="D315" s="465">
        <v>2</v>
      </c>
      <c r="E315" s="361" t="s">
        <v>5680</v>
      </c>
      <c r="F315" s="435" t="s">
        <v>4620</v>
      </c>
      <c r="G315" s="430">
        <v>39687</v>
      </c>
      <c r="H315" s="435">
        <f t="shared" si="7"/>
        <v>16</v>
      </c>
      <c r="I315" s="361"/>
    </row>
    <row r="316" spans="1:9">
      <c r="A316" s="360">
        <v>18097873</v>
      </c>
      <c r="B316" s="361" t="s">
        <v>4855</v>
      </c>
      <c r="C316" s="361"/>
      <c r="D316" s="465"/>
      <c r="E316" s="361" t="s">
        <v>5681</v>
      </c>
      <c r="F316" s="435" t="s">
        <v>4620</v>
      </c>
      <c r="G316" s="430">
        <v>40358</v>
      </c>
      <c r="H316" s="435">
        <f t="shared" si="7"/>
        <v>14</v>
      </c>
      <c r="I316" s="361"/>
    </row>
    <row r="317" spans="1:9">
      <c r="A317" s="360">
        <v>18097873</v>
      </c>
      <c r="B317" s="361" t="s">
        <v>4855</v>
      </c>
      <c r="C317" s="361"/>
      <c r="D317" s="465"/>
      <c r="E317" s="361" t="s">
        <v>5682</v>
      </c>
      <c r="F317" s="435" t="s">
        <v>4621</v>
      </c>
      <c r="G317" s="430">
        <v>41222</v>
      </c>
      <c r="H317" s="435">
        <f t="shared" si="7"/>
        <v>12</v>
      </c>
      <c r="I317" s="361"/>
    </row>
    <row r="318" spans="1:9">
      <c r="A318" s="360"/>
      <c r="B318" s="361"/>
      <c r="C318" s="361"/>
      <c r="D318" s="465"/>
      <c r="E318" s="361"/>
      <c r="F318" s="435"/>
      <c r="G318" s="430"/>
      <c r="H318" s="435"/>
      <c r="I318" s="361"/>
    </row>
    <row r="319" spans="1:9">
      <c r="A319" s="360">
        <v>18348317</v>
      </c>
      <c r="B319" s="361" t="s">
        <v>4856</v>
      </c>
      <c r="C319" s="361" t="s">
        <v>5228</v>
      </c>
      <c r="D319" s="465">
        <v>1</v>
      </c>
      <c r="E319" s="361" t="s">
        <v>5683</v>
      </c>
      <c r="F319" s="435" t="s">
        <v>4620</v>
      </c>
      <c r="G319" s="430">
        <v>39623</v>
      </c>
      <c r="H319" s="435">
        <f t="shared" si="7"/>
        <v>16</v>
      </c>
      <c r="I319" s="361"/>
    </row>
    <row r="320" spans="1:9">
      <c r="A320" s="360"/>
      <c r="B320" s="361"/>
      <c r="C320" s="361"/>
      <c r="D320" s="465"/>
      <c r="E320" s="361"/>
      <c r="F320" s="435"/>
      <c r="G320" s="430"/>
      <c r="H320" s="435"/>
      <c r="I320" s="361"/>
    </row>
    <row r="321" spans="1:9">
      <c r="A321" s="360">
        <v>18348721</v>
      </c>
      <c r="B321" s="361" t="s">
        <v>4857</v>
      </c>
      <c r="C321" s="361" t="s">
        <v>5254</v>
      </c>
      <c r="D321" s="465">
        <v>2</v>
      </c>
      <c r="E321" s="361" t="s">
        <v>5684</v>
      </c>
      <c r="F321" s="435" t="s">
        <v>4620</v>
      </c>
      <c r="G321" s="430">
        <v>41679</v>
      </c>
      <c r="H321" s="435">
        <f t="shared" si="7"/>
        <v>10</v>
      </c>
      <c r="I321" s="361"/>
    </row>
    <row r="322" spans="1:9" s="364" customFormat="1">
      <c r="A322" s="360">
        <v>18348721</v>
      </c>
      <c r="B322" s="361" t="s">
        <v>4857</v>
      </c>
      <c r="C322" s="371"/>
      <c r="D322" s="465"/>
      <c r="E322" s="361" t="s">
        <v>5986</v>
      </c>
      <c r="F322" s="442" t="s">
        <v>4621</v>
      </c>
      <c r="G322" s="430">
        <v>44105</v>
      </c>
      <c r="H322" s="435">
        <f t="shared" ref="H322" si="8">DATEDIF(G322,$G$6,"Y")</f>
        <v>4</v>
      </c>
      <c r="I322" s="371"/>
    </row>
    <row r="323" spans="1:9" s="364" customFormat="1">
      <c r="A323" s="370"/>
      <c r="B323" s="371"/>
      <c r="C323" s="371"/>
      <c r="D323" s="909"/>
      <c r="E323" s="371"/>
      <c r="F323" s="442"/>
      <c r="G323" s="431"/>
      <c r="H323" s="442"/>
      <c r="I323" s="371"/>
    </row>
    <row r="324" spans="1:9">
      <c r="A324" s="360">
        <v>18349021</v>
      </c>
      <c r="B324" s="361" t="s">
        <v>4858</v>
      </c>
      <c r="C324" s="361" t="s">
        <v>5222</v>
      </c>
      <c r="D324" s="465">
        <v>1</v>
      </c>
      <c r="E324" s="361" t="s">
        <v>6060</v>
      </c>
      <c r="F324" s="435" t="s">
        <v>4621</v>
      </c>
      <c r="G324" s="430">
        <v>41408</v>
      </c>
      <c r="H324" s="435">
        <f t="shared" si="7"/>
        <v>11</v>
      </c>
      <c r="I324" s="361"/>
    </row>
    <row r="325" spans="1:9" s="364" customFormat="1">
      <c r="A325" s="1164"/>
      <c r="B325" s="1165"/>
      <c r="C325" s="1165"/>
      <c r="D325" s="1166"/>
      <c r="E325" s="1165"/>
      <c r="F325" s="1167"/>
      <c r="G325" s="1168"/>
      <c r="H325" s="1167"/>
      <c r="I325" s="1165"/>
    </row>
    <row r="326" spans="1:9" s="364" customFormat="1">
      <c r="A326" s="1164">
        <v>18349653</v>
      </c>
      <c r="B326" s="1165" t="s">
        <v>7386</v>
      </c>
      <c r="C326" s="361" t="s">
        <v>5222</v>
      </c>
      <c r="D326" s="465">
        <v>2</v>
      </c>
      <c r="E326" s="361" t="s">
        <v>7388</v>
      </c>
      <c r="F326" s="435" t="s">
        <v>4621</v>
      </c>
      <c r="G326" s="430">
        <v>39945</v>
      </c>
      <c r="H326" s="435">
        <f t="shared" ref="H326" si="9">DATEDIF(G326,$G$6,"Y")</f>
        <v>15</v>
      </c>
      <c r="I326" s="1165"/>
    </row>
    <row r="327" spans="1:9" s="364" customFormat="1">
      <c r="A327" s="1164"/>
      <c r="B327" s="1165"/>
      <c r="C327" s="1165"/>
      <c r="D327" s="1166"/>
      <c r="E327" s="361" t="s">
        <v>7389</v>
      </c>
      <c r="F327" s="435" t="s">
        <v>4620</v>
      </c>
      <c r="G327" s="430">
        <v>44147</v>
      </c>
      <c r="H327" s="435">
        <f t="shared" ref="H327" si="10">DATEDIF(G327,$G$6,"Y")</f>
        <v>4</v>
      </c>
      <c r="I327" s="1165"/>
    </row>
    <row r="328" spans="1:9" s="364" customFormat="1">
      <c r="A328" s="1164"/>
      <c r="B328" s="1165"/>
      <c r="C328" s="1165"/>
      <c r="D328" s="1166"/>
      <c r="E328" s="1165"/>
      <c r="F328" s="1167"/>
      <c r="G328" s="1168"/>
      <c r="H328" s="1167"/>
      <c r="I328" s="1165"/>
    </row>
    <row r="329" spans="1:9" s="364" customFormat="1">
      <c r="A329" s="1164">
        <v>18350884</v>
      </c>
      <c r="B329" s="1164" t="s">
        <v>6765</v>
      </c>
      <c r="C329" s="361" t="s">
        <v>5222</v>
      </c>
      <c r="D329" s="1166">
        <v>1</v>
      </c>
      <c r="E329" s="1165" t="s">
        <v>6766</v>
      </c>
      <c r="F329" s="1167" t="s">
        <v>4620</v>
      </c>
      <c r="G329" s="1168">
        <v>41089</v>
      </c>
      <c r="H329" s="435">
        <f t="shared" si="7"/>
        <v>12</v>
      </c>
      <c r="I329" s="1165"/>
    </row>
    <row r="330" spans="1:9">
      <c r="A330" s="360"/>
      <c r="B330" s="361"/>
      <c r="C330" s="361"/>
      <c r="D330" s="465"/>
      <c r="E330" s="361" t="s">
        <v>2904</v>
      </c>
      <c r="F330" s="435"/>
      <c r="G330" s="430"/>
      <c r="H330" s="435"/>
      <c r="I330" s="361"/>
    </row>
    <row r="331" spans="1:9">
      <c r="A331" s="360">
        <v>18378985</v>
      </c>
      <c r="B331" s="361" t="s">
        <v>4860</v>
      </c>
      <c r="C331" s="361" t="s">
        <v>5234</v>
      </c>
      <c r="D331" s="465">
        <v>1</v>
      </c>
      <c r="E331" s="361" t="s">
        <v>5685</v>
      </c>
      <c r="F331" s="435" t="s">
        <v>4620</v>
      </c>
      <c r="G331" s="430">
        <v>41659</v>
      </c>
      <c r="H331" s="435">
        <f t="shared" si="7"/>
        <v>11</v>
      </c>
      <c r="I331" s="361"/>
    </row>
    <row r="332" spans="1:9">
      <c r="A332" s="360"/>
      <c r="B332" s="361"/>
      <c r="C332" s="361"/>
      <c r="D332" s="465"/>
      <c r="E332" s="361" t="s">
        <v>2904</v>
      </c>
      <c r="F332" s="435"/>
      <c r="G332" s="430"/>
      <c r="H332" s="435"/>
      <c r="I332" s="361"/>
    </row>
    <row r="333" spans="1:9">
      <c r="A333" s="360"/>
      <c r="B333" s="361"/>
      <c r="C333" s="361"/>
      <c r="D333" s="465"/>
      <c r="E333" s="361" t="s">
        <v>2904</v>
      </c>
      <c r="F333" s="435"/>
      <c r="G333" s="430"/>
      <c r="H333" s="435"/>
      <c r="I333" s="361"/>
    </row>
    <row r="334" spans="1:9">
      <c r="A334" s="360">
        <v>18458012</v>
      </c>
      <c r="B334" s="361" t="s">
        <v>4863</v>
      </c>
      <c r="C334" s="361" t="s">
        <v>5219</v>
      </c>
      <c r="D334" s="465">
        <v>2</v>
      </c>
      <c r="E334" s="361" t="s">
        <v>6064</v>
      </c>
      <c r="F334" s="435" t="s">
        <v>4620</v>
      </c>
      <c r="G334" s="430">
        <v>41842</v>
      </c>
      <c r="H334" s="435">
        <f t="shared" si="7"/>
        <v>10</v>
      </c>
      <c r="I334" s="361"/>
    </row>
    <row r="335" spans="1:9">
      <c r="A335" s="360">
        <v>18458012</v>
      </c>
      <c r="B335" s="361" t="s">
        <v>4863</v>
      </c>
      <c r="C335" s="361"/>
      <c r="D335" s="465"/>
      <c r="E335" s="361" t="s">
        <v>6065</v>
      </c>
      <c r="F335" s="435" t="s">
        <v>4620</v>
      </c>
      <c r="G335" s="430">
        <v>41013</v>
      </c>
      <c r="H335" s="435">
        <f t="shared" si="7"/>
        <v>12</v>
      </c>
      <c r="I335" s="361"/>
    </row>
    <row r="336" spans="1:9" s="364" customFormat="1">
      <c r="A336" s="1164"/>
      <c r="B336" s="1165"/>
      <c r="C336" s="1165"/>
      <c r="D336" s="1166"/>
      <c r="E336" s="1165"/>
      <c r="F336" s="1167"/>
      <c r="G336" s="1168"/>
      <c r="H336" s="1167"/>
      <c r="I336" s="1165"/>
    </row>
    <row r="337" spans="1:9">
      <c r="A337" s="360">
        <v>18670458</v>
      </c>
      <c r="B337" s="361" t="s">
        <v>4864</v>
      </c>
      <c r="C337" s="361" t="s">
        <v>5247</v>
      </c>
      <c r="D337" s="465">
        <v>2</v>
      </c>
      <c r="E337" s="361" t="s">
        <v>5686</v>
      </c>
      <c r="F337" s="435" t="s">
        <v>4620</v>
      </c>
      <c r="G337" s="430">
        <v>42359</v>
      </c>
      <c r="H337" s="435">
        <f t="shared" si="7"/>
        <v>9</v>
      </c>
      <c r="I337" s="361"/>
    </row>
    <row r="338" spans="1:9">
      <c r="A338" s="360">
        <v>18670458</v>
      </c>
      <c r="B338" s="361" t="s">
        <v>4864</v>
      </c>
      <c r="C338" s="361"/>
      <c r="D338" s="465"/>
      <c r="E338" s="361" t="s">
        <v>5687</v>
      </c>
      <c r="F338" s="435" t="s">
        <v>4620</v>
      </c>
      <c r="G338" s="430">
        <v>41037</v>
      </c>
      <c r="H338" s="435">
        <f t="shared" si="7"/>
        <v>12</v>
      </c>
      <c r="I338" s="361"/>
    </row>
    <row r="339" spans="1:9">
      <c r="A339" s="360"/>
      <c r="B339" s="361"/>
      <c r="C339" s="361"/>
      <c r="D339" s="465"/>
      <c r="E339" s="361"/>
      <c r="F339" s="435"/>
      <c r="G339" s="430"/>
      <c r="H339" s="435"/>
      <c r="I339" s="361"/>
    </row>
    <row r="340" spans="1:9">
      <c r="A340" s="360">
        <v>18801597</v>
      </c>
      <c r="B340" s="361" t="s">
        <v>4865</v>
      </c>
      <c r="C340" s="361" t="s">
        <v>5228</v>
      </c>
      <c r="D340" s="465">
        <v>2</v>
      </c>
      <c r="E340" s="361" t="s">
        <v>5688</v>
      </c>
      <c r="F340" s="435" t="s">
        <v>4620</v>
      </c>
      <c r="G340" s="430">
        <v>39254</v>
      </c>
      <c r="H340" s="435">
        <f t="shared" si="7"/>
        <v>17</v>
      </c>
      <c r="I340" s="361"/>
    </row>
    <row r="341" spans="1:9">
      <c r="A341" s="360">
        <v>18801597</v>
      </c>
      <c r="B341" s="361" t="s">
        <v>4865</v>
      </c>
      <c r="C341" s="361"/>
      <c r="D341" s="465"/>
      <c r="E341" s="361" t="s">
        <v>5689</v>
      </c>
      <c r="F341" s="435" t="s">
        <v>4620</v>
      </c>
      <c r="G341" s="430">
        <v>41366</v>
      </c>
      <c r="H341" s="435">
        <f t="shared" si="7"/>
        <v>11</v>
      </c>
      <c r="I341" s="361"/>
    </row>
    <row r="342" spans="1:9">
      <c r="A342" s="360"/>
      <c r="B342" s="361"/>
      <c r="C342" s="361"/>
      <c r="D342" s="465"/>
      <c r="E342" s="361"/>
      <c r="F342" s="435"/>
      <c r="G342" s="430"/>
      <c r="H342" s="435"/>
      <c r="I342" s="361"/>
    </row>
    <row r="343" spans="1:9">
      <c r="A343" s="360">
        <v>18802405</v>
      </c>
      <c r="B343" s="361" t="s">
        <v>4866</v>
      </c>
      <c r="C343" s="361" t="s">
        <v>5222</v>
      </c>
      <c r="D343" s="465">
        <v>2</v>
      </c>
      <c r="E343" s="361" t="s">
        <v>5690</v>
      </c>
      <c r="F343" s="435" t="s">
        <v>4620</v>
      </c>
      <c r="G343" s="430">
        <v>42499</v>
      </c>
      <c r="H343" s="435">
        <f t="shared" si="7"/>
        <v>8</v>
      </c>
      <c r="I343" s="361"/>
    </row>
    <row r="344" spans="1:9" s="364" customFormat="1">
      <c r="A344" s="360">
        <v>18802405</v>
      </c>
      <c r="B344" s="361" t="s">
        <v>4866</v>
      </c>
      <c r="C344" s="936"/>
      <c r="D344" s="937"/>
      <c r="E344" s="361" t="s">
        <v>5995</v>
      </c>
      <c r="F344" s="435" t="s">
        <v>4621</v>
      </c>
      <c r="G344" s="430">
        <v>45238</v>
      </c>
      <c r="H344" s="435">
        <f t="shared" si="7"/>
        <v>1</v>
      </c>
      <c r="I344" s="936"/>
    </row>
    <row r="345" spans="1:9">
      <c r="A345" s="360"/>
      <c r="B345" s="361"/>
      <c r="C345" s="361"/>
      <c r="D345" s="465"/>
      <c r="E345" s="361"/>
      <c r="F345" s="435"/>
      <c r="G345" s="430"/>
      <c r="H345" s="435"/>
      <c r="I345" s="361"/>
    </row>
    <row r="346" spans="1:9">
      <c r="A346" s="360">
        <v>19101647</v>
      </c>
      <c r="B346" s="361" t="s">
        <v>4867</v>
      </c>
      <c r="C346" s="361" t="s">
        <v>5222</v>
      </c>
      <c r="D346" s="465">
        <v>2</v>
      </c>
      <c r="E346" s="361" t="s">
        <v>5691</v>
      </c>
      <c r="F346" s="435" t="s">
        <v>4620</v>
      </c>
      <c r="G346" s="430">
        <v>39633</v>
      </c>
      <c r="H346" s="435">
        <f t="shared" si="7"/>
        <v>16</v>
      </c>
      <c r="I346" s="361"/>
    </row>
    <row r="347" spans="1:9">
      <c r="A347" s="360">
        <v>19101647</v>
      </c>
      <c r="B347" s="361" t="s">
        <v>4867</v>
      </c>
      <c r="C347" s="361"/>
      <c r="D347" s="465"/>
      <c r="E347" s="361" t="s">
        <v>5692</v>
      </c>
      <c r="F347" s="435" t="s">
        <v>4620</v>
      </c>
      <c r="G347" s="430">
        <v>41541</v>
      </c>
      <c r="H347" s="435">
        <f t="shared" si="7"/>
        <v>11</v>
      </c>
      <c r="I347" s="361"/>
    </row>
    <row r="348" spans="1:9">
      <c r="A348" s="360"/>
      <c r="B348" s="361"/>
      <c r="C348" s="361"/>
      <c r="D348" s="465"/>
      <c r="E348" s="361"/>
      <c r="F348" s="435"/>
      <c r="G348" s="430"/>
      <c r="H348" s="435"/>
      <c r="I348" s="361"/>
    </row>
    <row r="349" spans="1:9">
      <c r="A349" s="360"/>
      <c r="B349" s="361"/>
      <c r="C349" s="361"/>
      <c r="D349" s="465"/>
      <c r="E349" s="361" t="s">
        <v>2904</v>
      </c>
      <c r="F349" s="435"/>
      <c r="G349" s="430"/>
      <c r="H349" s="435"/>
      <c r="I349" s="361"/>
    </row>
    <row r="350" spans="1:9">
      <c r="A350" s="360">
        <v>19103118</v>
      </c>
      <c r="B350" s="361" t="s">
        <v>4869</v>
      </c>
      <c r="C350" s="361" t="s">
        <v>5224</v>
      </c>
      <c r="D350" s="465">
        <v>2</v>
      </c>
      <c r="E350" s="361" t="s">
        <v>6066</v>
      </c>
      <c r="F350" s="435" t="s">
        <v>4621</v>
      </c>
      <c r="G350" s="430">
        <v>39286</v>
      </c>
      <c r="H350" s="435">
        <f t="shared" si="7"/>
        <v>17</v>
      </c>
      <c r="I350" s="361"/>
    </row>
    <row r="351" spans="1:9">
      <c r="A351" s="360">
        <v>19103118</v>
      </c>
      <c r="B351" s="361" t="s">
        <v>4869</v>
      </c>
      <c r="C351" s="361"/>
      <c r="D351" s="465"/>
      <c r="E351" s="361" t="s">
        <v>6067</v>
      </c>
      <c r="F351" s="435" t="s">
        <v>4621</v>
      </c>
      <c r="G351" s="430">
        <v>44153</v>
      </c>
      <c r="H351" s="435">
        <f t="shared" si="7"/>
        <v>4</v>
      </c>
      <c r="I351" s="361"/>
    </row>
    <row r="352" spans="1:9">
      <c r="A352" s="360"/>
      <c r="B352" s="361"/>
      <c r="C352" s="361"/>
      <c r="D352" s="465"/>
      <c r="E352" s="361"/>
      <c r="F352" s="435"/>
      <c r="G352" s="430"/>
      <c r="H352" s="435"/>
      <c r="I352" s="361"/>
    </row>
    <row r="353" spans="1:9">
      <c r="A353" s="360">
        <v>19103604</v>
      </c>
      <c r="B353" s="361" t="s">
        <v>4870</v>
      </c>
      <c r="C353" s="361" t="s">
        <v>5219</v>
      </c>
      <c r="D353" s="465">
        <v>2</v>
      </c>
      <c r="E353" s="361" t="s">
        <v>5693</v>
      </c>
      <c r="F353" s="435" t="s">
        <v>4621</v>
      </c>
      <c r="G353" s="430">
        <v>44130</v>
      </c>
      <c r="H353" s="435">
        <f t="shared" si="7"/>
        <v>4</v>
      </c>
      <c r="I353" s="361"/>
    </row>
    <row r="354" spans="1:9">
      <c r="A354" s="360">
        <v>19103604</v>
      </c>
      <c r="B354" s="361" t="s">
        <v>4870</v>
      </c>
      <c r="C354" s="361"/>
      <c r="D354" s="465"/>
      <c r="E354" s="361" t="s">
        <v>5694</v>
      </c>
      <c r="F354" s="435" t="s">
        <v>4620</v>
      </c>
      <c r="G354" s="430">
        <v>42129</v>
      </c>
      <c r="H354" s="435">
        <f t="shared" si="7"/>
        <v>9</v>
      </c>
      <c r="I354" s="361"/>
    </row>
    <row r="355" spans="1:9">
      <c r="A355" s="360"/>
      <c r="B355" s="361"/>
      <c r="C355" s="361"/>
      <c r="D355" s="465"/>
      <c r="E355" s="361"/>
      <c r="F355" s="435"/>
      <c r="G355" s="430"/>
      <c r="H355" s="435"/>
      <c r="I355" s="361"/>
    </row>
    <row r="356" spans="1:9">
      <c r="A356" s="360">
        <v>19103823</v>
      </c>
      <c r="B356" s="361" t="s">
        <v>4871</v>
      </c>
      <c r="C356" s="361" t="s">
        <v>5228</v>
      </c>
      <c r="D356" s="465">
        <v>1</v>
      </c>
      <c r="E356" s="361" t="s">
        <v>5695</v>
      </c>
      <c r="F356" s="435" t="s">
        <v>4621</v>
      </c>
      <c r="G356" s="430">
        <v>38737</v>
      </c>
      <c r="H356" s="435">
        <f t="shared" si="7"/>
        <v>19</v>
      </c>
      <c r="I356" s="361" t="s">
        <v>5797</v>
      </c>
    </row>
    <row r="357" spans="1:9">
      <c r="A357" s="360">
        <v>19103823</v>
      </c>
      <c r="B357" s="361" t="s">
        <v>4871</v>
      </c>
      <c r="C357" s="361"/>
      <c r="D357" s="465"/>
      <c r="E357" s="361" t="s">
        <v>6068</v>
      </c>
      <c r="F357" s="435" t="s">
        <v>4620</v>
      </c>
      <c r="G357" s="430">
        <v>44701</v>
      </c>
      <c r="H357" s="435">
        <f t="shared" si="7"/>
        <v>2</v>
      </c>
      <c r="I357" s="361"/>
    </row>
    <row r="358" spans="1:9">
      <c r="A358" s="360"/>
      <c r="B358" s="361"/>
      <c r="C358" s="361"/>
      <c r="D358" s="465"/>
      <c r="E358" s="361"/>
      <c r="F358" s="435"/>
      <c r="G358" s="430"/>
      <c r="H358" s="435"/>
      <c r="I358" s="361"/>
    </row>
    <row r="359" spans="1:9">
      <c r="A359" s="360">
        <v>19286780</v>
      </c>
      <c r="B359" s="361" t="s">
        <v>4874</v>
      </c>
      <c r="C359" s="361" t="s">
        <v>5219</v>
      </c>
      <c r="D359" s="465">
        <v>2</v>
      </c>
      <c r="E359" s="361" t="s">
        <v>5696</v>
      </c>
      <c r="F359" s="435" t="s">
        <v>4620</v>
      </c>
      <c r="G359" s="430">
        <v>39096</v>
      </c>
      <c r="H359" s="435">
        <f t="shared" ref="H359:H425" si="11">DATEDIF(G359,$G$6,"Y")</f>
        <v>18</v>
      </c>
      <c r="I359" s="361"/>
    </row>
    <row r="360" spans="1:9">
      <c r="A360" s="360">
        <v>19286780</v>
      </c>
      <c r="B360" s="361" t="s">
        <v>4874</v>
      </c>
      <c r="C360" s="361"/>
      <c r="D360" s="465"/>
      <c r="E360" s="361" t="s">
        <v>5697</v>
      </c>
      <c r="F360" s="435" t="s">
        <v>4620</v>
      </c>
      <c r="G360" s="430">
        <v>40681</v>
      </c>
      <c r="H360" s="435">
        <f t="shared" si="11"/>
        <v>13</v>
      </c>
      <c r="I360" s="361"/>
    </row>
    <row r="361" spans="1:9">
      <c r="A361" s="360">
        <v>19286780</v>
      </c>
      <c r="B361" s="361" t="s">
        <v>4874</v>
      </c>
      <c r="C361" s="361"/>
      <c r="D361" s="465"/>
      <c r="E361" s="361" t="s">
        <v>5698</v>
      </c>
      <c r="F361" s="435" t="s">
        <v>4620</v>
      </c>
      <c r="G361" s="430">
        <v>42164</v>
      </c>
      <c r="H361" s="435">
        <f t="shared" si="11"/>
        <v>9</v>
      </c>
      <c r="I361" s="361"/>
    </row>
    <row r="362" spans="1:9">
      <c r="A362" s="360"/>
      <c r="B362" s="361"/>
      <c r="C362" s="361"/>
      <c r="D362" s="465"/>
      <c r="E362" s="361"/>
      <c r="F362" s="435"/>
      <c r="G362" s="430"/>
      <c r="H362" s="435"/>
      <c r="I362" s="361"/>
    </row>
    <row r="363" spans="1:9">
      <c r="A363" s="360">
        <v>19287100</v>
      </c>
      <c r="B363" s="361" t="s">
        <v>4875</v>
      </c>
      <c r="C363" s="361" t="s">
        <v>5224</v>
      </c>
      <c r="D363" s="465">
        <v>2</v>
      </c>
      <c r="E363" s="361" t="s">
        <v>6069</v>
      </c>
      <c r="F363" s="435" t="s">
        <v>4620</v>
      </c>
      <c r="G363" s="430">
        <v>39604</v>
      </c>
      <c r="H363" s="435">
        <f t="shared" si="11"/>
        <v>16</v>
      </c>
      <c r="I363" s="361"/>
    </row>
    <row r="364" spans="1:9">
      <c r="A364" s="360">
        <v>19287100</v>
      </c>
      <c r="B364" s="361" t="s">
        <v>4875</v>
      </c>
      <c r="C364" s="361"/>
      <c r="D364" s="465"/>
      <c r="E364" s="361" t="s">
        <v>6070</v>
      </c>
      <c r="F364" s="435" t="s">
        <v>4621</v>
      </c>
      <c r="G364" s="430">
        <v>40431</v>
      </c>
      <c r="H364" s="435">
        <f t="shared" si="11"/>
        <v>14</v>
      </c>
      <c r="I364" s="361"/>
    </row>
    <row r="365" spans="1:9" s="364" customFormat="1">
      <c r="A365" s="1164"/>
      <c r="B365" s="1165"/>
      <c r="C365" s="1165"/>
      <c r="D365" s="1166"/>
      <c r="E365" s="1165"/>
      <c r="F365" s="1167"/>
      <c r="G365" s="1168"/>
      <c r="H365" s="1167"/>
      <c r="I365" s="1165"/>
    </row>
    <row r="366" spans="1:9" s="364" customFormat="1">
      <c r="A366" s="1164">
        <v>19372791</v>
      </c>
      <c r="B366" s="1165" t="s">
        <v>7400</v>
      </c>
      <c r="C366" s="361" t="s">
        <v>5222</v>
      </c>
      <c r="D366" s="1166">
        <v>1</v>
      </c>
      <c r="E366" s="1165" t="s">
        <v>7404</v>
      </c>
      <c r="F366" s="1167" t="s">
        <v>4621</v>
      </c>
      <c r="G366" s="1168">
        <v>42761</v>
      </c>
      <c r="H366" s="435">
        <f t="shared" si="11"/>
        <v>8</v>
      </c>
      <c r="I366" s="1165"/>
    </row>
    <row r="367" spans="1:9">
      <c r="A367" s="360"/>
      <c r="B367" s="361"/>
      <c r="C367" s="361"/>
      <c r="D367" s="465"/>
      <c r="E367" s="361" t="s">
        <v>2904</v>
      </c>
      <c r="F367" s="435"/>
      <c r="G367" s="430"/>
      <c r="H367" s="435"/>
      <c r="I367" s="361"/>
    </row>
    <row r="368" spans="1:9">
      <c r="A368" s="360">
        <v>19610534</v>
      </c>
      <c r="B368" s="361" t="s">
        <v>4876</v>
      </c>
      <c r="C368" s="361" t="s">
        <v>5222</v>
      </c>
      <c r="D368" s="465">
        <v>1</v>
      </c>
      <c r="E368" s="361" t="s">
        <v>6071</v>
      </c>
      <c r="F368" s="435" t="s">
        <v>4621</v>
      </c>
      <c r="G368" s="430">
        <v>43351</v>
      </c>
      <c r="H368" s="435">
        <f t="shared" si="11"/>
        <v>6</v>
      </c>
      <c r="I368" s="361"/>
    </row>
    <row r="369" spans="1:9">
      <c r="A369" s="360"/>
      <c r="B369" s="361"/>
      <c r="C369" s="361"/>
      <c r="D369" s="465"/>
      <c r="E369" s="361" t="s">
        <v>2904</v>
      </c>
      <c r="F369" s="435"/>
      <c r="G369" s="430"/>
      <c r="H369" s="435"/>
      <c r="I369" s="361"/>
    </row>
    <row r="370" spans="1:9">
      <c r="A370" s="360">
        <v>19610565</v>
      </c>
      <c r="B370" s="361" t="s">
        <v>4877</v>
      </c>
      <c r="C370" s="361" t="s">
        <v>5222</v>
      </c>
      <c r="D370" s="465">
        <v>2</v>
      </c>
      <c r="E370" s="361" t="s">
        <v>6072</v>
      </c>
      <c r="F370" s="435" t="s">
        <v>4621</v>
      </c>
      <c r="G370" s="430">
        <v>44441</v>
      </c>
      <c r="H370" s="435">
        <f t="shared" si="11"/>
        <v>3</v>
      </c>
      <c r="I370" s="361"/>
    </row>
    <row r="371" spans="1:9">
      <c r="A371" s="360">
        <v>19610565</v>
      </c>
      <c r="B371" s="361" t="s">
        <v>4877</v>
      </c>
      <c r="C371" s="361"/>
      <c r="D371" s="465"/>
      <c r="E371" s="361" t="s">
        <v>6073</v>
      </c>
      <c r="F371" s="435" t="s">
        <v>4620</v>
      </c>
      <c r="G371" s="430">
        <v>43215</v>
      </c>
      <c r="H371" s="435">
        <f t="shared" si="11"/>
        <v>6</v>
      </c>
      <c r="I371" s="361"/>
    </row>
    <row r="372" spans="1:9">
      <c r="A372" s="360"/>
      <c r="B372" s="361"/>
      <c r="C372" s="361"/>
      <c r="D372" s="465"/>
      <c r="E372" s="361"/>
      <c r="F372" s="435"/>
      <c r="G372" s="430"/>
      <c r="H372" s="435"/>
      <c r="I372" s="361"/>
    </row>
    <row r="373" spans="1:9">
      <c r="A373" s="360">
        <v>19643405</v>
      </c>
      <c r="B373" s="361" t="s">
        <v>4879</v>
      </c>
      <c r="C373" s="361" t="s">
        <v>5221</v>
      </c>
      <c r="D373" s="465">
        <v>1</v>
      </c>
      <c r="E373" s="361" t="s">
        <v>5699</v>
      </c>
      <c r="F373" s="435" t="s">
        <v>4620</v>
      </c>
      <c r="G373" s="430">
        <v>40765</v>
      </c>
      <c r="H373" s="435">
        <f t="shared" si="11"/>
        <v>13</v>
      </c>
      <c r="I373" s="361"/>
    </row>
    <row r="374" spans="1:9" s="364" customFormat="1">
      <c r="A374" s="1164"/>
      <c r="B374" s="1165"/>
      <c r="C374" s="1165"/>
      <c r="D374" s="1166"/>
      <c r="E374" s="1165"/>
      <c r="F374" s="1167"/>
      <c r="G374" s="1168"/>
      <c r="H374" s="1167"/>
      <c r="I374" s="1165"/>
    </row>
    <row r="375" spans="1:9" s="364" customFormat="1">
      <c r="A375" s="1164">
        <v>19643806</v>
      </c>
      <c r="B375" s="1165" t="s">
        <v>6790</v>
      </c>
      <c r="C375" s="361" t="s">
        <v>5219</v>
      </c>
      <c r="D375" s="1166">
        <v>1</v>
      </c>
      <c r="E375" s="1165" t="s">
        <v>6792</v>
      </c>
      <c r="F375" s="1167" t="s">
        <v>4621</v>
      </c>
      <c r="G375" s="1168">
        <v>43011</v>
      </c>
      <c r="H375" s="435">
        <f t="shared" si="11"/>
        <v>7</v>
      </c>
      <c r="I375" s="1165"/>
    </row>
    <row r="376" spans="1:9" s="364" customFormat="1">
      <c r="A376" s="1164">
        <v>19643806</v>
      </c>
      <c r="B376" s="1165" t="s">
        <v>6790</v>
      </c>
      <c r="C376" s="361" t="s">
        <v>5219</v>
      </c>
      <c r="D376" s="1166">
        <v>1</v>
      </c>
      <c r="E376" s="1165" t="s">
        <v>6793</v>
      </c>
      <c r="F376" s="1167" t="s">
        <v>4621</v>
      </c>
      <c r="G376" s="1168">
        <v>44043</v>
      </c>
      <c r="H376" s="435">
        <f t="shared" si="11"/>
        <v>4</v>
      </c>
      <c r="I376" s="1165"/>
    </row>
    <row r="377" spans="1:9">
      <c r="A377" s="360"/>
      <c r="B377" s="361"/>
      <c r="C377" s="361"/>
      <c r="D377" s="465"/>
      <c r="E377" s="361"/>
      <c r="F377" s="435"/>
      <c r="G377" s="430"/>
      <c r="H377" s="435"/>
      <c r="I377" s="361"/>
    </row>
    <row r="378" spans="1:9">
      <c r="A378" s="360">
        <v>19644743</v>
      </c>
      <c r="B378" s="361" t="s">
        <v>4880</v>
      </c>
      <c r="C378" s="361" t="s">
        <v>5234</v>
      </c>
      <c r="D378" s="465">
        <v>2</v>
      </c>
      <c r="E378" s="361" t="s">
        <v>5700</v>
      </c>
      <c r="F378" s="435" t="s">
        <v>4620</v>
      </c>
      <c r="G378" s="430">
        <v>41584</v>
      </c>
      <c r="H378" s="435">
        <f t="shared" si="11"/>
        <v>11</v>
      </c>
      <c r="I378" s="361"/>
    </row>
    <row r="379" spans="1:9">
      <c r="A379" s="360">
        <v>19644743</v>
      </c>
      <c r="B379" s="361" t="s">
        <v>4880</v>
      </c>
      <c r="C379" s="361"/>
      <c r="D379" s="465"/>
      <c r="E379" s="361" t="s">
        <v>5701</v>
      </c>
      <c r="F379" s="435" t="s">
        <v>4620</v>
      </c>
      <c r="G379" s="430">
        <v>40683</v>
      </c>
      <c r="H379" s="435">
        <f t="shared" si="11"/>
        <v>13</v>
      </c>
      <c r="I379" s="361"/>
    </row>
    <row r="380" spans="1:9">
      <c r="A380" s="360"/>
      <c r="B380" s="361"/>
      <c r="C380" s="361"/>
      <c r="D380" s="465"/>
      <c r="E380" s="361"/>
      <c r="F380" s="435"/>
      <c r="G380" s="430"/>
      <c r="H380" s="435"/>
      <c r="I380" s="361"/>
    </row>
    <row r="381" spans="1:9">
      <c r="A381" s="360">
        <v>19644756</v>
      </c>
      <c r="B381" s="361" t="s">
        <v>4881</v>
      </c>
      <c r="C381" s="361" t="s">
        <v>5269</v>
      </c>
      <c r="D381" s="465">
        <v>2</v>
      </c>
      <c r="E381" s="361" t="s">
        <v>5702</v>
      </c>
      <c r="F381" s="435" t="s">
        <v>4620</v>
      </c>
      <c r="G381" s="430">
        <v>39097</v>
      </c>
      <c r="H381" s="435">
        <f t="shared" si="11"/>
        <v>18</v>
      </c>
      <c r="I381" s="361"/>
    </row>
    <row r="382" spans="1:9">
      <c r="A382" s="360">
        <v>19644756</v>
      </c>
      <c r="B382" s="361" t="s">
        <v>4881</v>
      </c>
      <c r="C382" s="361"/>
      <c r="D382" s="465"/>
      <c r="E382" s="361" t="s">
        <v>5703</v>
      </c>
      <c r="F382" s="435" t="s">
        <v>4621</v>
      </c>
      <c r="G382" s="430">
        <v>41255</v>
      </c>
      <c r="H382" s="435">
        <f t="shared" si="11"/>
        <v>12</v>
      </c>
      <c r="I382" s="361"/>
    </row>
    <row r="383" spans="1:9">
      <c r="A383" s="360"/>
      <c r="B383" s="361"/>
      <c r="C383" s="361"/>
      <c r="D383" s="465"/>
      <c r="E383" s="361"/>
      <c r="F383" s="435"/>
      <c r="G383" s="430"/>
      <c r="H383" s="435"/>
      <c r="I383" s="361"/>
    </row>
    <row r="384" spans="1:9">
      <c r="A384" s="360">
        <v>19794217</v>
      </c>
      <c r="B384" s="361" t="s">
        <v>4882</v>
      </c>
      <c r="C384" s="361" t="s">
        <v>5222</v>
      </c>
      <c r="D384" s="465">
        <v>1</v>
      </c>
      <c r="E384" s="361" t="s">
        <v>6074</v>
      </c>
      <c r="F384" s="435" t="s">
        <v>4620</v>
      </c>
      <c r="G384" s="430">
        <v>42502</v>
      </c>
      <c r="H384" s="435">
        <f t="shared" si="11"/>
        <v>8</v>
      </c>
      <c r="I384" s="361"/>
    </row>
    <row r="385" spans="1:9">
      <c r="A385" s="360"/>
      <c r="B385" s="361"/>
      <c r="C385" s="361"/>
      <c r="D385" s="465"/>
      <c r="E385" s="361" t="s">
        <v>2904</v>
      </c>
      <c r="F385" s="435"/>
      <c r="G385" s="430"/>
      <c r="H385" s="435"/>
      <c r="I385" s="361"/>
    </row>
    <row r="386" spans="1:9" s="601" customFormat="1">
      <c r="A386" s="1617">
        <v>20038162</v>
      </c>
      <c r="B386" s="1618" t="s">
        <v>6926</v>
      </c>
      <c r="C386" s="1618" t="s">
        <v>5222</v>
      </c>
      <c r="D386" s="1601">
        <v>2</v>
      </c>
      <c r="E386" s="1618" t="s">
        <v>6927</v>
      </c>
      <c r="F386" s="1619" t="s">
        <v>4620</v>
      </c>
      <c r="G386" s="1620">
        <v>42389</v>
      </c>
      <c r="H386" s="1619">
        <f t="shared" ref="H386" si="12">DATEDIF(G386,$G$6,"Y")</f>
        <v>9</v>
      </c>
      <c r="I386" s="1618"/>
    </row>
    <row r="387" spans="1:9" s="601" customFormat="1">
      <c r="A387" s="1617">
        <v>20038162</v>
      </c>
      <c r="B387" s="1618" t="s">
        <v>6926</v>
      </c>
      <c r="C387" s="1172"/>
      <c r="D387" s="1621"/>
      <c r="E387" s="1618" t="s">
        <v>7378</v>
      </c>
      <c r="F387" s="1619" t="s">
        <v>4621</v>
      </c>
      <c r="G387" s="1620">
        <v>44649</v>
      </c>
      <c r="H387" s="1619">
        <f t="shared" ref="H387" si="13">DATEDIF(G387,$G$6,"Y")</f>
        <v>2</v>
      </c>
      <c r="I387" s="1172"/>
    </row>
    <row r="388" spans="1:9" s="364" customFormat="1">
      <c r="A388" s="1164"/>
      <c r="B388" s="1165"/>
      <c r="C388" s="1165"/>
      <c r="D388" s="1166"/>
      <c r="E388" s="1165"/>
      <c r="F388" s="1167"/>
      <c r="G388" s="1168"/>
      <c r="H388" s="1167"/>
      <c r="I388" s="1165"/>
    </row>
    <row r="389" spans="1:9">
      <c r="A389" s="360">
        <v>20401711</v>
      </c>
      <c r="B389" s="361" t="s">
        <v>4887</v>
      </c>
      <c r="C389" s="361" t="s">
        <v>5221</v>
      </c>
      <c r="D389" s="465">
        <v>2</v>
      </c>
      <c r="E389" s="361" t="s">
        <v>6075</v>
      </c>
      <c r="F389" s="435" t="s">
        <v>4621</v>
      </c>
      <c r="G389" s="430">
        <v>41431</v>
      </c>
      <c r="H389" s="435">
        <f t="shared" si="11"/>
        <v>11</v>
      </c>
      <c r="I389" s="361"/>
    </row>
    <row r="390" spans="1:9" s="364" customFormat="1">
      <c r="A390" s="360">
        <v>20401711</v>
      </c>
      <c r="B390" s="361" t="s">
        <v>4887</v>
      </c>
      <c r="C390" s="371"/>
      <c r="D390" s="909"/>
      <c r="E390" s="371" t="s">
        <v>6076</v>
      </c>
      <c r="F390" s="435" t="s">
        <v>4621</v>
      </c>
      <c r="G390" s="431">
        <v>45083</v>
      </c>
      <c r="H390" s="435">
        <f t="shared" si="11"/>
        <v>1</v>
      </c>
      <c r="I390" s="371"/>
    </row>
    <row r="391" spans="1:9" s="364" customFormat="1">
      <c r="A391" s="1164"/>
      <c r="B391" s="1165"/>
      <c r="C391" s="1165"/>
      <c r="D391" s="1166"/>
      <c r="E391" s="1165"/>
      <c r="F391" s="1167"/>
      <c r="G391" s="1168"/>
      <c r="H391" s="1167"/>
      <c r="I391" s="1165"/>
    </row>
    <row r="392" spans="1:9" s="364" customFormat="1">
      <c r="A392" s="1164">
        <v>20428039</v>
      </c>
      <c r="B392" s="1165" t="s">
        <v>6886</v>
      </c>
      <c r="C392" s="361" t="s">
        <v>5222</v>
      </c>
      <c r="D392" s="1166">
        <v>2</v>
      </c>
      <c r="E392" s="1165" t="s">
        <v>6889</v>
      </c>
      <c r="F392" s="1167" t="s">
        <v>4620</v>
      </c>
      <c r="G392" s="1168">
        <v>41316</v>
      </c>
      <c r="H392" s="435">
        <f t="shared" si="11"/>
        <v>11</v>
      </c>
      <c r="I392" s="1165"/>
    </row>
    <row r="393" spans="1:9" s="364" customFormat="1">
      <c r="A393" s="1164">
        <v>20428039</v>
      </c>
      <c r="B393" s="1165" t="s">
        <v>6886</v>
      </c>
      <c r="C393" s="1165"/>
      <c r="D393" s="1166"/>
      <c r="E393" s="1165" t="s">
        <v>6890</v>
      </c>
      <c r="F393" s="1167" t="s">
        <v>4621</v>
      </c>
      <c r="G393" s="1168">
        <v>43923</v>
      </c>
      <c r="H393" s="435">
        <f t="shared" si="11"/>
        <v>4</v>
      </c>
      <c r="I393" s="1165"/>
    </row>
    <row r="394" spans="1:9">
      <c r="A394" s="360"/>
      <c r="B394" s="361"/>
      <c r="C394" s="361"/>
      <c r="D394" s="465"/>
      <c r="E394" s="361"/>
      <c r="F394" s="435"/>
      <c r="G394" s="430"/>
      <c r="H394" s="435"/>
      <c r="I394" s="361"/>
    </row>
    <row r="395" spans="1:9">
      <c r="A395" s="360">
        <v>20603227</v>
      </c>
      <c r="B395" s="361" t="s">
        <v>4888</v>
      </c>
      <c r="C395" s="361" t="s">
        <v>5224</v>
      </c>
      <c r="D395" s="465">
        <v>2</v>
      </c>
      <c r="E395" s="361" t="s">
        <v>5704</v>
      </c>
      <c r="F395" s="435" t="s">
        <v>4621</v>
      </c>
      <c r="G395" s="430">
        <v>41888</v>
      </c>
      <c r="H395" s="435">
        <f t="shared" si="11"/>
        <v>10</v>
      </c>
      <c r="I395" s="361"/>
    </row>
    <row r="396" spans="1:9">
      <c r="A396" s="360">
        <v>20603227</v>
      </c>
      <c r="B396" s="361" t="s">
        <v>4888</v>
      </c>
      <c r="C396" s="361"/>
      <c r="D396" s="465"/>
      <c r="E396" s="361" t="s">
        <v>5705</v>
      </c>
      <c r="F396" s="435" t="s">
        <v>4620</v>
      </c>
      <c r="G396" s="430">
        <v>41109</v>
      </c>
      <c r="H396" s="435">
        <f t="shared" si="11"/>
        <v>12</v>
      </c>
      <c r="I396" s="361"/>
    </row>
    <row r="397" spans="1:9">
      <c r="A397" s="360"/>
      <c r="B397" s="361"/>
      <c r="C397" s="361"/>
      <c r="D397" s="465"/>
      <c r="E397" s="361"/>
      <c r="F397" s="435"/>
      <c r="G397" s="430"/>
      <c r="H397" s="435"/>
      <c r="I397" s="361"/>
    </row>
    <row r="398" spans="1:9" s="364" customFormat="1">
      <c r="A398" s="1023">
        <v>20655363</v>
      </c>
      <c r="B398" s="1024" t="s">
        <v>5996</v>
      </c>
      <c r="C398" s="1024" t="s">
        <v>5222</v>
      </c>
      <c r="D398" s="465">
        <v>2</v>
      </c>
      <c r="E398" s="361" t="s">
        <v>6008</v>
      </c>
      <c r="F398" s="435" t="s">
        <v>4620</v>
      </c>
      <c r="G398" s="430">
        <v>40191</v>
      </c>
      <c r="H398" s="435">
        <f t="shared" ref="H398" si="14">DATEDIF(G398,$G$6,"Y")</f>
        <v>15</v>
      </c>
      <c r="I398" s="1024"/>
    </row>
    <row r="399" spans="1:9" s="364" customFormat="1">
      <c r="A399" s="1023">
        <v>20655363</v>
      </c>
      <c r="B399" s="1024" t="s">
        <v>5996</v>
      </c>
      <c r="C399" s="1024"/>
      <c r="D399" s="1025"/>
      <c r="E399" s="361" t="s">
        <v>6009</v>
      </c>
      <c r="F399" s="435" t="s">
        <v>4620</v>
      </c>
      <c r="G399" s="430">
        <v>41583</v>
      </c>
      <c r="H399" s="435">
        <f t="shared" ref="H399" si="15">DATEDIF(G399,$G$6,"Y")</f>
        <v>11</v>
      </c>
      <c r="I399" s="1024"/>
    </row>
    <row r="400" spans="1:9" s="364" customFormat="1">
      <c r="A400" s="1023"/>
      <c r="B400" s="1024"/>
      <c r="C400" s="1024"/>
      <c r="D400" s="1025"/>
      <c r="E400" s="1024"/>
      <c r="F400" s="1026"/>
      <c r="G400" s="1027"/>
      <c r="H400" s="1026"/>
      <c r="I400" s="1024"/>
    </row>
    <row r="401" spans="1:9">
      <c r="A401" s="360">
        <v>20707490</v>
      </c>
      <c r="B401" s="361" t="s">
        <v>4890</v>
      </c>
      <c r="C401" s="361" t="s">
        <v>5228</v>
      </c>
      <c r="D401" s="465">
        <v>2</v>
      </c>
      <c r="E401" s="361" t="s">
        <v>6877</v>
      </c>
      <c r="F401" s="435" t="s">
        <v>4620</v>
      </c>
      <c r="G401" s="430">
        <v>40616</v>
      </c>
      <c r="H401" s="435">
        <f t="shared" si="11"/>
        <v>13</v>
      </c>
      <c r="I401" s="361"/>
    </row>
    <row r="402" spans="1:9" s="364" customFormat="1">
      <c r="A402" s="360">
        <v>20707490</v>
      </c>
      <c r="B402" s="361" t="s">
        <v>4890</v>
      </c>
      <c r="C402" s="1165"/>
      <c r="D402" s="1166"/>
      <c r="E402" s="1165" t="s">
        <v>6878</v>
      </c>
      <c r="F402" s="1167" t="s">
        <v>4620</v>
      </c>
      <c r="G402" s="1168">
        <v>45426</v>
      </c>
      <c r="H402" s="435">
        <f t="shared" si="11"/>
        <v>0</v>
      </c>
      <c r="I402" s="1165"/>
    </row>
    <row r="403" spans="1:9">
      <c r="A403" s="360"/>
      <c r="B403" s="361"/>
      <c r="C403" s="361"/>
      <c r="D403" s="465"/>
      <c r="E403" s="361"/>
      <c r="F403" s="435"/>
      <c r="G403" s="430"/>
      <c r="H403" s="435"/>
      <c r="I403" s="361"/>
    </row>
    <row r="404" spans="1:9">
      <c r="A404" s="360">
        <v>20789286</v>
      </c>
      <c r="B404" s="361" t="s">
        <v>4891</v>
      </c>
      <c r="C404" s="361" t="s">
        <v>5223</v>
      </c>
      <c r="D404" s="465">
        <v>1</v>
      </c>
      <c r="E404" s="361" t="s">
        <v>6077</v>
      </c>
      <c r="F404" s="435" t="s">
        <v>4621</v>
      </c>
      <c r="G404" s="430">
        <v>43527</v>
      </c>
      <c r="H404" s="435">
        <f t="shared" si="11"/>
        <v>5</v>
      </c>
      <c r="I404" s="361"/>
    </row>
    <row r="405" spans="1:9">
      <c r="A405" s="360"/>
      <c r="B405" s="361"/>
      <c r="C405" s="361"/>
      <c r="D405" s="465"/>
      <c r="E405" s="361" t="s">
        <v>2904</v>
      </c>
      <c r="F405" s="435"/>
      <c r="G405" s="430"/>
      <c r="H405" s="435"/>
      <c r="I405" s="361"/>
    </row>
    <row r="406" spans="1:9">
      <c r="A406" s="360">
        <v>22622493</v>
      </c>
      <c r="B406" s="361" t="s">
        <v>4899</v>
      </c>
      <c r="C406" s="361" t="s">
        <v>5222</v>
      </c>
      <c r="D406" s="465">
        <v>2</v>
      </c>
      <c r="E406" s="361" t="s">
        <v>5706</v>
      </c>
      <c r="F406" s="435" t="s">
        <v>4620</v>
      </c>
      <c r="G406" s="430">
        <v>43198</v>
      </c>
      <c r="H406" s="435">
        <f t="shared" si="11"/>
        <v>6</v>
      </c>
      <c r="I406" s="361"/>
    </row>
    <row r="407" spans="1:9">
      <c r="A407" s="360">
        <v>22622493</v>
      </c>
      <c r="B407" s="361" t="s">
        <v>4899</v>
      </c>
      <c r="C407" s="361"/>
      <c r="D407" s="465"/>
      <c r="E407" s="361" t="s">
        <v>5707</v>
      </c>
      <c r="F407" s="435" t="s">
        <v>4620</v>
      </c>
      <c r="G407" s="430">
        <v>41153</v>
      </c>
      <c r="H407" s="435">
        <f t="shared" si="11"/>
        <v>12</v>
      </c>
      <c r="I407" s="361"/>
    </row>
    <row r="408" spans="1:9">
      <c r="A408" s="360"/>
      <c r="B408" s="361"/>
      <c r="C408" s="361"/>
      <c r="D408" s="465"/>
      <c r="E408" s="361"/>
      <c r="F408" s="435"/>
      <c r="G408" s="430"/>
      <c r="H408" s="435"/>
      <c r="I408" s="361"/>
    </row>
    <row r="409" spans="1:9" s="364" customFormat="1">
      <c r="A409" s="360">
        <v>23775734</v>
      </c>
      <c r="B409" s="361" t="s">
        <v>7390</v>
      </c>
      <c r="C409" s="361" t="s">
        <v>5222</v>
      </c>
      <c r="D409" s="465">
        <v>1</v>
      </c>
      <c r="E409" s="361" t="s">
        <v>7392</v>
      </c>
      <c r="F409" s="435" t="s">
        <v>4621</v>
      </c>
      <c r="G409" s="430">
        <v>45246</v>
      </c>
      <c r="H409" s="435">
        <f t="shared" ref="H409" si="16">DATEDIF(G409,$G$6,"Y")</f>
        <v>1</v>
      </c>
      <c r="I409" s="361"/>
    </row>
    <row r="410" spans="1:9" s="364" customFormat="1">
      <c r="A410" s="1164"/>
      <c r="B410" s="1165"/>
      <c r="C410" s="1165"/>
      <c r="D410" s="1166"/>
      <c r="E410" s="1165"/>
      <c r="F410" s="1167"/>
      <c r="G410" s="1168"/>
      <c r="H410" s="1167"/>
      <c r="I410" s="1165"/>
    </row>
    <row r="411" spans="1:9">
      <c r="A411" s="360">
        <v>24135378</v>
      </c>
      <c r="B411" s="361" t="s">
        <v>4903</v>
      </c>
      <c r="C411" s="361" t="s">
        <v>5223</v>
      </c>
      <c r="D411" s="465">
        <v>2</v>
      </c>
      <c r="E411" s="361" t="s">
        <v>5708</v>
      </c>
      <c r="F411" s="435" t="s">
        <v>4620</v>
      </c>
      <c r="G411" s="430">
        <v>41603</v>
      </c>
      <c r="H411" s="435">
        <f t="shared" si="11"/>
        <v>11</v>
      </c>
      <c r="I411" s="361"/>
    </row>
    <row r="412" spans="1:9">
      <c r="A412" s="360">
        <v>24135378</v>
      </c>
      <c r="B412" s="361" t="s">
        <v>4903</v>
      </c>
      <c r="C412" s="361"/>
      <c r="D412" s="465"/>
      <c r="E412" s="361" t="s">
        <v>5709</v>
      </c>
      <c r="F412" s="435" t="s">
        <v>4620</v>
      </c>
      <c r="G412" s="430">
        <v>43081</v>
      </c>
      <c r="H412" s="435">
        <f t="shared" si="11"/>
        <v>7</v>
      </c>
      <c r="I412" s="361"/>
    </row>
    <row r="413" spans="1:9">
      <c r="A413" s="360"/>
      <c r="B413" s="361"/>
      <c r="C413" s="361"/>
      <c r="D413" s="465"/>
      <c r="E413" s="361"/>
      <c r="F413" s="435"/>
      <c r="G413" s="430"/>
      <c r="H413" s="435"/>
      <c r="I413" s="361"/>
    </row>
    <row r="414" spans="1:9">
      <c r="A414" s="360">
        <v>24136795</v>
      </c>
      <c r="B414" s="361" t="s">
        <v>4905</v>
      </c>
      <c r="C414" s="361" t="s">
        <v>5270</v>
      </c>
      <c r="D414" s="465">
        <v>2</v>
      </c>
      <c r="E414" s="361" t="s">
        <v>5710</v>
      </c>
      <c r="F414" s="435" t="s">
        <v>4620</v>
      </c>
      <c r="G414" s="430">
        <v>44446</v>
      </c>
      <c r="H414" s="435">
        <f t="shared" si="11"/>
        <v>3</v>
      </c>
      <c r="I414" s="361"/>
    </row>
    <row r="415" spans="1:9" s="364" customFormat="1">
      <c r="A415" s="360">
        <v>24136795</v>
      </c>
      <c r="B415" s="361" t="s">
        <v>4905</v>
      </c>
      <c r="C415" s="936"/>
      <c r="D415" s="937"/>
      <c r="E415" s="361" t="s">
        <v>5995</v>
      </c>
      <c r="F415" s="435" t="s">
        <v>4621</v>
      </c>
      <c r="G415" s="430">
        <v>45238</v>
      </c>
      <c r="H415" s="435">
        <f t="shared" ref="H415" si="17">DATEDIF(G415,$G$6,"Y")</f>
        <v>1</v>
      </c>
      <c r="I415" s="936"/>
    </row>
    <row r="416" spans="1:9">
      <c r="A416" s="360"/>
      <c r="B416" s="361"/>
      <c r="C416" s="361"/>
      <c r="D416" s="465"/>
      <c r="E416" s="361"/>
      <c r="F416" s="435"/>
      <c r="G416" s="430"/>
      <c r="H416" s="435"/>
      <c r="I416" s="361"/>
    </row>
    <row r="417" spans="1:9" s="364" customFormat="1">
      <c r="A417" s="360">
        <v>24385729</v>
      </c>
      <c r="B417" s="361" t="s">
        <v>6905</v>
      </c>
      <c r="C417" s="361" t="s">
        <v>5984</v>
      </c>
      <c r="D417" s="465">
        <v>1</v>
      </c>
      <c r="E417" s="361" t="s">
        <v>6144</v>
      </c>
      <c r="F417" s="435" t="s">
        <v>4620</v>
      </c>
      <c r="G417" s="430">
        <v>43432</v>
      </c>
      <c r="H417" s="435">
        <f t="shared" ref="H417" si="18">DATEDIF(G417,$G$6,"Y")</f>
        <v>6</v>
      </c>
      <c r="I417" s="1165"/>
    </row>
    <row r="418" spans="1:9" s="364" customFormat="1">
      <c r="A418" s="1164"/>
      <c r="B418" s="1165"/>
      <c r="C418" s="1165"/>
      <c r="D418" s="1166"/>
      <c r="E418" s="1165"/>
      <c r="F418" s="1167"/>
      <c r="G418" s="1168"/>
      <c r="H418" s="1167"/>
      <c r="I418" s="1165"/>
    </row>
    <row r="419" spans="1:9">
      <c r="A419" s="360">
        <v>25006139</v>
      </c>
      <c r="B419" s="361" t="s">
        <v>4908</v>
      </c>
      <c r="C419" s="361" t="s">
        <v>5222</v>
      </c>
      <c r="D419" s="465">
        <v>1</v>
      </c>
      <c r="E419" s="361" t="s">
        <v>5711</v>
      </c>
      <c r="F419" s="435" t="s">
        <v>4620</v>
      </c>
      <c r="G419" s="430">
        <v>44000</v>
      </c>
      <c r="H419" s="435">
        <f t="shared" si="11"/>
        <v>4</v>
      </c>
      <c r="I419" s="361"/>
    </row>
    <row r="420" spans="1:9">
      <c r="A420" s="360"/>
      <c r="B420" s="361"/>
      <c r="C420" s="361"/>
      <c r="D420" s="465"/>
      <c r="E420" s="361"/>
      <c r="F420" s="435"/>
      <c r="G420" s="430"/>
      <c r="H420" s="435"/>
      <c r="I420" s="361"/>
    </row>
    <row r="421" spans="1:9" s="364" customFormat="1">
      <c r="A421" s="360">
        <v>25006878</v>
      </c>
      <c r="B421" s="361" t="s">
        <v>5498</v>
      </c>
      <c r="C421" s="361" t="s">
        <v>5222</v>
      </c>
      <c r="D421" s="465">
        <v>1</v>
      </c>
      <c r="E421" s="361" t="s">
        <v>5713</v>
      </c>
      <c r="F421" s="435" t="s">
        <v>4620</v>
      </c>
      <c r="G421" s="430">
        <v>43286</v>
      </c>
      <c r="H421" s="435">
        <f>DATEDIF(G421,$G$6,"Y")</f>
        <v>6</v>
      </c>
      <c r="I421" s="361"/>
    </row>
    <row r="422" spans="1:9" s="364" customFormat="1">
      <c r="A422" s="370"/>
      <c r="B422" s="371"/>
      <c r="C422" s="371"/>
      <c r="D422" s="909"/>
      <c r="E422" s="371"/>
      <c r="F422" s="442"/>
      <c r="G422" s="431"/>
      <c r="H422" s="442"/>
      <c r="I422" s="371"/>
    </row>
    <row r="423" spans="1:9">
      <c r="A423" s="360">
        <v>25096069</v>
      </c>
      <c r="B423" s="361" t="s">
        <v>4909</v>
      </c>
      <c r="C423" s="361" t="s">
        <v>5222</v>
      </c>
      <c r="D423" s="465">
        <v>1</v>
      </c>
      <c r="E423" s="361" t="s">
        <v>5712</v>
      </c>
      <c r="F423" s="435" t="s">
        <v>4620</v>
      </c>
      <c r="G423" s="430">
        <v>43624</v>
      </c>
      <c r="H423" s="435">
        <f t="shared" si="11"/>
        <v>5</v>
      </c>
      <c r="I423" s="361"/>
    </row>
    <row r="424" spans="1:9" s="364" customFormat="1">
      <c r="A424" s="1164"/>
      <c r="B424" s="1165"/>
      <c r="C424" s="1165"/>
      <c r="D424" s="1166"/>
      <c r="E424" s="1165"/>
      <c r="F424" s="1167"/>
      <c r="G424" s="1168"/>
      <c r="H424" s="1167"/>
      <c r="I424" s="1165"/>
    </row>
    <row r="425" spans="1:9" s="364" customFormat="1">
      <c r="A425" s="1164">
        <v>25173139</v>
      </c>
      <c r="B425" s="1165" t="s">
        <v>6825</v>
      </c>
      <c r="C425" s="1165" t="s">
        <v>5268</v>
      </c>
      <c r="D425" s="1166">
        <v>1</v>
      </c>
      <c r="E425" s="1165" t="s">
        <v>6828</v>
      </c>
      <c r="F425" s="1167" t="s">
        <v>4621</v>
      </c>
      <c r="G425" s="1168">
        <v>44566</v>
      </c>
      <c r="H425" s="435">
        <f t="shared" si="11"/>
        <v>3</v>
      </c>
      <c r="I425" s="1165"/>
    </row>
    <row r="426" spans="1:9">
      <c r="A426" s="360"/>
      <c r="B426" s="361"/>
      <c r="C426" s="361"/>
      <c r="D426" s="465"/>
      <c r="E426" s="361"/>
      <c r="F426" s="435"/>
      <c r="G426" s="430"/>
      <c r="H426" s="435"/>
      <c r="I426" s="361"/>
    </row>
    <row r="427" spans="1:9">
      <c r="A427" s="360">
        <v>25173983</v>
      </c>
      <c r="B427" s="361" t="s">
        <v>4910</v>
      </c>
      <c r="C427" s="361" t="s">
        <v>5222</v>
      </c>
      <c r="D427" s="465">
        <v>1</v>
      </c>
      <c r="E427" s="361" t="s">
        <v>5714</v>
      </c>
      <c r="F427" s="435" t="s">
        <v>4620</v>
      </c>
      <c r="G427" s="430">
        <v>43827</v>
      </c>
      <c r="H427" s="435">
        <f t="shared" ref="H427:H461" si="19">DATEDIF(G427,$G$6,"Y")</f>
        <v>5</v>
      </c>
      <c r="I427" s="361"/>
    </row>
    <row r="428" spans="1:9">
      <c r="A428" s="360"/>
      <c r="B428" s="361"/>
      <c r="C428" s="361"/>
      <c r="D428" s="465"/>
      <c r="E428" s="361"/>
      <c r="F428" s="435"/>
      <c r="G428" s="430"/>
      <c r="H428" s="435"/>
      <c r="I428" s="361"/>
    </row>
    <row r="429" spans="1:9">
      <c r="A429" s="360">
        <v>25303390</v>
      </c>
      <c r="B429" s="361" t="s">
        <v>4911</v>
      </c>
      <c r="C429" s="361" t="s">
        <v>5222</v>
      </c>
      <c r="D429" s="465">
        <v>2</v>
      </c>
      <c r="E429" s="361" t="s">
        <v>5715</v>
      </c>
      <c r="F429" s="435" t="s">
        <v>4620</v>
      </c>
      <c r="G429" s="430">
        <v>41644</v>
      </c>
      <c r="H429" s="435">
        <f t="shared" si="19"/>
        <v>11</v>
      </c>
      <c r="I429" s="361"/>
    </row>
    <row r="430" spans="1:9">
      <c r="A430" s="360">
        <v>25303390</v>
      </c>
      <c r="B430" s="361" t="s">
        <v>4911</v>
      </c>
      <c r="C430" s="361"/>
      <c r="D430" s="465"/>
      <c r="E430" s="361" t="s">
        <v>5716</v>
      </c>
      <c r="F430" s="435" t="s">
        <v>4620</v>
      </c>
      <c r="G430" s="430">
        <v>43288</v>
      </c>
      <c r="H430" s="435">
        <f t="shared" si="19"/>
        <v>6</v>
      </c>
      <c r="I430" s="361"/>
    </row>
    <row r="431" spans="1:9" s="364" customFormat="1">
      <c r="A431" s="1164"/>
      <c r="B431" s="1165"/>
      <c r="C431" s="1165"/>
      <c r="D431" s="1166"/>
      <c r="E431" s="1165"/>
      <c r="F431" s="1167"/>
      <c r="G431" s="1168"/>
      <c r="H431" s="1167"/>
      <c r="I431" s="1165"/>
    </row>
    <row r="432" spans="1:9" s="364" customFormat="1">
      <c r="A432" s="1164">
        <v>25454143</v>
      </c>
      <c r="B432" s="1165" t="s">
        <v>6818</v>
      </c>
      <c r="C432" s="361" t="s">
        <v>5222</v>
      </c>
      <c r="D432" s="1166">
        <v>1</v>
      </c>
      <c r="E432" s="1165" t="s">
        <v>6821</v>
      </c>
      <c r="F432" s="1167" t="s">
        <v>4620</v>
      </c>
      <c r="G432" s="1168">
        <v>44493</v>
      </c>
      <c r="H432" s="435">
        <f t="shared" si="19"/>
        <v>3</v>
      </c>
      <c r="I432" s="1165"/>
    </row>
    <row r="433" spans="1:9" s="364" customFormat="1">
      <c r="A433" s="1164"/>
      <c r="B433" s="1165"/>
      <c r="C433" s="1165"/>
      <c r="D433" s="1166"/>
      <c r="E433" s="1165"/>
      <c r="F433" s="1167"/>
      <c r="G433" s="1168"/>
      <c r="H433" s="1167"/>
      <c r="I433" s="1165"/>
    </row>
    <row r="434" spans="1:9">
      <c r="A434" s="360">
        <v>25619540</v>
      </c>
      <c r="B434" s="361" t="s">
        <v>4913</v>
      </c>
      <c r="C434" s="361" t="s">
        <v>5222</v>
      </c>
      <c r="D434" s="465">
        <v>2</v>
      </c>
      <c r="E434" s="361" t="s">
        <v>6078</v>
      </c>
      <c r="F434" s="435" t="s">
        <v>4621</v>
      </c>
      <c r="G434" s="430">
        <v>42550</v>
      </c>
      <c r="H434" s="435">
        <f t="shared" si="19"/>
        <v>8</v>
      </c>
      <c r="I434" s="361" t="s">
        <v>5651</v>
      </c>
    </row>
    <row r="435" spans="1:9">
      <c r="A435" s="360">
        <v>25619540</v>
      </c>
      <c r="B435" s="361" t="s">
        <v>4913</v>
      </c>
      <c r="C435" s="361"/>
      <c r="D435" s="465"/>
      <c r="E435" s="361" t="s">
        <v>6079</v>
      </c>
      <c r="F435" s="435" t="s">
        <v>4621</v>
      </c>
      <c r="G435" s="430">
        <v>42550</v>
      </c>
      <c r="H435" s="435">
        <f t="shared" si="19"/>
        <v>8</v>
      </c>
      <c r="I435" s="361"/>
    </row>
    <row r="436" spans="1:9">
      <c r="A436" s="360">
        <v>25619540</v>
      </c>
      <c r="B436" s="361" t="s">
        <v>4913</v>
      </c>
      <c r="C436" s="361"/>
      <c r="D436" s="465"/>
      <c r="E436" s="361" t="s">
        <v>6080</v>
      </c>
      <c r="F436" s="435" t="s">
        <v>4620</v>
      </c>
      <c r="G436" s="430">
        <v>43609</v>
      </c>
      <c r="H436" s="435">
        <f t="shared" si="19"/>
        <v>5</v>
      </c>
      <c r="I436" s="361"/>
    </row>
    <row r="437" spans="1:9">
      <c r="A437" s="360">
        <v>25619540</v>
      </c>
      <c r="B437" s="361" t="s">
        <v>4913</v>
      </c>
      <c r="C437" s="361"/>
      <c r="D437" s="465"/>
      <c r="E437" s="361" t="s">
        <v>6081</v>
      </c>
      <c r="F437" s="435" t="s">
        <v>4621</v>
      </c>
      <c r="G437" s="430">
        <v>41354</v>
      </c>
      <c r="H437" s="435">
        <f t="shared" si="19"/>
        <v>11</v>
      </c>
      <c r="I437" s="361"/>
    </row>
    <row r="438" spans="1:9">
      <c r="A438" s="360"/>
      <c r="B438" s="361"/>
      <c r="C438" s="361"/>
      <c r="D438" s="465"/>
      <c r="E438" s="361"/>
      <c r="F438" s="435"/>
      <c r="G438" s="430"/>
      <c r="H438" s="435"/>
      <c r="I438" s="361"/>
    </row>
    <row r="439" spans="1:9">
      <c r="A439" s="360">
        <v>26094690</v>
      </c>
      <c r="B439" s="361" t="s">
        <v>5525</v>
      </c>
      <c r="C439" s="361" t="s">
        <v>5222</v>
      </c>
      <c r="D439" s="465">
        <v>2</v>
      </c>
      <c r="E439" s="361" t="s">
        <v>5744</v>
      </c>
      <c r="F439" s="435" t="s">
        <v>4621</v>
      </c>
      <c r="G439" s="430">
        <v>44272</v>
      </c>
      <c r="H439" s="435">
        <f t="shared" si="19"/>
        <v>3</v>
      </c>
      <c r="I439" s="361"/>
    </row>
    <row r="440" spans="1:9" s="364" customFormat="1">
      <c r="A440" s="360">
        <v>26094690</v>
      </c>
      <c r="B440" s="361" t="s">
        <v>5525</v>
      </c>
      <c r="C440" s="361"/>
      <c r="D440" s="465"/>
      <c r="E440" s="361" t="s">
        <v>5745</v>
      </c>
      <c r="F440" s="435" t="s">
        <v>4620</v>
      </c>
      <c r="G440" s="430">
        <v>43542</v>
      </c>
      <c r="H440" s="435">
        <f t="shared" si="19"/>
        <v>5</v>
      </c>
      <c r="I440" s="361"/>
    </row>
    <row r="441" spans="1:9">
      <c r="A441" s="360"/>
      <c r="B441" s="361"/>
      <c r="C441" s="361"/>
      <c r="D441" s="465"/>
      <c r="E441" s="361"/>
      <c r="F441" s="435"/>
      <c r="G441" s="430"/>
      <c r="H441" s="435"/>
      <c r="I441" s="361"/>
    </row>
    <row r="442" spans="1:9">
      <c r="A442" s="360">
        <v>26413871</v>
      </c>
      <c r="B442" s="361" t="s">
        <v>4917</v>
      </c>
      <c r="C442" s="361" t="s">
        <v>5222</v>
      </c>
      <c r="D442" s="465">
        <v>2</v>
      </c>
      <c r="E442" s="361" t="s">
        <v>5717</v>
      </c>
      <c r="F442" s="435" t="s">
        <v>4620</v>
      </c>
      <c r="G442" s="430">
        <v>42504</v>
      </c>
      <c r="H442" s="435">
        <f t="shared" si="19"/>
        <v>8</v>
      </c>
      <c r="I442" s="361"/>
    </row>
    <row r="443" spans="1:9">
      <c r="A443" s="360">
        <v>26413871</v>
      </c>
      <c r="B443" s="361" t="s">
        <v>4917</v>
      </c>
      <c r="C443" s="361"/>
      <c r="D443" s="465"/>
      <c r="E443" s="361" t="s">
        <v>5718</v>
      </c>
      <c r="F443" s="435" t="s">
        <v>4620</v>
      </c>
      <c r="G443" s="430">
        <v>43628</v>
      </c>
      <c r="H443" s="435">
        <f t="shared" si="19"/>
        <v>5</v>
      </c>
      <c r="I443" s="361"/>
    </row>
    <row r="444" spans="1:9">
      <c r="A444" s="360"/>
      <c r="B444" s="361"/>
      <c r="C444" s="361"/>
      <c r="D444" s="465"/>
      <c r="E444" s="361"/>
      <c r="F444" s="435"/>
      <c r="G444" s="430"/>
      <c r="H444" s="435"/>
      <c r="I444" s="361"/>
    </row>
    <row r="445" spans="1:9">
      <c r="A445" s="360">
        <v>26591879</v>
      </c>
      <c r="B445" s="361" t="s">
        <v>4918</v>
      </c>
      <c r="C445" s="361" t="s">
        <v>5272</v>
      </c>
      <c r="D445" s="465">
        <v>1</v>
      </c>
      <c r="E445" s="361" t="s">
        <v>6082</v>
      </c>
      <c r="F445" s="435" t="s">
        <v>4621</v>
      </c>
      <c r="G445" s="430">
        <v>44525</v>
      </c>
      <c r="H445" s="435">
        <f t="shared" si="19"/>
        <v>3</v>
      </c>
      <c r="I445" s="361"/>
    </row>
    <row r="446" spans="1:9">
      <c r="A446" s="360"/>
      <c r="B446" s="361"/>
      <c r="C446" s="361"/>
      <c r="D446" s="465"/>
      <c r="E446" s="361"/>
      <c r="F446" s="435"/>
      <c r="G446" s="430"/>
      <c r="H446" s="435"/>
      <c r="I446" s="361"/>
    </row>
    <row r="447" spans="1:9">
      <c r="A447" s="360">
        <v>26690908</v>
      </c>
      <c r="B447" s="361" t="s">
        <v>4919</v>
      </c>
      <c r="C447" s="361" t="s">
        <v>5222</v>
      </c>
      <c r="D447" s="465">
        <v>1</v>
      </c>
      <c r="E447" s="361" t="s">
        <v>5719</v>
      </c>
      <c r="F447" s="435" t="s">
        <v>4620</v>
      </c>
      <c r="G447" s="430">
        <v>42389</v>
      </c>
      <c r="H447" s="435">
        <f t="shared" si="19"/>
        <v>9</v>
      </c>
      <c r="I447" s="361"/>
    </row>
    <row r="448" spans="1:9">
      <c r="A448" s="360"/>
      <c r="B448" s="361"/>
      <c r="C448" s="361"/>
      <c r="D448" s="465"/>
      <c r="E448" s="361"/>
      <c r="F448" s="435"/>
      <c r="G448" s="430"/>
      <c r="H448" s="435"/>
      <c r="I448" s="361"/>
    </row>
    <row r="449" spans="1:9">
      <c r="A449" s="360">
        <v>26962104</v>
      </c>
      <c r="B449" s="361" t="s">
        <v>4920</v>
      </c>
      <c r="C449" s="361" t="s">
        <v>5235</v>
      </c>
      <c r="D449" s="465">
        <v>1</v>
      </c>
      <c r="E449" s="361" t="s">
        <v>5720</v>
      </c>
      <c r="F449" s="435" t="s">
        <v>4621</v>
      </c>
      <c r="G449" s="430">
        <v>44830</v>
      </c>
      <c r="H449" s="435">
        <f t="shared" si="19"/>
        <v>2</v>
      </c>
      <c r="I449" s="361"/>
    </row>
    <row r="450" spans="1:9" s="364" customFormat="1">
      <c r="A450" s="1164"/>
      <c r="B450" s="1165"/>
      <c r="C450" s="1165"/>
      <c r="D450" s="1166"/>
      <c r="E450" s="1165"/>
      <c r="F450" s="1167"/>
      <c r="G450" s="1168"/>
      <c r="H450" s="1167"/>
      <c r="I450" s="1165"/>
    </row>
    <row r="451" spans="1:9" s="364" customFormat="1">
      <c r="A451" s="1164">
        <v>27251885</v>
      </c>
      <c r="B451" s="1165" t="s">
        <v>6737</v>
      </c>
      <c r="C451" s="361" t="s">
        <v>5222</v>
      </c>
      <c r="D451" s="1166">
        <v>1</v>
      </c>
      <c r="E451" s="1165" t="s">
        <v>6740</v>
      </c>
      <c r="F451" s="1167" t="s">
        <v>4620</v>
      </c>
      <c r="G451" s="1168">
        <v>43898</v>
      </c>
      <c r="H451" s="435">
        <f t="shared" si="19"/>
        <v>4</v>
      </c>
      <c r="I451" s="1165"/>
    </row>
    <row r="452" spans="1:9" s="364" customFormat="1">
      <c r="A452" s="1164"/>
      <c r="B452" s="1165"/>
      <c r="C452" s="1165"/>
      <c r="D452" s="1166"/>
      <c r="E452" s="1165"/>
      <c r="F452" s="1167"/>
      <c r="G452" s="1168"/>
      <c r="H452" s="1167"/>
      <c r="I452" s="1165"/>
    </row>
    <row r="453" spans="1:9" s="364" customFormat="1">
      <c r="A453" s="1164">
        <v>27251899</v>
      </c>
      <c r="B453" s="1165" t="s">
        <v>6733</v>
      </c>
      <c r="C453" s="361" t="s">
        <v>5222</v>
      </c>
      <c r="D453" s="1166">
        <v>1</v>
      </c>
      <c r="E453" s="1165" t="s">
        <v>6736</v>
      </c>
      <c r="F453" s="1167" t="s">
        <v>4620</v>
      </c>
      <c r="G453" s="1168">
        <v>44725</v>
      </c>
      <c r="H453" s="435">
        <f t="shared" si="19"/>
        <v>2</v>
      </c>
      <c r="I453" s="1165"/>
    </row>
    <row r="454" spans="1:9" s="364" customFormat="1">
      <c r="A454" s="1164"/>
      <c r="B454" s="1165"/>
      <c r="C454" s="1165"/>
      <c r="D454" s="1166"/>
      <c r="E454" s="1165"/>
      <c r="F454" s="1167"/>
      <c r="G454" s="1168"/>
      <c r="H454" s="1167"/>
      <c r="I454" s="1165"/>
    </row>
    <row r="455" spans="1:9" s="364" customFormat="1">
      <c r="A455" s="1164">
        <v>27415737</v>
      </c>
      <c r="B455" s="1165" t="s">
        <v>4922</v>
      </c>
      <c r="C455" s="361" t="s">
        <v>5235</v>
      </c>
      <c r="D455" s="1166">
        <v>1</v>
      </c>
      <c r="E455" s="1165" t="s">
        <v>6885</v>
      </c>
      <c r="F455" s="1167" t="s">
        <v>4620</v>
      </c>
      <c r="G455" s="1168">
        <v>45541</v>
      </c>
      <c r="H455" s="435">
        <f t="shared" si="19"/>
        <v>0</v>
      </c>
      <c r="I455" s="1165"/>
    </row>
    <row r="456" spans="1:9">
      <c r="A456" s="360"/>
      <c r="B456" s="361"/>
      <c r="C456" s="361"/>
      <c r="D456" s="465"/>
      <c r="E456" s="361"/>
      <c r="F456" s="435"/>
      <c r="G456" s="430"/>
      <c r="H456" s="435"/>
      <c r="I456" s="361"/>
    </row>
    <row r="457" spans="1:9" s="364" customFormat="1">
      <c r="A457" s="360">
        <v>27628603</v>
      </c>
      <c r="B457" s="361" t="s">
        <v>5784</v>
      </c>
      <c r="C457" s="361" t="s">
        <v>5789</v>
      </c>
      <c r="D457" s="465">
        <v>1</v>
      </c>
      <c r="E457" s="361" t="s">
        <v>5801</v>
      </c>
      <c r="F457" s="435" t="s">
        <v>4621</v>
      </c>
      <c r="G457" s="430">
        <v>43813</v>
      </c>
      <c r="H457" s="435">
        <v>3</v>
      </c>
      <c r="I457" s="361"/>
    </row>
    <row r="458" spans="1:9" s="364" customFormat="1">
      <c r="A458" s="370"/>
      <c r="B458" s="371"/>
      <c r="C458" s="371"/>
      <c r="D458" s="909"/>
      <c r="E458" s="371"/>
      <c r="F458" s="442"/>
      <c r="G458" s="431"/>
      <c r="H458" s="442"/>
      <c r="I458" s="371"/>
    </row>
    <row r="459" spans="1:9">
      <c r="A459" s="360">
        <v>27889180</v>
      </c>
      <c r="B459" s="361" t="s">
        <v>4924</v>
      </c>
      <c r="C459" s="361" t="s">
        <v>5273</v>
      </c>
      <c r="D459" s="465">
        <v>1</v>
      </c>
      <c r="E459" s="361" t="s">
        <v>5721</v>
      </c>
      <c r="F459" s="435" t="s">
        <v>4620</v>
      </c>
      <c r="G459" s="430">
        <v>44883</v>
      </c>
      <c r="H459" s="435">
        <f t="shared" si="19"/>
        <v>2</v>
      </c>
      <c r="I459" s="361"/>
    </row>
    <row r="460" spans="1:9">
      <c r="A460" s="360"/>
      <c r="B460" s="361"/>
      <c r="C460" s="361"/>
      <c r="D460" s="465"/>
      <c r="E460" s="361"/>
      <c r="F460" s="435"/>
      <c r="G460" s="430"/>
      <c r="H460" s="435"/>
      <c r="I460" s="361"/>
    </row>
    <row r="461" spans="1:9">
      <c r="A461" s="360">
        <v>29585477</v>
      </c>
      <c r="B461" s="361" t="s">
        <v>4929</v>
      </c>
      <c r="C461" s="361" t="s">
        <v>5232</v>
      </c>
      <c r="D461" s="465">
        <v>1</v>
      </c>
      <c r="E461" s="361" t="s">
        <v>5722</v>
      </c>
      <c r="F461" s="435" t="s">
        <v>4621</v>
      </c>
      <c r="G461" s="430">
        <v>43783</v>
      </c>
      <c r="H461" s="435">
        <f t="shared" si="19"/>
        <v>5</v>
      </c>
      <c r="I461" s="361"/>
    </row>
    <row r="462" spans="1:9">
      <c r="A462" s="360"/>
      <c r="B462" s="361"/>
      <c r="C462" s="361"/>
      <c r="D462" s="465"/>
      <c r="E462" s="361"/>
      <c r="F462" s="435"/>
      <c r="G462" s="430"/>
      <c r="H462" s="435"/>
      <c r="I462" s="361"/>
    </row>
    <row r="463" spans="1:9">
      <c r="A463" s="360">
        <v>19101773</v>
      </c>
      <c r="B463" s="361" t="s">
        <v>5810</v>
      </c>
      <c r="C463" s="361" t="s">
        <v>5222</v>
      </c>
      <c r="D463" s="465">
        <v>1</v>
      </c>
      <c r="E463" s="361" t="s">
        <v>5812</v>
      </c>
      <c r="F463" s="435" t="s">
        <v>4620</v>
      </c>
      <c r="G463" s="430">
        <v>39076</v>
      </c>
      <c r="H463" s="435">
        <f t="shared" ref="H463" si="20">DATEDIF(G463,$G$6,"Y")</f>
        <v>18</v>
      </c>
      <c r="I463" s="361"/>
    </row>
    <row r="464" spans="1:9" s="364" customFormat="1">
      <c r="A464" s="360"/>
      <c r="B464" s="361"/>
      <c r="C464" s="361"/>
      <c r="D464" s="465"/>
      <c r="E464" s="361"/>
      <c r="F464" s="435"/>
      <c r="G464" s="430"/>
      <c r="H464" s="435"/>
      <c r="I464" s="361"/>
    </row>
    <row r="465" spans="1:9" s="364" customFormat="1">
      <c r="A465" s="360">
        <v>26235963</v>
      </c>
      <c r="B465" s="361" t="s">
        <v>6148</v>
      </c>
      <c r="C465" s="361" t="s">
        <v>5267</v>
      </c>
      <c r="D465" s="465">
        <v>1</v>
      </c>
      <c r="E465" s="361" t="s">
        <v>6151</v>
      </c>
      <c r="F465" s="435" t="s">
        <v>4621</v>
      </c>
      <c r="G465" s="430">
        <v>42877</v>
      </c>
      <c r="H465" s="435">
        <f t="shared" ref="H465" si="21">DATEDIF(G465,$G$6,"Y")</f>
        <v>7</v>
      </c>
      <c r="I465" s="361"/>
    </row>
    <row r="466" spans="1:9" s="364" customFormat="1">
      <c r="A466" s="360"/>
      <c r="B466" s="361"/>
      <c r="C466" s="361"/>
      <c r="D466" s="465"/>
      <c r="E466" s="361"/>
      <c r="F466" s="435"/>
      <c r="G466" s="430"/>
      <c r="H466" s="435"/>
      <c r="I466" s="361"/>
    </row>
    <row r="467" spans="1:9" s="364" customFormat="1">
      <c r="A467" s="1164">
        <v>27251392</v>
      </c>
      <c r="B467" s="1328" t="s">
        <v>7405</v>
      </c>
      <c r="C467" s="1165" t="s">
        <v>5222</v>
      </c>
      <c r="D467" s="1327">
        <v>1</v>
      </c>
      <c r="E467" s="1165" t="s">
        <v>7408</v>
      </c>
      <c r="F467" s="1167" t="s">
        <v>4620</v>
      </c>
      <c r="G467" s="1168">
        <v>44043</v>
      </c>
      <c r="H467" s="1167">
        <f t="shared" ref="H467" si="22">DATEDIF(G467,$G$6,"Y")</f>
        <v>4</v>
      </c>
      <c r="I467" s="1165"/>
    </row>
    <row r="468" spans="1:9" s="364" customFormat="1">
      <c r="A468" s="1164"/>
      <c r="B468" s="1165"/>
      <c r="C468" s="1165"/>
      <c r="D468" s="1166"/>
      <c r="E468" s="1165"/>
      <c r="F468" s="1167"/>
      <c r="G468" s="1168"/>
      <c r="H468" s="1167"/>
      <c r="I468" s="1165"/>
    </row>
    <row r="469" spans="1:9" s="364" customFormat="1">
      <c r="A469" s="361">
        <v>28096576</v>
      </c>
      <c r="B469" s="361" t="s">
        <v>5768</v>
      </c>
      <c r="C469" s="361" t="s">
        <v>5088</v>
      </c>
      <c r="D469" s="465">
        <v>2</v>
      </c>
      <c r="E469" s="361" t="s">
        <v>6141</v>
      </c>
      <c r="F469" s="435" t="s">
        <v>4621</v>
      </c>
      <c r="G469" s="430">
        <v>42514</v>
      </c>
      <c r="H469" s="435">
        <f t="shared" ref="H469:H471" si="23">DATEDIF(G469,$G$6,"Y")</f>
        <v>8</v>
      </c>
      <c r="I469" s="361"/>
    </row>
    <row r="470" spans="1:9" s="364" customFormat="1">
      <c r="A470" s="361">
        <v>28096576</v>
      </c>
      <c r="B470" s="361" t="s">
        <v>5768</v>
      </c>
      <c r="C470" s="361" t="s">
        <v>5088</v>
      </c>
      <c r="D470" s="465"/>
      <c r="E470" s="361" t="s">
        <v>6142</v>
      </c>
      <c r="F470" s="435" t="s">
        <v>4620</v>
      </c>
      <c r="G470" s="430">
        <v>43335</v>
      </c>
      <c r="H470" s="435">
        <f t="shared" si="23"/>
        <v>6</v>
      </c>
      <c r="I470" s="361"/>
    </row>
    <row r="471" spans="1:9" s="364" customFormat="1">
      <c r="A471" s="361">
        <v>28096576</v>
      </c>
      <c r="B471" s="361" t="s">
        <v>5768</v>
      </c>
      <c r="C471" s="361" t="s">
        <v>5088</v>
      </c>
      <c r="D471" s="361"/>
      <c r="E471" s="361" t="s">
        <v>6143</v>
      </c>
      <c r="F471" s="435" t="s">
        <v>4620</v>
      </c>
      <c r="G471" s="430">
        <v>44356</v>
      </c>
      <c r="H471" s="435">
        <f t="shared" si="23"/>
        <v>3</v>
      </c>
      <c r="I471" s="361"/>
    </row>
    <row r="472" spans="1:9" s="364" customFormat="1">
      <c r="A472" s="360"/>
      <c r="B472" s="361"/>
      <c r="C472" s="361"/>
      <c r="D472" s="362"/>
      <c r="E472" s="361"/>
      <c r="F472" s="435"/>
      <c r="G472" s="430"/>
      <c r="H472" s="435"/>
      <c r="I472" s="361"/>
    </row>
    <row r="473" spans="1:9" s="364" customFormat="1" ht="15.75" thickBot="1">
      <c r="A473" s="360"/>
      <c r="B473" s="361"/>
      <c r="C473" s="361"/>
      <c r="D473" s="362"/>
      <c r="E473" s="361"/>
      <c r="F473" s="435"/>
      <c r="G473" s="430"/>
      <c r="H473" s="435"/>
      <c r="I473" s="361"/>
    </row>
    <row r="474" spans="1:9" ht="19.5" thickBot="1">
      <c r="C474" s="452" t="s">
        <v>5753</v>
      </c>
      <c r="D474" s="453">
        <f>SUM(D60:D473)</f>
        <v>207</v>
      </c>
      <c r="E474" s="1623">
        <f>+NOMINA!Z310-D474</f>
        <v>0</v>
      </c>
    </row>
    <row r="475" spans="1:9" s="364" customFormat="1" ht="15.75" thickBot="1">
      <c r="A475" s="356"/>
      <c r="D475" s="454"/>
      <c r="F475" s="447"/>
      <c r="G475" s="427"/>
      <c r="H475" s="447"/>
    </row>
    <row r="476" spans="1:9" ht="19.5" thickBot="1">
      <c r="A476" s="1778" t="s">
        <v>5754</v>
      </c>
      <c r="B476" s="1779"/>
      <c r="C476" s="1779"/>
      <c r="D476" s="1779"/>
      <c r="E476" s="1779"/>
      <c r="F476" s="1779"/>
      <c r="G476" s="1779"/>
      <c r="H476" s="1779"/>
      <c r="I476" s="1780"/>
    </row>
    <row r="478" spans="1:9">
      <c r="A478" s="432">
        <v>6902701</v>
      </c>
      <c r="B478" s="433" t="s">
        <v>4963</v>
      </c>
      <c r="C478" s="433" t="s">
        <v>5087</v>
      </c>
      <c r="D478" s="911">
        <v>1</v>
      </c>
      <c r="E478" s="433" t="s">
        <v>5775</v>
      </c>
      <c r="F478" s="436" t="s">
        <v>4620</v>
      </c>
      <c r="G478" s="434">
        <v>40983</v>
      </c>
      <c r="H478" s="436">
        <f t="shared" ref="H478" si="24">DATEDIF(G478,$G$6,"Y")</f>
        <v>12</v>
      </c>
      <c r="I478" s="433"/>
    </row>
    <row r="479" spans="1:9">
      <c r="A479" s="432"/>
      <c r="B479" s="433"/>
      <c r="C479" s="433"/>
      <c r="D479" s="911"/>
      <c r="E479" s="433"/>
      <c r="F479" s="436"/>
      <c r="G479" s="434"/>
      <c r="H479" s="436"/>
      <c r="I479" s="433"/>
    </row>
    <row r="480" spans="1:9">
      <c r="A480" s="432">
        <v>12044124</v>
      </c>
      <c r="B480" s="433" t="s">
        <v>5759</v>
      </c>
      <c r="C480" s="433" t="s">
        <v>5769</v>
      </c>
      <c r="D480" s="911">
        <v>0</v>
      </c>
      <c r="E480" s="433" t="s">
        <v>6083</v>
      </c>
      <c r="F480" s="436" t="s">
        <v>4621</v>
      </c>
      <c r="G480" s="434">
        <v>39032</v>
      </c>
      <c r="H480" s="436">
        <f t="shared" ref="H480" si="25">DATEDIF(G480,$G$6,"Y")</f>
        <v>18</v>
      </c>
      <c r="I480" s="433" t="s">
        <v>5797</v>
      </c>
    </row>
    <row r="481" spans="1:9">
      <c r="A481" s="432"/>
      <c r="B481" s="433"/>
      <c r="C481" s="433"/>
      <c r="D481" s="911"/>
      <c r="E481" s="433" t="s">
        <v>2904</v>
      </c>
      <c r="F481" s="436"/>
      <c r="G481" s="434"/>
      <c r="H481" s="436"/>
      <c r="I481" s="433"/>
    </row>
    <row r="482" spans="1:9">
      <c r="A482" s="432">
        <v>12044754</v>
      </c>
      <c r="B482" s="433" t="s">
        <v>4998</v>
      </c>
      <c r="C482" s="433" t="s">
        <v>5772</v>
      </c>
      <c r="D482" s="911">
        <v>0</v>
      </c>
      <c r="E482" s="433" t="s">
        <v>6084</v>
      </c>
      <c r="F482" s="436" t="s">
        <v>4620</v>
      </c>
      <c r="G482" s="434">
        <v>38002</v>
      </c>
      <c r="H482" s="436">
        <f>DATEDIF(G482,$G$6,"Y")</f>
        <v>21</v>
      </c>
      <c r="I482" s="433" t="s">
        <v>5797</v>
      </c>
    </row>
    <row r="483" spans="1:9">
      <c r="D483" s="912"/>
      <c r="E483" s="364"/>
    </row>
    <row r="484" spans="1:9">
      <c r="A484" s="432">
        <v>12046834</v>
      </c>
      <c r="B484" s="433" t="s">
        <v>5767</v>
      </c>
      <c r="C484" s="433" t="s">
        <v>3320</v>
      </c>
      <c r="D484" s="911">
        <v>1</v>
      </c>
      <c r="E484" s="433" t="s">
        <v>6090</v>
      </c>
      <c r="F484" s="436" t="s">
        <v>4620</v>
      </c>
      <c r="G484" s="434">
        <v>41103</v>
      </c>
      <c r="H484" s="436">
        <f t="shared" ref="H484:H485" si="26">DATEDIF(G484,$G$6,"Y")</f>
        <v>12</v>
      </c>
      <c r="I484" s="433"/>
    </row>
    <row r="485" spans="1:9">
      <c r="A485" s="432">
        <v>12046834</v>
      </c>
      <c r="B485" s="433" t="s">
        <v>5767</v>
      </c>
      <c r="C485" s="433" t="s">
        <v>3320</v>
      </c>
      <c r="D485" s="911"/>
      <c r="E485" s="433" t="s">
        <v>6091</v>
      </c>
      <c r="F485" s="436" t="s">
        <v>4620</v>
      </c>
      <c r="G485" s="434">
        <v>38118</v>
      </c>
      <c r="H485" s="436">
        <f t="shared" si="26"/>
        <v>20</v>
      </c>
      <c r="I485" s="433" t="s">
        <v>5797</v>
      </c>
    </row>
    <row r="486" spans="1:9">
      <c r="D486" s="912"/>
      <c r="E486" s="364"/>
    </row>
    <row r="487" spans="1:9">
      <c r="A487" s="432">
        <v>12047016</v>
      </c>
      <c r="B487" s="433" t="s">
        <v>5000</v>
      </c>
      <c r="C487" s="433" t="s">
        <v>5085</v>
      </c>
      <c r="D487" s="911">
        <v>1</v>
      </c>
      <c r="E487" s="433" t="s">
        <v>5778</v>
      </c>
      <c r="F487" s="436" t="s">
        <v>4620</v>
      </c>
      <c r="G487" s="434">
        <v>43021</v>
      </c>
      <c r="H487" s="436">
        <f t="shared" ref="H487" si="27">DATEDIF(G487,$G$6,"Y")</f>
        <v>7</v>
      </c>
      <c r="I487" s="433"/>
    </row>
    <row r="488" spans="1:9">
      <c r="A488" s="432"/>
      <c r="B488" s="433"/>
      <c r="C488" s="433"/>
      <c r="D488" s="911"/>
      <c r="E488" s="433" t="s">
        <v>2904</v>
      </c>
      <c r="F488" s="436"/>
      <c r="G488" s="434"/>
      <c r="H488" s="436"/>
      <c r="I488" s="433"/>
    </row>
    <row r="489" spans="1:9">
      <c r="A489" s="432">
        <v>12457325</v>
      </c>
      <c r="B489" s="433" t="s">
        <v>5001</v>
      </c>
      <c r="C489" s="433" t="s">
        <v>5769</v>
      </c>
      <c r="D489" s="911">
        <v>0</v>
      </c>
      <c r="E489" s="433" t="s">
        <v>6085</v>
      </c>
      <c r="F489" s="436" t="s">
        <v>4621</v>
      </c>
      <c r="G489" s="434">
        <v>38255</v>
      </c>
      <c r="H489" s="436">
        <f t="shared" ref="H489" si="28">DATEDIF(G489,$G$6,"Y")</f>
        <v>20</v>
      </c>
      <c r="I489" s="433" t="s">
        <v>5797</v>
      </c>
    </row>
    <row r="490" spans="1:9">
      <c r="A490" s="432"/>
      <c r="B490" s="433"/>
      <c r="C490" s="433"/>
      <c r="D490" s="911"/>
      <c r="E490" s="433" t="s">
        <v>2904</v>
      </c>
      <c r="F490" s="436"/>
      <c r="G490" s="434"/>
      <c r="H490" s="436"/>
      <c r="I490" s="433"/>
    </row>
    <row r="491" spans="1:9">
      <c r="A491" s="432">
        <v>12797543</v>
      </c>
      <c r="B491" s="433" t="s">
        <v>5765</v>
      </c>
      <c r="C491" s="433" t="s">
        <v>2511</v>
      </c>
      <c r="D491" s="911">
        <v>0</v>
      </c>
      <c r="E491" s="433" t="s">
        <v>6092</v>
      </c>
      <c r="F491" s="436" t="s">
        <v>4621</v>
      </c>
      <c r="G491" s="434">
        <v>37523</v>
      </c>
      <c r="H491" s="436">
        <f t="shared" ref="H491:H492" si="29">DATEDIF(G491,$G$6,"Y")</f>
        <v>22</v>
      </c>
      <c r="I491" s="433" t="s">
        <v>5797</v>
      </c>
    </row>
    <row r="492" spans="1:9">
      <c r="A492" s="432"/>
      <c r="B492" s="433"/>
      <c r="C492" s="433"/>
      <c r="D492" s="911"/>
      <c r="E492" s="433" t="s">
        <v>6093</v>
      </c>
      <c r="F492" s="436" t="s">
        <v>4621</v>
      </c>
      <c r="G492" s="434">
        <v>38546</v>
      </c>
      <c r="H492" s="436">
        <f t="shared" si="29"/>
        <v>19</v>
      </c>
      <c r="I492" s="433" t="s">
        <v>5797</v>
      </c>
    </row>
    <row r="493" spans="1:9" s="364" customFormat="1">
      <c r="A493" s="438"/>
      <c r="B493" s="439"/>
      <c r="C493" s="439"/>
      <c r="D493" s="913"/>
      <c r="E493" s="439" t="s">
        <v>2904</v>
      </c>
      <c r="F493" s="441"/>
      <c r="G493" s="440"/>
      <c r="H493" s="441"/>
      <c r="I493" s="439"/>
    </row>
    <row r="494" spans="1:9">
      <c r="A494" s="432">
        <v>12797598</v>
      </c>
      <c r="B494" s="433" t="s">
        <v>5003</v>
      </c>
      <c r="C494" s="433" t="s">
        <v>5092</v>
      </c>
      <c r="D494" s="911">
        <v>1</v>
      </c>
      <c r="E494" s="433" t="s">
        <v>6086</v>
      </c>
      <c r="F494" s="436" t="s">
        <v>4620</v>
      </c>
      <c r="G494" s="434">
        <v>41148</v>
      </c>
      <c r="H494" s="436">
        <f t="shared" ref="H494" si="30">DATEDIF(G494,$G$6,"Y")</f>
        <v>12</v>
      </c>
      <c r="I494" s="433"/>
    </row>
    <row r="495" spans="1:9" s="364" customFormat="1">
      <c r="A495" s="438"/>
      <c r="B495" s="439"/>
      <c r="C495" s="439"/>
      <c r="D495" s="913"/>
      <c r="E495" s="439" t="s">
        <v>2904</v>
      </c>
      <c r="F495" s="441"/>
      <c r="G495" s="440"/>
      <c r="H495" s="441"/>
      <c r="I495" s="439"/>
    </row>
    <row r="496" spans="1:9" s="364" customFormat="1">
      <c r="A496" s="432">
        <v>13376729</v>
      </c>
      <c r="B496" s="433" t="s">
        <v>5763</v>
      </c>
      <c r="C496" s="433" t="s">
        <v>2830</v>
      </c>
      <c r="D496" s="911">
        <v>1</v>
      </c>
      <c r="E496" s="433" t="s">
        <v>6087</v>
      </c>
      <c r="F496" s="436" t="s">
        <v>4620</v>
      </c>
      <c r="G496" s="434">
        <v>41867</v>
      </c>
      <c r="H496" s="436">
        <f t="shared" ref="H496" si="31">DATEDIF(G496,$G$6,"Y")</f>
        <v>10</v>
      </c>
      <c r="I496" s="433"/>
    </row>
    <row r="497" spans="1:9" s="364" customFormat="1">
      <c r="A497" s="438"/>
      <c r="B497" s="439"/>
      <c r="C497" s="439"/>
      <c r="D497" s="913"/>
      <c r="E497" s="439" t="s">
        <v>2904</v>
      </c>
      <c r="F497" s="441"/>
      <c r="G497" s="440"/>
      <c r="H497" s="441"/>
      <c r="I497" s="439"/>
    </row>
    <row r="498" spans="1:9" s="364" customFormat="1">
      <c r="A498" s="432">
        <v>13522771</v>
      </c>
      <c r="B498" s="433" t="s">
        <v>5007</v>
      </c>
      <c r="C498" s="433" t="s">
        <v>5088</v>
      </c>
      <c r="D498" s="911">
        <v>1</v>
      </c>
      <c r="E498" s="433" t="s">
        <v>6088</v>
      </c>
      <c r="F498" s="436" t="s">
        <v>4620</v>
      </c>
      <c r="G498" s="434">
        <v>41199</v>
      </c>
      <c r="H498" s="436">
        <f t="shared" ref="H498:H499" si="32">DATEDIF(G498,$G$6,"Y")</f>
        <v>12</v>
      </c>
      <c r="I498" s="433"/>
    </row>
    <row r="499" spans="1:9" s="364" customFormat="1">
      <c r="A499" s="432"/>
      <c r="B499" s="433"/>
      <c r="C499" s="433"/>
      <c r="D499" s="911"/>
      <c r="E499" s="433" t="s">
        <v>6089</v>
      </c>
      <c r="F499" s="436" t="s">
        <v>4620</v>
      </c>
      <c r="G499" s="434">
        <v>37827</v>
      </c>
      <c r="H499" s="436">
        <f t="shared" si="32"/>
        <v>21</v>
      </c>
      <c r="I499" s="433" t="s">
        <v>5752</v>
      </c>
    </row>
    <row r="500" spans="1:9" s="364" customFormat="1">
      <c r="A500" s="438"/>
      <c r="B500" s="439"/>
      <c r="C500" s="439"/>
      <c r="D500" s="913"/>
      <c r="E500" s="439"/>
      <c r="F500" s="441"/>
      <c r="G500" s="440"/>
      <c r="H500" s="441"/>
      <c r="I500" s="439"/>
    </row>
    <row r="501" spans="1:9" s="364" customFormat="1">
      <c r="A501" s="432">
        <v>13745328</v>
      </c>
      <c r="B501" s="433" t="s">
        <v>5008</v>
      </c>
      <c r="C501" s="433" t="s">
        <v>5084</v>
      </c>
      <c r="D501" s="911">
        <v>1</v>
      </c>
      <c r="E501" s="433" t="s">
        <v>6094</v>
      </c>
      <c r="F501" s="436" t="s">
        <v>4621</v>
      </c>
      <c r="G501" s="434">
        <v>39919</v>
      </c>
      <c r="H501" s="436">
        <f t="shared" ref="H501" si="33">DATEDIF(G501,$G$6,"Y")</f>
        <v>15</v>
      </c>
      <c r="I501" s="433"/>
    </row>
    <row r="502" spans="1:9" s="364" customFormat="1">
      <c r="A502" s="438"/>
      <c r="B502" s="439"/>
      <c r="C502" s="439"/>
      <c r="D502" s="913"/>
      <c r="E502" s="439"/>
      <c r="F502" s="441"/>
      <c r="G502" s="440"/>
      <c r="H502" s="441"/>
      <c r="I502" s="439"/>
    </row>
    <row r="503" spans="1:9" s="364" customFormat="1">
      <c r="A503" s="432">
        <v>13996661</v>
      </c>
      <c r="B503" s="433" t="s">
        <v>5009</v>
      </c>
      <c r="C503" s="433" t="s">
        <v>5084</v>
      </c>
      <c r="D503" s="911">
        <v>1</v>
      </c>
      <c r="E503" s="433" t="s">
        <v>5776</v>
      </c>
      <c r="F503" s="436" t="s">
        <v>4620</v>
      </c>
      <c r="G503" s="434">
        <v>40760</v>
      </c>
      <c r="H503" s="436">
        <f t="shared" ref="H503:H504" si="34">DATEDIF(G503,$G$6,"Y")</f>
        <v>13</v>
      </c>
      <c r="I503" s="433"/>
    </row>
    <row r="504" spans="1:9" s="364" customFormat="1">
      <c r="A504" s="432"/>
      <c r="B504" s="433"/>
      <c r="C504" s="433"/>
      <c r="D504" s="911"/>
      <c r="E504" s="433" t="s">
        <v>5777</v>
      </c>
      <c r="F504" s="436" t="s">
        <v>4620</v>
      </c>
      <c r="G504" s="434">
        <v>36733</v>
      </c>
      <c r="H504" s="436">
        <f t="shared" si="34"/>
        <v>24</v>
      </c>
      <c r="I504" s="433" t="s">
        <v>5752</v>
      </c>
    </row>
    <row r="505" spans="1:9" s="364" customFormat="1">
      <c r="A505" s="438"/>
      <c r="B505" s="439"/>
      <c r="C505" s="439"/>
      <c r="D505" s="913"/>
      <c r="E505" s="439"/>
      <c r="F505" s="441"/>
      <c r="G505" s="440"/>
      <c r="H505" s="441"/>
      <c r="I505" s="439"/>
    </row>
    <row r="506" spans="1:9" s="364" customFormat="1">
      <c r="A506" s="432">
        <v>14149971</v>
      </c>
      <c r="B506" s="433" t="s">
        <v>5756</v>
      </c>
      <c r="C506" s="433" t="s">
        <v>5770</v>
      </c>
      <c r="D506" s="911">
        <v>1</v>
      </c>
      <c r="E506" s="433" t="s">
        <v>6095</v>
      </c>
      <c r="F506" s="436" t="s">
        <v>4620</v>
      </c>
      <c r="G506" s="434">
        <v>39088</v>
      </c>
      <c r="H506" s="436">
        <f>DATEDIF(G506,$G$6,"Y")</f>
        <v>18</v>
      </c>
      <c r="I506" s="433"/>
    </row>
    <row r="507" spans="1:9" s="364" customFormat="1">
      <c r="A507" s="438"/>
      <c r="B507" s="439"/>
      <c r="C507" s="439"/>
      <c r="D507" s="913"/>
      <c r="E507" s="439" t="s">
        <v>2904</v>
      </c>
      <c r="F507" s="441"/>
      <c r="G507" s="440"/>
      <c r="H507" s="441"/>
      <c r="I507" s="439"/>
    </row>
    <row r="508" spans="1:9" s="364" customFormat="1">
      <c r="A508" s="432">
        <v>14150495</v>
      </c>
      <c r="B508" s="433" t="s">
        <v>5012</v>
      </c>
      <c r="C508" s="433" t="s">
        <v>5088</v>
      </c>
      <c r="D508" s="911">
        <v>0</v>
      </c>
      <c r="E508" s="433" t="s">
        <v>6096</v>
      </c>
      <c r="F508" s="436" t="s">
        <v>4621</v>
      </c>
      <c r="G508" s="434">
        <v>38137</v>
      </c>
      <c r="H508" s="436">
        <f>DATEDIF(G508,$G$6,"Y")</f>
        <v>20</v>
      </c>
      <c r="I508" s="433" t="s">
        <v>5752</v>
      </c>
    </row>
    <row r="509" spans="1:9" s="364" customFormat="1">
      <c r="A509" s="438"/>
      <c r="B509" s="439"/>
      <c r="C509" s="439"/>
      <c r="D509" s="913"/>
      <c r="E509" s="439" t="s">
        <v>2904</v>
      </c>
      <c r="F509" s="441"/>
      <c r="G509" s="440"/>
      <c r="H509" s="441"/>
      <c r="I509" s="439"/>
    </row>
    <row r="510" spans="1:9" s="364" customFormat="1">
      <c r="A510" s="432">
        <v>14718468</v>
      </c>
      <c r="B510" s="433" t="s">
        <v>5766</v>
      </c>
      <c r="C510" s="433" t="s">
        <v>2540</v>
      </c>
      <c r="D510" s="911">
        <v>1</v>
      </c>
      <c r="E510" s="433" t="s">
        <v>6098</v>
      </c>
      <c r="F510" s="436" t="s">
        <v>4620</v>
      </c>
      <c r="G510" s="434">
        <v>37733</v>
      </c>
      <c r="H510" s="436">
        <f t="shared" ref="H510:H511" si="35">DATEDIF(G510,$G$6,"Y")</f>
        <v>21</v>
      </c>
      <c r="I510" s="433" t="s">
        <v>5752</v>
      </c>
    </row>
    <row r="511" spans="1:9" s="364" customFormat="1">
      <c r="A511" s="432">
        <v>14718468</v>
      </c>
      <c r="B511" s="433" t="s">
        <v>5766</v>
      </c>
      <c r="C511" s="433" t="s">
        <v>2540</v>
      </c>
      <c r="D511" s="911"/>
      <c r="E511" s="433" t="s">
        <v>5738</v>
      </c>
      <c r="F511" s="436" t="s">
        <v>4620</v>
      </c>
      <c r="G511" s="434">
        <v>43719</v>
      </c>
      <c r="H511" s="436">
        <f t="shared" si="35"/>
        <v>5</v>
      </c>
      <c r="I511" s="433"/>
    </row>
    <row r="512" spans="1:9" s="364" customFormat="1">
      <c r="A512" s="438"/>
      <c r="B512" s="439"/>
      <c r="C512" s="439"/>
      <c r="D512" s="913"/>
      <c r="E512" s="439" t="s">
        <v>2904</v>
      </c>
      <c r="F512" s="441"/>
      <c r="G512" s="440"/>
      <c r="H512" s="441"/>
      <c r="I512" s="439"/>
    </row>
    <row r="513" spans="1:9" s="364" customFormat="1">
      <c r="A513" s="432">
        <v>14719205</v>
      </c>
      <c r="B513" s="433" t="s">
        <v>5758</v>
      </c>
      <c r="C513" s="433" t="s">
        <v>5769</v>
      </c>
      <c r="D513" s="911">
        <v>0</v>
      </c>
      <c r="E513" s="433" t="s">
        <v>6097</v>
      </c>
      <c r="F513" s="436" t="s">
        <v>4620</v>
      </c>
      <c r="G513" s="434">
        <v>38687</v>
      </c>
      <c r="H513" s="436">
        <f>DATEDIF(G513,$G$6,"Y")</f>
        <v>19</v>
      </c>
      <c r="I513" s="433" t="s">
        <v>5596</v>
      </c>
    </row>
    <row r="514" spans="1:9" s="364" customFormat="1">
      <c r="A514" s="438"/>
      <c r="B514" s="439"/>
      <c r="C514" s="439"/>
      <c r="D514" s="913"/>
      <c r="E514" s="439"/>
      <c r="F514" s="441"/>
      <c r="G514" s="440"/>
      <c r="H514" s="441"/>
      <c r="I514" s="439"/>
    </row>
    <row r="515" spans="1:9" s="364" customFormat="1">
      <c r="A515" s="432">
        <v>14719356</v>
      </c>
      <c r="B515" s="433" t="s">
        <v>5017</v>
      </c>
      <c r="C515" s="433" t="s">
        <v>5084</v>
      </c>
      <c r="D515" s="911">
        <v>2</v>
      </c>
      <c r="E515" s="433" t="s">
        <v>6104</v>
      </c>
      <c r="F515" s="436" t="s">
        <v>4621</v>
      </c>
      <c r="G515" s="434">
        <v>43133</v>
      </c>
      <c r="H515" s="436">
        <f t="shared" ref="H515:H517" si="36">DATEDIF(G515,$G$6,"Y")</f>
        <v>6</v>
      </c>
      <c r="I515" s="433"/>
    </row>
    <row r="516" spans="1:9" s="364" customFormat="1">
      <c r="A516" s="432">
        <v>14719356</v>
      </c>
      <c r="B516" s="433" t="s">
        <v>5017</v>
      </c>
      <c r="C516" s="433" t="s">
        <v>5084</v>
      </c>
      <c r="D516" s="911"/>
      <c r="E516" s="433" t="s">
        <v>6105</v>
      </c>
      <c r="F516" s="436" t="s">
        <v>4620</v>
      </c>
      <c r="G516" s="434">
        <v>42383</v>
      </c>
      <c r="H516" s="436">
        <f t="shared" si="36"/>
        <v>9</v>
      </c>
      <c r="I516" s="433"/>
    </row>
    <row r="517" spans="1:9" s="364" customFormat="1">
      <c r="A517" s="432">
        <v>14719356</v>
      </c>
      <c r="B517" s="433" t="s">
        <v>5017</v>
      </c>
      <c r="C517" s="433" t="s">
        <v>5084</v>
      </c>
      <c r="D517" s="911"/>
      <c r="E517" s="433" t="s">
        <v>6106</v>
      </c>
      <c r="F517" s="436" t="s">
        <v>4620</v>
      </c>
      <c r="G517" s="434">
        <v>40902</v>
      </c>
      <c r="H517" s="436">
        <f t="shared" si="36"/>
        <v>13</v>
      </c>
      <c r="I517" s="433"/>
    </row>
    <row r="518" spans="1:9" s="364" customFormat="1">
      <c r="A518" s="438"/>
      <c r="B518" s="439"/>
      <c r="C518" s="439"/>
      <c r="D518" s="913"/>
      <c r="E518" s="439" t="s">
        <v>2904</v>
      </c>
      <c r="F518" s="441"/>
      <c r="G518" s="440"/>
      <c r="H518" s="441"/>
      <c r="I518" s="439"/>
    </row>
    <row r="519" spans="1:9" s="364" customFormat="1">
      <c r="A519" s="924">
        <v>15042683</v>
      </c>
      <c r="B519" s="925" t="s">
        <v>5093</v>
      </c>
      <c r="C519" s="925" t="s">
        <v>5987</v>
      </c>
      <c r="D519" s="926">
        <v>1</v>
      </c>
      <c r="E519" s="925" t="s">
        <v>5988</v>
      </c>
      <c r="F519" s="436" t="s">
        <v>4621</v>
      </c>
      <c r="G519" s="434">
        <v>39661</v>
      </c>
      <c r="H519" s="436">
        <f t="shared" ref="H519" si="37">DATEDIF(G519,$G$6,"Y")</f>
        <v>16</v>
      </c>
      <c r="I519" s="925"/>
    </row>
    <row r="520" spans="1:9" s="364" customFormat="1">
      <c r="A520" s="924"/>
      <c r="B520" s="925"/>
      <c r="C520" s="925"/>
      <c r="D520" s="926"/>
      <c r="E520" s="925" t="s">
        <v>2904</v>
      </c>
      <c r="F520" s="927"/>
      <c r="G520" s="928"/>
      <c r="H520" s="927"/>
      <c r="I520" s="925"/>
    </row>
    <row r="521" spans="1:9" s="364" customFormat="1">
      <c r="A521" s="432">
        <v>15583194</v>
      </c>
      <c r="B521" s="433" t="s">
        <v>5021</v>
      </c>
      <c r="C521" s="433" t="s">
        <v>3320</v>
      </c>
      <c r="D521" s="911">
        <v>2</v>
      </c>
      <c r="E521" s="433" t="s">
        <v>5667</v>
      </c>
      <c r="F521" s="436" t="s">
        <v>4621</v>
      </c>
      <c r="G521" s="434">
        <v>39094</v>
      </c>
      <c r="H521" s="436">
        <f t="shared" ref="H521:H522" si="38">DATEDIF(G521,$G$6,"Y")</f>
        <v>18</v>
      </c>
      <c r="I521" s="433"/>
    </row>
    <row r="522" spans="1:9" s="364" customFormat="1">
      <c r="A522" s="432">
        <v>15583194</v>
      </c>
      <c r="B522" s="433" t="s">
        <v>5021</v>
      </c>
      <c r="C522" s="433" t="s">
        <v>3320</v>
      </c>
      <c r="D522" s="911"/>
      <c r="E522" s="433" t="s">
        <v>5668</v>
      </c>
      <c r="F522" s="436" t="s">
        <v>4620</v>
      </c>
      <c r="G522" s="434">
        <v>41283</v>
      </c>
      <c r="H522" s="436">
        <f t="shared" si="38"/>
        <v>12</v>
      </c>
      <c r="I522" s="433"/>
    </row>
    <row r="523" spans="1:9" s="364" customFormat="1">
      <c r="A523" s="438"/>
      <c r="B523" s="439"/>
      <c r="C523" s="439"/>
      <c r="D523" s="913"/>
      <c r="E523" s="439" t="s">
        <v>2904</v>
      </c>
      <c r="F523" s="441"/>
      <c r="G523" s="440"/>
      <c r="H523" s="441"/>
      <c r="I523" s="439"/>
    </row>
    <row r="524" spans="1:9" s="364" customFormat="1">
      <c r="A524" s="432">
        <v>15953703</v>
      </c>
      <c r="B524" s="433" t="s">
        <v>5761</v>
      </c>
      <c r="C524" s="433" t="s">
        <v>5769</v>
      </c>
      <c r="D524" s="911">
        <v>2</v>
      </c>
      <c r="E524" s="433" t="s">
        <v>6099</v>
      </c>
      <c r="F524" s="436" t="s">
        <v>4621</v>
      </c>
      <c r="G524" s="434">
        <v>43251</v>
      </c>
      <c r="H524" s="436">
        <f t="shared" ref="H524:H526" si="39">DATEDIF(G524,$G$6,"Y")</f>
        <v>6</v>
      </c>
      <c r="I524" s="433"/>
    </row>
    <row r="525" spans="1:9" s="364" customFormat="1">
      <c r="A525" s="432">
        <v>15953703</v>
      </c>
      <c r="B525" s="433" t="s">
        <v>5761</v>
      </c>
      <c r="C525" s="433" t="s">
        <v>5769</v>
      </c>
      <c r="D525" s="911"/>
      <c r="E525" s="433" t="s">
        <v>6100</v>
      </c>
      <c r="F525" s="436" t="s">
        <v>4620</v>
      </c>
      <c r="G525" s="434">
        <v>42244</v>
      </c>
      <c r="H525" s="436">
        <f t="shared" si="39"/>
        <v>9</v>
      </c>
      <c r="I525" s="433"/>
    </row>
    <row r="526" spans="1:9" s="364" customFormat="1">
      <c r="A526" s="432">
        <v>15953703</v>
      </c>
      <c r="B526" s="433" t="s">
        <v>5761</v>
      </c>
      <c r="C526" s="433" t="s">
        <v>5769</v>
      </c>
      <c r="D526" s="911"/>
      <c r="E526" s="433" t="s">
        <v>6101</v>
      </c>
      <c r="F526" s="436" t="s">
        <v>4620</v>
      </c>
      <c r="G526" s="434">
        <v>40520</v>
      </c>
      <c r="H526" s="436">
        <f t="shared" si="39"/>
        <v>14</v>
      </c>
      <c r="I526" s="433"/>
    </row>
    <row r="527" spans="1:9" s="364" customFormat="1">
      <c r="A527" s="438"/>
      <c r="B527" s="439"/>
      <c r="C527" s="439"/>
      <c r="D527" s="913"/>
      <c r="E527" s="439" t="s">
        <v>2904</v>
      </c>
      <c r="F527" s="441"/>
      <c r="G527" s="440"/>
      <c r="H527" s="441"/>
      <c r="I527" s="439"/>
    </row>
    <row r="528" spans="1:9" s="364" customFormat="1">
      <c r="A528" s="432">
        <v>16266801</v>
      </c>
      <c r="B528" s="433" t="s">
        <v>5762</v>
      </c>
      <c r="C528" s="433" t="s">
        <v>5771</v>
      </c>
      <c r="D528" s="911">
        <v>1</v>
      </c>
      <c r="E528" s="433" t="s">
        <v>6102</v>
      </c>
      <c r="F528" s="436" t="s">
        <v>4621</v>
      </c>
      <c r="G528" s="434">
        <v>38167</v>
      </c>
      <c r="H528" s="436">
        <f t="shared" ref="H528:H529" si="40">DATEDIF(G528,$G$6,"Y")</f>
        <v>20</v>
      </c>
      <c r="I528" s="433" t="s">
        <v>5752</v>
      </c>
    </row>
    <row r="529" spans="1:9" s="364" customFormat="1">
      <c r="A529" s="432">
        <v>16266801</v>
      </c>
      <c r="B529" s="433" t="s">
        <v>5762</v>
      </c>
      <c r="C529" s="433" t="s">
        <v>5771</v>
      </c>
      <c r="D529" s="911"/>
      <c r="E529" s="433" t="s">
        <v>6103</v>
      </c>
      <c r="F529" s="436" t="s">
        <v>4620</v>
      </c>
      <c r="G529" s="434">
        <v>42055</v>
      </c>
      <c r="H529" s="436">
        <f t="shared" si="40"/>
        <v>9</v>
      </c>
      <c r="I529" s="433"/>
    </row>
    <row r="530" spans="1:9" s="364" customFormat="1">
      <c r="A530" s="438"/>
      <c r="B530" s="439"/>
      <c r="C530" s="439"/>
      <c r="D530" s="913"/>
      <c r="E530" s="439"/>
      <c r="F530" s="441"/>
      <c r="G530" s="440"/>
      <c r="H530" s="441"/>
      <c r="I530" s="439"/>
    </row>
    <row r="531" spans="1:9" s="364" customFormat="1">
      <c r="A531" s="432">
        <v>16739958</v>
      </c>
      <c r="B531" s="433" t="s">
        <v>5082</v>
      </c>
      <c r="C531" s="433" t="s">
        <v>5097</v>
      </c>
      <c r="D531" s="911">
        <v>2</v>
      </c>
      <c r="E531" s="433" t="s">
        <v>6107</v>
      </c>
      <c r="F531" s="436" t="s">
        <v>4620</v>
      </c>
      <c r="G531" s="434">
        <v>40955</v>
      </c>
      <c r="H531" s="436">
        <f t="shared" ref="H531:H533" si="41">DATEDIF(G531,$G$6,"Y")</f>
        <v>12</v>
      </c>
      <c r="I531" s="433"/>
    </row>
    <row r="532" spans="1:9" s="364" customFormat="1">
      <c r="A532" s="432">
        <v>16739958</v>
      </c>
      <c r="B532" s="433" t="s">
        <v>5082</v>
      </c>
      <c r="C532" s="433" t="s">
        <v>5097</v>
      </c>
      <c r="D532" s="911"/>
      <c r="E532" s="433" t="s">
        <v>6108</v>
      </c>
      <c r="F532" s="436" t="s">
        <v>4621</v>
      </c>
      <c r="G532" s="434">
        <v>38346</v>
      </c>
      <c r="H532" s="436">
        <f t="shared" si="41"/>
        <v>20</v>
      </c>
      <c r="I532" s="433" t="s">
        <v>5752</v>
      </c>
    </row>
    <row r="533" spans="1:9" s="364" customFormat="1">
      <c r="A533" s="432">
        <v>16739958</v>
      </c>
      <c r="B533" s="433" t="s">
        <v>5082</v>
      </c>
      <c r="C533" s="433" t="s">
        <v>5097</v>
      </c>
      <c r="D533" s="911"/>
      <c r="E533" s="433" t="s">
        <v>6109</v>
      </c>
      <c r="F533" s="436" t="s">
        <v>4620</v>
      </c>
      <c r="G533" s="434">
        <v>40384</v>
      </c>
      <c r="H533" s="436">
        <f t="shared" si="41"/>
        <v>14</v>
      </c>
      <c r="I533" s="433"/>
    </row>
    <row r="534" spans="1:9" s="364" customFormat="1">
      <c r="A534" s="438"/>
      <c r="B534" s="439"/>
      <c r="C534" s="439"/>
      <c r="D534" s="913"/>
      <c r="E534" s="439" t="s">
        <v>2904</v>
      </c>
      <c r="F534" s="441"/>
      <c r="G534" s="440"/>
      <c r="H534" s="441"/>
      <c r="I534" s="439"/>
    </row>
    <row r="535" spans="1:9" s="364" customFormat="1">
      <c r="A535" s="432">
        <v>16881526</v>
      </c>
      <c r="B535" s="433" t="s">
        <v>5026</v>
      </c>
      <c r="C535" s="433" t="s">
        <v>5093</v>
      </c>
      <c r="D535" s="911">
        <v>2</v>
      </c>
      <c r="E535" s="433" t="s">
        <v>6110</v>
      </c>
      <c r="F535" s="436" t="s">
        <v>4620</v>
      </c>
      <c r="G535" s="434">
        <v>39127</v>
      </c>
      <c r="H535" s="436">
        <f t="shared" ref="H535:H537" si="42">DATEDIF(G535,$G$6,"Y")</f>
        <v>17</v>
      </c>
      <c r="I535" s="433"/>
    </row>
    <row r="536" spans="1:9" s="364" customFormat="1">
      <c r="A536" s="432">
        <v>16739958</v>
      </c>
      <c r="B536" s="433" t="s">
        <v>5026</v>
      </c>
      <c r="C536" s="433" t="s">
        <v>5093</v>
      </c>
      <c r="D536" s="911"/>
      <c r="E536" s="433" t="s">
        <v>6111</v>
      </c>
      <c r="F536" s="436" t="s">
        <v>4620</v>
      </c>
      <c r="G536" s="434">
        <v>41142</v>
      </c>
      <c r="H536" s="436">
        <f t="shared" si="42"/>
        <v>12</v>
      </c>
      <c r="I536" s="433"/>
    </row>
    <row r="537" spans="1:9" s="364" customFormat="1">
      <c r="A537" s="432">
        <v>16739958</v>
      </c>
      <c r="B537" s="433" t="s">
        <v>5026</v>
      </c>
      <c r="C537" s="433" t="s">
        <v>5093</v>
      </c>
      <c r="D537" s="913"/>
      <c r="E537" s="433" t="s">
        <v>6112</v>
      </c>
      <c r="F537" s="436" t="s">
        <v>4620</v>
      </c>
      <c r="G537" s="440">
        <v>45077</v>
      </c>
      <c r="H537" s="436">
        <f t="shared" si="42"/>
        <v>1</v>
      </c>
      <c r="I537" s="439"/>
    </row>
    <row r="538" spans="1:9" s="364" customFormat="1">
      <c r="A538" s="438"/>
      <c r="B538" s="439"/>
      <c r="C538" s="439"/>
      <c r="D538" s="913"/>
      <c r="E538" s="439" t="s">
        <v>2904</v>
      </c>
      <c r="F538" s="441"/>
      <c r="G538" s="440"/>
      <c r="H538" s="441"/>
      <c r="I538" s="439"/>
    </row>
    <row r="539" spans="1:9" s="364" customFormat="1">
      <c r="A539" s="432">
        <v>17093567</v>
      </c>
      <c r="B539" s="433" t="s">
        <v>5760</v>
      </c>
      <c r="C539" s="433" t="s">
        <v>5769</v>
      </c>
      <c r="D539" s="911">
        <v>0</v>
      </c>
      <c r="E539" s="433" t="s">
        <v>6113</v>
      </c>
      <c r="F539" s="436" t="s">
        <v>4621</v>
      </c>
      <c r="G539" s="434">
        <v>38291</v>
      </c>
      <c r="H539" s="436">
        <f t="shared" ref="H539:H540" si="43">DATEDIF(G539,$G$6,"Y")</f>
        <v>20</v>
      </c>
      <c r="I539" s="433" t="s">
        <v>5752</v>
      </c>
    </row>
    <row r="540" spans="1:9" s="364" customFormat="1">
      <c r="A540" s="432">
        <v>17093567</v>
      </c>
      <c r="B540" s="433" t="s">
        <v>5760</v>
      </c>
      <c r="C540" s="433" t="s">
        <v>5769</v>
      </c>
      <c r="D540" s="911"/>
      <c r="E540" s="433" t="s">
        <v>6114</v>
      </c>
      <c r="F540" s="436" t="s">
        <v>4620</v>
      </c>
      <c r="G540" s="434">
        <v>38886</v>
      </c>
      <c r="H540" s="436">
        <f t="shared" si="43"/>
        <v>18</v>
      </c>
      <c r="I540" s="433" t="s">
        <v>5752</v>
      </c>
    </row>
    <row r="541" spans="1:9" s="364" customFormat="1">
      <c r="A541" s="438"/>
      <c r="B541" s="439"/>
      <c r="C541" s="439"/>
      <c r="D541" s="913"/>
      <c r="E541" s="439"/>
      <c r="F541" s="441"/>
      <c r="G541" s="440"/>
      <c r="H541" s="441"/>
      <c r="I541" s="439"/>
    </row>
    <row r="542" spans="1:9" s="364" customFormat="1">
      <c r="A542" s="432">
        <v>17095084</v>
      </c>
      <c r="B542" s="433" t="s">
        <v>5028</v>
      </c>
      <c r="C542" s="433" t="s">
        <v>5085</v>
      </c>
      <c r="D542" s="911">
        <v>2</v>
      </c>
      <c r="E542" s="433" t="s">
        <v>6121</v>
      </c>
      <c r="F542" s="436" t="s">
        <v>4621</v>
      </c>
      <c r="G542" s="434">
        <v>39294</v>
      </c>
      <c r="H542" s="436">
        <f t="shared" ref="H542:H546" si="44">DATEDIF(G542,$G$6,"Y")</f>
        <v>17</v>
      </c>
      <c r="I542" s="433"/>
    </row>
    <row r="543" spans="1:9" s="364" customFormat="1">
      <c r="A543" s="432">
        <v>17095084</v>
      </c>
      <c r="B543" s="433" t="s">
        <v>5028</v>
      </c>
      <c r="C543" s="433" t="s">
        <v>5085</v>
      </c>
      <c r="D543" s="911"/>
      <c r="E543" s="433" t="s">
        <v>6122</v>
      </c>
      <c r="F543" s="436" t="s">
        <v>4620</v>
      </c>
      <c r="G543" s="434">
        <v>40106</v>
      </c>
      <c r="H543" s="436">
        <f t="shared" si="44"/>
        <v>15</v>
      </c>
      <c r="I543" s="433"/>
    </row>
    <row r="544" spans="1:9" s="364" customFormat="1">
      <c r="A544" s="432">
        <v>17095084</v>
      </c>
      <c r="B544" s="433" t="s">
        <v>5028</v>
      </c>
      <c r="C544" s="433" t="s">
        <v>5085</v>
      </c>
      <c r="D544" s="911"/>
      <c r="E544" s="433" t="s">
        <v>6123</v>
      </c>
      <c r="F544" s="436" t="s">
        <v>4620</v>
      </c>
      <c r="G544" s="434">
        <v>38730</v>
      </c>
      <c r="H544" s="436">
        <f t="shared" si="44"/>
        <v>19</v>
      </c>
      <c r="I544" s="433" t="s">
        <v>5752</v>
      </c>
    </row>
    <row r="545" spans="1:9" s="364" customFormat="1">
      <c r="A545" s="432">
        <v>17095084</v>
      </c>
      <c r="B545" s="433" t="s">
        <v>5028</v>
      </c>
      <c r="C545" s="433" t="s">
        <v>5085</v>
      </c>
      <c r="D545" s="911"/>
      <c r="E545" s="433" t="s">
        <v>6124</v>
      </c>
      <c r="F545" s="436" t="s">
        <v>4620</v>
      </c>
      <c r="G545" s="434">
        <v>42916</v>
      </c>
      <c r="H545" s="436">
        <f t="shared" si="44"/>
        <v>7</v>
      </c>
      <c r="I545" s="433"/>
    </row>
    <row r="546" spans="1:9" s="364" customFormat="1">
      <c r="A546" s="432">
        <v>17095084</v>
      </c>
      <c r="B546" s="433" t="s">
        <v>5028</v>
      </c>
      <c r="C546" s="433" t="s">
        <v>5085</v>
      </c>
      <c r="D546" s="911"/>
      <c r="E546" s="433" t="s">
        <v>6125</v>
      </c>
      <c r="F546" s="436" t="s">
        <v>4621</v>
      </c>
      <c r="G546" s="434">
        <v>41154</v>
      </c>
      <c r="H546" s="436">
        <f t="shared" si="44"/>
        <v>12</v>
      </c>
      <c r="I546" s="433"/>
    </row>
    <row r="547" spans="1:9" s="364" customFormat="1">
      <c r="A547" s="438"/>
      <c r="B547" s="439"/>
      <c r="C547" s="439"/>
      <c r="D547" s="913"/>
      <c r="E547" s="439" t="s">
        <v>2904</v>
      </c>
      <c r="F547" s="441"/>
      <c r="G547" s="440"/>
      <c r="H547" s="441"/>
      <c r="I547" s="439"/>
    </row>
    <row r="548" spans="1:9" s="364" customFormat="1">
      <c r="A548" s="432">
        <v>17267546</v>
      </c>
      <c r="B548" s="433" t="s">
        <v>5083</v>
      </c>
      <c r="C548" s="433" t="s">
        <v>5084</v>
      </c>
      <c r="D548" s="911">
        <v>1</v>
      </c>
      <c r="E548" s="433" t="s">
        <v>6115</v>
      </c>
      <c r="F548" s="436" t="s">
        <v>4620</v>
      </c>
      <c r="G548" s="434">
        <v>38681</v>
      </c>
      <c r="H548" s="436">
        <f t="shared" ref="H548:H552" si="45">DATEDIF(G548,$G$6,"Y")</f>
        <v>19</v>
      </c>
      <c r="I548" s="433" t="s">
        <v>5596</v>
      </c>
    </row>
    <row r="549" spans="1:9" s="364" customFormat="1">
      <c r="A549" s="432"/>
      <c r="B549" s="433"/>
      <c r="C549" s="433"/>
      <c r="D549" s="911"/>
      <c r="E549" s="433" t="s">
        <v>6116</v>
      </c>
      <c r="F549" s="436" t="s">
        <v>4621</v>
      </c>
      <c r="G549" s="434">
        <v>39991</v>
      </c>
      <c r="H549" s="436">
        <f t="shared" si="45"/>
        <v>15</v>
      </c>
      <c r="I549" s="433"/>
    </row>
    <row r="550" spans="1:9" s="364" customFormat="1">
      <c r="A550" s="1322"/>
      <c r="B550" s="1169"/>
      <c r="C550" s="1169"/>
      <c r="D550" s="1170"/>
      <c r="E550" s="1169"/>
      <c r="F550" s="1202"/>
      <c r="G550" s="1171"/>
      <c r="H550" s="1202"/>
      <c r="I550" s="1169"/>
    </row>
    <row r="551" spans="1:9" s="364" customFormat="1">
      <c r="A551" s="1322">
        <v>18096032</v>
      </c>
      <c r="B551" s="1169" t="s">
        <v>6891</v>
      </c>
      <c r="C551" s="1169" t="s">
        <v>5095</v>
      </c>
      <c r="D551" s="1170">
        <v>2</v>
      </c>
      <c r="E551" s="1169" t="s">
        <v>6894</v>
      </c>
      <c r="F551" s="1202" t="s">
        <v>4620</v>
      </c>
      <c r="G551" s="1171">
        <v>39553</v>
      </c>
      <c r="H551" s="436">
        <f t="shared" si="45"/>
        <v>16</v>
      </c>
      <c r="I551" s="1169"/>
    </row>
    <row r="552" spans="1:9" s="364" customFormat="1">
      <c r="A552" s="1322">
        <v>18096032</v>
      </c>
      <c r="B552" s="1169" t="s">
        <v>6891</v>
      </c>
      <c r="C552" s="1169"/>
      <c r="D552" s="1170"/>
      <c r="E552" s="1169" t="s">
        <v>6895</v>
      </c>
      <c r="F552" s="1202" t="s">
        <v>4621</v>
      </c>
      <c r="G552" s="1171">
        <v>41824</v>
      </c>
      <c r="H552" s="436">
        <f t="shared" si="45"/>
        <v>10</v>
      </c>
      <c r="I552" s="1169"/>
    </row>
    <row r="553" spans="1:9" s="364" customFormat="1">
      <c r="A553" s="438"/>
      <c r="B553" s="439"/>
      <c r="C553" s="439"/>
      <c r="D553" s="913"/>
      <c r="E553" s="439" t="s">
        <v>2904</v>
      </c>
      <c r="F553" s="441"/>
      <c r="G553" s="440"/>
      <c r="H553" s="441"/>
      <c r="I553" s="439"/>
    </row>
    <row r="554" spans="1:9" s="364" customFormat="1">
      <c r="A554" s="432">
        <v>18096338</v>
      </c>
      <c r="B554" s="433" t="s">
        <v>5755</v>
      </c>
      <c r="C554" s="433" t="s">
        <v>5769</v>
      </c>
      <c r="D554" s="911">
        <v>1</v>
      </c>
      <c r="E554" s="433" t="s">
        <v>6117</v>
      </c>
      <c r="F554" s="436" t="s">
        <v>4620</v>
      </c>
      <c r="G554" s="434">
        <v>38021</v>
      </c>
      <c r="H554" s="436">
        <f>DATEDIF(G554,$G$6,"Y")</f>
        <v>20</v>
      </c>
      <c r="I554" s="433" t="s">
        <v>5752</v>
      </c>
    </row>
    <row r="555" spans="1:9" s="364" customFormat="1">
      <c r="A555" s="432"/>
      <c r="B555" s="433"/>
      <c r="C555" s="433"/>
      <c r="D555" s="911"/>
      <c r="E555" s="433" t="s">
        <v>6118</v>
      </c>
      <c r="F555" s="436" t="s">
        <v>4620</v>
      </c>
      <c r="G555" s="434">
        <v>38875</v>
      </c>
      <c r="H555" s="436">
        <f>DATEDIF(G555,$G$6,"Y")</f>
        <v>18</v>
      </c>
      <c r="I555" s="433" t="s">
        <v>5752</v>
      </c>
    </row>
    <row r="556" spans="1:9" s="364" customFormat="1">
      <c r="A556" s="432"/>
      <c r="B556" s="433"/>
      <c r="C556" s="433"/>
      <c r="D556" s="911"/>
      <c r="E556" s="433" t="s">
        <v>6119</v>
      </c>
      <c r="F556" s="436" t="s">
        <v>4620</v>
      </c>
      <c r="G556" s="434">
        <v>39836</v>
      </c>
      <c r="H556" s="436">
        <f>DATEDIF(G556,$G$6,"Y")</f>
        <v>16</v>
      </c>
      <c r="I556" s="433"/>
    </row>
    <row r="557" spans="1:9" s="364" customFormat="1">
      <c r="A557" s="438"/>
      <c r="B557" s="439"/>
      <c r="C557" s="439"/>
      <c r="D557" s="913"/>
      <c r="E557" s="439" t="s">
        <v>2904</v>
      </c>
      <c r="F557" s="441"/>
      <c r="G557" s="440"/>
      <c r="H557" s="441"/>
      <c r="I557" s="439"/>
    </row>
    <row r="558" spans="1:9" s="364" customFormat="1">
      <c r="A558" s="432">
        <v>18350780</v>
      </c>
      <c r="B558" s="433" t="s">
        <v>5764</v>
      </c>
      <c r="C558" s="433" t="s">
        <v>5769</v>
      </c>
      <c r="D558" s="911">
        <v>1</v>
      </c>
      <c r="E558" s="433" t="s">
        <v>6120</v>
      </c>
      <c r="F558" s="436" t="s">
        <v>4620</v>
      </c>
      <c r="G558" s="434">
        <v>43212</v>
      </c>
      <c r="H558" s="436">
        <f>DATEDIF(G558,$G$6,"Y")</f>
        <v>6</v>
      </c>
      <c r="I558" s="433"/>
    </row>
    <row r="559" spans="1:9" s="364" customFormat="1">
      <c r="A559" s="438"/>
      <c r="B559" s="439"/>
      <c r="C559" s="439"/>
      <c r="D559" s="913"/>
      <c r="E559" s="439"/>
      <c r="F559" s="441"/>
      <c r="G559" s="440"/>
      <c r="H559" s="441"/>
      <c r="I559" s="439"/>
    </row>
    <row r="560" spans="1:9" s="364" customFormat="1">
      <c r="A560" s="432">
        <v>18456167</v>
      </c>
      <c r="B560" s="433" t="s">
        <v>5033</v>
      </c>
      <c r="C560" s="433" t="s">
        <v>5773</v>
      </c>
      <c r="D560" s="911">
        <v>2</v>
      </c>
      <c r="E560" s="433" t="s">
        <v>5774</v>
      </c>
      <c r="F560" s="436" t="s">
        <v>4621</v>
      </c>
      <c r="G560" s="434">
        <v>39502</v>
      </c>
      <c r="H560" s="436">
        <f t="shared" ref="H560:H561" si="46">DATEDIF(G560,$G$6,"Y")</f>
        <v>16</v>
      </c>
      <c r="I560" s="433"/>
    </row>
    <row r="561" spans="1:9" s="364" customFormat="1">
      <c r="A561" s="432">
        <v>18456167</v>
      </c>
      <c r="B561" s="433" t="s">
        <v>5033</v>
      </c>
      <c r="C561" s="433" t="s">
        <v>5773</v>
      </c>
      <c r="D561" s="911"/>
      <c r="E561" s="433" t="s">
        <v>6126</v>
      </c>
      <c r="F561" s="436" t="s">
        <v>4620</v>
      </c>
      <c r="G561" s="434">
        <v>43733</v>
      </c>
      <c r="H561" s="436">
        <f t="shared" si="46"/>
        <v>5</v>
      </c>
      <c r="I561" s="433"/>
    </row>
    <row r="562" spans="1:9" s="364" customFormat="1">
      <c r="A562" s="432"/>
      <c r="B562" s="433"/>
      <c r="C562" s="433"/>
      <c r="D562" s="911"/>
      <c r="E562" s="433"/>
      <c r="F562" s="436"/>
      <c r="G562" s="434"/>
      <c r="H562" s="436"/>
      <c r="I562" s="433"/>
    </row>
    <row r="563" spans="1:9" s="364" customFormat="1">
      <c r="A563" s="432">
        <v>18456576</v>
      </c>
      <c r="B563" s="433" t="s">
        <v>4862</v>
      </c>
      <c r="C563" s="433" t="s">
        <v>5240</v>
      </c>
      <c r="D563" s="911">
        <v>2</v>
      </c>
      <c r="E563" s="433" t="s">
        <v>6061</v>
      </c>
      <c r="F563" s="436" t="s">
        <v>4621</v>
      </c>
      <c r="G563" s="434">
        <v>42282</v>
      </c>
      <c r="H563" s="436">
        <f t="shared" ref="H563:H565" si="47">DATEDIF(G563,$G$6,"Y")</f>
        <v>9</v>
      </c>
      <c r="I563" s="434"/>
    </row>
    <row r="564" spans="1:9" s="364" customFormat="1">
      <c r="A564" s="432">
        <v>18456576</v>
      </c>
      <c r="B564" s="433" t="s">
        <v>4862</v>
      </c>
      <c r="C564" s="433"/>
      <c r="D564" s="911"/>
      <c r="E564" s="433" t="s">
        <v>6062</v>
      </c>
      <c r="F564" s="436" t="s">
        <v>4620</v>
      </c>
      <c r="G564" s="434">
        <v>38818</v>
      </c>
      <c r="H564" s="436">
        <f t="shared" si="47"/>
        <v>18</v>
      </c>
      <c r="I564" s="434" t="s">
        <v>5797</v>
      </c>
    </row>
    <row r="565" spans="1:9" s="364" customFormat="1">
      <c r="A565" s="432">
        <v>18456576</v>
      </c>
      <c r="B565" s="433" t="s">
        <v>4862</v>
      </c>
      <c r="C565" s="433"/>
      <c r="D565" s="911"/>
      <c r="E565" s="433" t="s">
        <v>6063</v>
      </c>
      <c r="F565" s="436" t="s">
        <v>4620</v>
      </c>
      <c r="G565" s="434">
        <v>40159</v>
      </c>
      <c r="H565" s="436">
        <f t="shared" si="47"/>
        <v>15</v>
      </c>
      <c r="I565" s="434"/>
    </row>
    <row r="566" spans="1:9" s="364" customFormat="1">
      <c r="A566" s="438"/>
      <c r="B566" s="439"/>
      <c r="C566" s="439"/>
      <c r="D566" s="913"/>
      <c r="E566" s="439"/>
      <c r="F566" s="441"/>
      <c r="G566" s="440"/>
      <c r="H566" s="441"/>
      <c r="I566" s="439"/>
    </row>
    <row r="567" spans="1:9" s="364" customFormat="1">
      <c r="A567" s="432">
        <v>20039961</v>
      </c>
      <c r="B567" s="433" t="s">
        <v>5757</v>
      </c>
      <c r="C567" s="433" t="s">
        <v>5770</v>
      </c>
      <c r="D567" s="911">
        <v>2</v>
      </c>
      <c r="E567" s="433" t="s">
        <v>6127</v>
      </c>
      <c r="F567" s="436" t="s">
        <v>4620</v>
      </c>
      <c r="G567" s="434">
        <v>40378</v>
      </c>
      <c r="H567" s="436">
        <f t="shared" ref="H567:H568" si="48">DATEDIF(G567,$G$6,"Y")</f>
        <v>14</v>
      </c>
      <c r="I567" s="433"/>
    </row>
    <row r="568" spans="1:9" s="364" customFormat="1">
      <c r="A568" s="432">
        <v>20039961</v>
      </c>
      <c r="B568" s="433" t="s">
        <v>5757</v>
      </c>
      <c r="C568" s="433" t="s">
        <v>5770</v>
      </c>
      <c r="D568" s="911"/>
      <c r="E568" s="433" t="s">
        <v>6128</v>
      </c>
      <c r="F568" s="436" t="s">
        <v>4620</v>
      </c>
      <c r="G568" s="434">
        <v>39636</v>
      </c>
      <c r="H568" s="436">
        <f t="shared" si="48"/>
        <v>16</v>
      </c>
      <c r="I568" s="433"/>
    </row>
    <row r="569" spans="1:9" s="364" customFormat="1">
      <c r="A569" s="432"/>
      <c r="B569" s="433"/>
      <c r="C569" s="433"/>
      <c r="D569" s="911"/>
      <c r="E569" s="433" t="s">
        <v>2904</v>
      </c>
      <c r="F569" s="436"/>
      <c r="G569" s="434"/>
      <c r="H569" s="436"/>
      <c r="I569" s="433"/>
    </row>
    <row r="570" spans="1:9" s="364" customFormat="1">
      <c r="A570" s="432">
        <v>20040649</v>
      </c>
      <c r="B570" s="433" t="s">
        <v>5036</v>
      </c>
      <c r="C570" s="433" t="s">
        <v>2619</v>
      </c>
      <c r="D570" s="911">
        <v>2</v>
      </c>
      <c r="E570" s="433" t="s">
        <v>6132</v>
      </c>
      <c r="F570" s="436" t="s">
        <v>4620</v>
      </c>
      <c r="G570" s="434">
        <v>42379</v>
      </c>
      <c r="H570" s="436">
        <f t="shared" ref="H570:H574" si="49">DATEDIF(G570,$G$6,"Y")</f>
        <v>9</v>
      </c>
      <c r="I570" s="433"/>
    </row>
    <row r="571" spans="1:9" s="364" customFormat="1">
      <c r="A571" s="432">
        <v>20040649</v>
      </c>
      <c r="B571" s="433" t="s">
        <v>5036</v>
      </c>
      <c r="C571" s="433" t="s">
        <v>2619</v>
      </c>
      <c r="D571" s="911"/>
      <c r="E571" s="433" t="s">
        <v>6133</v>
      </c>
      <c r="F571" s="436" t="s">
        <v>4621</v>
      </c>
      <c r="G571" s="434">
        <v>41894</v>
      </c>
      <c r="H571" s="436">
        <f t="shared" si="49"/>
        <v>10</v>
      </c>
      <c r="I571" s="433"/>
    </row>
    <row r="572" spans="1:9" s="364" customFormat="1">
      <c r="A572" s="432">
        <v>20040649</v>
      </c>
      <c r="B572" s="433" t="s">
        <v>5036</v>
      </c>
      <c r="C572" s="433" t="s">
        <v>2619</v>
      </c>
      <c r="D572" s="911"/>
      <c r="E572" s="433" t="s">
        <v>6134</v>
      </c>
      <c r="F572" s="436" t="s">
        <v>4621</v>
      </c>
      <c r="G572" s="434">
        <v>41803</v>
      </c>
      <c r="H572" s="436">
        <f t="shared" si="49"/>
        <v>10</v>
      </c>
      <c r="I572" s="433"/>
    </row>
    <row r="573" spans="1:9" s="364" customFormat="1">
      <c r="A573" s="432">
        <v>20040649</v>
      </c>
      <c r="B573" s="433" t="s">
        <v>5036</v>
      </c>
      <c r="C573" s="433" t="s">
        <v>2619</v>
      </c>
      <c r="D573" s="911"/>
      <c r="E573" s="433" t="s">
        <v>6135</v>
      </c>
      <c r="F573" s="436" t="s">
        <v>4620</v>
      </c>
      <c r="G573" s="434">
        <v>43027</v>
      </c>
      <c r="H573" s="436">
        <f t="shared" si="49"/>
        <v>7</v>
      </c>
      <c r="I573" s="433"/>
    </row>
    <row r="574" spans="1:9" s="364" customFormat="1">
      <c r="A574" s="432">
        <v>20040649</v>
      </c>
      <c r="B574" s="433" t="s">
        <v>5036</v>
      </c>
      <c r="C574" s="433" t="s">
        <v>2619</v>
      </c>
      <c r="D574" s="911"/>
      <c r="E574" s="433" t="s">
        <v>6136</v>
      </c>
      <c r="F574" s="436" t="s">
        <v>4620</v>
      </c>
      <c r="G574" s="434">
        <v>44434</v>
      </c>
      <c r="H574" s="436">
        <f t="shared" si="49"/>
        <v>3</v>
      </c>
      <c r="I574" s="433"/>
    </row>
    <row r="575" spans="1:9" s="364" customFormat="1">
      <c r="A575" s="438"/>
      <c r="B575" s="439"/>
      <c r="C575" s="439"/>
      <c r="D575" s="913"/>
      <c r="E575" s="439" t="s">
        <v>2904</v>
      </c>
      <c r="F575" s="441"/>
      <c r="G575" s="440"/>
      <c r="H575" s="441"/>
      <c r="I575" s="439"/>
    </row>
    <row r="576" spans="1:9" s="364" customFormat="1">
      <c r="A576" s="432">
        <v>21366579</v>
      </c>
      <c r="B576" s="433" t="s">
        <v>5037</v>
      </c>
      <c r="C576" s="433" t="s">
        <v>5087</v>
      </c>
      <c r="D576" s="911">
        <v>1</v>
      </c>
      <c r="E576" s="433" t="s">
        <v>6129</v>
      </c>
      <c r="F576" s="436" t="s">
        <v>4620</v>
      </c>
      <c r="G576" s="434">
        <v>44804</v>
      </c>
      <c r="H576" s="436">
        <f>DATEDIF(G576,$G$6,"Y")</f>
        <v>2</v>
      </c>
      <c r="I576" s="433"/>
    </row>
    <row r="577" spans="1:9" s="364" customFormat="1">
      <c r="A577" s="432"/>
      <c r="B577" s="433"/>
      <c r="C577" s="433"/>
      <c r="D577" s="911"/>
      <c r="E577" s="433"/>
      <c r="F577" s="436"/>
      <c r="G577" s="434"/>
      <c r="H577" s="436"/>
      <c r="I577" s="433"/>
    </row>
    <row r="578" spans="1:9" s="364" customFormat="1">
      <c r="A578" s="432">
        <v>23594381</v>
      </c>
      <c r="B578" s="433" t="s">
        <v>6908</v>
      </c>
      <c r="C578" s="1040" t="s">
        <v>5084</v>
      </c>
      <c r="D578" s="911">
        <v>1</v>
      </c>
      <c r="E578" s="433" t="s">
        <v>7441</v>
      </c>
      <c r="F578" s="436" t="s">
        <v>4620</v>
      </c>
      <c r="G578" s="434">
        <v>45632</v>
      </c>
      <c r="H578" s="436">
        <f>DATEDIF(G578,$G$6,"Y")</f>
        <v>0</v>
      </c>
      <c r="I578" s="433"/>
    </row>
    <row r="579" spans="1:9" s="364" customFormat="1">
      <c r="A579" s="438"/>
      <c r="B579" s="439"/>
      <c r="C579" s="439"/>
      <c r="D579" s="913"/>
      <c r="E579" s="439" t="s">
        <v>2904</v>
      </c>
      <c r="F579" s="441"/>
      <c r="G579" s="440"/>
      <c r="H579" s="441"/>
      <c r="I579" s="439"/>
    </row>
    <row r="580" spans="1:9" s="364" customFormat="1">
      <c r="A580" s="432">
        <v>25173228</v>
      </c>
      <c r="B580" s="433" t="s">
        <v>5039</v>
      </c>
      <c r="C580" s="433" t="s">
        <v>5084</v>
      </c>
      <c r="D580" s="911">
        <v>2</v>
      </c>
      <c r="E580" s="433" t="s">
        <v>6130</v>
      </c>
      <c r="F580" s="436" t="s">
        <v>4621</v>
      </c>
      <c r="G580" s="434">
        <v>42580</v>
      </c>
      <c r="H580" s="436">
        <f t="shared" ref="H580:H581" si="50">DATEDIF(G580,$G$6,"Y")</f>
        <v>8</v>
      </c>
      <c r="I580" s="433"/>
    </row>
    <row r="581" spans="1:9" s="364" customFormat="1">
      <c r="A581" s="432">
        <v>25173228</v>
      </c>
      <c r="B581" s="433" t="s">
        <v>5039</v>
      </c>
      <c r="C581" s="433" t="s">
        <v>5084</v>
      </c>
      <c r="D581" s="911"/>
      <c r="E581" s="433" t="s">
        <v>6131</v>
      </c>
      <c r="F581" s="436" t="s">
        <v>4620</v>
      </c>
      <c r="G581" s="434">
        <v>42946</v>
      </c>
      <c r="H581" s="436">
        <f t="shared" si="50"/>
        <v>7</v>
      </c>
      <c r="I581" s="433"/>
    </row>
    <row r="582" spans="1:9" s="364" customFormat="1">
      <c r="A582" s="438"/>
      <c r="B582" s="439"/>
      <c r="C582" s="439"/>
      <c r="D582" s="913"/>
      <c r="E582" s="439"/>
      <c r="F582" s="441"/>
      <c r="G582" s="440"/>
      <c r="H582" s="441"/>
      <c r="I582" s="439"/>
    </row>
    <row r="583" spans="1:9" s="364" customFormat="1">
      <c r="A583" s="432">
        <v>25919888</v>
      </c>
      <c r="B583" s="433" t="s">
        <v>5041</v>
      </c>
      <c r="C583" s="433" t="s">
        <v>5088</v>
      </c>
      <c r="D583" s="911">
        <v>2</v>
      </c>
      <c r="E583" s="444" t="s">
        <v>6137</v>
      </c>
      <c r="F583" s="436" t="s">
        <v>4620</v>
      </c>
      <c r="G583" s="434">
        <v>43342</v>
      </c>
      <c r="H583" s="436">
        <f t="shared" ref="H583:H585" si="51">DATEDIF(G583,$G$6,"Y")</f>
        <v>6</v>
      </c>
      <c r="I583" s="433"/>
    </row>
    <row r="584" spans="1:9" s="364" customFormat="1">
      <c r="A584" s="432">
        <v>25919888</v>
      </c>
      <c r="B584" s="433" t="s">
        <v>5041</v>
      </c>
      <c r="C584" s="433" t="s">
        <v>5088</v>
      </c>
      <c r="D584" s="911"/>
      <c r="E584" s="444" t="s">
        <v>6138</v>
      </c>
      <c r="F584" s="436" t="s">
        <v>4620</v>
      </c>
      <c r="G584" s="434">
        <v>42410</v>
      </c>
      <c r="H584" s="436">
        <f t="shared" si="51"/>
        <v>8</v>
      </c>
      <c r="I584" s="433"/>
    </row>
    <row r="585" spans="1:9" s="364" customFormat="1">
      <c r="A585" s="432">
        <v>25919888</v>
      </c>
      <c r="B585" s="433" t="s">
        <v>5041</v>
      </c>
      <c r="C585" s="433" t="s">
        <v>5088</v>
      </c>
      <c r="D585" s="911"/>
      <c r="E585" s="444" t="s">
        <v>6139</v>
      </c>
      <c r="F585" s="436" t="s">
        <v>4621</v>
      </c>
      <c r="G585" s="434">
        <v>41793</v>
      </c>
      <c r="H585" s="436">
        <f t="shared" si="51"/>
        <v>10</v>
      </c>
      <c r="I585" s="433"/>
    </row>
    <row r="586" spans="1:9" s="364" customFormat="1">
      <c r="A586" s="1322"/>
      <c r="B586" s="1169"/>
      <c r="C586" s="1169"/>
      <c r="D586" s="1170"/>
      <c r="E586" s="1553"/>
      <c r="F586" s="1202"/>
      <c r="G586" s="1171"/>
      <c r="H586" s="1202"/>
      <c r="I586" s="1169"/>
    </row>
    <row r="587" spans="1:9" s="364" customFormat="1">
      <c r="A587" s="1322">
        <v>26235670</v>
      </c>
      <c r="B587" s="1169" t="s">
        <v>6911</v>
      </c>
      <c r="C587" s="433" t="s">
        <v>5084</v>
      </c>
      <c r="D587" s="1170">
        <v>1</v>
      </c>
      <c r="E587" s="1553" t="s">
        <v>6913</v>
      </c>
      <c r="F587" s="436" t="s">
        <v>4621</v>
      </c>
      <c r="G587" s="434">
        <v>44583</v>
      </c>
      <c r="H587" s="436">
        <f t="shared" ref="H587" si="52">DATEDIF(G587,$G$6,"Y")</f>
        <v>3</v>
      </c>
      <c r="I587" s="1169"/>
    </row>
    <row r="588" spans="1:9" s="364" customFormat="1">
      <c r="A588" s="438"/>
      <c r="B588" s="439"/>
      <c r="C588" s="439"/>
      <c r="D588" s="913"/>
      <c r="E588" s="445"/>
      <c r="F588" s="441"/>
      <c r="G588" s="440"/>
      <c r="H588" s="441"/>
      <c r="I588" s="439"/>
    </row>
    <row r="589" spans="1:9" s="364" customFormat="1">
      <c r="A589" s="432">
        <v>27470077</v>
      </c>
      <c r="B589" s="433" t="s">
        <v>5043</v>
      </c>
      <c r="C589" s="433" t="s">
        <v>5088</v>
      </c>
      <c r="D589" s="911">
        <v>1</v>
      </c>
      <c r="E589" s="433" t="s">
        <v>6140</v>
      </c>
      <c r="F589" s="436" t="s">
        <v>4620</v>
      </c>
      <c r="G589" s="434">
        <v>43194</v>
      </c>
      <c r="H589" s="436">
        <f>DATEDIF(G589,$G$6,"Y")</f>
        <v>6</v>
      </c>
      <c r="I589" s="433"/>
    </row>
    <row r="590" spans="1:9" s="364" customFormat="1">
      <c r="A590" s="438"/>
      <c r="B590" s="439"/>
      <c r="C590" s="439"/>
      <c r="D590" s="913"/>
      <c r="E590" s="439"/>
      <c r="F590" s="441"/>
      <c r="G590" s="440"/>
      <c r="H590" s="441"/>
      <c r="I590" s="439"/>
    </row>
    <row r="591" spans="1:9" ht="15.75" thickBot="1"/>
    <row r="592" spans="1:9" ht="15.75" thickBot="1">
      <c r="C592" s="426" t="s">
        <v>5779</v>
      </c>
      <c r="D592" s="437">
        <f>+SUM(D478:D591)</f>
        <v>45</v>
      </c>
      <c r="E592" s="1623">
        <f>+NOMINA!Z404-D592</f>
        <v>0</v>
      </c>
    </row>
    <row r="595" spans="3:5" ht="21">
      <c r="C595" s="460" t="s">
        <v>5793</v>
      </c>
      <c r="D595" s="461">
        <f>+D592+D474+D57+D12</f>
        <v>266</v>
      </c>
      <c r="E595" s="1623">
        <f>+NOMINA!Z407-D595</f>
        <v>0</v>
      </c>
    </row>
  </sheetData>
  <mergeCells count="9">
    <mergeCell ref="A476:I476"/>
    <mergeCell ref="H7:I8"/>
    <mergeCell ref="B1:E1"/>
    <mergeCell ref="B2:F2"/>
    <mergeCell ref="B3:F3"/>
    <mergeCell ref="B4:F4"/>
    <mergeCell ref="B7:B8"/>
    <mergeCell ref="C7:C8"/>
    <mergeCell ref="F7:F8"/>
  </mergeCells>
  <dataValidations disablePrompts="1" count="1">
    <dataValidation type="list" allowBlank="1" showInputMessage="1" showErrorMessage="1" sqref="C578">
      <formula1>Obrero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3">
    <tabColor rgb="FFFFFF00"/>
  </sheetPr>
  <dimension ref="A1:I331"/>
  <sheetViews>
    <sheetView topLeftCell="A7" zoomScale="90" zoomScaleNormal="90" workbookViewId="0">
      <pane ySplit="795" topLeftCell="A283" activePane="bottomLeft"/>
      <selection activeCell="C1" sqref="C1:C1048576"/>
      <selection pane="bottomLeft" activeCell="A193" sqref="A193"/>
    </sheetView>
  </sheetViews>
  <sheetFormatPr baseColWidth="10" defaultRowHeight="15"/>
  <cols>
    <col min="1" max="1" width="11.42578125" style="356"/>
    <col min="2" max="2" width="43.140625" style="364" customWidth="1"/>
    <col min="3" max="3" width="35" style="364" customWidth="1"/>
    <col min="4" max="4" width="10.5703125" style="1597" customWidth="1"/>
    <col min="5" max="5" width="43.85546875" style="364" customWidth="1"/>
    <col min="6" max="6" width="11.42578125" style="1596"/>
    <col min="7" max="7" width="13.7109375" style="427" customWidth="1"/>
    <col min="8" max="8" width="11.42578125" style="1596"/>
    <col min="9" max="9" width="16.42578125" style="364" customWidth="1"/>
    <col min="10" max="16384" width="11.42578125" style="364"/>
  </cols>
  <sheetData>
    <row r="1" spans="1:9">
      <c r="B1" s="1785" t="s">
        <v>5743</v>
      </c>
      <c r="C1" s="1785"/>
      <c r="D1" s="1785"/>
      <c r="E1" s="1785"/>
    </row>
    <row r="2" spans="1:9">
      <c r="B2" s="1786" t="s">
        <v>5567</v>
      </c>
      <c r="C2" s="1786"/>
      <c r="D2" s="1786"/>
      <c r="E2" s="1786"/>
      <c r="F2" s="1786"/>
    </row>
    <row r="3" spans="1:9">
      <c r="B3" s="1786" t="s">
        <v>5568</v>
      </c>
      <c r="C3" s="1786"/>
      <c r="D3" s="1786"/>
      <c r="E3" s="1786"/>
      <c r="F3" s="1786"/>
    </row>
    <row r="4" spans="1:9">
      <c r="B4" s="1786" t="s">
        <v>5569</v>
      </c>
      <c r="C4" s="1786"/>
      <c r="D4" s="1786"/>
      <c r="E4" s="1786"/>
      <c r="F4" s="1786"/>
    </row>
    <row r="6" spans="1:9">
      <c r="G6" s="427">
        <f>+NOMINA!H10</f>
        <v>45688</v>
      </c>
    </row>
    <row r="7" spans="1:9">
      <c r="A7" s="357" t="s">
        <v>5570</v>
      </c>
      <c r="B7" s="1787" t="s">
        <v>5578</v>
      </c>
      <c r="C7" s="1787" t="s">
        <v>5577</v>
      </c>
      <c r="D7" s="446" t="s">
        <v>5571</v>
      </c>
      <c r="E7" s="355" t="s">
        <v>5572</v>
      </c>
      <c r="F7" s="1787" t="s">
        <v>5573</v>
      </c>
      <c r="G7" s="428" t="s">
        <v>5574</v>
      </c>
      <c r="H7" s="1781" t="s">
        <v>5575</v>
      </c>
      <c r="I7" s="1782"/>
    </row>
    <row r="8" spans="1:9">
      <c r="A8" s="358" t="s">
        <v>5576</v>
      </c>
      <c r="B8" s="1788"/>
      <c r="C8" s="1788"/>
      <c r="D8" s="455" t="s">
        <v>4612</v>
      </c>
      <c r="E8" s="359" t="s">
        <v>5578</v>
      </c>
      <c r="F8" s="1788"/>
      <c r="G8" s="429" t="s">
        <v>5579</v>
      </c>
      <c r="H8" s="1783"/>
      <c r="I8" s="1784"/>
    </row>
    <row r="9" spans="1:9">
      <c r="A9" s="448" t="s">
        <v>5516</v>
      </c>
      <c r="B9" s="450"/>
      <c r="C9" s="371"/>
      <c r="D9" s="457"/>
      <c r="E9" s="371"/>
      <c r="F9" s="442"/>
      <c r="G9" s="431"/>
      <c r="H9" s="442"/>
      <c r="I9" s="371"/>
    </row>
    <row r="10" spans="1:9">
      <c r="A10" s="370"/>
      <c r="B10" s="459"/>
      <c r="C10" s="371"/>
      <c r="D10" s="457"/>
      <c r="E10" s="371"/>
      <c r="F10" s="442"/>
      <c r="G10" s="431"/>
      <c r="H10" s="442"/>
      <c r="I10" s="371"/>
    </row>
    <row r="11" spans="1:9">
      <c r="A11" s="360">
        <v>21592108</v>
      </c>
      <c r="B11" s="376" t="s">
        <v>5739</v>
      </c>
      <c r="C11" s="361" t="s">
        <v>5740</v>
      </c>
      <c r="D11" s="465">
        <v>1</v>
      </c>
      <c r="E11" s="361" t="s">
        <v>5741</v>
      </c>
      <c r="F11" s="435" t="s">
        <v>4620</v>
      </c>
      <c r="G11" s="430">
        <v>42224</v>
      </c>
      <c r="H11" s="435">
        <f>DATEDIF(G11,$G$6,"Y")</f>
        <v>9</v>
      </c>
      <c r="I11" s="361"/>
    </row>
    <row r="12" spans="1:9">
      <c r="A12" s="903"/>
      <c r="B12" s="904"/>
      <c r="C12" s="905"/>
      <c r="D12" s="906"/>
      <c r="E12" s="905"/>
      <c r="F12" s="907"/>
      <c r="G12" s="908"/>
      <c r="H12" s="907"/>
      <c r="I12" s="905"/>
    </row>
    <row r="13" spans="1:9">
      <c r="A13" s="360">
        <v>18457406</v>
      </c>
      <c r="B13" s="376" t="s">
        <v>5727</v>
      </c>
      <c r="C13" s="361"/>
      <c r="D13" s="465">
        <v>1</v>
      </c>
      <c r="E13" s="361" t="s">
        <v>5685</v>
      </c>
      <c r="F13" s="435" t="s">
        <v>4620</v>
      </c>
      <c r="G13" s="430">
        <v>41659</v>
      </c>
      <c r="H13" s="435">
        <f>DATEDIF(G13,$G$6,"Y")</f>
        <v>11</v>
      </c>
      <c r="I13" s="361"/>
    </row>
    <row r="14" spans="1:9">
      <c r="A14" s="903"/>
      <c r="B14" s="904"/>
      <c r="C14" s="905"/>
      <c r="D14" s="906"/>
      <c r="E14" s="905"/>
      <c r="F14" s="907"/>
      <c r="G14" s="908"/>
      <c r="H14" s="907"/>
      <c r="I14" s="905"/>
    </row>
    <row r="15" spans="1:9">
      <c r="A15" s="370">
        <v>13568733</v>
      </c>
      <c r="B15" s="459" t="s">
        <v>4685</v>
      </c>
      <c r="C15" s="371"/>
      <c r="D15" s="457">
        <v>1</v>
      </c>
      <c r="E15" s="371" t="s">
        <v>6025</v>
      </c>
      <c r="F15" s="435" t="s">
        <v>4620</v>
      </c>
      <c r="G15" s="431">
        <v>41229</v>
      </c>
      <c r="H15" s="435">
        <f>DATEDIF(G15,$G$6,"Y")</f>
        <v>12</v>
      </c>
      <c r="I15" s="371"/>
    </row>
    <row r="16" spans="1:9">
      <c r="A16" s="903"/>
      <c r="B16" s="904"/>
      <c r="C16" s="905"/>
      <c r="D16" s="906"/>
      <c r="E16" s="905"/>
      <c r="F16" s="907"/>
      <c r="G16" s="908"/>
      <c r="H16" s="907"/>
      <c r="I16" s="905"/>
    </row>
    <row r="17" spans="1:9">
      <c r="A17" s="360">
        <v>15752183</v>
      </c>
      <c r="B17" s="376" t="s">
        <v>5724</v>
      </c>
      <c r="C17" s="361"/>
      <c r="D17" s="465">
        <v>1</v>
      </c>
      <c r="E17" s="361" t="s">
        <v>5726</v>
      </c>
      <c r="F17" s="435" t="s">
        <v>4621</v>
      </c>
      <c r="G17" s="430">
        <v>42488</v>
      </c>
      <c r="H17" s="435">
        <f>DATEDIF(G17,$G$6,"Y")</f>
        <v>8</v>
      </c>
      <c r="I17" s="361"/>
    </row>
    <row r="18" spans="1:9">
      <c r="A18" s="1164"/>
      <c r="B18" s="1328"/>
      <c r="C18" s="1165"/>
      <c r="D18" s="1166"/>
      <c r="E18" s="1165"/>
      <c r="F18" s="1167"/>
      <c r="G18" s="1168"/>
      <c r="H18" s="1167"/>
      <c r="I18" s="1165"/>
    </row>
    <row r="19" spans="1:9">
      <c r="A19" s="360">
        <v>13896239</v>
      </c>
      <c r="B19" s="361" t="s">
        <v>4688</v>
      </c>
      <c r="C19" s="361"/>
      <c r="D19" s="465">
        <v>1</v>
      </c>
      <c r="E19" s="361" t="s">
        <v>5738</v>
      </c>
      <c r="F19" s="435" t="s">
        <v>4620</v>
      </c>
      <c r="G19" s="430">
        <v>43719</v>
      </c>
      <c r="H19" s="435">
        <f>DATEDIF(G19,$G$6,"Y")</f>
        <v>5</v>
      </c>
      <c r="I19" s="361"/>
    </row>
    <row r="20" spans="1:9">
      <c r="A20" s="903"/>
      <c r="B20" s="904"/>
      <c r="C20" s="905"/>
      <c r="D20" s="906"/>
      <c r="E20" s="905"/>
      <c r="F20" s="907"/>
      <c r="G20" s="908"/>
      <c r="H20" s="907"/>
      <c r="I20" s="905"/>
    </row>
    <row r="21" spans="1:9">
      <c r="A21" s="360">
        <v>20790947</v>
      </c>
      <c r="B21" s="376" t="s">
        <v>4686</v>
      </c>
      <c r="C21" s="361" t="s">
        <v>5050</v>
      </c>
      <c r="D21" s="909">
        <v>1</v>
      </c>
      <c r="E21" s="361" t="s">
        <v>5742</v>
      </c>
      <c r="F21" s="442" t="s">
        <v>4620</v>
      </c>
      <c r="G21" s="430">
        <v>43853</v>
      </c>
      <c r="H21" s="435">
        <f>DATEDIF(G21,$G$6,"Y")</f>
        <v>5</v>
      </c>
      <c r="I21" s="371"/>
    </row>
    <row r="22" spans="1:9">
      <c r="A22" s="1164"/>
      <c r="B22" s="1328"/>
      <c r="C22" s="1165"/>
      <c r="D22" s="1166"/>
      <c r="E22" s="1165"/>
      <c r="F22" s="1167"/>
      <c r="G22" s="1168"/>
      <c r="H22" s="1167"/>
      <c r="I22" s="1165"/>
    </row>
    <row r="23" spans="1:9">
      <c r="A23" s="370"/>
      <c r="B23" s="371"/>
      <c r="C23" s="371"/>
      <c r="D23" s="457"/>
      <c r="E23" s="371"/>
      <c r="F23" s="442"/>
      <c r="G23" s="431"/>
      <c r="H23" s="442"/>
      <c r="I23" s="371"/>
    </row>
    <row r="24" spans="1:9" ht="18.75">
      <c r="A24" s="370"/>
      <c r="B24" s="371"/>
      <c r="C24" s="462" t="s">
        <v>5791</v>
      </c>
      <c r="D24" s="451">
        <f>+SUM(D10:D23)</f>
        <v>6</v>
      </c>
      <c r="E24" s="450"/>
      <c r="F24" s="463"/>
      <c r="G24" s="464"/>
      <c r="H24" s="463"/>
      <c r="I24" s="450"/>
    </row>
    <row r="25" spans="1:9">
      <c r="A25" s="370"/>
      <c r="B25" s="371"/>
      <c r="C25" s="371"/>
      <c r="D25" s="457"/>
      <c r="E25" s="371"/>
      <c r="F25" s="442"/>
      <c r="G25" s="431"/>
      <c r="H25" s="442"/>
      <c r="I25" s="371"/>
    </row>
    <row r="26" spans="1:9">
      <c r="A26" s="448" t="s">
        <v>5054</v>
      </c>
      <c r="B26" s="450"/>
      <c r="C26" s="371"/>
      <c r="D26" s="457"/>
      <c r="E26" s="371"/>
      <c r="F26" s="442"/>
      <c r="G26" s="431"/>
      <c r="H26" s="442"/>
      <c r="I26" s="371"/>
    </row>
    <row r="27" spans="1:9">
      <c r="A27" s="370"/>
      <c r="B27" s="371"/>
      <c r="C27" s="371"/>
      <c r="D27" s="457"/>
      <c r="E27" s="371"/>
      <c r="F27" s="442"/>
      <c r="G27" s="431"/>
      <c r="H27" s="442"/>
      <c r="I27" s="371"/>
    </row>
    <row r="28" spans="1:9">
      <c r="A28" s="1013">
        <v>8266170</v>
      </c>
      <c r="B28" s="1014" t="s">
        <v>4938</v>
      </c>
      <c r="C28" s="361" t="s">
        <v>5222</v>
      </c>
      <c r="D28" s="1015">
        <v>1</v>
      </c>
      <c r="E28" s="1014" t="s">
        <v>6010</v>
      </c>
      <c r="F28" s="435" t="s">
        <v>4621</v>
      </c>
      <c r="G28" s="1017">
        <v>41630</v>
      </c>
      <c r="H28" s="435">
        <f>DATEDIF(G28,$G$6,"Y")</f>
        <v>11</v>
      </c>
      <c r="I28" s="1014"/>
    </row>
    <row r="29" spans="1:9">
      <c r="A29" s="1013"/>
      <c r="B29" s="1014"/>
      <c r="C29" s="1014"/>
      <c r="D29" s="1015"/>
      <c r="E29" s="1014"/>
      <c r="F29" s="1016"/>
      <c r="G29" s="1017"/>
      <c r="H29" s="1016"/>
      <c r="I29" s="1014"/>
    </row>
    <row r="30" spans="1:9">
      <c r="A30" s="360">
        <v>10906923</v>
      </c>
      <c r="B30" s="361" t="s">
        <v>4727</v>
      </c>
      <c r="C30" s="361" t="s">
        <v>5222</v>
      </c>
      <c r="D30" s="465">
        <v>1</v>
      </c>
      <c r="E30" s="361" t="s">
        <v>6026</v>
      </c>
      <c r="F30" s="435" t="s">
        <v>4621</v>
      </c>
      <c r="G30" s="430">
        <v>41261</v>
      </c>
      <c r="H30" s="435">
        <f>DATEDIF(G30,$G$6,"Y")</f>
        <v>12</v>
      </c>
      <c r="I30" s="361"/>
    </row>
    <row r="31" spans="1:9">
      <c r="A31" s="360"/>
      <c r="B31" s="361"/>
      <c r="C31" s="361"/>
      <c r="D31" s="465"/>
      <c r="E31" s="361" t="s">
        <v>2904</v>
      </c>
      <c r="F31" s="435"/>
      <c r="G31" s="430"/>
      <c r="H31" s="435"/>
      <c r="I31" s="361"/>
    </row>
    <row r="32" spans="1:9">
      <c r="A32" s="360"/>
      <c r="B32" s="361"/>
      <c r="C32" s="361"/>
      <c r="D32" s="465"/>
      <c r="E32" s="361" t="s">
        <v>2904</v>
      </c>
      <c r="F32" s="435"/>
      <c r="G32" s="430"/>
      <c r="H32" s="435"/>
      <c r="I32" s="361"/>
    </row>
    <row r="33" spans="1:9">
      <c r="A33" s="370">
        <v>11128954</v>
      </c>
      <c r="B33" s="371" t="s">
        <v>5792</v>
      </c>
      <c r="C33" s="371" t="s">
        <v>3618</v>
      </c>
      <c r="D33" s="909">
        <v>1</v>
      </c>
      <c r="E33" s="371" t="s">
        <v>5799</v>
      </c>
      <c r="F33" s="435" t="s">
        <v>4620</v>
      </c>
      <c r="G33" s="430">
        <v>41771</v>
      </c>
      <c r="H33" s="435">
        <f>DATEDIF(G33,$G$6,"Y")</f>
        <v>10</v>
      </c>
      <c r="I33" s="371"/>
    </row>
    <row r="34" spans="1:9">
      <c r="A34" s="1164"/>
      <c r="B34" s="1165"/>
      <c r="C34" s="1165"/>
      <c r="D34" s="1166"/>
      <c r="E34" s="1165" t="s">
        <v>2904</v>
      </c>
      <c r="F34" s="1167"/>
      <c r="G34" s="1168"/>
      <c r="H34" s="1167"/>
      <c r="I34" s="1165"/>
    </row>
    <row r="35" spans="1:9">
      <c r="A35" s="360">
        <v>12457981</v>
      </c>
      <c r="B35" s="361" t="s">
        <v>4757</v>
      </c>
      <c r="C35" s="361" t="s">
        <v>5245</v>
      </c>
      <c r="D35" s="465">
        <v>1</v>
      </c>
      <c r="E35" s="361" t="s">
        <v>5591</v>
      </c>
      <c r="F35" s="435" t="s">
        <v>4621</v>
      </c>
      <c r="G35" s="430">
        <v>41661</v>
      </c>
      <c r="H35" s="435">
        <f>DATEDIF(G35,$G$6,"Y")</f>
        <v>11</v>
      </c>
      <c r="I35" s="361"/>
    </row>
    <row r="36" spans="1:9">
      <c r="A36" s="360"/>
      <c r="B36" s="361"/>
      <c r="C36" s="361"/>
      <c r="D36" s="465"/>
      <c r="E36" s="361"/>
      <c r="F36" s="435"/>
      <c r="G36" s="430"/>
      <c r="H36" s="435"/>
      <c r="I36" s="361"/>
    </row>
    <row r="37" spans="1:9">
      <c r="A37" s="360">
        <v>12798736</v>
      </c>
      <c r="B37" s="361" t="s">
        <v>4762</v>
      </c>
      <c r="C37" s="361" t="s">
        <v>5248</v>
      </c>
      <c r="D37" s="465">
        <v>1</v>
      </c>
      <c r="E37" s="361" t="s">
        <v>5594</v>
      </c>
      <c r="F37" s="435" t="s">
        <v>4620</v>
      </c>
      <c r="G37" s="430">
        <v>41108</v>
      </c>
      <c r="H37" s="435">
        <f>DATEDIF(G37,$G$6,"Y")</f>
        <v>12</v>
      </c>
      <c r="I37" s="361"/>
    </row>
    <row r="38" spans="1:9">
      <c r="A38" s="360"/>
      <c r="B38" s="361"/>
      <c r="C38" s="361"/>
      <c r="D38" s="465"/>
      <c r="E38" s="361"/>
      <c r="F38" s="435"/>
      <c r="G38" s="430"/>
      <c r="H38" s="435"/>
      <c r="I38" s="361"/>
    </row>
    <row r="39" spans="1:9">
      <c r="A39" s="360">
        <v>13522518</v>
      </c>
      <c r="B39" s="361" t="s">
        <v>4773</v>
      </c>
      <c r="C39" s="361"/>
      <c r="D39" s="465">
        <v>1</v>
      </c>
      <c r="E39" s="361" t="s">
        <v>5606</v>
      </c>
      <c r="F39" s="435" t="s">
        <v>4620</v>
      </c>
      <c r="G39" s="430">
        <v>42671</v>
      </c>
      <c r="H39" s="435">
        <f>DATEDIF(G39,$G$6,"Y")</f>
        <v>8</v>
      </c>
      <c r="I39" s="361"/>
    </row>
    <row r="40" spans="1:9">
      <c r="A40" s="360"/>
      <c r="B40" s="361"/>
      <c r="C40" s="361"/>
      <c r="D40" s="465"/>
      <c r="E40" s="361"/>
      <c r="F40" s="435"/>
      <c r="G40" s="430"/>
      <c r="H40" s="435"/>
      <c r="I40" s="361"/>
    </row>
    <row r="41" spans="1:9">
      <c r="A41" s="360">
        <v>13523075</v>
      </c>
      <c r="B41" s="361" t="s">
        <v>4774</v>
      </c>
      <c r="C41" s="361" t="s">
        <v>5252</v>
      </c>
      <c r="D41" s="465">
        <v>2</v>
      </c>
      <c r="E41" s="361" t="s">
        <v>5607</v>
      </c>
      <c r="F41" s="435" t="s">
        <v>4620</v>
      </c>
      <c r="G41" s="430">
        <v>42143</v>
      </c>
      <c r="H41" s="435">
        <f>DATEDIF(G41,$G$6,"Y")</f>
        <v>9</v>
      </c>
      <c r="I41" s="361"/>
    </row>
    <row r="42" spans="1:9">
      <c r="A42" s="360">
        <v>13523075</v>
      </c>
      <c r="B42" s="361" t="s">
        <v>4774</v>
      </c>
      <c r="C42" s="361"/>
      <c r="D42" s="465"/>
      <c r="E42" s="361" t="s">
        <v>5608</v>
      </c>
      <c r="F42" s="435" t="s">
        <v>4620</v>
      </c>
      <c r="G42" s="430">
        <v>43553</v>
      </c>
      <c r="H42" s="435">
        <f>DATEDIF(G42,$G$6,"Y")</f>
        <v>5</v>
      </c>
      <c r="I42" s="361"/>
    </row>
    <row r="43" spans="1:9">
      <c r="A43" s="1164"/>
      <c r="B43" s="1165"/>
      <c r="C43" s="1165"/>
      <c r="D43" s="1166"/>
      <c r="E43" s="1165"/>
      <c r="F43" s="1167"/>
      <c r="G43" s="1168"/>
      <c r="H43" s="1167"/>
      <c r="I43" s="1165"/>
    </row>
    <row r="44" spans="1:9">
      <c r="A44" s="1164">
        <v>13733682</v>
      </c>
      <c r="B44" s="1164" t="s">
        <v>6760</v>
      </c>
      <c r="C44" s="361" t="s">
        <v>5222</v>
      </c>
      <c r="D44" s="1166">
        <v>1</v>
      </c>
      <c r="E44" s="1165" t="s">
        <v>6761</v>
      </c>
      <c r="F44" s="1167" t="s">
        <v>4621</v>
      </c>
      <c r="G44" s="1168">
        <v>43176</v>
      </c>
      <c r="H44" s="435">
        <f>DATEDIF(G44,$G$6,"Y")</f>
        <v>6</v>
      </c>
      <c r="I44" s="1165"/>
    </row>
    <row r="45" spans="1:9">
      <c r="A45" s="360"/>
      <c r="B45" s="361"/>
      <c r="C45" s="361"/>
      <c r="D45" s="465"/>
      <c r="E45" s="361"/>
      <c r="F45" s="435"/>
      <c r="G45" s="430"/>
      <c r="H45" s="435"/>
      <c r="I45" s="361"/>
    </row>
    <row r="46" spans="1:9">
      <c r="A46" s="360">
        <v>13996024</v>
      </c>
      <c r="B46" s="361" t="s">
        <v>4782</v>
      </c>
      <c r="C46" s="361"/>
      <c r="D46" s="465">
        <v>1</v>
      </c>
      <c r="E46" s="361" t="s">
        <v>5612</v>
      </c>
      <c r="F46" s="435" t="s">
        <v>4620</v>
      </c>
      <c r="G46" s="430">
        <v>41677</v>
      </c>
      <c r="H46" s="435">
        <f>DATEDIF(G46,$G$6,"Y")</f>
        <v>10</v>
      </c>
      <c r="I46" s="361"/>
    </row>
    <row r="47" spans="1:9">
      <c r="A47" s="360"/>
      <c r="B47" s="361"/>
      <c r="C47" s="361"/>
      <c r="D47" s="465"/>
      <c r="E47" s="361"/>
      <c r="F47" s="435"/>
      <c r="G47" s="430"/>
      <c r="H47" s="435"/>
      <c r="I47" s="361"/>
    </row>
    <row r="48" spans="1:9">
      <c r="A48" s="360">
        <v>14329448</v>
      </c>
      <c r="B48" s="361" t="s">
        <v>4784</v>
      </c>
      <c r="C48" s="361" t="s">
        <v>5228</v>
      </c>
      <c r="D48" s="465">
        <v>1</v>
      </c>
      <c r="E48" s="361" t="s">
        <v>6028</v>
      </c>
      <c r="F48" s="435" t="s">
        <v>4621</v>
      </c>
      <c r="G48" s="430">
        <v>42283</v>
      </c>
      <c r="H48" s="435">
        <f>DATEDIF(G48,$G$6,"Y")</f>
        <v>9</v>
      </c>
      <c r="I48" s="361"/>
    </row>
    <row r="49" spans="1:9">
      <c r="A49" s="360"/>
      <c r="B49" s="361"/>
      <c r="C49" s="361"/>
      <c r="D49" s="465"/>
      <c r="E49" s="361"/>
      <c r="F49" s="435"/>
      <c r="G49" s="430"/>
      <c r="H49" s="435"/>
      <c r="I49" s="361"/>
    </row>
    <row r="50" spans="1:9">
      <c r="A50" s="360">
        <v>14598170</v>
      </c>
      <c r="B50" s="361" t="s">
        <v>4788</v>
      </c>
      <c r="C50" s="361"/>
      <c r="D50" s="465">
        <v>1</v>
      </c>
      <c r="E50" s="361" t="s">
        <v>6029</v>
      </c>
      <c r="F50" s="435" t="s">
        <v>4621</v>
      </c>
      <c r="G50" s="430">
        <v>41532</v>
      </c>
      <c r="H50" s="435">
        <f>DATEDIF(G50,$G$6,"Y")</f>
        <v>11</v>
      </c>
      <c r="I50" s="361"/>
    </row>
    <row r="51" spans="1:9">
      <c r="A51" s="360"/>
      <c r="B51" s="361"/>
      <c r="C51" s="361"/>
      <c r="D51" s="465"/>
      <c r="E51" s="361"/>
      <c r="F51" s="435"/>
      <c r="G51" s="430"/>
      <c r="H51" s="435"/>
      <c r="I51" s="361"/>
    </row>
    <row r="52" spans="1:9">
      <c r="A52" s="360">
        <v>14598687</v>
      </c>
      <c r="B52" s="361" t="s">
        <v>4789</v>
      </c>
      <c r="C52" s="361" t="s">
        <v>5247</v>
      </c>
      <c r="D52" s="465">
        <v>1</v>
      </c>
      <c r="E52" s="361" t="s">
        <v>6030</v>
      </c>
      <c r="F52" s="435" t="s">
        <v>4621</v>
      </c>
      <c r="G52" s="430">
        <v>44651</v>
      </c>
      <c r="H52" s="435">
        <f>DATEDIF(G52,$G$6,"Y")</f>
        <v>2</v>
      </c>
      <c r="I52" s="361"/>
    </row>
    <row r="53" spans="1:9">
      <c r="A53" s="360"/>
      <c r="B53" s="361"/>
      <c r="C53" s="361"/>
      <c r="D53" s="465"/>
      <c r="E53" s="361" t="s">
        <v>2904</v>
      </c>
      <c r="F53" s="435"/>
      <c r="G53" s="430"/>
      <c r="H53" s="435"/>
      <c r="I53" s="361"/>
    </row>
    <row r="54" spans="1:9">
      <c r="A54" s="360">
        <v>14599252</v>
      </c>
      <c r="B54" s="361" t="s">
        <v>4790</v>
      </c>
      <c r="C54" s="361"/>
      <c r="D54" s="465">
        <v>1</v>
      </c>
      <c r="E54" s="361" t="s">
        <v>5617</v>
      </c>
      <c r="F54" s="435" t="s">
        <v>4620</v>
      </c>
      <c r="G54" s="430">
        <v>41007</v>
      </c>
      <c r="H54" s="435">
        <f>DATEDIF(G54,$G$6,"Y")</f>
        <v>12</v>
      </c>
      <c r="I54" s="361"/>
    </row>
    <row r="55" spans="1:9">
      <c r="A55" s="360"/>
      <c r="B55" s="361"/>
      <c r="C55" s="361"/>
      <c r="D55" s="465"/>
      <c r="E55" s="361" t="s">
        <v>2904</v>
      </c>
      <c r="F55" s="435"/>
      <c r="G55" s="430"/>
      <c r="H55" s="435"/>
      <c r="I55" s="361"/>
    </row>
    <row r="56" spans="1:9">
      <c r="A56" s="360">
        <v>14719639</v>
      </c>
      <c r="B56" s="361" t="s">
        <v>5257</v>
      </c>
      <c r="C56" s="361"/>
      <c r="D56" s="465">
        <v>1</v>
      </c>
      <c r="E56" s="361" t="s">
        <v>5619</v>
      </c>
      <c r="F56" s="435" t="s">
        <v>4620</v>
      </c>
      <c r="G56" s="430">
        <v>43088</v>
      </c>
      <c r="H56" s="435">
        <f>DATEDIF(G56,$G$6,"Y")</f>
        <v>7</v>
      </c>
      <c r="I56" s="361"/>
    </row>
    <row r="57" spans="1:9">
      <c r="A57" s="360"/>
      <c r="B57" s="361"/>
      <c r="C57" s="361"/>
      <c r="D57" s="465"/>
      <c r="E57" s="361"/>
      <c r="F57" s="435"/>
      <c r="G57" s="430"/>
      <c r="H57" s="435"/>
      <c r="I57" s="361"/>
    </row>
    <row r="58" spans="1:9">
      <c r="A58" s="360">
        <v>14929904</v>
      </c>
      <c r="B58" s="361" t="s">
        <v>5780</v>
      </c>
      <c r="C58" s="361" t="s">
        <v>5222</v>
      </c>
      <c r="D58" s="465">
        <v>1</v>
      </c>
      <c r="E58" s="361" t="s">
        <v>6031</v>
      </c>
      <c r="F58" s="435" t="s">
        <v>4620</v>
      </c>
      <c r="G58" s="430">
        <v>42336</v>
      </c>
      <c r="H58" s="435">
        <f>DATEDIF(G58,$G$6,"Y")</f>
        <v>9</v>
      </c>
      <c r="I58" s="361"/>
    </row>
    <row r="59" spans="1:9">
      <c r="A59" s="1164"/>
      <c r="B59" s="1165"/>
      <c r="C59" s="1165"/>
      <c r="D59" s="1166"/>
      <c r="E59" s="1165"/>
      <c r="F59" s="1167"/>
      <c r="G59" s="1168"/>
      <c r="H59" s="1167"/>
      <c r="I59" s="1165"/>
    </row>
    <row r="60" spans="1:9">
      <c r="A60" s="1164">
        <v>14986675</v>
      </c>
      <c r="B60" s="1165" t="s">
        <v>5020</v>
      </c>
      <c r="C60" s="1165" t="s">
        <v>5228</v>
      </c>
      <c r="D60" s="1166">
        <v>1</v>
      </c>
      <c r="E60" s="1165" t="s">
        <v>6017</v>
      </c>
      <c r="F60" s="1327" t="s">
        <v>4621</v>
      </c>
      <c r="G60" s="1168">
        <v>41627</v>
      </c>
      <c r="H60" s="435">
        <f t="shared" ref="H60" si="0">DATEDIF(G60,$G$6,"Y")</f>
        <v>11</v>
      </c>
      <c r="I60" s="1168"/>
    </row>
    <row r="61" spans="1:9">
      <c r="A61" s="370"/>
      <c r="B61" s="371"/>
      <c r="C61" s="371"/>
      <c r="D61" s="909"/>
      <c r="E61" s="371" t="s">
        <v>2904</v>
      </c>
      <c r="F61" s="442"/>
      <c r="G61" s="431"/>
      <c r="H61" s="442"/>
      <c r="I61" s="371"/>
    </row>
    <row r="62" spans="1:9">
      <c r="A62" s="360">
        <v>15188927</v>
      </c>
      <c r="B62" s="361" t="s">
        <v>4798</v>
      </c>
      <c r="C62" s="361" t="s">
        <v>5221</v>
      </c>
      <c r="D62" s="1601">
        <v>2</v>
      </c>
      <c r="E62" s="361" t="s">
        <v>6032</v>
      </c>
      <c r="F62" s="435" t="s">
        <v>4621</v>
      </c>
      <c r="G62" s="430">
        <v>41241</v>
      </c>
      <c r="H62" s="435">
        <f>DATEDIF(G62,$G$6,"Y")</f>
        <v>12</v>
      </c>
      <c r="I62" s="361"/>
    </row>
    <row r="63" spans="1:9">
      <c r="A63" s="360">
        <v>15188927</v>
      </c>
      <c r="B63" s="361" t="s">
        <v>4798</v>
      </c>
      <c r="C63" s="361"/>
      <c r="D63" s="465"/>
      <c r="E63" s="361" t="s">
        <v>6033</v>
      </c>
      <c r="F63" s="435" t="s">
        <v>4621</v>
      </c>
      <c r="G63" s="430">
        <v>42324</v>
      </c>
      <c r="H63" s="435">
        <f>DATEDIF(G63,$G$6,"Y")</f>
        <v>9</v>
      </c>
      <c r="I63" s="361"/>
    </row>
    <row r="64" spans="1:9">
      <c r="A64" s="360"/>
      <c r="B64" s="361"/>
      <c r="C64" s="361"/>
      <c r="D64" s="465"/>
      <c r="E64" s="361"/>
      <c r="F64" s="435"/>
      <c r="G64" s="430"/>
      <c r="H64" s="435"/>
      <c r="I64" s="361"/>
    </row>
    <row r="65" spans="1:9">
      <c r="A65" s="360">
        <v>15752386</v>
      </c>
      <c r="B65" s="361" t="s">
        <v>4805</v>
      </c>
      <c r="C65" s="371"/>
      <c r="D65" s="909">
        <v>1</v>
      </c>
      <c r="E65" s="371" t="s">
        <v>5749</v>
      </c>
      <c r="F65" s="442" t="s">
        <v>4621</v>
      </c>
      <c r="G65" s="431">
        <v>43821</v>
      </c>
      <c r="H65" s="435">
        <f>DATEDIF(G65,$G$6,"Y")</f>
        <v>5</v>
      </c>
      <c r="I65" s="371"/>
    </row>
    <row r="66" spans="1:9">
      <c r="A66" s="360"/>
      <c r="B66" s="361"/>
      <c r="C66" s="361"/>
      <c r="D66" s="465"/>
      <c r="E66" s="361"/>
      <c r="F66" s="435"/>
      <c r="G66" s="430"/>
      <c r="H66" s="435"/>
      <c r="I66" s="361"/>
    </row>
    <row r="67" spans="1:9">
      <c r="A67" s="360">
        <v>15752435</v>
      </c>
      <c r="B67" s="361" t="s">
        <v>4806</v>
      </c>
      <c r="C67" s="361"/>
      <c r="D67" s="465">
        <v>1</v>
      </c>
      <c r="E67" s="361" t="s">
        <v>5629</v>
      </c>
      <c r="F67" s="435" t="s">
        <v>4620</v>
      </c>
      <c r="G67" s="430">
        <v>42982</v>
      </c>
      <c r="H67" s="435">
        <f>DATEDIF(G67,$G$6,"Y")</f>
        <v>7</v>
      </c>
      <c r="I67" s="361"/>
    </row>
    <row r="68" spans="1:9">
      <c r="A68" s="370"/>
      <c r="B68" s="371"/>
      <c r="C68" s="371"/>
      <c r="D68" s="909"/>
      <c r="E68" s="371"/>
      <c r="F68" s="442"/>
      <c r="G68" s="431"/>
      <c r="H68" s="442"/>
      <c r="I68" s="371"/>
    </row>
    <row r="69" spans="1:9">
      <c r="A69" s="360">
        <v>15824548</v>
      </c>
      <c r="B69" s="361" t="s">
        <v>4809</v>
      </c>
      <c r="C69" s="361"/>
      <c r="D69" s="465">
        <v>1</v>
      </c>
      <c r="E69" s="361" t="s">
        <v>6035</v>
      </c>
      <c r="F69" s="435" t="s">
        <v>4621</v>
      </c>
      <c r="G69" s="430">
        <v>42812</v>
      </c>
      <c r="H69" s="435">
        <f>DATEDIF(G69,$G$6,"Y")</f>
        <v>7</v>
      </c>
      <c r="I69" s="361"/>
    </row>
    <row r="70" spans="1:9">
      <c r="A70" s="360"/>
      <c r="B70" s="361"/>
      <c r="C70" s="361"/>
      <c r="D70" s="465"/>
      <c r="E70" s="361"/>
      <c r="F70" s="435"/>
      <c r="G70" s="430"/>
      <c r="H70" s="435"/>
      <c r="I70" s="361"/>
    </row>
    <row r="71" spans="1:9">
      <c r="A71" s="360">
        <v>15904692</v>
      </c>
      <c r="B71" s="361" t="s">
        <v>4810</v>
      </c>
      <c r="C71" s="361"/>
      <c r="D71" s="465">
        <v>2</v>
      </c>
      <c r="E71" s="361" t="s">
        <v>5631</v>
      </c>
      <c r="F71" s="435" t="s">
        <v>4620</v>
      </c>
      <c r="G71" s="430">
        <v>41499</v>
      </c>
      <c r="H71" s="435">
        <f>DATEDIF(G71,$G$6,"Y")</f>
        <v>11</v>
      </c>
      <c r="I71" s="361"/>
    </row>
    <row r="72" spans="1:9">
      <c r="A72" s="360">
        <v>15904692</v>
      </c>
      <c r="B72" s="361" t="s">
        <v>4810</v>
      </c>
      <c r="C72" s="361"/>
      <c r="D72" s="465"/>
      <c r="E72" s="361" t="s">
        <v>5632</v>
      </c>
      <c r="F72" s="435" t="s">
        <v>4620</v>
      </c>
      <c r="G72" s="430">
        <v>43361</v>
      </c>
      <c r="H72" s="435">
        <f>DATEDIF(G72,$G$6,"Y")</f>
        <v>6</v>
      </c>
      <c r="I72" s="361"/>
    </row>
    <row r="73" spans="1:9">
      <c r="A73" s="360"/>
      <c r="B73" s="361"/>
      <c r="C73" s="361"/>
      <c r="D73" s="465"/>
      <c r="E73" s="361"/>
      <c r="F73" s="435"/>
      <c r="G73" s="430"/>
      <c r="H73" s="435"/>
      <c r="I73" s="361"/>
    </row>
    <row r="74" spans="1:9">
      <c r="A74" s="360">
        <v>16015833</v>
      </c>
      <c r="B74" s="361" t="s">
        <v>4811</v>
      </c>
      <c r="C74" s="361"/>
      <c r="D74" s="465">
        <v>1</v>
      </c>
      <c r="E74" s="361" t="s">
        <v>5634</v>
      </c>
      <c r="F74" s="435" t="s">
        <v>4620</v>
      </c>
      <c r="G74" s="430">
        <v>41840</v>
      </c>
      <c r="H74" s="435">
        <f>DATEDIF(G74,$G$6,"Y")</f>
        <v>10</v>
      </c>
      <c r="I74" s="361"/>
    </row>
    <row r="75" spans="1:9">
      <c r="A75" s="360"/>
      <c r="B75" s="361"/>
      <c r="C75" s="361"/>
      <c r="D75" s="465"/>
      <c r="E75" s="361"/>
      <c r="F75" s="435"/>
      <c r="G75" s="430"/>
      <c r="H75" s="435"/>
      <c r="I75" s="361"/>
    </row>
    <row r="76" spans="1:9">
      <c r="A76" s="360">
        <v>16065580</v>
      </c>
      <c r="B76" s="361" t="s">
        <v>4812</v>
      </c>
      <c r="C76" s="361" t="s">
        <v>5228</v>
      </c>
      <c r="D76" s="465">
        <v>1</v>
      </c>
      <c r="E76" s="361" t="s">
        <v>5635</v>
      </c>
      <c r="F76" s="435" t="s">
        <v>4621</v>
      </c>
      <c r="G76" s="430">
        <v>41532</v>
      </c>
      <c r="H76" s="435">
        <f>DATEDIF(G76,$G$6,"Y")</f>
        <v>11</v>
      </c>
      <c r="I76" s="361"/>
    </row>
    <row r="77" spans="1:9">
      <c r="A77" s="360"/>
      <c r="B77" s="361"/>
      <c r="C77" s="361"/>
      <c r="D77" s="465"/>
      <c r="E77" s="361"/>
      <c r="F77" s="435"/>
      <c r="G77" s="430"/>
      <c r="H77" s="435"/>
      <c r="I77" s="361"/>
    </row>
    <row r="78" spans="1:9">
      <c r="A78" s="360">
        <v>16066554</v>
      </c>
      <c r="B78" s="361" t="s">
        <v>4815</v>
      </c>
      <c r="C78" s="361" t="s">
        <v>5261</v>
      </c>
      <c r="D78" s="465">
        <v>2</v>
      </c>
      <c r="E78" s="361" t="s">
        <v>5640</v>
      </c>
      <c r="F78" s="435" t="s">
        <v>4620</v>
      </c>
      <c r="G78" s="430">
        <v>41207</v>
      </c>
      <c r="H78" s="435">
        <f>DATEDIF(G78,$G$6,"Y")</f>
        <v>12</v>
      </c>
      <c r="I78" s="361"/>
    </row>
    <row r="79" spans="1:9">
      <c r="A79" s="360">
        <v>16066554</v>
      </c>
      <c r="B79" s="361" t="s">
        <v>4815</v>
      </c>
      <c r="C79" s="361"/>
      <c r="D79" s="465"/>
      <c r="E79" s="361" t="s">
        <v>5641</v>
      </c>
      <c r="F79" s="435" t="s">
        <v>4620</v>
      </c>
      <c r="G79" s="430">
        <v>41941</v>
      </c>
      <c r="H79" s="435">
        <f>DATEDIF(G79,$G$6,"Y")</f>
        <v>10</v>
      </c>
      <c r="I79" s="361"/>
    </row>
    <row r="80" spans="1:9">
      <c r="A80" s="360"/>
      <c r="B80" s="361"/>
      <c r="C80" s="361"/>
      <c r="D80" s="465"/>
      <c r="E80" s="361"/>
      <c r="F80" s="435"/>
      <c r="G80" s="430"/>
      <c r="H80" s="435"/>
      <c r="I80" s="361"/>
    </row>
    <row r="81" spans="1:9">
      <c r="A81" s="360">
        <v>16266989</v>
      </c>
      <c r="B81" s="361" t="s">
        <v>4817</v>
      </c>
      <c r="C81" s="900"/>
      <c r="D81" s="910">
        <v>1</v>
      </c>
      <c r="E81" s="361" t="s">
        <v>5962</v>
      </c>
      <c r="F81" s="435" t="s">
        <v>4620</v>
      </c>
      <c r="G81" s="430">
        <v>44060</v>
      </c>
      <c r="H81" s="435">
        <f>DATEDIF(G81,$G$6,"Y")</f>
        <v>4</v>
      </c>
      <c r="I81" s="900"/>
    </row>
    <row r="82" spans="1:9">
      <c r="A82" s="360"/>
      <c r="B82" s="361"/>
      <c r="C82" s="361"/>
      <c r="D82" s="465"/>
      <c r="E82" s="361"/>
      <c r="F82" s="435"/>
      <c r="G82" s="430"/>
      <c r="H82" s="435"/>
      <c r="I82" s="361"/>
    </row>
    <row r="83" spans="1:9">
      <c r="A83" s="360">
        <v>16267940</v>
      </c>
      <c r="B83" s="361" t="s">
        <v>4818</v>
      </c>
      <c r="C83" s="361" t="s">
        <v>5224</v>
      </c>
      <c r="D83" s="465">
        <v>1</v>
      </c>
      <c r="E83" s="361" t="s">
        <v>6039</v>
      </c>
      <c r="F83" s="435" t="s">
        <v>4621</v>
      </c>
      <c r="G83" s="430">
        <v>43906</v>
      </c>
      <c r="H83" s="435">
        <f>DATEDIF(G83,$G$6,"Y")</f>
        <v>4</v>
      </c>
      <c r="I83" s="361"/>
    </row>
    <row r="84" spans="1:9">
      <c r="A84" s="360"/>
      <c r="B84" s="361"/>
      <c r="C84" s="361"/>
      <c r="D84" s="465"/>
      <c r="E84" s="361"/>
      <c r="F84" s="435"/>
      <c r="G84" s="430"/>
      <c r="H84" s="435"/>
      <c r="I84" s="361"/>
    </row>
    <row r="85" spans="1:9">
      <c r="A85" s="360">
        <v>16376698</v>
      </c>
      <c r="B85" s="361" t="s">
        <v>4821</v>
      </c>
      <c r="C85" s="361"/>
      <c r="D85" s="465">
        <v>1</v>
      </c>
      <c r="E85" s="361" t="s">
        <v>6041</v>
      </c>
      <c r="F85" s="435" t="s">
        <v>4621</v>
      </c>
      <c r="G85" s="430">
        <v>42613</v>
      </c>
      <c r="H85" s="435">
        <f t="shared" ref="H85:H120" si="1">DATEDIF(G85,$G$6,"Y")</f>
        <v>8</v>
      </c>
      <c r="I85" s="361"/>
    </row>
    <row r="86" spans="1:9">
      <c r="A86" s="360"/>
      <c r="B86" s="361"/>
      <c r="C86" s="361"/>
      <c r="D86" s="465"/>
      <c r="E86" s="361" t="s">
        <v>2904</v>
      </c>
      <c r="F86" s="435"/>
      <c r="G86" s="430"/>
      <c r="H86" s="435"/>
      <c r="I86" s="361"/>
    </row>
    <row r="87" spans="1:9">
      <c r="A87" s="1164">
        <v>16376781</v>
      </c>
      <c r="B87" s="1165" t="s">
        <v>6563</v>
      </c>
      <c r="C87" s="1165" t="s">
        <v>5222</v>
      </c>
      <c r="D87" s="1166">
        <v>1</v>
      </c>
      <c r="E87" s="1165" t="s">
        <v>6564</v>
      </c>
      <c r="F87" s="435" t="s">
        <v>4621</v>
      </c>
      <c r="G87" s="1168">
        <v>43103</v>
      </c>
      <c r="H87" s="435">
        <f t="shared" si="1"/>
        <v>7</v>
      </c>
      <c r="I87" s="1165"/>
    </row>
    <row r="88" spans="1:9">
      <c r="A88" s="1164"/>
      <c r="B88" s="1165"/>
      <c r="C88" s="1165"/>
      <c r="D88" s="1166"/>
      <c r="E88" s="1165"/>
      <c r="F88" s="1167"/>
      <c r="G88" s="1168"/>
      <c r="H88" s="1167"/>
      <c r="I88" s="1165"/>
    </row>
    <row r="89" spans="1:9">
      <c r="A89" s="360">
        <v>16377159</v>
      </c>
      <c r="B89" s="361" t="s">
        <v>4822</v>
      </c>
      <c r="C89" s="361"/>
      <c r="D89" s="465">
        <v>1</v>
      </c>
      <c r="E89" s="361" t="s">
        <v>6044</v>
      </c>
      <c r="F89" s="435" t="s">
        <v>4621</v>
      </c>
      <c r="G89" s="430">
        <v>43664</v>
      </c>
      <c r="H89" s="435">
        <f t="shared" si="1"/>
        <v>5</v>
      </c>
      <c r="I89" s="361"/>
    </row>
    <row r="90" spans="1:9">
      <c r="A90" s="360"/>
      <c r="B90" s="361"/>
      <c r="C90" s="361"/>
      <c r="D90" s="465"/>
      <c r="E90" s="361"/>
      <c r="F90" s="435"/>
      <c r="G90" s="430"/>
      <c r="H90" s="435"/>
      <c r="I90" s="361"/>
    </row>
    <row r="91" spans="1:9">
      <c r="A91" s="360"/>
      <c r="B91" s="361"/>
      <c r="C91" s="361"/>
      <c r="D91" s="465"/>
      <c r="E91" s="361"/>
      <c r="F91" s="435"/>
      <c r="G91" s="430"/>
      <c r="H91" s="435"/>
      <c r="I91" s="361"/>
    </row>
    <row r="92" spans="1:9">
      <c r="A92" s="360">
        <v>16377628</v>
      </c>
      <c r="B92" s="361" t="s">
        <v>4824</v>
      </c>
      <c r="C92" s="361" t="s">
        <v>5221</v>
      </c>
      <c r="D92" s="465">
        <v>1</v>
      </c>
      <c r="E92" s="361" t="s">
        <v>6046</v>
      </c>
      <c r="F92" s="435" t="s">
        <v>4621</v>
      </c>
      <c r="G92" s="430">
        <v>43920</v>
      </c>
      <c r="H92" s="435">
        <f t="shared" si="1"/>
        <v>4</v>
      </c>
      <c r="I92" s="361"/>
    </row>
    <row r="93" spans="1:9">
      <c r="A93" s="360"/>
      <c r="B93" s="361"/>
      <c r="C93" s="361"/>
      <c r="D93" s="465"/>
      <c r="E93" s="361" t="s">
        <v>2904</v>
      </c>
      <c r="F93" s="435"/>
      <c r="G93" s="430"/>
      <c r="H93" s="435"/>
      <c r="I93" s="361"/>
    </row>
    <row r="94" spans="1:9">
      <c r="A94" s="360">
        <v>16533566</v>
      </c>
      <c r="B94" s="361" t="s">
        <v>4826</v>
      </c>
      <c r="C94" s="361"/>
      <c r="D94" s="465">
        <v>1</v>
      </c>
      <c r="E94" s="361" t="s">
        <v>6050</v>
      </c>
      <c r="F94" s="435" t="s">
        <v>4620</v>
      </c>
      <c r="G94" s="430">
        <v>42178</v>
      </c>
      <c r="H94" s="435">
        <f t="shared" si="1"/>
        <v>9</v>
      </c>
      <c r="I94" s="361"/>
    </row>
    <row r="95" spans="1:9">
      <c r="A95" s="1164"/>
      <c r="B95" s="1165"/>
      <c r="C95" s="1165"/>
      <c r="D95" s="1166"/>
      <c r="E95" s="1165"/>
      <c r="F95" s="1167"/>
      <c r="G95" s="1168"/>
      <c r="H95" s="1167"/>
      <c r="I95" s="1165"/>
    </row>
    <row r="96" spans="1:9">
      <c r="A96" s="1164">
        <v>16533615</v>
      </c>
      <c r="B96" s="1165" t="s">
        <v>6747</v>
      </c>
      <c r="C96" s="361" t="s">
        <v>5222</v>
      </c>
      <c r="D96" s="1166">
        <v>1</v>
      </c>
      <c r="E96" s="1165" t="s">
        <v>6750</v>
      </c>
      <c r="F96" s="1167" t="s">
        <v>4621</v>
      </c>
      <c r="G96" s="1168">
        <v>41368</v>
      </c>
      <c r="H96" s="435">
        <f t="shared" si="1"/>
        <v>11</v>
      </c>
      <c r="I96" s="1165"/>
    </row>
    <row r="97" spans="1:9">
      <c r="A97" s="1164"/>
      <c r="B97" s="1165"/>
      <c r="C97" s="1165"/>
      <c r="D97" s="1166"/>
      <c r="E97" s="1165"/>
      <c r="F97" s="1167"/>
      <c r="G97" s="1168"/>
      <c r="H97" s="1167"/>
      <c r="I97" s="1165"/>
    </row>
    <row r="98" spans="1:9">
      <c r="A98" s="360">
        <v>16533986</v>
      </c>
      <c r="B98" s="361" t="s">
        <v>4827</v>
      </c>
      <c r="C98" s="361" t="s">
        <v>5264</v>
      </c>
      <c r="D98" s="465">
        <v>1</v>
      </c>
      <c r="E98" s="361" t="s">
        <v>5652</v>
      </c>
      <c r="F98" s="435" t="s">
        <v>4620</v>
      </c>
      <c r="G98" s="430">
        <v>42515</v>
      </c>
      <c r="H98" s="435">
        <f t="shared" si="1"/>
        <v>8</v>
      </c>
      <c r="I98" s="361"/>
    </row>
    <row r="99" spans="1:9">
      <c r="A99" s="360"/>
      <c r="B99" s="361"/>
      <c r="C99" s="361"/>
      <c r="D99" s="465"/>
      <c r="E99" s="361"/>
      <c r="F99" s="435"/>
      <c r="G99" s="430"/>
      <c r="H99" s="435"/>
      <c r="I99" s="361"/>
    </row>
    <row r="100" spans="1:9">
      <c r="A100" s="1164">
        <v>16740261</v>
      </c>
      <c r="B100" s="1165" t="s">
        <v>6794</v>
      </c>
      <c r="C100" s="1165" t="s">
        <v>6796</v>
      </c>
      <c r="D100" s="1166">
        <v>1</v>
      </c>
      <c r="E100" s="1165" t="s">
        <v>6797</v>
      </c>
      <c r="F100" s="1167" t="s">
        <v>4620</v>
      </c>
      <c r="G100" s="1168">
        <v>42913</v>
      </c>
      <c r="H100" s="435">
        <f t="shared" si="1"/>
        <v>7</v>
      </c>
      <c r="I100" s="1165"/>
    </row>
    <row r="101" spans="1:9">
      <c r="A101" s="360"/>
      <c r="B101" s="361"/>
      <c r="C101" s="361"/>
      <c r="D101" s="465"/>
      <c r="E101" s="361"/>
      <c r="F101" s="435"/>
      <c r="G101" s="430"/>
      <c r="H101" s="435"/>
      <c r="I101" s="361"/>
    </row>
    <row r="102" spans="1:9">
      <c r="A102" s="360">
        <v>17130893</v>
      </c>
      <c r="B102" s="361" t="s">
        <v>4835</v>
      </c>
      <c r="C102" s="361"/>
      <c r="D102" s="465">
        <v>1</v>
      </c>
      <c r="E102" s="361" t="s">
        <v>5661</v>
      </c>
      <c r="F102" s="435" t="s">
        <v>4620</v>
      </c>
      <c r="G102" s="430">
        <v>41516</v>
      </c>
      <c r="H102" s="435">
        <f t="shared" si="1"/>
        <v>11</v>
      </c>
      <c r="I102" s="361"/>
    </row>
    <row r="103" spans="1:9">
      <c r="A103" s="370"/>
      <c r="B103" s="371"/>
      <c r="C103" s="371"/>
      <c r="D103" s="909"/>
      <c r="E103" s="371"/>
      <c r="F103" s="442"/>
      <c r="G103" s="431"/>
      <c r="H103" s="435"/>
      <c r="I103" s="371"/>
    </row>
    <row r="104" spans="1:9">
      <c r="A104" s="360">
        <v>17265093</v>
      </c>
      <c r="B104" s="361" t="s">
        <v>6001</v>
      </c>
      <c r="C104" s="361" t="s">
        <v>5267</v>
      </c>
      <c r="D104" s="465">
        <v>1</v>
      </c>
      <c r="E104" s="361" t="s">
        <v>6002</v>
      </c>
      <c r="F104" s="435" t="s">
        <v>4621</v>
      </c>
      <c r="G104" s="430">
        <v>44073</v>
      </c>
      <c r="H104" s="435">
        <f t="shared" ref="H104" si="2">DATEDIF(G104,$G$6,"Y")</f>
        <v>4</v>
      </c>
      <c r="I104" s="361"/>
    </row>
    <row r="105" spans="1:9">
      <c r="A105" s="1018"/>
      <c r="B105" s="1019"/>
      <c r="C105" s="1019"/>
      <c r="D105" s="1020"/>
      <c r="E105" s="1019"/>
      <c r="F105" s="1021"/>
      <c r="G105" s="1022"/>
      <c r="H105" s="1021"/>
      <c r="I105" s="1019"/>
    </row>
    <row r="106" spans="1:9">
      <c r="A106" s="360">
        <v>17265648</v>
      </c>
      <c r="B106" s="361" t="s">
        <v>4836</v>
      </c>
      <c r="C106" s="361" t="s">
        <v>5221</v>
      </c>
      <c r="D106" s="465">
        <v>1</v>
      </c>
      <c r="E106" s="361" t="s">
        <v>5662</v>
      </c>
      <c r="F106" s="435" t="s">
        <v>4620</v>
      </c>
      <c r="G106" s="430">
        <v>41608</v>
      </c>
      <c r="H106" s="435">
        <f t="shared" si="1"/>
        <v>11</v>
      </c>
      <c r="I106" s="361"/>
    </row>
    <row r="107" spans="1:9">
      <c r="A107" s="360"/>
      <c r="B107" s="361"/>
      <c r="C107" s="361"/>
      <c r="D107" s="465"/>
      <c r="E107" s="361" t="s">
        <v>2904</v>
      </c>
      <c r="F107" s="435"/>
      <c r="G107" s="430"/>
      <c r="H107" s="435"/>
      <c r="I107" s="361"/>
    </row>
    <row r="108" spans="1:9">
      <c r="A108" s="360">
        <v>17391316</v>
      </c>
      <c r="B108" s="361" t="s">
        <v>4838</v>
      </c>
      <c r="C108" s="361" t="s">
        <v>5222</v>
      </c>
      <c r="D108" s="465">
        <v>1</v>
      </c>
      <c r="E108" s="361" t="s">
        <v>6056</v>
      </c>
      <c r="F108" s="435" t="s">
        <v>4620</v>
      </c>
      <c r="G108" s="430">
        <v>41365</v>
      </c>
      <c r="H108" s="435">
        <f t="shared" si="1"/>
        <v>11</v>
      </c>
      <c r="I108" s="361"/>
    </row>
    <row r="109" spans="1:9">
      <c r="A109" s="360"/>
      <c r="B109" s="361"/>
      <c r="C109" s="361"/>
      <c r="D109" s="465"/>
      <c r="E109" s="361"/>
      <c r="F109" s="435"/>
      <c r="G109" s="430"/>
      <c r="H109" s="435"/>
      <c r="I109" s="361"/>
    </row>
    <row r="110" spans="1:9">
      <c r="A110" s="360">
        <v>17391892</v>
      </c>
      <c r="B110" s="361" t="s">
        <v>5994</v>
      </c>
      <c r="C110" s="361" t="s">
        <v>5265</v>
      </c>
      <c r="D110" s="465">
        <v>2</v>
      </c>
      <c r="E110" s="361" t="s">
        <v>6005</v>
      </c>
      <c r="F110" s="435" t="s">
        <v>4620</v>
      </c>
      <c r="G110" s="430">
        <v>41470</v>
      </c>
      <c r="H110" s="435">
        <f t="shared" ref="H110:H111" si="3">DATEDIF(G110,$G$6,"Y")</f>
        <v>11</v>
      </c>
      <c r="I110" s="1019"/>
    </row>
    <row r="111" spans="1:9">
      <c r="A111" s="360">
        <v>17391892</v>
      </c>
      <c r="B111" s="361" t="s">
        <v>5994</v>
      </c>
      <c r="C111" s="1019"/>
      <c r="D111" s="1020"/>
      <c r="E111" s="361" t="s">
        <v>6006</v>
      </c>
      <c r="F111" s="435" t="s">
        <v>4620</v>
      </c>
      <c r="G111" s="430">
        <v>42343</v>
      </c>
      <c r="H111" s="435">
        <f t="shared" si="3"/>
        <v>9</v>
      </c>
      <c r="I111" s="1019"/>
    </row>
    <row r="112" spans="1:9">
      <c r="A112" s="1018"/>
      <c r="B112" s="1019"/>
      <c r="C112" s="1019"/>
      <c r="D112" s="1020"/>
      <c r="E112" s="1019"/>
      <c r="F112" s="1021"/>
      <c r="G112" s="1022"/>
      <c r="H112" s="1021"/>
      <c r="I112" s="1019"/>
    </row>
    <row r="113" spans="1:9">
      <c r="A113" s="360">
        <v>17392309</v>
      </c>
      <c r="B113" s="361" t="s">
        <v>4839</v>
      </c>
      <c r="C113" s="361"/>
      <c r="D113" s="465">
        <v>1</v>
      </c>
      <c r="E113" s="361" t="s">
        <v>5668</v>
      </c>
      <c r="F113" s="435" t="s">
        <v>4620</v>
      </c>
      <c r="G113" s="430">
        <v>41283</v>
      </c>
      <c r="H113" s="435">
        <f t="shared" si="1"/>
        <v>12</v>
      </c>
      <c r="I113" s="361"/>
    </row>
    <row r="114" spans="1:9">
      <c r="A114" s="360"/>
      <c r="B114" s="361"/>
      <c r="C114" s="361"/>
      <c r="D114" s="465"/>
      <c r="E114" s="361"/>
      <c r="F114" s="435"/>
      <c r="G114" s="430"/>
      <c r="H114" s="435"/>
      <c r="I114" s="361"/>
    </row>
    <row r="115" spans="1:9">
      <c r="A115" s="360">
        <v>17393693</v>
      </c>
      <c r="B115" s="361" t="s">
        <v>4840</v>
      </c>
      <c r="C115" s="361"/>
      <c r="D115" s="465">
        <v>1</v>
      </c>
      <c r="E115" s="361" t="s">
        <v>6059</v>
      </c>
      <c r="F115" s="435" t="s">
        <v>4621</v>
      </c>
      <c r="G115" s="430">
        <v>42177</v>
      </c>
      <c r="H115" s="435">
        <f t="shared" si="1"/>
        <v>9</v>
      </c>
      <c r="I115" s="361"/>
    </row>
    <row r="116" spans="1:9">
      <c r="A116" s="1164"/>
      <c r="B116" s="1165"/>
      <c r="C116" s="1165"/>
      <c r="D116" s="1166"/>
      <c r="E116" s="1165"/>
      <c r="F116" s="1167"/>
      <c r="G116" s="1168"/>
      <c r="H116" s="1167"/>
      <c r="I116" s="1165"/>
    </row>
    <row r="117" spans="1:9">
      <c r="A117" s="1164">
        <v>17596844</v>
      </c>
      <c r="B117" s="1165" t="s">
        <v>6770</v>
      </c>
      <c r="C117" s="1165" t="s">
        <v>5222</v>
      </c>
      <c r="D117" s="1166">
        <v>1</v>
      </c>
      <c r="E117" s="1165" t="s">
        <v>6773</v>
      </c>
      <c r="F117" s="1167" t="s">
        <v>4621</v>
      </c>
      <c r="G117" s="1168">
        <v>42445</v>
      </c>
      <c r="H117" s="435">
        <f t="shared" si="1"/>
        <v>8</v>
      </c>
      <c r="I117" s="1165"/>
    </row>
    <row r="118" spans="1:9">
      <c r="A118" s="360"/>
      <c r="B118" s="361"/>
      <c r="C118" s="361"/>
      <c r="D118" s="465"/>
      <c r="E118" s="361"/>
      <c r="F118" s="435"/>
      <c r="G118" s="430"/>
      <c r="H118" s="435"/>
      <c r="I118" s="361"/>
    </row>
    <row r="119" spans="1:9">
      <c r="A119" s="360">
        <v>17604568</v>
      </c>
      <c r="B119" s="361" t="s">
        <v>4842</v>
      </c>
      <c r="C119" s="361" t="s">
        <v>5266</v>
      </c>
      <c r="D119" s="465">
        <v>2</v>
      </c>
      <c r="E119" s="361" t="s">
        <v>5669</v>
      </c>
      <c r="F119" s="435" t="s">
        <v>4620</v>
      </c>
      <c r="G119" s="430">
        <v>43720</v>
      </c>
      <c r="H119" s="435">
        <f t="shared" si="1"/>
        <v>5</v>
      </c>
      <c r="I119" s="361"/>
    </row>
    <row r="120" spans="1:9">
      <c r="A120" s="360">
        <v>17604568</v>
      </c>
      <c r="B120" s="361" t="s">
        <v>4842</v>
      </c>
      <c r="C120" s="361"/>
      <c r="D120" s="465"/>
      <c r="E120" s="361" t="s">
        <v>5670</v>
      </c>
      <c r="F120" s="435" t="s">
        <v>4620</v>
      </c>
      <c r="G120" s="430">
        <v>42998</v>
      </c>
      <c r="H120" s="435">
        <f t="shared" si="1"/>
        <v>7</v>
      </c>
      <c r="I120" s="361"/>
    </row>
    <row r="121" spans="1:9">
      <c r="A121" s="360"/>
      <c r="B121" s="361"/>
      <c r="C121" s="361"/>
      <c r="D121" s="465"/>
      <c r="E121" s="361"/>
      <c r="F121" s="435"/>
      <c r="G121" s="430"/>
      <c r="H121" s="435"/>
      <c r="I121" s="361"/>
    </row>
    <row r="122" spans="1:9">
      <c r="A122" s="360"/>
      <c r="B122" s="361"/>
      <c r="C122" s="361"/>
      <c r="D122" s="465"/>
      <c r="E122" s="361"/>
      <c r="F122" s="435"/>
      <c r="G122" s="430"/>
      <c r="H122" s="435"/>
      <c r="I122" s="361"/>
    </row>
    <row r="123" spans="1:9">
      <c r="A123" s="360">
        <v>17606237</v>
      </c>
      <c r="B123" s="361" t="s">
        <v>5781</v>
      </c>
      <c r="C123" s="361" t="s">
        <v>461</v>
      </c>
      <c r="D123" s="465">
        <v>1</v>
      </c>
      <c r="E123" s="361" t="s">
        <v>5800</v>
      </c>
      <c r="F123" s="435" t="s">
        <v>4621</v>
      </c>
      <c r="G123" s="430">
        <v>43256</v>
      </c>
      <c r="H123" s="435">
        <f t="shared" ref="H123:H125" si="4">DATEDIF(G123,$G$6,"Y")</f>
        <v>6</v>
      </c>
      <c r="I123" s="361"/>
    </row>
    <row r="124" spans="1:9">
      <c r="A124" s="1164"/>
      <c r="B124" s="1165"/>
      <c r="C124" s="1165"/>
      <c r="D124" s="1166"/>
      <c r="E124" s="1165"/>
      <c r="F124" s="1167"/>
      <c r="G124" s="1168"/>
      <c r="H124" s="1167"/>
      <c r="I124" s="1165"/>
    </row>
    <row r="125" spans="1:9">
      <c r="A125" s="1164">
        <v>17831012</v>
      </c>
      <c r="B125" s="1165" t="s">
        <v>6742</v>
      </c>
      <c r="C125" s="1165" t="s">
        <v>6745</v>
      </c>
      <c r="D125" s="1166">
        <v>1</v>
      </c>
      <c r="E125" s="1165" t="s">
        <v>6746</v>
      </c>
      <c r="F125" s="1167" t="s">
        <v>4621</v>
      </c>
      <c r="G125" s="1168">
        <v>43590</v>
      </c>
      <c r="H125" s="435">
        <f t="shared" si="4"/>
        <v>5</v>
      </c>
      <c r="I125" s="1165"/>
    </row>
    <row r="126" spans="1:9">
      <c r="A126" s="1164"/>
      <c r="B126" s="1165"/>
      <c r="C126" s="1165"/>
      <c r="D126" s="1166"/>
      <c r="E126" s="1165"/>
      <c r="F126" s="1167"/>
      <c r="G126" s="1168"/>
      <c r="H126" s="1167"/>
      <c r="I126" s="1165"/>
    </row>
    <row r="127" spans="1:9">
      <c r="A127" s="360">
        <v>17831231</v>
      </c>
      <c r="B127" s="361" t="s">
        <v>4848</v>
      </c>
      <c r="C127" s="361"/>
      <c r="D127" s="465">
        <v>1</v>
      </c>
      <c r="E127" s="361" t="s">
        <v>5674</v>
      </c>
      <c r="F127" s="435" t="s">
        <v>4620</v>
      </c>
      <c r="G127" s="430">
        <v>42155</v>
      </c>
      <c r="H127" s="435">
        <f t="shared" ref="H127:H174" si="5">DATEDIF(G127,$G$6,"Y")</f>
        <v>9</v>
      </c>
      <c r="I127" s="361"/>
    </row>
    <row r="128" spans="1:9">
      <c r="A128" s="360"/>
      <c r="B128" s="361"/>
      <c r="C128" s="361"/>
      <c r="D128" s="465"/>
      <c r="E128" s="361"/>
      <c r="F128" s="435"/>
      <c r="G128" s="430"/>
      <c r="H128" s="435"/>
      <c r="I128" s="361"/>
    </row>
    <row r="129" spans="1:9">
      <c r="A129" s="360">
        <v>17832396</v>
      </c>
      <c r="B129" s="361" t="s">
        <v>4850</v>
      </c>
      <c r="C129" s="361" t="s">
        <v>5243</v>
      </c>
      <c r="D129" s="465">
        <v>2</v>
      </c>
      <c r="E129" s="361" t="s">
        <v>5676</v>
      </c>
      <c r="F129" s="435" t="s">
        <v>4620</v>
      </c>
      <c r="G129" s="430">
        <v>41298</v>
      </c>
      <c r="H129" s="435">
        <f t="shared" si="5"/>
        <v>12</v>
      </c>
      <c r="I129" s="361"/>
    </row>
    <row r="130" spans="1:9">
      <c r="A130" s="360">
        <v>17832396</v>
      </c>
      <c r="B130" s="361" t="s">
        <v>4850</v>
      </c>
      <c r="C130" s="361"/>
      <c r="D130" s="465"/>
      <c r="E130" s="361" t="s">
        <v>5677</v>
      </c>
      <c r="F130" s="435" t="s">
        <v>4620</v>
      </c>
      <c r="G130" s="430">
        <v>41731</v>
      </c>
      <c r="H130" s="435">
        <f t="shared" si="5"/>
        <v>10</v>
      </c>
      <c r="I130" s="361"/>
    </row>
    <row r="131" spans="1:9">
      <c r="A131" s="1164"/>
      <c r="B131" s="1165"/>
      <c r="C131" s="1165"/>
      <c r="D131" s="1166"/>
      <c r="E131" s="1165"/>
      <c r="F131" s="1167"/>
      <c r="G131" s="1168"/>
      <c r="H131" s="1167"/>
      <c r="I131" s="1165"/>
    </row>
    <row r="132" spans="1:9">
      <c r="A132" s="1164">
        <v>18036203</v>
      </c>
      <c r="B132" s="1165" t="s">
        <v>6800</v>
      </c>
      <c r="C132" s="361" t="s">
        <v>5222</v>
      </c>
      <c r="D132" s="1166">
        <v>1</v>
      </c>
      <c r="E132" s="1165" t="s">
        <v>6802</v>
      </c>
      <c r="F132" s="1167" t="s">
        <v>4621</v>
      </c>
      <c r="G132" s="1168">
        <v>43900</v>
      </c>
      <c r="H132" s="435">
        <f t="shared" si="5"/>
        <v>4</v>
      </c>
      <c r="I132" s="1165"/>
    </row>
    <row r="133" spans="1:9">
      <c r="A133" s="360"/>
      <c r="B133" s="361"/>
      <c r="C133" s="361"/>
      <c r="D133" s="465"/>
      <c r="E133" s="361"/>
      <c r="F133" s="435"/>
      <c r="G133" s="430"/>
      <c r="H133" s="435"/>
      <c r="I133" s="361"/>
    </row>
    <row r="134" spans="1:9">
      <c r="A134" s="360">
        <v>18095603</v>
      </c>
      <c r="B134" s="361" t="s">
        <v>4853</v>
      </c>
      <c r="C134" s="361" t="s">
        <v>5254</v>
      </c>
      <c r="D134" s="465">
        <v>1</v>
      </c>
      <c r="E134" s="361" t="s">
        <v>5679</v>
      </c>
      <c r="F134" s="435" t="s">
        <v>4620</v>
      </c>
      <c r="G134" s="430">
        <v>44355</v>
      </c>
      <c r="H134" s="435">
        <f t="shared" si="5"/>
        <v>3</v>
      </c>
      <c r="I134" s="361"/>
    </row>
    <row r="135" spans="1:9">
      <c r="A135" s="360"/>
      <c r="B135" s="361"/>
      <c r="C135" s="361"/>
      <c r="D135" s="465"/>
      <c r="E135" s="361"/>
      <c r="F135" s="435"/>
      <c r="G135" s="430"/>
      <c r="H135" s="435"/>
      <c r="I135" s="361"/>
    </row>
    <row r="136" spans="1:9">
      <c r="A136" s="1164">
        <v>18096996</v>
      </c>
      <c r="B136" s="1165" t="s">
        <v>4680</v>
      </c>
      <c r="C136" s="1165" t="s">
        <v>6829</v>
      </c>
      <c r="D136" s="1166">
        <v>1</v>
      </c>
      <c r="E136" s="371" t="s">
        <v>6024</v>
      </c>
      <c r="F136" s="1167" t="s">
        <v>4621</v>
      </c>
      <c r="G136" s="1168">
        <v>41887</v>
      </c>
      <c r="H136" s="435">
        <f>DATEDIF(G136,$G$6,"Y")</f>
        <v>10</v>
      </c>
      <c r="I136" s="1165"/>
    </row>
    <row r="137" spans="1:9">
      <c r="A137" s="1164"/>
      <c r="B137" s="1165"/>
      <c r="C137" s="1165"/>
      <c r="D137" s="1166"/>
      <c r="E137" s="1165"/>
      <c r="F137" s="1167"/>
      <c r="G137" s="1168"/>
      <c r="H137" s="1167"/>
      <c r="I137" s="1165"/>
    </row>
    <row r="138" spans="1:9">
      <c r="A138" s="1164">
        <v>18097528</v>
      </c>
      <c r="B138" s="1165" t="s">
        <v>6813</v>
      </c>
      <c r="C138" s="361" t="s">
        <v>5222</v>
      </c>
      <c r="D138" s="1166">
        <v>2</v>
      </c>
      <c r="E138" s="1165" t="s">
        <v>6816</v>
      </c>
      <c r="F138" s="1167" t="s">
        <v>4620</v>
      </c>
      <c r="G138" s="1168">
        <v>43483</v>
      </c>
      <c r="H138" s="435">
        <f>DATEDIF(G138,$G$6,"Y")</f>
        <v>6</v>
      </c>
      <c r="I138" s="1165"/>
    </row>
    <row r="139" spans="1:9">
      <c r="A139" s="1164">
        <v>18097528</v>
      </c>
      <c r="B139" s="1165" t="s">
        <v>6813</v>
      </c>
      <c r="C139" s="1165"/>
      <c r="D139" s="1166"/>
      <c r="E139" s="1165" t="s">
        <v>6817</v>
      </c>
      <c r="F139" s="1167" t="s">
        <v>4620</v>
      </c>
      <c r="G139" s="1168">
        <v>44982</v>
      </c>
      <c r="H139" s="435">
        <f>DATEDIF(G139,$G$6,"Y")</f>
        <v>1</v>
      </c>
      <c r="I139" s="1165"/>
    </row>
    <row r="140" spans="1:9">
      <c r="A140" s="360"/>
      <c r="B140" s="361"/>
      <c r="C140" s="361"/>
      <c r="D140" s="465"/>
      <c r="E140" s="361" t="s">
        <v>2904</v>
      </c>
      <c r="F140" s="435"/>
      <c r="G140" s="430"/>
      <c r="H140" s="435"/>
      <c r="I140" s="361"/>
    </row>
    <row r="141" spans="1:9">
      <c r="A141" s="360">
        <v>18097873</v>
      </c>
      <c r="B141" s="361" t="s">
        <v>4855</v>
      </c>
      <c r="C141" s="361"/>
      <c r="D141" s="465">
        <v>1</v>
      </c>
      <c r="E141" s="361" t="s">
        <v>5682</v>
      </c>
      <c r="F141" s="435" t="s">
        <v>4621</v>
      </c>
      <c r="G141" s="430">
        <v>41222</v>
      </c>
      <c r="H141" s="435">
        <f t="shared" si="5"/>
        <v>12</v>
      </c>
      <c r="I141" s="361"/>
    </row>
    <row r="142" spans="1:9">
      <c r="A142" s="360"/>
      <c r="B142" s="361"/>
      <c r="C142" s="361"/>
      <c r="D142" s="465"/>
      <c r="E142" s="361"/>
      <c r="F142" s="435"/>
      <c r="G142" s="430"/>
      <c r="H142" s="435"/>
      <c r="I142" s="361"/>
    </row>
    <row r="143" spans="1:9">
      <c r="A143" s="360"/>
      <c r="B143" s="361"/>
      <c r="C143" s="361"/>
      <c r="D143" s="465"/>
      <c r="E143" s="361"/>
      <c r="F143" s="435"/>
      <c r="G143" s="430"/>
      <c r="H143" s="435"/>
      <c r="I143" s="361"/>
    </row>
    <row r="144" spans="1:9">
      <c r="A144" s="360">
        <v>18348721</v>
      </c>
      <c r="B144" s="361" t="s">
        <v>4857</v>
      </c>
      <c r="C144" s="361" t="s">
        <v>5254</v>
      </c>
      <c r="D144" s="465">
        <v>2</v>
      </c>
      <c r="E144" s="361" t="s">
        <v>5684</v>
      </c>
      <c r="F144" s="435" t="s">
        <v>4620</v>
      </c>
      <c r="G144" s="430">
        <v>41679</v>
      </c>
      <c r="H144" s="435">
        <f t="shared" si="5"/>
        <v>10</v>
      </c>
      <c r="I144" s="361"/>
    </row>
    <row r="145" spans="1:9">
      <c r="A145" s="360">
        <v>18348721</v>
      </c>
      <c r="B145" s="361" t="s">
        <v>4857</v>
      </c>
      <c r="C145" s="371"/>
      <c r="D145" s="465"/>
      <c r="E145" s="361" t="s">
        <v>5986</v>
      </c>
      <c r="F145" s="442" t="s">
        <v>4621</v>
      </c>
      <c r="G145" s="430">
        <v>44105</v>
      </c>
      <c r="H145" s="435">
        <f t="shared" si="5"/>
        <v>4</v>
      </c>
      <c r="I145" s="371"/>
    </row>
    <row r="146" spans="1:9">
      <c r="A146" s="370"/>
      <c r="B146" s="371"/>
      <c r="C146" s="371"/>
      <c r="D146" s="909"/>
      <c r="E146" s="371"/>
      <c r="F146" s="442"/>
      <c r="G146" s="431"/>
      <c r="H146" s="442"/>
      <c r="I146" s="371"/>
    </row>
    <row r="147" spans="1:9">
      <c r="A147" s="360">
        <v>18349021</v>
      </c>
      <c r="B147" s="361" t="s">
        <v>4858</v>
      </c>
      <c r="C147" s="361" t="s">
        <v>5222</v>
      </c>
      <c r="D147" s="465">
        <v>1</v>
      </c>
      <c r="E147" s="361" t="s">
        <v>6060</v>
      </c>
      <c r="F147" s="435" t="s">
        <v>4621</v>
      </c>
      <c r="G147" s="430">
        <v>41408</v>
      </c>
      <c r="H147" s="435">
        <f t="shared" si="5"/>
        <v>11</v>
      </c>
      <c r="I147" s="361"/>
    </row>
    <row r="148" spans="1:9">
      <c r="A148" s="1164"/>
      <c r="B148" s="1165"/>
      <c r="C148" s="1165"/>
      <c r="D148" s="1166"/>
      <c r="E148" s="1165"/>
      <c r="F148" s="1167"/>
      <c r="G148" s="1168"/>
      <c r="H148" s="1167"/>
      <c r="I148" s="1165"/>
    </row>
    <row r="149" spans="1:9">
      <c r="A149" s="1164">
        <v>18350884</v>
      </c>
      <c r="B149" s="1164" t="s">
        <v>6765</v>
      </c>
      <c r="C149" s="361" t="s">
        <v>5222</v>
      </c>
      <c r="D149" s="1166">
        <v>1</v>
      </c>
      <c r="E149" s="1165" t="s">
        <v>6766</v>
      </c>
      <c r="F149" s="1167" t="s">
        <v>4620</v>
      </c>
      <c r="G149" s="1168">
        <v>41089</v>
      </c>
      <c r="H149" s="435">
        <f t="shared" si="5"/>
        <v>12</v>
      </c>
      <c r="I149" s="1165"/>
    </row>
    <row r="150" spans="1:9">
      <c r="A150" s="360"/>
      <c r="B150" s="361"/>
      <c r="C150" s="361"/>
      <c r="D150" s="465"/>
      <c r="E150" s="361" t="s">
        <v>2904</v>
      </c>
      <c r="F150" s="435"/>
      <c r="G150" s="430"/>
      <c r="H150" s="435"/>
      <c r="I150" s="361"/>
    </row>
    <row r="151" spans="1:9">
      <c r="A151" s="360">
        <v>18378985</v>
      </c>
      <c r="B151" s="361" t="s">
        <v>4860</v>
      </c>
      <c r="C151" s="361" t="s">
        <v>5234</v>
      </c>
      <c r="D151" s="465">
        <v>1</v>
      </c>
      <c r="E151" s="361" t="s">
        <v>5685</v>
      </c>
      <c r="F151" s="435" t="s">
        <v>4620</v>
      </c>
      <c r="G151" s="430">
        <v>41659</v>
      </c>
      <c r="H151" s="435">
        <f t="shared" si="5"/>
        <v>11</v>
      </c>
      <c r="I151" s="361"/>
    </row>
    <row r="152" spans="1:9">
      <c r="A152" s="360"/>
      <c r="B152" s="361"/>
      <c r="C152" s="361"/>
      <c r="D152" s="465"/>
      <c r="E152" s="361" t="s">
        <v>2904</v>
      </c>
      <c r="F152" s="435"/>
      <c r="G152" s="430"/>
      <c r="H152" s="435"/>
      <c r="I152" s="361"/>
    </row>
    <row r="153" spans="1:9">
      <c r="A153" s="360">
        <v>18456576</v>
      </c>
      <c r="B153" s="361" t="s">
        <v>4862</v>
      </c>
      <c r="C153" s="361" t="s">
        <v>5240</v>
      </c>
      <c r="D153" s="465">
        <v>1</v>
      </c>
      <c r="E153" s="361" t="s">
        <v>6061</v>
      </c>
      <c r="F153" s="435" t="s">
        <v>4621</v>
      </c>
      <c r="G153" s="430">
        <v>42282</v>
      </c>
      <c r="H153" s="435">
        <f t="shared" si="5"/>
        <v>9</v>
      </c>
      <c r="I153" s="361"/>
    </row>
    <row r="154" spans="1:9">
      <c r="A154" s="360"/>
      <c r="B154" s="361"/>
      <c r="C154" s="361"/>
      <c r="D154" s="465"/>
      <c r="E154" s="361" t="s">
        <v>2904</v>
      </c>
      <c r="F154" s="435"/>
      <c r="G154" s="430"/>
      <c r="H154" s="435"/>
      <c r="I154" s="361"/>
    </row>
    <row r="155" spans="1:9">
      <c r="A155" s="360">
        <v>18458012</v>
      </c>
      <c r="B155" s="361" t="s">
        <v>4863</v>
      </c>
      <c r="C155" s="361" t="s">
        <v>5219</v>
      </c>
      <c r="D155" s="465">
        <v>2</v>
      </c>
      <c r="E155" s="361" t="s">
        <v>6064</v>
      </c>
      <c r="F155" s="435" t="s">
        <v>4620</v>
      </c>
      <c r="G155" s="430">
        <v>41842</v>
      </c>
      <c r="H155" s="435">
        <f t="shared" si="5"/>
        <v>10</v>
      </c>
      <c r="I155" s="361"/>
    </row>
    <row r="156" spans="1:9">
      <c r="A156" s="360">
        <v>18458012</v>
      </c>
      <c r="B156" s="361" t="s">
        <v>4863</v>
      </c>
      <c r="C156" s="361"/>
      <c r="D156" s="465"/>
      <c r="E156" s="361" t="s">
        <v>6065</v>
      </c>
      <c r="F156" s="435" t="s">
        <v>4620</v>
      </c>
      <c r="G156" s="430">
        <v>41013</v>
      </c>
      <c r="H156" s="435">
        <f t="shared" si="5"/>
        <v>12</v>
      </c>
      <c r="I156" s="361"/>
    </row>
    <row r="157" spans="1:9">
      <c r="A157" s="1164"/>
      <c r="B157" s="1165"/>
      <c r="C157" s="1165"/>
      <c r="D157" s="1166"/>
      <c r="E157" s="1165"/>
      <c r="F157" s="1167"/>
      <c r="G157" s="1168"/>
      <c r="H157" s="1167"/>
      <c r="I157" s="1165"/>
    </row>
    <row r="158" spans="1:9">
      <c r="A158" s="360">
        <v>18670458</v>
      </c>
      <c r="B158" s="361" t="s">
        <v>4864</v>
      </c>
      <c r="C158" s="361" t="s">
        <v>5247</v>
      </c>
      <c r="D158" s="465">
        <v>2</v>
      </c>
      <c r="E158" s="361" t="s">
        <v>5686</v>
      </c>
      <c r="F158" s="435" t="s">
        <v>4620</v>
      </c>
      <c r="G158" s="430">
        <v>42359</v>
      </c>
      <c r="H158" s="435">
        <f t="shared" si="5"/>
        <v>9</v>
      </c>
      <c r="I158" s="361"/>
    </row>
    <row r="159" spans="1:9">
      <c r="A159" s="360">
        <v>18670458</v>
      </c>
      <c r="B159" s="361" t="s">
        <v>4864</v>
      </c>
      <c r="C159" s="361"/>
      <c r="D159" s="465"/>
      <c r="E159" s="361" t="s">
        <v>5687</v>
      </c>
      <c r="F159" s="435" t="s">
        <v>4620</v>
      </c>
      <c r="G159" s="430">
        <v>41037</v>
      </c>
      <c r="H159" s="435">
        <f t="shared" si="5"/>
        <v>12</v>
      </c>
      <c r="I159" s="361"/>
    </row>
    <row r="160" spans="1:9">
      <c r="A160" s="360"/>
      <c r="B160" s="361"/>
      <c r="C160" s="361"/>
      <c r="D160" s="465"/>
      <c r="E160" s="361"/>
      <c r="F160" s="435"/>
      <c r="G160" s="430"/>
      <c r="H160" s="435"/>
      <c r="I160" s="361"/>
    </row>
    <row r="161" spans="1:9">
      <c r="A161" s="360">
        <v>18801597</v>
      </c>
      <c r="B161" s="361" t="s">
        <v>4865</v>
      </c>
      <c r="C161" s="361"/>
      <c r="D161" s="465">
        <v>1</v>
      </c>
      <c r="E161" s="361" t="s">
        <v>5689</v>
      </c>
      <c r="F161" s="435" t="s">
        <v>4620</v>
      </c>
      <c r="G161" s="430">
        <v>41366</v>
      </c>
      <c r="H161" s="435">
        <f t="shared" si="5"/>
        <v>11</v>
      </c>
      <c r="I161" s="361"/>
    </row>
    <row r="162" spans="1:9">
      <c r="A162" s="360"/>
      <c r="B162" s="361"/>
      <c r="C162" s="361"/>
      <c r="D162" s="465"/>
      <c r="E162" s="361"/>
      <c r="F162" s="435"/>
      <c r="G162" s="430"/>
      <c r="H162" s="435"/>
      <c r="I162" s="361"/>
    </row>
    <row r="163" spans="1:9">
      <c r="A163" s="360">
        <v>18802405</v>
      </c>
      <c r="B163" s="361" t="s">
        <v>4866</v>
      </c>
      <c r="C163" s="361" t="s">
        <v>5222</v>
      </c>
      <c r="D163" s="465">
        <v>2</v>
      </c>
      <c r="E163" s="361" t="s">
        <v>5690</v>
      </c>
      <c r="F163" s="435" t="s">
        <v>4620</v>
      </c>
      <c r="G163" s="430">
        <v>42499</v>
      </c>
      <c r="H163" s="435">
        <f t="shared" si="5"/>
        <v>8</v>
      </c>
      <c r="I163" s="361"/>
    </row>
    <row r="164" spans="1:9">
      <c r="A164" s="360">
        <v>18802405</v>
      </c>
      <c r="B164" s="361" t="s">
        <v>4866</v>
      </c>
      <c r="C164" s="936"/>
      <c r="D164" s="937"/>
      <c r="E164" s="361" t="s">
        <v>5995</v>
      </c>
      <c r="F164" s="435" t="s">
        <v>4621</v>
      </c>
      <c r="G164" s="430">
        <v>45238</v>
      </c>
      <c r="H164" s="435">
        <f t="shared" si="5"/>
        <v>1</v>
      </c>
      <c r="I164" s="936"/>
    </row>
    <row r="165" spans="1:9">
      <c r="A165" s="360"/>
      <c r="B165" s="361"/>
      <c r="C165" s="361"/>
      <c r="D165" s="465"/>
      <c r="E165" s="361"/>
      <c r="F165" s="435"/>
      <c r="G165" s="430"/>
      <c r="H165" s="435"/>
      <c r="I165" s="361"/>
    </row>
    <row r="166" spans="1:9">
      <c r="A166" s="360">
        <v>19101647</v>
      </c>
      <c r="B166" s="361" t="s">
        <v>4867</v>
      </c>
      <c r="C166" s="361"/>
      <c r="D166" s="465">
        <v>1</v>
      </c>
      <c r="E166" s="361" t="s">
        <v>5692</v>
      </c>
      <c r="F166" s="435" t="s">
        <v>4620</v>
      </c>
      <c r="G166" s="430">
        <v>41541</v>
      </c>
      <c r="H166" s="435">
        <f t="shared" si="5"/>
        <v>11</v>
      </c>
      <c r="I166" s="361"/>
    </row>
    <row r="167" spans="1:9">
      <c r="A167" s="360"/>
      <c r="B167" s="361"/>
      <c r="C167" s="361"/>
      <c r="D167" s="465"/>
      <c r="E167" s="361"/>
      <c r="F167" s="435"/>
      <c r="G167" s="430"/>
      <c r="H167" s="435"/>
      <c r="I167" s="361"/>
    </row>
    <row r="168" spans="1:9">
      <c r="A168" s="360"/>
      <c r="B168" s="361"/>
      <c r="C168" s="361"/>
      <c r="D168" s="465"/>
      <c r="E168" s="361" t="s">
        <v>2904</v>
      </c>
      <c r="F168" s="435"/>
      <c r="G168" s="430"/>
      <c r="H168" s="435"/>
      <c r="I168" s="361"/>
    </row>
    <row r="169" spans="1:9">
      <c r="A169" s="360">
        <v>19103118</v>
      </c>
      <c r="B169" s="361" t="s">
        <v>4869</v>
      </c>
      <c r="C169" s="361"/>
      <c r="D169" s="465">
        <v>1</v>
      </c>
      <c r="E169" s="361" t="s">
        <v>6067</v>
      </c>
      <c r="F169" s="435" t="s">
        <v>4621</v>
      </c>
      <c r="G169" s="430">
        <v>44153</v>
      </c>
      <c r="H169" s="435">
        <f t="shared" si="5"/>
        <v>4</v>
      </c>
      <c r="I169" s="361"/>
    </row>
    <row r="170" spans="1:9">
      <c r="A170" s="360"/>
      <c r="B170" s="361"/>
      <c r="C170" s="361"/>
      <c r="D170" s="465"/>
      <c r="E170" s="361"/>
      <c r="F170" s="435"/>
      <c r="G170" s="430"/>
      <c r="H170" s="435"/>
      <c r="I170" s="361"/>
    </row>
    <row r="171" spans="1:9">
      <c r="A171" s="360">
        <v>19103604</v>
      </c>
      <c r="B171" s="361" t="s">
        <v>4870</v>
      </c>
      <c r="C171" s="361" t="s">
        <v>5219</v>
      </c>
      <c r="D171" s="465">
        <v>2</v>
      </c>
      <c r="E171" s="361" t="s">
        <v>5693</v>
      </c>
      <c r="F171" s="435" t="s">
        <v>4621</v>
      </c>
      <c r="G171" s="430">
        <v>44130</v>
      </c>
      <c r="H171" s="435">
        <f t="shared" si="5"/>
        <v>4</v>
      </c>
      <c r="I171" s="361"/>
    </row>
    <row r="172" spans="1:9">
      <c r="A172" s="360">
        <v>19103604</v>
      </c>
      <c r="B172" s="361" t="s">
        <v>4870</v>
      </c>
      <c r="C172" s="361"/>
      <c r="D172" s="465"/>
      <c r="E172" s="361" t="s">
        <v>5694</v>
      </c>
      <c r="F172" s="435" t="s">
        <v>4620</v>
      </c>
      <c r="G172" s="430">
        <v>42129</v>
      </c>
      <c r="H172" s="435">
        <f t="shared" si="5"/>
        <v>9</v>
      </c>
      <c r="I172" s="361"/>
    </row>
    <row r="173" spans="1:9">
      <c r="A173" s="360"/>
      <c r="B173" s="361"/>
      <c r="C173" s="361"/>
      <c r="D173" s="465"/>
      <c r="E173" s="361"/>
      <c r="F173" s="435"/>
      <c r="G173" s="430"/>
      <c r="H173" s="435"/>
      <c r="I173" s="361"/>
    </row>
    <row r="174" spans="1:9">
      <c r="A174" s="360">
        <v>19103823</v>
      </c>
      <c r="B174" s="361" t="s">
        <v>4871</v>
      </c>
      <c r="C174" s="361"/>
      <c r="D174" s="465">
        <v>1</v>
      </c>
      <c r="E174" s="361" t="s">
        <v>6068</v>
      </c>
      <c r="F174" s="435" t="s">
        <v>4620</v>
      </c>
      <c r="G174" s="430">
        <v>44701</v>
      </c>
      <c r="H174" s="435">
        <f t="shared" si="5"/>
        <v>2</v>
      </c>
      <c r="I174" s="361"/>
    </row>
    <row r="175" spans="1:9">
      <c r="A175" s="360"/>
      <c r="B175" s="361"/>
      <c r="C175" s="361"/>
      <c r="D175" s="465"/>
      <c r="E175" s="361"/>
      <c r="F175" s="435"/>
      <c r="G175" s="430"/>
      <c r="H175" s="435"/>
      <c r="I175" s="361"/>
    </row>
    <row r="176" spans="1:9">
      <c r="A176" s="360">
        <v>19286780</v>
      </c>
      <c r="B176" s="361" t="s">
        <v>4874</v>
      </c>
      <c r="C176" s="361"/>
      <c r="D176" s="465">
        <v>1</v>
      </c>
      <c r="E176" s="361" t="s">
        <v>5698</v>
      </c>
      <c r="F176" s="435" t="s">
        <v>4620</v>
      </c>
      <c r="G176" s="430">
        <v>42164</v>
      </c>
      <c r="H176" s="435">
        <f t="shared" ref="H176:H225" si="6">DATEDIF(G176,$G$6,"Y")</f>
        <v>9</v>
      </c>
      <c r="I176" s="361"/>
    </row>
    <row r="177" spans="1:9">
      <c r="A177" s="360"/>
      <c r="B177" s="361"/>
      <c r="C177" s="361"/>
      <c r="D177" s="465"/>
      <c r="E177" s="361"/>
      <c r="F177" s="435"/>
      <c r="G177" s="430"/>
      <c r="H177" s="435"/>
      <c r="I177" s="361"/>
    </row>
    <row r="178" spans="1:9">
      <c r="A178" s="1164"/>
      <c r="B178" s="1165"/>
      <c r="C178" s="1165"/>
      <c r="D178" s="1166"/>
      <c r="E178" s="1165"/>
      <c r="F178" s="1167"/>
      <c r="G178" s="1168"/>
      <c r="H178" s="1167"/>
      <c r="I178" s="1165"/>
    </row>
    <row r="179" spans="1:9">
      <c r="A179" s="360"/>
      <c r="B179" s="361"/>
      <c r="C179" s="361"/>
      <c r="D179" s="465"/>
      <c r="E179" s="361" t="s">
        <v>2904</v>
      </c>
      <c r="F179" s="435"/>
      <c r="G179" s="430"/>
      <c r="H179" s="435"/>
      <c r="I179" s="361"/>
    </row>
    <row r="180" spans="1:9">
      <c r="A180" s="360">
        <v>19610534</v>
      </c>
      <c r="B180" s="361" t="s">
        <v>4876</v>
      </c>
      <c r="C180" s="361" t="s">
        <v>5222</v>
      </c>
      <c r="D180" s="465">
        <v>1</v>
      </c>
      <c r="E180" s="361" t="s">
        <v>6071</v>
      </c>
      <c r="F180" s="435" t="s">
        <v>4621</v>
      </c>
      <c r="G180" s="430">
        <v>43351</v>
      </c>
      <c r="H180" s="435">
        <f t="shared" si="6"/>
        <v>6</v>
      </c>
      <c r="I180" s="361"/>
    </row>
    <row r="181" spans="1:9">
      <c r="A181" s="360"/>
      <c r="B181" s="361"/>
      <c r="C181" s="361"/>
      <c r="D181" s="465"/>
      <c r="E181" s="361" t="s">
        <v>2904</v>
      </c>
      <c r="F181" s="435"/>
      <c r="G181" s="430"/>
      <c r="H181" s="435"/>
      <c r="I181" s="361"/>
    </row>
    <row r="182" spans="1:9">
      <c r="A182" s="360">
        <v>19610565</v>
      </c>
      <c r="B182" s="361" t="s">
        <v>4877</v>
      </c>
      <c r="C182" s="361" t="s">
        <v>5222</v>
      </c>
      <c r="D182" s="465">
        <v>2</v>
      </c>
      <c r="E182" s="361" t="s">
        <v>6072</v>
      </c>
      <c r="F182" s="435" t="s">
        <v>4621</v>
      </c>
      <c r="G182" s="430">
        <v>44441</v>
      </c>
      <c r="H182" s="435">
        <f t="shared" si="6"/>
        <v>3</v>
      </c>
      <c r="I182" s="361"/>
    </row>
    <row r="183" spans="1:9">
      <c r="A183" s="360">
        <v>19610565</v>
      </c>
      <c r="B183" s="361" t="s">
        <v>4877</v>
      </c>
      <c r="C183" s="361"/>
      <c r="D183" s="465"/>
      <c r="E183" s="361" t="s">
        <v>6073</v>
      </c>
      <c r="F183" s="435" t="s">
        <v>4620</v>
      </c>
      <c r="G183" s="430">
        <v>43215</v>
      </c>
      <c r="H183" s="435">
        <f t="shared" si="6"/>
        <v>6</v>
      </c>
      <c r="I183" s="361"/>
    </row>
    <row r="184" spans="1:9">
      <c r="A184" s="360"/>
      <c r="B184" s="361"/>
      <c r="C184" s="361"/>
      <c r="D184" s="465"/>
      <c r="E184" s="361"/>
      <c r="F184" s="435"/>
      <c r="G184" s="430"/>
      <c r="H184" s="435"/>
      <c r="I184" s="361"/>
    </row>
    <row r="185" spans="1:9">
      <c r="A185" s="1164"/>
      <c r="B185" s="1165"/>
      <c r="C185" s="1165"/>
      <c r="D185" s="1166"/>
      <c r="E185" s="1165"/>
      <c r="F185" s="1167"/>
      <c r="G185" s="1168"/>
      <c r="H185" s="1167"/>
      <c r="I185" s="1165"/>
    </row>
    <row r="186" spans="1:9">
      <c r="A186" s="1164">
        <v>19643806</v>
      </c>
      <c r="B186" s="1165" t="s">
        <v>6790</v>
      </c>
      <c r="C186" s="361" t="s">
        <v>5219</v>
      </c>
      <c r="D186" s="1166">
        <v>2</v>
      </c>
      <c r="E186" s="1165" t="s">
        <v>6792</v>
      </c>
      <c r="F186" s="1167" t="s">
        <v>4621</v>
      </c>
      <c r="G186" s="1168">
        <v>43011</v>
      </c>
      <c r="H186" s="435">
        <f t="shared" si="6"/>
        <v>7</v>
      </c>
      <c r="I186" s="1165"/>
    </row>
    <row r="187" spans="1:9">
      <c r="A187" s="1164">
        <v>19643806</v>
      </c>
      <c r="B187" s="1165" t="s">
        <v>6790</v>
      </c>
      <c r="C187" s="361" t="s">
        <v>5219</v>
      </c>
      <c r="D187" s="1166"/>
      <c r="E187" s="1165" t="s">
        <v>6793</v>
      </c>
      <c r="F187" s="1167" t="s">
        <v>4621</v>
      </c>
      <c r="G187" s="1168">
        <v>44043</v>
      </c>
      <c r="H187" s="435">
        <f t="shared" si="6"/>
        <v>4</v>
      </c>
      <c r="I187" s="1165"/>
    </row>
    <row r="188" spans="1:9">
      <c r="A188" s="360"/>
      <c r="B188" s="361"/>
      <c r="C188" s="361"/>
      <c r="D188" s="465"/>
      <c r="E188" s="361"/>
      <c r="F188" s="435"/>
      <c r="G188" s="430"/>
      <c r="H188" s="435"/>
      <c r="I188" s="361"/>
    </row>
    <row r="189" spans="1:9">
      <c r="A189" s="360">
        <v>19644756</v>
      </c>
      <c r="B189" s="361" t="s">
        <v>4881</v>
      </c>
      <c r="C189" s="361"/>
      <c r="D189" s="465">
        <v>1</v>
      </c>
      <c r="E189" s="361" t="s">
        <v>5703</v>
      </c>
      <c r="F189" s="435" t="s">
        <v>4621</v>
      </c>
      <c r="G189" s="430">
        <v>41255</v>
      </c>
      <c r="H189" s="435">
        <f t="shared" si="6"/>
        <v>12</v>
      </c>
      <c r="I189" s="361"/>
    </row>
    <row r="190" spans="1:9">
      <c r="A190" s="360"/>
      <c r="B190" s="361"/>
      <c r="C190" s="361"/>
      <c r="D190" s="465"/>
      <c r="E190" s="361"/>
      <c r="F190" s="435"/>
      <c r="G190" s="430"/>
      <c r="H190" s="435"/>
      <c r="I190" s="361"/>
    </row>
    <row r="191" spans="1:9">
      <c r="A191" s="360">
        <v>19794217</v>
      </c>
      <c r="B191" s="361" t="s">
        <v>4882</v>
      </c>
      <c r="C191" s="361" t="s">
        <v>5222</v>
      </c>
      <c r="D191" s="465">
        <v>1</v>
      </c>
      <c r="E191" s="361" t="s">
        <v>6074</v>
      </c>
      <c r="F191" s="435" t="s">
        <v>4620</v>
      </c>
      <c r="G191" s="430">
        <v>42502</v>
      </c>
      <c r="H191" s="435">
        <f t="shared" si="6"/>
        <v>8</v>
      </c>
      <c r="I191" s="361"/>
    </row>
    <row r="192" spans="1:9">
      <c r="A192" s="360"/>
      <c r="B192" s="361"/>
      <c r="C192" s="361"/>
      <c r="D192" s="465"/>
      <c r="E192" s="361" t="s">
        <v>2904</v>
      </c>
      <c r="F192" s="435"/>
      <c r="G192" s="430"/>
      <c r="H192" s="435"/>
      <c r="I192" s="361"/>
    </row>
    <row r="193" spans="1:9" s="1594" customFormat="1">
      <c r="A193" s="1589">
        <v>20038162</v>
      </c>
      <c r="B193" s="1590" t="s">
        <v>6926</v>
      </c>
      <c r="C193" s="1590" t="s">
        <v>5222</v>
      </c>
      <c r="D193" s="1591">
        <v>1</v>
      </c>
      <c r="E193" s="1590" t="s">
        <v>6927</v>
      </c>
      <c r="F193" s="1592" t="s">
        <v>4620</v>
      </c>
      <c r="G193" s="1593">
        <v>42389</v>
      </c>
      <c r="H193" s="1592">
        <f t="shared" ref="H193" si="7">DATEDIF(G193,$G$6,"Y")</f>
        <v>9</v>
      </c>
      <c r="I193" s="1590"/>
    </row>
    <row r="194" spans="1:9">
      <c r="A194" s="1164"/>
      <c r="B194" s="1165"/>
      <c r="C194" s="1165"/>
      <c r="D194" s="1166"/>
      <c r="E194" s="1165"/>
      <c r="F194" s="1167"/>
      <c r="G194" s="1168"/>
      <c r="H194" s="1167"/>
      <c r="I194" s="1165"/>
    </row>
    <row r="195" spans="1:9">
      <c r="A195" s="360">
        <v>20401711</v>
      </c>
      <c r="B195" s="361" t="s">
        <v>4887</v>
      </c>
      <c r="C195" s="361" t="s">
        <v>5221</v>
      </c>
      <c r="D195" s="465">
        <v>2</v>
      </c>
      <c r="E195" s="361" t="s">
        <v>6075</v>
      </c>
      <c r="F195" s="435" t="s">
        <v>4621</v>
      </c>
      <c r="G195" s="430">
        <v>41431</v>
      </c>
      <c r="H195" s="435">
        <f t="shared" si="6"/>
        <v>11</v>
      </c>
      <c r="I195" s="361"/>
    </row>
    <row r="196" spans="1:9">
      <c r="A196" s="360">
        <v>20401711</v>
      </c>
      <c r="B196" s="361" t="s">
        <v>4887</v>
      </c>
      <c r="C196" s="371"/>
      <c r="D196" s="909"/>
      <c r="E196" s="371" t="s">
        <v>6076</v>
      </c>
      <c r="F196" s="435" t="s">
        <v>4621</v>
      </c>
      <c r="G196" s="431">
        <v>45083</v>
      </c>
      <c r="H196" s="435">
        <f t="shared" si="6"/>
        <v>1</v>
      </c>
      <c r="I196" s="371"/>
    </row>
    <row r="197" spans="1:9">
      <c r="A197" s="1164"/>
      <c r="B197" s="1165"/>
      <c r="C197" s="1165"/>
      <c r="D197" s="1166"/>
      <c r="E197" s="1165"/>
      <c r="F197" s="1167"/>
      <c r="G197" s="1168"/>
      <c r="H197" s="1167"/>
      <c r="I197" s="1165"/>
    </row>
    <row r="198" spans="1:9">
      <c r="A198" s="1164">
        <v>20428039</v>
      </c>
      <c r="B198" s="1165" t="s">
        <v>6886</v>
      </c>
      <c r="C198" s="361" t="s">
        <v>5222</v>
      </c>
      <c r="D198" s="1166">
        <v>2</v>
      </c>
      <c r="E198" s="1165" t="s">
        <v>6889</v>
      </c>
      <c r="F198" s="1167" t="s">
        <v>4620</v>
      </c>
      <c r="G198" s="1168">
        <v>41316</v>
      </c>
      <c r="H198" s="435">
        <f t="shared" si="6"/>
        <v>11</v>
      </c>
      <c r="I198" s="1165"/>
    </row>
    <row r="199" spans="1:9">
      <c r="A199" s="1164">
        <v>20428039</v>
      </c>
      <c r="B199" s="1165" t="s">
        <v>6886</v>
      </c>
      <c r="C199" s="1165"/>
      <c r="D199" s="1166"/>
      <c r="E199" s="1165" t="s">
        <v>6890</v>
      </c>
      <c r="F199" s="1167" t="s">
        <v>4621</v>
      </c>
      <c r="G199" s="1168">
        <v>43923</v>
      </c>
      <c r="H199" s="435">
        <f t="shared" si="6"/>
        <v>4</v>
      </c>
      <c r="I199" s="1165"/>
    </row>
    <row r="200" spans="1:9">
      <c r="A200" s="360"/>
      <c r="B200" s="361"/>
      <c r="C200" s="361"/>
      <c r="D200" s="465"/>
      <c r="E200" s="361"/>
      <c r="F200" s="435"/>
      <c r="G200" s="430"/>
      <c r="H200" s="435"/>
      <c r="I200" s="361"/>
    </row>
    <row r="201" spans="1:9">
      <c r="A201" s="360">
        <v>20603227</v>
      </c>
      <c r="B201" s="361" t="s">
        <v>4888</v>
      </c>
      <c r="C201" s="361" t="s">
        <v>5224</v>
      </c>
      <c r="D201" s="465">
        <v>2</v>
      </c>
      <c r="E201" s="361" t="s">
        <v>5704</v>
      </c>
      <c r="F201" s="435" t="s">
        <v>4621</v>
      </c>
      <c r="G201" s="430">
        <v>41888</v>
      </c>
      <c r="H201" s="435">
        <f t="shared" si="6"/>
        <v>10</v>
      </c>
      <c r="I201" s="361"/>
    </row>
    <row r="202" spans="1:9">
      <c r="A202" s="360">
        <v>20603227</v>
      </c>
      <c r="B202" s="361" t="s">
        <v>4888</v>
      </c>
      <c r="C202" s="361"/>
      <c r="D202" s="465"/>
      <c r="E202" s="361" t="s">
        <v>5705</v>
      </c>
      <c r="F202" s="435" t="s">
        <v>4620</v>
      </c>
      <c r="G202" s="430">
        <v>41109</v>
      </c>
      <c r="H202" s="435">
        <f t="shared" si="6"/>
        <v>12</v>
      </c>
      <c r="I202" s="361"/>
    </row>
    <row r="203" spans="1:9">
      <c r="A203" s="360"/>
      <c r="B203" s="361"/>
      <c r="C203" s="361"/>
      <c r="D203" s="465"/>
      <c r="E203" s="361"/>
      <c r="F203" s="435"/>
      <c r="G203" s="430"/>
      <c r="H203" s="435"/>
      <c r="I203" s="361"/>
    </row>
    <row r="204" spans="1:9">
      <c r="A204" s="1023">
        <v>20655363</v>
      </c>
      <c r="B204" s="1024" t="s">
        <v>5996</v>
      </c>
      <c r="C204" s="1024"/>
      <c r="D204" s="1025">
        <v>1</v>
      </c>
      <c r="E204" s="361" t="s">
        <v>6009</v>
      </c>
      <c r="F204" s="435" t="s">
        <v>4620</v>
      </c>
      <c r="G204" s="430">
        <v>41583</v>
      </c>
      <c r="H204" s="435">
        <f t="shared" ref="H204" si="8">DATEDIF(G204,$G$6,"Y")</f>
        <v>11</v>
      </c>
      <c r="I204" s="1024"/>
    </row>
    <row r="205" spans="1:9">
      <c r="A205" s="1023"/>
      <c r="B205" s="1024"/>
      <c r="C205" s="1024"/>
      <c r="D205" s="1025"/>
      <c r="E205" s="1024"/>
      <c r="F205" s="1026"/>
      <c r="G205" s="1027"/>
      <c r="H205" s="1026"/>
      <c r="I205" s="1024"/>
    </row>
    <row r="206" spans="1:9">
      <c r="A206" s="360">
        <v>20789286</v>
      </c>
      <c r="B206" s="361" t="s">
        <v>4891</v>
      </c>
      <c r="C206" s="361" t="s">
        <v>5223</v>
      </c>
      <c r="D206" s="465">
        <v>1</v>
      </c>
      <c r="E206" s="361" t="s">
        <v>6077</v>
      </c>
      <c r="F206" s="435" t="s">
        <v>4621</v>
      </c>
      <c r="G206" s="430">
        <v>43527</v>
      </c>
      <c r="H206" s="435">
        <f t="shared" si="6"/>
        <v>5</v>
      </c>
      <c r="I206" s="361"/>
    </row>
    <row r="207" spans="1:9">
      <c r="A207" s="360"/>
      <c r="B207" s="361"/>
      <c r="C207" s="361"/>
      <c r="D207" s="465"/>
      <c r="E207" s="361" t="s">
        <v>2904</v>
      </c>
      <c r="F207" s="435"/>
      <c r="G207" s="430"/>
      <c r="H207" s="435"/>
      <c r="I207" s="361"/>
    </row>
    <row r="208" spans="1:9">
      <c r="A208" s="360">
        <v>22622493</v>
      </c>
      <c r="B208" s="361" t="s">
        <v>4899</v>
      </c>
      <c r="C208" s="361" t="s">
        <v>5222</v>
      </c>
      <c r="D208" s="465">
        <v>2</v>
      </c>
      <c r="E208" s="361" t="s">
        <v>5706</v>
      </c>
      <c r="F208" s="435" t="s">
        <v>4620</v>
      </c>
      <c r="G208" s="430">
        <v>43198</v>
      </c>
      <c r="H208" s="435">
        <f t="shared" si="6"/>
        <v>6</v>
      </c>
      <c r="I208" s="361"/>
    </row>
    <row r="209" spans="1:9">
      <c r="A209" s="360">
        <v>22622493</v>
      </c>
      <c r="B209" s="361" t="s">
        <v>4899</v>
      </c>
      <c r="C209" s="361"/>
      <c r="D209" s="465"/>
      <c r="E209" s="361" t="s">
        <v>5707</v>
      </c>
      <c r="F209" s="435" t="s">
        <v>4620</v>
      </c>
      <c r="G209" s="430">
        <v>41153</v>
      </c>
      <c r="H209" s="435">
        <f t="shared" si="6"/>
        <v>12</v>
      </c>
      <c r="I209" s="361"/>
    </row>
    <row r="210" spans="1:9">
      <c r="A210" s="360"/>
      <c r="B210" s="361"/>
      <c r="C210" s="361"/>
      <c r="D210" s="465"/>
      <c r="E210" s="361"/>
      <c r="F210" s="435"/>
      <c r="G210" s="430"/>
      <c r="H210" s="435"/>
      <c r="I210" s="361"/>
    </row>
    <row r="211" spans="1:9">
      <c r="A211" s="360">
        <v>24135378</v>
      </c>
      <c r="B211" s="361" t="s">
        <v>4903</v>
      </c>
      <c r="C211" s="361" t="s">
        <v>5223</v>
      </c>
      <c r="D211" s="465">
        <v>2</v>
      </c>
      <c r="E211" s="361" t="s">
        <v>5708</v>
      </c>
      <c r="F211" s="435" t="s">
        <v>4620</v>
      </c>
      <c r="G211" s="430">
        <v>41603</v>
      </c>
      <c r="H211" s="435">
        <f t="shared" si="6"/>
        <v>11</v>
      </c>
      <c r="I211" s="361"/>
    </row>
    <row r="212" spans="1:9">
      <c r="A212" s="360">
        <v>24135378</v>
      </c>
      <c r="B212" s="361" t="s">
        <v>4903</v>
      </c>
      <c r="C212" s="361"/>
      <c r="D212" s="465"/>
      <c r="E212" s="361" t="s">
        <v>5709</v>
      </c>
      <c r="F212" s="435" t="s">
        <v>4620</v>
      </c>
      <c r="G212" s="430">
        <v>43081</v>
      </c>
      <c r="H212" s="435">
        <f t="shared" si="6"/>
        <v>7</v>
      </c>
      <c r="I212" s="361"/>
    </row>
    <row r="213" spans="1:9">
      <c r="A213" s="360"/>
      <c r="B213" s="361"/>
      <c r="C213" s="361"/>
      <c r="D213" s="465"/>
      <c r="E213" s="361"/>
      <c r="F213" s="435"/>
      <c r="G213" s="430"/>
      <c r="H213" s="435"/>
      <c r="I213" s="361"/>
    </row>
    <row r="214" spans="1:9">
      <c r="A214" s="360">
        <v>24136795</v>
      </c>
      <c r="B214" s="361" t="s">
        <v>4905</v>
      </c>
      <c r="C214" s="361" t="s">
        <v>5270</v>
      </c>
      <c r="D214" s="465">
        <v>2</v>
      </c>
      <c r="E214" s="361" t="s">
        <v>5710</v>
      </c>
      <c r="F214" s="435" t="s">
        <v>4620</v>
      </c>
      <c r="G214" s="430">
        <v>44446</v>
      </c>
      <c r="H214" s="435">
        <f t="shared" si="6"/>
        <v>3</v>
      </c>
      <c r="I214" s="361"/>
    </row>
    <row r="215" spans="1:9">
      <c r="A215" s="360">
        <v>24136795</v>
      </c>
      <c r="B215" s="361" t="s">
        <v>4905</v>
      </c>
      <c r="C215" s="936"/>
      <c r="D215" s="937"/>
      <c r="E215" s="361" t="s">
        <v>5995</v>
      </c>
      <c r="F215" s="435" t="s">
        <v>4621</v>
      </c>
      <c r="G215" s="430">
        <v>45238</v>
      </c>
      <c r="H215" s="435">
        <f t="shared" si="6"/>
        <v>1</v>
      </c>
      <c r="I215" s="936"/>
    </row>
    <row r="216" spans="1:9">
      <c r="A216" s="360"/>
      <c r="B216" s="361"/>
      <c r="C216" s="361"/>
      <c r="D216" s="465"/>
      <c r="E216" s="361"/>
      <c r="F216" s="435"/>
      <c r="G216" s="430"/>
      <c r="H216" s="435"/>
      <c r="I216" s="361"/>
    </row>
    <row r="217" spans="1:9">
      <c r="A217" s="360">
        <v>24385729</v>
      </c>
      <c r="B217" s="361" t="s">
        <v>6905</v>
      </c>
      <c r="C217" s="361" t="s">
        <v>5984</v>
      </c>
      <c r="D217" s="465">
        <v>1</v>
      </c>
      <c r="E217" s="361" t="s">
        <v>6144</v>
      </c>
      <c r="F217" s="435" t="s">
        <v>4620</v>
      </c>
      <c r="G217" s="430">
        <v>43432</v>
      </c>
      <c r="H217" s="435">
        <f t="shared" ref="H217" si="9">DATEDIF(G217,$G$6,"Y")</f>
        <v>6</v>
      </c>
      <c r="I217" s="1165"/>
    </row>
    <row r="218" spans="1:9">
      <c r="A218" s="1164"/>
      <c r="B218" s="1165"/>
      <c r="C218" s="1165"/>
      <c r="D218" s="1166"/>
      <c r="E218" s="1165"/>
      <c r="F218" s="1167"/>
      <c r="G218" s="1168"/>
      <c r="H218" s="1167"/>
      <c r="I218" s="1165"/>
    </row>
    <row r="219" spans="1:9">
      <c r="A219" s="360">
        <v>25006139</v>
      </c>
      <c r="B219" s="361" t="s">
        <v>4908</v>
      </c>
      <c r="C219" s="361" t="s">
        <v>5222</v>
      </c>
      <c r="D219" s="465">
        <v>1</v>
      </c>
      <c r="E219" s="361" t="s">
        <v>5711</v>
      </c>
      <c r="F219" s="435" t="s">
        <v>4620</v>
      </c>
      <c r="G219" s="430">
        <v>44000</v>
      </c>
      <c r="H219" s="435">
        <f t="shared" si="6"/>
        <v>4</v>
      </c>
      <c r="I219" s="361"/>
    </row>
    <row r="220" spans="1:9">
      <c r="A220" s="360"/>
      <c r="B220" s="361"/>
      <c r="C220" s="361"/>
      <c r="D220" s="465"/>
      <c r="E220" s="361"/>
      <c r="F220" s="435"/>
      <c r="G220" s="430"/>
      <c r="H220" s="435"/>
      <c r="I220" s="361"/>
    </row>
    <row r="221" spans="1:9">
      <c r="A221" s="360">
        <v>25006878</v>
      </c>
      <c r="B221" s="361" t="s">
        <v>5498</v>
      </c>
      <c r="C221" s="361" t="s">
        <v>5222</v>
      </c>
      <c r="D221" s="465">
        <v>1</v>
      </c>
      <c r="E221" s="361" t="s">
        <v>5713</v>
      </c>
      <c r="F221" s="435" t="s">
        <v>4620</v>
      </c>
      <c r="G221" s="430">
        <v>43286</v>
      </c>
      <c r="H221" s="435">
        <f>DATEDIF(G221,$G$6,"Y")</f>
        <v>6</v>
      </c>
      <c r="I221" s="361"/>
    </row>
    <row r="222" spans="1:9">
      <c r="A222" s="370"/>
      <c r="B222" s="371"/>
      <c r="C222" s="371"/>
      <c r="D222" s="909"/>
      <c r="E222" s="371"/>
      <c r="F222" s="442"/>
      <c r="G222" s="431"/>
      <c r="H222" s="442"/>
      <c r="I222" s="371"/>
    </row>
    <row r="223" spans="1:9">
      <c r="A223" s="360">
        <v>25096069</v>
      </c>
      <c r="B223" s="361" t="s">
        <v>4909</v>
      </c>
      <c r="C223" s="361" t="s">
        <v>5222</v>
      </c>
      <c r="D223" s="465">
        <v>1</v>
      </c>
      <c r="E223" s="361" t="s">
        <v>5712</v>
      </c>
      <c r="F223" s="435" t="s">
        <v>4620</v>
      </c>
      <c r="G223" s="430">
        <v>43624</v>
      </c>
      <c r="H223" s="435">
        <f t="shared" si="6"/>
        <v>5</v>
      </c>
      <c r="I223" s="361"/>
    </row>
    <row r="224" spans="1:9">
      <c r="A224" s="1164"/>
      <c r="B224" s="1165"/>
      <c r="C224" s="1165"/>
      <c r="D224" s="1166"/>
      <c r="E224" s="1165"/>
      <c r="F224" s="1167"/>
      <c r="G224" s="1168"/>
      <c r="H224" s="1167"/>
      <c r="I224" s="1165"/>
    </row>
    <row r="225" spans="1:9">
      <c r="A225" s="1164">
        <v>25173139</v>
      </c>
      <c r="B225" s="1165" t="s">
        <v>6825</v>
      </c>
      <c r="C225" s="1165" t="s">
        <v>5268</v>
      </c>
      <c r="D225" s="1166">
        <v>1</v>
      </c>
      <c r="E225" s="1165" t="s">
        <v>6828</v>
      </c>
      <c r="F225" s="1167" t="s">
        <v>4621</v>
      </c>
      <c r="G225" s="1168">
        <v>44566</v>
      </c>
      <c r="H225" s="435">
        <f t="shared" si="6"/>
        <v>3</v>
      </c>
      <c r="I225" s="1165"/>
    </row>
    <row r="226" spans="1:9">
      <c r="A226" s="360"/>
      <c r="B226" s="361"/>
      <c r="C226" s="361"/>
      <c r="D226" s="465"/>
      <c r="E226" s="361"/>
      <c r="F226" s="435"/>
      <c r="G226" s="430"/>
      <c r="H226" s="435"/>
      <c r="I226" s="361"/>
    </row>
    <row r="227" spans="1:9">
      <c r="A227" s="360">
        <v>25173983</v>
      </c>
      <c r="B227" s="361" t="s">
        <v>4910</v>
      </c>
      <c r="C227" s="361" t="s">
        <v>5222</v>
      </c>
      <c r="D227" s="465">
        <v>1</v>
      </c>
      <c r="E227" s="361" t="s">
        <v>5714</v>
      </c>
      <c r="F227" s="435" t="s">
        <v>4620</v>
      </c>
      <c r="G227" s="430">
        <v>43827</v>
      </c>
      <c r="H227" s="435">
        <f t="shared" ref="H227:H259" si="10">DATEDIF(G227,$G$6,"Y")</f>
        <v>5</v>
      </c>
      <c r="I227" s="361"/>
    </row>
    <row r="228" spans="1:9">
      <c r="A228" s="360"/>
      <c r="B228" s="361"/>
      <c r="C228" s="361"/>
      <c r="D228" s="465"/>
      <c r="E228" s="361"/>
      <c r="F228" s="435"/>
      <c r="G228" s="430"/>
      <c r="H228" s="435"/>
      <c r="I228" s="361"/>
    </row>
    <row r="229" spans="1:9">
      <c r="A229" s="360">
        <v>25303390</v>
      </c>
      <c r="B229" s="361" t="s">
        <v>4911</v>
      </c>
      <c r="C229" s="361" t="s">
        <v>5222</v>
      </c>
      <c r="D229" s="465">
        <v>2</v>
      </c>
      <c r="E229" s="361" t="s">
        <v>5715</v>
      </c>
      <c r="F229" s="435" t="s">
        <v>4620</v>
      </c>
      <c r="G229" s="430">
        <v>41644</v>
      </c>
      <c r="H229" s="435">
        <f t="shared" si="10"/>
        <v>11</v>
      </c>
      <c r="I229" s="361"/>
    </row>
    <row r="230" spans="1:9">
      <c r="A230" s="360">
        <v>25303390</v>
      </c>
      <c r="B230" s="361" t="s">
        <v>4911</v>
      </c>
      <c r="C230" s="361"/>
      <c r="D230" s="465"/>
      <c r="E230" s="361" t="s">
        <v>5716</v>
      </c>
      <c r="F230" s="435" t="s">
        <v>4620</v>
      </c>
      <c r="G230" s="430">
        <v>43288</v>
      </c>
      <c r="H230" s="435">
        <f t="shared" si="10"/>
        <v>6</v>
      </c>
      <c r="I230" s="361"/>
    </row>
    <row r="231" spans="1:9">
      <c r="A231" s="1164"/>
      <c r="B231" s="1165"/>
      <c r="C231" s="1165"/>
      <c r="D231" s="1166"/>
      <c r="E231" s="1165"/>
      <c r="F231" s="1167"/>
      <c r="G231" s="1168"/>
      <c r="H231" s="1167"/>
      <c r="I231" s="1165"/>
    </row>
    <row r="232" spans="1:9">
      <c r="A232" s="1164">
        <v>25454143</v>
      </c>
      <c r="B232" s="1165" t="s">
        <v>6818</v>
      </c>
      <c r="C232" s="361" t="s">
        <v>5222</v>
      </c>
      <c r="D232" s="1166">
        <v>1</v>
      </c>
      <c r="E232" s="1165" t="s">
        <v>6821</v>
      </c>
      <c r="F232" s="1167" t="s">
        <v>4620</v>
      </c>
      <c r="G232" s="1168">
        <v>44493</v>
      </c>
      <c r="H232" s="435">
        <f t="shared" si="10"/>
        <v>3</v>
      </c>
      <c r="I232" s="1165"/>
    </row>
    <row r="233" spans="1:9">
      <c r="A233" s="1164"/>
      <c r="B233" s="1165"/>
      <c r="C233" s="1165"/>
      <c r="D233" s="1166"/>
      <c r="E233" s="1165"/>
      <c r="F233" s="1167"/>
      <c r="G233" s="1168"/>
      <c r="H233" s="1167"/>
      <c r="I233" s="1165"/>
    </row>
    <row r="234" spans="1:9">
      <c r="A234" s="360">
        <v>25619540</v>
      </c>
      <c r="B234" s="361" t="s">
        <v>4913</v>
      </c>
      <c r="C234" s="361" t="s">
        <v>5222</v>
      </c>
      <c r="D234" s="465">
        <v>2</v>
      </c>
      <c r="E234" s="361" t="s">
        <v>6078</v>
      </c>
      <c r="F234" s="435" t="s">
        <v>4621</v>
      </c>
      <c r="G234" s="430">
        <v>42550</v>
      </c>
      <c r="H234" s="435">
        <f t="shared" si="10"/>
        <v>8</v>
      </c>
      <c r="I234" s="361" t="s">
        <v>5651</v>
      </c>
    </row>
    <row r="235" spans="1:9">
      <c r="A235" s="360">
        <v>25619540</v>
      </c>
      <c r="B235" s="361" t="s">
        <v>4913</v>
      </c>
      <c r="C235" s="361"/>
      <c r="D235" s="465"/>
      <c r="E235" s="361" t="s">
        <v>6079</v>
      </c>
      <c r="F235" s="435" t="s">
        <v>4621</v>
      </c>
      <c r="G235" s="430">
        <v>42550</v>
      </c>
      <c r="H235" s="435">
        <f t="shared" si="10"/>
        <v>8</v>
      </c>
      <c r="I235" s="361"/>
    </row>
    <row r="236" spans="1:9">
      <c r="A236" s="360"/>
      <c r="B236" s="361"/>
      <c r="C236" s="361"/>
      <c r="D236" s="465"/>
      <c r="E236" s="361"/>
      <c r="F236" s="435"/>
      <c r="G236" s="430"/>
      <c r="H236" s="435"/>
      <c r="I236" s="361"/>
    </row>
    <row r="237" spans="1:9">
      <c r="A237" s="360">
        <v>26094690</v>
      </c>
      <c r="B237" s="361" t="s">
        <v>5525</v>
      </c>
      <c r="C237" s="361" t="s">
        <v>5222</v>
      </c>
      <c r="D237" s="465">
        <v>2</v>
      </c>
      <c r="E237" s="361" t="s">
        <v>5744</v>
      </c>
      <c r="F237" s="435" t="s">
        <v>4621</v>
      </c>
      <c r="G237" s="430">
        <v>44272</v>
      </c>
      <c r="H237" s="435">
        <f t="shared" si="10"/>
        <v>3</v>
      </c>
      <c r="I237" s="361"/>
    </row>
    <row r="238" spans="1:9">
      <c r="A238" s="360">
        <v>26094690</v>
      </c>
      <c r="B238" s="361" t="s">
        <v>5525</v>
      </c>
      <c r="C238" s="361"/>
      <c r="D238" s="465"/>
      <c r="E238" s="361" t="s">
        <v>5745</v>
      </c>
      <c r="F238" s="435" t="s">
        <v>4620</v>
      </c>
      <c r="G238" s="430">
        <v>43542</v>
      </c>
      <c r="H238" s="435">
        <f t="shared" si="10"/>
        <v>5</v>
      </c>
      <c r="I238" s="361"/>
    </row>
    <row r="239" spans="1:9">
      <c r="A239" s="360"/>
      <c r="B239" s="361"/>
      <c r="C239" s="361"/>
      <c r="D239" s="465"/>
      <c r="E239" s="361"/>
      <c r="F239" s="435"/>
      <c r="G239" s="430"/>
      <c r="H239" s="435"/>
      <c r="I239" s="361"/>
    </row>
    <row r="240" spans="1:9">
      <c r="A240" s="360">
        <v>26413871</v>
      </c>
      <c r="B240" s="361" t="s">
        <v>4917</v>
      </c>
      <c r="C240" s="361" t="s">
        <v>5222</v>
      </c>
      <c r="D240" s="465">
        <v>2</v>
      </c>
      <c r="E240" s="361" t="s">
        <v>5717</v>
      </c>
      <c r="F240" s="435" t="s">
        <v>4620</v>
      </c>
      <c r="G240" s="430">
        <v>42504</v>
      </c>
      <c r="H240" s="435">
        <f t="shared" si="10"/>
        <v>8</v>
      </c>
      <c r="I240" s="361"/>
    </row>
    <row r="241" spans="1:9">
      <c r="A241" s="360">
        <v>26413871</v>
      </c>
      <c r="B241" s="361" t="s">
        <v>4917</v>
      </c>
      <c r="C241" s="361"/>
      <c r="D241" s="465"/>
      <c r="E241" s="361" t="s">
        <v>5718</v>
      </c>
      <c r="F241" s="435" t="s">
        <v>4620</v>
      </c>
      <c r="G241" s="430">
        <v>43628</v>
      </c>
      <c r="H241" s="435">
        <f t="shared" si="10"/>
        <v>5</v>
      </c>
      <c r="I241" s="361"/>
    </row>
    <row r="242" spans="1:9">
      <c r="A242" s="360"/>
      <c r="B242" s="361"/>
      <c r="C242" s="361"/>
      <c r="D242" s="465"/>
      <c r="E242" s="361"/>
      <c r="F242" s="435"/>
      <c r="G242" s="430"/>
      <c r="H242" s="435"/>
      <c r="I242" s="361"/>
    </row>
    <row r="243" spans="1:9">
      <c r="A243" s="360">
        <v>26591879</v>
      </c>
      <c r="B243" s="361" t="s">
        <v>4918</v>
      </c>
      <c r="C243" s="361" t="s">
        <v>5272</v>
      </c>
      <c r="D243" s="465">
        <v>1</v>
      </c>
      <c r="E243" s="361" t="s">
        <v>6082</v>
      </c>
      <c r="F243" s="435" t="s">
        <v>4621</v>
      </c>
      <c r="G243" s="430">
        <v>44525</v>
      </c>
      <c r="H243" s="435">
        <f t="shared" si="10"/>
        <v>3</v>
      </c>
      <c r="I243" s="361"/>
    </row>
    <row r="244" spans="1:9">
      <c r="A244" s="360"/>
      <c r="B244" s="361"/>
      <c r="C244" s="361"/>
      <c r="D244" s="465"/>
      <c r="E244" s="361"/>
      <c r="F244" s="435"/>
      <c r="G244" s="430"/>
      <c r="H244" s="435"/>
      <c r="I244" s="361"/>
    </row>
    <row r="245" spans="1:9">
      <c r="A245" s="360">
        <v>26690908</v>
      </c>
      <c r="B245" s="361" t="s">
        <v>4919</v>
      </c>
      <c r="C245" s="361" t="s">
        <v>5222</v>
      </c>
      <c r="D245" s="465">
        <v>1</v>
      </c>
      <c r="E245" s="361" t="s">
        <v>5719</v>
      </c>
      <c r="F245" s="435" t="s">
        <v>4620</v>
      </c>
      <c r="G245" s="430">
        <v>42389</v>
      </c>
      <c r="H245" s="435">
        <f t="shared" si="10"/>
        <v>9</v>
      </c>
      <c r="I245" s="361"/>
    </row>
    <row r="246" spans="1:9">
      <c r="A246" s="360"/>
      <c r="B246" s="361"/>
      <c r="C246" s="361"/>
      <c r="D246" s="465"/>
      <c r="E246" s="361"/>
      <c r="F246" s="435"/>
      <c r="G246" s="430"/>
      <c r="H246" s="435"/>
      <c r="I246" s="361"/>
    </row>
    <row r="247" spans="1:9">
      <c r="A247" s="360">
        <v>26962104</v>
      </c>
      <c r="B247" s="361" t="s">
        <v>4920</v>
      </c>
      <c r="C247" s="361" t="s">
        <v>5235</v>
      </c>
      <c r="D247" s="465">
        <v>1</v>
      </c>
      <c r="E247" s="361" t="s">
        <v>5720</v>
      </c>
      <c r="F247" s="435" t="s">
        <v>4621</v>
      </c>
      <c r="G247" s="430">
        <v>44830</v>
      </c>
      <c r="H247" s="435">
        <f t="shared" si="10"/>
        <v>2</v>
      </c>
      <c r="I247" s="361"/>
    </row>
    <row r="248" spans="1:9">
      <c r="A248" s="1164"/>
      <c r="B248" s="1165"/>
      <c r="C248" s="1165"/>
      <c r="D248" s="1166"/>
      <c r="E248" s="1165"/>
      <c r="F248" s="1167"/>
      <c r="G248" s="1168"/>
      <c r="H248" s="1167"/>
      <c r="I248" s="1165"/>
    </row>
    <row r="249" spans="1:9">
      <c r="A249" s="1164">
        <v>27251885</v>
      </c>
      <c r="B249" s="1165" t="s">
        <v>6737</v>
      </c>
      <c r="C249" s="361" t="s">
        <v>5222</v>
      </c>
      <c r="D249" s="1166">
        <v>1</v>
      </c>
      <c r="E249" s="1165" t="s">
        <v>6740</v>
      </c>
      <c r="F249" s="1167" t="s">
        <v>4620</v>
      </c>
      <c r="G249" s="1168">
        <v>43898</v>
      </c>
      <c r="H249" s="435">
        <f t="shared" si="10"/>
        <v>4</v>
      </c>
      <c r="I249" s="1165"/>
    </row>
    <row r="250" spans="1:9">
      <c r="A250" s="1164"/>
      <c r="B250" s="1165"/>
      <c r="C250" s="1165"/>
      <c r="D250" s="1166"/>
      <c r="E250" s="1165"/>
      <c r="F250" s="1167"/>
      <c r="G250" s="1168"/>
      <c r="H250" s="1167"/>
      <c r="I250" s="1165"/>
    </row>
    <row r="251" spans="1:9">
      <c r="A251" s="1164">
        <v>27251899</v>
      </c>
      <c r="B251" s="1165" t="s">
        <v>6733</v>
      </c>
      <c r="C251" s="361" t="s">
        <v>5222</v>
      </c>
      <c r="D251" s="1166">
        <v>1</v>
      </c>
      <c r="E251" s="1165" t="s">
        <v>6736</v>
      </c>
      <c r="F251" s="1167" t="s">
        <v>4620</v>
      </c>
      <c r="G251" s="1168">
        <v>44725</v>
      </c>
      <c r="H251" s="435">
        <f t="shared" si="10"/>
        <v>2</v>
      </c>
      <c r="I251" s="1165"/>
    </row>
    <row r="252" spans="1:9">
      <c r="A252" s="1164"/>
      <c r="B252" s="1165"/>
      <c r="C252" s="1165"/>
      <c r="D252" s="1166"/>
      <c r="E252" s="1165"/>
      <c r="F252" s="1167"/>
      <c r="G252" s="1168"/>
      <c r="H252" s="1167"/>
      <c r="I252" s="1165"/>
    </row>
    <row r="253" spans="1:9">
      <c r="A253" s="1164">
        <v>27415737</v>
      </c>
      <c r="B253" s="1165" t="s">
        <v>4922</v>
      </c>
      <c r="C253" s="361" t="s">
        <v>5235</v>
      </c>
      <c r="D253" s="1166">
        <v>1</v>
      </c>
      <c r="E253" s="1165" t="s">
        <v>6885</v>
      </c>
      <c r="F253" s="1167" t="s">
        <v>4620</v>
      </c>
      <c r="G253" s="1168">
        <v>45541</v>
      </c>
      <c r="H253" s="435">
        <f t="shared" si="10"/>
        <v>0</v>
      </c>
      <c r="I253" s="1165"/>
    </row>
    <row r="254" spans="1:9">
      <c r="A254" s="360"/>
      <c r="B254" s="361"/>
      <c r="C254" s="361"/>
      <c r="D254" s="465"/>
      <c r="E254" s="361"/>
      <c r="F254" s="435"/>
      <c r="G254" s="430"/>
      <c r="H254" s="435"/>
      <c r="I254" s="361"/>
    </row>
    <row r="255" spans="1:9">
      <c r="A255" s="360">
        <v>27628603</v>
      </c>
      <c r="B255" s="361" t="s">
        <v>5784</v>
      </c>
      <c r="C255" s="361" t="s">
        <v>5789</v>
      </c>
      <c r="D255" s="465">
        <v>1</v>
      </c>
      <c r="E255" s="361" t="s">
        <v>5801</v>
      </c>
      <c r="F255" s="435" t="s">
        <v>4621</v>
      </c>
      <c r="G255" s="430">
        <v>43813</v>
      </c>
      <c r="H255" s="435">
        <v>3</v>
      </c>
      <c r="I255" s="361"/>
    </row>
    <row r="256" spans="1:9">
      <c r="A256" s="370"/>
      <c r="B256" s="371"/>
      <c r="C256" s="371"/>
      <c r="D256" s="909"/>
      <c r="E256" s="371"/>
      <c r="F256" s="442"/>
      <c r="G256" s="431"/>
      <c r="H256" s="442"/>
      <c r="I256" s="371"/>
    </row>
    <row r="257" spans="1:9">
      <c r="A257" s="360">
        <v>27889180</v>
      </c>
      <c r="B257" s="361" t="s">
        <v>4924</v>
      </c>
      <c r="C257" s="361" t="s">
        <v>5273</v>
      </c>
      <c r="D257" s="465">
        <v>1</v>
      </c>
      <c r="E257" s="361" t="s">
        <v>5721</v>
      </c>
      <c r="F257" s="435" t="s">
        <v>4620</v>
      </c>
      <c r="G257" s="430">
        <v>44883</v>
      </c>
      <c r="H257" s="435">
        <f t="shared" si="10"/>
        <v>2</v>
      </c>
      <c r="I257" s="361"/>
    </row>
    <row r="258" spans="1:9">
      <c r="A258" s="360"/>
      <c r="B258" s="361"/>
      <c r="C258" s="361"/>
      <c r="D258" s="465"/>
      <c r="E258" s="361"/>
      <c r="F258" s="435"/>
      <c r="G258" s="430"/>
      <c r="H258" s="435"/>
      <c r="I258" s="361"/>
    </row>
    <row r="259" spans="1:9">
      <c r="A259" s="360">
        <v>29585477</v>
      </c>
      <c r="B259" s="361" t="s">
        <v>4929</v>
      </c>
      <c r="C259" s="361" t="s">
        <v>5232</v>
      </c>
      <c r="D259" s="465">
        <v>1</v>
      </c>
      <c r="E259" s="361" t="s">
        <v>5722</v>
      </c>
      <c r="F259" s="435" t="s">
        <v>4621</v>
      </c>
      <c r="G259" s="430">
        <v>43783</v>
      </c>
      <c r="H259" s="435">
        <f t="shared" si="10"/>
        <v>5</v>
      </c>
      <c r="I259" s="361"/>
    </row>
    <row r="260" spans="1:9">
      <c r="A260" s="360"/>
      <c r="B260" s="361"/>
      <c r="C260" s="361"/>
      <c r="D260" s="465"/>
      <c r="E260" s="361"/>
      <c r="F260" s="435"/>
      <c r="G260" s="430"/>
      <c r="H260" s="435"/>
      <c r="I260" s="361"/>
    </row>
    <row r="261" spans="1:9">
      <c r="A261" s="360"/>
      <c r="B261" s="361"/>
      <c r="C261" s="361"/>
      <c r="D261" s="465"/>
      <c r="E261" s="361"/>
      <c r="F261" s="435"/>
      <c r="G261" s="430"/>
      <c r="H261" s="435"/>
      <c r="I261" s="361"/>
    </row>
    <row r="262" spans="1:9">
      <c r="A262" s="360">
        <v>26235963</v>
      </c>
      <c r="B262" s="361" t="s">
        <v>6148</v>
      </c>
      <c r="C262" s="361" t="s">
        <v>5267</v>
      </c>
      <c r="D262" s="465">
        <v>1</v>
      </c>
      <c r="E262" s="361" t="s">
        <v>6151</v>
      </c>
      <c r="F262" s="435" t="s">
        <v>4621</v>
      </c>
      <c r="G262" s="430">
        <v>42877</v>
      </c>
      <c r="H262" s="435">
        <f t="shared" ref="H262" si="11">DATEDIF(G262,$G$6,"Y")</f>
        <v>7</v>
      </c>
      <c r="I262" s="361"/>
    </row>
    <row r="263" spans="1:9">
      <c r="A263" s="360"/>
      <c r="B263" s="361"/>
      <c r="C263" s="361"/>
      <c r="D263" s="465"/>
      <c r="E263" s="361"/>
      <c r="F263" s="435"/>
      <c r="G263" s="430"/>
      <c r="H263" s="435"/>
      <c r="I263" s="361"/>
    </row>
    <row r="264" spans="1:9">
      <c r="A264" s="360"/>
      <c r="B264" s="361"/>
      <c r="C264" s="361"/>
      <c r="D264" s="465"/>
      <c r="E264" s="361"/>
      <c r="F264" s="435"/>
      <c r="G264" s="430"/>
      <c r="H264" s="435"/>
      <c r="I264" s="361"/>
    </row>
    <row r="265" spans="1:9">
      <c r="A265" s="360"/>
      <c r="B265" s="361"/>
      <c r="C265" s="361"/>
      <c r="D265" s="465"/>
      <c r="E265" s="361"/>
      <c r="F265" s="435"/>
      <c r="G265" s="430"/>
      <c r="H265" s="435"/>
      <c r="I265" s="361"/>
    </row>
    <row r="266" spans="1:9">
      <c r="A266" s="360"/>
      <c r="B266" s="361"/>
      <c r="C266" s="361"/>
      <c r="D266" s="362"/>
      <c r="E266" s="361"/>
      <c r="F266" s="435"/>
      <c r="G266" s="430"/>
      <c r="H266" s="435"/>
      <c r="I266" s="361"/>
    </row>
    <row r="267" spans="1:9" ht="15.75" thickBot="1">
      <c r="A267" s="360"/>
      <c r="B267" s="361"/>
      <c r="C267" s="361"/>
      <c r="D267" s="362"/>
      <c r="E267" s="361"/>
      <c r="F267" s="435"/>
      <c r="G267" s="430"/>
      <c r="H267" s="435"/>
      <c r="I267" s="361"/>
    </row>
    <row r="268" spans="1:9" ht="19.5" thickBot="1">
      <c r="C268" s="452" t="s">
        <v>5753</v>
      </c>
      <c r="D268" s="453">
        <f>SUM(D27:D267)</f>
        <v>126</v>
      </c>
    </row>
    <row r="269" spans="1:9" ht="15.75" thickBot="1"/>
    <row r="270" spans="1:9" ht="19.5" thickBot="1">
      <c r="A270" s="1778" t="s">
        <v>5754</v>
      </c>
      <c r="B270" s="1779"/>
      <c r="C270" s="1779"/>
      <c r="D270" s="1779"/>
      <c r="E270" s="1779"/>
      <c r="F270" s="1779"/>
      <c r="G270" s="1779"/>
      <c r="H270" s="1779"/>
      <c r="I270" s="1780"/>
    </row>
    <row r="272" spans="1:9">
      <c r="A272" s="432">
        <v>6902701</v>
      </c>
      <c r="B272" s="433" t="s">
        <v>4963</v>
      </c>
      <c r="C272" s="433" t="s">
        <v>5087</v>
      </c>
      <c r="D272" s="911">
        <v>1</v>
      </c>
      <c r="E272" s="433" t="s">
        <v>5775</v>
      </c>
      <c r="F272" s="436" t="s">
        <v>4620</v>
      </c>
      <c r="G272" s="434">
        <v>40983</v>
      </c>
      <c r="H272" s="436">
        <f t="shared" ref="H272" si="12">DATEDIF(G272,$G$6,"Y")</f>
        <v>12</v>
      </c>
      <c r="I272" s="433"/>
    </row>
    <row r="273" spans="1:9">
      <c r="A273" s="432"/>
      <c r="B273" s="433"/>
      <c r="C273" s="433"/>
      <c r="D273" s="911"/>
      <c r="E273" s="433"/>
      <c r="F273" s="436"/>
      <c r="G273" s="434"/>
      <c r="H273" s="436"/>
      <c r="I273" s="433"/>
    </row>
    <row r="274" spans="1:9">
      <c r="A274" s="432">
        <v>12046834</v>
      </c>
      <c r="B274" s="433" t="s">
        <v>5767</v>
      </c>
      <c r="C274" s="433" t="s">
        <v>3320</v>
      </c>
      <c r="D274" s="911">
        <v>1</v>
      </c>
      <c r="E274" s="433" t="s">
        <v>6090</v>
      </c>
      <c r="F274" s="436" t="s">
        <v>4620</v>
      </c>
      <c r="G274" s="434">
        <v>41103</v>
      </c>
      <c r="H274" s="436">
        <f t="shared" ref="H274" si="13">DATEDIF(G274,$G$6,"Y")</f>
        <v>12</v>
      </c>
      <c r="I274" s="433"/>
    </row>
    <row r="275" spans="1:9">
      <c r="D275" s="912"/>
    </row>
    <row r="276" spans="1:9">
      <c r="A276" s="432">
        <v>12047016</v>
      </c>
      <c r="B276" s="433" t="s">
        <v>5000</v>
      </c>
      <c r="C276" s="433" t="s">
        <v>5085</v>
      </c>
      <c r="D276" s="911">
        <v>1</v>
      </c>
      <c r="E276" s="433" t="s">
        <v>5778</v>
      </c>
      <c r="F276" s="436" t="s">
        <v>4620</v>
      </c>
      <c r="G276" s="434">
        <v>43021</v>
      </c>
      <c r="H276" s="436">
        <f t="shared" ref="H276" si="14">DATEDIF(G276,$G$6,"Y")</f>
        <v>7</v>
      </c>
      <c r="I276" s="433"/>
    </row>
    <row r="277" spans="1:9">
      <c r="A277" s="432"/>
      <c r="B277" s="433"/>
      <c r="C277" s="433"/>
      <c r="D277" s="911"/>
      <c r="E277" s="433" t="s">
        <v>2904</v>
      </c>
      <c r="F277" s="436"/>
      <c r="G277" s="434"/>
      <c r="H277" s="436"/>
      <c r="I277" s="433"/>
    </row>
    <row r="278" spans="1:9">
      <c r="A278" s="432">
        <v>12797598</v>
      </c>
      <c r="B278" s="433" t="s">
        <v>5003</v>
      </c>
      <c r="C278" s="433" t="s">
        <v>5092</v>
      </c>
      <c r="D278" s="911">
        <v>1</v>
      </c>
      <c r="E278" s="433" t="s">
        <v>6086</v>
      </c>
      <c r="F278" s="436" t="s">
        <v>4620</v>
      </c>
      <c r="G278" s="434">
        <v>41148</v>
      </c>
      <c r="H278" s="436">
        <f t="shared" ref="H278" si="15">DATEDIF(G278,$G$6,"Y")</f>
        <v>12</v>
      </c>
      <c r="I278" s="433"/>
    </row>
    <row r="279" spans="1:9">
      <c r="A279" s="438"/>
      <c r="B279" s="439"/>
      <c r="C279" s="439"/>
      <c r="D279" s="913"/>
      <c r="E279" s="439" t="s">
        <v>2904</v>
      </c>
      <c r="F279" s="441"/>
      <c r="G279" s="440"/>
      <c r="H279" s="441"/>
      <c r="I279" s="439"/>
    </row>
    <row r="280" spans="1:9">
      <c r="A280" s="432">
        <v>13376729</v>
      </c>
      <c r="B280" s="433" t="s">
        <v>5763</v>
      </c>
      <c r="C280" s="433" t="s">
        <v>2830</v>
      </c>
      <c r="D280" s="911">
        <v>1</v>
      </c>
      <c r="E280" s="433" t="s">
        <v>6087</v>
      </c>
      <c r="F280" s="436" t="s">
        <v>4620</v>
      </c>
      <c r="G280" s="434">
        <v>41867</v>
      </c>
      <c r="H280" s="436">
        <f t="shared" ref="H280" si="16">DATEDIF(G280,$G$6,"Y")</f>
        <v>10</v>
      </c>
      <c r="I280" s="433"/>
    </row>
    <row r="281" spans="1:9">
      <c r="A281" s="438"/>
      <c r="B281" s="439"/>
      <c r="C281" s="439"/>
      <c r="D281" s="913"/>
      <c r="E281" s="439" t="s">
        <v>2904</v>
      </c>
      <c r="F281" s="441"/>
      <c r="G281" s="440"/>
      <c r="H281" s="441"/>
      <c r="I281" s="439"/>
    </row>
    <row r="282" spans="1:9">
      <c r="A282" s="432">
        <v>13522771</v>
      </c>
      <c r="B282" s="433" t="s">
        <v>5007</v>
      </c>
      <c r="C282" s="433" t="s">
        <v>5088</v>
      </c>
      <c r="D282" s="911">
        <v>1</v>
      </c>
      <c r="E282" s="433" t="s">
        <v>6088</v>
      </c>
      <c r="F282" s="436" t="s">
        <v>4620</v>
      </c>
      <c r="G282" s="434">
        <v>41199</v>
      </c>
      <c r="H282" s="436">
        <f t="shared" ref="H282" si="17">DATEDIF(G282,$G$6,"Y")</f>
        <v>12</v>
      </c>
      <c r="I282" s="433"/>
    </row>
    <row r="283" spans="1:9">
      <c r="A283" s="438"/>
      <c r="B283" s="439"/>
      <c r="C283" s="439"/>
      <c r="D283" s="913"/>
      <c r="E283" s="439"/>
      <c r="F283" s="441"/>
      <c r="G283" s="440"/>
      <c r="H283" s="441"/>
      <c r="I283" s="439"/>
    </row>
    <row r="284" spans="1:9">
      <c r="A284" s="432">
        <v>14718468</v>
      </c>
      <c r="B284" s="433" t="s">
        <v>5766</v>
      </c>
      <c r="C284" s="433" t="s">
        <v>2540</v>
      </c>
      <c r="D284" s="911">
        <v>1</v>
      </c>
      <c r="E284" s="433" t="s">
        <v>5738</v>
      </c>
      <c r="F284" s="436" t="s">
        <v>4620</v>
      </c>
      <c r="G284" s="434">
        <v>43719</v>
      </c>
      <c r="H284" s="436">
        <f t="shared" ref="H284" si="18">DATEDIF(G284,$G$6,"Y")</f>
        <v>5</v>
      </c>
      <c r="I284" s="433"/>
    </row>
    <row r="285" spans="1:9">
      <c r="A285" s="438"/>
      <c r="B285" s="439"/>
      <c r="C285" s="439"/>
      <c r="D285" s="913"/>
      <c r="E285" s="439" t="s">
        <v>2904</v>
      </c>
      <c r="F285" s="441"/>
      <c r="G285" s="440"/>
      <c r="H285" s="441"/>
      <c r="I285" s="439"/>
    </row>
    <row r="286" spans="1:9">
      <c r="A286" s="438"/>
      <c r="B286" s="439"/>
      <c r="C286" s="439"/>
      <c r="D286" s="913"/>
      <c r="E286" s="439"/>
      <c r="F286" s="441"/>
      <c r="G286" s="440"/>
      <c r="H286" s="441"/>
      <c r="I286" s="439"/>
    </row>
    <row r="287" spans="1:9">
      <c r="A287" s="432">
        <v>14719356</v>
      </c>
      <c r="B287" s="433" t="s">
        <v>5017</v>
      </c>
      <c r="C287" s="433" t="s">
        <v>5084</v>
      </c>
      <c r="D287" s="911">
        <v>2</v>
      </c>
      <c r="E287" s="433" t="s">
        <v>6104</v>
      </c>
      <c r="F287" s="436" t="s">
        <v>4621</v>
      </c>
      <c r="G287" s="434">
        <v>43133</v>
      </c>
      <c r="H287" s="436">
        <f t="shared" ref="H287:H288" si="19">DATEDIF(G287,$G$6,"Y")</f>
        <v>6</v>
      </c>
      <c r="I287" s="433"/>
    </row>
    <row r="288" spans="1:9">
      <c r="A288" s="432">
        <v>14719356</v>
      </c>
      <c r="B288" s="433" t="s">
        <v>5017</v>
      </c>
      <c r="C288" s="433" t="s">
        <v>5084</v>
      </c>
      <c r="D288" s="911"/>
      <c r="E288" s="433" t="s">
        <v>6105</v>
      </c>
      <c r="F288" s="436" t="s">
        <v>4620</v>
      </c>
      <c r="G288" s="434">
        <v>42383</v>
      </c>
      <c r="H288" s="436">
        <f t="shared" si="19"/>
        <v>9</v>
      </c>
      <c r="I288" s="433"/>
    </row>
    <row r="289" spans="1:9">
      <c r="A289" s="438"/>
      <c r="B289" s="439"/>
      <c r="C289" s="439"/>
      <c r="D289" s="913"/>
      <c r="E289" s="439" t="s">
        <v>2904</v>
      </c>
      <c r="F289" s="441"/>
      <c r="G289" s="440"/>
      <c r="H289" s="441"/>
      <c r="I289" s="439"/>
    </row>
    <row r="290" spans="1:9">
      <c r="A290" s="432">
        <v>15583194</v>
      </c>
      <c r="B290" s="433" t="s">
        <v>5021</v>
      </c>
      <c r="C290" s="433" t="s">
        <v>3320</v>
      </c>
      <c r="D290" s="911">
        <v>1</v>
      </c>
      <c r="E290" s="433" t="s">
        <v>5668</v>
      </c>
      <c r="F290" s="436" t="s">
        <v>4620</v>
      </c>
      <c r="G290" s="434">
        <v>41283</v>
      </c>
      <c r="H290" s="436">
        <f t="shared" ref="H290" si="20">DATEDIF(G290,$G$6,"Y")</f>
        <v>12</v>
      </c>
      <c r="I290" s="433"/>
    </row>
    <row r="291" spans="1:9">
      <c r="A291" s="438"/>
      <c r="B291" s="439"/>
      <c r="C291" s="439"/>
      <c r="D291" s="913"/>
      <c r="E291" s="439" t="s">
        <v>2904</v>
      </c>
      <c r="F291" s="441"/>
      <c r="G291" s="440"/>
      <c r="H291" s="441"/>
      <c r="I291" s="439"/>
    </row>
    <row r="292" spans="1:9">
      <c r="A292" s="432">
        <v>15953703</v>
      </c>
      <c r="B292" s="433" t="s">
        <v>5761</v>
      </c>
      <c r="C292" s="433" t="s">
        <v>5769</v>
      </c>
      <c r="D292" s="911">
        <v>2</v>
      </c>
      <c r="E292" s="433" t="s">
        <v>6099</v>
      </c>
      <c r="F292" s="436" t="s">
        <v>4621</v>
      </c>
      <c r="G292" s="434">
        <v>43251</v>
      </c>
      <c r="H292" s="436">
        <f t="shared" ref="H292:H293" si="21">DATEDIF(G292,$G$6,"Y")</f>
        <v>6</v>
      </c>
      <c r="I292" s="433"/>
    </row>
    <row r="293" spans="1:9">
      <c r="A293" s="432">
        <v>15953703</v>
      </c>
      <c r="B293" s="433" t="s">
        <v>5761</v>
      </c>
      <c r="C293" s="433" t="s">
        <v>5769</v>
      </c>
      <c r="D293" s="911"/>
      <c r="E293" s="433" t="s">
        <v>6100</v>
      </c>
      <c r="F293" s="436" t="s">
        <v>4620</v>
      </c>
      <c r="G293" s="434">
        <v>42244</v>
      </c>
      <c r="H293" s="436">
        <f t="shared" si="21"/>
        <v>9</v>
      </c>
      <c r="I293" s="433"/>
    </row>
    <row r="294" spans="1:9">
      <c r="A294" s="438"/>
      <c r="B294" s="439"/>
      <c r="C294" s="439"/>
      <c r="D294" s="913"/>
      <c r="E294" s="439" t="s">
        <v>2904</v>
      </c>
      <c r="F294" s="441"/>
      <c r="G294" s="440"/>
      <c r="H294" s="441"/>
      <c r="I294" s="439"/>
    </row>
    <row r="295" spans="1:9">
      <c r="A295" s="432">
        <v>16266801</v>
      </c>
      <c r="B295" s="433" t="s">
        <v>5762</v>
      </c>
      <c r="C295" s="433" t="s">
        <v>5771</v>
      </c>
      <c r="D295" s="911">
        <v>1</v>
      </c>
      <c r="E295" s="433" t="s">
        <v>6103</v>
      </c>
      <c r="F295" s="436" t="s">
        <v>4620</v>
      </c>
      <c r="G295" s="434">
        <v>42055</v>
      </c>
      <c r="H295" s="436">
        <f t="shared" ref="H295" si="22">DATEDIF(G295,$G$6,"Y")</f>
        <v>9</v>
      </c>
      <c r="I295" s="433"/>
    </row>
    <row r="296" spans="1:9">
      <c r="A296" s="438"/>
      <c r="B296" s="439"/>
      <c r="C296" s="439"/>
      <c r="D296" s="913"/>
      <c r="E296" s="439"/>
      <c r="F296" s="441"/>
      <c r="G296" s="440"/>
      <c r="H296" s="441"/>
      <c r="I296" s="439"/>
    </row>
    <row r="297" spans="1:9">
      <c r="A297" s="432">
        <v>16739958</v>
      </c>
      <c r="B297" s="433" t="s">
        <v>5082</v>
      </c>
      <c r="C297" s="433" t="s">
        <v>5097</v>
      </c>
      <c r="D297" s="911">
        <v>2</v>
      </c>
      <c r="E297" s="433" t="s">
        <v>6107</v>
      </c>
      <c r="F297" s="436" t="s">
        <v>4620</v>
      </c>
      <c r="G297" s="434">
        <v>40955</v>
      </c>
      <c r="H297" s="436">
        <f t="shared" ref="H297:H298" si="23">DATEDIF(G297,$G$6,"Y")</f>
        <v>12</v>
      </c>
      <c r="I297" s="433"/>
    </row>
    <row r="298" spans="1:9">
      <c r="A298" s="432">
        <v>16739958</v>
      </c>
      <c r="B298" s="433" t="s">
        <v>5082</v>
      </c>
      <c r="C298" s="433" t="s">
        <v>5097</v>
      </c>
      <c r="D298" s="911"/>
      <c r="E298" s="433" t="s">
        <v>6109</v>
      </c>
      <c r="F298" s="436" t="s">
        <v>4620</v>
      </c>
      <c r="G298" s="434">
        <v>40384</v>
      </c>
      <c r="H298" s="436">
        <f t="shared" si="23"/>
        <v>14</v>
      </c>
      <c r="I298" s="433"/>
    </row>
    <row r="299" spans="1:9">
      <c r="A299" s="438"/>
      <c r="B299" s="439"/>
      <c r="C299" s="439"/>
      <c r="D299" s="913"/>
      <c r="E299" s="439" t="s">
        <v>2904</v>
      </c>
      <c r="F299" s="441"/>
      <c r="G299" s="440"/>
      <c r="H299" s="441"/>
      <c r="I299" s="439"/>
    </row>
    <row r="300" spans="1:9">
      <c r="A300" s="432">
        <v>16739958</v>
      </c>
      <c r="B300" s="433" t="s">
        <v>5026</v>
      </c>
      <c r="C300" s="433" t="s">
        <v>5093</v>
      </c>
      <c r="D300" s="911">
        <v>2</v>
      </c>
      <c r="E300" s="433" t="s">
        <v>6111</v>
      </c>
      <c r="F300" s="436" t="s">
        <v>4620</v>
      </c>
      <c r="G300" s="434">
        <v>41142</v>
      </c>
      <c r="H300" s="436">
        <f t="shared" ref="H300:H301" si="24">DATEDIF(G300,$G$6,"Y")</f>
        <v>12</v>
      </c>
      <c r="I300" s="433"/>
    </row>
    <row r="301" spans="1:9">
      <c r="A301" s="432">
        <v>16739958</v>
      </c>
      <c r="B301" s="433" t="s">
        <v>5026</v>
      </c>
      <c r="C301" s="433" t="s">
        <v>5093</v>
      </c>
      <c r="D301" s="913"/>
      <c r="E301" s="433" t="s">
        <v>6112</v>
      </c>
      <c r="F301" s="436" t="s">
        <v>4620</v>
      </c>
      <c r="G301" s="440">
        <v>45077</v>
      </c>
      <c r="H301" s="436">
        <f t="shared" si="24"/>
        <v>1</v>
      </c>
      <c r="I301" s="439"/>
    </row>
    <row r="302" spans="1:9">
      <c r="A302" s="438"/>
      <c r="B302" s="439"/>
      <c r="C302" s="439"/>
      <c r="D302" s="913"/>
      <c r="E302" s="439" t="s">
        <v>2904</v>
      </c>
      <c r="F302" s="441"/>
      <c r="G302" s="440"/>
      <c r="H302" s="441"/>
      <c r="I302" s="439"/>
    </row>
    <row r="303" spans="1:9">
      <c r="A303" s="432">
        <v>17095084</v>
      </c>
      <c r="B303" s="433" t="s">
        <v>5028</v>
      </c>
      <c r="C303" s="433" t="s">
        <v>5085</v>
      </c>
      <c r="D303" s="911">
        <v>2</v>
      </c>
      <c r="E303" s="433" t="s">
        <v>6124</v>
      </c>
      <c r="F303" s="436" t="s">
        <v>4620</v>
      </c>
      <c r="G303" s="434">
        <v>42916</v>
      </c>
      <c r="H303" s="436">
        <f t="shared" ref="H303:H304" si="25">DATEDIF(G303,$G$6,"Y")</f>
        <v>7</v>
      </c>
      <c r="I303" s="433"/>
    </row>
    <row r="304" spans="1:9">
      <c r="A304" s="432">
        <v>17095084</v>
      </c>
      <c r="B304" s="433" t="s">
        <v>5028</v>
      </c>
      <c r="C304" s="433" t="s">
        <v>5085</v>
      </c>
      <c r="D304" s="911"/>
      <c r="E304" s="433" t="s">
        <v>6125</v>
      </c>
      <c r="F304" s="436" t="s">
        <v>4621</v>
      </c>
      <c r="G304" s="434">
        <v>41154</v>
      </c>
      <c r="H304" s="436">
        <f t="shared" si="25"/>
        <v>12</v>
      </c>
      <c r="I304" s="433"/>
    </row>
    <row r="305" spans="1:9">
      <c r="A305" s="438"/>
      <c r="B305" s="439"/>
      <c r="C305" s="439"/>
      <c r="D305" s="913"/>
      <c r="E305" s="439" t="s">
        <v>2904</v>
      </c>
      <c r="F305" s="441"/>
      <c r="G305" s="440"/>
      <c r="H305" s="441"/>
      <c r="I305" s="439"/>
    </row>
    <row r="306" spans="1:9">
      <c r="A306" s="432">
        <v>18350780</v>
      </c>
      <c r="B306" s="433" t="s">
        <v>5764</v>
      </c>
      <c r="C306" s="433" t="s">
        <v>5769</v>
      </c>
      <c r="D306" s="911">
        <v>1</v>
      </c>
      <c r="E306" s="433" t="s">
        <v>6120</v>
      </c>
      <c r="F306" s="436" t="s">
        <v>4620</v>
      </c>
      <c r="G306" s="434">
        <v>43212</v>
      </c>
      <c r="H306" s="436">
        <f>DATEDIF(G306,$G$6,"Y")</f>
        <v>6</v>
      </c>
      <c r="I306" s="433"/>
    </row>
    <row r="307" spans="1:9">
      <c r="A307" s="438"/>
      <c r="B307" s="439"/>
      <c r="C307" s="439"/>
      <c r="D307" s="913"/>
      <c r="E307" s="439"/>
      <c r="F307" s="441"/>
      <c r="G307" s="440"/>
      <c r="H307" s="441"/>
      <c r="I307" s="439"/>
    </row>
    <row r="308" spans="1:9">
      <c r="A308" s="432">
        <v>18456167</v>
      </c>
      <c r="B308" s="433" t="s">
        <v>5033</v>
      </c>
      <c r="C308" s="433" t="s">
        <v>5773</v>
      </c>
      <c r="D308" s="911">
        <v>1</v>
      </c>
      <c r="E308" s="433" t="s">
        <v>6126</v>
      </c>
      <c r="F308" s="436" t="s">
        <v>4620</v>
      </c>
      <c r="G308" s="434">
        <v>43733</v>
      </c>
      <c r="H308" s="436">
        <f t="shared" ref="H308" si="26">DATEDIF(G308,$G$6,"Y")</f>
        <v>5</v>
      </c>
      <c r="I308" s="433"/>
    </row>
    <row r="309" spans="1:9">
      <c r="A309" s="438"/>
      <c r="B309" s="439"/>
      <c r="C309" s="439"/>
      <c r="D309" s="913"/>
      <c r="E309" s="439"/>
      <c r="F309" s="441"/>
      <c r="G309" s="440"/>
      <c r="H309" s="441"/>
      <c r="I309" s="439"/>
    </row>
    <row r="310" spans="1:9">
      <c r="A310" s="432">
        <v>20040649</v>
      </c>
      <c r="B310" s="433" t="s">
        <v>5036</v>
      </c>
      <c r="C310" s="433" t="s">
        <v>2619</v>
      </c>
      <c r="D310" s="911">
        <v>2</v>
      </c>
      <c r="E310" s="433" t="s">
        <v>6132</v>
      </c>
      <c r="F310" s="436" t="s">
        <v>4620</v>
      </c>
      <c r="G310" s="434">
        <v>42379</v>
      </c>
      <c r="H310" s="436">
        <f t="shared" ref="H310:H311" si="27">DATEDIF(G310,$G$6,"Y")</f>
        <v>9</v>
      </c>
      <c r="I310" s="433"/>
    </row>
    <row r="311" spans="1:9">
      <c r="A311" s="432">
        <v>20040649</v>
      </c>
      <c r="B311" s="433" t="s">
        <v>5036</v>
      </c>
      <c r="C311" s="433" t="s">
        <v>2619</v>
      </c>
      <c r="D311" s="911"/>
      <c r="E311" s="433" t="s">
        <v>6133</v>
      </c>
      <c r="F311" s="436" t="s">
        <v>4621</v>
      </c>
      <c r="G311" s="434">
        <v>41894</v>
      </c>
      <c r="H311" s="436">
        <f t="shared" si="27"/>
        <v>10</v>
      </c>
      <c r="I311" s="433"/>
    </row>
    <row r="312" spans="1:9">
      <c r="A312" s="438"/>
      <c r="B312" s="439"/>
      <c r="C312" s="439"/>
      <c r="D312" s="913"/>
      <c r="E312" s="439" t="s">
        <v>2904</v>
      </c>
      <c r="F312" s="441"/>
      <c r="G312" s="440"/>
      <c r="H312" s="441"/>
      <c r="I312" s="439"/>
    </row>
    <row r="313" spans="1:9">
      <c r="A313" s="432">
        <v>21366579</v>
      </c>
      <c r="B313" s="433" t="s">
        <v>5037</v>
      </c>
      <c r="C313" s="433" t="s">
        <v>5087</v>
      </c>
      <c r="D313" s="911">
        <v>1</v>
      </c>
      <c r="E313" s="433" t="s">
        <v>6129</v>
      </c>
      <c r="F313" s="436" t="s">
        <v>4620</v>
      </c>
      <c r="G313" s="434">
        <v>44804</v>
      </c>
      <c r="H313" s="436">
        <f>DATEDIF(G313,$G$6,"Y")</f>
        <v>2</v>
      </c>
      <c r="I313" s="433"/>
    </row>
    <row r="314" spans="1:9">
      <c r="A314" s="438"/>
      <c r="B314" s="439"/>
      <c r="C314" s="439"/>
      <c r="D314" s="913"/>
      <c r="E314" s="439" t="s">
        <v>2904</v>
      </c>
      <c r="F314" s="441"/>
      <c r="G314" s="440"/>
      <c r="H314" s="441"/>
      <c r="I314" s="439"/>
    </row>
    <row r="315" spans="1:9">
      <c r="A315" s="432">
        <v>25173228</v>
      </c>
      <c r="B315" s="433" t="s">
        <v>5039</v>
      </c>
      <c r="C315" s="433" t="s">
        <v>5084</v>
      </c>
      <c r="D315" s="911">
        <v>2</v>
      </c>
      <c r="E315" s="433" t="s">
        <v>6130</v>
      </c>
      <c r="F315" s="436" t="s">
        <v>4621</v>
      </c>
      <c r="G315" s="434">
        <v>42580</v>
      </c>
      <c r="H315" s="436">
        <f t="shared" ref="H315:H316" si="28">DATEDIF(G315,$G$6,"Y")</f>
        <v>8</v>
      </c>
      <c r="I315" s="433"/>
    </row>
    <row r="316" spans="1:9">
      <c r="A316" s="432">
        <v>25173228</v>
      </c>
      <c r="B316" s="433" t="s">
        <v>5039</v>
      </c>
      <c r="C316" s="433" t="s">
        <v>5084</v>
      </c>
      <c r="D316" s="911"/>
      <c r="E316" s="433" t="s">
        <v>6131</v>
      </c>
      <c r="F316" s="436" t="s">
        <v>4620</v>
      </c>
      <c r="G316" s="434">
        <v>42946</v>
      </c>
      <c r="H316" s="436">
        <f t="shared" si="28"/>
        <v>7</v>
      </c>
      <c r="I316" s="433"/>
    </row>
    <row r="317" spans="1:9">
      <c r="A317" s="438"/>
      <c r="B317" s="439"/>
      <c r="C317" s="439"/>
      <c r="D317" s="913"/>
      <c r="E317" s="439"/>
      <c r="F317" s="441"/>
      <c r="G317" s="440"/>
      <c r="H317" s="441"/>
      <c r="I317" s="439"/>
    </row>
    <row r="318" spans="1:9">
      <c r="A318" s="432">
        <v>25919888</v>
      </c>
      <c r="B318" s="433" t="s">
        <v>5041</v>
      </c>
      <c r="C318" s="433" t="s">
        <v>5088</v>
      </c>
      <c r="D318" s="911">
        <v>2</v>
      </c>
      <c r="E318" s="444" t="s">
        <v>6137</v>
      </c>
      <c r="F318" s="436" t="s">
        <v>4620</v>
      </c>
      <c r="G318" s="434">
        <v>43342</v>
      </c>
      <c r="H318" s="436">
        <f t="shared" ref="H318:H319" si="29">DATEDIF(G318,$G$6,"Y")</f>
        <v>6</v>
      </c>
      <c r="I318" s="433"/>
    </row>
    <row r="319" spans="1:9">
      <c r="A319" s="432">
        <v>25919888</v>
      </c>
      <c r="B319" s="433" t="s">
        <v>5041</v>
      </c>
      <c r="C319" s="433" t="s">
        <v>5088</v>
      </c>
      <c r="D319" s="911"/>
      <c r="E319" s="444" t="s">
        <v>6138</v>
      </c>
      <c r="F319" s="436" t="s">
        <v>4620</v>
      </c>
      <c r="G319" s="434">
        <v>42410</v>
      </c>
      <c r="H319" s="436">
        <f t="shared" si="29"/>
        <v>8</v>
      </c>
      <c r="I319" s="433"/>
    </row>
    <row r="320" spans="1:9">
      <c r="A320" s="1322"/>
      <c r="B320" s="1169"/>
      <c r="C320" s="1169"/>
      <c r="D320" s="1170"/>
      <c r="E320" s="1553"/>
      <c r="F320" s="1202"/>
      <c r="G320" s="1171"/>
      <c r="H320" s="1202"/>
      <c r="I320" s="1169"/>
    </row>
    <row r="321" spans="1:9">
      <c r="A321" s="1322">
        <v>26235670</v>
      </c>
      <c r="B321" s="1169" t="s">
        <v>6911</v>
      </c>
      <c r="C321" s="433" t="s">
        <v>5084</v>
      </c>
      <c r="D321" s="1170">
        <v>1</v>
      </c>
      <c r="E321" s="1553" t="s">
        <v>6913</v>
      </c>
      <c r="F321" s="436" t="s">
        <v>4621</v>
      </c>
      <c r="G321" s="434">
        <v>44583</v>
      </c>
      <c r="H321" s="436">
        <f t="shared" ref="H321" si="30">DATEDIF(G321,$G$6,"Y")</f>
        <v>3</v>
      </c>
      <c r="I321" s="1169"/>
    </row>
    <row r="322" spans="1:9">
      <c r="A322" s="438"/>
      <c r="B322" s="439"/>
      <c r="C322" s="439"/>
      <c r="D322" s="913"/>
      <c r="E322" s="445"/>
      <c r="F322" s="441"/>
      <c r="G322" s="440"/>
      <c r="H322" s="441"/>
      <c r="I322" s="439"/>
    </row>
    <row r="323" spans="1:9">
      <c r="A323" s="432">
        <v>27470077</v>
      </c>
      <c r="B323" s="433" t="s">
        <v>5043</v>
      </c>
      <c r="C323" s="433" t="s">
        <v>5088</v>
      </c>
      <c r="D323" s="911">
        <v>1</v>
      </c>
      <c r="E323" s="433" t="s">
        <v>6140</v>
      </c>
      <c r="F323" s="436" t="s">
        <v>4620</v>
      </c>
      <c r="G323" s="434">
        <v>43194</v>
      </c>
      <c r="H323" s="436">
        <f>DATEDIF(G323,$G$6,"Y")</f>
        <v>6</v>
      </c>
      <c r="I323" s="433"/>
    </row>
    <row r="324" spans="1:9">
      <c r="A324" s="438"/>
      <c r="B324" s="439"/>
      <c r="C324" s="439"/>
      <c r="D324" s="913"/>
      <c r="E324" s="439"/>
      <c r="F324" s="441"/>
      <c r="G324" s="440"/>
      <c r="H324" s="441"/>
      <c r="I324" s="439"/>
    </row>
    <row r="325" spans="1:9">
      <c r="A325" s="432">
        <v>28096576</v>
      </c>
      <c r="B325" s="433" t="s">
        <v>5768</v>
      </c>
      <c r="C325" s="433" t="s">
        <v>5088</v>
      </c>
      <c r="D325" s="911">
        <v>2</v>
      </c>
      <c r="E325" s="433" t="s">
        <v>6141</v>
      </c>
      <c r="F325" s="436" t="s">
        <v>4621</v>
      </c>
      <c r="G325" s="434">
        <v>42514</v>
      </c>
      <c r="H325" s="436">
        <f t="shared" ref="H325:H326" si="31">DATEDIF(G325,$G$6,"Y")</f>
        <v>8</v>
      </c>
      <c r="I325" s="433"/>
    </row>
    <row r="326" spans="1:9">
      <c r="A326" s="432">
        <v>28096576</v>
      </c>
      <c r="B326" s="433" t="s">
        <v>5768</v>
      </c>
      <c r="C326" s="433" t="s">
        <v>5088</v>
      </c>
      <c r="D326" s="1170"/>
      <c r="E326" s="433" t="s">
        <v>6142</v>
      </c>
      <c r="F326" s="436" t="s">
        <v>4620</v>
      </c>
      <c r="G326" s="1171">
        <v>43335</v>
      </c>
      <c r="H326" s="436">
        <f t="shared" si="31"/>
        <v>6</v>
      </c>
      <c r="I326" s="1169"/>
    </row>
    <row r="327" spans="1:9" ht="15.75" thickBot="1"/>
    <row r="328" spans="1:9" ht="15.75" thickBot="1">
      <c r="C328" s="426" t="s">
        <v>5779</v>
      </c>
      <c r="D328" s="437">
        <f>+SUM(D272:D327)</f>
        <v>32</v>
      </c>
    </row>
    <row r="331" spans="1:9" ht="21">
      <c r="C331" s="460" t="s">
        <v>5793</v>
      </c>
      <c r="D331" s="461">
        <f>+D328+D268+D24</f>
        <v>164</v>
      </c>
    </row>
  </sheetData>
  <mergeCells count="9">
    <mergeCell ref="H7:I8"/>
    <mergeCell ref="A270:I270"/>
    <mergeCell ref="B1:E1"/>
    <mergeCell ref="B2:F2"/>
    <mergeCell ref="B3:F3"/>
    <mergeCell ref="B4:F4"/>
    <mergeCell ref="B7:B8"/>
    <mergeCell ref="C7:C8"/>
    <mergeCell ref="F7:F8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2:G84"/>
  <sheetViews>
    <sheetView topLeftCell="A67" workbookViewId="0"/>
  </sheetViews>
  <sheetFormatPr baseColWidth="10" defaultRowHeight="15"/>
  <cols>
    <col min="1" max="1" width="14.7109375" bestFit="1" customWidth="1"/>
    <col min="2" max="2" width="32.5703125" bestFit="1" customWidth="1"/>
    <col min="4" max="4" width="22.42578125" bestFit="1" customWidth="1"/>
    <col min="5" max="5" width="64.7109375" bestFit="1" customWidth="1"/>
  </cols>
  <sheetData>
    <row r="2" spans="1:7">
      <c r="A2" s="1789" t="s">
        <v>2845</v>
      </c>
      <c r="B2" s="1790"/>
      <c r="D2" s="893" t="s">
        <v>1</v>
      </c>
    </row>
    <row r="3" spans="1:7">
      <c r="A3" s="893" t="s">
        <v>5877</v>
      </c>
      <c r="B3" s="893" t="s">
        <v>5878</v>
      </c>
      <c r="D3" s="893" t="s">
        <v>5877</v>
      </c>
      <c r="F3" s="893" t="s">
        <v>5878</v>
      </c>
    </row>
    <row r="4" spans="1:7">
      <c r="A4" t="s">
        <v>2884</v>
      </c>
      <c r="B4" t="s">
        <v>2884</v>
      </c>
      <c r="D4" t="s">
        <v>5483</v>
      </c>
      <c r="E4" t="s">
        <v>4464</v>
      </c>
      <c r="F4" t="s">
        <v>5886</v>
      </c>
      <c r="G4" s="364" t="s">
        <v>4464</v>
      </c>
    </row>
    <row r="5" spans="1:7">
      <c r="A5" t="s">
        <v>2844</v>
      </c>
      <c r="B5" t="s">
        <v>5879</v>
      </c>
      <c r="F5" t="s">
        <v>5887</v>
      </c>
      <c r="G5" s="364" t="s">
        <v>4465</v>
      </c>
    </row>
    <row r="6" spans="1:7">
      <c r="A6" t="s">
        <v>2885</v>
      </c>
      <c r="B6" t="s">
        <v>5880</v>
      </c>
      <c r="F6" t="s">
        <v>5888</v>
      </c>
      <c r="G6" s="364" t="s">
        <v>4466</v>
      </c>
    </row>
    <row r="7" spans="1:7" s="364" customFormat="1">
      <c r="A7" s="364" t="s">
        <v>2886</v>
      </c>
      <c r="B7" s="364" t="s">
        <v>2886</v>
      </c>
      <c r="F7" s="364" t="s">
        <v>5889</v>
      </c>
      <c r="G7" s="364" t="s">
        <v>4467</v>
      </c>
    </row>
    <row r="8" spans="1:7">
      <c r="A8" t="s">
        <v>2887</v>
      </c>
      <c r="B8" t="s">
        <v>5881</v>
      </c>
      <c r="F8" t="s">
        <v>5890</v>
      </c>
      <c r="G8" s="364" t="s">
        <v>4468</v>
      </c>
    </row>
    <row r="9" spans="1:7">
      <c r="A9" t="s">
        <v>2888</v>
      </c>
      <c r="B9" t="s">
        <v>5882</v>
      </c>
      <c r="F9" t="s">
        <v>5891</v>
      </c>
      <c r="G9" s="364" t="s">
        <v>4469</v>
      </c>
    </row>
    <row r="10" spans="1:7">
      <c r="F10" t="s">
        <v>5892</v>
      </c>
      <c r="G10" s="364" t="s">
        <v>4470</v>
      </c>
    </row>
    <row r="11" spans="1:7">
      <c r="A11" s="364"/>
      <c r="F11" t="s">
        <v>5893</v>
      </c>
      <c r="G11" s="364" t="s">
        <v>4464</v>
      </c>
    </row>
    <row r="12" spans="1:7">
      <c r="D12" t="s">
        <v>5490</v>
      </c>
      <c r="E12" t="s">
        <v>4465</v>
      </c>
      <c r="F12" t="s">
        <v>5894</v>
      </c>
      <c r="G12" s="364" t="s">
        <v>4465</v>
      </c>
    </row>
    <row r="13" spans="1:7">
      <c r="F13" t="s">
        <v>5895</v>
      </c>
      <c r="G13" s="364" t="s">
        <v>4466</v>
      </c>
    </row>
    <row r="14" spans="1:7">
      <c r="F14" t="s">
        <v>5896</v>
      </c>
      <c r="G14" s="364" t="s">
        <v>4467</v>
      </c>
    </row>
    <row r="15" spans="1:7">
      <c r="F15" t="s">
        <v>5897</v>
      </c>
      <c r="G15" s="364" t="s">
        <v>4468</v>
      </c>
    </row>
    <row r="16" spans="1:7">
      <c r="F16" t="s">
        <v>5898</v>
      </c>
      <c r="G16" s="364" t="s">
        <v>4469</v>
      </c>
    </row>
    <row r="17" spans="4:7">
      <c r="F17" t="s">
        <v>5899</v>
      </c>
      <c r="G17" s="364" t="s">
        <v>4470</v>
      </c>
    </row>
    <row r="18" spans="4:7">
      <c r="F18" t="s">
        <v>5900</v>
      </c>
      <c r="G18" s="364" t="s">
        <v>4464</v>
      </c>
    </row>
    <row r="19" spans="4:7">
      <c r="F19" t="s">
        <v>5901</v>
      </c>
      <c r="G19" s="364" t="s">
        <v>4465</v>
      </c>
    </row>
    <row r="20" spans="4:7">
      <c r="D20" t="s">
        <v>5493</v>
      </c>
      <c r="E20" t="s">
        <v>4466</v>
      </c>
      <c r="F20" t="s">
        <v>5902</v>
      </c>
      <c r="G20" s="364" t="s">
        <v>4466</v>
      </c>
    </row>
    <row r="21" spans="4:7">
      <c r="D21" t="s">
        <v>5478</v>
      </c>
      <c r="E21" s="364" t="s">
        <v>4467</v>
      </c>
      <c r="F21" t="s">
        <v>5903</v>
      </c>
      <c r="G21" s="364" t="s">
        <v>4467</v>
      </c>
    </row>
    <row r="22" spans="4:7">
      <c r="D22" s="364" t="s">
        <v>5477</v>
      </c>
      <c r="E22" t="s">
        <v>4468</v>
      </c>
      <c r="F22" t="s">
        <v>5904</v>
      </c>
      <c r="G22" s="364" t="s">
        <v>4468</v>
      </c>
    </row>
    <row r="23" spans="4:7">
      <c r="D23" t="s">
        <v>5470</v>
      </c>
      <c r="E23" t="s">
        <v>4469</v>
      </c>
      <c r="F23" t="s">
        <v>5905</v>
      </c>
      <c r="G23" s="364" t="s">
        <v>4469</v>
      </c>
    </row>
    <row r="24" spans="4:7">
      <c r="D24" t="s">
        <v>5476</v>
      </c>
      <c r="E24" t="s">
        <v>4470</v>
      </c>
      <c r="F24" t="s">
        <v>5906</v>
      </c>
      <c r="G24" s="364" t="s">
        <v>4470</v>
      </c>
    </row>
    <row r="25" spans="4:7">
      <c r="D25" t="s">
        <v>5475</v>
      </c>
      <c r="E25" t="s">
        <v>4464</v>
      </c>
      <c r="F25" t="s">
        <v>5907</v>
      </c>
      <c r="G25" s="364" t="s">
        <v>4464</v>
      </c>
    </row>
    <row r="26" spans="4:7">
      <c r="F26" t="s">
        <v>5908</v>
      </c>
      <c r="G26" s="364" t="s">
        <v>4465</v>
      </c>
    </row>
    <row r="27" spans="4:7">
      <c r="F27" t="s">
        <v>5909</v>
      </c>
      <c r="G27" s="364" t="s">
        <v>4466</v>
      </c>
    </row>
    <row r="28" spans="4:7">
      <c r="F28" t="s">
        <v>5910</v>
      </c>
      <c r="G28" s="364" t="s">
        <v>4467</v>
      </c>
    </row>
    <row r="29" spans="4:7">
      <c r="F29" t="s">
        <v>5911</v>
      </c>
      <c r="G29" s="364" t="s">
        <v>4468</v>
      </c>
    </row>
    <row r="30" spans="4:7">
      <c r="F30" t="s">
        <v>5912</v>
      </c>
      <c r="G30" s="364" t="s">
        <v>4469</v>
      </c>
    </row>
    <row r="31" spans="4:7">
      <c r="F31" t="s">
        <v>5913</v>
      </c>
      <c r="G31" s="364" t="s">
        <v>4470</v>
      </c>
    </row>
    <row r="32" spans="4:7">
      <c r="F32" t="s">
        <v>5914</v>
      </c>
      <c r="G32" s="364" t="s">
        <v>4464</v>
      </c>
    </row>
    <row r="33" spans="4:7">
      <c r="D33" t="s">
        <v>5481</v>
      </c>
      <c r="E33" t="s">
        <v>4465</v>
      </c>
      <c r="F33" t="s">
        <v>5915</v>
      </c>
      <c r="G33" s="364" t="s">
        <v>4465</v>
      </c>
    </row>
    <row r="34" spans="4:7">
      <c r="D34" t="s">
        <v>5491</v>
      </c>
      <c r="E34" t="s">
        <v>4466</v>
      </c>
      <c r="F34" t="s">
        <v>5916</v>
      </c>
      <c r="G34" s="364" t="s">
        <v>4466</v>
      </c>
    </row>
    <row r="35" spans="4:7">
      <c r="D35" t="s">
        <v>5485</v>
      </c>
      <c r="E35" t="s">
        <v>4467</v>
      </c>
      <c r="F35" t="s">
        <v>5917</v>
      </c>
      <c r="G35" s="364" t="s">
        <v>4467</v>
      </c>
    </row>
    <row r="36" spans="4:7">
      <c r="D36" t="s">
        <v>5472</v>
      </c>
      <c r="E36" t="s">
        <v>4468</v>
      </c>
      <c r="F36" t="s">
        <v>5918</v>
      </c>
      <c r="G36" s="364" t="s">
        <v>4468</v>
      </c>
    </row>
    <row r="37" spans="4:7">
      <c r="D37" t="s">
        <v>5474</v>
      </c>
      <c r="E37" t="s">
        <v>4469</v>
      </c>
      <c r="F37" t="s">
        <v>5919</v>
      </c>
      <c r="G37" s="364" t="s">
        <v>4469</v>
      </c>
    </row>
    <row r="38" spans="4:7">
      <c r="D38" t="s">
        <v>5484</v>
      </c>
      <c r="E38" t="s">
        <v>4470</v>
      </c>
      <c r="F38" t="s">
        <v>5920</v>
      </c>
      <c r="G38" s="364" t="s">
        <v>4470</v>
      </c>
    </row>
    <row r="39" spans="4:7">
      <c r="D39" t="s">
        <v>5469</v>
      </c>
      <c r="E39" t="s">
        <v>4464</v>
      </c>
      <c r="F39" t="s">
        <v>5885</v>
      </c>
      <c r="G39" s="364" t="s">
        <v>4464</v>
      </c>
    </row>
    <row r="40" spans="4:7">
      <c r="F40" t="s">
        <v>5921</v>
      </c>
      <c r="G40" s="364" t="s">
        <v>4465</v>
      </c>
    </row>
    <row r="41" spans="4:7">
      <c r="F41" t="s">
        <v>5922</v>
      </c>
      <c r="G41" s="364" t="s">
        <v>4466</v>
      </c>
    </row>
    <row r="42" spans="4:7">
      <c r="F42" t="s">
        <v>5923</v>
      </c>
      <c r="G42" s="364" t="s">
        <v>4467</v>
      </c>
    </row>
    <row r="43" spans="4:7">
      <c r="F43" t="s">
        <v>5924</v>
      </c>
      <c r="G43" s="364" t="s">
        <v>4468</v>
      </c>
    </row>
    <row r="44" spans="4:7">
      <c r="F44" t="s">
        <v>5925</v>
      </c>
      <c r="G44" s="364" t="s">
        <v>4469</v>
      </c>
    </row>
    <row r="45" spans="4:7">
      <c r="F45" t="s">
        <v>5926</v>
      </c>
      <c r="G45" s="364" t="s">
        <v>4470</v>
      </c>
    </row>
    <row r="46" spans="4:7">
      <c r="F46" t="s">
        <v>5076</v>
      </c>
      <c r="G46" s="364" t="s">
        <v>4464</v>
      </c>
    </row>
    <row r="47" spans="4:7">
      <c r="D47" t="s">
        <v>5480</v>
      </c>
      <c r="E47" t="s">
        <v>4465</v>
      </c>
      <c r="F47" t="s">
        <v>5927</v>
      </c>
      <c r="G47" s="364" t="s">
        <v>4465</v>
      </c>
    </row>
    <row r="48" spans="4:7">
      <c r="D48" t="s">
        <v>5488</v>
      </c>
      <c r="E48" t="s">
        <v>4466</v>
      </c>
      <c r="F48" t="s">
        <v>5928</v>
      </c>
      <c r="G48" s="364" t="s">
        <v>4466</v>
      </c>
    </row>
    <row r="49" spans="4:7">
      <c r="D49" t="s">
        <v>5486</v>
      </c>
      <c r="E49" t="s">
        <v>4467</v>
      </c>
      <c r="F49" t="s">
        <v>5929</v>
      </c>
      <c r="G49" s="364" t="s">
        <v>4467</v>
      </c>
    </row>
    <row r="50" spans="4:7">
      <c r="D50" t="s">
        <v>5479</v>
      </c>
      <c r="E50" t="s">
        <v>4468</v>
      </c>
      <c r="F50" t="s">
        <v>5930</v>
      </c>
      <c r="G50" s="364" t="s">
        <v>4468</v>
      </c>
    </row>
    <row r="51" spans="4:7">
      <c r="D51" t="s">
        <v>5473</v>
      </c>
      <c r="E51" t="s">
        <v>4469</v>
      </c>
      <c r="F51" t="s">
        <v>5931</v>
      </c>
      <c r="G51" s="364" t="s">
        <v>4469</v>
      </c>
    </row>
    <row r="52" spans="4:7">
      <c r="D52" t="s">
        <v>5471</v>
      </c>
      <c r="E52" t="s">
        <v>4470</v>
      </c>
      <c r="F52" t="s">
        <v>5932</v>
      </c>
      <c r="G52" s="364" t="s">
        <v>4470</v>
      </c>
    </row>
    <row r="53" spans="4:7">
      <c r="D53" t="s">
        <v>5482</v>
      </c>
      <c r="E53" t="s">
        <v>4464</v>
      </c>
      <c r="F53" t="s">
        <v>5078</v>
      </c>
      <c r="G53" s="364" t="s">
        <v>4464</v>
      </c>
    </row>
    <row r="54" spans="4:7">
      <c r="D54" t="s">
        <v>5489</v>
      </c>
      <c r="E54" t="s">
        <v>4465</v>
      </c>
      <c r="F54" t="s">
        <v>5933</v>
      </c>
      <c r="G54" s="364" t="s">
        <v>4465</v>
      </c>
    </row>
    <row r="55" spans="4:7">
      <c r="D55" t="s">
        <v>5494</v>
      </c>
      <c r="E55" t="s">
        <v>4466</v>
      </c>
      <c r="F55" t="s">
        <v>5934</v>
      </c>
      <c r="G55" s="364" t="s">
        <v>4466</v>
      </c>
    </row>
    <row r="56" spans="4:7">
      <c r="D56" t="s">
        <v>5883</v>
      </c>
      <c r="E56" t="s">
        <v>4467</v>
      </c>
      <c r="F56" t="s">
        <v>5935</v>
      </c>
      <c r="G56" s="364" t="s">
        <v>4467</v>
      </c>
    </row>
    <row r="57" spans="4:7">
      <c r="D57" t="s">
        <v>5884</v>
      </c>
      <c r="E57" t="s">
        <v>4468</v>
      </c>
      <c r="F57" t="s">
        <v>5936</v>
      </c>
      <c r="G57" s="364" t="s">
        <v>4468</v>
      </c>
    </row>
    <row r="58" spans="4:7">
      <c r="D58" t="s">
        <v>5492</v>
      </c>
      <c r="E58" t="s">
        <v>4469</v>
      </c>
      <c r="F58" t="s">
        <v>5937</v>
      </c>
      <c r="G58" s="364" t="s">
        <v>4469</v>
      </c>
    </row>
    <row r="59" spans="4:7">
      <c r="D59" t="s">
        <v>5487</v>
      </c>
      <c r="E59" t="s">
        <v>4470</v>
      </c>
      <c r="F59" t="s">
        <v>5938</v>
      </c>
      <c r="G59" s="364" t="s">
        <v>4470</v>
      </c>
    </row>
    <row r="60" spans="4:7">
      <c r="D60" t="s">
        <v>2835</v>
      </c>
      <c r="E60" t="s">
        <v>2890</v>
      </c>
      <c r="F60" s="364" t="s">
        <v>5949</v>
      </c>
    </row>
    <row r="61" spans="4:7">
      <c r="D61" t="s">
        <v>2836</v>
      </c>
      <c r="E61" t="s">
        <v>2892</v>
      </c>
      <c r="F61" s="364" t="s">
        <v>5948</v>
      </c>
    </row>
    <row r="62" spans="4:7">
      <c r="D62" t="s">
        <v>2837</v>
      </c>
      <c r="E62" t="s">
        <v>3085</v>
      </c>
      <c r="F62" s="364"/>
    </row>
    <row r="63" spans="4:7">
      <c r="D63" t="s">
        <v>2838</v>
      </c>
      <c r="E63" t="s">
        <v>2891</v>
      </c>
    </row>
    <row r="64" spans="4:7">
      <c r="D64" t="s">
        <v>2839</v>
      </c>
      <c r="E64" t="s">
        <v>2893</v>
      </c>
    </row>
    <row r="65" spans="4:6">
      <c r="D65" t="s">
        <v>2842</v>
      </c>
      <c r="E65" t="s">
        <v>2894</v>
      </c>
    </row>
    <row r="66" spans="4:6">
      <c r="D66" t="s">
        <v>2843</v>
      </c>
      <c r="E66" t="s">
        <v>1154</v>
      </c>
    </row>
    <row r="67" spans="4:6">
      <c r="D67">
        <v>1</v>
      </c>
      <c r="F67" s="364" t="s">
        <v>5951</v>
      </c>
    </row>
    <row r="68" spans="4:6">
      <c r="D68" s="364">
        <v>2</v>
      </c>
      <c r="F68" s="364" t="s">
        <v>5939</v>
      </c>
    </row>
    <row r="69" spans="4:6">
      <c r="D69" s="364">
        <v>3</v>
      </c>
      <c r="F69" s="364" t="s">
        <v>5940</v>
      </c>
    </row>
    <row r="70" spans="4:6">
      <c r="D70" s="364">
        <v>4</v>
      </c>
      <c r="F70" s="364" t="s">
        <v>5941</v>
      </c>
    </row>
    <row r="71" spans="4:6">
      <c r="D71" s="364">
        <v>5</v>
      </c>
      <c r="F71" s="364" t="s">
        <v>5942</v>
      </c>
    </row>
    <row r="72" spans="4:6">
      <c r="D72" s="364">
        <v>6</v>
      </c>
      <c r="F72" s="364" t="s">
        <v>5943</v>
      </c>
    </row>
    <row r="73" spans="4:6">
      <c r="D73" s="364">
        <v>7</v>
      </c>
      <c r="F73" s="364" t="s">
        <v>5944</v>
      </c>
    </row>
    <row r="74" spans="4:6">
      <c r="D74" s="364">
        <v>8</v>
      </c>
      <c r="F74" s="364" t="s">
        <v>5945</v>
      </c>
    </row>
    <row r="75" spans="4:6">
      <c r="D75" s="364">
        <v>9</v>
      </c>
      <c r="F75" s="364" t="s">
        <v>5946</v>
      </c>
    </row>
    <row r="76" spans="4:6">
      <c r="D76" s="364">
        <v>10</v>
      </c>
      <c r="F76" s="364" t="s">
        <v>5947</v>
      </c>
    </row>
    <row r="77" spans="4:6">
      <c r="F77" s="364"/>
    </row>
    <row r="84" spans="6:6">
      <c r="F84" s="364"/>
    </row>
  </sheetData>
  <mergeCells count="1">
    <mergeCell ref="A2:B2"/>
  </mergeCells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9"/>
  <dimension ref="A1:Z108"/>
  <sheetViews>
    <sheetView workbookViewId="0">
      <pane ySplit="2" topLeftCell="A90" activePane="bottomLeft" state="frozen"/>
      <selection pane="bottomLeft" activeCell="A103" sqref="A103"/>
    </sheetView>
  </sheetViews>
  <sheetFormatPr baseColWidth="10" defaultRowHeight="12"/>
  <cols>
    <col min="1" max="1" width="10.42578125" style="29" bestFit="1" customWidth="1"/>
    <col min="2" max="2" width="45.28515625" style="29" bestFit="1" customWidth="1"/>
    <col min="3" max="3" width="20.7109375" style="120" bestFit="1" customWidth="1"/>
    <col min="4" max="4" width="27.7109375" style="29" bestFit="1" customWidth="1"/>
    <col min="5" max="5" width="14.140625" style="29" bestFit="1" customWidth="1"/>
    <col min="6" max="6" width="5.7109375" style="29" bestFit="1" customWidth="1"/>
    <col min="7" max="7" width="12" style="29" bestFit="1" customWidth="1"/>
    <col min="8" max="8" width="19.28515625" style="29" bestFit="1" customWidth="1"/>
    <col min="9" max="9" width="12" style="29" bestFit="1" customWidth="1"/>
    <col min="10" max="11" width="12" style="29" customWidth="1"/>
    <col min="12" max="12" width="15.42578125" style="29" customWidth="1"/>
    <col min="13" max="13" width="22.5703125" style="29" bestFit="1" customWidth="1"/>
    <col min="14" max="14" width="15.42578125" style="29" bestFit="1" customWidth="1"/>
    <col min="15" max="16384" width="11.42578125" style="29"/>
  </cols>
  <sheetData>
    <row r="1" spans="1:26" s="25" customFormat="1" ht="23.25" customHeight="1" thickBot="1">
      <c r="A1" s="1795" t="s">
        <v>2899</v>
      </c>
      <c r="B1" s="1794"/>
      <c r="C1" s="1794"/>
      <c r="D1" s="1794"/>
      <c r="E1" s="1794"/>
      <c r="F1" s="1794" t="s">
        <v>2879</v>
      </c>
      <c r="G1" s="1794"/>
      <c r="H1" s="1794" t="s">
        <v>2880</v>
      </c>
      <c r="I1" s="1794"/>
      <c r="J1" s="1791" t="s">
        <v>2901</v>
      </c>
      <c r="K1" s="1792"/>
      <c r="L1" s="1793"/>
      <c r="M1" s="59" t="s">
        <v>2898</v>
      </c>
      <c r="N1" s="44" t="s">
        <v>2878</v>
      </c>
    </row>
    <row r="2" spans="1:26" ht="27.75" thickBot="1">
      <c r="A2" s="45" t="s">
        <v>2847</v>
      </c>
      <c r="B2" s="46" t="s">
        <v>2848</v>
      </c>
      <c r="C2" s="115" t="s">
        <v>2846</v>
      </c>
      <c r="D2" s="46" t="s">
        <v>2834</v>
      </c>
      <c r="E2" s="47" t="s">
        <v>2849</v>
      </c>
      <c r="F2" s="56" t="s">
        <v>2881</v>
      </c>
      <c r="G2" s="56" t="s">
        <v>2882</v>
      </c>
      <c r="H2" s="56" t="s">
        <v>2883</v>
      </c>
      <c r="I2" s="56" t="s">
        <v>2882</v>
      </c>
      <c r="J2" s="56" t="s">
        <v>2902</v>
      </c>
      <c r="K2" s="57" t="s">
        <v>2902</v>
      </c>
      <c r="L2" s="58" t="s">
        <v>2903</v>
      </c>
      <c r="M2" s="92">
        <v>2025</v>
      </c>
      <c r="N2" s="93">
        <v>0</v>
      </c>
      <c r="W2" s="587" t="s">
        <v>4492</v>
      </c>
      <c r="X2" s="587" t="s">
        <v>4613</v>
      </c>
      <c r="Y2" s="588" t="s">
        <v>5820</v>
      </c>
      <c r="Z2" s="588" t="s">
        <v>5821</v>
      </c>
    </row>
    <row r="3" spans="1:26" ht="15">
      <c r="A3" s="26" t="s">
        <v>2850</v>
      </c>
      <c r="B3" s="27" t="s">
        <v>2851</v>
      </c>
      <c r="C3" s="116"/>
      <c r="D3" s="28"/>
      <c r="E3" s="41"/>
      <c r="F3" s="27">
        <v>0</v>
      </c>
      <c r="G3" s="43">
        <v>0</v>
      </c>
      <c r="H3" s="42" t="s">
        <v>2884</v>
      </c>
      <c r="I3" s="111">
        <v>0</v>
      </c>
      <c r="J3" s="133" t="s">
        <v>2865</v>
      </c>
      <c r="K3" s="130">
        <v>1</v>
      </c>
      <c r="L3" s="130">
        <v>4</v>
      </c>
      <c r="M3" s="18"/>
      <c r="N3" s="18"/>
      <c r="W3" s="586" t="s">
        <v>2865</v>
      </c>
      <c r="X3" s="586">
        <v>12</v>
      </c>
      <c r="Y3" s="586">
        <v>180</v>
      </c>
      <c r="Z3" s="586">
        <v>150</v>
      </c>
    </row>
    <row r="4" spans="1:26" ht="15">
      <c r="A4" s="30" t="s">
        <v>2852</v>
      </c>
      <c r="B4" s="31" t="s">
        <v>2877</v>
      </c>
      <c r="C4" s="113">
        <f>'TAB EMP'!$B$2*100%</f>
        <v>130</v>
      </c>
      <c r="D4" s="32">
        <v>130</v>
      </c>
      <c r="E4" s="38"/>
      <c r="F4" s="32">
        <v>1</v>
      </c>
      <c r="G4" s="39">
        <v>0.01</v>
      </c>
      <c r="H4" s="31" t="s">
        <v>2844</v>
      </c>
      <c r="I4" s="112">
        <v>0.2</v>
      </c>
      <c r="J4" s="133" t="s">
        <v>2866</v>
      </c>
      <c r="K4" s="130">
        <v>2</v>
      </c>
      <c r="L4" s="130">
        <v>4</v>
      </c>
      <c r="M4" s="18"/>
      <c r="N4" s="18"/>
      <c r="W4" s="586" t="s">
        <v>2866</v>
      </c>
      <c r="X4" s="586">
        <v>11</v>
      </c>
      <c r="Y4" s="586">
        <v>165</v>
      </c>
      <c r="Z4" s="586">
        <v>137.5</v>
      </c>
    </row>
    <row r="5" spans="1:26" ht="15">
      <c r="A5" s="30" t="s">
        <v>2853</v>
      </c>
      <c r="B5" s="32" t="s">
        <v>2854</v>
      </c>
      <c r="C5" s="117"/>
      <c r="D5" s="32"/>
      <c r="E5" s="37"/>
      <c r="F5" s="32">
        <v>2</v>
      </c>
      <c r="G5" s="39">
        <v>0.02</v>
      </c>
      <c r="H5" s="31" t="s">
        <v>2885</v>
      </c>
      <c r="I5" s="112">
        <v>0.25</v>
      </c>
      <c r="J5" s="133" t="s">
        <v>2867</v>
      </c>
      <c r="K5" s="130">
        <v>3</v>
      </c>
      <c r="L5" s="130">
        <v>5</v>
      </c>
      <c r="M5" s="18"/>
      <c r="N5" s="18"/>
      <c r="W5" s="586" t="s">
        <v>2867</v>
      </c>
      <c r="X5" s="586">
        <v>10</v>
      </c>
      <c r="Y5" s="586">
        <v>150</v>
      </c>
      <c r="Z5" s="586">
        <v>125</v>
      </c>
    </row>
    <row r="6" spans="1:26" ht="15">
      <c r="A6" s="30" t="s">
        <v>2855</v>
      </c>
      <c r="B6" s="32" t="s">
        <v>9</v>
      </c>
      <c r="C6" s="114">
        <v>0.3</v>
      </c>
      <c r="D6" s="32"/>
      <c r="E6" s="38"/>
      <c r="F6" s="32">
        <v>3</v>
      </c>
      <c r="G6" s="39">
        <v>0.03</v>
      </c>
      <c r="H6" s="31" t="s">
        <v>2886</v>
      </c>
      <c r="I6" s="112">
        <v>0.3</v>
      </c>
      <c r="J6" s="133" t="s">
        <v>2868</v>
      </c>
      <c r="K6" s="130">
        <v>4</v>
      </c>
      <c r="L6" s="130">
        <v>4</v>
      </c>
      <c r="M6" s="18"/>
      <c r="N6" s="18"/>
      <c r="W6" s="586" t="s">
        <v>2868</v>
      </c>
      <c r="X6" s="586">
        <v>9</v>
      </c>
      <c r="Y6" s="586">
        <v>135</v>
      </c>
      <c r="Z6" s="586">
        <v>112.5</v>
      </c>
    </row>
    <row r="7" spans="1:26" ht="15">
      <c r="A7" s="30" t="s">
        <v>2856</v>
      </c>
      <c r="B7" s="32" t="s">
        <v>8</v>
      </c>
      <c r="C7" s="114">
        <v>12.5</v>
      </c>
      <c r="D7" s="32"/>
      <c r="E7" s="38"/>
      <c r="F7" s="32">
        <v>4</v>
      </c>
      <c r="G7" s="39">
        <v>0.04</v>
      </c>
      <c r="H7" s="31" t="s">
        <v>2887</v>
      </c>
      <c r="I7" s="112">
        <v>0.35</v>
      </c>
      <c r="J7" s="133" t="s">
        <v>2869</v>
      </c>
      <c r="K7" s="130">
        <v>5</v>
      </c>
      <c r="L7" s="130">
        <v>4</v>
      </c>
      <c r="M7" s="18"/>
      <c r="N7" s="18"/>
      <c r="W7" s="586" t="s">
        <v>2869</v>
      </c>
      <c r="X7" s="586">
        <v>8</v>
      </c>
      <c r="Y7" s="586">
        <v>120</v>
      </c>
      <c r="Z7" s="586">
        <v>100</v>
      </c>
    </row>
    <row r="8" spans="1:26" ht="15">
      <c r="A8" s="33" t="s">
        <v>2857</v>
      </c>
      <c r="B8" s="31" t="s">
        <v>10</v>
      </c>
      <c r="C8" s="150" t="s">
        <v>4616</v>
      </c>
      <c r="D8" s="151" t="str">
        <f t="shared" ref="D8:D9" si="0">C8</f>
        <v>((SN*4/12)+SN)/30*180</v>
      </c>
      <c r="E8" s="38"/>
      <c r="F8" s="32">
        <v>5</v>
      </c>
      <c r="G8" s="39">
        <v>0.05</v>
      </c>
      <c r="H8" s="31" t="s">
        <v>2888</v>
      </c>
      <c r="I8" s="112">
        <v>0.4</v>
      </c>
      <c r="J8" s="133" t="s">
        <v>2870</v>
      </c>
      <c r="K8" s="130">
        <v>6</v>
      </c>
      <c r="L8" s="130">
        <v>5</v>
      </c>
      <c r="M8" s="18"/>
      <c r="N8" s="18"/>
      <c r="W8" s="586" t="s">
        <v>2870</v>
      </c>
      <c r="X8" s="586">
        <v>7</v>
      </c>
      <c r="Y8" s="586">
        <v>105</v>
      </c>
      <c r="Z8" s="586">
        <v>87.5</v>
      </c>
    </row>
    <row r="9" spans="1:26" ht="15">
      <c r="A9" s="33" t="s">
        <v>2858</v>
      </c>
      <c r="B9" s="31" t="s">
        <v>4492</v>
      </c>
      <c r="C9" s="150" t="s">
        <v>4638</v>
      </c>
      <c r="D9" s="151" t="str">
        <f t="shared" si="0"/>
        <v>(((SN*6/12)+SN)/30)*150</v>
      </c>
      <c r="E9" s="38"/>
      <c r="F9" s="32">
        <v>6</v>
      </c>
      <c r="G9" s="40">
        <v>6.2E-2</v>
      </c>
      <c r="H9" s="32"/>
      <c r="I9" s="32"/>
      <c r="J9" s="134" t="s">
        <v>2863</v>
      </c>
      <c r="K9" s="130">
        <v>7</v>
      </c>
      <c r="L9" s="130">
        <v>4</v>
      </c>
      <c r="M9" s="18"/>
      <c r="N9" s="18"/>
      <c r="W9" s="586" t="s">
        <v>2863</v>
      </c>
      <c r="X9" s="586">
        <v>6</v>
      </c>
      <c r="Y9" s="586">
        <v>90</v>
      </c>
      <c r="Z9" s="586">
        <v>75</v>
      </c>
    </row>
    <row r="10" spans="1:26" ht="15">
      <c r="A10" s="74"/>
      <c r="B10" s="31" t="s">
        <v>2859</v>
      </c>
      <c r="C10" s="114">
        <f>'TAB EMP'!$B$2*9.612%</f>
        <v>12.4956</v>
      </c>
      <c r="D10" s="32"/>
      <c r="E10" s="38"/>
      <c r="F10" s="32">
        <v>7</v>
      </c>
      <c r="G10" s="40">
        <v>7.3999999999999996E-2</v>
      </c>
      <c r="H10" s="32"/>
      <c r="I10" s="32"/>
      <c r="J10" s="134" t="s">
        <v>2871</v>
      </c>
      <c r="K10" s="130">
        <v>8</v>
      </c>
      <c r="L10" s="130">
        <v>4</v>
      </c>
      <c r="M10" s="18"/>
      <c r="N10" s="18"/>
      <c r="W10" s="586" t="s">
        <v>2871</v>
      </c>
      <c r="X10" s="586">
        <v>5</v>
      </c>
      <c r="Y10" s="586">
        <v>75</v>
      </c>
      <c r="Z10" s="586">
        <v>62.5</v>
      </c>
    </row>
    <row r="11" spans="1:26" ht="15">
      <c r="A11" s="30"/>
      <c r="B11" s="31" t="s">
        <v>2860</v>
      </c>
      <c r="C11" s="117">
        <v>0.09</v>
      </c>
      <c r="D11" s="32"/>
      <c r="E11" s="38"/>
      <c r="F11" s="32">
        <v>8</v>
      </c>
      <c r="G11" s="40">
        <v>8.5999999999999993E-2</v>
      </c>
      <c r="H11" s="32"/>
      <c r="I11" s="32"/>
      <c r="J11" s="134" t="s">
        <v>2872</v>
      </c>
      <c r="K11" s="130">
        <v>9</v>
      </c>
      <c r="L11" s="130">
        <v>5</v>
      </c>
      <c r="M11" s="18"/>
      <c r="N11" s="18"/>
      <c r="W11" s="586" t="s">
        <v>2872</v>
      </c>
      <c r="X11" s="586">
        <v>4</v>
      </c>
      <c r="Y11" s="586">
        <v>60</v>
      </c>
      <c r="Z11" s="586">
        <v>50</v>
      </c>
    </row>
    <row r="12" spans="1:26" ht="15">
      <c r="A12" s="30"/>
      <c r="B12" s="31" t="s">
        <v>2861</v>
      </c>
      <c r="C12" s="117">
        <v>0.02</v>
      </c>
      <c r="D12" s="32"/>
      <c r="E12" s="38"/>
      <c r="F12" s="32">
        <v>9</v>
      </c>
      <c r="G12" s="40">
        <v>9.8000000000000004E-2</v>
      </c>
      <c r="H12" s="32"/>
      <c r="I12" s="32"/>
      <c r="J12" s="134" t="s">
        <v>2873</v>
      </c>
      <c r="K12" s="130">
        <v>10</v>
      </c>
      <c r="L12" s="130">
        <v>4</v>
      </c>
      <c r="M12" s="18"/>
      <c r="N12" s="18"/>
      <c r="W12" s="586" t="s">
        <v>2873</v>
      </c>
      <c r="X12" s="586">
        <v>3</v>
      </c>
      <c r="Y12" s="586">
        <v>45</v>
      </c>
      <c r="Z12" s="586">
        <v>37.5</v>
      </c>
    </row>
    <row r="13" spans="1:26" ht="15">
      <c r="A13" s="30"/>
      <c r="B13" s="52" t="s">
        <v>2900</v>
      </c>
      <c r="C13" s="117">
        <v>0.02</v>
      </c>
      <c r="D13" s="32"/>
      <c r="E13" s="38"/>
      <c r="F13" s="32">
        <v>10</v>
      </c>
      <c r="G13" s="40">
        <v>0.11</v>
      </c>
      <c r="H13" s="32"/>
      <c r="I13" s="32"/>
      <c r="J13" s="134" t="s">
        <v>2895</v>
      </c>
      <c r="K13" s="130">
        <v>11</v>
      </c>
      <c r="L13" s="130">
        <v>4</v>
      </c>
      <c r="M13" s="18"/>
      <c r="N13" s="18"/>
      <c r="W13" s="586" t="s">
        <v>2895</v>
      </c>
      <c r="X13" s="586">
        <v>2</v>
      </c>
      <c r="Y13" s="586">
        <v>30</v>
      </c>
      <c r="Z13" s="586">
        <v>25</v>
      </c>
    </row>
    <row r="14" spans="1:26" ht="15">
      <c r="A14" s="30"/>
      <c r="B14" s="31" t="s">
        <v>11</v>
      </c>
      <c r="C14" s="117">
        <v>0</v>
      </c>
      <c r="D14" s="32"/>
      <c r="E14" s="38"/>
      <c r="F14" s="32">
        <v>11</v>
      </c>
      <c r="G14" s="40">
        <v>0.124</v>
      </c>
      <c r="H14" s="32"/>
      <c r="I14" s="32"/>
      <c r="J14" s="134" t="s">
        <v>2896</v>
      </c>
      <c r="K14" s="130">
        <v>12</v>
      </c>
      <c r="L14" s="130">
        <v>5</v>
      </c>
      <c r="M14" s="18"/>
      <c r="N14" s="18"/>
      <c r="W14" s="586" t="s">
        <v>2896</v>
      </c>
      <c r="X14" s="586">
        <v>1</v>
      </c>
      <c r="Y14" s="586">
        <v>15</v>
      </c>
      <c r="Z14" s="586">
        <v>12.5</v>
      </c>
    </row>
    <row r="15" spans="1:26" ht="15">
      <c r="A15" s="30"/>
      <c r="B15" s="31" t="s">
        <v>12</v>
      </c>
      <c r="C15" s="117">
        <f>'TAB EMP'!$B$2*2</f>
        <v>260</v>
      </c>
      <c r="D15" s="32"/>
      <c r="E15" s="32"/>
      <c r="F15" s="32">
        <v>12</v>
      </c>
      <c r="G15" s="40">
        <v>0.13800000000000001</v>
      </c>
      <c r="H15" s="32"/>
      <c r="I15" s="32"/>
      <c r="J15" s="32"/>
      <c r="K15" s="130"/>
      <c r="L15" s="130"/>
      <c r="M15" s="18"/>
      <c r="N15" s="18"/>
    </row>
    <row r="16" spans="1:26" ht="15">
      <c r="A16" s="30"/>
      <c r="B16" s="31" t="s">
        <v>13</v>
      </c>
      <c r="C16" s="123">
        <f>'TAB EMP'!$B$2*9.612%</f>
        <v>12.4956</v>
      </c>
      <c r="D16" s="32"/>
      <c r="E16" s="32"/>
      <c r="F16" s="32">
        <v>13</v>
      </c>
      <c r="G16" s="40">
        <v>0.152</v>
      </c>
      <c r="H16" s="32"/>
      <c r="I16" s="32"/>
      <c r="J16" s="32"/>
      <c r="K16" s="130"/>
      <c r="L16" s="130"/>
      <c r="M16" s="18"/>
      <c r="N16" s="18"/>
    </row>
    <row r="17" spans="1:14" ht="15">
      <c r="A17" s="30"/>
      <c r="B17" s="31" t="s">
        <v>2876</v>
      </c>
      <c r="C17" s="117">
        <v>0.1</v>
      </c>
      <c r="D17" s="32"/>
      <c r="E17" s="32"/>
      <c r="F17" s="32">
        <v>14</v>
      </c>
      <c r="G17" s="40">
        <v>0.16600000000000001</v>
      </c>
      <c r="H17" s="32"/>
      <c r="I17" s="32"/>
      <c r="J17" s="27"/>
      <c r="K17" s="28"/>
      <c r="L17" s="53"/>
      <c r="M17" s="18"/>
      <c r="N17" s="18"/>
    </row>
    <row r="18" spans="1:14" ht="15">
      <c r="A18" s="74" t="s">
        <v>4487</v>
      </c>
      <c r="B18" s="73" t="s">
        <v>4478</v>
      </c>
      <c r="C18" s="123">
        <v>12.5</v>
      </c>
      <c r="D18" s="32"/>
      <c r="E18" s="32"/>
      <c r="F18" s="32">
        <v>15</v>
      </c>
      <c r="G18" s="40">
        <v>0.18</v>
      </c>
      <c r="H18" s="32"/>
      <c r="I18" s="32"/>
      <c r="J18" s="27"/>
      <c r="K18" s="28"/>
      <c r="L18" s="53"/>
      <c r="M18" s="18"/>
      <c r="N18" s="18"/>
    </row>
    <row r="19" spans="1:14" ht="15">
      <c r="A19" s="74" t="s">
        <v>4488</v>
      </c>
      <c r="B19" s="73" t="s">
        <v>4479</v>
      </c>
      <c r="C19" s="123">
        <v>12.5</v>
      </c>
      <c r="D19" s="32"/>
      <c r="E19" s="32"/>
      <c r="F19" s="32">
        <v>16</v>
      </c>
      <c r="G19" s="40">
        <v>0.19600000000000001</v>
      </c>
      <c r="H19" s="32"/>
      <c r="I19" s="32"/>
      <c r="J19" s="27"/>
      <c r="K19" s="28"/>
      <c r="L19" s="53"/>
      <c r="M19" s="18"/>
      <c r="N19" s="18"/>
    </row>
    <row r="20" spans="1:14" ht="32.25" customHeight="1">
      <c r="A20" s="74" t="s">
        <v>4489</v>
      </c>
      <c r="B20" s="85" t="s">
        <v>4480</v>
      </c>
      <c r="C20" s="123">
        <v>12.5</v>
      </c>
      <c r="D20" s="32"/>
      <c r="E20" s="32"/>
      <c r="F20" s="32">
        <v>17</v>
      </c>
      <c r="G20" s="40">
        <v>0.21199999999999999</v>
      </c>
      <c r="H20" s="32"/>
      <c r="I20" s="32"/>
      <c r="J20" s="27"/>
      <c r="K20" s="28"/>
      <c r="L20" s="53"/>
      <c r="M20" s="18"/>
      <c r="N20" s="18"/>
    </row>
    <row r="21" spans="1:14" ht="15">
      <c r="A21" s="74" t="s">
        <v>4490</v>
      </c>
      <c r="B21" s="73" t="s">
        <v>4481</v>
      </c>
      <c r="C21" s="123">
        <v>12.5</v>
      </c>
      <c r="D21" s="32"/>
      <c r="E21" s="32"/>
      <c r="F21" s="32">
        <v>18</v>
      </c>
      <c r="G21" s="40">
        <v>0.22800000000000001</v>
      </c>
      <c r="H21" s="32"/>
      <c r="I21" s="32"/>
      <c r="J21" s="27"/>
      <c r="K21" s="28"/>
      <c r="L21" s="53"/>
      <c r="M21" s="18"/>
      <c r="N21" s="18"/>
    </row>
    <row r="22" spans="1:14" ht="15">
      <c r="A22" s="30"/>
      <c r="B22" s="73" t="s">
        <v>4482</v>
      </c>
      <c r="C22" s="123">
        <v>12.5</v>
      </c>
      <c r="D22" s="32"/>
      <c r="E22" s="32"/>
      <c r="F22" s="32">
        <v>19</v>
      </c>
      <c r="G22" s="40">
        <v>0.24399999999999999</v>
      </c>
      <c r="H22" s="32"/>
      <c r="I22" s="32"/>
      <c r="J22" s="27"/>
      <c r="K22" s="28"/>
      <c r="L22" s="53"/>
      <c r="M22" s="18"/>
      <c r="N22" s="18"/>
    </row>
    <row r="23" spans="1:14" ht="15">
      <c r="A23" s="30"/>
      <c r="B23" s="73" t="s">
        <v>4483</v>
      </c>
      <c r="C23" s="123">
        <v>12.5</v>
      </c>
      <c r="D23" s="32"/>
      <c r="E23" s="32"/>
      <c r="F23" s="32">
        <v>20</v>
      </c>
      <c r="G23" s="40">
        <v>0.26</v>
      </c>
      <c r="H23" s="32"/>
      <c r="I23" s="32"/>
      <c r="J23" s="27"/>
      <c r="K23" s="28"/>
      <c r="L23" s="53"/>
      <c r="M23" s="18"/>
      <c r="N23" s="18"/>
    </row>
    <row r="24" spans="1:14" ht="15">
      <c r="A24" s="30"/>
      <c r="B24" s="73" t="s">
        <v>4484</v>
      </c>
      <c r="C24" s="123">
        <v>12.5</v>
      </c>
      <c r="D24" s="32"/>
      <c r="E24" s="32"/>
      <c r="F24" s="32">
        <v>21</v>
      </c>
      <c r="G24" s="40">
        <v>0.27800000000000002</v>
      </c>
      <c r="H24" s="32"/>
      <c r="I24" s="32"/>
      <c r="J24" s="27"/>
      <c r="K24" s="28"/>
      <c r="L24" s="53"/>
      <c r="M24" s="18"/>
      <c r="N24" s="18"/>
    </row>
    <row r="25" spans="1:14" ht="15">
      <c r="A25" s="30"/>
      <c r="B25" s="73" t="s">
        <v>4485</v>
      </c>
      <c r="C25" s="123">
        <v>12.5</v>
      </c>
      <c r="D25" s="32"/>
      <c r="E25" s="32"/>
      <c r="F25" s="32">
        <v>22</v>
      </c>
      <c r="G25" s="40">
        <v>0.29599999999999999</v>
      </c>
      <c r="H25" s="32"/>
      <c r="I25" s="32"/>
      <c r="J25" s="27"/>
      <c r="K25" s="28"/>
      <c r="L25" s="53"/>
      <c r="M25" s="18"/>
      <c r="N25" s="18"/>
    </row>
    <row r="26" spans="1:14" ht="15">
      <c r="A26" s="30"/>
      <c r="B26" s="73" t="s">
        <v>4486</v>
      </c>
      <c r="C26" s="123">
        <v>12.5</v>
      </c>
      <c r="D26" s="32"/>
      <c r="E26" s="32"/>
      <c r="F26" s="32">
        <v>23</v>
      </c>
      <c r="G26" s="40">
        <v>0.3</v>
      </c>
      <c r="H26" s="32"/>
      <c r="I26" s="32"/>
      <c r="J26" s="27"/>
      <c r="K26" s="28"/>
      <c r="L26" s="53"/>
      <c r="M26" s="18"/>
      <c r="N26" s="18"/>
    </row>
    <row r="27" spans="1:14" ht="15">
      <c r="A27" s="30"/>
      <c r="B27" s="73" t="s">
        <v>4494</v>
      </c>
      <c r="C27" s="118">
        <v>180</v>
      </c>
      <c r="D27" s="32"/>
      <c r="E27" s="32"/>
      <c r="F27" s="32">
        <v>24</v>
      </c>
      <c r="G27" s="40">
        <v>0.3</v>
      </c>
      <c r="H27" s="32"/>
      <c r="I27" s="32"/>
      <c r="J27" s="27"/>
      <c r="K27" s="28"/>
      <c r="L27" s="53"/>
      <c r="M27" s="18"/>
      <c r="N27" s="18"/>
    </row>
    <row r="28" spans="1:14" ht="15">
      <c r="A28" s="30"/>
      <c r="B28" s="73" t="s">
        <v>4495</v>
      </c>
      <c r="C28" s="118">
        <v>150</v>
      </c>
      <c r="D28" s="32"/>
      <c r="E28" s="32"/>
      <c r="F28" s="32">
        <v>25</v>
      </c>
      <c r="G28" s="40">
        <v>0.3</v>
      </c>
      <c r="H28" s="32"/>
      <c r="I28" s="32"/>
      <c r="J28" s="27"/>
      <c r="K28" s="28"/>
      <c r="L28" s="53"/>
      <c r="M28" s="18"/>
      <c r="N28" s="18"/>
    </row>
    <row r="29" spans="1:14" ht="15">
      <c r="A29" s="30"/>
      <c r="B29" s="73" t="s">
        <v>4564</v>
      </c>
      <c r="C29" s="117">
        <v>22.5</v>
      </c>
      <c r="D29" s="32"/>
      <c r="E29" s="32"/>
      <c r="F29" s="32">
        <v>26</v>
      </c>
      <c r="G29" s="40">
        <v>0.3</v>
      </c>
      <c r="H29" s="32"/>
      <c r="I29" s="32"/>
      <c r="J29" s="27"/>
      <c r="K29" s="28"/>
      <c r="L29" s="53"/>
      <c r="M29" s="18"/>
      <c r="N29" s="18"/>
    </row>
    <row r="30" spans="1:14" ht="15">
      <c r="A30" s="30"/>
      <c r="B30" s="90" t="s">
        <v>4566</v>
      </c>
      <c r="C30" s="123">
        <f>'TAB EMP'!$B$2*9.612%</f>
        <v>12.4956</v>
      </c>
      <c r="D30" s="32"/>
      <c r="E30" s="32"/>
      <c r="F30" s="32">
        <v>27</v>
      </c>
      <c r="G30" s="40">
        <v>0.3</v>
      </c>
      <c r="H30" s="32"/>
      <c r="I30" s="32"/>
      <c r="J30" s="27"/>
      <c r="K30" s="28"/>
      <c r="L30" s="53"/>
      <c r="M30" s="18"/>
      <c r="N30" s="18"/>
    </row>
    <row r="31" spans="1:14" ht="15">
      <c r="A31" s="30"/>
      <c r="B31" s="90" t="s">
        <v>4565</v>
      </c>
      <c r="C31" s="123">
        <f>'TAB EMP'!$B$2*9.612%</f>
        <v>12.4956</v>
      </c>
      <c r="D31" s="32"/>
      <c r="E31" s="32"/>
      <c r="F31" s="32">
        <v>28</v>
      </c>
      <c r="G31" s="40">
        <v>0.3</v>
      </c>
      <c r="H31" s="32"/>
      <c r="I31" s="32"/>
      <c r="J31" s="27"/>
      <c r="K31" s="28"/>
      <c r="L31" s="53"/>
      <c r="M31" s="18"/>
      <c r="N31" s="18"/>
    </row>
    <row r="32" spans="1:14" ht="15">
      <c r="A32" s="89"/>
      <c r="B32" s="90"/>
      <c r="C32" s="123"/>
      <c r="D32" s="91"/>
      <c r="E32" s="91"/>
      <c r="F32" s="32">
        <v>29</v>
      </c>
      <c r="G32" s="40">
        <v>0.3</v>
      </c>
      <c r="H32" s="32"/>
      <c r="I32" s="32"/>
      <c r="J32" s="27"/>
      <c r="K32" s="28"/>
      <c r="L32" s="53"/>
      <c r="M32" s="18"/>
      <c r="N32" s="18"/>
    </row>
    <row r="33" spans="1:14" ht="15">
      <c r="A33" s="89"/>
      <c r="B33" s="90"/>
      <c r="C33" s="123"/>
      <c r="D33" s="91"/>
      <c r="E33" s="91"/>
      <c r="F33" s="32">
        <v>30</v>
      </c>
      <c r="G33" s="40">
        <v>0.3</v>
      </c>
      <c r="H33" s="32"/>
      <c r="I33" s="32"/>
      <c r="J33" s="27"/>
      <c r="K33" s="28"/>
      <c r="L33" s="53"/>
      <c r="M33" s="18"/>
      <c r="N33" s="18"/>
    </row>
    <row r="34" spans="1:14" ht="15.75" thickBot="1">
      <c r="A34" s="34"/>
      <c r="B34" s="36"/>
      <c r="C34" s="119"/>
      <c r="D34" s="36"/>
      <c r="E34" s="36"/>
      <c r="F34" s="32">
        <v>31</v>
      </c>
      <c r="G34" s="40">
        <v>0.3</v>
      </c>
      <c r="H34" s="32"/>
      <c r="I34" s="32"/>
      <c r="J34" s="27"/>
      <c r="K34" s="28"/>
      <c r="L34" s="53"/>
      <c r="M34" s="18"/>
      <c r="N34" s="18"/>
    </row>
    <row r="35" spans="1:14" ht="15.75" thickBot="1">
      <c r="F35" s="32">
        <v>32</v>
      </c>
      <c r="G35" s="40">
        <v>0.3</v>
      </c>
      <c r="H35" s="32"/>
      <c r="I35" s="32"/>
      <c r="J35" s="27"/>
      <c r="K35" s="28"/>
      <c r="L35" s="53"/>
      <c r="M35" s="18"/>
      <c r="N35" s="18"/>
    </row>
    <row r="36" spans="1:14" ht="15.75" thickBot="1">
      <c r="A36" s="1796"/>
      <c r="B36" s="1797"/>
      <c r="C36" s="1798"/>
      <c r="F36" s="32">
        <v>33</v>
      </c>
      <c r="G36" s="40">
        <v>0.3</v>
      </c>
      <c r="H36" s="32"/>
      <c r="I36" s="32"/>
      <c r="J36" s="27"/>
      <c r="K36" s="28"/>
      <c r="L36" s="53"/>
      <c r="M36" s="18"/>
      <c r="N36" s="18"/>
    </row>
    <row r="37" spans="1:14" ht="23.25" customHeight="1" thickBot="1">
      <c r="A37" s="83"/>
      <c r="B37" s="84"/>
      <c r="C37" s="121"/>
      <c r="F37" s="32">
        <v>34</v>
      </c>
      <c r="G37" s="40">
        <v>0.3</v>
      </c>
      <c r="H37" s="32"/>
      <c r="I37" s="32"/>
      <c r="J37" s="27"/>
      <c r="K37" s="28"/>
      <c r="L37" s="53"/>
      <c r="M37" s="18"/>
      <c r="N37" s="18"/>
    </row>
    <row r="38" spans="1:14" ht="15" customHeight="1" thickBot="1">
      <c r="A38" s="77"/>
      <c r="B38" s="82"/>
      <c r="C38" s="124"/>
      <c r="F38" s="32">
        <v>35</v>
      </c>
      <c r="G38" s="40">
        <v>0.3</v>
      </c>
      <c r="H38" s="32"/>
      <c r="I38" s="32"/>
      <c r="J38" s="27"/>
      <c r="K38" s="28"/>
      <c r="L38" s="53"/>
      <c r="M38" s="18"/>
      <c r="N38" s="18"/>
    </row>
    <row r="39" spans="1:14" ht="15" customHeight="1" thickBot="1">
      <c r="A39" s="78"/>
      <c r="B39" s="80"/>
      <c r="C39" s="124"/>
      <c r="F39" s="32">
        <v>0</v>
      </c>
      <c r="G39" s="40"/>
      <c r="H39" s="32"/>
      <c r="I39" s="32"/>
      <c r="J39" s="27"/>
      <c r="K39" s="28"/>
      <c r="L39" s="53"/>
      <c r="M39" s="18"/>
      <c r="N39" s="18"/>
    </row>
    <row r="40" spans="1:14" ht="15.75" thickBot="1">
      <c r="A40" s="78"/>
      <c r="B40" s="76"/>
      <c r="C40" s="124"/>
      <c r="F40" s="32">
        <v>0</v>
      </c>
      <c r="G40" s="40"/>
      <c r="H40" s="32"/>
      <c r="I40" s="32"/>
      <c r="J40" s="27"/>
      <c r="K40" s="28"/>
      <c r="L40" s="53"/>
      <c r="M40" s="18"/>
      <c r="N40" s="18"/>
    </row>
    <row r="41" spans="1:14" ht="15.75" thickBot="1">
      <c r="A41" s="78"/>
      <c r="B41" s="76"/>
      <c r="C41" s="124"/>
      <c r="F41" s="36"/>
      <c r="G41" s="35"/>
      <c r="H41" s="36"/>
      <c r="I41" s="36"/>
      <c r="J41" s="132"/>
      <c r="K41" s="54"/>
      <c r="L41" s="55"/>
      <c r="M41" s="18"/>
      <c r="N41" s="18"/>
    </row>
    <row r="42" spans="1:14" ht="12.75" thickBot="1">
      <c r="A42" s="78"/>
      <c r="B42" s="76"/>
      <c r="C42" s="124"/>
    </row>
    <row r="43" spans="1:14" ht="12.75" thickBot="1">
      <c r="A43" s="78"/>
      <c r="B43" s="76"/>
      <c r="C43" s="124"/>
    </row>
    <row r="44" spans="1:14" ht="12.75" thickBot="1">
      <c r="A44" s="78"/>
      <c r="B44" s="76"/>
      <c r="C44" s="124"/>
    </row>
    <row r="45" spans="1:14" ht="12.75" thickBot="1">
      <c r="A45" s="78"/>
      <c r="B45" s="76"/>
      <c r="C45" s="124"/>
    </row>
    <row r="46" spans="1:14" ht="12" customHeight="1" thickBot="1">
      <c r="A46" s="78"/>
      <c r="B46" s="76"/>
      <c r="C46" s="124"/>
      <c r="E46" s="105"/>
    </row>
    <row r="47" spans="1:14" ht="15" customHeight="1" thickBot="1">
      <c r="A47" s="78"/>
      <c r="B47" s="76"/>
      <c r="C47" s="124"/>
      <c r="E47" s="127"/>
    </row>
    <row r="48" spans="1:14" ht="15.75" customHeight="1" thickBot="1">
      <c r="A48" s="78"/>
      <c r="B48" s="76"/>
      <c r="C48" s="124"/>
      <c r="E48" s="127"/>
    </row>
    <row r="49" spans="1:7" ht="12.75" thickBot="1">
      <c r="A49" s="79"/>
      <c r="B49" s="81"/>
      <c r="C49" s="124"/>
      <c r="E49" s="127"/>
    </row>
    <row r="50" spans="1:7">
      <c r="B50" s="75"/>
      <c r="E50" s="127"/>
    </row>
    <row r="51" spans="1:7">
      <c r="B51" s="75"/>
      <c r="E51" s="127"/>
      <c r="G51" s="105"/>
    </row>
    <row r="52" spans="1:7">
      <c r="A52" s="128"/>
      <c r="B52" s="129"/>
      <c r="E52" s="105"/>
    </row>
    <row r="53" spans="1:7">
      <c r="B53" s="128"/>
    </row>
    <row r="54" spans="1:7">
      <c r="B54" s="128"/>
    </row>
    <row r="55" spans="1:7">
      <c r="B55" s="128"/>
      <c r="C55" s="120">
        <v>6</v>
      </c>
      <c r="D55" s="29">
        <v>6</v>
      </c>
    </row>
    <row r="56" spans="1:7">
      <c r="B56" s="128"/>
    </row>
    <row r="57" spans="1:7">
      <c r="B57" s="128"/>
    </row>
    <row r="58" spans="1:7">
      <c r="B58" s="128"/>
    </row>
    <row r="59" spans="1:7" ht="12.75">
      <c r="A59" s="135">
        <v>0</v>
      </c>
      <c r="B59" s="128"/>
    </row>
    <row r="60" spans="1:7">
      <c r="A60" s="136">
        <v>1</v>
      </c>
      <c r="B60" s="128"/>
    </row>
    <row r="61" spans="1:7" ht="12.75">
      <c r="A61" s="135">
        <v>2</v>
      </c>
      <c r="B61" s="128"/>
    </row>
    <row r="62" spans="1:7">
      <c r="A62" s="128"/>
      <c r="B62" s="128"/>
    </row>
    <row r="63" spans="1:7">
      <c r="A63" s="128"/>
      <c r="B63" s="128"/>
    </row>
    <row r="64" spans="1:7">
      <c r="A64" s="128"/>
      <c r="B64" s="128"/>
    </row>
    <row r="65" spans="1:2">
      <c r="A65" s="128"/>
      <c r="B65" s="128"/>
    </row>
    <row r="66" spans="1:2">
      <c r="A66" s="128"/>
      <c r="B66" s="128"/>
    </row>
    <row r="67" spans="1:2">
      <c r="A67" s="128"/>
      <c r="B67" s="128"/>
    </row>
    <row r="68" spans="1:2">
      <c r="A68" s="128"/>
      <c r="B68" s="128"/>
    </row>
    <row r="69" spans="1:2">
      <c r="A69" s="128"/>
      <c r="B69" s="128"/>
    </row>
    <row r="70" spans="1:2">
      <c r="A70" s="128"/>
      <c r="B70" s="128"/>
    </row>
    <row r="71" spans="1:2">
      <c r="A71" s="128"/>
      <c r="B71" s="128"/>
    </row>
    <row r="73" spans="1:2">
      <c r="A73" s="584" t="s">
        <v>4658</v>
      </c>
    </row>
    <row r="74" spans="1:2">
      <c r="A74" s="32">
        <v>0</v>
      </c>
    </row>
    <row r="75" spans="1:2">
      <c r="A75" s="32">
        <v>1</v>
      </c>
    </row>
    <row r="76" spans="1:2">
      <c r="A76" s="32">
        <v>2</v>
      </c>
    </row>
    <row r="77" spans="1:2">
      <c r="A77" s="32">
        <v>3</v>
      </c>
    </row>
    <row r="78" spans="1:2">
      <c r="A78" s="32">
        <v>4</v>
      </c>
    </row>
    <row r="79" spans="1:2">
      <c r="A79" s="32">
        <v>5</v>
      </c>
    </row>
    <row r="80" spans="1:2">
      <c r="A80" s="32">
        <v>6</v>
      </c>
    </row>
    <row r="81" spans="1:1">
      <c r="A81" s="32">
        <v>7</v>
      </c>
    </row>
    <row r="82" spans="1:1">
      <c r="A82" s="32">
        <v>8</v>
      </c>
    </row>
    <row r="83" spans="1:1">
      <c r="A83" s="32">
        <v>9</v>
      </c>
    </row>
    <row r="84" spans="1:1">
      <c r="A84" s="32">
        <v>10</v>
      </c>
    </row>
    <row r="90" spans="1:1">
      <c r="A90" s="584" t="s">
        <v>4659</v>
      </c>
    </row>
    <row r="91" spans="1:1">
      <c r="A91" s="32">
        <v>0</v>
      </c>
    </row>
    <row r="92" spans="1:1">
      <c r="A92" s="32">
        <v>1</v>
      </c>
    </row>
    <row r="93" spans="1:1">
      <c r="A93" s="32">
        <v>2</v>
      </c>
    </row>
    <row r="94" spans="1:1">
      <c r="A94" s="32">
        <v>3</v>
      </c>
    </row>
    <row r="95" spans="1:1">
      <c r="A95" s="32">
        <v>4</v>
      </c>
    </row>
    <row r="100" spans="1:1">
      <c r="A100" s="585" t="s">
        <v>4663</v>
      </c>
    </row>
    <row r="101" spans="1:1">
      <c r="A101" s="76">
        <v>0</v>
      </c>
    </row>
    <row r="102" spans="1:1">
      <c r="A102" s="208">
        <v>2120</v>
      </c>
    </row>
    <row r="106" spans="1:1">
      <c r="A106" s="584" t="s">
        <v>5079</v>
      </c>
    </row>
    <row r="107" spans="1:1">
      <c r="A107" s="583">
        <v>0</v>
      </c>
    </row>
    <row r="108" spans="1:1">
      <c r="A108" s="583" t="s">
        <v>5080</v>
      </c>
    </row>
  </sheetData>
  <mergeCells count="5">
    <mergeCell ref="J1:L1"/>
    <mergeCell ref="F1:G1"/>
    <mergeCell ref="H1:I1"/>
    <mergeCell ref="A1:E1"/>
    <mergeCell ref="A36:C36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5"/>
  <dimension ref="A1:I36"/>
  <sheetViews>
    <sheetView zoomScale="110" zoomScaleNormal="110" workbookViewId="0">
      <pane ySplit="1" topLeftCell="A2" activePane="bottomLeft" state="frozen"/>
      <selection pane="bottomLeft" activeCell="A2" sqref="A2"/>
    </sheetView>
  </sheetViews>
  <sheetFormatPr baseColWidth="10" defaultRowHeight="15"/>
  <cols>
    <col min="1" max="1" width="19.140625" style="102" customWidth="1"/>
    <col min="2" max="2" width="16.28515625" style="63" bestFit="1" customWidth="1"/>
    <col min="3" max="3" width="58.140625" style="97" customWidth="1"/>
    <col min="4" max="4" width="10" style="338" customWidth="1"/>
    <col min="5" max="5" width="11.42578125" style="61"/>
    <col min="6" max="6" width="8.5703125" style="61" customWidth="1"/>
    <col min="7" max="7" width="11.42578125" style="61"/>
    <col min="8" max="8" width="12.5703125" style="61" customWidth="1"/>
    <col min="9" max="9" width="8.5703125" style="61" customWidth="1"/>
    <col min="10" max="16384" width="11.42578125" style="61"/>
  </cols>
  <sheetData>
    <row r="1" spans="1:9" ht="52.5" customHeight="1" thickBot="1">
      <c r="A1" s="335" t="s">
        <v>1</v>
      </c>
      <c r="B1" s="336" t="s">
        <v>2889</v>
      </c>
      <c r="C1" s="335" t="s">
        <v>2897</v>
      </c>
    </row>
    <row r="2" spans="1:9" ht="20.100000000000001" customHeight="1">
      <c r="A2" s="331" t="s">
        <v>4588</v>
      </c>
      <c r="B2" s="325">
        <v>130</v>
      </c>
      <c r="C2" s="332" t="s">
        <v>4464</v>
      </c>
      <c r="D2" s="1799" t="s">
        <v>5065</v>
      </c>
      <c r="F2" s="110"/>
      <c r="H2" s="109"/>
      <c r="I2" s="110"/>
    </row>
    <row r="3" spans="1:9" s="62" customFormat="1" ht="20.100000000000001" customHeight="1">
      <c r="A3" s="95" t="s">
        <v>4589</v>
      </c>
      <c r="B3" s="122">
        <v>150</v>
      </c>
      <c r="C3" s="318" t="s">
        <v>4465</v>
      </c>
      <c r="D3" s="1800"/>
      <c r="F3" s="110"/>
      <c r="H3" s="109"/>
      <c r="I3" s="110"/>
    </row>
    <row r="4" spans="1:9" ht="20.100000000000001" customHeight="1">
      <c r="A4" s="95" t="s">
        <v>4590</v>
      </c>
      <c r="B4" s="122">
        <v>170</v>
      </c>
      <c r="C4" s="319" t="s">
        <v>4466</v>
      </c>
      <c r="D4" s="1800"/>
      <c r="F4" s="110"/>
      <c r="H4" s="109"/>
      <c r="I4" s="110"/>
    </row>
    <row r="5" spans="1:9" ht="20.100000000000001" customHeight="1">
      <c r="A5" s="98" t="s">
        <v>4591</v>
      </c>
      <c r="B5" s="122">
        <v>172</v>
      </c>
      <c r="C5" s="319" t="s">
        <v>4467</v>
      </c>
      <c r="D5" s="1800"/>
      <c r="F5" s="110"/>
      <c r="H5" s="109"/>
      <c r="I5" s="110"/>
    </row>
    <row r="6" spans="1:9" ht="20.100000000000001" customHeight="1">
      <c r="A6" s="98" t="s">
        <v>4592</v>
      </c>
      <c r="B6" s="122">
        <v>174</v>
      </c>
      <c r="C6" s="319" t="s">
        <v>4468</v>
      </c>
      <c r="D6" s="1800"/>
      <c r="F6" s="110"/>
      <c r="H6" s="109"/>
      <c r="I6" s="110"/>
    </row>
    <row r="7" spans="1:9" ht="20.100000000000001" customHeight="1">
      <c r="A7" s="98" t="s">
        <v>4593</v>
      </c>
      <c r="B7" s="122">
        <v>176</v>
      </c>
      <c r="C7" s="319" t="s">
        <v>4469</v>
      </c>
      <c r="D7" s="1800"/>
      <c r="F7" s="110"/>
      <c r="H7" s="109"/>
      <c r="I7" s="110"/>
    </row>
    <row r="8" spans="1:9" ht="20.100000000000001" customHeight="1" thickBot="1">
      <c r="A8" s="337" t="s">
        <v>4587</v>
      </c>
      <c r="B8" s="327">
        <v>177</v>
      </c>
      <c r="C8" s="334" t="s">
        <v>4470</v>
      </c>
      <c r="D8" s="1801"/>
      <c r="F8" s="110"/>
      <c r="H8" s="109"/>
      <c r="I8" s="110"/>
    </row>
    <row r="9" spans="1:9" ht="20.100000000000001" customHeight="1">
      <c r="A9" s="331" t="s">
        <v>4594</v>
      </c>
      <c r="B9" s="325">
        <v>192</v>
      </c>
      <c r="C9" s="332" t="s">
        <v>4464</v>
      </c>
      <c r="D9" s="1799" t="s">
        <v>5070</v>
      </c>
      <c r="F9" s="110"/>
      <c r="H9" s="109"/>
      <c r="I9" s="110"/>
    </row>
    <row r="10" spans="1:9" ht="20.100000000000001" customHeight="1">
      <c r="A10" s="99" t="s">
        <v>4595</v>
      </c>
      <c r="B10" s="122">
        <v>219</v>
      </c>
      <c r="C10" s="318" t="s">
        <v>4465</v>
      </c>
      <c r="D10" s="1800"/>
      <c r="F10" s="110"/>
      <c r="H10" s="109"/>
      <c r="I10" s="110"/>
    </row>
    <row r="11" spans="1:9" ht="20.100000000000001" customHeight="1">
      <c r="A11" s="99" t="s">
        <v>4596</v>
      </c>
      <c r="B11" s="122">
        <v>221</v>
      </c>
      <c r="C11" s="319" t="s">
        <v>4466</v>
      </c>
      <c r="D11" s="1800"/>
      <c r="F11" s="110"/>
      <c r="H11" s="109"/>
      <c r="I11" s="110"/>
    </row>
    <row r="12" spans="1:9" ht="20.100000000000001" customHeight="1">
      <c r="A12" s="99" t="s">
        <v>4597</v>
      </c>
      <c r="B12" s="122">
        <v>223</v>
      </c>
      <c r="C12" s="319" t="s">
        <v>4467</v>
      </c>
      <c r="D12" s="1800"/>
      <c r="F12" s="110"/>
      <c r="H12" s="109"/>
      <c r="I12" s="110"/>
    </row>
    <row r="13" spans="1:9" ht="20.100000000000001" customHeight="1">
      <c r="A13" s="99" t="s">
        <v>4598</v>
      </c>
      <c r="B13" s="122">
        <v>225</v>
      </c>
      <c r="C13" s="319" t="s">
        <v>4468</v>
      </c>
      <c r="D13" s="1800"/>
      <c r="F13" s="110"/>
      <c r="H13" s="109"/>
      <c r="I13" s="110"/>
    </row>
    <row r="14" spans="1:9" ht="20.100000000000001" customHeight="1">
      <c r="A14" s="99" t="s">
        <v>4599</v>
      </c>
      <c r="B14" s="122">
        <v>226</v>
      </c>
      <c r="C14" s="319" t="s">
        <v>4469</v>
      </c>
      <c r="D14" s="1800"/>
      <c r="F14" s="110"/>
      <c r="H14" s="109"/>
      <c r="I14" s="110"/>
    </row>
    <row r="15" spans="1:9" ht="20.100000000000001" customHeight="1" thickBot="1">
      <c r="A15" s="333" t="s">
        <v>4586</v>
      </c>
      <c r="B15" s="327">
        <v>228</v>
      </c>
      <c r="C15" s="334" t="s">
        <v>4470</v>
      </c>
      <c r="D15" s="1801"/>
      <c r="F15" s="110"/>
      <c r="H15" s="109"/>
      <c r="I15" s="110"/>
    </row>
    <row r="16" spans="1:9">
      <c r="A16" s="324" t="s">
        <v>4600</v>
      </c>
      <c r="B16" s="325">
        <v>246</v>
      </c>
      <c r="C16" s="329" t="s">
        <v>4464</v>
      </c>
      <c r="D16" s="1799" t="s">
        <v>5074</v>
      </c>
      <c r="F16" s="110"/>
      <c r="H16" s="109"/>
      <c r="I16" s="110"/>
    </row>
    <row r="17" spans="1:9">
      <c r="A17" s="100" t="s">
        <v>4601</v>
      </c>
      <c r="B17" s="122">
        <v>277</v>
      </c>
      <c r="C17" s="96" t="s">
        <v>4465</v>
      </c>
      <c r="D17" s="1800"/>
      <c r="F17" s="110"/>
      <c r="H17" s="109"/>
      <c r="I17" s="110"/>
    </row>
    <row r="18" spans="1:9">
      <c r="A18" s="100" t="s">
        <v>4602</v>
      </c>
      <c r="B18" s="122">
        <v>279</v>
      </c>
      <c r="C18" s="96" t="s">
        <v>4466</v>
      </c>
      <c r="D18" s="1800"/>
      <c r="F18" s="110"/>
      <c r="H18" s="109"/>
      <c r="I18" s="110"/>
    </row>
    <row r="19" spans="1:9">
      <c r="A19" s="100" t="s">
        <v>4603</v>
      </c>
      <c r="B19" s="122">
        <v>281</v>
      </c>
      <c r="C19" s="96" t="s">
        <v>4467</v>
      </c>
      <c r="D19" s="1800"/>
      <c r="F19" s="110"/>
      <c r="H19" s="109"/>
      <c r="I19" s="110"/>
    </row>
    <row r="20" spans="1:9">
      <c r="A20" s="100" t="s">
        <v>4604</v>
      </c>
      <c r="B20" s="122">
        <v>283</v>
      </c>
      <c r="C20" s="96" t="s">
        <v>4468</v>
      </c>
      <c r="D20" s="1800"/>
      <c r="F20" s="110"/>
      <c r="H20" s="109"/>
      <c r="I20" s="110"/>
    </row>
    <row r="21" spans="1:9">
      <c r="A21" s="100" t="s">
        <v>4605</v>
      </c>
      <c r="B21" s="122">
        <v>285</v>
      </c>
      <c r="C21" s="96" t="s">
        <v>4469</v>
      </c>
      <c r="D21" s="1800"/>
      <c r="F21" s="110"/>
      <c r="H21" s="109"/>
      <c r="I21" s="110"/>
    </row>
    <row r="22" spans="1:9" ht="15.75" thickBot="1">
      <c r="A22" s="101" t="s">
        <v>4585</v>
      </c>
      <c r="B22" s="327">
        <v>287</v>
      </c>
      <c r="C22" s="330" t="s">
        <v>4470</v>
      </c>
      <c r="D22" s="1801"/>
      <c r="F22" s="110"/>
      <c r="H22" s="109"/>
      <c r="I22" s="110"/>
    </row>
    <row r="23" spans="1:9">
      <c r="A23" s="324" t="s">
        <v>4606</v>
      </c>
      <c r="B23" s="325">
        <v>305</v>
      </c>
      <c r="C23" s="326" t="s">
        <v>4464</v>
      </c>
      <c r="D23" s="1799" t="s">
        <v>5077</v>
      </c>
      <c r="F23" s="110"/>
      <c r="H23" s="109"/>
      <c r="I23" s="110"/>
    </row>
    <row r="24" spans="1:9">
      <c r="A24" s="100" t="s">
        <v>4607</v>
      </c>
      <c r="B24" s="122">
        <v>307</v>
      </c>
      <c r="C24" s="320" t="s">
        <v>4465</v>
      </c>
      <c r="D24" s="1800"/>
      <c r="F24" s="110"/>
      <c r="H24" s="109"/>
      <c r="I24" s="110"/>
    </row>
    <row r="25" spans="1:9">
      <c r="A25" s="100" t="s">
        <v>4608</v>
      </c>
      <c r="B25" s="122">
        <v>308</v>
      </c>
      <c r="C25" s="320" t="s">
        <v>4466</v>
      </c>
      <c r="D25" s="1800"/>
      <c r="F25" s="110"/>
      <c r="H25" s="109"/>
      <c r="I25" s="110"/>
    </row>
    <row r="26" spans="1:9">
      <c r="A26" s="100" t="s">
        <v>4609</v>
      </c>
      <c r="B26" s="122">
        <v>310</v>
      </c>
      <c r="C26" s="320" t="s">
        <v>4467</v>
      </c>
      <c r="D26" s="1800"/>
      <c r="F26" s="110"/>
      <c r="H26" s="109"/>
      <c r="I26" s="110"/>
    </row>
    <row r="27" spans="1:9">
      <c r="A27" s="100" t="s">
        <v>4610</v>
      </c>
      <c r="B27" s="122">
        <v>312</v>
      </c>
      <c r="C27" s="320" t="s">
        <v>4468</v>
      </c>
      <c r="D27" s="1800"/>
      <c r="F27" s="110"/>
      <c r="H27" s="109"/>
      <c r="I27" s="110"/>
    </row>
    <row r="28" spans="1:9">
      <c r="A28" s="100" t="s">
        <v>4611</v>
      </c>
      <c r="B28" s="122">
        <v>314</v>
      </c>
      <c r="C28" s="320" t="s">
        <v>4469</v>
      </c>
      <c r="D28" s="1800"/>
      <c r="F28" s="110"/>
      <c r="H28" s="109"/>
      <c r="I28" s="110"/>
    </row>
    <row r="29" spans="1:9" ht="15.75" thickBot="1">
      <c r="A29" s="101" t="s">
        <v>4584</v>
      </c>
      <c r="B29" s="327">
        <v>316</v>
      </c>
      <c r="C29" s="328" t="s">
        <v>4470</v>
      </c>
      <c r="D29" s="1801"/>
      <c r="F29" s="110"/>
      <c r="H29" s="109"/>
      <c r="I29" s="110"/>
    </row>
    <row r="30" spans="1:9">
      <c r="A30" s="321" t="s">
        <v>2835</v>
      </c>
      <c r="B30" s="322">
        <v>348</v>
      </c>
      <c r="C30" s="323" t="s">
        <v>2890</v>
      </c>
      <c r="F30" s="110"/>
      <c r="H30" s="109"/>
      <c r="I30" s="110"/>
    </row>
    <row r="31" spans="1:9">
      <c r="A31" s="100" t="s">
        <v>2836</v>
      </c>
      <c r="B31" s="122">
        <v>363</v>
      </c>
      <c r="C31" s="103" t="s">
        <v>2892</v>
      </c>
      <c r="F31" s="110"/>
      <c r="H31" s="109"/>
      <c r="I31" s="110"/>
    </row>
    <row r="32" spans="1:9">
      <c r="A32" s="100" t="s">
        <v>2837</v>
      </c>
      <c r="B32" s="122">
        <v>376</v>
      </c>
      <c r="C32" s="103" t="s">
        <v>3085</v>
      </c>
      <c r="F32" s="110"/>
      <c r="H32" s="109"/>
      <c r="I32" s="110"/>
    </row>
    <row r="33" spans="1:9">
      <c r="A33" s="100" t="s">
        <v>2838</v>
      </c>
      <c r="B33" s="122">
        <v>391</v>
      </c>
      <c r="C33" s="103" t="s">
        <v>2891</v>
      </c>
      <c r="F33" s="110"/>
      <c r="H33" s="109"/>
      <c r="I33" s="110"/>
    </row>
    <row r="34" spans="1:9">
      <c r="A34" s="100" t="s">
        <v>2839</v>
      </c>
      <c r="B34" s="122">
        <v>409</v>
      </c>
      <c r="C34" s="103" t="s">
        <v>2893</v>
      </c>
      <c r="F34" s="110"/>
      <c r="H34" s="109"/>
      <c r="I34" s="110"/>
    </row>
    <row r="35" spans="1:9">
      <c r="A35" s="100" t="s">
        <v>2842</v>
      </c>
      <c r="B35" s="122">
        <v>427</v>
      </c>
      <c r="C35" s="103" t="s">
        <v>2894</v>
      </c>
      <c r="F35" s="110"/>
      <c r="H35" s="109"/>
      <c r="I35" s="110"/>
    </row>
    <row r="36" spans="1:9" ht="15.75" thickBot="1">
      <c r="A36" s="101" t="s">
        <v>2843</v>
      </c>
      <c r="B36" s="122">
        <v>447</v>
      </c>
      <c r="C36" s="104" t="s">
        <v>1154</v>
      </c>
      <c r="F36" s="110"/>
      <c r="H36" s="109"/>
      <c r="I36" s="110"/>
    </row>
  </sheetData>
  <mergeCells count="4">
    <mergeCell ref="D2:D8"/>
    <mergeCell ref="D9:D15"/>
    <mergeCell ref="D16:D22"/>
    <mergeCell ref="D23:D29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6"/>
  <dimension ref="A1:B15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"/>
  <cols>
    <col min="1" max="1" width="11.5703125" style="49" customWidth="1"/>
    <col min="2" max="2" width="19.140625" style="19" customWidth="1"/>
    <col min="3" max="16384" width="11.42578125" style="19"/>
  </cols>
  <sheetData>
    <row r="1" spans="1:2" s="22" customFormat="1" ht="22.5" customHeight="1" thickBot="1">
      <c r="A1" s="1802" t="s">
        <v>2841</v>
      </c>
      <c r="B1" s="1803"/>
    </row>
    <row r="2" spans="1:2" s="22" customFormat="1" ht="22.5" customHeight="1" thickBot="1">
      <c r="A2" s="48" t="s">
        <v>1</v>
      </c>
      <c r="B2" s="23" t="s">
        <v>2889</v>
      </c>
    </row>
    <row r="3" spans="1:2" ht="15.75" customHeight="1">
      <c r="A3" s="50">
        <v>1</v>
      </c>
      <c r="B3" s="152">
        <v>130</v>
      </c>
    </row>
    <row r="4" spans="1:2" ht="15.75" customHeight="1">
      <c r="A4" s="50">
        <v>2</v>
      </c>
      <c r="B4" s="152">
        <v>142</v>
      </c>
    </row>
    <row r="5" spans="1:2" ht="15.75" customHeight="1">
      <c r="A5" s="50">
        <v>3</v>
      </c>
      <c r="B5" s="152">
        <v>152</v>
      </c>
    </row>
    <row r="6" spans="1:2" ht="15.75" customHeight="1">
      <c r="A6" s="50">
        <v>4</v>
      </c>
      <c r="B6" s="152">
        <v>161</v>
      </c>
    </row>
    <row r="7" spans="1:2" ht="15.75" customHeight="1">
      <c r="A7" s="50">
        <v>5</v>
      </c>
      <c r="B7" s="152">
        <v>171</v>
      </c>
    </row>
    <row r="8" spans="1:2" ht="15.75" customHeight="1">
      <c r="A8" s="50">
        <v>6</v>
      </c>
      <c r="B8" s="152">
        <v>181</v>
      </c>
    </row>
    <row r="9" spans="1:2" ht="15.75" customHeight="1">
      <c r="A9" s="50">
        <v>7</v>
      </c>
      <c r="B9" s="152">
        <v>190</v>
      </c>
    </row>
    <row r="10" spans="1:2" ht="15.75" customHeight="1">
      <c r="A10" s="50">
        <v>8</v>
      </c>
      <c r="B10" s="152">
        <v>200</v>
      </c>
    </row>
    <row r="11" spans="1:2" ht="15.75" customHeight="1">
      <c r="A11" s="50">
        <v>9</v>
      </c>
      <c r="B11" s="152">
        <v>210</v>
      </c>
    </row>
    <row r="12" spans="1:2" ht="15.75" customHeight="1" thickBot="1">
      <c r="A12" s="51">
        <v>10</v>
      </c>
      <c r="B12" s="153">
        <v>219</v>
      </c>
    </row>
    <row r="15" spans="1:2">
      <c r="A15" s="20"/>
      <c r="B15" s="21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4"/>
  <dimension ref="A1:F2218"/>
  <sheetViews>
    <sheetView workbookViewId="0">
      <pane ySplit="1" topLeftCell="A2" activePane="bottomLeft" state="frozen"/>
      <selection pane="bottomLeft" activeCell="A263" sqref="A263"/>
    </sheetView>
  </sheetViews>
  <sheetFormatPr baseColWidth="10" defaultColWidth="37.5703125" defaultRowHeight="12"/>
  <cols>
    <col min="1" max="1" width="70.140625" style="3" bestFit="1" customWidth="1"/>
    <col min="2" max="2" width="13.7109375" style="13" bestFit="1" customWidth="1"/>
    <col min="3" max="3" width="14" style="3" bestFit="1" customWidth="1"/>
    <col min="4" max="4" width="15.85546875" style="3" bestFit="1" customWidth="1"/>
    <col min="5" max="5" width="8.85546875" style="13" bestFit="1" customWidth="1"/>
    <col min="6" max="6" width="11.42578125" style="3" customWidth="1"/>
    <col min="7" max="16384" width="37.5703125" style="3"/>
  </cols>
  <sheetData>
    <row r="1" spans="1:5" s="2" customFormat="1" ht="33" customHeight="1" thickBot="1">
      <c r="A1" s="14" t="s">
        <v>18</v>
      </c>
      <c r="B1" s="15" t="s">
        <v>17</v>
      </c>
      <c r="C1" s="16" t="s">
        <v>19</v>
      </c>
      <c r="D1" s="16" t="s">
        <v>20</v>
      </c>
      <c r="E1" s="17" t="s">
        <v>1</v>
      </c>
    </row>
    <row r="2" spans="1:5">
      <c r="A2" s="4">
        <v>0</v>
      </c>
      <c r="B2" s="108" t="s">
        <v>4615</v>
      </c>
      <c r="C2" s="6" t="s">
        <v>4443</v>
      </c>
      <c r="D2" s="6" t="s">
        <v>4443</v>
      </c>
      <c r="E2" s="7" t="s">
        <v>4443</v>
      </c>
    </row>
    <row r="3" spans="1:5">
      <c r="A3" s="4" t="s">
        <v>3566</v>
      </c>
      <c r="B3" s="5" t="s">
        <v>4342</v>
      </c>
      <c r="C3" s="6" t="s">
        <v>4443</v>
      </c>
      <c r="D3" s="6" t="s">
        <v>4443</v>
      </c>
      <c r="E3" s="7" t="s">
        <v>4443</v>
      </c>
    </row>
    <row r="4" spans="1:5">
      <c r="A4" s="65" t="s">
        <v>22</v>
      </c>
      <c r="B4" s="66" t="s">
        <v>21</v>
      </c>
      <c r="C4" s="67" t="s">
        <v>23</v>
      </c>
      <c r="D4" s="67" t="s">
        <v>24</v>
      </c>
      <c r="E4" s="68" t="s">
        <v>4455</v>
      </c>
    </row>
    <row r="5" spans="1:5">
      <c r="A5" s="69" t="s">
        <v>26</v>
      </c>
      <c r="B5" s="70" t="s">
        <v>25</v>
      </c>
      <c r="C5" s="71" t="s">
        <v>23</v>
      </c>
      <c r="D5" s="71" t="s">
        <v>24</v>
      </c>
      <c r="E5" s="72" t="s">
        <v>4449</v>
      </c>
    </row>
    <row r="6" spans="1:5">
      <c r="A6" s="4" t="s">
        <v>28</v>
      </c>
      <c r="B6" s="5" t="s">
        <v>27</v>
      </c>
      <c r="C6" s="6" t="s">
        <v>23</v>
      </c>
      <c r="D6" s="6" t="s">
        <v>24</v>
      </c>
      <c r="E6" s="7" t="s">
        <v>4450</v>
      </c>
    </row>
    <row r="7" spans="1:5">
      <c r="A7" s="65" t="s">
        <v>30</v>
      </c>
      <c r="B7" s="66" t="s">
        <v>29</v>
      </c>
      <c r="C7" s="67" t="s">
        <v>23</v>
      </c>
      <c r="D7" s="67" t="s">
        <v>24</v>
      </c>
      <c r="E7" s="68" t="s">
        <v>4451</v>
      </c>
    </row>
    <row r="8" spans="1:5">
      <c r="A8" s="4" t="s">
        <v>32</v>
      </c>
      <c r="B8" s="5" t="s">
        <v>31</v>
      </c>
      <c r="C8" s="6" t="s">
        <v>23</v>
      </c>
      <c r="D8" s="6" t="s">
        <v>24</v>
      </c>
      <c r="E8" s="7" t="s">
        <v>4453</v>
      </c>
    </row>
    <row r="9" spans="1:5">
      <c r="A9" s="4" t="s">
        <v>34</v>
      </c>
      <c r="B9" s="5" t="s">
        <v>33</v>
      </c>
      <c r="C9" s="6" t="s">
        <v>23</v>
      </c>
      <c r="D9" s="6" t="s">
        <v>24</v>
      </c>
      <c r="E9" s="7" t="s">
        <v>4447</v>
      </c>
    </row>
    <row r="10" spans="1:5">
      <c r="A10" s="4" t="s">
        <v>36</v>
      </c>
      <c r="B10" s="5" t="s">
        <v>35</v>
      </c>
      <c r="C10" s="6" t="s">
        <v>23</v>
      </c>
      <c r="D10" s="6" t="s">
        <v>24</v>
      </c>
      <c r="E10" s="7" t="s">
        <v>4448</v>
      </c>
    </row>
    <row r="11" spans="1:5">
      <c r="A11" s="4" t="s">
        <v>38</v>
      </c>
      <c r="B11" s="5" t="s">
        <v>37</v>
      </c>
      <c r="C11" s="6" t="s">
        <v>23</v>
      </c>
      <c r="D11" s="6" t="s">
        <v>24</v>
      </c>
      <c r="E11" s="7" t="s">
        <v>4450</v>
      </c>
    </row>
    <row r="12" spans="1:5">
      <c r="A12" s="4" t="s">
        <v>40</v>
      </c>
      <c r="B12" s="5" t="s">
        <v>39</v>
      </c>
      <c r="C12" s="6" t="s">
        <v>23</v>
      </c>
      <c r="D12" s="6" t="s">
        <v>24</v>
      </c>
      <c r="E12" s="7" t="s">
        <v>4451</v>
      </c>
    </row>
    <row r="13" spans="1:5">
      <c r="A13" s="11" t="s">
        <v>42</v>
      </c>
      <c r="B13" s="5" t="s">
        <v>41</v>
      </c>
      <c r="C13" s="12" t="s">
        <v>23</v>
      </c>
      <c r="D13" s="12" t="s">
        <v>24</v>
      </c>
      <c r="E13" s="7" t="s">
        <v>4453</v>
      </c>
    </row>
    <row r="14" spans="1:5">
      <c r="A14" s="4" t="s">
        <v>44</v>
      </c>
      <c r="B14" s="5" t="s">
        <v>43</v>
      </c>
      <c r="C14" s="6" t="s">
        <v>23</v>
      </c>
      <c r="D14" s="6" t="s">
        <v>24</v>
      </c>
      <c r="E14" s="7" t="s">
        <v>4448</v>
      </c>
    </row>
    <row r="15" spans="1:5">
      <c r="A15" s="4" t="s">
        <v>46</v>
      </c>
      <c r="B15" s="5" t="s">
        <v>45</v>
      </c>
      <c r="C15" s="6" t="s">
        <v>23</v>
      </c>
      <c r="D15" s="6" t="s">
        <v>24</v>
      </c>
      <c r="E15" s="7" t="s">
        <v>4450</v>
      </c>
    </row>
    <row r="16" spans="1:5">
      <c r="A16" s="4" t="s">
        <v>48</v>
      </c>
      <c r="B16" s="5" t="s">
        <v>47</v>
      </c>
      <c r="C16" s="6" t="s">
        <v>23</v>
      </c>
      <c r="D16" s="6" t="s">
        <v>24</v>
      </c>
      <c r="E16" s="7" t="s">
        <v>4451</v>
      </c>
    </row>
    <row r="17" spans="1:5">
      <c r="A17" s="4" t="s">
        <v>50</v>
      </c>
      <c r="B17" s="5" t="s">
        <v>49</v>
      </c>
      <c r="C17" s="12" t="s">
        <v>23</v>
      </c>
      <c r="D17" s="12" t="s">
        <v>24</v>
      </c>
      <c r="E17" s="7" t="s">
        <v>4453</v>
      </c>
    </row>
    <row r="18" spans="1:5">
      <c r="A18" s="4" t="s">
        <v>52</v>
      </c>
      <c r="B18" s="5" t="s">
        <v>51</v>
      </c>
      <c r="C18" s="6" t="s">
        <v>23</v>
      </c>
      <c r="D18" s="6" t="s">
        <v>24</v>
      </c>
      <c r="E18" s="7" t="s">
        <v>4447</v>
      </c>
    </row>
    <row r="19" spans="1:5">
      <c r="A19" s="4" t="s">
        <v>54</v>
      </c>
      <c r="B19" s="5" t="s">
        <v>53</v>
      </c>
      <c r="C19" s="12" t="s">
        <v>23</v>
      </c>
      <c r="D19" s="12" t="s">
        <v>24</v>
      </c>
      <c r="E19" s="7" t="s">
        <v>4448</v>
      </c>
    </row>
    <row r="20" spans="1:5">
      <c r="A20" s="4" t="s">
        <v>56</v>
      </c>
      <c r="B20" s="5" t="s">
        <v>55</v>
      </c>
      <c r="C20" s="6" t="s">
        <v>23</v>
      </c>
      <c r="D20" s="6" t="s">
        <v>24</v>
      </c>
      <c r="E20" s="7" t="s">
        <v>4450</v>
      </c>
    </row>
    <row r="21" spans="1:5">
      <c r="A21" s="4" t="s">
        <v>58</v>
      </c>
      <c r="B21" s="5" t="s">
        <v>57</v>
      </c>
      <c r="C21" s="6" t="s">
        <v>23</v>
      </c>
      <c r="D21" s="6" t="s">
        <v>24</v>
      </c>
      <c r="E21" s="7" t="s">
        <v>4451</v>
      </c>
    </row>
    <row r="22" spans="1:5">
      <c r="A22" s="4" t="s">
        <v>60</v>
      </c>
      <c r="B22" s="5" t="s">
        <v>59</v>
      </c>
      <c r="C22" s="6" t="s">
        <v>23</v>
      </c>
      <c r="D22" s="6" t="s">
        <v>24</v>
      </c>
      <c r="E22" s="7" t="s">
        <v>4452</v>
      </c>
    </row>
    <row r="23" spans="1:5">
      <c r="A23" s="4" t="s">
        <v>62</v>
      </c>
      <c r="B23" s="5" t="s">
        <v>61</v>
      </c>
      <c r="C23" s="6" t="s">
        <v>23</v>
      </c>
      <c r="D23" s="6" t="s">
        <v>63</v>
      </c>
      <c r="E23" s="7" t="s">
        <v>64</v>
      </c>
    </row>
    <row r="24" spans="1:5">
      <c r="A24" s="4" t="s">
        <v>66</v>
      </c>
      <c r="B24" s="5" t="s">
        <v>65</v>
      </c>
      <c r="C24" s="6" t="s">
        <v>23</v>
      </c>
      <c r="D24" s="6" t="s">
        <v>63</v>
      </c>
      <c r="E24" s="7" t="s">
        <v>67</v>
      </c>
    </row>
    <row r="25" spans="1:5">
      <c r="A25" s="4" t="s">
        <v>69</v>
      </c>
      <c r="B25" s="5" t="s">
        <v>68</v>
      </c>
      <c r="C25" s="6" t="s">
        <v>23</v>
      </c>
      <c r="D25" s="6" t="s">
        <v>24</v>
      </c>
      <c r="E25" s="7" t="s">
        <v>4446</v>
      </c>
    </row>
    <row r="26" spans="1:5">
      <c r="A26" s="4" t="s">
        <v>71</v>
      </c>
      <c r="B26" s="5" t="s">
        <v>70</v>
      </c>
      <c r="C26" s="6" t="s">
        <v>23</v>
      </c>
      <c r="D26" s="6" t="s">
        <v>24</v>
      </c>
      <c r="E26" s="7" t="s">
        <v>4447</v>
      </c>
    </row>
    <row r="27" spans="1:5">
      <c r="A27" s="4" t="s">
        <v>73</v>
      </c>
      <c r="B27" s="5" t="s">
        <v>72</v>
      </c>
      <c r="C27" s="6" t="s">
        <v>23</v>
      </c>
      <c r="D27" s="6" t="s">
        <v>24</v>
      </c>
      <c r="E27" s="7" t="s">
        <v>4447</v>
      </c>
    </row>
    <row r="28" spans="1:5">
      <c r="A28" s="4" t="s">
        <v>75</v>
      </c>
      <c r="B28" s="5" t="s">
        <v>74</v>
      </c>
      <c r="C28" s="6" t="s">
        <v>23</v>
      </c>
      <c r="D28" s="6" t="s">
        <v>24</v>
      </c>
      <c r="E28" s="7" t="s">
        <v>4448</v>
      </c>
    </row>
    <row r="29" spans="1:5">
      <c r="A29" s="4" t="s">
        <v>77</v>
      </c>
      <c r="B29" s="5" t="s">
        <v>76</v>
      </c>
      <c r="C29" s="6" t="s">
        <v>23</v>
      </c>
      <c r="D29" s="6" t="s">
        <v>24</v>
      </c>
      <c r="E29" s="7" t="s">
        <v>4450</v>
      </c>
    </row>
    <row r="30" spans="1:5">
      <c r="A30" s="4" t="s">
        <v>79</v>
      </c>
      <c r="B30" s="5" t="s">
        <v>78</v>
      </c>
      <c r="C30" s="6" t="s">
        <v>23</v>
      </c>
      <c r="D30" s="6" t="s">
        <v>24</v>
      </c>
      <c r="E30" s="7" t="s">
        <v>4451</v>
      </c>
    </row>
    <row r="31" spans="1:5">
      <c r="A31" s="11" t="s">
        <v>81</v>
      </c>
      <c r="B31" s="5" t="s">
        <v>80</v>
      </c>
      <c r="C31" s="12" t="s">
        <v>23</v>
      </c>
      <c r="D31" s="12" t="s">
        <v>24</v>
      </c>
      <c r="E31" s="7" t="s">
        <v>4453</v>
      </c>
    </row>
    <row r="32" spans="1:5">
      <c r="A32" s="11" t="s">
        <v>3317</v>
      </c>
      <c r="B32" s="5" t="s">
        <v>4090</v>
      </c>
      <c r="C32" s="12" t="s">
        <v>23</v>
      </c>
      <c r="D32" s="12" t="s">
        <v>63</v>
      </c>
      <c r="E32" s="7" t="s">
        <v>4452</v>
      </c>
    </row>
    <row r="33" spans="1:5">
      <c r="A33" s="4" t="s">
        <v>83</v>
      </c>
      <c r="B33" s="5" t="s">
        <v>82</v>
      </c>
      <c r="C33" s="6" t="s">
        <v>23</v>
      </c>
      <c r="D33" s="6" t="s">
        <v>63</v>
      </c>
      <c r="E33" s="7" t="s">
        <v>64</v>
      </c>
    </row>
    <row r="34" spans="1:5">
      <c r="A34" s="4" t="s">
        <v>85</v>
      </c>
      <c r="B34" s="5" t="s">
        <v>84</v>
      </c>
      <c r="C34" s="6" t="s">
        <v>23</v>
      </c>
      <c r="D34" s="6" t="s">
        <v>63</v>
      </c>
      <c r="E34" s="7" t="s">
        <v>86</v>
      </c>
    </row>
    <row r="35" spans="1:5">
      <c r="A35" s="4" t="s">
        <v>88</v>
      </c>
      <c r="B35" s="5" t="s">
        <v>87</v>
      </c>
      <c r="C35" s="6" t="s">
        <v>23</v>
      </c>
      <c r="D35" s="6" t="s">
        <v>63</v>
      </c>
      <c r="E35" s="7" t="s">
        <v>89</v>
      </c>
    </row>
    <row r="36" spans="1:5">
      <c r="A36" s="4" t="s">
        <v>91</v>
      </c>
      <c r="B36" s="5" t="s">
        <v>90</v>
      </c>
      <c r="C36" s="6" t="s">
        <v>23</v>
      </c>
      <c r="D36" s="6" t="s">
        <v>63</v>
      </c>
      <c r="E36" s="7" t="s">
        <v>92</v>
      </c>
    </row>
    <row r="37" spans="1:5">
      <c r="A37" s="4" t="s">
        <v>94</v>
      </c>
      <c r="B37" s="5" t="s">
        <v>93</v>
      </c>
      <c r="C37" s="6" t="s">
        <v>23</v>
      </c>
      <c r="D37" s="6" t="s">
        <v>63</v>
      </c>
      <c r="E37" s="7" t="s">
        <v>95</v>
      </c>
    </row>
    <row r="38" spans="1:5">
      <c r="A38" s="4" t="s">
        <v>97</v>
      </c>
      <c r="B38" s="5" t="s">
        <v>96</v>
      </c>
      <c r="C38" s="6" t="s">
        <v>23</v>
      </c>
      <c r="D38" s="6" t="s">
        <v>63</v>
      </c>
      <c r="E38" s="7" t="s">
        <v>98</v>
      </c>
    </row>
    <row r="39" spans="1:5">
      <c r="A39" s="4" t="s">
        <v>100</v>
      </c>
      <c r="B39" s="5" t="s">
        <v>99</v>
      </c>
      <c r="C39" s="6" t="s">
        <v>23</v>
      </c>
      <c r="D39" s="6" t="s">
        <v>63</v>
      </c>
      <c r="E39" s="7" t="s">
        <v>67</v>
      </c>
    </row>
    <row r="40" spans="1:5">
      <c r="A40" s="4" t="s">
        <v>102</v>
      </c>
      <c r="B40" s="5" t="s">
        <v>101</v>
      </c>
      <c r="C40" s="6" t="s">
        <v>23</v>
      </c>
      <c r="D40" s="6" t="s">
        <v>63</v>
      </c>
      <c r="E40" s="7" t="s">
        <v>98</v>
      </c>
    </row>
    <row r="41" spans="1:5">
      <c r="A41" s="4" t="s">
        <v>3601</v>
      </c>
      <c r="B41" s="5" t="s">
        <v>4378</v>
      </c>
      <c r="C41" s="6" t="s">
        <v>23</v>
      </c>
      <c r="D41" s="6" t="s">
        <v>4463</v>
      </c>
      <c r="E41" s="7" t="s">
        <v>67</v>
      </c>
    </row>
    <row r="42" spans="1:5">
      <c r="A42" s="4" t="s">
        <v>104</v>
      </c>
      <c r="B42" s="5" t="s">
        <v>103</v>
      </c>
      <c r="C42" s="6" t="s">
        <v>23</v>
      </c>
      <c r="D42" s="6" t="s">
        <v>63</v>
      </c>
      <c r="E42" s="7" t="s">
        <v>64</v>
      </c>
    </row>
    <row r="43" spans="1:5">
      <c r="A43" s="4" t="s">
        <v>106</v>
      </c>
      <c r="B43" s="5" t="s">
        <v>105</v>
      </c>
      <c r="C43" s="6" t="s">
        <v>23</v>
      </c>
      <c r="D43" s="6" t="s">
        <v>63</v>
      </c>
      <c r="E43" s="7" t="s">
        <v>86</v>
      </c>
    </row>
    <row r="44" spans="1:5">
      <c r="A44" s="4" t="s">
        <v>108</v>
      </c>
      <c r="B44" s="5" t="s">
        <v>107</v>
      </c>
      <c r="C44" s="6" t="s">
        <v>23</v>
      </c>
      <c r="D44" s="6" t="s">
        <v>63</v>
      </c>
      <c r="E44" s="7" t="s">
        <v>64</v>
      </c>
    </row>
    <row r="45" spans="1:5">
      <c r="A45" s="4" t="s">
        <v>110</v>
      </c>
      <c r="B45" s="5" t="s">
        <v>109</v>
      </c>
      <c r="C45" s="6" t="s">
        <v>23</v>
      </c>
      <c r="D45" s="6" t="s">
        <v>63</v>
      </c>
      <c r="E45" s="7" t="s">
        <v>67</v>
      </c>
    </row>
    <row r="46" spans="1:5">
      <c r="A46" s="4" t="s">
        <v>112</v>
      </c>
      <c r="B46" s="5" t="s">
        <v>111</v>
      </c>
      <c r="C46" s="6" t="s">
        <v>23</v>
      </c>
      <c r="D46" s="6" t="s">
        <v>24</v>
      </c>
      <c r="E46" s="7" t="s">
        <v>4446</v>
      </c>
    </row>
    <row r="47" spans="1:5">
      <c r="A47" s="4" t="s">
        <v>114</v>
      </c>
      <c r="B47" s="5" t="s">
        <v>113</v>
      </c>
      <c r="C47" s="6" t="s">
        <v>23</v>
      </c>
      <c r="D47" s="6" t="s">
        <v>24</v>
      </c>
      <c r="E47" s="7" t="s">
        <v>4447</v>
      </c>
    </row>
    <row r="48" spans="1:5">
      <c r="A48" s="4" t="s">
        <v>116</v>
      </c>
      <c r="B48" s="5" t="s">
        <v>115</v>
      </c>
      <c r="C48" s="6" t="s">
        <v>23</v>
      </c>
      <c r="D48" s="6" t="s">
        <v>24</v>
      </c>
      <c r="E48" s="7" t="s">
        <v>4448</v>
      </c>
    </row>
    <row r="49" spans="1:5">
      <c r="A49" s="4" t="s">
        <v>118</v>
      </c>
      <c r="B49" s="5" t="s">
        <v>117</v>
      </c>
      <c r="C49" s="6" t="s">
        <v>23</v>
      </c>
      <c r="D49" s="6" t="s">
        <v>63</v>
      </c>
      <c r="E49" s="7" t="s">
        <v>64</v>
      </c>
    </row>
    <row r="50" spans="1:5">
      <c r="A50" s="4" t="s">
        <v>120</v>
      </c>
      <c r="B50" s="5" t="s">
        <v>119</v>
      </c>
      <c r="C50" s="6" t="s">
        <v>23</v>
      </c>
      <c r="D50" s="6" t="s">
        <v>24</v>
      </c>
      <c r="E50" s="7" t="s">
        <v>4446</v>
      </c>
    </row>
    <row r="51" spans="1:5">
      <c r="A51" s="4" t="s">
        <v>122</v>
      </c>
      <c r="B51" s="5" t="s">
        <v>121</v>
      </c>
      <c r="C51" s="6" t="s">
        <v>23</v>
      </c>
      <c r="D51" s="6" t="s">
        <v>24</v>
      </c>
      <c r="E51" s="7" t="s">
        <v>4447</v>
      </c>
    </row>
    <row r="52" spans="1:5">
      <c r="A52" s="4" t="s">
        <v>3603</v>
      </c>
      <c r="B52" s="5" t="s">
        <v>4380</v>
      </c>
      <c r="C52" s="6" t="s">
        <v>23</v>
      </c>
      <c r="D52" s="6" t="s">
        <v>4463</v>
      </c>
      <c r="E52" s="7" t="s">
        <v>4443</v>
      </c>
    </row>
    <row r="53" spans="1:5">
      <c r="A53" s="4" t="s">
        <v>124</v>
      </c>
      <c r="B53" s="5" t="s">
        <v>123</v>
      </c>
      <c r="C53" s="6" t="s">
        <v>23</v>
      </c>
      <c r="D53" s="6" t="s">
        <v>24</v>
      </c>
      <c r="E53" s="7" t="s">
        <v>4447</v>
      </c>
    </row>
    <row r="54" spans="1:5">
      <c r="A54" s="4" t="s">
        <v>126</v>
      </c>
      <c r="B54" s="5" t="s">
        <v>125</v>
      </c>
      <c r="C54" s="6" t="s">
        <v>23</v>
      </c>
      <c r="D54" s="6" t="s">
        <v>24</v>
      </c>
      <c r="E54" s="7" t="s">
        <v>4455</v>
      </c>
    </row>
    <row r="55" spans="1:5">
      <c r="A55" s="4" t="s">
        <v>128</v>
      </c>
      <c r="B55" s="5" t="s">
        <v>127</v>
      </c>
      <c r="C55" s="6" t="s">
        <v>23</v>
      </c>
      <c r="D55" s="6" t="s">
        <v>24</v>
      </c>
      <c r="E55" s="7" t="s">
        <v>4448</v>
      </c>
    </row>
    <row r="56" spans="1:5">
      <c r="A56" s="4" t="s">
        <v>130</v>
      </c>
      <c r="B56" s="5" t="s">
        <v>129</v>
      </c>
      <c r="C56" s="6" t="s">
        <v>23</v>
      </c>
      <c r="D56" s="6" t="s">
        <v>24</v>
      </c>
      <c r="E56" s="7" t="s">
        <v>4450</v>
      </c>
    </row>
    <row r="57" spans="1:5">
      <c r="A57" s="4" t="s">
        <v>2938</v>
      </c>
      <c r="B57" s="5" t="s">
        <v>3700</v>
      </c>
      <c r="C57" s="6" t="s">
        <v>23</v>
      </c>
      <c r="D57" s="6" t="s">
        <v>4445</v>
      </c>
      <c r="E57" s="7" t="s">
        <v>4443</v>
      </c>
    </row>
    <row r="58" spans="1:5">
      <c r="A58" s="11" t="s">
        <v>3094</v>
      </c>
      <c r="B58" s="5" t="s">
        <v>3863</v>
      </c>
      <c r="C58" s="12" t="s">
        <v>23</v>
      </c>
      <c r="D58" s="12" t="s">
        <v>4445</v>
      </c>
      <c r="E58" s="7" t="s">
        <v>4443</v>
      </c>
    </row>
    <row r="59" spans="1:5">
      <c r="A59" s="4" t="s">
        <v>3088</v>
      </c>
      <c r="B59" s="5" t="s">
        <v>3857</v>
      </c>
      <c r="C59" s="6" t="s">
        <v>23</v>
      </c>
      <c r="D59" s="6" t="s">
        <v>4445</v>
      </c>
      <c r="E59" s="7" t="s">
        <v>4443</v>
      </c>
    </row>
    <row r="60" spans="1:5">
      <c r="A60" s="4" t="s">
        <v>3335</v>
      </c>
      <c r="B60" s="5" t="s">
        <v>4105</v>
      </c>
      <c r="C60" s="6" t="s">
        <v>23</v>
      </c>
      <c r="D60" s="6" t="s">
        <v>4445</v>
      </c>
      <c r="E60" s="7" t="s">
        <v>4443</v>
      </c>
    </row>
    <row r="61" spans="1:5">
      <c r="A61" s="4" t="s">
        <v>3095</v>
      </c>
      <c r="B61" s="5" t="s">
        <v>3864</v>
      </c>
      <c r="C61" s="6" t="s">
        <v>23</v>
      </c>
      <c r="D61" s="6" t="s">
        <v>4445</v>
      </c>
      <c r="E61" s="7" t="s">
        <v>4443</v>
      </c>
    </row>
    <row r="62" spans="1:5">
      <c r="A62" s="4" t="s">
        <v>3089</v>
      </c>
      <c r="B62" s="5" t="s">
        <v>3858</v>
      </c>
      <c r="C62" s="6" t="s">
        <v>23</v>
      </c>
      <c r="D62" s="6" t="s">
        <v>4445</v>
      </c>
      <c r="E62" s="7" t="s">
        <v>4443</v>
      </c>
    </row>
    <row r="63" spans="1:5">
      <c r="A63" s="4" t="s">
        <v>3336</v>
      </c>
      <c r="B63" s="5" t="s">
        <v>4106</v>
      </c>
      <c r="C63" s="6" t="s">
        <v>23</v>
      </c>
      <c r="D63" s="6" t="s">
        <v>4445</v>
      </c>
      <c r="E63" s="7" t="s">
        <v>4443</v>
      </c>
    </row>
    <row r="64" spans="1:5">
      <c r="A64" s="4" t="s">
        <v>3096</v>
      </c>
      <c r="B64" s="5" t="s">
        <v>3865</v>
      </c>
      <c r="C64" s="6" t="s">
        <v>23</v>
      </c>
      <c r="D64" s="6" t="s">
        <v>4445</v>
      </c>
      <c r="E64" s="7" t="s">
        <v>4443</v>
      </c>
    </row>
    <row r="65" spans="1:5">
      <c r="A65" s="4" t="s">
        <v>3090</v>
      </c>
      <c r="B65" s="5" t="s">
        <v>3859</v>
      </c>
      <c r="C65" s="6" t="s">
        <v>23</v>
      </c>
      <c r="D65" s="6" t="s">
        <v>4445</v>
      </c>
      <c r="E65" s="7" t="s">
        <v>4443</v>
      </c>
    </row>
    <row r="66" spans="1:5">
      <c r="A66" s="4" t="s">
        <v>3337</v>
      </c>
      <c r="B66" s="5" t="s">
        <v>4107</v>
      </c>
      <c r="C66" s="6" t="s">
        <v>23</v>
      </c>
      <c r="D66" s="6" t="s">
        <v>4445</v>
      </c>
      <c r="E66" s="7" t="s">
        <v>4443</v>
      </c>
    </row>
    <row r="67" spans="1:5">
      <c r="A67" s="4" t="s">
        <v>3097</v>
      </c>
      <c r="B67" s="5" t="s">
        <v>3866</v>
      </c>
      <c r="C67" s="6" t="s">
        <v>23</v>
      </c>
      <c r="D67" s="6" t="s">
        <v>4445</v>
      </c>
      <c r="E67" s="7" t="s">
        <v>4443</v>
      </c>
    </row>
    <row r="68" spans="1:5">
      <c r="A68" s="4" t="s">
        <v>3091</v>
      </c>
      <c r="B68" s="5" t="s">
        <v>3860</v>
      </c>
      <c r="C68" s="6" t="s">
        <v>23</v>
      </c>
      <c r="D68" s="6" t="s">
        <v>4445</v>
      </c>
      <c r="E68" s="7" t="s">
        <v>4443</v>
      </c>
    </row>
    <row r="69" spans="1:5">
      <c r="A69" s="4" t="s">
        <v>3338</v>
      </c>
      <c r="B69" s="5" t="s">
        <v>4108</v>
      </c>
      <c r="C69" s="6" t="s">
        <v>23</v>
      </c>
      <c r="D69" s="6" t="s">
        <v>4445</v>
      </c>
      <c r="E69" s="7" t="s">
        <v>4443</v>
      </c>
    </row>
    <row r="70" spans="1:5">
      <c r="A70" s="4" t="s">
        <v>3251</v>
      </c>
      <c r="B70" s="5" t="s">
        <v>4021</v>
      </c>
      <c r="C70" s="6" t="s">
        <v>23</v>
      </c>
      <c r="D70" s="6" t="s">
        <v>4445</v>
      </c>
      <c r="E70" s="7" t="s">
        <v>4443</v>
      </c>
    </row>
    <row r="71" spans="1:5">
      <c r="A71" s="4" t="s">
        <v>3334</v>
      </c>
      <c r="B71" s="5" t="s">
        <v>4104</v>
      </c>
      <c r="C71" s="6" t="s">
        <v>23</v>
      </c>
      <c r="D71" s="6" t="s">
        <v>4445</v>
      </c>
      <c r="E71" s="7" t="s">
        <v>4443</v>
      </c>
    </row>
    <row r="72" spans="1:5">
      <c r="A72" s="4" t="s">
        <v>3098</v>
      </c>
      <c r="B72" s="5" t="s">
        <v>3867</v>
      </c>
      <c r="C72" s="6" t="s">
        <v>23</v>
      </c>
      <c r="D72" s="6" t="s">
        <v>4445</v>
      </c>
      <c r="E72" s="7" t="s">
        <v>4443</v>
      </c>
    </row>
    <row r="73" spans="1:5">
      <c r="A73" s="4" t="s">
        <v>3092</v>
      </c>
      <c r="B73" s="5" t="s">
        <v>3861</v>
      </c>
      <c r="C73" s="6" t="s">
        <v>23</v>
      </c>
      <c r="D73" s="6" t="s">
        <v>4445</v>
      </c>
      <c r="E73" s="7" t="s">
        <v>4443</v>
      </c>
    </row>
    <row r="74" spans="1:5">
      <c r="A74" s="4" t="s">
        <v>3339</v>
      </c>
      <c r="B74" s="5" t="s">
        <v>4109</v>
      </c>
      <c r="C74" s="6" t="s">
        <v>23</v>
      </c>
      <c r="D74" s="6" t="s">
        <v>4445</v>
      </c>
      <c r="E74" s="7" t="s">
        <v>4443</v>
      </c>
    </row>
    <row r="75" spans="1:5">
      <c r="A75" s="4" t="s">
        <v>3099</v>
      </c>
      <c r="B75" s="5" t="s">
        <v>3868</v>
      </c>
      <c r="C75" s="6" t="s">
        <v>23</v>
      </c>
      <c r="D75" s="6" t="s">
        <v>4445</v>
      </c>
      <c r="E75" s="7" t="s">
        <v>4443</v>
      </c>
    </row>
    <row r="76" spans="1:5">
      <c r="A76" s="4" t="s">
        <v>3093</v>
      </c>
      <c r="B76" s="5" t="s">
        <v>3862</v>
      </c>
      <c r="C76" s="6" t="s">
        <v>23</v>
      </c>
      <c r="D76" s="6" t="s">
        <v>4445</v>
      </c>
      <c r="E76" s="7" t="s">
        <v>4443</v>
      </c>
    </row>
    <row r="77" spans="1:5">
      <c r="A77" s="4" t="s">
        <v>3340</v>
      </c>
      <c r="B77" s="5" t="s">
        <v>4110</v>
      </c>
      <c r="C77" s="6" t="s">
        <v>23</v>
      </c>
      <c r="D77" s="6" t="s">
        <v>4445</v>
      </c>
      <c r="E77" s="7" t="s">
        <v>4443</v>
      </c>
    </row>
    <row r="78" spans="1:5">
      <c r="A78" s="11" t="s">
        <v>132</v>
      </c>
      <c r="B78" s="5" t="s">
        <v>131</v>
      </c>
      <c r="C78" s="12" t="s">
        <v>23</v>
      </c>
      <c r="D78" s="12" t="s">
        <v>63</v>
      </c>
      <c r="E78" s="7" t="s">
        <v>98</v>
      </c>
    </row>
    <row r="79" spans="1:5">
      <c r="A79" s="4" t="s">
        <v>134</v>
      </c>
      <c r="B79" s="5" t="s">
        <v>133</v>
      </c>
      <c r="C79" s="6" t="s">
        <v>23</v>
      </c>
      <c r="D79" s="6" t="s">
        <v>63</v>
      </c>
      <c r="E79" s="7" t="s">
        <v>67</v>
      </c>
    </row>
    <row r="80" spans="1:5">
      <c r="A80" s="4" t="s">
        <v>136</v>
      </c>
      <c r="B80" s="5" t="s">
        <v>135</v>
      </c>
      <c r="C80" s="6" t="s">
        <v>23</v>
      </c>
      <c r="D80" s="6" t="s">
        <v>24</v>
      </c>
      <c r="E80" s="7" t="s">
        <v>4448</v>
      </c>
    </row>
    <row r="81" spans="1:5">
      <c r="A81" s="11" t="s">
        <v>138</v>
      </c>
      <c r="B81" s="5" t="s">
        <v>137</v>
      </c>
      <c r="C81" s="12" t="s">
        <v>23</v>
      </c>
      <c r="D81" s="12" t="s">
        <v>24</v>
      </c>
      <c r="E81" s="7" t="s">
        <v>4450</v>
      </c>
    </row>
    <row r="82" spans="1:5">
      <c r="A82" s="4" t="s">
        <v>140</v>
      </c>
      <c r="B82" s="5" t="s">
        <v>139</v>
      </c>
      <c r="C82" s="6" t="s">
        <v>23</v>
      </c>
      <c r="D82" s="6" t="s">
        <v>24</v>
      </c>
      <c r="E82" s="7" t="s">
        <v>4451</v>
      </c>
    </row>
    <row r="83" spans="1:5">
      <c r="A83" s="4" t="s">
        <v>142</v>
      </c>
      <c r="B83" s="5" t="s">
        <v>141</v>
      </c>
      <c r="C83" s="6" t="s">
        <v>23</v>
      </c>
      <c r="D83" s="6" t="s">
        <v>24</v>
      </c>
      <c r="E83" s="7" t="s">
        <v>4452</v>
      </c>
    </row>
    <row r="84" spans="1:5">
      <c r="A84" s="4" t="s">
        <v>144</v>
      </c>
      <c r="B84" s="5" t="s">
        <v>143</v>
      </c>
      <c r="C84" s="6" t="s">
        <v>23</v>
      </c>
      <c r="D84" s="6" t="s">
        <v>24</v>
      </c>
      <c r="E84" s="7" t="s">
        <v>4456</v>
      </c>
    </row>
    <row r="85" spans="1:5">
      <c r="A85" s="4" t="s">
        <v>146</v>
      </c>
      <c r="B85" s="5" t="s">
        <v>145</v>
      </c>
      <c r="C85" s="6" t="s">
        <v>23</v>
      </c>
      <c r="D85" s="6" t="s">
        <v>24</v>
      </c>
      <c r="E85" s="7" t="s">
        <v>4448</v>
      </c>
    </row>
    <row r="86" spans="1:5">
      <c r="A86" s="4" t="s">
        <v>148</v>
      </c>
      <c r="B86" s="5" t="s">
        <v>147</v>
      </c>
      <c r="C86" s="6" t="s">
        <v>23</v>
      </c>
      <c r="D86" s="6" t="s">
        <v>24</v>
      </c>
      <c r="E86" s="7" t="s">
        <v>4450</v>
      </c>
    </row>
    <row r="87" spans="1:5">
      <c r="A87" s="4" t="s">
        <v>150</v>
      </c>
      <c r="B87" s="5" t="s">
        <v>149</v>
      </c>
      <c r="C87" s="6" t="s">
        <v>23</v>
      </c>
      <c r="D87" s="6" t="s">
        <v>24</v>
      </c>
      <c r="E87" s="7" t="s">
        <v>4451</v>
      </c>
    </row>
    <row r="88" spans="1:5">
      <c r="A88" s="4" t="s">
        <v>152</v>
      </c>
      <c r="B88" s="5" t="s">
        <v>151</v>
      </c>
      <c r="C88" s="6" t="s">
        <v>23</v>
      </c>
      <c r="D88" s="6" t="s">
        <v>24</v>
      </c>
      <c r="E88" s="7" t="s">
        <v>4452</v>
      </c>
    </row>
    <row r="89" spans="1:5">
      <c r="A89" s="11" t="s">
        <v>154</v>
      </c>
      <c r="B89" s="5" t="s">
        <v>153</v>
      </c>
      <c r="C89" s="12" t="s">
        <v>23</v>
      </c>
      <c r="D89" s="12" t="s">
        <v>24</v>
      </c>
      <c r="E89" s="7" t="s">
        <v>4456</v>
      </c>
    </row>
    <row r="90" spans="1:5">
      <c r="A90" s="11" t="s">
        <v>156</v>
      </c>
      <c r="B90" s="5" t="s">
        <v>155</v>
      </c>
      <c r="C90" s="12" t="s">
        <v>23</v>
      </c>
      <c r="D90" s="12" t="s">
        <v>24</v>
      </c>
      <c r="E90" s="7" t="s">
        <v>4455</v>
      </c>
    </row>
    <row r="91" spans="1:5">
      <c r="A91" s="4" t="s">
        <v>158</v>
      </c>
      <c r="B91" s="5" t="s">
        <v>157</v>
      </c>
      <c r="C91" s="6" t="s">
        <v>23</v>
      </c>
      <c r="D91" s="6" t="s">
        <v>24</v>
      </c>
      <c r="E91" s="7" t="s">
        <v>4449</v>
      </c>
    </row>
    <row r="92" spans="1:5">
      <c r="A92" s="4" t="s">
        <v>160</v>
      </c>
      <c r="B92" s="5" t="s">
        <v>159</v>
      </c>
      <c r="C92" s="6" t="s">
        <v>23</v>
      </c>
      <c r="D92" s="6" t="s">
        <v>24</v>
      </c>
      <c r="E92" s="7" t="s">
        <v>4454</v>
      </c>
    </row>
    <row r="93" spans="1:5">
      <c r="A93" s="4" t="s">
        <v>162</v>
      </c>
      <c r="B93" s="5" t="s">
        <v>161</v>
      </c>
      <c r="C93" s="6" t="s">
        <v>23</v>
      </c>
      <c r="D93" s="6" t="s">
        <v>24</v>
      </c>
      <c r="E93" s="7" t="s">
        <v>4452</v>
      </c>
    </row>
    <row r="94" spans="1:5">
      <c r="A94" s="4" t="s">
        <v>164</v>
      </c>
      <c r="B94" s="5" t="s">
        <v>163</v>
      </c>
      <c r="C94" s="6" t="s">
        <v>23</v>
      </c>
      <c r="D94" s="6" t="s">
        <v>24</v>
      </c>
      <c r="E94" s="7" t="s">
        <v>4453</v>
      </c>
    </row>
    <row r="95" spans="1:5">
      <c r="A95" s="4" t="s">
        <v>3318</v>
      </c>
      <c r="B95" s="5" t="s">
        <v>4091</v>
      </c>
      <c r="C95" s="6" t="s">
        <v>23</v>
      </c>
      <c r="D95" s="6" t="s">
        <v>24</v>
      </c>
      <c r="E95" s="7" t="s">
        <v>4453</v>
      </c>
    </row>
    <row r="96" spans="1:5">
      <c r="A96" s="4" t="s">
        <v>166</v>
      </c>
      <c r="B96" s="5" t="s">
        <v>165</v>
      </c>
      <c r="C96" s="6" t="s">
        <v>23</v>
      </c>
      <c r="D96" s="6" t="s">
        <v>24</v>
      </c>
      <c r="E96" s="7" t="s">
        <v>4447</v>
      </c>
    </row>
    <row r="97" spans="1:5">
      <c r="A97" s="4" t="s">
        <v>168</v>
      </c>
      <c r="B97" s="5" t="s">
        <v>167</v>
      </c>
      <c r="C97" s="6" t="s">
        <v>23</v>
      </c>
      <c r="D97" s="6" t="s">
        <v>24</v>
      </c>
      <c r="E97" s="7" t="s">
        <v>4447</v>
      </c>
    </row>
    <row r="98" spans="1:5">
      <c r="A98" s="4" t="s">
        <v>170</v>
      </c>
      <c r="B98" s="8" t="s">
        <v>169</v>
      </c>
      <c r="C98" s="6" t="s">
        <v>23</v>
      </c>
      <c r="D98" s="6" t="s">
        <v>24</v>
      </c>
      <c r="E98" s="9" t="s">
        <v>4446</v>
      </c>
    </row>
    <row r="99" spans="1:5">
      <c r="A99" s="4" t="s">
        <v>172</v>
      </c>
      <c r="B99" s="8" t="s">
        <v>171</v>
      </c>
      <c r="C99" s="6" t="s">
        <v>23</v>
      </c>
      <c r="D99" s="6" t="s">
        <v>24</v>
      </c>
      <c r="E99" s="7" t="s">
        <v>4447</v>
      </c>
    </row>
    <row r="100" spans="1:5">
      <c r="A100" s="4" t="s">
        <v>174</v>
      </c>
      <c r="B100" s="5" t="s">
        <v>173</v>
      </c>
      <c r="C100" s="6" t="s">
        <v>23</v>
      </c>
      <c r="D100" s="6" t="s">
        <v>24</v>
      </c>
      <c r="E100" s="7" t="s">
        <v>4455</v>
      </c>
    </row>
    <row r="101" spans="1:5">
      <c r="A101" s="11" t="s">
        <v>176</v>
      </c>
      <c r="B101" s="5" t="s">
        <v>175</v>
      </c>
      <c r="C101" s="12" t="s">
        <v>23</v>
      </c>
      <c r="D101" s="12" t="s">
        <v>24</v>
      </c>
      <c r="E101" s="7" t="s">
        <v>4449</v>
      </c>
    </row>
    <row r="102" spans="1:5">
      <c r="A102" s="4" t="s">
        <v>178</v>
      </c>
      <c r="B102" s="5" t="s">
        <v>177</v>
      </c>
      <c r="C102" s="6" t="s">
        <v>23</v>
      </c>
      <c r="D102" s="6" t="s">
        <v>24</v>
      </c>
      <c r="E102" s="7" t="s">
        <v>4454</v>
      </c>
    </row>
    <row r="103" spans="1:5">
      <c r="A103" s="11" t="s">
        <v>180</v>
      </c>
      <c r="B103" s="5" t="s">
        <v>179</v>
      </c>
      <c r="C103" s="12" t="s">
        <v>23</v>
      </c>
      <c r="D103" s="12" t="s">
        <v>24</v>
      </c>
      <c r="E103" s="7" t="s">
        <v>4451</v>
      </c>
    </row>
    <row r="104" spans="1:5">
      <c r="A104" s="4" t="s">
        <v>182</v>
      </c>
      <c r="B104" s="5" t="s">
        <v>181</v>
      </c>
      <c r="C104" s="6" t="s">
        <v>23</v>
      </c>
      <c r="D104" s="6" t="s">
        <v>24</v>
      </c>
      <c r="E104" s="7" t="s">
        <v>4456</v>
      </c>
    </row>
    <row r="105" spans="1:5">
      <c r="A105" s="4" t="s">
        <v>3327</v>
      </c>
      <c r="B105" s="5" t="s">
        <v>4098</v>
      </c>
      <c r="C105" s="6" t="s">
        <v>23</v>
      </c>
      <c r="D105" s="6" t="s">
        <v>24</v>
      </c>
      <c r="E105" s="7" t="s">
        <v>4459</v>
      </c>
    </row>
    <row r="106" spans="1:5">
      <c r="A106" s="4" t="s">
        <v>184</v>
      </c>
      <c r="B106" s="5" t="s">
        <v>183</v>
      </c>
      <c r="C106" s="6" t="s">
        <v>23</v>
      </c>
      <c r="D106" s="6" t="s">
        <v>24</v>
      </c>
      <c r="E106" s="7" t="s">
        <v>4453</v>
      </c>
    </row>
    <row r="107" spans="1:5">
      <c r="A107" s="4" t="s">
        <v>186</v>
      </c>
      <c r="B107" s="5" t="s">
        <v>185</v>
      </c>
      <c r="C107" s="6" t="s">
        <v>23</v>
      </c>
      <c r="D107" s="6" t="s">
        <v>24</v>
      </c>
      <c r="E107" s="7" t="s">
        <v>4454</v>
      </c>
    </row>
    <row r="108" spans="1:5">
      <c r="A108" s="4" t="s">
        <v>188</v>
      </c>
      <c r="B108" s="5" t="s">
        <v>187</v>
      </c>
      <c r="C108" s="6" t="s">
        <v>23</v>
      </c>
      <c r="D108" s="6" t="s">
        <v>24</v>
      </c>
      <c r="E108" s="7" t="s">
        <v>4448</v>
      </c>
    </row>
    <row r="109" spans="1:5">
      <c r="A109" s="11" t="s">
        <v>190</v>
      </c>
      <c r="B109" s="10" t="s">
        <v>189</v>
      </c>
      <c r="C109" s="12" t="s">
        <v>23</v>
      </c>
      <c r="D109" s="12" t="s">
        <v>24</v>
      </c>
      <c r="E109" s="7" t="s">
        <v>4450</v>
      </c>
    </row>
    <row r="110" spans="1:5">
      <c r="A110" s="4" t="s">
        <v>192</v>
      </c>
      <c r="B110" s="5" t="s">
        <v>191</v>
      </c>
      <c r="C110" s="6" t="s">
        <v>23</v>
      </c>
      <c r="D110" s="6" t="s">
        <v>24</v>
      </c>
      <c r="E110" s="7" t="s">
        <v>4452</v>
      </c>
    </row>
    <row r="111" spans="1:5">
      <c r="A111" s="4" t="s">
        <v>194</v>
      </c>
      <c r="B111" s="5" t="s">
        <v>193</v>
      </c>
      <c r="C111" s="6" t="s">
        <v>23</v>
      </c>
      <c r="D111" s="6" t="s">
        <v>24</v>
      </c>
      <c r="E111" s="7" t="s">
        <v>4446</v>
      </c>
    </row>
    <row r="112" spans="1:5">
      <c r="A112" s="4" t="s">
        <v>196</v>
      </c>
      <c r="B112" s="5" t="s">
        <v>195</v>
      </c>
      <c r="C112" s="6" t="s">
        <v>23</v>
      </c>
      <c r="D112" s="6" t="s">
        <v>24</v>
      </c>
      <c r="E112" s="7" t="s">
        <v>4447</v>
      </c>
    </row>
    <row r="113" spans="1:5">
      <c r="A113" s="4" t="s">
        <v>198</v>
      </c>
      <c r="B113" s="5" t="s">
        <v>197</v>
      </c>
      <c r="C113" s="6" t="s">
        <v>23</v>
      </c>
      <c r="D113" s="6" t="s">
        <v>24</v>
      </c>
      <c r="E113" s="7" t="s">
        <v>4448</v>
      </c>
    </row>
    <row r="114" spans="1:5">
      <c r="A114" s="4" t="s">
        <v>200</v>
      </c>
      <c r="B114" s="5" t="s">
        <v>199</v>
      </c>
      <c r="C114" s="6" t="s">
        <v>23</v>
      </c>
      <c r="D114" s="6" t="s">
        <v>24</v>
      </c>
      <c r="E114" s="7" t="s">
        <v>4450</v>
      </c>
    </row>
    <row r="115" spans="1:5">
      <c r="A115" s="4" t="s">
        <v>202</v>
      </c>
      <c r="B115" s="5" t="s">
        <v>201</v>
      </c>
      <c r="C115" s="6" t="s">
        <v>23</v>
      </c>
      <c r="D115" s="6" t="s">
        <v>24</v>
      </c>
      <c r="E115" s="7" t="s">
        <v>4451</v>
      </c>
    </row>
    <row r="116" spans="1:5">
      <c r="A116" s="4" t="s">
        <v>204</v>
      </c>
      <c r="B116" s="5" t="s">
        <v>203</v>
      </c>
      <c r="C116" s="6" t="s">
        <v>23</v>
      </c>
      <c r="D116" s="6" t="s">
        <v>24</v>
      </c>
      <c r="E116" s="7" t="s">
        <v>4447</v>
      </c>
    </row>
    <row r="117" spans="1:5">
      <c r="A117" s="4" t="s">
        <v>206</v>
      </c>
      <c r="B117" s="5" t="s">
        <v>205</v>
      </c>
      <c r="C117" s="6" t="s">
        <v>23</v>
      </c>
      <c r="D117" s="6" t="s">
        <v>24</v>
      </c>
      <c r="E117" s="7" t="s">
        <v>4448</v>
      </c>
    </row>
    <row r="118" spans="1:5">
      <c r="A118" s="4" t="s">
        <v>208</v>
      </c>
      <c r="B118" s="5" t="s">
        <v>207</v>
      </c>
      <c r="C118" s="6" t="s">
        <v>23</v>
      </c>
      <c r="D118" s="6" t="s">
        <v>24</v>
      </c>
      <c r="E118" s="7" t="s">
        <v>4450</v>
      </c>
    </row>
    <row r="119" spans="1:5">
      <c r="A119" s="4" t="s">
        <v>210</v>
      </c>
      <c r="B119" s="5" t="s">
        <v>209</v>
      </c>
      <c r="C119" s="6" t="s">
        <v>23</v>
      </c>
      <c r="D119" s="6" t="s">
        <v>24</v>
      </c>
      <c r="E119" s="7" t="s">
        <v>4454</v>
      </c>
    </row>
    <row r="120" spans="1:5">
      <c r="A120" s="4" t="s">
        <v>212</v>
      </c>
      <c r="B120" s="5" t="s">
        <v>211</v>
      </c>
      <c r="C120" s="6" t="s">
        <v>23</v>
      </c>
      <c r="D120" s="6" t="s">
        <v>24</v>
      </c>
      <c r="E120" s="7" t="s">
        <v>4451</v>
      </c>
    </row>
    <row r="121" spans="1:5">
      <c r="A121" s="4" t="s">
        <v>214</v>
      </c>
      <c r="B121" s="5" t="s">
        <v>213</v>
      </c>
      <c r="C121" s="6" t="s">
        <v>23</v>
      </c>
      <c r="D121" s="6" t="s">
        <v>24</v>
      </c>
      <c r="E121" s="7" t="s">
        <v>4453</v>
      </c>
    </row>
    <row r="122" spans="1:5">
      <c r="A122" s="4" t="s">
        <v>216</v>
      </c>
      <c r="B122" s="5" t="s">
        <v>215</v>
      </c>
      <c r="C122" s="6" t="s">
        <v>23</v>
      </c>
      <c r="D122" s="6" t="s">
        <v>24</v>
      </c>
      <c r="E122" s="7" t="s">
        <v>4446</v>
      </c>
    </row>
    <row r="123" spans="1:5">
      <c r="A123" s="4" t="s">
        <v>218</v>
      </c>
      <c r="B123" s="5" t="s">
        <v>217</v>
      </c>
      <c r="C123" s="6" t="s">
        <v>23</v>
      </c>
      <c r="D123" s="6" t="s">
        <v>24</v>
      </c>
      <c r="E123" s="7" t="s">
        <v>4447</v>
      </c>
    </row>
    <row r="124" spans="1:5">
      <c r="A124" s="4" t="s">
        <v>220</v>
      </c>
      <c r="B124" s="5" t="s">
        <v>219</v>
      </c>
      <c r="C124" s="6" t="s">
        <v>23</v>
      </c>
      <c r="D124" s="6" t="s">
        <v>24</v>
      </c>
      <c r="E124" s="7" t="s">
        <v>4448</v>
      </c>
    </row>
    <row r="125" spans="1:5">
      <c r="A125" s="11" t="s">
        <v>222</v>
      </c>
      <c r="B125" s="5" t="s">
        <v>221</v>
      </c>
      <c r="C125" s="12" t="s">
        <v>23</v>
      </c>
      <c r="D125" s="12" t="s">
        <v>24</v>
      </c>
      <c r="E125" s="7" t="s">
        <v>4450</v>
      </c>
    </row>
    <row r="126" spans="1:5">
      <c r="A126" s="4" t="s">
        <v>224</v>
      </c>
      <c r="B126" s="5" t="s">
        <v>223</v>
      </c>
      <c r="C126" s="6" t="s">
        <v>23</v>
      </c>
      <c r="D126" s="6" t="s">
        <v>24</v>
      </c>
      <c r="E126" s="7" t="s">
        <v>4451</v>
      </c>
    </row>
    <row r="127" spans="1:5">
      <c r="A127" s="4" t="s">
        <v>226</v>
      </c>
      <c r="B127" s="5" t="s">
        <v>225</v>
      </c>
      <c r="C127" s="6" t="s">
        <v>23</v>
      </c>
      <c r="D127" s="6" t="s">
        <v>24</v>
      </c>
      <c r="E127" s="7" t="s">
        <v>4448</v>
      </c>
    </row>
    <row r="128" spans="1:5">
      <c r="A128" s="4" t="s">
        <v>228</v>
      </c>
      <c r="B128" s="5" t="s">
        <v>227</v>
      </c>
      <c r="C128" s="6" t="s">
        <v>23</v>
      </c>
      <c r="D128" s="6" t="s">
        <v>24</v>
      </c>
      <c r="E128" s="7" t="s">
        <v>4450</v>
      </c>
    </row>
    <row r="129" spans="1:5">
      <c r="A129" s="4" t="s">
        <v>230</v>
      </c>
      <c r="B129" s="5" t="s">
        <v>229</v>
      </c>
      <c r="C129" s="6" t="s">
        <v>23</v>
      </c>
      <c r="D129" s="6" t="s">
        <v>24</v>
      </c>
      <c r="E129" s="7" t="s">
        <v>4451</v>
      </c>
    </row>
    <row r="130" spans="1:5">
      <c r="A130" s="4" t="s">
        <v>3324</v>
      </c>
      <c r="B130" s="5" t="s">
        <v>4095</v>
      </c>
      <c r="C130" s="6" t="s">
        <v>23</v>
      </c>
      <c r="D130" s="6" t="s">
        <v>24</v>
      </c>
      <c r="E130" s="7" t="s">
        <v>4452</v>
      </c>
    </row>
    <row r="131" spans="1:5">
      <c r="A131" s="4" t="s">
        <v>3325</v>
      </c>
      <c r="B131" s="5" t="s">
        <v>4096</v>
      </c>
      <c r="C131" s="6" t="s">
        <v>23</v>
      </c>
      <c r="D131" s="6" t="s">
        <v>24</v>
      </c>
      <c r="E131" s="7" t="s">
        <v>4453</v>
      </c>
    </row>
    <row r="132" spans="1:5">
      <c r="A132" s="4" t="s">
        <v>232</v>
      </c>
      <c r="B132" s="5" t="s">
        <v>231</v>
      </c>
      <c r="C132" s="6" t="s">
        <v>23</v>
      </c>
      <c r="D132" s="6" t="s">
        <v>24</v>
      </c>
      <c r="E132" s="7" t="s">
        <v>4448</v>
      </c>
    </row>
    <row r="133" spans="1:5">
      <c r="A133" s="4" t="s">
        <v>234</v>
      </c>
      <c r="B133" s="5" t="s">
        <v>233</v>
      </c>
      <c r="C133" s="6" t="s">
        <v>23</v>
      </c>
      <c r="D133" s="6" t="s">
        <v>24</v>
      </c>
      <c r="E133" s="7" t="s">
        <v>4450</v>
      </c>
    </row>
    <row r="134" spans="1:5">
      <c r="A134" s="4" t="s">
        <v>236</v>
      </c>
      <c r="B134" s="5" t="s">
        <v>235</v>
      </c>
      <c r="C134" s="6" t="s">
        <v>23</v>
      </c>
      <c r="D134" s="6" t="s">
        <v>24</v>
      </c>
      <c r="E134" s="7" t="s">
        <v>4454</v>
      </c>
    </row>
    <row r="135" spans="1:5">
      <c r="A135" s="4" t="s">
        <v>238</v>
      </c>
      <c r="B135" s="5" t="s">
        <v>237</v>
      </c>
      <c r="C135" s="6" t="s">
        <v>23</v>
      </c>
      <c r="D135" s="6" t="s">
        <v>24</v>
      </c>
      <c r="E135" s="7" t="s">
        <v>4447</v>
      </c>
    </row>
    <row r="136" spans="1:5">
      <c r="A136" s="4" t="s">
        <v>240</v>
      </c>
      <c r="B136" s="5" t="s">
        <v>239</v>
      </c>
      <c r="C136" s="6" t="s">
        <v>23</v>
      </c>
      <c r="D136" s="6" t="s">
        <v>24</v>
      </c>
      <c r="E136" s="7" t="s">
        <v>4448</v>
      </c>
    </row>
    <row r="137" spans="1:5">
      <c r="A137" s="4" t="s">
        <v>3319</v>
      </c>
      <c r="B137" s="5" t="s">
        <v>4092</v>
      </c>
      <c r="C137" s="6" t="s">
        <v>23</v>
      </c>
      <c r="D137" s="6" t="s">
        <v>24</v>
      </c>
      <c r="E137" s="7" t="s">
        <v>4449</v>
      </c>
    </row>
    <row r="138" spans="1:5">
      <c r="A138" s="4" t="s">
        <v>242</v>
      </c>
      <c r="B138" s="5" t="s">
        <v>241</v>
      </c>
      <c r="C138" s="6" t="s">
        <v>23</v>
      </c>
      <c r="D138" s="6" t="s">
        <v>24</v>
      </c>
      <c r="E138" s="7" t="s">
        <v>4447</v>
      </c>
    </row>
    <row r="139" spans="1:5">
      <c r="A139" s="4" t="s">
        <v>244</v>
      </c>
      <c r="B139" s="5" t="s">
        <v>243</v>
      </c>
      <c r="C139" s="6" t="s">
        <v>23</v>
      </c>
      <c r="D139" s="6" t="s">
        <v>24</v>
      </c>
      <c r="E139" s="7" t="s">
        <v>4454</v>
      </c>
    </row>
    <row r="140" spans="1:5">
      <c r="A140" s="4" t="s">
        <v>246</v>
      </c>
      <c r="B140" s="5" t="s">
        <v>245</v>
      </c>
      <c r="C140" s="6" t="s">
        <v>23</v>
      </c>
      <c r="D140" s="6" t="s">
        <v>24</v>
      </c>
      <c r="E140" s="7" t="s">
        <v>4452</v>
      </c>
    </row>
    <row r="141" spans="1:5">
      <c r="A141" s="4" t="s">
        <v>248</v>
      </c>
      <c r="B141" s="5" t="s">
        <v>247</v>
      </c>
      <c r="C141" s="6" t="s">
        <v>23</v>
      </c>
      <c r="D141" s="6" t="s">
        <v>24</v>
      </c>
      <c r="E141" s="7" t="s">
        <v>4456</v>
      </c>
    </row>
    <row r="142" spans="1:5">
      <c r="A142" s="4" t="s">
        <v>250</v>
      </c>
      <c r="B142" s="5" t="s">
        <v>249</v>
      </c>
      <c r="C142" s="6" t="s">
        <v>23</v>
      </c>
      <c r="D142" s="6" t="s">
        <v>24</v>
      </c>
      <c r="E142" s="7" t="s">
        <v>4449</v>
      </c>
    </row>
    <row r="143" spans="1:5">
      <c r="A143" s="4" t="s">
        <v>252</v>
      </c>
      <c r="B143" s="5" t="s">
        <v>251</v>
      </c>
      <c r="C143" s="6" t="s">
        <v>23</v>
      </c>
      <c r="D143" s="6" t="s">
        <v>24</v>
      </c>
      <c r="E143" s="7" t="s">
        <v>4450</v>
      </c>
    </row>
    <row r="144" spans="1:5">
      <c r="A144" s="4" t="s">
        <v>254</v>
      </c>
      <c r="B144" s="5" t="s">
        <v>253</v>
      </c>
      <c r="C144" s="6" t="s">
        <v>23</v>
      </c>
      <c r="D144" s="6" t="s">
        <v>24</v>
      </c>
      <c r="E144" s="7" t="s">
        <v>4451</v>
      </c>
    </row>
    <row r="145" spans="1:5">
      <c r="A145" s="4" t="s">
        <v>256</v>
      </c>
      <c r="B145" s="5" t="s">
        <v>255</v>
      </c>
      <c r="C145" s="6" t="s">
        <v>23</v>
      </c>
      <c r="D145" s="6" t="s">
        <v>24</v>
      </c>
      <c r="E145" s="7" t="s">
        <v>4448</v>
      </c>
    </row>
    <row r="146" spans="1:5">
      <c r="A146" s="4" t="s">
        <v>258</v>
      </c>
      <c r="B146" s="5" t="s">
        <v>257</v>
      </c>
      <c r="C146" s="6" t="s">
        <v>23</v>
      </c>
      <c r="D146" s="6" t="s">
        <v>24</v>
      </c>
      <c r="E146" s="7" t="s">
        <v>4447</v>
      </c>
    </row>
    <row r="147" spans="1:5">
      <c r="A147" s="4" t="s">
        <v>260</v>
      </c>
      <c r="B147" s="5" t="s">
        <v>259</v>
      </c>
      <c r="C147" s="6" t="s">
        <v>23</v>
      </c>
      <c r="D147" s="6" t="s">
        <v>24</v>
      </c>
      <c r="E147" s="7" t="s">
        <v>4448</v>
      </c>
    </row>
    <row r="148" spans="1:5">
      <c r="A148" s="4" t="s">
        <v>262</v>
      </c>
      <c r="B148" s="5" t="s">
        <v>261</v>
      </c>
      <c r="C148" s="6" t="s">
        <v>23</v>
      </c>
      <c r="D148" s="6" t="s">
        <v>24</v>
      </c>
      <c r="E148" s="7" t="s">
        <v>4450</v>
      </c>
    </row>
    <row r="149" spans="1:5">
      <c r="A149" s="4" t="s">
        <v>264</v>
      </c>
      <c r="B149" s="5" t="s">
        <v>263</v>
      </c>
      <c r="C149" s="6" t="s">
        <v>23</v>
      </c>
      <c r="D149" s="6" t="s">
        <v>24</v>
      </c>
      <c r="E149" s="7" t="s">
        <v>4454</v>
      </c>
    </row>
    <row r="150" spans="1:5">
      <c r="A150" s="4" t="s">
        <v>266</v>
      </c>
      <c r="B150" s="5" t="s">
        <v>265</v>
      </c>
      <c r="C150" s="6" t="s">
        <v>23</v>
      </c>
      <c r="D150" s="6" t="s">
        <v>24</v>
      </c>
      <c r="E150" s="7" t="s">
        <v>4452</v>
      </c>
    </row>
    <row r="151" spans="1:5">
      <c r="A151" s="4" t="s">
        <v>268</v>
      </c>
      <c r="B151" s="5" t="s">
        <v>267</v>
      </c>
      <c r="C151" s="6" t="s">
        <v>23</v>
      </c>
      <c r="D151" s="6" t="s">
        <v>24</v>
      </c>
      <c r="E151" s="7" t="s">
        <v>4451</v>
      </c>
    </row>
    <row r="152" spans="1:5">
      <c r="A152" s="4" t="s">
        <v>270</v>
      </c>
      <c r="B152" s="5" t="s">
        <v>269</v>
      </c>
      <c r="C152" s="6" t="s">
        <v>23</v>
      </c>
      <c r="D152" s="6" t="s">
        <v>24</v>
      </c>
      <c r="E152" s="7" t="s">
        <v>4450</v>
      </c>
    </row>
    <row r="153" spans="1:5">
      <c r="A153" s="4" t="s">
        <v>272</v>
      </c>
      <c r="B153" s="5" t="s">
        <v>271</v>
      </c>
      <c r="C153" s="6" t="s">
        <v>23</v>
      </c>
      <c r="D153" s="6" t="s">
        <v>24</v>
      </c>
      <c r="E153" s="7" t="s">
        <v>4447</v>
      </c>
    </row>
    <row r="154" spans="1:5">
      <c r="A154" s="4" t="s">
        <v>274</v>
      </c>
      <c r="B154" s="5" t="s">
        <v>273</v>
      </c>
      <c r="C154" s="6" t="s">
        <v>23</v>
      </c>
      <c r="D154" s="6" t="s">
        <v>24</v>
      </c>
      <c r="E154" s="7" t="s">
        <v>4448</v>
      </c>
    </row>
    <row r="155" spans="1:5">
      <c r="A155" s="4" t="s">
        <v>276</v>
      </c>
      <c r="B155" s="5" t="s">
        <v>275</v>
      </c>
      <c r="C155" s="6" t="s">
        <v>23</v>
      </c>
      <c r="D155" s="6" t="s">
        <v>24</v>
      </c>
      <c r="E155" s="7" t="s">
        <v>4447</v>
      </c>
    </row>
    <row r="156" spans="1:5">
      <c r="A156" s="4" t="s">
        <v>278</v>
      </c>
      <c r="B156" s="5" t="s">
        <v>277</v>
      </c>
      <c r="C156" s="6" t="s">
        <v>23</v>
      </c>
      <c r="D156" s="6" t="s">
        <v>24</v>
      </c>
      <c r="E156" s="7" t="s">
        <v>4448</v>
      </c>
    </row>
    <row r="157" spans="1:5">
      <c r="A157" s="4" t="s">
        <v>280</v>
      </c>
      <c r="B157" s="5" t="s">
        <v>279</v>
      </c>
      <c r="C157" s="6" t="s">
        <v>23</v>
      </c>
      <c r="D157" s="6" t="s">
        <v>24</v>
      </c>
      <c r="E157" s="7" t="s">
        <v>4450</v>
      </c>
    </row>
    <row r="158" spans="1:5">
      <c r="A158" s="4" t="s">
        <v>282</v>
      </c>
      <c r="B158" s="5" t="s">
        <v>281</v>
      </c>
      <c r="C158" s="6" t="s">
        <v>23</v>
      </c>
      <c r="D158" s="6" t="s">
        <v>63</v>
      </c>
      <c r="E158" s="7" t="s">
        <v>98</v>
      </c>
    </row>
    <row r="159" spans="1:5">
      <c r="A159" s="4" t="s">
        <v>284</v>
      </c>
      <c r="B159" s="5" t="s">
        <v>283</v>
      </c>
      <c r="C159" s="6" t="s">
        <v>23</v>
      </c>
      <c r="D159" s="6" t="s">
        <v>63</v>
      </c>
      <c r="E159" s="7" t="s">
        <v>67</v>
      </c>
    </row>
    <row r="160" spans="1:5">
      <c r="A160" s="4" t="s">
        <v>286</v>
      </c>
      <c r="B160" s="5" t="s">
        <v>285</v>
      </c>
      <c r="C160" s="6" t="s">
        <v>23</v>
      </c>
      <c r="D160" s="6" t="s">
        <v>63</v>
      </c>
      <c r="E160" s="7" t="s">
        <v>287</v>
      </c>
    </row>
    <row r="161" spans="1:5">
      <c r="A161" s="4" t="s">
        <v>289</v>
      </c>
      <c r="B161" s="5" t="s">
        <v>288</v>
      </c>
      <c r="C161" s="6" t="s">
        <v>23</v>
      </c>
      <c r="D161" s="6" t="s">
        <v>24</v>
      </c>
      <c r="E161" s="7" t="s">
        <v>4447</v>
      </c>
    </row>
    <row r="162" spans="1:5">
      <c r="A162" s="4" t="s">
        <v>291</v>
      </c>
      <c r="B162" s="5" t="s">
        <v>290</v>
      </c>
      <c r="C162" s="6" t="s">
        <v>23</v>
      </c>
      <c r="D162" s="6" t="s">
        <v>24</v>
      </c>
      <c r="E162" s="7" t="s">
        <v>4448</v>
      </c>
    </row>
    <row r="163" spans="1:5">
      <c r="A163" s="4" t="s">
        <v>293</v>
      </c>
      <c r="B163" s="5" t="s">
        <v>292</v>
      </c>
      <c r="C163" s="6" t="s">
        <v>23</v>
      </c>
      <c r="D163" s="6" t="s">
        <v>24</v>
      </c>
      <c r="E163" s="7" t="s">
        <v>4450</v>
      </c>
    </row>
    <row r="164" spans="1:5">
      <c r="A164" s="4" t="s">
        <v>295</v>
      </c>
      <c r="B164" s="5" t="s">
        <v>294</v>
      </c>
      <c r="C164" s="6" t="s">
        <v>23</v>
      </c>
      <c r="D164" s="6" t="s">
        <v>24</v>
      </c>
      <c r="E164" s="7" t="s">
        <v>4451</v>
      </c>
    </row>
    <row r="165" spans="1:5">
      <c r="A165" s="4" t="s">
        <v>3296</v>
      </c>
      <c r="B165" s="5" t="s">
        <v>4066</v>
      </c>
      <c r="C165" s="6" t="s">
        <v>23</v>
      </c>
      <c r="D165" s="6" t="s">
        <v>4445</v>
      </c>
      <c r="E165" s="7" t="s">
        <v>4443</v>
      </c>
    </row>
    <row r="166" spans="1:5">
      <c r="A166" s="4" t="s">
        <v>297</v>
      </c>
      <c r="B166" s="5" t="s">
        <v>296</v>
      </c>
      <c r="C166" s="6" t="s">
        <v>23</v>
      </c>
      <c r="D166" s="6" t="s">
        <v>24</v>
      </c>
      <c r="E166" s="7" t="s">
        <v>4455</v>
      </c>
    </row>
    <row r="167" spans="1:5">
      <c r="A167" s="4" t="s">
        <v>299</v>
      </c>
      <c r="B167" s="5" t="s">
        <v>298</v>
      </c>
      <c r="C167" s="6" t="s">
        <v>23</v>
      </c>
      <c r="D167" s="6" t="s">
        <v>24</v>
      </c>
      <c r="E167" s="7" t="s">
        <v>4448</v>
      </c>
    </row>
    <row r="168" spans="1:5">
      <c r="A168" s="4" t="s">
        <v>301</v>
      </c>
      <c r="B168" s="5" t="s">
        <v>300</v>
      </c>
      <c r="C168" s="6" t="s">
        <v>23</v>
      </c>
      <c r="D168" s="6" t="s">
        <v>24</v>
      </c>
      <c r="E168" s="7" t="s">
        <v>4450</v>
      </c>
    </row>
    <row r="169" spans="1:5">
      <c r="A169" s="4" t="s">
        <v>303</v>
      </c>
      <c r="B169" s="5" t="s">
        <v>302</v>
      </c>
      <c r="C169" s="6" t="s">
        <v>23</v>
      </c>
      <c r="D169" s="6" t="s">
        <v>24</v>
      </c>
      <c r="E169" s="7" t="s">
        <v>4454</v>
      </c>
    </row>
    <row r="170" spans="1:5">
      <c r="A170" s="4" t="s">
        <v>305</v>
      </c>
      <c r="B170" s="5" t="s">
        <v>304</v>
      </c>
      <c r="C170" s="6" t="s">
        <v>23</v>
      </c>
      <c r="D170" s="6" t="s">
        <v>24</v>
      </c>
      <c r="E170" s="7" t="s">
        <v>4452</v>
      </c>
    </row>
    <row r="171" spans="1:5">
      <c r="A171" s="4" t="s">
        <v>307</v>
      </c>
      <c r="B171" s="5" t="s">
        <v>306</v>
      </c>
      <c r="C171" s="6" t="s">
        <v>23</v>
      </c>
      <c r="D171" s="6" t="s">
        <v>24</v>
      </c>
      <c r="E171" s="7" t="s">
        <v>4455</v>
      </c>
    </row>
    <row r="172" spans="1:5">
      <c r="A172" s="11" t="s">
        <v>309</v>
      </c>
      <c r="B172" s="5" t="s">
        <v>308</v>
      </c>
      <c r="C172" s="12" t="s">
        <v>23</v>
      </c>
      <c r="D172" s="12" t="s">
        <v>24</v>
      </c>
      <c r="E172" s="7" t="s">
        <v>4448</v>
      </c>
    </row>
    <row r="173" spans="1:5">
      <c r="A173" s="11" t="s">
        <v>311</v>
      </c>
      <c r="B173" s="5" t="s">
        <v>310</v>
      </c>
      <c r="C173" s="12" t="s">
        <v>23</v>
      </c>
      <c r="D173" s="12" t="s">
        <v>24</v>
      </c>
      <c r="E173" s="7" t="s">
        <v>4450</v>
      </c>
    </row>
    <row r="174" spans="1:5">
      <c r="A174" s="11" t="s">
        <v>313</v>
      </c>
      <c r="B174" s="5" t="s">
        <v>312</v>
      </c>
      <c r="C174" s="12" t="s">
        <v>23</v>
      </c>
      <c r="D174" s="12" t="s">
        <v>24</v>
      </c>
      <c r="E174" s="7" t="s">
        <v>4454</v>
      </c>
    </row>
    <row r="175" spans="1:5">
      <c r="A175" s="11" t="s">
        <v>315</v>
      </c>
      <c r="B175" s="5" t="s">
        <v>314</v>
      </c>
      <c r="C175" s="12" t="s">
        <v>23</v>
      </c>
      <c r="D175" s="12" t="s">
        <v>24</v>
      </c>
      <c r="E175" s="7" t="s">
        <v>4452</v>
      </c>
    </row>
    <row r="176" spans="1:5">
      <c r="A176" s="4" t="s">
        <v>3102</v>
      </c>
      <c r="B176" s="5" t="s">
        <v>3871</v>
      </c>
      <c r="C176" s="6" t="s">
        <v>23</v>
      </c>
      <c r="D176" s="6" t="s">
        <v>4445</v>
      </c>
      <c r="E176" s="7" t="s">
        <v>4443</v>
      </c>
    </row>
    <row r="177" spans="1:5">
      <c r="A177" s="4" t="s">
        <v>2914</v>
      </c>
      <c r="B177" s="5" t="s">
        <v>3676</v>
      </c>
      <c r="C177" s="6" t="s">
        <v>23</v>
      </c>
      <c r="D177" s="6" t="s">
        <v>4445</v>
      </c>
      <c r="E177" s="7" t="s">
        <v>4443</v>
      </c>
    </row>
    <row r="178" spans="1:5">
      <c r="A178" s="4" t="s">
        <v>2915</v>
      </c>
      <c r="B178" s="5" t="s">
        <v>3677</v>
      </c>
      <c r="C178" s="6" t="s">
        <v>23</v>
      </c>
      <c r="D178" s="6" t="s">
        <v>4445</v>
      </c>
      <c r="E178" s="7" t="s">
        <v>4443</v>
      </c>
    </row>
    <row r="179" spans="1:5">
      <c r="A179" s="4" t="s">
        <v>3263</v>
      </c>
      <c r="B179" s="5" t="s">
        <v>4033</v>
      </c>
      <c r="C179" s="6" t="s">
        <v>23</v>
      </c>
      <c r="D179" s="6" t="s">
        <v>4445</v>
      </c>
      <c r="E179" s="7" t="s">
        <v>4443</v>
      </c>
    </row>
    <row r="180" spans="1:5">
      <c r="A180" s="4" t="s">
        <v>3101</v>
      </c>
      <c r="B180" s="5" t="s">
        <v>3870</v>
      </c>
      <c r="C180" s="6" t="s">
        <v>23</v>
      </c>
      <c r="D180" s="6" t="s">
        <v>4445</v>
      </c>
      <c r="E180" s="7" t="s">
        <v>4443</v>
      </c>
    </row>
    <row r="181" spans="1:5">
      <c r="A181" s="4" t="s">
        <v>3264</v>
      </c>
      <c r="B181" s="5" t="s">
        <v>4034</v>
      </c>
      <c r="C181" s="6" t="s">
        <v>23</v>
      </c>
      <c r="D181" s="6" t="s">
        <v>4445</v>
      </c>
      <c r="E181" s="7" t="s">
        <v>4443</v>
      </c>
    </row>
    <row r="182" spans="1:5">
      <c r="A182" s="4" t="s">
        <v>317</v>
      </c>
      <c r="B182" s="5" t="s">
        <v>316</v>
      </c>
      <c r="C182" s="6" t="s">
        <v>23</v>
      </c>
      <c r="D182" s="6" t="s">
        <v>24</v>
      </c>
      <c r="E182" s="7" t="s">
        <v>4457</v>
      </c>
    </row>
    <row r="183" spans="1:5">
      <c r="A183" s="4" t="s">
        <v>319</v>
      </c>
      <c r="B183" s="5" t="s">
        <v>318</v>
      </c>
      <c r="C183" s="6" t="s">
        <v>23</v>
      </c>
      <c r="D183" s="6" t="s">
        <v>320</v>
      </c>
      <c r="E183" s="7" t="s">
        <v>4444</v>
      </c>
    </row>
    <row r="184" spans="1:5">
      <c r="A184" s="4" t="s">
        <v>322</v>
      </c>
      <c r="B184" s="5" t="s">
        <v>321</v>
      </c>
      <c r="C184" s="6" t="s">
        <v>23</v>
      </c>
      <c r="D184" s="6" t="s">
        <v>63</v>
      </c>
      <c r="E184" s="7" t="s">
        <v>98</v>
      </c>
    </row>
    <row r="185" spans="1:5">
      <c r="A185" s="4" t="s">
        <v>324</v>
      </c>
      <c r="B185" s="5" t="s">
        <v>323</v>
      </c>
      <c r="C185" s="6" t="s">
        <v>23</v>
      </c>
      <c r="D185" s="6" t="s">
        <v>63</v>
      </c>
      <c r="E185" s="7" t="s">
        <v>67</v>
      </c>
    </row>
    <row r="186" spans="1:5">
      <c r="A186" s="4" t="s">
        <v>326</v>
      </c>
      <c r="B186" s="5" t="s">
        <v>325</v>
      </c>
      <c r="C186" s="6" t="s">
        <v>23</v>
      </c>
      <c r="D186" s="6" t="s">
        <v>24</v>
      </c>
      <c r="E186" s="7" t="s">
        <v>4446</v>
      </c>
    </row>
    <row r="187" spans="1:5">
      <c r="A187" s="4" t="s">
        <v>328</v>
      </c>
      <c r="B187" s="5" t="s">
        <v>327</v>
      </c>
      <c r="C187" s="6" t="s">
        <v>23</v>
      </c>
      <c r="D187" s="6" t="s">
        <v>24</v>
      </c>
      <c r="E187" s="7" t="s">
        <v>4447</v>
      </c>
    </row>
    <row r="188" spans="1:5">
      <c r="A188" s="11" t="s">
        <v>330</v>
      </c>
      <c r="B188" s="5" t="s">
        <v>329</v>
      </c>
      <c r="C188" s="12" t="s">
        <v>23</v>
      </c>
      <c r="D188" s="12" t="s">
        <v>24</v>
      </c>
      <c r="E188" s="7" t="s">
        <v>4448</v>
      </c>
    </row>
    <row r="189" spans="1:5">
      <c r="A189" s="4" t="s">
        <v>3316</v>
      </c>
      <c r="B189" s="5" t="s">
        <v>4089</v>
      </c>
      <c r="C189" s="6" t="s">
        <v>23</v>
      </c>
      <c r="D189" s="6" t="s">
        <v>24</v>
      </c>
      <c r="E189" s="7" t="s">
        <v>4449</v>
      </c>
    </row>
    <row r="190" spans="1:5">
      <c r="A190" s="4" t="s">
        <v>332</v>
      </c>
      <c r="B190" s="5" t="s">
        <v>331</v>
      </c>
      <c r="C190" s="6" t="s">
        <v>23</v>
      </c>
      <c r="D190" s="6" t="s">
        <v>63</v>
      </c>
      <c r="E190" s="7" t="s">
        <v>98</v>
      </c>
    </row>
    <row r="191" spans="1:5">
      <c r="A191" s="11" t="s">
        <v>334</v>
      </c>
      <c r="B191" s="5" t="s">
        <v>333</v>
      </c>
      <c r="C191" s="12" t="s">
        <v>23</v>
      </c>
      <c r="D191" s="12" t="s">
        <v>63</v>
      </c>
      <c r="E191" s="9" t="s">
        <v>64</v>
      </c>
    </row>
    <row r="192" spans="1:5">
      <c r="A192" s="11" t="s">
        <v>336</v>
      </c>
      <c r="B192" s="5" t="s">
        <v>335</v>
      </c>
      <c r="C192" s="12" t="s">
        <v>23</v>
      </c>
      <c r="D192" s="12" t="s">
        <v>24</v>
      </c>
      <c r="E192" s="7" t="s">
        <v>4446</v>
      </c>
    </row>
    <row r="193" spans="1:5">
      <c r="A193" s="4" t="s">
        <v>338</v>
      </c>
      <c r="B193" s="5" t="s">
        <v>337</v>
      </c>
      <c r="C193" s="6" t="s">
        <v>23</v>
      </c>
      <c r="D193" s="6" t="s">
        <v>63</v>
      </c>
      <c r="E193" s="7" t="s">
        <v>98</v>
      </c>
    </row>
    <row r="194" spans="1:5">
      <c r="A194" s="4" t="s">
        <v>340</v>
      </c>
      <c r="B194" s="5" t="s">
        <v>339</v>
      </c>
      <c r="C194" s="6" t="s">
        <v>23</v>
      </c>
      <c r="D194" s="6" t="s">
        <v>63</v>
      </c>
      <c r="E194" s="7" t="s">
        <v>67</v>
      </c>
    </row>
    <row r="195" spans="1:5">
      <c r="A195" s="4" t="s">
        <v>342</v>
      </c>
      <c r="B195" s="5" t="s">
        <v>341</v>
      </c>
      <c r="C195" s="6" t="s">
        <v>23</v>
      </c>
      <c r="D195" s="6" t="s">
        <v>320</v>
      </c>
      <c r="E195" s="7" t="s">
        <v>4444</v>
      </c>
    </row>
    <row r="196" spans="1:5">
      <c r="A196" s="4" t="s">
        <v>344</v>
      </c>
      <c r="B196" s="5" t="s">
        <v>343</v>
      </c>
      <c r="C196" s="6" t="s">
        <v>23</v>
      </c>
      <c r="D196" s="6" t="s">
        <v>320</v>
      </c>
      <c r="E196" s="7" t="s">
        <v>4444</v>
      </c>
    </row>
    <row r="197" spans="1:5">
      <c r="A197" s="4" t="s">
        <v>346</v>
      </c>
      <c r="B197" s="5" t="s">
        <v>345</v>
      </c>
      <c r="C197" s="6" t="s">
        <v>23</v>
      </c>
      <c r="D197" s="6" t="s">
        <v>24</v>
      </c>
      <c r="E197" s="7" t="s">
        <v>4454</v>
      </c>
    </row>
    <row r="198" spans="1:5">
      <c r="A198" s="4" t="s">
        <v>4476</v>
      </c>
      <c r="B198" s="5" t="s">
        <v>4477</v>
      </c>
      <c r="C198" s="6" t="s">
        <v>23</v>
      </c>
      <c r="D198" s="6" t="s">
        <v>320</v>
      </c>
      <c r="E198" s="7" t="s">
        <v>4444</v>
      </c>
    </row>
    <row r="199" spans="1:5">
      <c r="A199" s="4" t="s">
        <v>348</v>
      </c>
      <c r="B199" s="5" t="s">
        <v>347</v>
      </c>
      <c r="C199" s="6" t="s">
        <v>23</v>
      </c>
      <c r="D199" s="6" t="s">
        <v>320</v>
      </c>
      <c r="E199" s="7" t="s">
        <v>4444</v>
      </c>
    </row>
    <row r="200" spans="1:5">
      <c r="A200" s="4" t="s">
        <v>350</v>
      </c>
      <c r="B200" s="5" t="s">
        <v>349</v>
      </c>
      <c r="C200" s="6" t="s">
        <v>23</v>
      </c>
      <c r="D200" s="6" t="s">
        <v>63</v>
      </c>
      <c r="E200" s="7" t="s">
        <v>98</v>
      </c>
    </row>
    <row r="201" spans="1:5">
      <c r="A201" s="4" t="s">
        <v>352</v>
      </c>
      <c r="B201" s="5" t="s">
        <v>351</v>
      </c>
      <c r="C201" s="6" t="s">
        <v>23</v>
      </c>
      <c r="D201" s="6" t="s">
        <v>24</v>
      </c>
      <c r="E201" s="7" t="s">
        <v>4446</v>
      </c>
    </row>
    <row r="202" spans="1:5">
      <c r="A202" s="4" t="s">
        <v>354</v>
      </c>
      <c r="B202" s="5" t="s">
        <v>353</v>
      </c>
      <c r="C202" s="6" t="s">
        <v>23</v>
      </c>
      <c r="D202" s="6" t="s">
        <v>63</v>
      </c>
      <c r="E202" s="7" t="s">
        <v>86</v>
      </c>
    </row>
    <row r="203" spans="1:5">
      <c r="A203" s="4" t="s">
        <v>356</v>
      </c>
      <c r="B203" s="5" t="s">
        <v>355</v>
      </c>
      <c r="C203" s="6" t="s">
        <v>23</v>
      </c>
      <c r="D203" s="6" t="s">
        <v>63</v>
      </c>
      <c r="E203" s="7" t="s">
        <v>98</v>
      </c>
    </row>
    <row r="204" spans="1:5">
      <c r="A204" s="4" t="s">
        <v>358</v>
      </c>
      <c r="B204" s="5" t="s">
        <v>357</v>
      </c>
      <c r="C204" s="6" t="s">
        <v>23</v>
      </c>
      <c r="D204" s="6" t="s">
        <v>63</v>
      </c>
      <c r="E204" s="7" t="s">
        <v>98</v>
      </c>
    </row>
    <row r="205" spans="1:5">
      <c r="A205" s="4" t="s">
        <v>360</v>
      </c>
      <c r="B205" s="5" t="s">
        <v>359</v>
      </c>
      <c r="C205" s="6" t="s">
        <v>23</v>
      </c>
      <c r="D205" s="6" t="s">
        <v>63</v>
      </c>
      <c r="E205" s="7" t="s">
        <v>287</v>
      </c>
    </row>
    <row r="206" spans="1:5">
      <c r="A206" s="4" t="s">
        <v>362</v>
      </c>
      <c r="B206" s="5" t="s">
        <v>361</v>
      </c>
      <c r="C206" s="6" t="s">
        <v>23</v>
      </c>
      <c r="D206" s="6" t="s">
        <v>63</v>
      </c>
      <c r="E206" s="7" t="s">
        <v>98</v>
      </c>
    </row>
    <row r="207" spans="1:5">
      <c r="A207" s="4" t="s">
        <v>364</v>
      </c>
      <c r="B207" s="5" t="s">
        <v>363</v>
      </c>
      <c r="C207" s="6" t="s">
        <v>23</v>
      </c>
      <c r="D207" s="6" t="s">
        <v>63</v>
      </c>
      <c r="E207" s="7" t="s">
        <v>67</v>
      </c>
    </row>
    <row r="208" spans="1:5">
      <c r="A208" s="4" t="s">
        <v>366</v>
      </c>
      <c r="B208" s="5" t="s">
        <v>365</v>
      </c>
      <c r="C208" s="6" t="s">
        <v>23</v>
      </c>
      <c r="D208" s="6" t="s">
        <v>24</v>
      </c>
      <c r="E208" s="7" t="s">
        <v>4446</v>
      </c>
    </row>
    <row r="209" spans="1:5">
      <c r="A209" s="4" t="s">
        <v>368</v>
      </c>
      <c r="B209" s="5" t="s">
        <v>367</v>
      </c>
      <c r="C209" s="6" t="s">
        <v>23</v>
      </c>
      <c r="D209" s="6" t="s">
        <v>63</v>
      </c>
      <c r="E209" s="7" t="s">
        <v>64</v>
      </c>
    </row>
    <row r="210" spans="1:5">
      <c r="A210" s="4" t="s">
        <v>370</v>
      </c>
      <c r="B210" s="5" t="s">
        <v>369</v>
      </c>
      <c r="C210" s="6" t="s">
        <v>23</v>
      </c>
      <c r="D210" s="6" t="s">
        <v>63</v>
      </c>
      <c r="E210" s="7" t="s">
        <v>67</v>
      </c>
    </row>
    <row r="211" spans="1:5">
      <c r="A211" s="4" t="s">
        <v>372</v>
      </c>
      <c r="B211" s="5" t="s">
        <v>371</v>
      </c>
      <c r="C211" s="6" t="s">
        <v>23</v>
      </c>
      <c r="D211" s="6" t="s">
        <v>63</v>
      </c>
      <c r="E211" s="7" t="s">
        <v>287</v>
      </c>
    </row>
    <row r="212" spans="1:5">
      <c r="A212" s="4" t="s">
        <v>374</v>
      </c>
      <c r="B212" s="5" t="s">
        <v>373</v>
      </c>
      <c r="C212" s="6" t="s">
        <v>23</v>
      </c>
      <c r="D212" s="6" t="s">
        <v>63</v>
      </c>
      <c r="E212" s="7" t="s">
        <v>98</v>
      </c>
    </row>
    <row r="213" spans="1:5">
      <c r="A213" s="4" t="s">
        <v>376</v>
      </c>
      <c r="B213" s="5" t="s">
        <v>375</v>
      </c>
      <c r="C213" s="6" t="s">
        <v>23</v>
      </c>
      <c r="D213" s="6" t="s">
        <v>63</v>
      </c>
      <c r="E213" s="7" t="s">
        <v>64</v>
      </c>
    </row>
    <row r="214" spans="1:5">
      <c r="A214" s="4" t="s">
        <v>378</v>
      </c>
      <c r="B214" s="5" t="s">
        <v>377</v>
      </c>
      <c r="C214" s="6" t="s">
        <v>23</v>
      </c>
      <c r="D214" s="6" t="s">
        <v>24</v>
      </c>
      <c r="E214" s="7" t="s">
        <v>4446</v>
      </c>
    </row>
    <row r="215" spans="1:5">
      <c r="A215" s="4" t="s">
        <v>380</v>
      </c>
      <c r="B215" s="5" t="s">
        <v>379</v>
      </c>
      <c r="C215" s="6" t="s">
        <v>23</v>
      </c>
      <c r="D215" s="6" t="s">
        <v>63</v>
      </c>
      <c r="E215" s="7" t="s">
        <v>98</v>
      </c>
    </row>
    <row r="216" spans="1:5">
      <c r="A216" s="4" t="s">
        <v>382</v>
      </c>
      <c r="B216" s="5" t="s">
        <v>381</v>
      </c>
      <c r="C216" s="6" t="s">
        <v>23</v>
      </c>
      <c r="D216" s="6" t="s">
        <v>63</v>
      </c>
      <c r="E216" s="7" t="s">
        <v>86</v>
      </c>
    </row>
    <row r="217" spans="1:5">
      <c r="A217" s="4" t="s">
        <v>384</v>
      </c>
      <c r="B217" s="5" t="s">
        <v>383</v>
      </c>
      <c r="C217" s="6" t="s">
        <v>23</v>
      </c>
      <c r="D217" s="6" t="s">
        <v>24</v>
      </c>
      <c r="E217" s="7" t="s">
        <v>4455</v>
      </c>
    </row>
    <row r="218" spans="1:5">
      <c r="A218" s="4" t="s">
        <v>386</v>
      </c>
      <c r="B218" s="5" t="s">
        <v>385</v>
      </c>
      <c r="C218" s="6" t="s">
        <v>23</v>
      </c>
      <c r="D218" s="6" t="s">
        <v>24</v>
      </c>
      <c r="E218" s="7" t="s">
        <v>4448</v>
      </c>
    </row>
    <row r="219" spans="1:5">
      <c r="A219" s="4" t="s">
        <v>388</v>
      </c>
      <c r="B219" s="5" t="s">
        <v>387</v>
      </c>
      <c r="C219" s="6" t="s">
        <v>23</v>
      </c>
      <c r="D219" s="6" t="s">
        <v>63</v>
      </c>
      <c r="E219" s="7" t="s">
        <v>64</v>
      </c>
    </row>
    <row r="220" spans="1:5">
      <c r="A220" s="4" t="s">
        <v>390</v>
      </c>
      <c r="B220" s="5" t="s">
        <v>389</v>
      </c>
      <c r="C220" s="6" t="s">
        <v>23</v>
      </c>
      <c r="D220" s="6" t="s">
        <v>63</v>
      </c>
      <c r="E220" s="7" t="s">
        <v>86</v>
      </c>
    </row>
    <row r="221" spans="1:5">
      <c r="A221" s="4" t="s">
        <v>392</v>
      </c>
      <c r="B221" s="5" t="s">
        <v>391</v>
      </c>
      <c r="C221" s="6" t="s">
        <v>23</v>
      </c>
      <c r="D221" s="6" t="s">
        <v>63</v>
      </c>
      <c r="E221" s="7" t="s">
        <v>287</v>
      </c>
    </row>
    <row r="222" spans="1:5">
      <c r="A222" s="4" t="s">
        <v>394</v>
      </c>
      <c r="B222" s="5" t="s">
        <v>393</v>
      </c>
      <c r="C222" s="6" t="s">
        <v>23</v>
      </c>
      <c r="D222" s="6" t="s">
        <v>63</v>
      </c>
      <c r="E222" s="7" t="s">
        <v>98</v>
      </c>
    </row>
    <row r="223" spans="1:5">
      <c r="A223" s="4" t="s">
        <v>396</v>
      </c>
      <c r="B223" s="5" t="s">
        <v>395</v>
      </c>
      <c r="C223" s="6" t="s">
        <v>23</v>
      </c>
      <c r="D223" s="6" t="s">
        <v>63</v>
      </c>
      <c r="E223" s="7" t="s">
        <v>98</v>
      </c>
    </row>
    <row r="224" spans="1:5">
      <c r="A224" s="4" t="s">
        <v>398</v>
      </c>
      <c r="B224" s="5" t="s">
        <v>397</v>
      </c>
      <c r="C224" s="6" t="s">
        <v>23</v>
      </c>
      <c r="D224" s="6" t="s">
        <v>63</v>
      </c>
      <c r="E224" s="7" t="s">
        <v>67</v>
      </c>
    </row>
    <row r="225" spans="1:5">
      <c r="A225" s="4" t="s">
        <v>400</v>
      </c>
      <c r="B225" s="5" t="s">
        <v>399</v>
      </c>
      <c r="C225" s="6" t="s">
        <v>23</v>
      </c>
      <c r="D225" s="6" t="s">
        <v>63</v>
      </c>
      <c r="E225" s="7" t="s">
        <v>98</v>
      </c>
    </row>
    <row r="226" spans="1:5">
      <c r="A226" s="4" t="s">
        <v>402</v>
      </c>
      <c r="B226" s="5" t="s">
        <v>401</v>
      </c>
      <c r="C226" s="6" t="s">
        <v>23</v>
      </c>
      <c r="D226" s="6" t="s">
        <v>63</v>
      </c>
      <c r="E226" s="7" t="s">
        <v>98</v>
      </c>
    </row>
    <row r="227" spans="1:5">
      <c r="A227" s="4" t="s">
        <v>404</v>
      </c>
      <c r="B227" s="5" t="s">
        <v>403</v>
      </c>
      <c r="C227" s="6" t="s">
        <v>23</v>
      </c>
      <c r="D227" s="6" t="s">
        <v>63</v>
      </c>
      <c r="E227" s="7" t="s">
        <v>64</v>
      </c>
    </row>
    <row r="228" spans="1:5">
      <c r="A228" s="11" t="s">
        <v>406</v>
      </c>
      <c r="B228" s="5" t="s">
        <v>405</v>
      </c>
      <c r="C228" s="12" t="s">
        <v>23</v>
      </c>
      <c r="D228" s="12" t="s">
        <v>24</v>
      </c>
      <c r="E228" s="7" t="s">
        <v>4446</v>
      </c>
    </row>
    <row r="229" spans="1:5">
      <c r="A229" s="4" t="s">
        <v>408</v>
      </c>
      <c r="B229" s="5" t="s">
        <v>407</v>
      </c>
      <c r="C229" s="6" t="s">
        <v>23</v>
      </c>
      <c r="D229" s="6" t="s">
        <v>63</v>
      </c>
      <c r="E229" s="7" t="s">
        <v>64</v>
      </c>
    </row>
    <row r="230" spans="1:5">
      <c r="A230" s="4" t="s">
        <v>410</v>
      </c>
      <c r="B230" s="5" t="s">
        <v>409</v>
      </c>
      <c r="C230" s="6" t="s">
        <v>23</v>
      </c>
      <c r="D230" s="6" t="s">
        <v>24</v>
      </c>
      <c r="E230" s="7" t="s">
        <v>4446</v>
      </c>
    </row>
    <row r="231" spans="1:5">
      <c r="A231" s="4" t="s">
        <v>412</v>
      </c>
      <c r="B231" s="5" t="s">
        <v>411</v>
      </c>
      <c r="C231" s="6" t="s">
        <v>23</v>
      </c>
      <c r="D231" s="6" t="s">
        <v>63</v>
      </c>
      <c r="E231" s="7" t="s">
        <v>98</v>
      </c>
    </row>
    <row r="232" spans="1:5">
      <c r="A232" s="4" t="s">
        <v>414</v>
      </c>
      <c r="B232" s="5" t="s">
        <v>413</v>
      </c>
      <c r="C232" s="6" t="s">
        <v>23</v>
      </c>
      <c r="D232" s="6" t="s">
        <v>63</v>
      </c>
      <c r="E232" s="7" t="s">
        <v>67</v>
      </c>
    </row>
    <row r="233" spans="1:5">
      <c r="A233" s="4" t="s">
        <v>416</v>
      </c>
      <c r="B233" s="5" t="s">
        <v>415</v>
      </c>
      <c r="C233" s="6" t="s">
        <v>23</v>
      </c>
      <c r="D233" s="6" t="s">
        <v>63</v>
      </c>
      <c r="E233" s="7" t="s">
        <v>64</v>
      </c>
    </row>
    <row r="234" spans="1:5">
      <c r="A234" s="4" t="s">
        <v>418</v>
      </c>
      <c r="B234" s="5" t="s">
        <v>417</v>
      </c>
      <c r="C234" s="6" t="s">
        <v>23</v>
      </c>
      <c r="D234" s="6" t="s">
        <v>63</v>
      </c>
      <c r="E234" s="7" t="s">
        <v>86</v>
      </c>
    </row>
    <row r="235" spans="1:5">
      <c r="A235" s="4" t="s">
        <v>420</v>
      </c>
      <c r="B235" s="5" t="s">
        <v>419</v>
      </c>
      <c r="C235" s="6" t="s">
        <v>23</v>
      </c>
      <c r="D235" s="6" t="s">
        <v>63</v>
      </c>
      <c r="E235" s="7" t="s">
        <v>67</v>
      </c>
    </row>
    <row r="236" spans="1:5">
      <c r="A236" s="4" t="s">
        <v>422</v>
      </c>
      <c r="B236" s="5" t="s">
        <v>421</v>
      </c>
      <c r="C236" s="6" t="s">
        <v>23</v>
      </c>
      <c r="D236" s="6" t="s">
        <v>63</v>
      </c>
      <c r="E236" s="7" t="s">
        <v>287</v>
      </c>
    </row>
    <row r="237" spans="1:5">
      <c r="A237" s="4" t="s">
        <v>424</v>
      </c>
      <c r="B237" s="5" t="s">
        <v>423</v>
      </c>
      <c r="C237" s="6" t="s">
        <v>23</v>
      </c>
      <c r="D237" s="6" t="s">
        <v>63</v>
      </c>
      <c r="E237" s="7" t="s">
        <v>425</v>
      </c>
    </row>
    <row r="238" spans="1:5">
      <c r="A238" s="4" t="s">
        <v>427</v>
      </c>
      <c r="B238" s="5" t="s">
        <v>426</v>
      </c>
      <c r="C238" s="6" t="s">
        <v>23</v>
      </c>
      <c r="D238" s="6" t="s">
        <v>63</v>
      </c>
      <c r="E238" s="7" t="s">
        <v>98</v>
      </c>
    </row>
    <row r="239" spans="1:5">
      <c r="A239" s="4" t="s">
        <v>429</v>
      </c>
      <c r="B239" s="5" t="s">
        <v>428</v>
      </c>
      <c r="C239" s="6" t="s">
        <v>23</v>
      </c>
      <c r="D239" s="6" t="s">
        <v>63</v>
      </c>
      <c r="E239" s="7" t="s">
        <v>64</v>
      </c>
    </row>
    <row r="240" spans="1:5">
      <c r="A240" s="4" t="s">
        <v>431</v>
      </c>
      <c r="B240" s="5" t="s">
        <v>430</v>
      </c>
      <c r="C240" s="6" t="s">
        <v>23</v>
      </c>
      <c r="D240" s="6" t="s">
        <v>63</v>
      </c>
      <c r="E240" s="7" t="s">
        <v>98</v>
      </c>
    </row>
    <row r="241" spans="1:5">
      <c r="A241" s="4" t="s">
        <v>433</v>
      </c>
      <c r="B241" s="5" t="s">
        <v>432</v>
      </c>
      <c r="C241" s="6" t="s">
        <v>23</v>
      </c>
      <c r="D241" s="6" t="s">
        <v>24</v>
      </c>
      <c r="E241" s="7" t="s">
        <v>4446</v>
      </c>
    </row>
    <row r="242" spans="1:5">
      <c r="A242" s="11" t="s">
        <v>435</v>
      </c>
      <c r="B242" s="5" t="s">
        <v>434</v>
      </c>
      <c r="C242" s="12" t="s">
        <v>23</v>
      </c>
      <c r="D242" s="12" t="s">
        <v>63</v>
      </c>
      <c r="E242" s="7" t="s">
        <v>98</v>
      </c>
    </row>
    <row r="243" spans="1:5">
      <c r="A243" s="4" t="s">
        <v>437</v>
      </c>
      <c r="B243" s="5" t="s">
        <v>436</v>
      </c>
      <c r="C243" s="6" t="s">
        <v>23</v>
      </c>
      <c r="D243" s="6" t="s">
        <v>63</v>
      </c>
      <c r="E243" s="7" t="s">
        <v>67</v>
      </c>
    </row>
    <row r="244" spans="1:5">
      <c r="A244" s="4" t="s">
        <v>439</v>
      </c>
      <c r="B244" s="5" t="s">
        <v>438</v>
      </c>
      <c r="C244" s="6" t="s">
        <v>23</v>
      </c>
      <c r="D244" s="6" t="s">
        <v>24</v>
      </c>
      <c r="E244" s="7" t="s">
        <v>4446</v>
      </c>
    </row>
    <row r="245" spans="1:5">
      <c r="A245" s="4" t="s">
        <v>441</v>
      </c>
      <c r="B245" s="5" t="s">
        <v>440</v>
      </c>
      <c r="C245" s="6" t="s">
        <v>23</v>
      </c>
      <c r="D245" s="6" t="s">
        <v>63</v>
      </c>
      <c r="E245" s="7" t="s">
        <v>98</v>
      </c>
    </row>
    <row r="246" spans="1:5">
      <c r="A246" s="4" t="s">
        <v>443</v>
      </c>
      <c r="B246" s="5" t="s">
        <v>442</v>
      </c>
      <c r="C246" s="6" t="s">
        <v>23</v>
      </c>
      <c r="D246" s="6" t="s">
        <v>63</v>
      </c>
      <c r="E246" s="7" t="s">
        <v>67</v>
      </c>
    </row>
    <row r="247" spans="1:5">
      <c r="A247" s="4" t="s">
        <v>445</v>
      </c>
      <c r="B247" s="5" t="s">
        <v>444</v>
      </c>
      <c r="C247" s="6" t="s">
        <v>23</v>
      </c>
      <c r="D247" s="6" t="s">
        <v>63</v>
      </c>
      <c r="E247" s="7" t="s">
        <v>98</v>
      </c>
    </row>
    <row r="248" spans="1:5">
      <c r="A248" s="4" t="s">
        <v>447</v>
      </c>
      <c r="B248" s="5" t="s">
        <v>446</v>
      </c>
      <c r="C248" s="6" t="s">
        <v>23</v>
      </c>
      <c r="D248" s="6" t="s">
        <v>63</v>
      </c>
      <c r="E248" s="7" t="s">
        <v>98</v>
      </c>
    </row>
    <row r="249" spans="1:5">
      <c r="A249" s="4" t="s">
        <v>449</v>
      </c>
      <c r="B249" s="5" t="s">
        <v>448</v>
      </c>
      <c r="C249" s="6" t="s">
        <v>23</v>
      </c>
      <c r="D249" s="6" t="s">
        <v>63</v>
      </c>
      <c r="E249" s="7" t="s">
        <v>98</v>
      </c>
    </row>
    <row r="250" spans="1:5">
      <c r="A250" s="4" t="s">
        <v>451</v>
      </c>
      <c r="B250" s="5" t="s">
        <v>450</v>
      </c>
      <c r="C250" s="6" t="s">
        <v>23</v>
      </c>
      <c r="D250" s="6" t="s">
        <v>24</v>
      </c>
      <c r="E250" s="7" t="s">
        <v>4446</v>
      </c>
    </row>
    <row r="251" spans="1:5">
      <c r="A251" s="4" t="s">
        <v>453</v>
      </c>
      <c r="B251" s="5" t="s">
        <v>452</v>
      </c>
      <c r="C251" s="6" t="s">
        <v>23</v>
      </c>
      <c r="D251" s="6" t="s">
        <v>63</v>
      </c>
      <c r="E251" s="7" t="s">
        <v>98</v>
      </c>
    </row>
    <row r="252" spans="1:5">
      <c r="A252" s="4" t="s">
        <v>455</v>
      </c>
      <c r="B252" s="5" t="s">
        <v>454</v>
      </c>
      <c r="C252" s="6" t="s">
        <v>23</v>
      </c>
      <c r="D252" s="6" t="s">
        <v>63</v>
      </c>
      <c r="E252" s="7" t="s">
        <v>64</v>
      </c>
    </row>
    <row r="253" spans="1:5">
      <c r="A253" s="4" t="s">
        <v>457</v>
      </c>
      <c r="B253" s="5" t="s">
        <v>456</v>
      </c>
      <c r="C253" s="6" t="s">
        <v>23</v>
      </c>
      <c r="D253" s="6" t="s">
        <v>63</v>
      </c>
      <c r="E253" s="7" t="s">
        <v>64</v>
      </c>
    </row>
    <row r="254" spans="1:5">
      <c r="A254" s="4" t="s">
        <v>459</v>
      </c>
      <c r="B254" s="5" t="s">
        <v>458</v>
      </c>
      <c r="C254" s="6" t="s">
        <v>23</v>
      </c>
      <c r="D254" s="6" t="s">
        <v>24</v>
      </c>
      <c r="E254" s="7" t="s">
        <v>4446</v>
      </c>
    </row>
    <row r="255" spans="1:5">
      <c r="A255" s="74" t="s">
        <v>461</v>
      </c>
      <c r="B255" s="5" t="s">
        <v>460</v>
      </c>
      <c r="C255" s="6" t="s">
        <v>23</v>
      </c>
      <c r="D255" s="6" t="s">
        <v>63</v>
      </c>
      <c r="E255" s="7" t="s">
        <v>287</v>
      </c>
    </row>
    <row r="256" spans="1:5">
      <c r="A256" s="4" t="s">
        <v>463</v>
      </c>
      <c r="B256" s="5" t="s">
        <v>462</v>
      </c>
      <c r="C256" s="6" t="s">
        <v>23</v>
      </c>
      <c r="D256" s="6" t="s">
        <v>63</v>
      </c>
      <c r="E256" s="7" t="s">
        <v>64</v>
      </c>
    </row>
    <row r="257" spans="1:5">
      <c r="A257" s="11" t="s">
        <v>465</v>
      </c>
      <c r="B257" s="5" t="s">
        <v>464</v>
      </c>
      <c r="C257" s="12" t="s">
        <v>23</v>
      </c>
      <c r="D257" s="12" t="s">
        <v>63</v>
      </c>
      <c r="E257" s="7" t="s">
        <v>86</v>
      </c>
    </row>
    <row r="258" spans="1:5">
      <c r="A258" s="4" t="s">
        <v>467</v>
      </c>
      <c r="B258" s="5" t="s">
        <v>466</v>
      </c>
      <c r="C258" s="6" t="s">
        <v>23</v>
      </c>
      <c r="D258" s="6" t="s">
        <v>63</v>
      </c>
      <c r="E258" s="7" t="s">
        <v>64</v>
      </c>
    </row>
    <row r="259" spans="1:5">
      <c r="A259" s="4" t="s">
        <v>469</v>
      </c>
      <c r="B259" s="5" t="s">
        <v>468</v>
      </c>
      <c r="C259" s="6" t="s">
        <v>23</v>
      </c>
      <c r="D259" s="6" t="s">
        <v>63</v>
      </c>
      <c r="E259" s="7" t="s">
        <v>98</v>
      </c>
    </row>
    <row r="260" spans="1:5">
      <c r="A260" s="4" t="s">
        <v>471</v>
      </c>
      <c r="B260" s="5" t="s">
        <v>470</v>
      </c>
      <c r="C260" s="6" t="s">
        <v>23</v>
      </c>
      <c r="D260" s="6" t="s">
        <v>24</v>
      </c>
      <c r="E260" s="7" t="s">
        <v>4446</v>
      </c>
    </row>
    <row r="261" spans="1:5">
      <c r="A261" s="4" t="s">
        <v>473</v>
      </c>
      <c r="B261" s="5" t="s">
        <v>472</v>
      </c>
      <c r="C261" s="6" t="s">
        <v>23</v>
      </c>
      <c r="D261" s="6" t="s">
        <v>63</v>
      </c>
      <c r="E261" s="7" t="s">
        <v>98</v>
      </c>
    </row>
    <row r="262" spans="1:5">
      <c r="A262" s="4" t="s">
        <v>475</v>
      </c>
      <c r="B262" s="5" t="s">
        <v>474</v>
      </c>
      <c r="C262" s="6" t="s">
        <v>23</v>
      </c>
      <c r="D262" s="6" t="s">
        <v>63</v>
      </c>
      <c r="E262" s="7" t="s">
        <v>64</v>
      </c>
    </row>
    <row r="263" spans="1:5">
      <c r="A263" s="4" t="s">
        <v>477</v>
      </c>
      <c r="B263" s="5" t="s">
        <v>476</v>
      </c>
      <c r="C263" s="6" t="s">
        <v>23</v>
      </c>
      <c r="D263" s="6" t="s">
        <v>63</v>
      </c>
      <c r="E263" s="7" t="s">
        <v>67</v>
      </c>
    </row>
    <row r="264" spans="1:5">
      <c r="A264" s="4" t="s">
        <v>3256</v>
      </c>
      <c r="B264" s="5" t="s">
        <v>4026</v>
      </c>
      <c r="C264" s="6" t="s">
        <v>23</v>
      </c>
      <c r="D264" s="6" t="s">
        <v>4445</v>
      </c>
      <c r="E264" s="7" t="s">
        <v>4443</v>
      </c>
    </row>
    <row r="265" spans="1:5">
      <c r="A265" s="4" t="s">
        <v>3100</v>
      </c>
      <c r="B265" s="5" t="s">
        <v>3869</v>
      </c>
      <c r="C265" s="6" t="s">
        <v>23</v>
      </c>
      <c r="D265" s="6" t="s">
        <v>4445</v>
      </c>
      <c r="E265" s="7" t="s">
        <v>4443</v>
      </c>
    </row>
    <row r="266" spans="1:5">
      <c r="A266" s="4" t="s">
        <v>479</v>
      </c>
      <c r="B266" s="5" t="s">
        <v>478</v>
      </c>
      <c r="C266" s="6" t="s">
        <v>23</v>
      </c>
      <c r="D266" s="6" t="s">
        <v>63</v>
      </c>
      <c r="E266" s="7" t="s">
        <v>98</v>
      </c>
    </row>
    <row r="267" spans="1:5">
      <c r="A267" s="4" t="s">
        <v>481</v>
      </c>
      <c r="B267" s="5" t="s">
        <v>480</v>
      </c>
      <c r="C267" s="6" t="s">
        <v>23</v>
      </c>
      <c r="D267" s="6" t="s">
        <v>63</v>
      </c>
      <c r="E267" s="7" t="s">
        <v>64</v>
      </c>
    </row>
    <row r="268" spans="1:5">
      <c r="A268" s="4" t="s">
        <v>483</v>
      </c>
      <c r="B268" s="5" t="s">
        <v>482</v>
      </c>
      <c r="C268" s="6" t="s">
        <v>23</v>
      </c>
      <c r="D268" s="6" t="s">
        <v>63</v>
      </c>
      <c r="E268" s="7" t="s">
        <v>98</v>
      </c>
    </row>
    <row r="269" spans="1:5">
      <c r="A269" s="4" t="s">
        <v>485</v>
      </c>
      <c r="B269" s="5" t="s">
        <v>484</v>
      </c>
      <c r="C269" s="6" t="s">
        <v>23</v>
      </c>
      <c r="D269" s="6" t="s">
        <v>63</v>
      </c>
      <c r="E269" s="7" t="s">
        <v>64</v>
      </c>
    </row>
    <row r="270" spans="1:5">
      <c r="A270" s="4" t="s">
        <v>487</v>
      </c>
      <c r="B270" s="5" t="s">
        <v>486</v>
      </c>
      <c r="C270" s="6" t="s">
        <v>23</v>
      </c>
      <c r="D270" s="6" t="s">
        <v>24</v>
      </c>
      <c r="E270" s="7" t="s">
        <v>4446</v>
      </c>
    </row>
    <row r="271" spans="1:5">
      <c r="A271" s="4" t="s">
        <v>489</v>
      </c>
      <c r="B271" s="5" t="s">
        <v>488</v>
      </c>
      <c r="C271" s="6" t="s">
        <v>23</v>
      </c>
      <c r="D271" s="6" t="s">
        <v>63</v>
      </c>
      <c r="E271" s="7" t="s">
        <v>98</v>
      </c>
    </row>
    <row r="272" spans="1:5">
      <c r="A272" s="4" t="s">
        <v>491</v>
      </c>
      <c r="B272" s="5" t="s">
        <v>490</v>
      </c>
      <c r="C272" s="6" t="s">
        <v>23</v>
      </c>
      <c r="D272" s="6" t="s">
        <v>63</v>
      </c>
      <c r="E272" s="7" t="s">
        <v>64</v>
      </c>
    </row>
    <row r="273" spans="1:5">
      <c r="A273" s="4" t="s">
        <v>493</v>
      </c>
      <c r="B273" s="5" t="s">
        <v>492</v>
      </c>
      <c r="C273" s="6" t="s">
        <v>23</v>
      </c>
      <c r="D273" s="6" t="s">
        <v>24</v>
      </c>
      <c r="E273" s="7" t="s">
        <v>4446</v>
      </c>
    </row>
    <row r="274" spans="1:5">
      <c r="A274" s="4" t="s">
        <v>495</v>
      </c>
      <c r="B274" s="5" t="s">
        <v>494</v>
      </c>
      <c r="C274" s="6" t="s">
        <v>23</v>
      </c>
      <c r="D274" s="6" t="s">
        <v>63</v>
      </c>
      <c r="E274" s="7" t="s">
        <v>98</v>
      </c>
    </row>
    <row r="275" spans="1:5">
      <c r="A275" s="4" t="s">
        <v>497</v>
      </c>
      <c r="B275" s="5" t="s">
        <v>496</v>
      </c>
      <c r="C275" s="6" t="s">
        <v>23</v>
      </c>
      <c r="D275" s="6" t="s">
        <v>63</v>
      </c>
      <c r="E275" s="7" t="s">
        <v>67</v>
      </c>
    </row>
    <row r="276" spans="1:5">
      <c r="A276" s="4" t="s">
        <v>499</v>
      </c>
      <c r="B276" s="5" t="s">
        <v>498</v>
      </c>
      <c r="C276" s="6" t="s">
        <v>23</v>
      </c>
      <c r="D276" s="6" t="s">
        <v>24</v>
      </c>
      <c r="E276" s="7" t="s">
        <v>4457</v>
      </c>
    </row>
    <row r="277" spans="1:5">
      <c r="A277" s="4" t="s">
        <v>501</v>
      </c>
      <c r="B277" s="5" t="s">
        <v>500</v>
      </c>
      <c r="C277" s="6" t="s">
        <v>23</v>
      </c>
      <c r="D277" s="6" t="s">
        <v>24</v>
      </c>
      <c r="E277" s="7" t="s">
        <v>4446</v>
      </c>
    </row>
    <row r="278" spans="1:5">
      <c r="A278" s="4" t="s">
        <v>503</v>
      </c>
      <c r="B278" s="5" t="s">
        <v>502</v>
      </c>
      <c r="C278" s="6" t="s">
        <v>23</v>
      </c>
      <c r="D278" s="6" t="s">
        <v>24</v>
      </c>
      <c r="E278" s="7" t="s">
        <v>4447</v>
      </c>
    </row>
    <row r="279" spans="1:5">
      <c r="A279" s="4" t="s">
        <v>3576</v>
      </c>
      <c r="B279" s="5" t="s">
        <v>4352</v>
      </c>
      <c r="C279" s="6" t="s">
        <v>23</v>
      </c>
      <c r="D279" s="6" t="s">
        <v>24</v>
      </c>
      <c r="E279" s="7" t="s">
        <v>4448</v>
      </c>
    </row>
    <row r="280" spans="1:5">
      <c r="A280" s="4" t="s">
        <v>505</v>
      </c>
      <c r="B280" s="5" t="s">
        <v>504</v>
      </c>
      <c r="C280" s="6" t="s">
        <v>23</v>
      </c>
      <c r="D280" s="6" t="s">
        <v>63</v>
      </c>
      <c r="E280" s="7" t="s">
        <v>64</v>
      </c>
    </row>
    <row r="281" spans="1:5">
      <c r="A281" s="4" t="s">
        <v>507</v>
      </c>
      <c r="B281" s="5" t="s">
        <v>506</v>
      </c>
      <c r="C281" s="6" t="s">
        <v>23</v>
      </c>
      <c r="D281" s="6" t="s">
        <v>24</v>
      </c>
      <c r="E281" s="7" t="s">
        <v>4455</v>
      </c>
    </row>
    <row r="282" spans="1:5">
      <c r="A282" s="11" t="s">
        <v>509</v>
      </c>
      <c r="B282" s="5" t="s">
        <v>508</v>
      </c>
      <c r="C282" s="12" t="s">
        <v>23</v>
      </c>
      <c r="D282" s="12" t="s">
        <v>24</v>
      </c>
      <c r="E282" s="7" t="s">
        <v>4447</v>
      </c>
    </row>
    <row r="283" spans="1:5">
      <c r="A283" s="4" t="s">
        <v>511</v>
      </c>
      <c r="B283" s="5" t="s">
        <v>510</v>
      </c>
      <c r="C283" s="6" t="s">
        <v>23</v>
      </c>
      <c r="D283" s="6" t="s">
        <v>24</v>
      </c>
      <c r="E283" s="7" t="s">
        <v>4448</v>
      </c>
    </row>
    <row r="284" spans="1:5">
      <c r="A284" s="4" t="s">
        <v>513</v>
      </c>
      <c r="B284" s="5" t="s">
        <v>512</v>
      </c>
      <c r="C284" s="6" t="s">
        <v>23</v>
      </c>
      <c r="D284" s="6" t="s">
        <v>24</v>
      </c>
      <c r="E284" s="7" t="s">
        <v>4450</v>
      </c>
    </row>
    <row r="285" spans="1:5">
      <c r="A285" s="4" t="s">
        <v>515</v>
      </c>
      <c r="B285" s="5" t="s">
        <v>514</v>
      </c>
      <c r="C285" s="6" t="s">
        <v>23</v>
      </c>
      <c r="D285" s="6" t="s">
        <v>24</v>
      </c>
      <c r="E285" s="7" t="s">
        <v>4451</v>
      </c>
    </row>
    <row r="286" spans="1:5">
      <c r="A286" s="4" t="s">
        <v>517</v>
      </c>
      <c r="B286" s="5" t="s">
        <v>516</v>
      </c>
      <c r="C286" s="6" t="s">
        <v>23</v>
      </c>
      <c r="D286" s="6" t="s">
        <v>24</v>
      </c>
      <c r="E286" s="7" t="s">
        <v>4453</v>
      </c>
    </row>
    <row r="287" spans="1:5">
      <c r="A287" s="4" t="s">
        <v>519</v>
      </c>
      <c r="B287" s="5" t="s">
        <v>518</v>
      </c>
      <c r="C287" s="6" t="s">
        <v>23</v>
      </c>
      <c r="D287" s="6" t="s">
        <v>63</v>
      </c>
      <c r="E287" s="7" t="s">
        <v>64</v>
      </c>
    </row>
    <row r="288" spans="1:5">
      <c r="A288" s="4" t="s">
        <v>3109</v>
      </c>
      <c r="B288" s="5" t="s">
        <v>3879</v>
      </c>
      <c r="C288" s="6" t="s">
        <v>23</v>
      </c>
      <c r="D288" s="6" t="s">
        <v>4445</v>
      </c>
      <c r="E288" s="7" t="s">
        <v>4443</v>
      </c>
    </row>
    <row r="289" spans="1:5">
      <c r="A289" s="4" t="s">
        <v>3103</v>
      </c>
      <c r="B289" s="5" t="s">
        <v>3873</v>
      </c>
      <c r="C289" s="6" t="s">
        <v>23</v>
      </c>
      <c r="D289" s="6" t="s">
        <v>4445</v>
      </c>
      <c r="E289" s="7" t="s">
        <v>4443</v>
      </c>
    </row>
    <row r="290" spans="1:5">
      <c r="A290" s="4" t="s">
        <v>3110</v>
      </c>
      <c r="B290" s="5" t="s">
        <v>3880</v>
      </c>
      <c r="C290" s="6" t="s">
        <v>23</v>
      </c>
      <c r="D290" s="6" t="s">
        <v>4445</v>
      </c>
      <c r="E290" s="7" t="s">
        <v>4443</v>
      </c>
    </row>
    <row r="291" spans="1:5">
      <c r="A291" s="4" t="s">
        <v>3104</v>
      </c>
      <c r="B291" s="5" t="s">
        <v>3874</v>
      </c>
      <c r="C291" s="6" t="s">
        <v>23</v>
      </c>
      <c r="D291" s="6" t="s">
        <v>4445</v>
      </c>
      <c r="E291" s="7" t="s">
        <v>4443</v>
      </c>
    </row>
    <row r="292" spans="1:5">
      <c r="A292" s="4" t="s">
        <v>3111</v>
      </c>
      <c r="B292" s="5" t="s">
        <v>3881</v>
      </c>
      <c r="C292" s="6" t="s">
        <v>23</v>
      </c>
      <c r="D292" s="6" t="s">
        <v>4445</v>
      </c>
      <c r="E292" s="7" t="s">
        <v>4443</v>
      </c>
    </row>
    <row r="293" spans="1:5">
      <c r="A293" s="4" t="s">
        <v>3112</v>
      </c>
      <c r="B293" s="5" t="s">
        <v>3882</v>
      </c>
      <c r="C293" s="6" t="s">
        <v>23</v>
      </c>
      <c r="D293" s="6" t="s">
        <v>4445</v>
      </c>
      <c r="E293" s="7" t="s">
        <v>4443</v>
      </c>
    </row>
    <row r="294" spans="1:5">
      <c r="A294" s="4" t="s">
        <v>3106</v>
      </c>
      <c r="B294" s="5" t="s">
        <v>3876</v>
      </c>
      <c r="C294" s="6" t="s">
        <v>23</v>
      </c>
      <c r="D294" s="6" t="s">
        <v>4445</v>
      </c>
      <c r="E294" s="7" t="s">
        <v>4443</v>
      </c>
    </row>
    <row r="295" spans="1:5">
      <c r="A295" s="4" t="s">
        <v>3260</v>
      </c>
      <c r="B295" s="5" t="s">
        <v>4030</v>
      </c>
      <c r="C295" s="6" t="s">
        <v>23</v>
      </c>
      <c r="D295" s="6" t="s">
        <v>4445</v>
      </c>
      <c r="E295" s="7" t="s">
        <v>4443</v>
      </c>
    </row>
    <row r="296" spans="1:5">
      <c r="A296" s="4" t="s">
        <v>3113</v>
      </c>
      <c r="B296" s="5" t="s">
        <v>3883</v>
      </c>
      <c r="C296" s="6" t="s">
        <v>23</v>
      </c>
      <c r="D296" s="6" t="s">
        <v>4445</v>
      </c>
      <c r="E296" s="7" t="s">
        <v>4443</v>
      </c>
    </row>
    <row r="297" spans="1:5">
      <c r="A297" s="4" t="s">
        <v>3107</v>
      </c>
      <c r="B297" s="5" t="s">
        <v>3877</v>
      </c>
      <c r="C297" s="6" t="s">
        <v>23</v>
      </c>
      <c r="D297" s="6" t="s">
        <v>4445</v>
      </c>
      <c r="E297" s="7" t="s">
        <v>4443</v>
      </c>
    </row>
    <row r="298" spans="1:5">
      <c r="A298" s="4" t="s">
        <v>3114</v>
      </c>
      <c r="B298" s="5" t="s">
        <v>3884</v>
      </c>
      <c r="C298" s="6" t="s">
        <v>23</v>
      </c>
      <c r="D298" s="6" t="s">
        <v>4445</v>
      </c>
      <c r="E298" s="7" t="s">
        <v>4443</v>
      </c>
    </row>
    <row r="299" spans="1:5">
      <c r="A299" s="4" t="s">
        <v>3108</v>
      </c>
      <c r="B299" s="5" t="s">
        <v>3878</v>
      </c>
      <c r="C299" s="6" t="s">
        <v>23</v>
      </c>
      <c r="D299" s="6" t="s">
        <v>4445</v>
      </c>
      <c r="E299" s="7" t="s">
        <v>4443</v>
      </c>
    </row>
    <row r="300" spans="1:5">
      <c r="A300" s="4" t="s">
        <v>3105</v>
      </c>
      <c r="B300" s="5" t="s">
        <v>3875</v>
      </c>
      <c r="C300" s="6" t="s">
        <v>23</v>
      </c>
      <c r="D300" s="6" t="s">
        <v>4445</v>
      </c>
      <c r="E300" s="7" t="s">
        <v>4443</v>
      </c>
    </row>
    <row r="301" spans="1:5">
      <c r="A301" s="4" t="s">
        <v>2912</v>
      </c>
      <c r="B301" s="5" t="s">
        <v>3673</v>
      </c>
      <c r="C301" s="6" t="s">
        <v>23</v>
      </c>
      <c r="D301" s="6" t="s">
        <v>4445</v>
      </c>
      <c r="E301" s="7" t="s">
        <v>4443</v>
      </c>
    </row>
    <row r="302" spans="1:5">
      <c r="A302" s="4" t="s">
        <v>4498</v>
      </c>
      <c r="B302" s="5" t="s">
        <v>3674</v>
      </c>
      <c r="C302" s="6" t="s">
        <v>23</v>
      </c>
      <c r="D302" s="6" t="s">
        <v>4445</v>
      </c>
      <c r="E302" s="7" t="s">
        <v>4443</v>
      </c>
    </row>
    <row r="303" spans="1:5">
      <c r="A303" s="4" t="s">
        <v>2913</v>
      </c>
      <c r="B303" s="5" t="s">
        <v>3675</v>
      </c>
      <c r="C303" s="6" t="s">
        <v>23</v>
      </c>
      <c r="D303" s="6" t="s">
        <v>4445</v>
      </c>
      <c r="E303" s="7" t="s">
        <v>4443</v>
      </c>
    </row>
    <row r="304" spans="1:5">
      <c r="A304" s="4" t="s">
        <v>4502</v>
      </c>
      <c r="B304" s="5" t="s">
        <v>4503</v>
      </c>
      <c r="C304" s="6" t="s">
        <v>23</v>
      </c>
      <c r="D304" s="6" t="s">
        <v>63</v>
      </c>
      <c r="E304" s="7" t="s">
        <v>98</v>
      </c>
    </row>
    <row r="305" spans="1:5">
      <c r="A305" s="4" t="s">
        <v>4504</v>
      </c>
      <c r="B305" s="5" t="s">
        <v>3672</v>
      </c>
      <c r="C305" s="6" t="s">
        <v>23</v>
      </c>
      <c r="D305" s="6" t="s">
        <v>4445</v>
      </c>
      <c r="E305" s="7" t="s">
        <v>4443</v>
      </c>
    </row>
    <row r="306" spans="1:5">
      <c r="A306" s="4" t="s">
        <v>2874</v>
      </c>
      <c r="B306" s="5" t="s">
        <v>3872</v>
      </c>
      <c r="C306" s="6" t="s">
        <v>23</v>
      </c>
      <c r="D306" s="6" t="s">
        <v>4445</v>
      </c>
      <c r="E306" s="7" t="s">
        <v>4443</v>
      </c>
    </row>
    <row r="307" spans="1:5">
      <c r="A307" s="4" t="s">
        <v>4507</v>
      </c>
      <c r="B307" s="5" t="s">
        <v>520</v>
      </c>
      <c r="C307" s="6" t="s">
        <v>23</v>
      </c>
      <c r="D307" s="6" t="s">
        <v>63</v>
      </c>
      <c r="E307" s="7" t="s">
        <v>4443</v>
      </c>
    </row>
    <row r="308" spans="1:5">
      <c r="A308" s="4" t="s">
        <v>4508</v>
      </c>
      <c r="B308" s="5" t="s">
        <v>4338</v>
      </c>
      <c r="C308" s="6" t="s">
        <v>23</v>
      </c>
      <c r="D308" s="6" t="s">
        <v>4445</v>
      </c>
      <c r="E308" s="7" t="s">
        <v>4443</v>
      </c>
    </row>
    <row r="309" spans="1:5">
      <c r="A309" s="4" t="s">
        <v>522</v>
      </c>
      <c r="B309" s="5" t="s">
        <v>521</v>
      </c>
      <c r="C309" s="6" t="s">
        <v>23</v>
      </c>
      <c r="D309" s="6" t="s">
        <v>63</v>
      </c>
      <c r="E309" s="7" t="s">
        <v>64</v>
      </c>
    </row>
    <row r="310" spans="1:5">
      <c r="A310" s="4" t="s">
        <v>524</v>
      </c>
      <c r="B310" s="5" t="s">
        <v>523</v>
      </c>
      <c r="C310" s="6" t="s">
        <v>23</v>
      </c>
      <c r="D310" s="6" t="s">
        <v>63</v>
      </c>
      <c r="E310" s="7" t="s">
        <v>86</v>
      </c>
    </row>
    <row r="311" spans="1:5">
      <c r="A311" s="4" t="s">
        <v>526</v>
      </c>
      <c r="B311" s="5" t="s">
        <v>525</v>
      </c>
      <c r="C311" s="6" t="s">
        <v>23</v>
      </c>
      <c r="D311" s="6" t="s">
        <v>24</v>
      </c>
      <c r="E311" s="7" t="s">
        <v>4455</v>
      </c>
    </row>
    <row r="312" spans="1:5">
      <c r="A312" s="4" t="s">
        <v>528</v>
      </c>
      <c r="B312" s="5" t="s">
        <v>527</v>
      </c>
      <c r="C312" s="6" t="s">
        <v>23</v>
      </c>
      <c r="D312" s="6" t="s">
        <v>24</v>
      </c>
      <c r="E312" s="7" t="s">
        <v>4448</v>
      </c>
    </row>
    <row r="313" spans="1:5">
      <c r="A313" s="4" t="s">
        <v>3341</v>
      </c>
      <c r="B313" s="5" t="s">
        <v>4111</v>
      </c>
      <c r="C313" s="6" t="s">
        <v>23</v>
      </c>
      <c r="D313" s="6" t="s">
        <v>4445</v>
      </c>
      <c r="E313" s="7" t="s">
        <v>4443</v>
      </c>
    </row>
    <row r="314" spans="1:5">
      <c r="A314" s="11" t="s">
        <v>530</v>
      </c>
      <c r="B314" s="5" t="s">
        <v>529</v>
      </c>
      <c r="C314" s="12" t="s">
        <v>23</v>
      </c>
      <c r="D314" s="12" t="s">
        <v>24</v>
      </c>
      <c r="E314" s="7" t="s">
        <v>4447</v>
      </c>
    </row>
    <row r="315" spans="1:5">
      <c r="A315" s="4" t="s">
        <v>532</v>
      </c>
      <c r="B315" s="5" t="s">
        <v>531</v>
      </c>
      <c r="C315" s="6" t="s">
        <v>23</v>
      </c>
      <c r="D315" s="6" t="s">
        <v>24</v>
      </c>
      <c r="E315" s="7" t="s">
        <v>4448</v>
      </c>
    </row>
    <row r="316" spans="1:5">
      <c r="A316" s="4" t="s">
        <v>534</v>
      </c>
      <c r="B316" s="5" t="s">
        <v>533</v>
      </c>
      <c r="C316" s="6" t="s">
        <v>23</v>
      </c>
      <c r="D316" s="6" t="s">
        <v>24</v>
      </c>
      <c r="E316" s="7" t="s">
        <v>4450</v>
      </c>
    </row>
    <row r="317" spans="1:5">
      <c r="A317" s="4" t="s">
        <v>536</v>
      </c>
      <c r="B317" s="5" t="s">
        <v>535</v>
      </c>
      <c r="C317" s="6" t="s">
        <v>23</v>
      </c>
      <c r="D317" s="6" t="s">
        <v>24</v>
      </c>
      <c r="E317" s="7" t="s">
        <v>4451</v>
      </c>
    </row>
    <row r="318" spans="1:5">
      <c r="A318" s="4" t="s">
        <v>538</v>
      </c>
      <c r="B318" s="5" t="s">
        <v>537</v>
      </c>
      <c r="C318" s="6" t="s">
        <v>23</v>
      </c>
      <c r="D318" s="6" t="s">
        <v>24</v>
      </c>
      <c r="E318" s="7" t="s">
        <v>4447</v>
      </c>
    </row>
    <row r="319" spans="1:5">
      <c r="A319" s="4" t="s">
        <v>540</v>
      </c>
      <c r="B319" s="5" t="s">
        <v>539</v>
      </c>
      <c r="C319" s="6" t="s">
        <v>23</v>
      </c>
      <c r="D319" s="6" t="s">
        <v>24</v>
      </c>
      <c r="E319" s="7" t="s">
        <v>4448</v>
      </c>
    </row>
    <row r="320" spans="1:5">
      <c r="A320" s="4" t="s">
        <v>542</v>
      </c>
      <c r="B320" s="5" t="s">
        <v>541</v>
      </c>
      <c r="C320" s="6" t="s">
        <v>23</v>
      </c>
      <c r="D320" s="6" t="s">
        <v>24</v>
      </c>
      <c r="E320" s="7" t="s">
        <v>4450</v>
      </c>
    </row>
    <row r="321" spans="1:5">
      <c r="A321" s="4" t="s">
        <v>544</v>
      </c>
      <c r="B321" s="5" t="s">
        <v>543</v>
      </c>
      <c r="C321" s="6" t="s">
        <v>23</v>
      </c>
      <c r="D321" s="6" t="s">
        <v>24</v>
      </c>
      <c r="E321" s="7" t="s">
        <v>4451</v>
      </c>
    </row>
    <row r="322" spans="1:5">
      <c r="A322" s="4" t="s">
        <v>546</v>
      </c>
      <c r="B322" s="5" t="s">
        <v>545</v>
      </c>
      <c r="C322" s="6" t="s">
        <v>23</v>
      </c>
      <c r="D322" s="6" t="s">
        <v>24</v>
      </c>
      <c r="E322" s="7" t="s">
        <v>4452</v>
      </c>
    </row>
    <row r="323" spans="1:5">
      <c r="A323" s="4" t="s">
        <v>548</v>
      </c>
      <c r="B323" s="5" t="s">
        <v>547</v>
      </c>
      <c r="C323" s="6" t="s">
        <v>23</v>
      </c>
      <c r="D323" s="6" t="s">
        <v>24</v>
      </c>
      <c r="E323" s="7" t="s">
        <v>4453</v>
      </c>
    </row>
    <row r="324" spans="1:5">
      <c r="A324" s="4" t="s">
        <v>550</v>
      </c>
      <c r="B324" s="5" t="s">
        <v>549</v>
      </c>
      <c r="C324" s="6" t="s">
        <v>23</v>
      </c>
      <c r="D324" s="6" t="s">
        <v>24</v>
      </c>
      <c r="E324" s="7" t="s">
        <v>4447</v>
      </c>
    </row>
    <row r="325" spans="1:5">
      <c r="A325" s="11" t="s">
        <v>552</v>
      </c>
      <c r="B325" s="5" t="s">
        <v>551</v>
      </c>
      <c r="C325" s="12" t="s">
        <v>23</v>
      </c>
      <c r="D325" s="12" t="s">
        <v>24</v>
      </c>
      <c r="E325" s="7" t="s">
        <v>4448</v>
      </c>
    </row>
    <row r="326" spans="1:5">
      <c r="A326" s="11" t="s">
        <v>554</v>
      </c>
      <c r="B326" s="5" t="s">
        <v>553</v>
      </c>
      <c r="C326" s="12" t="s">
        <v>23</v>
      </c>
      <c r="D326" s="12" t="s">
        <v>24</v>
      </c>
      <c r="E326" s="7" t="s">
        <v>4450</v>
      </c>
    </row>
    <row r="327" spans="1:5">
      <c r="A327" s="4" t="s">
        <v>556</v>
      </c>
      <c r="B327" s="5" t="s">
        <v>555</v>
      </c>
      <c r="C327" s="6" t="s">
        <v>23</v>
      </c>
      <c r="D327" s="6" t="s">
        <v>24</v>
      </c>
      <c r="E327" s="7" t="s">
        <v>4454</v>
      </c>
    </row>
    <row r="328" spans="1:5">
      <c r="A328" s="11" t="s">
        <v>558</v>
      </c>
      <c r="B328" s="5" t="s">
        <v>557</v>
      </c>
      <c r="C328" s="12" t="s">
        <v>23</v>
      </c>
      <c r="D328" s="12" t="s">
        <v>63</v>
      </c>
      <c r="E328" s="7" t="s">
        <v>98</v>
      </c>
    </row>
    <row r="329" spans="1:5">
      <c r="A329" s="4" t="s">
        <v>560</v>
      </c>
      <c r="B329" s="5" t="s">
        <v>559</v>
      </c>
      <c r="C329" s="6" t="s">
        <v>23</v>
      </c>
      <c r="D329" s="6" t="s">
        <v>561</v>
      </c>
      <c r="E329" s="7" t="s">
        <v>64</v>
      </c>
    </row>
    <row r="330" spans="1:5">
      <c r="A330" s="4" t="s">
        <v>563</v>
      </c>
      <c r="B330" s="5" t="s">
        <v>562</v>
      </c>
      <c r="C330" s="6" t="s">
        <v>23</v>
      </c>
      <c r="D330" s="6" t="s">
        <v>561</v>
      </c>
      <c r="E330" s="7" t="s">
        <v>98</v>
      </c>
    </row>
    <row r="331" spans="1:5">
      <c r="A331" s="4" t="s">
        <v>565</v>
      </c>
      <c r="B331" s="5" t="s">
        <v>564</v>
      </c>
      <c r="C331" s="6" t="s">
        <v>23</v>
      </c>
      <c r="D331" s="6" t="s">
        <v>561</v>
      </c>
      <c r="E331" s="7" t="s">
        <v>67</v>
      </c>
    </row>
    <row r="332" spans="1:5">
      <c r="A332" s="4" t="s">
        <v>567</v>
      </c>
      <c r="B332" s="5" t="s">
        <v>566</v>
      </c>
      <c r="C332" s="6" t="s">
        <v>23</v>
      </c>
      <c r="D332" s="6" t="s">
        <v>561</v>
      </c>
      <c r="E332" s="7" t="s">
        <v>287</v>
      </c>
    </row>
    <row r="333" spans="1:5">
      <c r="A333" s="4" t="s">
        <v>569</v>
      </c>
      <c r="B333" s="5" t="s">
        <v>568</v>
      </c>
      <c r="C333" s="6" t="s">
        <v>23</v>
      </c>
      <c r="D333" s="6" t="s">
        <v>561</v>
      </c>
      <c r="E333" s="7" t="s">
        <v>425</v>
      </c>
    </row>
    <row r="334" spans="1:5">
      <c r="A334" s="4" t="s">
        <v>571</v>
      </c>
      <c r="B334" s="5" t="s">
        <v>570</v>
      </c>
      <c r="C334" s="6" t="s">
        <v>23</v>
      </c>
      <c r="D334" s="6" t="s">
        <v>561</v>
      </c>
      <c r="E334" s="7" t="s">
        <v>572</v>
      </c>
    </row>
    <row r="335" spans="1:5">
      <c r="A335" s="4" t="s">
        <v>574</v>
      </c>
      <c r="B335" s="5" t="s">
        <v>573</v>
      </c>
      <c r="C335" s="6" t="s">
        <v>23</v>
      </c>
      <c r="D335" s="6" t="s">
        <v>561</v>
      </c>
      <c r="E335" s="7" t="s">
        <v>95</v>
      </c>
    </row>
    <row r="336" spans="1:5">
      <c r="A336" s="4" t="s">
        <v>576</v>
      </c>
      <c r="B336" s="5" t="s">
        <v>575</v>
      </c>
      <c r="C336" s="6" t="s">
        <v>23</v>
      </c>
      <c r="D336" s="6" t="s">
        <v>63</v>
      </c>
      <c r="E336" s="7" t="s">
        <v>98</v>
      </c>
    </row>
    <row r="337" spans="1:5">
      <c r="A337" s="11" t="s">
        <v>578</v>
      </c>
      <c r="B337" s="5" t="s">
        <v>577</v>
      </c>
      <c r="C337" s="12" t="s">
        <v>23</v>
      </c>
      <c r="D337" s="12" t="s">
        <v>24</v>
      </c>
      <c r="E337" s="7" t="s">
        <v>4447</v>
      </c>
    </row>
    <row r="338" spans="1:5">
      <c r="A338" s="4" t="s">
        <v>580</v>
      </c>
      <c r="B338" s="5" t="s">
        <v>579</v>
      </c>
      <c r="C338" s="6" t="s">
        <v>23</v>
      </c>
      <c r="D338" s="6" t="s">
        <v>24</v>
      </c>
      <c r="E338" s="7" t="s">
        <v>4448</v>
      </c>
    </row>
    <row r="339" spans="1:5">
      <c r="A339" s="4" t="s">
        <v>582</v>
      </c>
      <c r="B339" s="5" t="s">
        <v>581</v>
      </c>
      <c r="C339" s="6" t="s">
        <v>23</v>
      </c>
      <c r="D339" s="6" t="s">
        <v>24</v>
      </c>
      <c r="E339" s="7" t="s">
        <v>4450</v>
      </c>
    </row>
    <row r="340" spans="1:5">
      <c r="A340" s="4" t="s">
        <v>584</v>
      </c>
      <c r="B340" s="5" t="s">
        <v>583</v>
      </c>
      <c r="C340" s="6" t="s">
        <v>23</v>
      </c>
      <c r="D340" s="6" t="s">
        <v>24</v>
      </c>
      <c r="E340" s="7" t="s">
        <v>4451</v>
      </c>
    </row>
    <row r="341" spans="1:5">
      <c r="A341" s="4" t="s">
        <v>3605</v>
      </c>
      <c r="B341" s="5" t="s">
        <v>4382</v>
      </c>
      <c r="C341" s="6" t="s">
        <v>23</v>
      </c>
      <c r="D341" s="6" t="s">
        <v>4463</v>
      </c>
      <c r="E341" s="7" t="s">
        <v>89</v>
      </c>
    </row>
    <row r="342" spans="1:5">
      <c r="A342" s="4" t="s">
        <v>586</v>
      </c>
      <c r="B342" s="5" t="s">
        <v>585</v>
      </c>
      <c r="C342" s="6" t="s">
        <v>23</v>
      </c>
      <c r="D342" s="6" t="s">
        <v>561</v>
      </c>
      <c r="E342" s="7" t="s">
        <v>287</v>
      </c>
    </row>
    <row r="343" spans="1:5">
      <c r="A343" s="4" t="s">
        <v>3606</v>
      </c>
      <c r="B343" s="5" t="s">
        <v>4383</v>
      </c>
      <c r="C343" s="6" t="s">
        <v>23</v>
      </c>
      <c r="D343" s="6" t="s">
        <v>4463</v>
      </c>
      <c r="E343" s="7" t="s">
        <v>287</v>
      </c>
    </row>
    <row r="344" spans="1:5">
      <c r="A344" s="4" t="s">
        <v>588</v>
      </c>
      <c r="B344" s="5" t="s">
        <v>587</v>
      </c>
      <c r="C344" s="6" t="s">
        <v>23</v>
      </c>
      <c r="D344" s="6" t="s">
        <v>561</v>
      </c>
      <c r="E344" s="7" t="s">
        <v>86</v>
      </c>
    </row>
    <row r="345" spans="1:5">
      <c r="A345" s="4" t="s">
        <v>590</v>
      </c>
      <c r="B345" s="5" t="s">
        <v>589</v>
      </c>
      <c r="C345" s="6" t="s">
        <v>23</v>
      </c>
      <c r="D345" s="6" t="s">
        <v>63</v>
      </c>
      <c r="E345" s="7" t="s">
        <v>98</v>
      </c>
    </row>
    <row r="346" spans="1:5">
      <c r="A346" s="11" t="s">
        <v>592</v>
      </c>
      <c r="B346" s="5" t="s">
        <v>591</v>
      </c>
      <c r="C346" s="12" t="s">
        <v>23</v>
      </c>
      <c r="D346" s="12" t="s">
        <v>63</v>
      </c>
      <c r="E346" s="7" t="s">
        <v>67</v>
      </c>
    </row>
    <row r="347" spans="1:5">
      <c r="A347" s="11" t="s">
        <v>594</v>
      </c>
      <c r="B347" s="5" t="s">
        <v>593</v>
      </c>
      <c r="C347" s="12" t="s">
        <v>23</v>
      </c>
      <c r="D347" s="12" t="s">
        <v>63</v>
      </c>
      <c r="E347" s="7" t="s">
        <v>86</v>
      </c>
    </row>
    <row r="348" spans="1:5">
      <c r="A348" s="11" t="s">
        <v>596</v>
      </c>
      <c r="B348" s="5" t="s">
        <v>595</v>
      </c>
      <c r="C348" s="12" t="s">
        <v>23</v>
      </c>
      <c r="D348" s="12" t="s">
        <v>63</v>
      </c>
      <c r="E348" s="7" t="s">
        <v>89</v>
      </c>
    </row>
    <row r="349" spans="1:5">
      <c r="A349" s="4" t="s">
        <v>598</v>
      </c>
      <c r="B349" s="5" t="s">
        <v>597</v>
      </c>
      <c r="C349" s="6" t="s">
        <v>23</v>
      </c>
      <c r="D349" s="6" t="s">
        <v>63</v>
      </c>
      <c r="E349" s="7" t="s">
        <v>64</v>
      </c>
    </row>
    <row r="350" spans="1:5">
      <c r="A350" s="4" t="s">
        <v>600</v>
      </c>
      <c r="B350" s="5" t="s">
        <v>599</v>
      </c>
      <c r="C350" s="6" t="s">
        <v>23</v>
      </c>
      <c r="D350" s="6" t="s">
        <v>63</v>
      </c>
      <c r="E350" s="7" t="s">
        <v>67</v>
      </c>
    </row>
    <row r="351" spans="1:5">
      <c r="A351" s="4" t="s">
        <v>602</v>
      </c>
      <c r="B351" s="5" t="s">
        <v>601</v>
      </c>
      <c r="C351" s="6" t="s">
        <v>23</v>
      </c>
      <c r="D351" s="6" t="s">
        <v>63</v>
      </c>
      <c r="E351" s="7" t="s">
        <v>86</v>
      </c>
    </row>
    <row r="352" spans="1:5">
      <c r="A352" s="4" t="s">
        <v>604</v>
      </c>
      <c r="B352" s="5" t="s">
        <v>603</v>
      </c>
      <c r="C352" s="6" t="s">
        <v>23</v>
      </c>
      <c r="D352" s="6" t="s">
        <v>63</v>
      </c>
      <c r="E352" s="7" t="s">
        <v>67</v>
      </c>
    </row>
    <row r="353" spans="1:5">
      <c r="A353" s="4" t="s">
        <v>606</v>
      </c>
      <c r="B353" s="5" t="s">
        <v>605</v>
      </c>
      <c r="C353" s="6" t="s">
        <v>23</v>
      </c>
      <c r="D353" s="6" t="s">
        <v>24</v>
      </c>
      <c r="E353" s="7" t="s">
        <v>4446</v>
      </c>
    </row>
    <row r="354" spans="1:5">
      <c r="A354" s="4" t="s">
        <v>608</v>
      </c>
      <c r="B354" s="5" t="s">
        <v>607</v>
      </c>
      <c r="C354" s="6" t="s">
        <v>23</v>
      </c>
      <c r="D354" s="6" t="s">
        <v>24</v>
      </c>
      <c r="E354" s="7" t="s">
        <v>4447</v>
      </c>
    </row>
    <row r="355" spans="1:5">
      <c r="A355" s="4" t="s">
        <v>610</v>
      </c>
      <c r="B355" s="5" t="s">
        <v>609</v>
      </c>
      <c r="C355" s="6" t="s">
        <v>23</v>
      </c>
      <c r="D355" s="6" t="s">
        <v>561</v>
      </c>
      <c r="E355" s="7" t="s">
        <v>4460</v>
      </c>
    </row>
    <row r="356" spans="1:5">
      <c r="A356" s="4" t="s">
        <v>612</v>
      </c>
      <c r="B356" s="5" t="s">
        <v>611</v>
      </c>
      <c r="C356" s="6" t="s">
        <v>23</v>
      </c>
      <c r="D356" s="6" t="s">
        <v>63</v>
      </c>
      <c r="E356" s="7" t="s">
        <v>95</v>
      </c>
    </row>
    <row r="357" spans="1:5">
      <c r="A357" s="4" t="s">
        <v>614</v>
      </c>
      <c r="B357" s="5" t="s">
        <v>613</v>
      </c>
      <c r="C357" s="6" t="s">
        <v>23</v>
      </c>
      <c r="D357" s="6" t="s">
        <v>63</v>
      </c>
      <c r="E357" s="7" t="s">
        <v>4460</v>
      </c>
    </row>
    <row r="358" spans="1:5">
      <c r="A358" s="4" t="s">
        <v>616</v>
      </c>
      <c r="B358" s="5" t="s">
        <v>615</v>
      </c>
      <c r="C358" s="6" t="s">
        <v>23</v>
      </c>
      <c r="D358" s="6" t="s">
        <v>63</v>
      </c>
      <c r="E358" s="7" t="s">
        <v>95</v>
      </c>
    </row>
    <row r="359" spans="1:5">
      <c r="A359" s="4" t="s">
        <v>618</v>
      </c>
      <c r="B359" s="5" t="s">
        <v>617</v>
      </c>
      <c r="C359" s="12" t="s">
        <v>23</v>
      </c>
      <c r="D359" s="12" t="s">
        <v>24</v>
      </c>
      <c r="E359" s="7" t="s">
        <v>4449</v>
      </c>
    </row>
    <row r="360" spans="1:5">
      <c r="A360" s="4" t="s">
        <v>620</v>
      </c>
      <c r="B360" s="5" t="s">
        <v>619</v>
      </c>
      <c r="C360" s="6" t="s">
        <v>23</v>
      </c>
      <c r="D360" s="6" t="s">
        <v>24</v>
      </c>
      <c r="E360" s="7" t="s">
        <v>4450</v>
      </c>
    </row>
    <row r="361" spans="1:5">
      <c r="A361" s="4" t="s">
        <v>622</v>
      </c>
      <c r="B361" s="5" t="s">
        <v>621</v>
      </c>
      <c r="C361" s="6" t="s">
        <v>23</v>
      </c>
      <c r="D361" s="6" t="s">
        <v>63</v>
      </c>
      <c r="E361" s="7" t="s">
        <v>98</v>
      </c>
    </row>
    <row r="362" spans="1:5">
      <c r="A362" s="4" t="s">
        <v>624</v>
      </c>
      <c r="B362" s="5" t="s">
        <v>623</v>
      </c>
      <c r="C362" s="6" t="s">
        <v>23</v>
      </c>
      <c r="D362" s="6" t="s">
        <v>24</v>
      </c>
      <c r="E362" s="7" t="s">
        <v>4448</v>
      </c>
    </row>
    <row r="363" spans="1:5">
      <c r="A363" s="4" t="s">
        <v>626</v>
      </c>
      <c r="B363" s="5" t="s">
        <v>625</v>
      </c>
      <c r="C363" s="6" t="s">
        <v>23</v>
      </c>
      <c r="D363" s="6" t="s">
        <v>24</v>
      </c>
      <c r="E363" s="7" t="s">
        <v>4449</v>
      </c>
    </row>
    <row r="364" spans="1:5">
      <c r="A364" s="4" t="s">
        <v>628</v>
      </c>
      <c r="B364" s="5" t="s">
        <v>627</v>
      </c>
      <c r="C364" s="6" t="s">
        <v>23</v>
      </c>
      <c r="D364" s="6" t="s">
        <v>24</v>
      </c>
      <c r="E364" s="7" t="s">
        <v>4450</v>
      </c>
    </row>
    <row r="365" spans="1:5">
      <c r="A365" s="4" t="s">
        <v>630</v>
      </c>
      <c r="B365" s="5" t="s">
        <v>629</v>
      </c>
      <c r="C365" s="6" t="s">
        <v>23</v>
      </c>
      <c r="D365" s="6" t="s">
        <v>24</v>
      </c>
      <c r="E365" s="7" t="s">
        <v>4454</v>
      </c>
    </row>
    <row r="366" spans="1:5">
      <c r="A366" s="4" t="s">
        <v>632</v>
      </c>
      <c r="B366" s="5" t="s">
        <v>631</v>
      </c>
      <c r="C366" s="6" t="s">
        <v>23</v>
      </c>
      <c r="D366" s="6" t="s">
        <v>24</v>
      </c>
      <c r="E366" s="7" t="s">
        <v>4447</v>
      </c>
    </row>
    <row r="367" spans="1:5">
      <c r="A367" s="4" t="s">
        <v>634</v>
      </c>
      <c r="B367" s="5" t="s">
        <v>633</v>
      </c>
      <c r="C367" s="6" t="s">
        <v>23</v>
      </c>
      <c r="D367" s="6" t="s">
        <v>24</v>
      </c>
      <c r="E367" s="7" t="s">
        <v>4448</v>
      </c>
    </row>
    <row r="368" spans="1:5">
      <c r="A368" s="4" t="s">
        <v>636</v>
      </c>
      <c r="B368" s="5" t="s">
        <v>635</v>
      </c>
      <c r="C368" s="6" t="s">
        <v>23</v>
      </c>
      <c r="D368" s="6" t="s">
        <v>24</v>
      </c>
      <c r="E368" s="7" t="s">
        <v>4446</v>
      </c>
    </row>
    <row r="369" spans="1:5">
      <c r="A369" s="4" t="s">
        <v>638</v>
      </c>
      <c r="B369" s="5" t="s">
        <v>637</v>
      </c>
      <c r="C369" s="6" t="s">
        <v>23</v>
      </c>
      <c r="D369" s="6" t="s">
        <v>24</v>
      </c>
      <c r="E369" s="7" t="s">
        <v>4447</v>
      </c>
    </row>
    <row r="370" spans="1:5">
      <c r="A370" s="4" t="s">
        <v>640</v>
      </c>
      <c r="B370" s="5" t="s">
        <v>639</v>
      </c>
      <c r="C370" s="6" t="s">
        <v>23</v>
      </c>
      <c r="D370" s="6" t="s">
        <v>63</v>
      </c>
      <c r="E370" s="7" t="s">
        <v>98</v>
      </c>
    </row>
    <row r="371" spans="1:5">
      <c r="A371" s="4" t="s">
        <v>642</v>
      </c>
      <c r="B371" s="5" t="s">
        <v>641</v>
      </c>
      <c r="C371" s="6" t="s">
        <v>23</v>
      </c>
      <c r="D371" s="6" t="s">
        <v>63</v>
      </c>
      <c r="E371" s="7" t="s">
        <v>98</v>
      </c>
    </row>
    <row r="372" spans="1:5">
      <c r="A372" s="4" t="s">
        <v>644</v>
      </c>
      <c r="B372" s="5" t="s">
        <v>643</v>
      </c>
      <c r="C372" s="6" t="s">
        <v>23</v>
      </c>
      <c r="D372" s="6" t="s">
        <v>63</v>
      </c>
      <c r="E372" s="7" t="s">
        <v>98</v>
      </c>
    </row>
    <row r="373" spans="1:5">
      <c r="A373" s="4" t="s">
        <v>3288</v>
      </c>
      <c r="B373" s="5" t="s">
        <v>4058</v>
      </c>
      <c r="C373" s="6" t="s">
        <v>23</v>
      </c>
      <c r="D373" s="6" t="s">
        <v>4445</v>
      </c>
      <c r="E373" s="7" t="s">
        <v>4443</v>
      </c>
    </row>
    <row r="374" spans="1:5">
      <c r="A374" s="4" t="s">
        <v>3295</v>
      </c>
      <c r="B374" s="5" t="s">
        <v>4065</v>
      </c>
      <c r="C374" s="6" t="s">
        <v>23</v>
      </c>
      <c r="D374" s="6" t="s">
        <v>4445</v>
      </c>
      <c r="E374" s="7" t="s">
        <v>4443</v>
      </c>
    </row>
    <row r="375" spans="1:5">
      <c r="A375" s="11" t="s">
        <v>646</v>
      </c>
      <c r="B375" s="5" t="s">
        <v>645</v>
      </c>
      <c r="C375" s="12" t="s">
        <v>23</v>
      </c>
      <c r="D375" s="12" t="s">
        <v>63</v>
      </c>
      <c r="E375" s="7" t="s">
        <v>98</v>
      </c>
    </row>
    <row r="376" spans="1:5">
      <c r="A376" s="4" t="s">
        <v>648</v>
      </c>
      <c r="B376" s="5" t="s">
        <v>647</v>
      </c>
      <c r="C376" s="6" t="s">
        <v>23</v>
      </c>
      <c r="D376" s="6" t="s">
        <v>63</v>
      </c>
      <c r="E376" s="7" t="s">
        <v>64</v>
      </c>
    </row>
    <row r="377" spans="1:5">
      <c r="A377" s="11" t="s">
        <v>650</v>
      </c>
      <c r="B377" s="5" t="s">
        <v>649</v>
      </c>
      <c r="C377" s="12" t="s">
        <v>23</v>
      </c>
      <c r="D377" s="12" t="s">
        <v>24</v>
      </c>
      <c r="E377" s="7" t="s">
        <v>4446</v>
      </c>
    </row>
    <row r="378" spans="1:5">
      <c r="A378" s="4" t="s">
        <v>652</v>
      </c>
      <c r="B378" s="5" t="s">
        <v>651</v>
      </c>
      <c r="C378" s="6" t="s">
        <v>23</v>
      </c>
      <c r="D378" s="6" t="s">
        <v>63</v>
      </c>
      <c r="E378" s="7" t="s">
        <v>98</v>
      </c>
    </row>
    <row r="379" spans="1:5">
      <c r="A379" s="4" t="s">
        <v>654</v>
      </c>
      <c r="B379" s="5" t="s">
        <v>653</v>
      </c>
      <c r="C379" s="6" t="s">
        <v>23</v>
      </c>
      <c r="D379" s="6" t="s">
        <v>320</v>
      </c>
      <c r="E379" s="7" t="s">
        <v>4444</v>
      </c>
    </row>
    <row r="380" spans="1:5">
      <c r="A380" s="4" t="s">
        <v>656</v>
      </c>
      <c r="B380" s="5" t="s">
        <v>655</v>
      </c>
      <c r="C380" s="6" t="s">
        <v>23</v>
      </c>
      <c r="D380" s="6" t="s">
        <v>63</v>
      </c>
      <c r="E380" s="7" t="s">
        <v>4461</v>
      </c>
    </row>
    <row r="381" spans="1:5">
      <c r="A381" s="4" t="s">
        <v>658</v>
      </c>
      <c r="B381" s="5" t="s">
        <v>657</v>
      </c>
      <c r="C381" s="6" t="s">
        <v>23</v>
      </c>
      <c r="D381" s="6" t="s">
        <v>63</v>
      </c>
      <c r="E381" s="7" t="s">
        <v>4462</v>
      </c>
    </row>
    <row r="382" spans="1:5">
      <c r="A382" s="4" t="s">
        <v>660</v>
      </c>
      <c r="B382" s="5" t="s">
        <v>659</v>
      </c>
      <c r="C382" s="6" t="s">
        <v>23</v>
      </c>
      <c r="D382" s="6" t="s">
        <v>63</v>
      </c>
      <c r="E382" s="7" t="s">
        <v>4461</v>
      </c>
    </row>
    <row r="383" spans="1:5">
      <c r="A383" s="4" t="s">
        <v>3595</v>
      </c>
      <c r="B383" s="5" t="s">
        <v>4372</v>
      </c>
      <c r="C383" s="6" t="s">
        <v>23</v>
      </c>
      <c r="D383" s="6" t="s">
        <v>4463</v>
      </c>
      <c r="E383" s="7" t="s">
        <v>4444</v>
      </c>
    </row>
    <row r="384" spans="1:5">
      <c r="A384" s="4" t="s">
        <v>3614</v>
      </c>
      <c r="B384" s="5" t="s">
        <v>4391</v>
      </c>
      <c r="C384" s="6" t="s">
        <v>23</v>
      </c>
      <c r="D384" s="6" t="s">
        <v>4463</v>
      </c>
      <c r="E384" s="7" t="s">
        <v>4450</v>
      </c>
    </row>
    <row r="385" spans="1:5">
      <c r="A385" s="4" t="s">
        <v>3616</v>
      </c>
      <c r="B385" s="5" t="s">
        <v>4393</v>
      </c>
      <c r="C385" s="6" t="s">
        <v>23</v>
      </c>
      <c r="D385" s="6" t="s">
        <v>4463</v>
      </c>
      <c r="E385" s="7" t="s">
        <v>4451</v>
      </c>
    </row>
    <row r="386" spans="1:5">
      <c r="A386" s="4" t="s">
        <v>3615</v>
      </c>
      <c r="B386" s="5" t="s">
        <v>4392</v>
      </c>
      <c r="C386" s="6" t="s">
        <v>23</v>
      </c>
      <c r="D386" s="6" t="s">
        <v>4463</v>
      </c>
      <c r="E386" s="7" t="s">
        <v>4454</v>
      </c>
    </row>
    <row r="387" spans="1:5">
      <c r="A387" s="4" t="s">
        <v>670</v>
      </c>
      <c r="B387" s="5" t="s">
        <v>4411</v>
      </c>
      <c r="C387" s="6" t="s">
        <v>23</v>
      </c>
      <c r="D387" s="6" t="s">
        <v>4463</v>
      </c>
      <c r="E387" s="7" t="s">
        <v>4443</v>
      </c>
    </row>
    <row r="388" spans="1:5">
      <c r="A388" s="4" t="s">
        <v>3656</v>
      </c>
      <c r="B388" s="5" t="s">
        <v>4433</v>
      </c>
      <c r="C388" s="6" t="s">
        <v>23</v>
      </c>
      <c r="D388" s="6" t="s">
        <v>4463</v>
      </c>
      <c r="E388" s="7" t="s">
        <v>4443</v>
      </c>
    </row>
    <row r="389" spans="1:5">
      <c r="A389" s="4" t="s">
        <v>3657</v>
      </c>
      <c r="B389" s="5" t="s">
        <v>4434</v>
      </c>
      <c r="C389" s="6" t="s">
        <v>23</v>
      </c>
      <c r="D389" s="6" t="s">
        <v>4463</v>
      </c>
      <c r="E389" s="7" t="s">
        <v>4443</v>
      </c>
    </row>
    <row r="390" spans="1:5">
      <c r="A390" s="4" t="s">
        <v>3658</v>
      </c>
      <c r="B390" s="5" t="s">
        <v>4435</v>
      </c>
      <c r="C390" s="6" t="s">
        <v>23</v>
      </c>
      <c r="D390" s="6" t="s">
        <v>4463</v>
      </c>
      <c r="E390" s="7" t="s">
        <v>4443</v>
      </c>
    </row>
    <row r="391" spans="1:5">
      <c r="A391" s="4" t="s">
        <v>3635</v>
      </c>
      <c r="B391" s="5" t="s">
        <v>4412</v>
      </c>
      <c r="C391" s="6" t="s">
        <v>23</v>
      </c>
      <c r="D391" s="6" t="s">
        <v>4463</v>
      </c>
      <c r="E391" s="7" t="s">
        <v>4443</v>
      </c>
    </row>
    <row r="392" spans="1:5">
      <c r="A392" s="4" t="s">
        <v>3659</v>
      </c>
      <c r="B392" s="5" t="s">
        <v>4436</v>
      </c>
      <c r="C392" s="6" t="s">
        <v>23</v>
      </c>
      <c r="D392" s="6" t="s">
        <v>4463</v>
      </c>
      <c r="E392" s="7" t="s">
        <v>4443</v>
      </c>
    </row>
    <row r="393" spans="1:5">
      <c r="A393" s="4" t="s">
        <v>3660</v>
      </c>
      <c r="B393" s="5" t="s">
        <v>4437</v>
      </c>
      <c r="C393" s="6" t="s">
        <v>23</v>
      </c>
      <c r="D393" s="6" t="s">
        <v>4463</v>
      </c>
      <c r="E393" s="7" t="s">
        <v>4443</v>
      </c>
    </row>
    <row r="394" spans="1:5">
      <c r="A394" s="4" t="s">
        <v>3661</v>
      </c>
      <c r="B394" s="5" t="s">
        <v>4438</v>
      </c>
      <c r="C394" s="6" t="s">
        <v>23</v>
      </c>
      <c r="D394" s="6" t="s">
        <v>4463</v>
      </c>
      <c r="E394" s="7" t="s">
        <v>4443</v>
      </c>
    </row>
    <row r="395" spans="1:5">
      <c r="A395" s="4" t="s">
        <v>662</v>
      </c>
      <c r="B395" s="5" t="s">
        <v>661</v>
      </c>
      <c r="C395" s="6" t="s">
        <v>23</v>
      </c>
      <c r="D395" s="6" t="s">
        <v>320</v>
      </c>
      <c r="E395" s="7" t="s">
        <v>4444</v>
      </c>
    </row>
    <row r="396" spans="1:5">
      <c r="A396" s="4" t="s">
        <v>664</v>
      </c>
      <c r="B396" s="5" t="s">
        <v>663</v>
      </c>
      <c r="C396" s="6" t="s">
        <v>23</v>
      </c>
      <c r="D396" s="6" t="s">
        <v>63</v>
      </c>
      <c r="E396" s="7" t="s">
        <v>98</v>
      </c>
    </row>
    <row r="397" spans="1:5">
      <c r="A397" s="4" t="s">
        <v>666</v>
      </c>
      <c r="B397" s="5" t="s">
        <v>665</v>
      </c>
      <c r="C397" s="6" t="s">
        <v>23</v>
      </c>
      <c r="D397" s="6" t="s">
        <v>63</v>
      </c>
      <c r="E397" s="7" t="s">
        <v>64</v>
      </c>
    </row>
    <row r="398" spans="1:5">
      <c r="A398" s="4" t="s">
        <v>668</v>
      </c>
      <c r="B398" s="5" t="s">
        <v>667</v>
      </c>
      <c r="C398" s="6" t="s">
        <v>23</v>
      </c>
      <c r="D398" s="6" t="s">
        <v>63</v>
      </c>
      <c r="E398" s="7" t="s">
        <v>67</v>
      </c>
    </row>
    <row r="399" spans="1:5">
      <c r="A399" s="4" t="s">
        <v>3637</v>
      </c>
      <c r="B399" s="5" t="s">
        <v>4414</v>
      </c>
      <c r="C399" s="6" t="s">
        <v>23</v>
      </c>
      <c r="D399" s="6" t="s">
        <v>4463</v>
      </c>
      <c r="E399" s="7" t="s">
        <v>4444</v>
      </c>
    </row>
    <row r="400" spans="1:5">
      <c r="A400" s="4" t="s">
        <v>3662</v>
      </c>
      <c r="B400" s="5" t="s">
        <v>4439</v>
      </c>
      <c r="C400" s="6" t="s">
        <v>23</v>
      </c>
      <c r="D400" s="6" t="s">
        <v>4463</v>
      </c>
      <c r="E400" s="7" t="s">
        <v>4443</v>
      </c>
    </row>
    <row r="401" spans="1:5">
      <c r="A401" s="4" t="s">
        <v>3663</v>
      </c>
      <c r="B401" s="5" t="s">
        <v>4440</v>
      </c>
      <c r="C401" s="6" t="s">
        <v>23</v>
      </c>
      <c r="D401" s="6" t="s">
        <v>4463</v>
      </c>
      <c r="E401" s="7" t="s">
        <v>4443</v>
      </c>
    </row>
    <row r="402" spans="1:5">
      <c r="A402" s="4" t="s">
        <v>3664</v>
      </c>
      <c r="B402" s="5" t="s">
        <v>4441</v>
      </c>
      <c r="C402" s="6" t="s">
        <v>23</v>
      </c>
      <c r="D402" s="6" t="s">
        <v>4463</v>
      </c>
      <c r="E402" s="7" t="s">
        <v>4443</v>
      </c>
    </row>
    <row r="403" spans="1:5">
      <c r="A403" s="4" t="s">
        <v>3665</v>
      </c>
      <c r="B403" s="5" t="s">
        <v>4442</v>
      </c>
      <c r="C403" s="6" t="s">
        <v>23</v>
      </c>
      <c r="D403" s="6" t="s">
        <v>4463</v>
      </c>
      <c r="E403" s="7" t="s">
        <v>4443</v>
      </c>
    </row>
    <row r="404" spans="1:5">
      <c r="A404" s="4" t="s">
        <v>2905</v>
      </c>
      <c r="B404" s="5" t="s">
        <v>669</v>
      </c>
      <c r="C404" s="6" t="s">
        <v>23</v>
      </c>
      <c r="D404" s="6" t="s">
        <v>320</v>
      </c>
      <c r="E404" s="7" t="s">
        <v>4444</v>
      </c>
    </row>
    <row r="405" spans="1:5">
      <c r="A405" s="11" t="s">
        <v>672</v>
      </c>
      <c r="B405" s="5" t="s">
        <v>671</v>
      </c>
      <c r="C405" s="12" t="s">
        <v>23</v>
      </c>
      <c r="D405" s="12" t="s">
        <v>63</v>
      </c>
      <c r="E405" s="7" t="s">
        <v>98</v>
      </c>
    </row>
    <row r="406" spans="1:5">
      <c r="A406" s="4" t="s">
        <v>674</v>
      </c>
      <c r="B406" s="5" t="s">
        <v>673</v>
      </c>
      <c r="C406" s="6" t="s">
        <v>23</v>
      </c>
      <c r="D406" s="6" t="s">
        <v>63</v>
      </c>
      <c r="E406" s="7" t="s">
        <v>67</v>
      </c>
    </row>
    <row r="407" spans="1:5">
      <c r="A407" s="4" t="s">
        <v>676</v>
      </c>
      <c r="B407" s="5" t="s">
        <v>675</v>
      </c>
      <c r="C407" s="6" t="s">
        <v>23</v>
      </c>
      <c r="D407" s="6" t="s">
        <v>24</v>
      </c>
      <c r="E407" s="7" t="s">
        <v>4446</v>
      </c>
    </row>
    <row r="408" spans="1:5">
      <c r="A408" s="4" t="s">
        <v>678</v>
      </c>
      <c r="B408" s="5" t="s">
        <v>677</v>
      </c>
      <c r="C408" s="6" t="s">
        <v>23</v>
      </c>
      <c r="D408" s="6" t="s">
        <v>24</v>
      </c>
      <c r="E408" s="7" t="s">
        <v>4447</v>
      </c>
    </row>
    <row r="409" spans="1:5">
      <c r="A409" s="4" t="s">
        <v>680</v>
      </c>
      <c r="B409" s="5" t="s">
        <v>679</v>
      </c>
      <c r="C409" s="6" t="s">
        <v>23</v>
      </c>
      <c r="D409" s="6" t="s">
        <v>24</v>
      </c>
      <c r="E409" s="7" t="s">
        <v>4448</v>
      </c>
    </row>
    <row r="410" spans="1:5">
      <c r="A410" s="4" t="s">
        <v>682</v>
      </c>
      <c r="B410" s="5" t="s">
        <v>681</v>
      </c>
      <c r="C410" s="6" t="s">
        <v>23</v>
      </c>
      <c r="D410" s="6" t="s">
        <v>24</v>
      </c>
      <c r="E410" s="7" t="s">
        <v>4447</v>
      </c>
    </row>
    <row r="411" spans="1:5">
      <c r="A411" s="4" t="s">
        <v>684</v>
      </c>
      <c r="B411" s="5" t="s">
        <v>683</v>
      </c>
      <c r="C411" s="6" t="s">
        <v>23</v>
      </c>
      <c r="D411" s="6" t="s">
        <v>24</v>
      </c>
      <c r="E411" s="7" t="s">
        <v>4448</v>
      </c>
    </row>
    <row r="412" spans="1:5">
      <c r="A412" s="4" t="s">
        <v>686</v>
      </c>
      <c r="B412" s="5" t="s">
        <v>685</v>
      </c>
      <c r="C412" s="6" t="s">
        <v>23</v>
      </c>
      <c r="D412" s="6" t="s">
        <v>24</v>
      </c>
      <c r="E412" s="7" t="s">
        <v>4450</v>
      </c>
    </row>
    <row r="413" spans="1:5">
      <c r="A413" s="4" t="s">
        <v>3598</v>
      </c>
      <c r="B413" s="5" t="s">
        <v>4375</v>
      </c>
      <c r="C413" s="6" t="s">
        <v>23</v>
      </c>
      <c r="D413" s="6" t="s">
        <v>4463</v>
      </c>
      <c r="E413" s="7" t="s">
        <v>4443</v>
      </c>
    </row>
    <row r="414" spans="1:5">
      <c r="A414" s="4" t="s">
        <v>3597</v>
      </c>
      <c r="B414" s="5" t="s">
        <v>4374</v>
      </c>
      <c r="C414" s="6" t="s">
        <v>23</v>
      </c>
      <c r="D414" s="6" t="s">
        <v>4463</v>
      </c>
      <c r="E414" s="7" t="s">
        <v>4443</v>
      </c>
    </row>
    <row r="415" spans="1:5">
      <c r="A415" s="4" t="s">
        <v>3596</v>
      </c>
      <c r="B415" s="5" t="s">
        <v>4373</v>
      </c>
      <c r="C415" s="6" t="s">
        <v>23</v>
      </c>
      <c r="D415" s="6" t="s">
        <v>4463</v>
      </c>
      <c r="E415" s="7" t="s">
        <v>4443</v>
      </c>
    </row>
    <row r="416" spans="1:5">
      <c r="A416" s="4" t="s">
        <v>688</v>
      </c>
      <c r="B416" s="5" t="s">
        <v>687</v>
      </c>
      <c r="C416" s="6" t="s">
        <v>23</v>
      </c>
      <c r="D416" s="6" t="s">
        <v>320</v>
      </c>
      <c r="E416" s="7" t="s">
        <v>4444</v>
      </c>
    </row>
    <row r="417" spans="1:5">
      <c r="A417" s="4" t="s">
        <v>690</v>
      </c>
      <c r="B417" s="5" t="s">
        <v>689</v>
      </c>
      <c r="C417" s="6" t="s">
        <v>23</v>
      </c>
      <c r="D417" s="6" t="s">
        <v>63</v>
      </c>
      <c r="E417" s="7" t="s">
        <v>98</v>
      </c>
    </row>
    <row r="418" spans="1:5">
      <c r="A418" s="4" t="s">
        <v>692</v>
      </c>
      <c r="B418" s="5" t="s">
        <v>691</v>
      </c>
      <c r="C418" s="6" t="s">
        <v>23</v>
      </c>
      <c r="D418" s="6" t="s">
        <v>63</v>
      </c>
      <c r="E418" s="7" t="s">
        <v>67</v>
      </c>
    </row>
    <row r="419" spans="1:5">
      <c r="A419" s="4" t="s">
        <v>694</v>
      </c>
      <c r="B419" s="5" t="s">
        <v>693</v>
      </c>
      <c r="C419" s="6" t="s">
        <v>23</v>
      </c>
      <c r="D419" s="6" t="s">
        <v>24</v>
      </c>
      <c r="E419" s="7" t="s">
        <v>4446</v>
      </c>
    </row>
    <row r="420" spans="1:5">
      <c r="A420" s="4" t="s">
        <v>696</v>
      </c>
      <c r="B420" s="5" t="s">
        <v>695</v>
      </c>
      <c r="C420" s="6" t="s">
        <v>23</v>
      </c>
      <c r="D420" s="6" t="s">
        <v>24</v>
      </c>
      <c r="E420" s="7" t="s">
        <v>4447</v>
      </c>
    </row>
    <row r="421" spans="1:5">
      <c r="A421" s="4" t="s">
        <v>698</v>
      </c>
      <c r="B421" s="5" t="s">
        <v>697</v>
      </c>
      <c r="C421" s="6" t="s">
        <v>23</v>
      </c>
      <c r="D421" s="6" t="s">
        <v>24</v>
      </c>
      <c r="E421" s="7" t="s">
        <v>4448</v>
      </c>
    </row>
    <row r="422" spans="1:5">
      <c r="A422" s="4" t="s">
        <v>700</v>
      </c>
      <c r="B422" s="5" t="s">
        <v>699</v>
      </c>
      <c r="C422" s="6" t="s">
        <v>23</v>
      </c>
      <c r="D422" s="6" t="s">
        <v>24</v>
      </c>
      <c r="E422" s="7" t="s">
        <v>4450</v>
      </c>
    </row>
    <row r="423" spans="1:5">
      <c r="A423" s="4" t="s">
        <v>702</v>
      </c>
      <c r="B423" s="5" t="s">
        <v>701</v>
      </c>
      <c r="C423" s="6" t="s">
        <v>23</v>
      </c>
      <c r="D423" s="6" t="s">
        <v>24</v>
      </c>
      <c r="E423" s="7" t="s">
        <v>4451</v>
      </c>
    </row>
    <row r="424" spans="1:5">
      <c r="A424" s="4" t="s">
        <v>704</v>
      </c>
      <c r="B424" s="5" t="s">
        <v>703</v>
      </c>
      <c r="C424" s="6" t="s">
        <v>23</v>
      </c>
      <c r="D424" s="6" t="s">
        <v>24</v>
      </c>
      <c r="E424" s="7" t="s">
        <v>4453</v>
      </c>
    </row>
    <row r="425" spans="1:5">
      <c r="A425" s="4" t="s">
        <v>706</v>
      </c>
      <c r="B425" s="5" t="s">
        <v>705</v>
      </c>
      <c r="C425" s="6" t="s">
        <v>23</v>
      </c>
      <c r="D425" s="6" t="s">
        <v>63</v>
      </c>
      <c r="E425" s="7" t="s">
        <v>98</v>
      </c>
    </row>
    <row r="426" spans="1:5">
      <c r="A426" s="4" t="s">
        <v>706</v>
      </c>
      <c r="B426" s="5" t="s">
        <v>4075</v>
      </c>
      <c r="C426" s="6" t="s">
        <v>23</v>
      </c>
      <c r="D426" s="6" t="s">
        <v>63</v>
      </c>
      <c r="E426" s="7" t="s">
        <v>98</v>
      </c>
    </row>
    <row r="427" spans="1:5">
      <c r="A427" s="4" t="s">
        <v>708</v>
      </c>
      <c r="B427" s="5" t="s">
        <v>707</v>
      </c>
      <c r="C427" s="6" t="s">
        <v>23</v>
      </c>
      <c r="D427" s="6" t="s">
        <v>63</v>
      </c>
      <c r="E427" s="7" t="s">
        <v>98</v>
      </c>
    </row>
    <row r="428" spans="1:5">
      <c r="A428" s="4" t="s">
        <v>3555</v>
      </c>
      <c r="B428" s="5" t="s">
        <v>4330</v>
      </c>
      <c r="C428" s="6" t="s">
        <v>23</v>
      </c>
      <c r="D428" s="6" t="s">
        <v>4445</v>
      </c>
      <c r="E428" s="7" t="s">
        <v>4443</v>
      </c>
    </row>
    <row r="429" spans="1:5">
      <c r="A429" s="4" t="s">
        <v>710</v>
      </c>
      <c r="B429" s="5" t="s">
        <v>709</v>
      </c>
      <c r="C429" s="6" t="s">
        <v>23</v>
      </c>
      <c r="D429" s="6" t="s">
        <v>63</v>
      </c>
      <c r="E429" s="7" t="s">
        <v>98</v>
      </c>
    </row>
    <row r="430" spans="1:5">
      <c r="A430" s="4" t="s">
        <v>4511</v>
      </c>
      <c r="B430" s="5" t="s">
        <v>4512</v>
      </c>
      <c r="C430" s="6" t="s">
        <v>23</v>
      </c>
      <c r="D430" s="6" t="s">
        <v>24</v>
      </c>
      <c r="E430" s="7" t="s">
        <v>4448</v>
      </c>
    </row>
    <row r="431" spans="1:5">
      <c r="A431" s="4" t="s">
        <v>712</v>
      </c>
      <c r="B431" s="5" t="s">
        <v>711</v>
      </c>
      <c r="C431" s="6" t="s">
        <v>23</v>
      </c>
      <c r="D431" s="6" t="s">
        <v>63</v>
      </c>
      <c r="E431" s="7" t="s">
        <v>86</v>
      </c>
    </row>
    <row r="432" spans="1:5">
      <c r="A432" s="4" t="s">
        <v>714</v>
      </c>
      <c r="B432" s="5" t="s">
        <v>713</v>
      </c>
      <c r="C432" s="6" t="s">
        <v>23</v>
      </c>
      <c r="D432" s="6" t="s">
        <v>63</v>
      </c>
      <c r="E432" s="7" t="s">
        <v>89</v>
      </c>
    </row>
    <row r="433" spans="1:5">
      <c r="A433" s="4" t="s">
        <v>716</v>
      </c>
      <c r="B433" s="5" t="s">
        <v>715</v>
      </c>
      <c r="C433" s="6" t="s">
        <v>23</v>
      </c>
      <c r="D433" s="6" t="s">
        <v>63</v>
      </c>
      <c r="E433" s="7" t="s">
        <v>92</v>
      </c>
    </row>
    <row r="434" spans="1:5">
      <c r="A434" s="4" t="s">
        <v>718</v>
      </c>
      <c r="B434" s="5" t="s">
        <v>717</v>
      </c>
      <c r="C434" s="6" t="s">
        <v>23</v>
      </c>
      <c r="D434" s="6" t="s">
        <v>63</v>
      </c>
      <c r="E434" s="7" t="s">
        <v>67</v>
      </c>
    </row>
    <row r="435" spans="1:5">
      <c r="A435" s="4" t="s">
        <v>720</v>
      </c>
      <c r="B435" s="5" t="s">
        <v>719</v>
      </c>
      <c r="C435" s="6" t="s">
        <v>23</v>
      </c>
      <c r="D435" s="6" t="s">
        <v>63</v>
      </c>
      <c r="E435" s="7" t="s">
        <v>287</v>
      </c>
    </row>
    <row r="436" spans="1:5">
      <c r="A436" s="4" t="s">
        <v>722</v>
      </c>
      <c r="B436" s="5" t="s">
        <v>721</v>
      </c>
      <c r="C436" s="6" t="s">
        <v>23</v>
      </c>
      <c r="D436" s="6" t="s">
        <v>63</v>
      </c>
      <c r="E436" s="7" t="s">
        <v>425</v>
      </c>
    </row>
    <row r="437" spans="1:5">
      <c r="A437" s="4" t="s">
        <v>724</v>
      </c>
      <c r="B437" s="5" t="s">
        <v>723</v>
      </c>
      <c r="C437" s="6" t="s">
        <v>23</v>
      </c>
      <c r="D437" s="6" t="s">
        <v>63</v>
      </c>
      <c r="E437" s="7" t="s">
        <v>92</v>
      </c>
    </row>
    <row r="438" spans="1:5">
      <c r="A438" s="4" t="s">
        <v>726</v>
      </c>
      <c r="B438" s="5" t="s">
        <v>725</v>
      </c>
      <c r="C438" s="6" t="s">
        <v>23</v>
      </c>
      <c r="D438" s="6" t="s">
        <v>63</v>
      </c>
      <c r="E438" s="7" t="s">
        <v>4458</v>
      </c>
    </row>
    <row r="439" spans="1:5">
      <c r="A439" s="4" t="s">
        <v>728</v>
      </c>
      <c r="B439" s="5" t="s">
        <v>727</v>
      </c>
      <c r="C439" s="6" t="s">
        <v>23</v>
      </c>
      <c r="D439" s="6" t="s">
        <v>63</v>
      </c>
      <c r="E439" s="7" t="s">
        <v>4461</v>
      </c>
    </row>
    <row r="440" spans="1:5">
      <c r="A440" s="4" t="s">
        <v>730</v>
      </c>
      <c r="B440" s="5" t="s">
        <v>729</v>
      </c>
      <c r="C440" s="6" t="s">
        <v>23</v>
      </c>
      <c r="D440" s="6" t="s">
        <v>63</v>
      </c>
      <c r="E440" s="7" t="s">
        <v>4460</v>
      </c>
    </row>
    <row r="441" spans="1:5">
      <c r="A441" s="4" t="s">
        <v>732</v>
      </c>
      <c r="B441" s="5" t="s">
        <v>731</v>
      </c>
      <c r="C441" s="6" t="s">
        <v>23</v>
      </c>
      <c r="D441" s="6" t="s">
        <v>63</v>
      </c>
      <c r="E441" s="7" t="s">
        <v>572</v>
      </c>
    </row>
    <row r="442" spans="1:5">
      <c r="A442" s="4" t="s">
        <v>734</v>
      </c>
      <c r="B442" s="5" t="s">
        <v>733</v>
      </c>
      <c r="C442" s="6" t="s">
        <v>23</v>
      </c>
      <c r="D442" s="6" t="s">
        <v>63</v>
      </c>
      <c r="E442" s="7" t="s">
        <v>95</v>
      </c>
    </row>
    <row r="443" spans="1:5">
      <c r="A443" s="4" t="s">
        <v>3342</v>
      </c>
      <c r="B443" s="5" t="s">
        <v>4112</v>
      </c>
      <c r="C443" s="6" t="s">
        <v>23</v>
      </c>
      <c r="D443" s="6" t="s">
        <v>4445</v>
      </c>
      <c r="E443" s="7" t="s">
        <v>4443</v>
      </c>
    </row>
    <row r="444" spans="1:5">
      <c r="A444" s="11" t="s">
        <v>3115</v>
      </c>
      <c r="B444" s="5" t="s">
        <v>3885</v>
      </c>
      <c r="C444" s="12" t="s">
        <v>23</v>
      </c>
      <c r="D444" s="12" t="s">
        <v>4445</v>
      </c>
      <c r="E444" s="7" t="s">
        <v>4443</v>
      </c>
    </row>
    <row r="445" spans="1:5">
      <c r="A445" s="4" t="s">
        <v>3116</v>
      </c>
      <c r="B445" s="5" t="s">
        <v>3886</v>
      </c>
      <c r="C445" s="6" t="s">
        <v>23</v>
      </c>
      <c r="D445" s="6" t="s">
        <v>4445</v>
      </c>
      <c r="E445" s="7" t="s">
        <v>4443</v>
      </c>
    </row>
    <row r="446" spans="1:5">
      <c r="A446" s="4" t="s">
        <v>3117</v>
      </c>
      <c r="B446" s="5" t="s">
        <v>3887</v>
      </c>
      <c r="C446" s="6" t="s">
        <v>23</v>
      </c>
      <c r="D446" s="6" t="s">
        <v>4445</v>
      </c>
      <c r="E446" s="7" t="s">
        <v>4443</v>
      </c>
    </row>
    <row r="447" spans="1:5">
      <c r="A447" s="11" t="s">
        <v>3118</v>
      </c>
      <c r="B447" s="5" t="s">
        <v>3888</v>
      </c>
      <c r="C447" s="12" t="s">
        <v>23</v>
      </c>
      <c r="D447" s="12" t="s">
        <v>4445</v>
      </c>
      <c r="E447" s="7" t="s">
        <v>4443</v>
      </c>
    </row>
    <row r="448" spans="1:5">
      <c r="A448" s="11" t="s">
        <v>3119</v>
      </c>
      <c r="B448" s="5" t="s">
        <v>3889</v>
      </c>
      <c r="C448" s="12" t="s">
        <v>23</v>
      </c>
      <c r="D448" s="12" t="s">
        <v>4445</v>
      </c>
      <c r="E448" s="7" t="s">
        <v>4443</v>
      </c>
    </row>
    <row r="449" spans="1:5">
      <c r="A449" s="4" t="s">
        <v>3120</v>
      </c>
      <c r="B449" s="5" t="s">
        <v>3890</v>
      </c>
      <c r="C449" s="6" t="s">
        <v>23</v>
      </c>
      <c r="D449" s="6" t="s">
        <v>4445</v>
      </c>
      <c r="E449" s="7" t="s">
        <v>4443</v>
      </c>
    </row>
    <row r="450" spans="1:5">
      <c r="A450" s="11" t="s">
        <v>3121</v>
      </c>
      <c r="B450" s="5" t="s">
        <v>3891</v>
      </c>
      <c r="C450" s="12" t="s">
        <v>23</v>
      </c>
      <c r="D450" s="12" t="s">
        <v>4445</v>
      </c>
      <c r="E450" s="7" t="s">
        <v>4443</v>
      </c>
    </row>
    <row r="451" spans="1:5">
      <c r="A451" s="11" t="s">
        <v>3087</v>
      </c>
      <c r="B451" s="5" t="s">
        <v>3856</v>
      </c>
      <c r="C451" s="12" t="s">
        <v>23</v>
      </c>
      <c r="D451" s="12" t="s">
        <v>4445</v>
      </c>
      <c r="E451" s="7" t="s">
        <v>4443</v>
      </c>
    </row>
    <row r="452" spans="1:5">
      <c r="A452" s="4" t="s">
        <v>739</v>
      </c>
      <c r="B452" s="5" t="s">
        <v>738</v>
      </c>
      <c r="C452" s="6" t="s">
        <v>23</v>
      </c>
      <c r="D452" s="6" t="s">
        <v>320</v>
      </c>
      <c r="E452" s="7" t="s">
        <v>4444</v>
      </c>
    </row>
    <row r="453" spans="1:5">
      <c r="A453" s="4" t="s">
        <v>741</v>
      </c>
      <c r="B453" s="5" t="s">
        <v>740</v>
      </c>
      <c r="C453" s="6" t="s">
        <v>23</v>
      </c>
      <c r="D453" s="6" t="s">
        <v>320</v>
      </c>
      <c r="E453" s="7" t="s">
        <v>4444</v>
      </c>
    </row>
    <row r="454" spans="1:5">
      <c r="A454" s="4" t="s">
        <v>744</v>
      </c>
      <c r="B454" s="5" t="s">
        <v>743</v>
      </c>
      <c r="C454" s="6" t="s">
        <v>23</v>
      </c>
      <c r="D454" s="6" t="s">
        <v>24</v>
      </c>
      <c r="E454" s="7" t="s">
        <v>4449</v>
      </c>
    </row>
    <row r="455" spans="1:5">
      <c r="A455" s="4" t="s">
        <v>3129</v>
      </c>
      <c r="B455" s="5" t="s">
        <v>3899</v>
      </c>
      <c r="C455" s="6" t="s">
        <v>23</v>
      </c>
      <c r="D455" s="6" t="s">
        <v>4445</v>
      </c>
      <c r="E455" s="7" t="s">
        <v>4443</v>
      </c>
    </row>
    <row r="456" spans="1:5">
      <c r="A456" s="4" t="s">
        <v>3130</v>
      </c>
      <c r="B456" s="5" t="s">
        <v>3900</v>
      </c>
      <c r="C456" s="6" t="s">
        <v>23</v>
      </c>
      <c r="D456" s="6" t="s">
        <v>4445</v>
      </c>
      <c r="E456" s="7" t="s">
        <v>4443</v>
      </c>
    </row>
    <row r="457" spans="1:5">
      <c r="A457" s="4" t="s">
        <v>3131</v>
      </c>
      <c r="B457" s="5" t="s">
        <v>3901</v>
      </c>
      <c r="C457" s="6" t="s">
        <v>23</v>
      </c>
      <c r="D457" s="6" t="s">
        <v>4445</v>
      </c>
      <c r="E457" s="7" t="s">
        <v>4443</v>
      </c>
    </row>
    <row r="458" spans="1:5">
      <c r="A458" s="4" t="s">
        <v>3132</v>
      </c>
      <c r="B458" s="5" t="s">
        <v>3902</v>
      </c>
      <c r="C458" s="6" t="s">
        <v>23</v>
      </c>
      <c r="D458" s="6" t="s">
        <v>4445</v>
      </c>
      <c r="E458" s="7" t="s">
        <v>4443</v>
      </c>
    </row>
    <row r="459" spans="1:5">
      <c r="A459" s="11" t="s">
        <v>3133</v>
      </c>
      <c r="B459" s="5" t="s">
        <v>3903</v>
      </c>
      <c r="C459" s="12" t="s">
        <v>23</v>
      </c>
      <c r="D459" s="12" t="s">
        <v>4445</v>
      </c>
      <c r="E459" s="7" t="s">
        <v>4443</v>
      </c>
    </row>
    <row r="460" spans="1:5">
      <c r="A460" s="11" t="s">
        <v>3545</v>
      </c>
      <c r="B460" s="5" t="s">
        <v>4319</v>
      </c>
      <c r="C460" s="12" t="s">
        <v>23</v>
      </c>
      <c r="D460" s="12" t="s">
        <v>4445</v>
      </c>
      <c r="E460" s="7" t="s">
        <v>4443</v>
      </c>
    </row>
    <row r="461" spans="1:5">
      <c r="A461" s="11" t="s">
        <v>3134</v>
      </c>
      <c r="B461" s="5" t="s">
        <v>3904</v>
      </c>
      <c r="C461" s="12" t="s">
        <v>23</v>
      </c>
      <c r="D461" s="12" t="s">
        <v>4445</v>
      </c>
      <c r="E461" s="7" t="s">
        <v>4443</v>
      </c>
    </row>
    <row r="462" spans="1:5">
      <c r="A462" s="11" t="s">
        <v>3135</v>
      </c>
      <c r="B462" s="5" t="s">
        <v>3905</v>
      </c>
      <c r="C462" s="12" t="s">
        <v>23</v>
      </c>
      <c r="D462" s="12" t="s">
        <v>4445</v>
      </c>
      <c r="E462" s="7" t="s">
        <v>4443</v>
      </c>
    </row>
    <row r="463" spans="1:5">
      <c r="A463" s="4" t="s">
        <v>746</v>
      </c>
      <c r="B463" s="5" t="s">
        <v>745</v>
      </c>
      <c r="C463" s="6" t="s">
        <v>23</v>
      </c>
      <c r="D463" s="6" t="s">
        <v>320</v>
      </c>
      <c r="E463" s="7" t="s">
        <v>4444</v>
      </c>
    </row>
    <row r="464" spans="1:5">
      <c r="A464" s="4" t="s">
        <v>3122</v>
      </c>
      <c r="B464" s="5" t="s">
        <v>3892</v>
      </c>
      <c r="C464" s="6" t="s">
        <v>23</v>
      </c>
      <c r="D464" s="6" t="s">
        <v>4445</v>
      </c>
      <c r="E464" s="7" t="s">
        <v>4443</v>
      </c>
    </row>
    <row r="465" spans="1:5">
      <c r="A465" s="4" t="s">
        <v>3123</v>
      </c>
      <c r="B465" s="5" t="s">
        <v>3893</v>
      </c>
      <c r="C465" s="6" t="s">
        <v>23</v>
      </c>
      <c r="D465" s="6" t="s">
        <v>4445</v>
      </c>
      <c r="E465" s="7" t="s">
        <v>4443</v>
      </c>
    </row>
    <row r="466" spans="1:5">
      <c r="A466" s="4" t="s">
        <v>3124</v>
      </c>
      <c r="B466" s="5" t="s">
        <v>3894</v>
      </c>
      <c r="C466" s="6" t="s">
        <v>23</v>
      </c>
      <c r="D466" s="6" t="s">
        <v>4445</v>
      </c>
      <c r="E466" s="7" t="s">
        <v>4443</v>
      </c>
    </row>
    <row r="467" spans="1:5">
      <c r="A467" s="4" t="s">
        <v>3291</v>
      </c>
      <c r="B467" s="5" t="s">
        <v>4061</v>
      </c>
      <c r="C467" s="6" t="s">
        <v>23</v>
      </c>
      <c r="D467" s="6" t="s">
        <v>4445</v>
      </c>
      <c r="E467" s="7" t="s">
        <v>4443</v>
      </c>
    </row>
    <row r="468" spans="1:5">
      <c r="A468" s="11" t="s">
        <v>3125</v>
      </c>
      <c r="B468" s="5" t="s">
        <v>3895</v>
      </c>
      <c r="C468" s="12" t="s">
        <v>23</v>
      </c>
      <c r="D468" s="12" t="s">
        <v>4445</v>
      </c>
      <c r="E468" s="7" t="s">
        <v>4443</v>
      </c>
    </row>
    <row r="469" spans="1:5">
      <c r="A469" s="11" t="s">
        <v>748</v>
      </c>
      <c r="B469" s="5" t="s">
        <v>747</v>
      </c>
      <c r="C469" s="12" t="s">
        <v>23</v>
      </c>
      <c r="D469" s="12" t="s">
        <v>24</v>
      </c>
      <c r="E469" s="7" t="s">
        <v>4456</v>
      </c>
    </row>
    <row r="470" spans="1:5">
      <c r="A470" s="11" t="s">
        <v>750</v>
      </c>
      <c r="B470" s="5" t="s">
        <v>749</v>
      </c>
      <c r="C470" s="12" t="s">
        <v>23</v>
      </c>
      <c r="D470" s="12" t="s">
        <v>24</v>
      </c>
      <c r="E470" s="7" t="s">
        <v>4449</v>
      </c>
    </row>
    <row r="471" spans="1:5">
      <c r="A471" s="11" t="s">
        <v>3126</v>
      </c>
      <c r="B471" s="5" t="s">
        <v>3896</v>
      </c>
      <c r="C471" s="12" t="s">
        <v>23</v>
      </c>
      <c r="D471" s="12" t="s">
        <v>4445</v>
      </c>
      <c r="E471" s="7" t="s">
        <v>4443</v>
      </c>
    </row>
    <row r="472" spans="1:5">
      <c r="A472" s="11" t="s">
        <v>3127</v>
      </c>
      <c r="B472" s="5" t="s">
        <v>3897</v>
      </c>
      <c r="C472" s="12" t="s">
        <v>23</v>
      </c>
      <c r="D472" s="12" t="s">
        <v>4445</v>
      </c>
      <c r="E472" s="7" t="s">
        <v>4443</v>
      </c>
    </row>
    <row r="473" spans="1:5">
      <c r="A473" s="4" t="s">
        <v>3136</v>
      </c>
      <c r="B473" s="5" t="s">
        <v>3906</v>
      </c>
      <c r="C473" s="12" t="s">
        <v>23</v>
      </c>
      <c r="D473" s="12" t="s">
        <v>4445</v>
      </c>
      <c r="E473" s="7" t="s">
        <v>4443</v>
      </c>
    </row>
    <row r="474" spans="1:5">
      <c r="A474" s="4" t="s">
        <v>3290</v>
      </c>
      <c r="B474" s="5" t="s">
        <v>4060</v>
      </c>
      <c r="C474" s="6" t="s">
        <v>23</v>
      </c>
      <c r="D474" s="6" t="s">
        <v>4445</v>
      </c>
      <c r="E474" s="7" t="s">
        <v>4443</v>
      </c>
    </row>
    <row r="475" spans="1:5">
      <c r="A475" s="11" t="s">
        <v>3289</v>
      </c>
      <c r="B475" s="5" t="s">
        <v>4059</v>
      </c>
      <c r="C475" s="12" t="s">
        <v>23</v>
      </c>
      <c r="D475" s="12" t="s">
        <v>4445</v>
      </c>
      <c r="E475" s="7" t="s">
        <v>4443</v>
      </c>
    </row>
    <row r="476" spans="1:5">
      <c r="A476" s="11" t="s">
        <v>3244</v>
      </c>
      <c r="B476" s="5" t="s">
        <v>4014</v>
      </c>
      <c r="C476" s="12" t="s">
        <v>23</v>
      </c>
      <c r="D476" s="12" t="s">
        <v>4445</v>
      </c>
      <c r="E476" s="7" t="s">
        <v>4443</v>
      </c>
    </row>
    <row r="477" spans="1:5">
      <c r="A477" s="4" t="s">
        <v>3128</v>
      </c>
      <c r="B477" s="5" t="s">
        <v>3898</v>
      </c>
      <c r="C477" s="6" t="s">
        <v>23</v>
      </c>
      <c r="D477" s="6" t="s">
        <v>4445</v>
      </c>
      <c r="E477" s="7" t="s">
        <v>4443</v>
      </c>
    </row>
    <row r="478" spans="1:5">
      <c r="A478" s="4" t="s">
        <v>3292</v>
      </c>
      <c r="B478" s="5" t="s">
        <v>4062</v>
      </c>
      <c r="C478" s="6" t="s">
        <v>23</v>
      </c>
      <c r="D478" s="6" t="s">
        <v>4445</v>
      </c>
      <c r="E478" s="7" t="s">
        <v>4443</v>
      </c>
    </row>
    <row r="479" spans="1:5">
      <c r="A479" s="4" t="s">
        <v>752</v>
      </c>
      <c r="B479" s="5" t="s">
        <v>751</v>
      </c>
      <c r="C479" s="6" t="s">
        <v>23</v>
      </c>
      <c r="D479" s="6" t="s">
        <v>320</v>
      </c>
      <c r="E479" s="7" t="s">
        <v>4444</v>
      </c>
    </row>
    <row r="480" spans="1:5">
      <c r="A480" s="4" t="s">
        <v>752</v>
      </c>
      <c r="B480" s="5" t="s">
        <v>4323</v>
      </c>
      <c r="C480" s="6" t="s">
        <v>23</v>
      </c>
      <c r="D480" s="6" t="s">
        <v>4445</v>
      </c>
      <c r="E480" s="7" t="s">
        <v>4443</v>
      </c>
    </row>
    <row r="481" spans="1:5">
      <c r="A481" s="11" t="s">
        <v>754</v>
      </c>
      <c r="B481" s="5" t="s">
        <v>753</v>
      </c>
      <c r="C481" s="12" t="s">
        <v>23</v>
      </c>
      <c r="D481" s="12" t="s">
        <v>320</v>
      </c>
      <c r="E481" s="7" t="s">
        <v>4444</v>
      </c>
    </row>
    <row r="482" spans="1:5">
      <c r="A482" s="11" t="s">
        <v>760</v>
      </c>
      <c r="B482" s="5" t="s">
        <v>759</v>
      </c>
      <c r="C482" s="12" t="s">
        <v>23</v>
      </c>
      <c r="D482" s="12" t="s">
        <v>320</v>
      </c>
      <c r="E482" s="7" t="s">
        <v>4444</v>
      </c>
    </row>
    <row r="483" spans="1:5">
      <c r="A483" s="4" t="s">
        <v>762</v>
      </c>
      <c r="B483" s="5" t="s">
        <v>761</v>
      </c>
      <c r="C483" s="6" t="s">
        <v>23</v>
      </c>
      <c r="D483" s="6" t="s">
        <v>63</v>
      </c>
      <c r="E483" s="7" t="s">
        <v>64</v>
      </c>
    </row>
    <row r="484" spans="1:5">
      <c r="A484" s="4" t="s">
        <v>4513</v>
      </c>
      <c r="B484" s="5" t="s">
        <v>736</v>
      </c>
      <c r="C484" s="6" t="s">
        <v>23</v>
      </c>
      <c r="D484" s="6" t="s">
        <v>24</v>
      </c>
      <c r="E484" s="7" t="s">
        <v>4446</v>
      </c>
    </row>
    <row r="485" spans="1:5">
      <c r="A485" s="4" t="s">
        <v>4514</v>
      </c>
      <c r="B485" s="5" t="s">
        <v>735</v>
      </c>
      <c r="C485" s="6" t="s">
        <v>23</v>
      </c>
      <c r="D485" s="6" t="s">
        <v>24</v>
      </c>
      <c r="E485" s="7" t="s">
        <v>4447</v>
      </c>
    </row>
    <row r="486" spans="1:5">
      <c r="A486" s="4" t="s">
        <v>4515</v>
      </c>
      <c r="B486" s="5" t="s">
        <v>737</v>
      </c>
      <c r="C486" s="6" t="s">
        <v>23</v>
      </c>
      <c r="D486" s="6" t="s">
        <v>24</v>
      </c>
      <c r="E486" s="7" t="s">
        <v>4448</v>
      </c>
    </row>
    <row r="487" spans="1:5">
      <c r="A487" s="4" t="s">
        <v>764</v>
      </c>
      <c r="B487" s="5" t="s">
        <v>763</v>
      </c>
      <c r="C487" s="6" t="s">
        <v>23</v>
      </c>
      <c r="D487" s="6" t="s">
        <v>24</v>
      </c>
      <c r="E487" s="7" t="s">
        <v>4447</v>
      </c>
    </row>
    <row r="488" spans="1:5">
      <c r="A488" s="4" t="s">
        <v>4516</v>
      </c>
      <c r="B488" s="5" t="s">
        <v>755</v>
      </c>
      <c r="C488" s="6" t="s">
        <v>23</v>
      </c>
      <c r="D488" s="6" t="s">
        <v>24</v>
      </c>
      <c r="E488" s="7" t="s">
        <v>4448</v>
      </c>
    </row>
    <row r="489" spans="1:5">
      <c r="A489" s="4" t="s">
        <v>4517</v>
      </c>
      <c r="B489" s="5" t="s">
        <v>756</v>
      </c>
      <c r="C489" s="6" t="s">
        <v>23</v>
      </c>
      <c r="D489" s="6" t="s">
        <v>24</v>
      </c>
      <c r="E489" s="7" t="s">
        <v>4450</v>
      </c>
    </row>
    <row r="490" spans="1:5">
      <c r="A490" s="4" t="s">
        <v>4518</v>
      </c>
      <c r="B490" s="5" t="s">
        <v>758</v>
      </c>
      <c r="C490" s="6" t="s">
        <v>23</v>
      </c>
      <c r="D490" s="6" t="s">
        <v>24</v>
      </c>
      <c r="E490" s="7" t="s">
        <v>4448</v>
      </c>
    </row>
    <row r="491" spans="1:5">
      <c r="A491" s="4" t="s">
        <v>4519</v>
      </c>
      <c r="B491" s="5" t="s">
        <v>765</v>
      </c>
      <c r="C491" s="6" t="s">
        <v>23</v>
      </c>
      <c r="D491" s="6" t="s">
        <v>24</v>
      </c>
      <c r="E491" s="7" t="s">
        <v>4450</v>
      </c>
    </row>
    <row r="492" spans="1:5">
      <c r="A492" s="4" t="s">
        <v>767</v>
      </c>
      <c r="B492" s="5" t="s">
        <v>766</v>
      </c>
      <c r="C492" s="6" t="s">
        <v>23</v>
      </c>
      <c r="D492" s="6" t="s">
        <v>24</v>
      </c>
      <c r="E492" s="7" t="s">
        <v>4448</v>
      </c>
    </row>
    <row r="493" spans="1:5">
      <c r="A493" s="4" t="s">
        <v>769</v>
      </c>
      <c r="B493" s="5" t="s">
        <v>768</v>
      </c>
      <c r="C493" s="6" t="s">
        <v>23</v>
      </c>
      <c r="D493" s="6" t="s">
        <v>63</v>
      </c>
      <c r="E493" s="7" t="s">
        <v>287</v>
      </c>
    </row>
    <row r="494" spans="1:5">
      <c r="A494" s="4" t="s">
        <v>771</v>
      </c>
      <c r="B494" s="5" t="s">
        <v>770</v>
      </c>
      <c r="C494" s="6" t="s">
        <v>23</v>
      </c>
      <c r="D494" s="6" t="s">
        <v>24</v>
      </c>
      <c r="E494" s="7" t="s">
        <v>4454</v>
      </c>
    </row>
    <row r="495" spans="1:5">
      <c r="A495" s="4" t="s">
        <v>773</v>
      </c>
      <c r="B495" s="5" t="s">
        <v>772</v>
      </c>
      <c r="C495" s="6" t="s">
        <v>23</v>
      </c>
      <c r="D495" s="6" t="s">
        <v>24</v>
      </c>
      <c r="E495" s="7" t="s">
        <v>4452</v>
      </c>
    </row>
    <row r="496" spans="1:5">
      <c r="A496" s="4" t="s">
        <v>775</v>
      </c>
      <c r="B496" s="5" t="s">
        <v>774</v>
      </c>
      <c r="C496" s="6" t="s">
        <v>23</v>
      </c>
      <c r="D496" s="6" t="s">
        <v>320</v>
      </c>
      <c r="E496" s="7" t="s">
        <v>4444</v>
      </c>
    </row>
    <row r="497" spans="1:5">
      <c r="A497" s="4" t="s">
        <v>4520</v>
      </c>
      <c r="B497" s="5" t="s">
        <v>742</v>
      </c>
      <c r="C497" s="6" t="s">
        <v>23</v>
      </c>
      <c r="D497" s="6" t="s">
        <v>24</v>
      </c>
      <c r="E497" s="7" t="s">
        <v>4455</v>
      </c>
    </row>
    <row r="498" spans="1:5">
      <c r="A498" s="4" t="s">
        <v>777</v>
      </c>
      <c r="B498" s="5" t="s">
        <v>776</v>
      </c>
      <c r="C498" s="6" t="s">
        <v>23</v>
      </c>
      <c r="D498" s="6" t="s">
        <v>24</v>
      </c>
      <c r="E498" s="7" t="s">
        <v>4448</v>
      </c>
    </row>
    <row r="499" spans="1:5">
      <c r="A499" s="4" t="s">
        <v>779</v>
      </c>
      <c r="B499" s="5" t="s">
        <v>778</v>
      </c>
      <c r="C499" s="6" t="s">
        <v>23</v>
      </c>
      <c r="D499" s="6" t="s">
        <v>320</v>
      </c>
      <c r="E499" s="7" t="s">
        <v>4444</v>
      </c>
    </row>
    <row r="500" spans="1:5">
      <c r="A500" s="4" t="s">
        <v>781</v>
      </c>
      <c r="B500" s="5" t="s">
        <v>780</v>
      </c>
      <c r="C500" s="6" t="s">
        <v>23</v>
      </c>
      <c r="D500" s="6" t="s">
        <v>63</v>
      </c>
      <c r="E500" s="7" t="s">
        <v>95</v>
      </c>
    </row>
    <row r="501" spans="1:5">
      <c r="A501" s="4" t="s">
        <v>783</v>
      </c>
      <c r="B501" s="5" t="s">
        <v>782</v>
      </c>
      <c r="C501" s="6" t="s">
        <v>23</v>
      </c>
      <c r="D501" s="6" t="s">
        <v>63</v>
      </c>
      <c r="E501" s="7" t="s">
        <v>4458</v>
      </c>
    </row>
    <row r="502" spans="1:5">
      <c r="A502" s="4" t="s">
        <v>785</v>
      </c>
      <c r="B502" s="5" t="s">
        <v>784</v>
      </c>
      <c r="C502" s="6" t="s">
        <v>23</v>
      </c>
      <c r="D502" s="6" t="s">
        <v>24</v>
      </c>
      <c r="E502" s="7" t="s">
        <v>4449</v>
      </c>
    </row>
    <row r="503" spans="1:5">
      <c r="A503" s="4" t="s">
        <v>787</v>
      </c>
      <c r="B503" s="5" t="s">
        <v>786</v>
      </c>
      <c r="C503" s="6" t="s">
        <v>23</v>
      </c>
      <c r="D503" s="6" t="s">
        <v>63</v>
      </c>
      <c r="E503" s="7" t="s">
        <v>86</v>
      </c>
    </row>
    <row r="504" spans="1:5">
      <c r="A504" s="4" t="s">
        <v>3086</v>
      </c>
      <c r="B504" s="5" t="s">
        <v>3855</v>
      </c>
      <c r="C504" s="6" t="s">
        <v>23</v>
      </c>
      <c r="D504" s="6" t="s">
        <v>320</v>
      </c>
      <c r="E504" s="7" t="s">
        <v>4444</v>
      </c>
    </row>
    <row r="505" spans="1:5">
      <c r="A505" s="4" t="s">
        <v>3618</v>
      </c>
      <c r="B505" s="5" t="s">
        <v>4395</v>
      </c>
      <c r="C505" s="6" t="s">
        <v>23</v>
      </c>
      <c r="D505" s="6" t="s">
        <v>24</v>
      </c>
      <c r="E505" s="7" t="s">
        <v>4454</v>
      </c>
    </row>
    <row r="506" spans="1:5">
      <c r="A506" s="4" t="s">
        <v>789</v>
      </c>
      <c r="B506" s="5" t="s">
        <v>788</v>
      </c>
      <c r="C506" s="6" t="s">
        <v>23</v>
      </c>
      <c r="D506" s="6" t="s">
        <v>24</v>
      </c>
      <c r="E506" s="7" t="s">
        <v>4454</v>
      </c>
    </row>
    <row r="507" spans="1:5">
      <c r="A507" s="4" t="s">
        <v>791</v>
      </c>
      <c r="B507" s="5" t="s">
        <v>790</v>
      </c>
      <c r="C507" s="6" t="s">
        <v>23</v>
      </c>
      <c r="D507" s="6" t="s">
        <v>24</v>
      </c>
      <c r="E507" s="7" t="s">
        <v>4452</v>
      </c>
    </row>
    <row r="508" spans="1:5">
      <c r="A508" s="4" t="s">
        <v>793</v>
      </c>
      <c r="B508" s="5" t="s">
        <v>792</v>
      </c>
      <c r="C508" s="6" t="s">
        <v>23</v>
      </c>
      <c r="D508" s="6" t="s">
        <v>63</v>
      </c>
      <c r="E508" s="7" t="s">
        <v>86</v>
      </c>
    </row>
    <row r="509" spans="1:5">
      <c r="A509" s="4" t="s">
        <v>795</v>
      </c>
      <c r="B509" s="5" t="s">
        <v>794</v>
      </c>
      <c r="C509" s="6" t="s">
        <v>23</v>
      </c>
      <c r="D509" s="6" t="s">
        <v>24</v>
      </c>
      <c r="E509" s="7" t="s">
        <v>4448</v>
      </c>
    </row>
    <row r="510" spans="1:5">
      <c r="A510" s="4" t="s">
        <v>797</v>
      </c>
      <c r="B510" s="8" t="s">
        <v>796</v>
      </c>
      <c r="C510" s="6" t="s">
        <v>23</v>
      </c>
      <c r="D510" s="6" t="s">
        <v>320</v>
      </c>
      <c r="E510" s="9" t="s">
        <v>4444</v>
      </c>
    </row>
    <row r="511" spans="1:5">
      <c r="A511" s="4" t="s">
        <v>799</v>
      </c>
      <c r="B511" s="5" t="s">
        <v>798</v>
      </c>
      <c r="C511" s="6" t="s">
        <v>23</v>
      </c>
      <c r="D511" s="6" t="s">
        <v>24</v>
      </c>
      <c r="E511" s="7" t="s">
        <v>4449</v>
      </c>
    </row>
    <row r="512" spans="1:5">
      <c r="A512" s="4" t="s">
        <v>801</v>
      </c>
      <c r="B512" s="5" t="s">
        <v>800</v>
      </c>
      <c r="C512" s="12" t="s">
        <v>23</v>
      </c>
      <c r="D512" s="12" t="s">
        <v>24</v>
      </c>
      <c r="E512" s="7" t="s">
        <v>4454</v>
      </c>
    </row>
    <row r="513" spans="1:5">
      <c r="A513" s="4" t="s">
        <v>4523</v>
      </c>
      <c r="B513" s="5" t="s">
        <v>757</v>
      </c>
      <c r="C513" s="6" t="s">
        <v>23</v>
      </c>
      <c r="D513" s="6" t="s">
        <v>24</v>
      </c>
      <c r="E513" s="7" t="s">
        <v>4451</v>
      </c>
    </row>
    <row r="514" spans="1:5">
      <c r="A514" s="4" t="s">
        <v>803</v>
      </c>
      <c r="B514" s="5" t="s">
        <v>802</v>
      </c>
      <c r="C514" s="6" t="s">
        <v>23</v>
      </c>
      <c r="D514" s="6" t="s">
        <v>320</v>
      </c>
      <c r="E514" s="7" t="s">
        <v>4444</v>
      </c>
    </row>
    <row r="515" spans="1:5">
      <c r="A515" s="11" t="s">
        <v>3343</v>
      </c>
      <c r="B515" s="5" t="s">
        <v>4113</v>
      </c>
      <c r="C515" s="12" t="s">
        <v>23</v>
      </c>
      <c r="D515" s="12" t="s">
        <v>4445</v>
      </c>
      <c r="E515" s="7" t="s">
        <v>4443</v>
      </c>
    </row>
    <row r="516" spans="1:5">
      <c r="A516" s="4" t="s">
        <v>3344</v>
      </c>
      <c r="B516" s="5" t="s">
        <v>4114</v>
      </c>
      <c r="C516" s="6" t="s">
        <v>23</v>
      </c>
      <c r="D516" s="6" t="s">
        <v>4445</v>
      </c>
      <c r="E516" s="7" t="s">
        <v>4443</v>
      </c>
    </row>
    <row r="517" spans="1:5">
      <c r="A517" s="4" t="s">
        <v>3572</v>
      </c>
      <c r="B517" s="5" t="s">
        <v>4348</v>
      </c>
      <c r="C517" s="6" t="s">
        <v>23</v>
      </c>
      <c r="D517" s="6" t="s">
        <v>4445</v>
      </c>
      <c r="E517" s="7" t="s">
        <v>4443</v>
      </c>
    </row>
    <row r="518" spans="1:5">
      <c r="A518" s="4" t="s">
        <v>4524</v>
      </c>
      <c r="B518" s="5" t="s">
        <v>4525</v>
      </c>
      <c r="C518" s="6" t="s">
        <v>23</v>
      </c>
      <c r="D518" s="6" t="s">
        <v>24</v>
      </c>
      <c r="E518" s="7" t="s">
        <v>4447</v>
      </c>
    </row>
    <row r="519" spans="1:5">
      <c r="A519" s="4" t="s">
        <v>805</v>
      </c>
      <c r="B519" s="5" t="s">
        <v>804</v>
      </c>
      <c r="C519" s="6" t="s">
        <v>23</v>
      </c>
      <c r="D519" s="6" t="s">
        <v>24</v>
      </c>
      <c r="E519" s="7" t="s">
        <v>4448</v>
      </c>
    </row>
    <row r="520" spans="1:5">
      <c r="A520" s="4" t="s">
        <v>807</v>
      </c>
      <c r="B520" s="5" t="s">
        <v>806</v>
      </c>
      <c r="C520" s="6" t="s">
        <v>23</v>
      </c>
      <c r="D520" s="6" t="s">
        <v>24</v>
      </c>
      <c r="E520" s="7" t="s">
        <v>4446</v>
      </c>
    </row>
    <row r="521" spans="1:5">
      <c r="A521" s="4" t="s">
        <v>809</v>
      </c>
      <c r="B521" s="5" t="s">
        <v>808</v>
      </c>
      <c r="C521" s="6" t="s">
        <v>23</v>
      </c>
      <c r="D521" s="6" t="s">
        <v>320</v>
      </c>
      <c r="E521" s="7" t="s">
        <v>4444</v>
      </c>
    </row>
    <row r="522" spans="1:5">
      <c r="A522" s="4" t="s">
        <v>3345</v>
      </c>
      <c r="B522" s="5" t="s">
        <v>4115</v>
      </c>
      <c r="C522" s="6" t="s">
        <v>23</v>
      </c>
      <c r="D522" s="6" t="s">
        <v>4445</v>
      </c>
      <c r="E522" s="7" t="s">
        <v>4443</v>
      </c>
    </row>
    <row r="523" spans="1:5">
      <c r="A523" s="4" t="s">
        <v>811</v>
      </c>
      <c r="B523" s="5" t="s">
        <v>810</v>
      </c>
      <c r="C523" s="6" t="s">
        <v>23</v>
      </c>
      <c r="D523" s="6" t="s">
        <v>63</v>
      </c>
      <c r="E523" s="7" t="s">
        <v>89</v>
      </c>
    </row>
    <row r="524" spans="1:5">
      <c r="A524" s="4" t="s">
        <v>813</v>
      </c>
      <c r="B524" s="5" t="s">
        <v>812</v>
      </c>
      <c r="C524" s="6" t="s">
        <v>23</v>
      </c>
      <c r="D524" s="6" t="s">
        <v>63</v>
      </c>
      <c r="E524" s="7" t="s">
        <v>92</v>
      </c>
    </row>
    <row r="525" spans="1:5">
      <c r="A525" s="4" t="s">
        <v>815</v>
      </c>
      <c r="B525" s="5" t="s">
        <v>814</v>
      </c>
      <c r="C525" s="6" t="s">
        <v>23</v>
      </c>
      <c r="D525" s="6" t="s">
        <v>63</v>
      </c>
      <c r="E525" s="7" t="s">
        <v>89</v>
      </c>
    </row>
    <row r="526" spans="1:5">
      <c r="A526" s="4" t="s">
        <v>817</v>
      </c>
      <c r="B526" s="5" t="s">
        <v>816</v>
      </c>
      <c r="C526" s="6" t="s">
        <v>23</v>
      </c>
      <c r="D526" s="6" t="s">
        <v>63</v>
      </c>
      <c r="E526" s="7" t="s">
        <v>92</v>
      </c>
    </row>
    <row r="527" spans="1:5">
      <c r="A527" s="4" t="s">
        <v>819</v>
      </c>
      <c r="B527" s="5" t="s">
        <v>818</v>
      </c>
      <c r="C527" s="6" t="s">
        <v>23</v>
      </c>
      <c r="D527" s="6" t="s">
        <v>63</v>
      </c>
      <c r="E527" s="7" t="s">
        <v>92</v>
      </c>
    </row>
    <row r="528" spans="1:5">
      <c r="A528" s="4" t="s">
        <v>821</v>
      </c>
      <c r="B528" s="5" t="s">
        <v>820</v>
      </c>
      <c r="C528" s="6" t="s">
        <v>23</v>
      </c>
      <c r="D528" s="6" t="s">
        <v>63</v>
      </c>
      <c r="E528" s="7" t="s">
        <v>98</v>
      </c>
    </row>
    <row r="529" spans="1:5">
      <c r="A529" s="11" t="s">
        <v>823</v>
      </c>
      <c r="B529" s="5" t="s">
        <v>822</v>
      </c>
      <c r="C529" s="12" t="s">
        <v>23</v>
      </c>
      <c r="D529" s="12" t="s">
        <v>320</v>
      </c>
      <c r="E529" s="7" t="s">
        <v>4444</v>
      </c>
    </row>
    <row r="530" spans="1:5">
      <c r="A530" s="4" t="s">
        <v>825</v>
      </c>
      <c r="B530" s="5" t="s">
        <v>824</v>
      </c>
      <c r="C530" s="6" t="s">
        <v>23</v>
      </c>
      <c r="D530" s="6" t="s">
        <v>63</v>
      </c>
      <c r="E530" s="7" t="s">
        <v>98</v>
      </c>
    </row>
    <row r="531" spans="1:5">
      <c r="A531" s="4" t="s">
        <v>827</v>
      </c>
      <c r="B531" s="5" t="s">
        <v>826</v>
      </c>
      <c r="C531" s="6" t="s">
        <v>23</v>
      </c>
      <c r="D531" s="6" t="s">
        <v>63</v>
      </c>
      <c r="E531" s="7" t="s">
        <v>98</v>
      </c>
    </row>
    <row r="532" spans="1:5">
      <c r="A532" s="4" t="s">
        <v>829</v>
      </c>
      <c r="B532" s="5" t="s">
        <v>828</v>
      </c>
      <c r="C532" s="6" t="s">
        <v>23</v>
      </c>
      <c r="D532" s="6" t="s">
        <v>63</v>
      </c>
      <c r="E532" s="7" t="s">
        <v>98</v>
      </c>
    </row>
    <row r="533" spans="1:5">
      <c r="A533" s="4" t="s">
        <v>831</v>
      </c>
      <c r="B533" s="5" t="s">
        <v>830</v>
      </c>
      <c r="C533" s="6" t="s">
        <v>23</v>
      </c>
      <c r="D533" s="6" t="s">
        <v>561</v>
      </c>
      <c r="E533" s="7" t="s">
        <v>4443</v>
      </c>
    </row>
    <row r="534" spans="1:5">
      <c r="A534" s="4" t="s">
        <v>833</v>
      </c>
      <c r="B534" s="5" t="s">
        <v>832</v>
      </c>
      <c r="C534" s="6" t="s">
        <v>23</v>
      </c>
      <c r="D534" s="6" t="s">
        <v>63</v>
      </c>
      <c r="E534" s="7" t="s">
        <v>86</v>
      </c>
    </row>
    <row r="535" spans="1:5">
      <c r="A535" s="4" t="s">
        <v>3628</v>
      </c>
      <c r="B535" s="5" t="s">
        <v>4404</v>
      </c>
      <c r="C535" s="6" t="s">
        <v>23</v>
      </c>
      <c r="D535" s="6" t="s">
        <v>24</v>
      </c>
      <c r="E535" s="7" t="s">
        <v>4455</v>
      </c>
    </row>
    <row r="536" spans="1:5">
      <c r="A536" s="4" t="s">
        <v>3299</v>
      </c>
      <c r="B536" s="5" t="s">
        <v>4070</v>
      </c>
      <c r="C536" s="6" t="s">
        <v>23</v>
      </c>
      <c r="D536" s="6" t="s">
        <v>63</v>
      </c>
      <c r="E536" s="7" t="s">
        <v>98</v>
      </c>
    </row>
    <row r="537" spans="1:5">
      <c r="A537" s="4" t="s">
        <v>835</v>
      </c>
      <c r="B537" s="5" t="s">
        <v>834</v>
      </c>
      <c r="C537" s="6" t="s">
        <v>23</v>
      </c>
      <c r="D537" s="6" t="s">
        <v>24</v>
      </c>
      <c r="E537" s="7" t="s">
        <v>4447</v>
      </c>
    </row>
    <row r="538" spans="1:5">
      <c r="A538" s="4" t="s">
        <v>837</v>
      </c>
      <c r="B538" s="5" t="s">
        <v>836</v>
      </c>
      <c r="C538" s="6" t="s">
        <v>23</v>
      </c>
      <c r="D538" s="6" t="s">
        <v>24</v>
      </c>
      <c r="E538" s="7" t="s">
        <v>4448</v>
      </c>
    </row>
    <row r="539" spans="1:5">
      <c r="A539" s="4" t="s">
        <v>839</v>
      </c>
      <c r="B539" s="5" t="s">
        <v>838</v>
      </c>
      <c r="C539" s="6" t="s">
        <v>23</v>
      </c>
      <c r="D539" s="6" t="s">
        <v>24</v>
      </c>
      <c r="E539" s="7" t="s">
        <v>4450</v>
      </c>
    </row>
    <row r="540" spans="1:5">
      <c r="A540" s="4" t="s">
        <v>841</v>
      </c>
      <c r="B540" s="5" t="s">
        <v>840</v>
      </c>
      <c r="C540" s="6" t="s">
        <v>23</v>
      </c>
      <c r="D540" s="6" t="s">
        <v>24</v>
      </c>
      <c r="E540" s="7" t="s">
        <v>4451</v>
      </c>
    </row>
    <row r="541" spans="1:5">
      <c r="A541" s="4" t="s">
        <v>843</v>
      </c>
      <c r="B541" s="5" t="s">
        <v>842</v>
      </c>
      <c r="C541" s="6" t="s">
        <v>23</v>
      </c>
      <c r="D541" s="6" t="s">
        <v>24</v>
      </c>
      <c r="E541" s="7" t="s">
        <v>4453</v>
      </c>
    </row>
    <row r="542" spans="1:5">
      <c r="A542" s="4" t="s">
        <v>845</v>
      </c>
      <c r="B542" s="5" t="s">
        <v>844</v>
      </c>
      <c r="C542" s="6" t="s">
        <v>23</v>
      </c>
      <c r="D542" s="6" t="s">
        <v>63</v>
      </c>
      <c r="E542" s="7" t="s">
        <v>64</v>
      </c>
    </row>
    <row r="543" spans="1:5">
      <c r="A543" s="4" t="s">
        <v>847</v>
      </c>
      <c r="B543" s="5" t="s">
        <v>846</v>
      </c>
      <c r="C543" s="6" t="s">
        <v>23</v>
      </c>
      <c r="D543" s="6" t="s">
        <v>63</v>
      </c>
      <c r="E543" s="7" t="s">
        <v>67</v>
      </c>
    </row>
    <row r="544" spans="1:5">
      <c r="A544" s="4" t="s">
        <v>849</v>
      </c>
      <c r="B544" s="5" t="s">
        <v>848</v>
      </c>
      <c r="C544" s="6" t="s">
        <v>23</v>
      </c>
      <c r="D544" s="6" t="s">
        <v>63</v>
      </c>
      <c r="E544" s="7" t="s">
        <v>287</v>
      </c>
    </row>
    <row r="545" spans="1:5">
      <c r="A545" s="11" t="s">
        <v>851</v>
      </c>
      <c r="B545" s="5" t="s">
        <v>850</v>
      </c>
      <c r="C545" s="12" t="s">
        <v>23</v>
      </c>
      <c r="D545" s="12" t="s">
        <v>63</v>
      </c>
      <c r="E545" s="7" t="s">
        <v>89</v>
      </c>
    </row>
    <row r="546" spans="1:5">
      <c r="A546" s="4" t="s">
        <v>853</v>
      </c>
      <c r="B546" s="5" t="s">
        <v>852</v>
      </c>
      <c r="C546" s="6" t="s">
        <v>23</v>
      </c>
      <c r="D546" s="6" t="s">
        <v>24</v>
      </c>
      <c r="E546" s="7" t="s">
        <v>4446</v>
      </c>
    </row>
    <row r="547" spans="1:5">
      <c r="A547" s="4" t="s">
        <v>855</v>
      </c>
      <c r="B547" s="5" t="s">
        <v>854</v>
      </c>
      <c r="C547" s="6" t="s">
        <v>23</v>
      </c>
      <c r="D547" s="6" t="s">
        <v>24</v>
      </c>
      <c r="E547" s="7" t="s">
        <v>4447</v>
      </c>
    </row>
    <row r="548" spans="1:5">
      <c r="A548" s="4" t="s">
        <v>857</v>
      </c>
      <c r="B548" s="5" t="s">
        <v>856</v>
      </c>
      <c r="C548" s="6" t="s">
        <v>23</v>
      </c>
      <c r="D548" s="6" t="s">
        <v>63</v>
      </c>
      <c r="E548" s="7" t="s">
        <v>64</v>
      </c>
    </row>
    <row r="549" spans="1:5">
      <c r="A549" s="4" t="s">
        <v>859</v>
      </c>
      <c r="B549" s="5" t="s">
        <v>858</v>
      </c>
      <c r="C549" s="6" t="s">
        <v>23</v>
      </c>
      <c r="D549" s="6" t="s">
        <v>63</v>
      </c>
      <c r="E549" s="7" t="s">
        <v>64</v>
      </c>
    </row>
    <row r="550" spans="1:5">
      <c r="A550" s="4" t="s">
        <v>861</v>
      </c>
      <c r="B550" s="5" t="s">
        <v>860</v>
      </c>
      <c r="C550" s="6" t="s">
        <v>23</v>
      </c>
      <c r="D550" s="6" t="s">
        <v>63</v>
      </c>
      <c r="E550" s="7" t="s">
        <v>86</v>
      </c>
    </row>
    <row r="551" spans="1:5">
      <c r="A551" s="4" t="s">
        <v>863</v>
      </c>
      <c r="B551" s="5" t="s">
        <v>862</v>
      </c>
      <c r="C551" s="6" t="s">
        <v>23</v>
      </c>
      <c r="D551" s="6" t="s">
        <v>63</v>
      </c>
      <c r="E551" s="7" t="s">
        <v>89</v>
      </c>
    </row>
    <row r="552" spans="1:5">
      <c r="A552" s="4" t="s">
        <v>865</v>
      </c>
      <c r="B552" s="5" t="s">
        <v>864</v>
      </c>
      <c r="C552" s="6" t="s">
        <v>23</v>
      </c>
      <c r="D552" s="6" t="s">
        <v>63</v>
      </c>
      <c r="E552" s="7" t="s">
        <v>92</v>
      </c>
    </row>
    <row r="553" spans="1:5">
      <c r="A553" s="4" t="s">
        <v>867</v>
      </c>
      <c r="B553" s="5" t="s">
        <v>866</v>
      </c>
      <c r="C553" s="6" t="s">
        <v>23</v>
      </c>
      <c r="D553" s="6" t="s">
        <v>63</v>
      </c>
      <c r="E553" s="7" t="s">
        <v>95</v>
      </c>
    </row>
    <row r="554" spans="1:5">
      <c r="A554" s="4" t="s">
        <v>869</v>
      </c>
      <c r="B554" s="5" t="s">
        <v>868</v>
      </c>
      <c r="C554" s="6" t="s">
        <v>23</v>
      </c>
      <c r="D554" s="6" t="s">
        <v>63</v>
      </c>
      <c r="E554" s="7" t="s">
        <v>98</v>
      </c>
    </row>
    <row r="555" spans="1:5">
      <c r="A555" s="4" t="s">
        <v>871</v>
      </c>
      <c r="B555" s="5" t="s">
        <v>870</v>
      </c>
      <c r="C555" s="6" t="s">
        <v>23</v>
      </c>
      <c r="D555" s="6" t="s">
        <v>63</v>
      </c>
      <c r="E555" s="7" t="s">
        <v>67</v>
      </c>
    </row>
    <row r="556" spans="1:5">
      <c r="A556" s="4" t="s">
        <v>873</v>
      </c>
      <c r="B556" s="5" t="s">
        <v>872</v>
      </c>
      <c r="C556" s="6" t="s">
        <v>23</v>
      </c>
      <c r="D556" s="6" t="s">
        <v>63</v>
      </c>
      <c r="E556" s="7" t="s">
        <v>287</v>
      </c>
    </row>
    <row r="557" spans="1:5">
      <c r="A557" s="4" t="s">
        <v>875</v>
      </c>
      <c r="B557" s="5" t="s">
        <v>874</v>
      </c>
      <c r="C557" s="6" t="s">
        <v>23</v>
      </c>
      <c r="D557" s="6" t="s">
        <v>63</v>
      </c>
      <c r="E557" s="7" t="s">
        <v>86</v>
      </c>
    </row>
    <row r="558" spans="1:5">
      <c r="A558" s="4" t="s">
        <v>877</v>
      </c>
      <c r="B558" s="5" t="s">
        <v>876</v>
      </c>
      <c r="C558" s="6" t="s">
        <v>23</v>
      </c>
      <c r="D558" s="6" t="s">
        <v>63</v>
      </c>
      <c r="E558" s="7" t="s">
        <v>89</v>
      </c>
    </row>
    <row r="559" spans="1:5">
      <c r="A559" s="4" t="s">
        <v>879</v>
      </c>
      <c r="B559" s="5" t="s">
        <v>878</v>
      </c>
      <c r="C559" s="6" t="s">
        <v>23</v>
      </c>
      <c r="D559" s="6" t="s">
        <v>63</v>
      </c>
      <c r="E559" s="7" t="s">
        <v>95</v>
      </c>
    </row>
    <row r="560" spans="1:5">
      <c r="A560" s="4" t="s">
        <v>881</v>
      </c>
      <c r="B560" s="5" t="s">
        <v>880</v>
      </c>
      <c r="C560" s="6" t="s">
        <v>23</v>
      </c>
      <c r="D560" s="6" t="s">
        <v>63</v>
      </c>
      <c r="E560" s="7" t="s">
        <v>89</v>
      </c>
    </row>
    <row r="561" spans="1:5">
      <c r="A561" s="4" t="s">
        <v>883</v>
      </c>
      <c r="B561" s="5" t="s">
        <v>882</v>
      </c>
      <c r="C561" s="6" t="s">
        <v>23</v>
      </c>
      <c r="D561" s="6" t="s">
        <v>24</v>
      </c>
      <c r="E561" s="7" t="s">
        <v>4447</v>
      </c>
    </row>
    <row r="562" spans="1:5">
      <c r="A562" s="4" t="s">
        <v>885</v>
      </c>
      <c r="B562" s="5" t="s">
        <v>884</v>
      </c>
      <c r="C562" s="6" t="s">
        <v>23</v>
      </c>
      <c r="D562" s="6" t="s">
        <v>24</v>
      </c>
      <c r="E562" s="7" t="s">
        <v>4448</v>
      </c>
    </row>
    <row r="563" spans="1:5">
      <c r="A563" s="4" t="s">
        <v>887</v>
      </c>
      <c r="B563" s="5" t="s">
        <v>886</v>
      </c>
      <c r="C563" s="6" t="s">
        <v>23</v>
      </c>
      <c r="D563" s="6" t="s">
        <v>24</v>
      </c>
      <c r="E563" s="7" t="s">
        <v>4450</v>
      </c>
    </row>
    <row r="564" spans="1:5">
      <c r="A564" s="4" t="s">
        <v>889</v>
      </c>
      <c r="B564" s="5" t="s">
        <v>888</v>
      </c>
      <c r="C564" s="6" t="s">
        <v>23</v>
      </c>
      <c r="D564" s="6" t="s">
        <v>24</v>
      </c>
      <c r="E564" s="7" t="s">
        <v>4451</v>
      </c>
    </row>
    <row r="565" spans="1:5">
      <c r="A565" s="4" t="s">
        <v>891</v>
      </c>
      <c r="B565" s="5" t="s">
        <v>890</v>
      </c>
      <c r="C565" s="6" t="s">
        <v>23</v>
      </c>
      <c r="D565" s="6" t="s">
        <v>24</v>
      </c>
      <c r="E565" s="7" t="s">
        <v>4452</v>
      </c>
    </row>
    <row r="566" spans="1:5">
      <c r="A566" s="4" t="s">
        <v>893</v>
      </c>
      <c r="B566" s="5" t="s">
        <v>892</v>
      </c>
      <c r="C566" s="6" t="s">
        <v>23</v>
      </c>
      <c r="D566" s="6" t="s">
        <v>320</v>
      </c>
      <c r="E566" s="7" t="s">
        <v>4444</v>
      </c>
    </row>
    <row r="567" spans="1:5">
      <c r="A567" s="4" t="s">
        <v>893</v>
      </c>
      <c r="B567" s="5" t="s">
        <v>4116</v>
      </c>
      <c r="C567" s="6" t="s">
        <v>23</v>
      </c>
      <c r="D567" s="6" t="s">
        <v>4445</v>
      </c>
      <c r="E567" s="7" t="s">
        <v>4443</v>
      </c>
    </row>
    <row r="568" spans="1:5">
      <c r="A568" s="4" t="s">
        <v>3346</v>
      </c>
      <c r="B568" s="5" t="s">
        <v>4117</v>
      </c>
      <c r="C568" s="6" t="s">
        <v>23</v>
      </c>
      <c r="D568" s="6" t="s">
        <v>4445</v>
      </c>
      <c r="E568" s="7" t="s">
        <v>4443</v>
      </c>
    </row>
    <row r="569" spans="1:5">
      <c r="A569" s="4" t="s">
        <v>3333</v>
      </c>
      <c r="B569" s="5" t="s">
        <v>4103</v>
      </c>
      <c r="C569" s="6" t="s">
        <v>23</v>
      </c>
      <c r="D569" s="6" t="s">
        <v>4445</v>
      </c>
      <c r="E569" s="7" t="s">
        <v>4443</v>
      </c>
    </row>
    <row r="570" spans="1:5">
      <c r="A570" s="4" t="s">
        <v>895</v>
      </c>
      <c r="B570" s="5" t="s">
        <v>894</v>
      </c>
      <c r="C570" s="6" t="s">
        <v>23</v>
      </c>
      <c r="D570" s="6" t="s">
        <v>63</v>
      </c>
      <c r="E570" s="7" t="s">
        <v>67</v>
      </c>
    </row>
    <row r="571" spans="1:5">
      <c r="A571" s="4" t="s">
        <v>3546</v>
      </c>
      <c r="B571" s="5" t="s">
        <v>4320</v>
      </c>
      <c r="C571" s="6" t="s">
        <v>23</v>
      </c>
      <c r="D571" s="6" t="s">
        <v>4445</v>
      </c>
      <c r="E571" s="7" t="s">
        <v>4443</v>
      </c>
    </row>
    <row r="572" spans="1:5">
      <c r="A572" s="4" t="s">
        <v>3347</v>
      </c>
      <c r="B572" s="5" t="s">
        <v>4118</v>
      </c>
      <c r="C572" s="6" t="s">
        <v>23</v>
      </c>
      <c r="D572" s="6" t="s">
        <v>4445</v>
      </c>
      <c r="E572" s="7" t="s">
        <v>4443</v>
      </c>
    </row>
    <row r="573" spans="1:5">
      <c r="A573" s="4" t="s">
        <v>3261</v>
      </c>
      <c r="B573" s="5" t="s">
        <v>4031</v>
      </c>
      <c r="C573" s="6" t="s">
        <v>23</v>
      </c>
      <c r="D573" s="6" t="s">
        <v>4445</v>
      </c>
      <c r="E573" s="7" t="s">
        <v>4443</v>
      </c>
    </row>
    <row r="574" spans="1:5">
      <c r="A574" s="4" t="s">
        <v>897</v>
      </c>
      <c r="B574" s="5" t="s">
        <v>896</v>
      </c>
      <c r="C574" s="6" t="s">
        <v>23</v>
      </c>
      <c r="D574" s="6" t="s">
        <v>24</v>
      </c>
      <c r="E574" s="7" t="s">
        <v>4449</v>
      </c>
    </row>
    <row r="575" spans="1:5">
      <c r="A575" s="11" t="s">
        <v>899</v>
      </c>
      <c r="B575" s="5" t="s">
        <v>898</v>
      </c>
      <c r="C575" s="12" t="s">
        <v>23</v>
      </c>
      <c r="D575" s="12" t="s">
        <v>24</v>
      </c>
      <c r="E575" s="7" t="s">
        <v>4448</v>
      </c>
    </row>
    <row r="576" spans="1:5">
      <c r="A576" s="11" t="s">
        <v>901</v>
      </c>
      <c r="B576" s="5" t="s">
        <v>900</v>
      </c>
      <c r="C576" s="12" t="s">
        <v>23</v>
      </c>
      <c r="D576" s="12" t="s">
        <v>63</v>
      </c>
      <c r="E576" s="7" t="s">
        <v>287</v>
      </c>
    </row>
    <row r="577" spans="1:5">
      <c r="A577" s="4" t="s">
        <v>3242</v>
      </c>
      <c r="B577" s="5" t="s">
        <v>4012</v>
      </c>
      <c r="C577" s="6" t="s">
        <v>23</v>
      </c>
      <c r="D577" s="6" t="s">
        <v>4445</v>
      </c>
      <c r="E577" s="7" t="s">
        <v>4443</v>
      </c>
    </row>
    <row r="578" spans="1:5">
      <c r="A578" s="11" t="s">
        <v>3248</v>
      </c>
      <c r="B578" s="5" t="s">
        <v>4018</v>
      </c>
      <c r="C578" s="12" t="s">
        <v>23</v>
      </c>
      <c r="D578" s="12" t="s">
        <v>4445</v>
      </c>
      <c r="E578" s="7" t="s">
        <v>4443</v>
      </c>
    </row>
    <row r="579" spans="1:5">
      <c r="A579" s="11" t="s">
        <v>3636</v>
      </c>
      <c r="B579" s="5" t="s">
        <v>4413</v>
      </c>
      <c r="C579" s="12" t="s">
        <v>23</v>
      </c>
      <c r="D579" s="12" t="s">
        <v>4463</v>
      </c>
      <c r="E579" s="7" t="s">
        <v>4444</v>
      </c>
    </row>
    <row r="580" spans="1:5">
      <c r="A580" s="11" t="s">
        <v>3137</v>
      </c>
      <c r="B580" s="5" t="s">
        <v>3907</v>
      </c>
      <c r="C580" s="12" t="s">
        <v>23</v>
      </c>
      <c r="D580" s="12" t="s">
        <v>4445</v>
      </c>
      <c r="E580" s="7" t="s">
        <v>4443</v>
      </c>
    </row>
    <row r="581" spans="1:5">
      <c r="A581" s="11" t="s">
        <v>3143</v>
      </c>
      <c r="B581" s="5" t="s">
        <v>3913</v>
      </c>
      <c r="C581" s="12" t="s">
        <v>23</v>
      </c>
      <c r="D581" s="12" t="s">
        <v>4445</v>
      </c>
      <c r="E581" s="7" t="s">
        <v>4443</v>
      </c>
    </row>
    <row r="582" spans="1:5">
      <c r="A582" s="11" t="s">
        <v>3138</v>
      </c>
      <c r="B582" s="5" t="s">
        <v>3908</v>
      </c>
      <c r="C582" s="12" t="s">
        <v>23</v>
      </c>
      <c r="D582" s="12" t="s">
        <v>4445</v>
      </c>
      <c r="E582" s="7" t="s">
        <v>4443</v>
      </c>
    </row>
    <row r="583" spans="1:5">
      <c r="A583" s="11" t="s">
        <v>3144</v>
      </c>
      <c r="B583" s="5" t="s">
        <v>3914</v>
      </c>
      <c r="C583" s="12" t="s">
        <v>23</v>
      </c>
      <c r="D583" s="12" t="s">
        <v>4445</v>
      </c>
      <c r="E583" s="7" t="s">
        <v>4443</v>
      </c>
    </row>
    <row r="584" spans="1:5">
      <c r="A584" s="11" t="s">
        <v>3139</v>
      </c>
      <c r="B584" s="5" t="s">
        <v>3909</v>
      </c>
      <c r="C584" s="12" t="s">
        <v>23</v>
      </c>
      <c r="D584" s="12" t="s">
        <v>4445</v>
      </c>
      <c r="E584" s="7" t="s">
        <v>4443</v>
      </c>
    </row>
    <row r="585" spans="1:5">
      <c r="A585" s="11" t="s">
        <v>3145</v>
      </c>
      <c r="B585" s="5" t="s">
        <v>3915</v>
      </c>
      <c r="C585" s="12" t="s">
        <v>23</v>
      </c>
      <c r="D585" s="12" t="s">
        <v>4445</v>
      </c>
      <c r="E585" s="7" t="s">
        <v>4443</v>
      </c>
    </row>
    <row r="586" spans="1:5">
      <c r="A586" s="11" t="s">
        <v>3140</v>
      </c>
      <c r="B586" s="5" t="s">
        <v>3910</v>
      </c>
      <c r="C586" s="12" t="s">
        <v>23</v>
      </c>
      <c r="D586" s="12" t="s">
        <v>4445</v>
      </c>
      <c r="E586" s="7" t="s">
        <v>4443</v>
      </c>
    </row>
    <row r="587" spans="1:5">
      <c r="A587" s="11" t="s">
        <v>3146</v>
      </c>
      <c r="B587" s="5" t="s">
        <v>3916</v>
      </c>
      <c r="C587" s="12" t="s">
        <v>23</v>
      </c>
      <c r="D587" s="12" t="s">
        <v>4445</v>
      </c>
      <c r="E587" s="7" t="s">
        <v>4443</v>
      </c>
    </row>
    <row r="588" spans="1:5">
      <c r="A588" s="11" t="s">
        <v>4526</v>
      </c>
      <c r="B588" s="5" t="s">
        <v>4527</v>
      </c>
      <c r="C588" s="12" t="s">
        <v>23</v>
      </c>
      <c r="D588" s="12" t="s">
        <v>63</v>
      </c>
      <c r="E588" s="7" t="s">
        <v>64</v>
      </c>
    </row>
    <row r="589" spans="1:5">
      <c r="A589" s="11" t="s">
        <v>3141</v>
      </c>
      <c r="B589" s="5" t="s">
        <v>3911</v>
      </c>
      <c r="C589" s="12" t="s">
        <v>23</v>
      </c>
      <c r="D589" s="12" t="s">
        <v>4445</v>
      </c>
      <c r="E589" s="7" t="s">
        <v>4443</v>
      </c>
    </row>
    <row r="590" spans="1:5">
      <c r="A590" s="4" t="s">
        <v>3147</v>
      </c>
      <c r="B590" s="5" t="s">
        <v>3917</v>
      </c>
      <c r="C590" s="6" t="s">
        <v>23</v>
      </c>
      <c r="D590" s="6" t="s">
        <v>4445</v>
      </c>
      <c r="E590" s="7" t="s">
        <v>4443</v>
      </c>
    </row>
    <row r="591" spans="1:5">
      <c r="A591" s="4" t="s">
        <v>3142</v>
      </c>
      <c r="B591" s="5" t="s">
        <v>3912</v>
      </c>
      <c r="C591" s="6" t="s">
        <v>23</v>
      </c>
      <c r="D591" s="6" t="s">
        <v>4445</v>
      </c>
      <c r="E591" s="7" t="s">
        <v>4443</v>
      </c>
    </row>
    <row r="592" spans="1:5">
      <c r="A592" s="4" t="s">
        <v>3148</v>
      </c>
      <c r="B592" s="5" t="s">
        <v>3918</v>
      </c>
      <c r="C592" s="6" t="s">
        <v>23</v>
      </c>
      <c r="D592" s="6" t="s">
        <v>4445</v>
      </c>
      <c r="E592" s="7" t="s">
        <v>4443</v>
      </c>
    </row>
    <row r="593" spans="1:5">
      <c r="A593" s="4" t="s">
        <v>3348</v>
      </c>
      <c r="B593" s="5" t="s">
        <v>4119</v>
      </c>
      <c r="C593" s="6" t="s">
        <v>23</v>
      </c>
      <c r="D593" s="6" t="s">
        <v>4445</v>
      </c>
      <c r="E593" s="7" t="s">
        <v>4443</v>
      </c>
    </row>
    <row r="594" spans="1:5">
      <c r="A594" s="4" t="s">
        <v>3349</v>
      </c>
      <c r="B594" s="5" t="s">
        <v>4120</v>
      </c>
      <c r="C594" s="6" t="s">
        <v>23</v>
      </c>
      <c r="D594" s="6" t="s">
        <v>4445</v>
      </c>
      <c r="E594" s="7" t="s">
        <v>4443</v>
      </c>
    </row>
    <row r="595" spans="1:5">
      <c r="A595" s="4" t="s">
        <v>3577</v>
      </c>
      <c r="B595" s="5" t="s">
        <v>902</v>
      </c>
      <c r="C595" s="6" t="s">
        <v>23</v>
      </c>
      <c r="D595" s="6" t="s">
        <v>24</v>
      </c>
      <c r="E595" s="7" t="s">
        <v>4446</v>
      </c>
    </row>
    <row r="596" spans="1:5">
      <c r="A596" s="4" t="s">
        <v>3577</v>
      </c>
      <c r="B596" s="5" t="s">
        <v>903</v>
      </c>
      <c r="C596" s="6" t="s">
        <v>23</v>
      </c>
      <c r="D596" s="6" t="s">
        <v>24</v>
      </c>
      <c r="E596" s="7" t="s">
        <v>4446</v>
      </c>
    </row>
    <row r="597" spans="1:5">
      <c r="A597" s="4" t="s">
        <v>3578</v>
      </c>
      <c r="B597" s="5" t="s">
        <v>4353</v>
      </c>
      <c r="C597" s="6" t="s">
        <v>23</v>
      </c>
      <c r="D597" s="6" t="s">
        <v>24</v>
      </c>
      <c r="E597" s="7" t="s">
        <v>4447</v>
      </c>
    </row>
    <row r="598" spans="1:5">
      <c r="A598" s="4" t="s">
        <v>3579</v>
      </c>
      <c r="B598" s="5" t="s">
        <v>4354</v>
      </c>
      <c r="C598" s="6" t="s">
        <v>23</v>
      </c>
      <c r="D598" s="6" t="s">
        <v>24</v>
      </c>
      <c r="E598" s="7" t="s">
        <v>4448</v>
      </c>
    </row>
    <row r="599" spans="1:5">
      <c r="A599" s="4" t="s">
        <v>3580</v>
      </c>
      <c r="B599" s="5" t="s">
        <v>4355</v>
      </c>
      <c r="C599" s="6" t="s">
        <v>23</v>
      </c>
      <c r="D599" s="6" t="s">
        <v>24</v>
      </c>
      <c r="E599" s="7" t="s">
        <v>4450</v>
      </c>
    </row>
    <row r="600" spans="1:5">
      <c r="A600" s="4" t="s">
        <v>3604</v>
      </c>
      <c r="B600" s="5" t="s">
        <v>4381</v>
      </c>
      <c r="C600" s="6" t="s">
        <v>23</v>
      </c>
      <c r="D600" s="6" t="s">
        <v>4463</v>
      </c>
      <c r="E600" s="7" t="s">
        <v>86</v>
      </c>
    </row>
    <row r="601" spans="1:5">
      <c r="A601" s="4" t="s">
        <v>905</v>
      </c>
      <c r="B601" s="5" t="s">
        <v>904</v>
      </c>
      <c r="C601" s="6" t="s">
        <v>23</v>
      </c>
      <c r="D601" s="6" t="s">
        <v>561</v>
      </c>
      <c r="E601" s="7" t="s">
        <v>67</v>
      </c>
    </row>
    <row r="602" spans="1:5">
      <c r="A602" s="4" t="s">
        <v>2939</v>
      </c>
      <c r="B602" s="5" t="s">
        <v>3701</v>
      </c>
      <c r="C602" s="6" t="s">
        <v>23</v>
      </c>
      <c r="D602" s="6" t="s">
        <v>4445</v>
      </c>
      <c r="E602" s="7" t="s">
        <v>4443</v>
      </c>
    </row>
    <row r="603" spans="1:5">
      <c r="A603" s="4" t="s">
        <v>3009</v>
      </c>
      <c r="B603" s="5" t="s">
        <v>3777</v>
      </c>
      <c r="C603" s="6" t="s">
        <v>23</v>
      </c>
      <c r="D603" s="6" t="s">
        <v>4445</v>
      </c>
      <c r="E603" s="7" t="s">
        <v>4443</v>
      </c>
    </row>
    <row r="604" spans="1:5">
      <c r="A604" s="11" t="s">
        <v>3008</v>
      </c>
      <c r="B604" s="5" t="s">
        <v>3776</v>
      </c>
      <c r="C604" s="12" t="s">
        <v>23</v>
      </c>
      <c r="D604" s="12" t="s">
        <v>4445</v>
      </c>
      <c r="E604" s="7" t="s">
        <v>4443</v>
      </c>
    </row>
    <row r="605" spans="1:5">
      <c r="A605" s="4" t="s">
        <v>3564</v>
      </c>
      <c r="B605" s="5" t="s">
        <v>4340</v>
      </c>
      <c r="C605" s="6" t="s">
        <v>23</v>
      </c>
      <c r="D605" s="6" t="s">
        <v>4445</v>
      </c>
      <c r="E605" s="7" t="s">
        <v>4443</v>
      </c>
    </row>
    <row r="606" spans="1:5">
      <c r="A606" s="4" t="s">
        <v>3563</v>
      </c>
      <c r="B606" s="5" t="s">
        <v>4339</v>
      </c>
      <c r="C606" s="6" t="s">
        <v>23</v>
      </c>
      <c r="D606" s="6" t="s">
        <v>4445</v>
      </c>
      <c r="E606" s="7" t="s">
        <v>4443</v>
      </c>
    </row>
    <row r="607" spans="1:5">
      <c r="A607" s="4" t="s">
        <v>3529</v>
      </c>
      <c r="B607" s="5" t="s">
        <v>4303</v>
      </c>
      <c r="C607" s="6" t="s">
        <v>23</v>
      </c>
      <c r="D607" s="6" t="s">
        <v>4445</v>
      </c>
      <c r="E607" s="7" t="s">
        <v>4443</v>
      </c>
    </row>
    <row r="608" spans="1:5">
      <c r="A608" s="4" t="s">
        <v>2930</v>
      </c>
      <c r="B608" s="5" t="s">
        <v>3692</v>
      </c>
      <c r="C608" s="6" t="s">
        <v>23</v>
      </c>
      <c r="D608" s="6" t="s">
        <v>4445</v>
      </c>
      <c r="E608" s="7" t="s">
        <v>4443</v>
      </c>
    </row>
    <row r="609" spans="1:5">
      <c r="A609" s="4" t="s">
        <v>3007</v>
      </c>
      <c r="B609" s="5" t="s">
        <v>3775</v>
      </c>
      <c r="C609" s="6" t="s">
        <v>23</v>
      </c>
      <c r="D609" s="6" t="s">
        <v>4445</v>
      </c>
      <c r="E609" s="7" t="s">
        <v>4443</v>
      </c>
    </row>
    <row r="610" spans="1:5">
      <c r="A610" s="4" t="s">
        <v>3506</v>
      </c>
      <c r="B610" s="5" t="s">
        <v>4280</v>
      </c>
      <c r="C610" s="6" t="s">
        <v>23</v>
      </c>
      <c r="D610" s="6" t="s">
        <v>4445</v>
      </c>
      <c r="E610" s="7" t="s">
        <v>4443</v>
      </c>
    </row>
    <row r="611" spans="1:5">
      <c r="A611" s="4" t="s">
        <v>3004</v>
      </c>
      <c r="B611" s="5" t="s">
        <v>3772</v>
      </c>
      <c r="C611" s="6" t="s">
        <v>23</v>
      </c>
      <c r="D611" s="6" t="s">
        <v>4445</v>
      </c>
      <c r="E611" s="7" t="s">
        <v>4443</v>
      </c>
    </row>
    <row r="612" spans="1:5">
      <c r="A612" s="4" t="s">
        <v>3005</v>
      </c>
      <c r="B612" s="5" t="s">
        <v>3773</v>
      </c>
      <c r="C612" s="6" t="s">
        <v>23</v>
      </c>
      <c r="D612" s="6" t="s">
        <v>4445</v>
      </c>
      <c r="E612" s="7" t="s">
        <v>4443</v>
      </c>
    </row>
    <row r="613" spans="1:5">
      <c r="A613" s="4" t="s">
        <v>2996</v>
      </c>
      <c r="B613" s="5" t="s">
        <v>3758</v>
      </c>
      <c r="C613" s="6" t="s">
        <v>23</v>
      </c>
      <c r="D613" s="6" t="s">
        <v>4445</v>
      </c>
      <c r="E613" s="7" t="s">
        <v>4443</v>
      </c>
    </row>
    <row r="614" spans="1:5">
      <c r="A614" s="4" t="s">
        <v>3523</v>
      </c>
      <c r="B614" s="5" t="s">
        <v>4297</v>
      </c>
      <c r="C614" s="6" t="s">
        <v>23</v>
      </c>
      <c r="D614" s="6" t="s">
        <v>4445</v>
      </c>
      <c r="E614" s="7" t="s">
        <v>4443</v>
      </c>
    </row>
    <row r="615" spans="1:5">
      <c r="A615" s="4" t="s">
        <v>3518</v>
      </c>
      <c r="B615" s="5" t="s">
        <v>4292</v>
      </c>
      <c r="C615" s="6" t="s">
        <v>23</v>
      </c>
      <c r="D615" s="6" t="s">
        <v>4445</v>
      </c>
      <c r="E615" s="7" t="s">
        <v>4443</v>
      </c>
    </row>
    <row r="616" spans="1:5">
      <c r="A616" s="4" t="s">
        <v>3511</v>
      </c>
      <c r="B616" s="5" t="s">
        <v>4285</v>
      </c>
      <c r="C616" s="6" t="s">
        <v>23</v>
      </c>
      <c r="D616" s="6" t="s">
        <v>4445</v>
      </c>
      <c r="E616" s="7" t="s">
        <v>4443</v>
      </c>
    </row>
    <row r="617" spans="1:5">
      <c r="A617" s="4" t="s">
        <v>3567</v>
      </c>
      <c r="B617" s="5" t="s">
        <v>4343</v>
      </c>
      <c r="C617" s="6" t="s">
        <v>23</v>
      </c>
      <c r="D617" s="6" t="s">
        <v>4445</v>
      </c>
      <c r="E617" s="7" t="s">
        <v>4443</v>
      </c>
    </row>
    <row r="618" spans="1:5">
      <c r="A618" s="4" t="s">
        <v>2943</v>
      </c>
      <c r="B618" s="5" t="s">
        <v>3705</v>
      </c>
      <c r="C618" s="6" t="s">
        <v>23</v>
      </c>
      <c r="D618" s="6" t="s">
        <v>4445</v>
      </c>
      <c r="E618" s="7" t="s">
        <v>4443</v>
      </c>
    </row>
    <row r="619" spans="1:5">
      <c r="A619" s="4" t="s">
        <v>3540</v>
      </c>
      <c r="B619" s="5" t="s">
        <v>4314</v>
      </c>
      <c r="C619" s="6" t="s">
        <v>23</v>
      </c>
      <c r="D619" s="6" t="s">
        <v>4445</v>
      </c>
      <c r="E619" s="7" t="s">
        <v>4443</v>
      </c>
    </row>
    <row r="620" spans="1:5">
      <c r="A620" s="11" t="s">
        <v>3537</v>
      </c>
      <c r="B620" s="5" t="s">
        <v>4311</v>
      </c>
      <c r="C620" s="12" t="s">
        <v>23</v>
      </c>
      <c r="D620" s="12" t="s">
        <v>4445</v>
      </c>
      <c r="E620" s="7" t="s">
        <v>4443</v>
      </c>
    </row>
    <row r="621" spans="1:5">
      <c r="A621" s="4" t="s">
        <v>3525</v>
      </c>
      <c r="B621" s="5" t="s">
        <v>4299</v>
      </c>
      <c r="C621" s="6" t="s">
        <v>23</v>
      </c>
      <c r="D621" s="6" t="s">
        <v>4445</v>
      </c>
      <c r="E621" s="7" t="s">
        <v>4443</v>
      </c>
    </row>
    <row r="622" spans="1:5">
      <c r="A622" s="4" t="s">
        <v>3539</v>
      </c>
      <c r="B622" s="5" t="s">
        <v>4313</v>
      </c>
      <c r="C622" s="6" t="s">
        <v>23</v>
      </c>
      <c r="D622" s="6" t="s">
        <v>4445</v>
      </c>
      <c r="E622" s="7" t="s">
        <v>4443</v>
      </c>
    </row>
    <row r="623" spans="1:5">
      <c r="A623" s="11" t="s">
        <v>3514</v>
      </c>
      <c r="B623" s="5" t="s">
        <v>4288</v>
      </c>
      <c r="C623" s="12" t="s">
        <v>23</v>
      </c>
      <c r="D623" s="12" t="s">
        <v>4445</v>
      </c>
      <c r="E623" s="7" t="s">
        <v>4443</v>
      </c>
    </row>
    <row r="624" spans="1:5">
      <c r="A624" s="4" t="s">
        <v>3509</v>
      </c>
      <c r="B624" s="5" t="s">
        <v>4283</v>
      </c>
      <c r="C624" s="6" t="s">
        <v>23</v>
      </c>
      <c r="D624" s="6" t="s">
        <v>4445</v>
      </c>
      <c r="E624" s="7" t="s">
        <v>4443</v>
      </c>
    </row>
    <row r="625" spans="1:5">
      <c r="A625" s="4" t="s">
        <v>3513</v>
      </c>
      <c r="B625" s="5" t="s">
        <v>4287</v>
      </c>
      <c r="C625" s="6" t="s">
        <v>23</v>
      </c>
      <c r="D625" s="6" t="s">
        <v>4445</v>
      </c>
      <c r="E625" s="7" t="s">
        <v>4443</v>
      </c>
    </row>
    <row r="626" spans="1:5">
      <c r="A626" s="11" t="s">
        <v>3528</v>
      </c>
      <c r="B626" s="5" t="s">
        <v>4302</v>
      </c>
      <c r="C626" s="12" t="s">
        <v>23</v>
      </c>
      <c r="D626" s="12" t="s">
        <v>4445</v>
      </c>
      <c r="E626" s="7" t="s">
        <v>4443</v>
      </c>
    </row>
    <row r="627" spans="1:5">
      <c r="A627" s="4" t="s">
        <v>2942</v>
      </c>
      <c r="B627" s="5" t="s">
        <v>3704</v>
      </c>
      <c r="C627" s="6" t="s">
        <v>23</v>
      </c>
      <c r="D627" s="6" t="s">
        <v>4445</v>
      </c>
      <c r="E627" s="7" t="s">
        <v>4443</v>
      </c>
    </row>
    <row r="628" spans="1:5">
      <c r="A628" s="4" t="s">
        <v>3512</v>
      </c>
      <c r="B628" s="5" t="s">
        <v>4286</v>
      </c>
      <c r="C628" s="6" t="s">
        <v>23</v>
      </c>
      <c r="D628" s="6" t="s">
        <v>4445</v>
      </c>
      <c r="E628" s="7" t="s">
        <v>4443</v>
      </c>
    </row>
    <row r="629" spans="1:5">
      <c r="A629" s="4" t="s">
        <v>3224</v>
      </c>
      <c r="B629" s="5" t="s">
        <v>3994</v>
      </c>
      <c r="C629" s="6" t="s">
        <v>23</v>
      </c>
      <c r="D629" s="6" t="s">
        <v>4445</v>
      </c>
      <c r="E629" s="7" t="s">
        <v>4443</v>
      </c>
    </row>
    <row r="630" spans="1:5">
      <c r="A630" s="4" t="s">
        <v>3207</v>
      </c>
      <c r="B630" s="5" t="s">
        <v>3977</v>
      </c>
      <c r="C630" s="6" t="s">
        <v>23</v>
      </c>
      <c r="D630" s="6" t="s">
        <v>4445</v>
      </c>
      <c r="E630" s="7" t="s">
        <v>4443</v>
      </c>
    </row>
    <row r="631" spans="1:5">
      <c r="A631" s="4" t="s">
        <v>3214</v>
      </c>
      <c r="B631" s="5" t="s">
        <v>3984</v>
      </c>
      <c r="C631" s="6" t="s">
        <v>23</v>
      </c>
      <c r="D631" s="6" t="s">
        <v>4445</v>
      </c>
      <c r="E631" s="7" t="s">
        <v>4443</v>
      </c>
    </row>
    <row r="632" spans="1:5">
      <c r="A632" s="4" t="s">
        <v>3215</v>
      </c>
      <c r="B632" s="5" t="s">
        <v>3985</v>
      </c>
      <c r="C632" s="6" t="s">
        <v>23</v>
      </c>
      <c r="D632" s="6" t="s">
        <v>4445</v>
      </c>
      <c r="E632" s="7" t="s">
        <v>4443</v>
      </c>
    </row>
    <row r="633" spans="1:5">
      <c r="A633" s="11" t="s">
        <v>3216</v>
      </c>
      <c r="B633" s="5" t="s">
        <v>3986</v>
      </c>
      <c r="C633" s="12" t="s">
        <v>23</v>
      </c>
      <c r="D633" s="12" t="s">
        <v>4445</v>
      </c>
      <c r="E633" s="7" t="s">
        <v>4443</v>
      </c>
    </row>
    <row r="634" spans="1:5">
      <c r="A634" s="4" t="s">
        <v>3217</v>
      </c>
      <c r="B634" s="5" t="s">
        <v>3987</v>
      </c>
      <c r="C634" s="6" t="s">
        <v>23</v>
      </c>
      <c r="D634" s="6" t="s">
        <v>4445</v>
      </c>
      <c r="E634" s="7" t="s">
        <v>4443</v>
      </c>
    </row>
    <row r="635" spans="1:5">
      <c r="A635" s="11" t="s">
        <v>3218</v>
      </c>
      <c r="B635" s="5" t="s">
        <v>3988</v>
      </c>
      <c r="C635" s="12" t="s">
        <v>23</v>
      </c>
      <c r="D635" s="12" t="s">
        <v>4445</v>
      </c>
      <c r="E635" s="7" t="s">
        <v>4443</v>
      </c>
    </row>
    <row r="636" spans="1:5">
      <c r="A636" s="11" t="s">
        <v>3219</v>
      </c>
      <c r="B636" s="5" t="s">
        <v>3989</v>
      </c>
      <c r="C636" s="12" t="s">
        <v>23</v>
      </c>
      <c r="D636" s="12" t="s">
        <v>4445</v>
      </c>
      <c r="E636" s="7" t="s">
        <v>4443</v>
      </c>
    </row>
    <row r="637" spans="1:5">
      <c r="A637" s="4" t="s">
        <v>3202</v>
      </c>
      <c r="B637" s="5" t="s">
        <v>3972</v>
      </c>
      <c r="C637" s="6" t="s">
        <v>23</v>
      </c>
      <c r="D637" s="6" t="s">
        <v>4445</v>
      </c>
      <c r="E637" s="7" t="s">
        <v>4443</v>
      </c>
    </row>
    <row r="638" spans="1:5">
      <c r="A638" s="4" t="s">
        <v>3203</v>
      </c>
      <c r="B638" s="5" t="s">
        <v>3973</v>
      </c>
      <c r="C638" s="6" t="s">
        <v>23</v>
      </c>
      <c r="D638" s="6" t="s">
        <v>4445</v>
      </c>
      <c r="E638" s="7" t="s">
        <v>4443</v>
      </c>
    </row>
    <row r="639" spans="1:5">
      <c r="A639" s="4" t="s">
        <v>3204</v>
      </c>
      <c r="B639" s="5" t="s">
        <v>3974</v>
      </c>
      <c r="C639" s="6" t="s">
        <v>23</v>
      </c>
      <c r="D639" s="6" t="s">
        <v>4445</v>
      </c>
      <c r="E639" s="7" t="s">
        <v>4443</v>
      </c>
    </row>
    <row r="640" spans="1:5">
      <c r="A640" s="4" t="s">
        <v>3205</v>
      </c>
      <c r="B640" s="5" t="s">
        <v>3975</v>
      </c>
      <c r="C640" s="6" t="s">
        <v>23</v>
      </c>
      <c r="D640" s="6" t="s">
        <v>4445</v>
      </c>
      <c r="E640" s="7" t="s">
        <v>4443</v>
      </c>
    </row>
    <row r="641" spans="1:5">
      <c r="A641" s="4" t="s">
        <v>3206</v>
      </c>
      <c r="B641" s="5" t="s">
        <v>3976</v>
      </c>
      <c r="C641" s="6" t="s">
        <v>23</v>
      </c>
      <c r="D641" s="6" t="s">
        <v>4445</v>
      </c>
      <c r="E641" s="7" t="s">
        <v>4443</v>
      </c>
    </row>
    <row r="642" spans="1:5">
      <c r="A642" s="4" t="s">
        <v>2987</v>
      </c>
      <c r="B642" s="5" t="s">
        <v>3749</v>
      </c>
      <c r="C642" s="6" t="s">
        <v>23</v>
      </c>
      <c r="D642" s="6" t="s">
        <v>4445</v>
      </c>
      <c r="E642" s="7" t="s">
        <v>4443</v>
      </c>
    </row>
    <row r="643" spans="1:5">
      <c r="A643" s="11" t="s">
        <v>2959</v>
      </c>
      <c r="B643" s="5" t="s">
        <v>3721</v>
      </c>
      <c r="C643" s="12" t="s">
        <v>23</v>
      </c>
      <c r="D643" s="12" t="s">
        <v>4445</v>
      </c>
      <c r="E643" s="7" t="s">
        <v>4443</v>
      </c>
    </row>
    <row r="644" spans="1:5">
      <c r="A644" s="4" t="s">
        <v>3208</v>
      </c>
      <c r="B644" s="5" t="s">
        <v>3978</v>
      </c>
      <c r="C644" s="6" t="s">
        <v>23</v>
      </c>
      <c r="D644" s="6" t="s">
        <v>4445</v>
      </c>
      <c r="E644" s="7" t="s">
        <v>4443</v>
      </c>
    </row>
    <row r="645" spans="1:5">
      <c r="A645" s="4" t="s">
        <v>3209</v>
      </c>
      <c r="B645" s="5" t="s">
        <v>3979</v>
      </c>
      <c r="C645" s="6" t="s">
        <v>23</v>
      </c>
      <c r="D645" s="6" t="s">
        <v>4445</v>
      </c>
      <c r="E645" s="7" t="s">
        <v>4443</v>
      </c>
    </row>
    <row r="646" spans="1:5">
      <c r="A646" s="4" t="s">
        <v>3210</v>
      </c>
      <c r="B646" s="5" t="s">
        <v>3980</v>
      </c>
      <c r="C646" s="6" t="s">
        <v>23</v>
      </c>
      <c r="D646" s="6" t="s">
        <v>4445</v>
      </c>
      <c r="E646" s="7" t="s">
        <v>4443</v>
      </c>
    </row>
    <row r="647" spans="1:5">
      <c r="A647" s="4" t="s">
        <v>3211</v>
      </c>
      <c r="B647" s="5" t="s">
        <v>3981</v>
      </c>
      <c r="C647" s="6" t="s">
        <v>23</v>
      </c>
      <c r="D647" s="6" t="s">
        <v>4445</v>
      </c>
      <c r="E647" s="7" t="s">
        <v>4443</v>
      </c>
    </row>
    <row r="648" spans="1:5">
      <c r="A648" s="4" t="s">
        <v>3212</v>
      </c>
      <c r="B648" s="5" t="s">
        <v>3982</v>
      </c>
      <c r="C648" s="6" t="s">
        <v>23</v>
      </c>
      <c r="D648" s="6" t="s">
        <v>4445</v>
      </c>
      <c r="E648" s="7" t="s">
        <v>4443</v>
      </c>
    </row>
    <row r="649" spans="1:5">
      <c r="A649" s="4" t="s">
        <v>3213</v>
      </c>
      <c r="B649" s="5" t="s">
        <v>3983</v>
      </c>
      <c r="C649" s="6" t="s">
        <v>23</v>
      </c>
      <c r="D649" s="6" t="s">
        <v>4445</v>
      </c>
      <c r="E649" s="7" t="s">
        <v>4443</v>
      </c>
    </row>
    <row r="650" spans="1:5">
      <c r="A650" s="4" t="s">
        <v>2973</v>
      </c>
      <c r="B650" s="5" t="s">
        <v>3735</v>
      </c>
      <c r="C650" s="6" t="s">
        <v>23</v>
      </c>
      <c r="D650" s="6" t="s">
        <v>4445</v>
      </c>
      <c r="E650" s="7" t="s">
        <v>4443</v>
      </c>
    </row>
    <row r="651" spans="1:5">
      <c r="A651" s="4" t="s">
        <v>2973</v>
      </c>
      <c r="B651" s="5" t="s">
        <v>3765</v>
      </c>
      <c r="C651" s="6" t="s">
        <v>23</v>
      </c>
      <c r="D651" s="6" t="s">
        <v>4445</v>
      </c>
      <c r="E651" s="7" t="s">
        <v>4443</v>
      </c>
    </row>
    <row r="652" spans="1:5">
      <c r="A652" s="4" t="s">
        <v>2997</v>
      </c>
      <c r="B652" s="5" t="s">
        <v>3759</v>
      </c>
      <c r="C652" s="6" t="s">
        <v>23</v>
      </c>
      <c r="D652" s="6" t="s">
        <v>4445</v>
      </c>
      <c r="E652" s="7" t="s">
        <v>4443</v>
      </c>
    </row>
    <row r="653" spans="1:5">
      <c r="A653" s="4" t="s">
        <v>2979</v>
      </c>
      <c r="B653" s="5" t="s">
        <v>3741</v>
      </c>
      <c r="C653" s="6" t="s">
        <v>23</v>
      </c>
      <c r="D653" s="6" t="s">
        <v>4445</v>
      </c>
      <c r="E653" s="7" t="s">
        <v>4443</v>
      </c>
    </row>
    <row r="654" spans="1:5">
      <c r="A654" s="4" t="s">
        <v>2966</v>
      </c>
      <c r="B654" s="5" t="s">
        <v>3728</v>
      </c>
      <c r="C654" s="6" t="s">
        <v>23</v>
      </c>
      <c r="D654" s="6" t="s">
        <v>4445</v>
      </c>
      <c r="E654" s="7" t="s">
        <v>4443</v>
      </c>
    </row>
    <row r="655" spans="1:5">
      <c r="A655" s="4" t="s">
        <v>2988</v>
      </c>
      <c r="B655" s="5" t="s">
        <v>3750</v>
      </c>
      <c r="C655" s="6" t="s">
        <v>23</v>
      </c>
      <c r="D655" s="6" t="s">
        <v>4445</v>
      </c>
      <c r="E655" s="7" t="s">
        <v>4443</v>
      </c>
    </row>
    <row r="656" spans="1:5">
      <c r="A656" s="4" t="s">
        <v>2931</v>
      </c>
      <c r="B656" s="5" t="s">
        <v>3693</v>
      </c>
      <c r="C656" s="6" t="s">
        <v>23</v>
      </c>
      <c r="D656" s="6" t="s">
        <v>4445</v>
      </c>
      <c r="E656" s="7" t="s">
        <v>4443</v>
      </c>
    </row>
    <row r="657" spans="1:5">
      <c r="A657" s="4" t="s">
        <v>2960</v>
      </c>
      <c r="B657" s="5" t="s">
        <v>3722</v>
      </c>
      <c r="C657" s="6" t="s">
        <v>23</v>
      </c>
      <c r="D657" s="6" t="s">
        <v>4445</v>
      </c>
      <c r="E657" s="7" t="s">
        <v>4443</v>
      </c>
    </row>
    <row r="658" spans="1:5">
      <c r="A658" s="4" t="s">
        <v>2998</v>
      </c>
      <c r="B658" s="5" t="s">
        <v>3760</v>
      </c>
      <c r="C658" s="6" t="s">
        <v>23</v>
      </c>
      <c r="D658" s="6" t="s">
        <v>4445</v>
      </c>
      <c r="E658" s="7" t="s">
        <v>4443</v>
      </c>
    </row>
    <row r="659" spans="1:5">
      <c r="A659" s="4" t="s">
        <v>2980</v>
      </c>
      <c r="B659" s="5" t="s">
        <v>3742</v>
      </c>
      <c r="C659" s="6" t="s">
        <v>23</v>
      </c>
      <c r="D659" s="6" t="s">
        <v>4445</v>
      </c>
      <c r="E659" s="7" t="s">
        <v>4443</v>
      </c>
    </row>
    <row r="660" spans="1:5">
      <c r="A660" s="4" t="s">
        <v>2967</v>
      </c>
      <c r="B660" s="5" t="s">
        <v>3729</v>
      </c>
      <c r="C660" s="6" t="s">
        <v>23</v>
      </c>
      <c r="D660" s="6" t="s">
        <v>4445</v>
      </c>
      <c r="E660" s="7" t="s">
        <v>4443</v>
      </c>
    </row>
    <row r="661" spans="1:5">
      <c r="A661" s="4" t="s">
        <v>2961</v>
      </c>
      <c r="B661" s="5" t="s">
        <v>3723</v>
      </c>
      <c r="C661" s="6" t="s">
        <v>23</v>
      </c>
      <c r="D661" s="6" t="s">
        <v>4445</v>
      </c>
      <c r="E661" s="7" t="s">
        <v>4443</v>
      </c>
    </row>
    <row r="662" spans="1:5">
      <c r="A662" s="4" t="s">
        <v>2932</v>
      </c>
      <c r="B662" s="5" t="s">
        <v>3694</v>
      </c>
      <c r="C662" s="6" t="s">
        <v>23</v>
      </c>
      <c r="D662" s="6" t="s">
        <v>4445</v>
      </c>
      <c r="E662" s="7" t="s">
        <v>4443</v>
      </c>
    </row>
    <row r="663" spans="1:5">
      <c r="A663" s="4" t="s">
        <v>2995</v>
      </c>
      <c r="B663" s="5" t="s">
        <v>3757</v>
      </c>
      <c r="C663" s="6" t="s">
        <v>23</v>
      </c>
      <c r="D663" s="6" t="s">
        <v>4445</v>
      </c>
      <c r="E663" s="7" t="s">
        <v>4443</v>
      </c>
    </row>
    <row r="664" spans="1:5">
      <c r="A664" s="4" t="s">
        <v>2989</v>
      </c>
      <c r="B664" s="5" t="s">
        <v>3751</v>
      </c>
      <c r="C664" s="6" t="s">
        <v>23</v>
      </c>
      <c r="D664" s="6" t="s">
        <v>4445</v>
      </c>
      <c r="E664" s="7" t="s">
        <v>4443</v>
      </c>
    </row>
    <row r="665" spans="1:5">
      <c r="A665" s="4" t="s">
        <v>2974</v>
      </c>
      <c r="B665" s="5" t="s">
        <v>3736</v>
      </c>
      <c r="C665" s="6" t="s">
        <v>23</v>
      </c>
      <c r="D665" s="6" t="s">
        <v>4445</v>
      </c>
      <c r="E665" s="7" t="s">
        <v>4443</v>
      </c>
    </row>
    <row r="666" spans="1:5">
      <c r="A666" s="4" t="s">
        <v>2974</v>
      </c>
      <c r="B666" s="5" t="s">
        <v>3766</v>
      </c>
      <c r="C666" s="6" t="s">
        <v>23</v>
      </c>
      <c r="D666" s="6" t="s">
        <v>4445</v>
      </c>
      <c r="E666" s="7" t="s">
        <v>4443</v>
      </c>
    </row>
    <row r="667" spans="1:5">
      <c r="A667" s="4" t="s">
        <v>2975</v>
      </c>
      <c r="B667" s="5" t="s">
        <v>3737</v>
      </c>
      <c r="C667" s="6" t="s">
        <v>23</v>
      </c>
      <c r="D667" s="6" t="s">
        <v>4445</v>
      </c>
      <c r="E667" s="7" t="s">
        <v>4443</v>
      </c>
    </row>
    <row r="668" spans="1:5">
      <c r="A668" s="4" t="s">
        <v>2975</v>
      </c>
      <c r="B668" s="5" t="s">
        <v>3767</v>
      </c>
      <c r="C668" s="6" t="s">
        <v>23</v>
      </c>
      <c r="D668" s="6" t="s">
        <v>4445</v>
      </c>
      <c r="E668" s="7" t="s">
        <v>4443</v>
      </c>
    </row>
    <row r="669" spans="1:5">
      <c r="A669" s="4" t="s">
        <v>2999</v>
      </c>
      <c r="B669" s="5" t="s">
        <v>3761</v>
      </c>
      <c r="C669" s="6" t="s">
        <v>23</v>
      </c>
      <c r="D669" s="6" t="s">
        <v>4445</v>
      </c>
      <c r="E669" s="7" t="s">
        <v>4443</v>
      </c>
    </row>
    <row r="670" spans="1:5">
      <c r="A670" s="4" t="s">
        <v>2981</v>
      </c>
      <c r="B670" s="5" t="s">
        <v>3743</v>
      </c>
      <c r="C670" s="6" t="s">
        <v>23</v>
      </c>
      <c r="D670" s="6" t="s">
        <v>4445</v>
      </c>
      <c r="E670" s="7" t="s">
        <v>4443</v>
      </c>
    </row>
    <row r="671" spans="1:5">
      <c r="A671" s="4" t="s">
        <v>2968</v>
      </c>
      <c r="B671" s="5" t="s">
        <v>3730</v>
      </c>
      <c r="C671" s="6" t="s">
        <v>23</v>
      </c>
      <c r="D671" s="6" t="s">
        <v>4445</v>
      </c>
      <c r="E671" s="7" t="s">
        <v>4443</v>
      </c>
    </row>
    <row r="672" spans="1:5">
      <c r="A672" s="4" t="s">
        <v>2990</v>
      </c>
      <c r="B672" s="5" t="s">
        <v>3752</v>
      </c>
      <c r="C672" s="6" t="s">
        <v>23</v>
      </c>
      <c r="D672" s="6" t="s">
        <v>4445</v>
      </c>
      <c r="E672" s="7" t="s">
        <v>4443</v>
      </c>
    </row>
    <row r="673" spans="1:5">
      <c r="A673" s="4" t="s">
        <v>2962</v>
      </c>
      <c r="B673" s="5" t="s">
        <v>3724</v>
      </c>
      <c r="C673" s="6" t="s">
        <v>23</v>
      </c>
      <c r="D673" s="6" t="s">
        <v>4445</v>
      </c>
      <c r="E673" s="7" t="s">
        <v>4443</v>
      </c>
    </row>
    <row r="674" spans="1:5">
      <c r="A674" s="4" t="s">
        <v>3315</v>
      </c>
      <c r="B674" s="5" t="s">
        <v>4088</v>
      </c>
      <c r="C674" s="6" t="s">
        <v>23</v>
      </c>
      <c r="D674" s="6" t="s">
        <v>4445</v>
      </c>
      <c r="E674" s="7" t="s">
        <v>4443</v>
      </c>
    </row>
    <row r="675" spans="1:5">
      <c r="A675" s="4" t="s">
        <v>2976</v>
      </c>
      <c r="B675" s="5" t="s">
        <v>3738</v>
      </c>
      <c r="C675" s="6" t="s">
        <v>23</v>
      </c>
      <c r="D675" s="6" t="s">
        <v>4445</v>
      </c>
      <c r="E675" s="7" t="s">
        <v>4443</v>
      </c>
    </row>
    <row r="676" spans="1:5">
      <c r="A676" s="4" t="s">
        <v>2976</v>
      </c>
      <c r="B676" s="5" t="s">
        <v>3768</v>
      </c>
      <c r="C676" s="6" t="s">
        <v>23</v>
      </c>
      <c r="D676" s="6" t="s">
        <v>4445</v>
      </c>
      <c r="E676" s="7" t="s">
        <v>4443</v>
      </c>
    </row>
    <row r="677" spans="1:5">
      <c r="A677" s="4" t="s">
        <v>3000</v>
      </c>
      <c r="B677" s="5" t="s">
        <v>3762</v>
      </c>
      <c r="C677" s="6" t="s">
        <v>23</v>
      </c>
      <c r="D677" s="6" t="s">
        <v>4445</v>
      </c>
      <c r="E677" s="7" t="s">
        <v>4443</v>
      </c>
    </row>
    <row r="678" spans="1:5">
      <c r="A678" s="4" t="s">
        <v>2982</v>
      </c>
      <c r="B678" s="5" t="s">
        <v>3744</v>
      </c>
      <c r="C678" s="6" t="s">
        <v>23</v>
      </c>
      <c r="D678" s="6" t="s">
        <v>4445</v>
      </c>
      <c r="E678" s="7" t="s">
        <v>4443</v>
      </c>
    </row>
    <row r="679" spans="1:5">
      <c r="A679" s="4" t="s">
        <v>2969</v>
      </c>
      <c r="B679" s="5" t="s">
        <v>3731</v>
      </c>
      <c r="C679" s="6" t="s">
        <v>23</v>
      </c>
      <c r="D679" s="6" t="s">
        <v>4445</v>
      </c>
      <c r="E679" s="7" t="s">
        <v>4443</v>
      </c>
    </row>
    <row r="680" spans="1:5">
      <c r="A680" s="4" t="s">
        <v>2991</v>
      </c>
      <c r="B680" s="5" t="s">
        <v>3753</v>
      </c>
      <c r="C680" s="6" t="s">
        <v>23</v>
      </c>
      <c r="D680" s="6" t="s">
        <v>4445</v>
      </c>
      <c r="E680" s="7" t="s">
        <v>4443</v>
      </c>
    </row>
    <row r="681" spans="1:5">
      <c r="A681" s="11" t="s">
        <v>2963</v>
      </c>
      <c r="B681" s="5" t="s">
        <v>3725</v>
      </c>
      <c r="C681" s="12" t="s">
        <v>23</v>
      </c>
      <c r="D681" s="12" t="s">
        <v>4445</v>
      </c>
      <c r="E681" s="7" t="s">
        <v>4443</v>
      </c>
    </row>
    <row r="682" spans="1:5">
      <c r="A682" s="11" t="s">
        <v>3535</v>
      </c>
      <c r="B682" s="5" t="s">
        <v>4309</v>
      </c>
      <c r="C682" s="12" t="s">
        <v>23</v>
      </c>
      <c r="D682" s="12" t="s">
        <v>4445</v>
      </c>
      <c r="E682" s="7" t="s">
        <v>4443</v>
      </c>
    </row>
    <row r="683" spans="1:5">
      <c r="A683" s="4" t="s">
        <v>2985</v>
      </c>
      <c r="B683" s="5" t="s">
        <v>3747</v>
      </c>
      <c r="C683" s="6" t="s">
        <v>23</v>
      </c>
      <c r="D683" s="6" t="s">
        <v>4445</v>
      </c>
      <c r="E683" s="7" t="s">
        <v>4443</v>
      </c>
    </row>
    <row r="684" spans="1:5">
      <c r="A684" s="4" t="s">
        <v>3515</v>
      </c>
      <c r="B684" s="5" t="s">
        <v>4289</v>
      </c>
      <c r="C684" s="6" t="s">
        <v>23</v>
      </c>
      <c r="D684" s="6" t="s">
        <v>4445</v>
      </c>
      <c r="E684" s="7" t="s">
        <v>4443</v>
      </c>
    </row>
    <row r="685" spans="1:5">
      <c r="A685" s="4" t="s">
        <v>2919</v>
      </c>
      <c r="B685" s="5" t="s">
        <v>3681</v>
      </c>
      <c r="C685" s="6" t="s">
        <v>23</v>
      </c>
      <c r="D685" s="6" t="s">
        <v>4445</v>
      </c>
      <c r="E685" s="7" t="s">
        <v>4443</v>
      </c>
    </row>
    <row r="686" spans="1:5">
      <c r="A686" s="4" t="s">
        <v>2917</v>
      </c>
      <c r="B686" s="5" t="s">
        <v>3679</v>
      </c>
      <c r="C686" s="6" t="s">
        <v>23</v>
      </c>
      <c r="D686" s="6" t="s">
        <v>4445</v>
      </c>
      <c r="E686" s="7" t="s">
        <v>4443</v>
      </c>
    </row>
    <row r="687" spans="1:5">
      <c r="A687" s="4" t="s">
        <v>2926</v>
      </c>
      <c r="B687" s="5" t="s">
        <v>3688</v>
      </c>
      <c r="C687" s="6" t="s">
        <v>23</v>
      </c>
      <c r="D687" s="6" t="s">
        <v>4445</v>
      </c>
      <c r="E687" s="7" t="s">
        <v>4443</v>
      </c>
    </row>
    <row r="688" spans="1:5">
      <c r="A688" s="4" t="s">
        <v>2920</v>
      </c>
      <c r="B688" s="5" t="s">
        <v>3682</v>
      </c>
      <c r="C688" s="6" t="s">
        <v>23</v>
      </c>
      <c r="D688" s="6" t="s">
        <v>4445</v>
      </c>
      <c r="E688" s="7" t="s">
        <v>4443</v>
      </c>
    </row>
    <row r="689" spans="1:5">
      <c r="A689" s="4" t="s">
        <v>2923</v>
      </c>
      <c r="B689" s="5" t="s">
        <v>3685</v>
      </c>
      <c r="C689" s="6" t="s">
        <v>23</v>
      </c>
      <c r="D689" s="6" t="s">
        <v>4445</v>
      </c>
      <c r="E689" s="7" t="s">
        <v>4443</v>
      </c>
    </row>
    <row r="690" spans="1:5">
      <c r="A690" s="4" t="s">
        <v>2918</v>
      </c>
      <c r="B690" s="5" t="s">
        <v>3680</v>
      </c>
      <c r="C690" s="6" t="s">
        <v>23</v>
      </c>
      <c r="D690" s="6" t="s">
        <v>4445</v>
      </c>
      <c r="E690" s="7" t="s">
        <v>4443</v>
      </c>
    </row>
    <row r="691" spans="1:5">
      <c r="A691" s="4" t="s">
        <v>2977</v>
      </c>
      <c r="B691" s="5" t="s">
        <v>3739</v>
      </c>
      <c r="C691" s="6" t="s">
        <v>23</v>
      </c>
      <c r="D691" s="6" t="s">
        <v>4445</v>
      </c>
      <c r="E691" s="7" t="s">
        <v>4443</v>
      </c>
    </row>
    <row r="692" spans="1:5">
      <c r="A692" s="4" t="s">
        <v>2977</v>
      </c>
      <c r="B692" s="5" t="s">
        <v>3769</v>
      </c>
      <c r="C692" s="6" t="s">
        <v>23</v>
      </c>
      <c r="D692" s="6" t="s">
        <v>4445</v>
      </c>
      <c r="E692" s="7" t="s">
        <v>4443</v>
      </c>
    </row>
    <row r="693" spans="1:5">
      <c r="A693" s="4" t="s">
        <v>3001</v>
      </c>
      <c r="B693" s="5" t="s">
        <v>3763</v>
      </c>
      <c r="C693" s="6" t="s">
        <v>23</v>
      </c>
      <c r="D693" s="6" t="s">
        <v>4445</v>
      </c>
      <c r="E693" s="7" t="s">
        <v>4443</v>
      </c>
    </row>
    <row r="694" spans="1:5">
      <c r="A694" s="4" t="s">
        <v>2983</v>
      </c>
      <c r="B694" s="5" t="s">
        <v>3745</v>
      </c>
      <c r="C694" s="6" t="s">
        <v>23</v>
      </c>
      <c r="D694" s="6" t="s">
        <v>4445</v>
      </c>
      <c r="E694" s="7" t="s">
        <v>4443</v>
      </c>
    </row>
    <row r="695" spans="1:5">
      <c r="A695" s="4" t="s">
        <v>2970</v>
      </c>
      <c r="B695" s="5" t="s">
        <v>3732</v>
      </c>
      <c r="C695" s="6" t="s">
        <v>23</v>
      </c>
      <c r="D695" s="6" t="s">
        <v>4445</v>
      </c>
      <c r="E695" s="7" t="s">
        <v>4443</v>
      </c>
    </row>
    <row r="696" spans="1:5">
      <c r="A696" s="4" t="s">
        <v>2992</v>
      </c>
      <c r="B696" s="5" t="s">
        <v>3754</v>
      </c>
      <c r="C696" s="6" t="s">
        <v>23</v>
      </c>
      <c r="D696" s="6" t="s">
        <v>4445</v>
      </c>
      <c r="E696" s="7" t="s">
        <v>4443</v>
      </c>
    </row>
    <row r="697" spans="1:5">
      <c r="A697" s="4" t="s">
        <v>2964</v>
      </c>
      <c r="B697" s="5" t="s">
        <v>3726</v>
      </c>
      <c r="C697" s="6" t="s">
        <v>23</v>
      </c>
      <c r="D697" s="6" t="s">
        <v>4445</v>
      </c>
      <c r="E697" s="7" t="s">
        <v>4443</v>
      </c>
    </row>
    <row r="698" spans="1:5">
      <c r="A698" s="4" t="s">
        <v>3503</v>
      </c>
      <c r="B698" s="5" t="s">
        <v>4277</v>
      </c>
      <c r="C698" s="6" t="s">
        <v>23</v>
      </c>
      <c r="D698" s="6" t="s">
        <v>4445</v>
      </c>
      <c r="E698" s="7" t="s">
        <v>4443</v>
      </c>
    </row>
    <row r="699" spans="1:5">
      <c r="A699" s="4" t="s">
        <v>3519</v>
      </c>
      <c r="B699" s="5" t="s">
        <v>4293</v>
      </c>
      <c r="C699" s="6" t="s">
        <v>23</v>
      </c>
      <c r="D699" s="6" t="s">
        <v>4445</v>
      </c>
      <c r="E699" s="7" t="s">
        <v>4443</v>
      </c>
    </row>
    <row r="700" spans="1:5">
      <c r="A700" s="4" t="s">
        <v>2986</v>
      </c>
      <c r="B700" s="5" t="s">
        <v>3748</v>
      </c>
      <c r="C700" s="6" t="s">
        <v>23</v>
      </c>
      <c r="D700" s="6" t="s">
        <v>4445</v>
      </c>
      <c r="E700" s="7" t="s">
        <v>4443</v>
      </c>
    </row>
    <row r="701" spans="1:5">
      <c r="A701" s="4" t="s">
        <v>2972</v>
      </c>
      <c r="B701" s="5" t="s">
        <v>3734</v>
      </c>
      <c r="C701" s="6" t="s">
        <v>23</v>
      </c>
      <c r="D701" s="6" t="s">
        <v>4445</v>
      </c>
      <c r="E701" s="7" t="s">
        <v>4443</v>
      </c>
    </row>
    <row r="702" spans="1:5">
      <c r="A702" s="4" t="s">
        <v>3401</v>
      </c>
      <c r="B702" s="5" t="s">
        <v>4174</v>
      </c>
      <c r="C702" s="6" t="s">
        <v>23</v>
      </c>
      <c r="D702" s="6" t="s">
        <v>4445</v>
      </c>
      <c r="E702" s="7" t="s">
        <v>4443</v>
      </c>
    </row>
    <row r="703" spans="1:5">
      <c r="A703" s="4" t="s">
        <v>3568</v>
      </c>
      <c r="B703" s="5" t="s">
        <v>4344</v>
      </c>
      <c r="C703" s="6" t="s">
        <v>23</v>
      </c>
      <c r="D703" s="6" t="s">
        <v>4445</v>
      </c>
      <c r="E703" s="7" t="s">
        <v>4443</v>
      </c>
    </row>
    <row r="704" spans="1:5">
      <c r="A704" s="4" t="s">
        <v>3510</v>
      </c>
      <c r="B704" s="5" t="s">
        <v>4284</v>
      </c>
      <c r="C704" s="6" t="s">
        <v>23</v>
      </c>
      <c r="D704" s="6" t="s">
        <v>4445</v>
      </c>
      <c r="E704" s="7" t="s">
        <v>4443</v>
      </c>
    </row>
    <row r="705" spans="1:5">
      <c r="A705" s="4" t="s">
        <v>2941</v>
      </c>
      <c r="B705" s="5" t="s">
        <v>3703</v>
      </c>
      <c r="C705" s="6" t="s">
        <v>23</v>
      </c>
      <c r="D705" s="6" t="s">
        <v>4445</v>
      </c>
      <c r="E705" s="7" t="s">
        <v>4443</v>
      </c>
    </row>
    <row r="706" spans="1:5">
      <c r="A706" s="4" t="s">
        <v>2994</v>
      </c>
      <c r="B706" s="5" t="s">
        <v>3756</v>
      </c>
      <c r="C706" s="6" t="s">
        <v>23</v>
      </c>
      <c r="D706" s="6" t="s">
        <v>4445</v>
      </c>
      <c r="E706" s="7" t="s">
        <v>4443</v>
      </c>
    </row>
    <row r="707" spans="1:5">
      <c r="A707" s="4" t="s">
        <v>2978</v>
      </c>
      <c r="B707" s="5" t="s">
        <v>3740</v>
      </c>
      <c r="C707" s="6" t="s">
        <v>23</v>
      </c>
      <c r="D707" s="6" t="s">
        <v>4445</v>
      </c>
      <c r="E707" s="7" t="s">
        <v>4443</v>
      </c>
    </row>
    <row r="708" spans="1:5">
      <c r="A708" s="4" t="s">
        <v>2978</v>
      </c>
      <c r="B708" s="5" t="s">
        <v>3770</v>
      </c>
      <c r="C708" s="6" t="s">
        <v>23</v>
      </c>
      <c r="D708" s="6" t="s">
        <v>4445</v>
      </c>
      <c r="E708" s="7" t="s">
        <v>4443</v>
      </c>
    </row>
    <row r="709" spans="1:5">
      <c r="A709" s="4" t="s">
        <v>3002</v>
      </c>
      <c r="B709" s="5" t="s">
        <v>3764</v>
      </c>
      <c r="C709" s="6" t="s">
        <v>23</v>
      </c>
      <c r="D709" s="6" t="s">
        <v>4445</v>
      </c>
      <c r="E709" s="7" t="s">
        <v>4443</v>
      </c>
    </row>
    <row r="710" spans="1:5">
      <c r="A710" s="4" t="s">
        <v>2984</v>
      </c>
      <c r="B710" s="5" t="s">
        <v>3746</v>
      </c>
      <c r="C710" s="6" t="s">
        <v>23</v>
      </c>
      <c r="D710" s="6" t="s">
        <v>4445</v>
      </c>
      <c r="E710" s="7" t="s">
        <v>4443</v>
      </c>
    </row>
    <row r="711" spans="1:5">
      <c r="A711" s="4" t="s">
        <v>2971</v>
      </c>
      <c r="B711" s="5" t="s">
        <v>3733</v>
      </c>
      <c r="C711" s="6" t="s">
        <v>23</v>
      </c>
      <c r="D711" s="6" t="s">
        <v>4445</v>
      </c>
      <c r="E711" s="7" t="s">
        <v>4443</v>
      </c>
    </row>
    <row r="712" spans="1:5">
      <c r="A712" s="4" t="s">
        <v>2993</v>
      </c>
      <c r="B712" s="5" t="s">
        <v>3755</v>
      </c>
      <c r="C712" s="6" t="s">
        <v>23</v>
      </c>
      <c r="D712" s="6" t="s">
        <v>4445</v>
      </c>
      <c r="E712" s="7" t="s">
        <v>4443</v>
      </c>
    </row>
    <row r="713" spans="1:5">
      <c r="A713" s="11" t="s">
        <v>2965</v>
      </c>
      <c r="B713" s="5" t="s">
        <v>3727</v>
      </c>
      <c r="C713" s="12" t="s">
        <v>23</v>
      </c>
      <c r="D713" s="12" t="s">
        <v>4445</v>
      </c>
      <c r="E713" s="7" t="s">
        <v>4443</v>
      </c>
    </row>
    <row r="714" spans="1:5">
      <c r="A714" s="11" t="s">
        <v>3541</v>
      </c>
      <c r="B714" s="5" t="s">
        <v>4315</v>
      </c>
      <c r="C714" s="12" t="s">
        <v>23</v>
      </c>
      <c r="D714" s="12" t="s">
        <v>4445</v>
      </c>
      <c r="E714" s="7" t="s">
        <v>4443</v>
      </c>
    </row>
    <row r="715" spans="1:5">
      <c r="A715" s="11" t="s">
        <v>3533</v>
      </c>
      <c r="B715" s="5" t="s">
        <v>4307</v>
      </c>
      <c r="C715" s="12" t="s">
        <v>23</v>
      </c>
      <c r="D715" s="12" t="s">
        <v>4445</v>
      </c>
      <c r="E715" s="7" t="s">
        <v>4443</v>
      </c>
    </row>
    <row r="716" spans="1:5">
      <c r="A716" s="4" t="s">
        <v>3225</v>
      </c>
      <c r="B716" s="5" t="s">
        <v>3995</v>
      </c>
      <c r="C716" s="6" t="s">
        <v>23</v>
      </c>
      <c r="D716" s="6" t="s">
        <v>4445</v>
      </c>
      <c r="E716" s="7" t="s">
        <v>4443</v>
      </c>
    </row>
    <row r="717" spans="1:5">
      <c r="A717" s="11" t="s">
        <v>3220</v>
      </c>
      <c r="B717" s="5" t="s">
        <v>3990</v>
      </c>
      <c r="C717" s="12" t="s">
        <v>23</v>
      </c>
      <c r="D717" s="12" t="s">
        <v>4445</v>
      </c>
      <c r="E717" s="7" t="s">
        <v>4443</v>
      </c>
    </row>
    <row r="718" spans="1:5">
      <c r="A718" s="4" t="s">
        <v>3221</v>
      </c>
      <c r="B718" s="5" t="s">
        <v>3991</v>
      </c>
      <c r="C718" s="6" t="s">
        <v>23</v>
      </c>
      <c r="D718" s="6" t="s">
        <v>4445</v>
      </c>
      <c r="E718" s="7" t="s">
        <v>4443</v>
      </c>
    </row>
    <row r="719" spans="1:5">
      <c r="A719" s="4" t="s">
        <v>3222</v>
      </c>
      <c r="B719" s="5" t="s">
        <v>3992</v>
      </c>
      <c r="C719" s="6" t="s">
        <v>23</v>
      </c>
      <c r="D719" s="6" t="s">
        <v>4445</v>
      </c>
      <c r="E719" s="7" t="s">
        <v>4443</v>
      </c>
    </row>
    <row r="720" spans="1:5">
      <c r="A720" s="4" t="s">
        <v>3223</v>
      </c>
      <c r="B720" s="5" t="s">
        <v>3993</v>
      </c>
      <c r="C720" s="6" t="s">
        <v>23</v>
      </c>
      <c r="D720" s="6" t="s">
        <v>4445</v>
      </c>
      <c r="E720" s="7" t="s">
        <v>4443</v>
      </c>
    </row>
    <row r="721" spans="1:5">
      <c r="A721" s="4" t="s">
        <v>3558</v>
      </c>
      <c r="B721" s="5" t="s">
        <v>4333</v>
      </c>
      <c r="C721" s="6" t="s">
        <v>23</v>
      </c>
      <c r="D721" s="6" t="s">
        <v>4445</v>
      </c>
      <c r="E721" s="7" t="s">
        <v>4443</v>
      </c>
    </row>
    <row r="722" spans="1:5">
      <c r="A722" s="4" t="s">
        <v>3072</v>
      </c>
      <c r="B722" s="5" t="s">
        <v>3841</v>
      </c>
      <c r="C722" s="6" t="s">
        <v>23</v>
      </c>
      <c r="D722" s="6" t="s">
        <v>4445</v>
      </c>
      <c r="E722" s="7" t="s">
        <v>4443</v>
      </c>
    </row>
    <row r="723" spans="1:5">
      <c r="A723" s="4" t="s">
        <v>2925</v>
      </c>
      <c r="B723" s="5" t="s">
        <v>3687</v>
      </c>
      <c r="C723" s="6" t="s">
        <v>23</v>
      </c>
      <c r="D723" s="6" t="s">
        <v>4445</v>
      </c>
      <c r="E723" s="7" t="s">
        <v>4443</v>
      </c>
    </row>
    <row r="724" spans="1:5">
      <c r="A724" s="4" t="s">
        <v>2921</v>
      </c>
      <c r="B724" s="5" t="s">
        <v>3683</v>
      </c>
      <c r="C724" s="6" t="s">
        <v>23</v>
      </c>
      <c r="D724" s="6" t="s">
        <v>4445</v>
      </c>
      <c r="E724" s="7" t="s">
        <v>4443</v>
      </c>
    </row>
    <row r="725" spans="1:5">
      <c r="A725" s="4" t="s">
        <v>2922</v>
      </c>
      <c r="B725" s="5" t="s">
        <v>3684</v>
      </c>
      <c r="C725" s="6" t="s">
        <v>23</v>
      </c>
      <c r="D725" s="6" t="s">
        <v>4445</v>
      </c>
      <c r="E725" s="7" t="s">
        <v>4443</v>
      </c>
    </row>
    <row r="726" spans="1:5">
      <c r="A726" s="4" t="s">
        <v>3068</v>
      </c>
      <c r="B726" s="5" t="s">
        <v>3837</v>
      </c>
      <c r="C726" s="6" t="s">
        <v>23</v>
      </c>
      <c r="D726" s="6" t="s">
        <v>4445</v>
      </c>
      <c r="E726" s="7" t="s">
        <v>4443</v>
      </c>
    </row>
    <row r="727" spans="1:5">
      <c r="A727" s="4" t="s">
        <v>3066</v>
      </c>
      <c r="B727" s="5" t="s">
        <v>3835</v>
      </c>
      <c r="C727" s="6" t="s">
        <v>23</v>
      </c>
      <c r="D727" s="6" t="s">
        <v>4445</v>
      </c>
      <c r="E727" s="7" t="s">
        <v>4443</v>
      </c>
    </row>
    <row r="728" spans="1:5">
      <c r="A728" s="4" t="s">
        <v>3070</v>
      </c>
      <c r="B728" s="5" t="s">
        <v>3839</v>
      </c>
      <c r="C728" s="6" t="s">
        <v>23</v>
      </c>
      <c r="D728" s="6" t="s">
        <v>4445</v>
      </c>
      <c r="E728" s="7" t="s">
        <v>4443</v>
      </c>
    </row>
    <row r="729" spans="1:5">
      <c r="A729" s="4" t="s">
        <v>3227</v>
      </c>
      <c r="B729" s="5" t="s">
        <v>3997</v>
      </c>
      <c r="C729" s="6" t="s">
        <v>23</v>
      </c>
      <c r="D729" s="6" t="s">
        <v>4445</v>
      </c>
      <c r="E729" s="7" t="s">
        <v>4443</v>
      </c>
    </row>
    <row r="730" spans="1:5">
      <c r="A730" s="4" t="s">
        <v>3052</v>
      </c>
      <c r="B730" s="5" t="s">
        <v>3821</v>
      </c>
      <c r="C730" s="6" t="s">
        <v>23</v>
      </c>
      <c r="D730" s="6" t="s">
        <v>4445</v>
      </c>
      <c r="E730" s="7" t="s">
        <v>4443</v>
      </c>
    </row>
    <row r="731" spans="1:5">
      <c r="A731" s="4" t="s">
        <v>3549</v>
      </c>
      <c r="B731" s="5" t="s">
        <v>4324</v>
      </c>
      <c r="C731" s="6" t="s">
        <v>23</v>
      </c>
      <c r="D731" s="6" t="s">
        <v>4445</v>
      </c>
      <c r="E731" s="7" t="s">
        <v>4443</v>
      </c>
    </row>
    <row r="732" spans="1:5">
      <c r="A732" s="4" t="s">
        <v>3053</v>
      </c>
      <c r="B732" s="5" t="s">
        <v>3822</v>
      </c>
      <c r="C732" s="6" t="s">
        <v>23</v>
      </c>
      <c r="D732" s="6" t="s">
        <v>4445</v>
      </c>
      <c r="E732" s="7" t="s">
        <v>4443</v>
      </c>
    </row>
    <row r="733" spans="1:5">
      <c r="A733" s="4" t="s">
        <v>3063</v>
      </c>
      <c r="B733" s="5" t="s">
        <v>3832</v>
      </c>
      <c r="C733" s="6" t="s">
        <v>23</v>
      </c>
      <c r="D733" s="6" t="s">
        <v>4445</v>
      </c>
      <c r="E733" s="7" t="s">
        <v>4443</v>
      </c>
    </row>
    <row r="734" spans="1:5">
      <c r="A734" s="4" t="s">
        <v>3054</v>
      </c>
      <c r="B734" s="5" t="s">
        <v>3823</v>
      </c>
      <c r="C734" s="6" t="s">
        <v>23</v>
      </c>
      <c r="D734" s="6" t="s">
        <v>4445</v>
      </c>
      <c r="E734" s="7" t="s">
        <v>4443</v>
      </c>
    </row>
    <row r="735" spans="1:5">
      <c r="A735" s="4" t="s">
        <v>3059</v>
      </c>
      <c r="B735" s="5" t="s">
        <v>3828</v>
      </c>
      <c r="C735" s="6" t="s">
        <v>23</v>
      </c>
      <c r="D735" s="6" t="s">
        <v>4445</v>
      </c>
      <c r="E735" s="7" t="s">
        <v>4443</v>
      </c>
    </row>
    <row r="736" spans="1:5">
      <c r="A736" s="4" t="s">
        <v>3055</v>
      </c>
      <c r="B736" s="5" t="s">
        <v>3824</v>
      </c>
      <c r="C736" s="6" t="s">
        <v>23</v>
      </c>
      <c r="D736" s="6" t="s">
        <v>4445</v>
      </c>
      <c r="E736" s="7" t="s">
        <v>4443</v>
      </c>
    </row>
    <row r="737" spans="1:5">
      <c r="A737" s="4" t="s">
        <v>3065</v>
      </c>
      <c r="B737" s="5" t="s">
        <v>3834</v>
      </c>
      <c r="C737" s="6" t="s">
        <v>23</v>
      </c>
      <c r="D737" s="6" t="s">
        <v>4445</v>
      </c>
      <c r="E737" s="7" t="s">
        <v>4443</v>
      </c>
    </row>
    <row r="738" spans="1:5">
      <c r="A738" s="11" t="s">
        <v>3056</v>
      </c>
      <c r="B738" s="5" t="s">
        <v>3825</v>
      </c>
      <c r="C738" s="12" t="s">
        <v>23</v>
      </c>
      <c r="D738" s="12" t="s">
        <v>4445</v>
      </c>
      <c r="E738" s="7" t="s">
        <v>4443</v>
      </c>
    </row>
    <row r="739" spans="1:5">
      <c r="A739" s="4" t="s">
        <v>3069</v>
      </c>
      <c r="B739" s="5" t="s">
        <v>3838</v>
      </c>
      <c r="C739" s="6" t="s">
        <v>23</v>
      </c>
      <c r="D739" s="6" t="s">
        <v>4445</v>
      </c>
      <c r="E739" s="7" t="s">
        <v>4443</v>
      </c>
    </row>
    <row r="740" spans="1:5">
      <c r="A740" s="4" t="s">
        <v>3060</v>
      </c>
      <c r="B740" s="5" t="s">
        <v>3829</v>
      </c>
      <c r="C740" s="6" t="s">
        <v>23</v>
      </c>
      <c r="D740" s="6" t="s">
        <v>4445</v>
      </c>
      <c r="E740" s="7" t="s">
        <v>4443</v>
      </c>
    </row>
    <row r="741" spans="1:5">
      <c r="A741" s="4" t="s">
        <v>3226</v>
      </c>
      <c r="B741" s="5" t="s">
        <v>3996</v>
      </c>
      <c r="C741" s="6" t="s">
        <v>23</v>
      </c>
      <c r="D741" s="6" t="s">
        <v>4445</v>
      </c>
      <c r="E741" s="7" t="s">
        <v>4443</v>
      </c>
    </row>
    <row r="742" spans="1:5">
      <c r="A742" s="4" t="s">
        <v>3057</v>
      </c>
      <c r="B742" s="5" t="s">
        <v>3826</v>
      </c>
      <c r="C742" s="6" t="s">
        <v>23</v>
      </c>
      <c r="D742" s="6" t="s">
        <v>4445</v>
      </c>
      <c r="E742" s="7" t="s">
        <v>4443</v>
      </c>
    </row>
    <row r="743" spans="1:5">
      <c r="A743" s="4" t="s">
        <v>3061</v>
      </c>
      <c r="B743" s="5" t="s">
        <v>3830</v>
      </c>
      <c r="C743" s="6" t="s">
        <v>23</v>
      </c>
      <c r="D743" s="6" t="s">
        <v>4445</v>
      </c>
      <c r="E743" s="7" t="s">
        <v>4443</v>
      </c>
    </row>
    <row r="744" spans="1:5">
      <c r="A744" s="4" t="s">
        <v>3067</v>
      </c>
      <c r="B744" s="5" t="s">
        <v>3836</v>
      </c>
      <c r="C744" s="6" t="s">
        <v>23</v>
      </c>
      <c r="D744" s="6" t="s">
        <v>4445</v>
      </c>
      <c r="E744" s="7" t="s">
        <v>4443</v>
      </c>
    </row>
    <row r="745" spans="1:5">
      <c r="A745" s="4" t="s">
        <v>3058</v>
      </c>
      <c r="B745" s="5" t="s">
        <v>3827</v>
      </c>
      <c r="C745" s="6" t="s">
        <v>23</v>
      </c>
      <c r="D745" s="6" t="s">
        <v>4445</v>
      </c>
      <c r="E745" s="7" t="s">
        <v>4443</v>
      </c>
    </row>
    <row r="746" spans="1:5">
      <c r="A746" s="11" t="s">
        <v>3073</v>
      </c>
      <c r="B746" s="5" t="s">
        <v>3842</v>
      </c>
      <c r="C746" s="12" t="s">
        <v>23</v>
      </c>
      <c r="D746" s="12" t="s">
        <v>4445</v>
      </c>
      <c r="E746" s="7" t="s">
        <v>4443</v>
      </c>
    </row>
    <row r="747" spans="1:5">
      <c r="A747" s="4" t="s">
        <v>3071</v>
      </c>
      <c r="B747" s="5" t="s">
        <v>3840</v>
      </c>
      <c r="C747" s="6" t="s">
        <v>23</v>
      </c>
      <c r="D747" s="6" t="s">
        <v>4445</v>
      </c>
      <c r="E747" s="7" t="s">
        <v>4443</v>
      </c>
    </row>
    <row r="748" spans="1:5">
      <c r="A748" s="4" t="s">
        <v>3062</v>
      </c>
      <c r="B748" s="5" t="s">
        <v>3831</v>
      </c>
      <c r="C748" s="6" t="s">
        <v>23</v>
      </c>
      <c r="D748" s="6" t="s">
        <v>4445</v>
      </c>
      <c r="E748" s="7" t="s">
        <v>4443</v>
      </c>
    </row>
    <row r="749" spans="1:5">
      <c r="A749" s="4" t="s">
        <v>3191</v>
      </c>
      <c r="B749" s="5" t="s">
        <v>3961</v>
      </c>
      <c r="C749" s="6" t="s">
        <v>23</v>
      </c>
      <c r="D749" s="6" t="s">
        <v>4445</v>
      </c>
      <c r="E749" s="7" t="s">
        <v>4443</v>
      </c>
    </row>
    <row r="750" spans="1:5">
      <c r="A750" s="4" t="s">
        <v>3192</v>
      </c>
      <c r="B750" s="5" t="s">
        <v>3962</v>
      </c>
      <c r="C750" s="6" t="s">
        <v>23</v>
      </c>
      <c r="D750" s="6" t="s">
        <v>4445</v>
      </c>
      <c r="E750" s="7" t="s">
        <v>4443</v>
      </c>
    </row>
    <row r="751" spans="1:5">
      <c r="A751" s="4" t="s">
        <v>3193</v>
      </c>
      <c r="B751" s="5" t="s">
        <v>3963</v>
      </c>
      <c r="C751" s="6" t="s">
        <v>23</v>
      </c>
      <c r="D751" s="6" t="s">
        <v>4445</v>
      </c>
      <c r="E751" s="7" t="s">
        <v>4443</v>
      </c>
    </row>
    <row r="752" spans="1:5">
      <c r="A752" s="4" t="s">
        <v>3194</v>
      </c>
      <c r="B752" s="5" t="s">
        <v>3964</v>
      </c>
      <c r="C752" s="6" t="s">
        <v>23</v>
      </c>
      <c r="D752" s="6" t="s">
        <v>4445</v>
      </c>
      <c r="E752" s="7" t="s">
        <v>4443</v>
      </c>
    </row>
    <row r="753" spans="1:5">
      <c r="A753" s="4" t="s">
        <v>3195</v>
      </c>
      <c r="B753" s="5" t="s">
        <v>3965</v>
      </c>
      <c r="C753" s="6" t="s">
        <v>23</v>
      </c>
      <c r="D753" s="6" t="s">
        <v>4445</v>
      </c>
      <c r="E753" s="7" t="s">
        <v>4443</v>
      </c>
    </row>
    <row r="754" spans="1:5">
      <c r="A754" s="4" t="s">
        <v>3196</v>
      </c>
      <c r="B754" s="5" t="s">
        <v>3966</v>
      </c>
      <c r="C754" s="6" t="s">
        <v>23</v>
      </c>
      <c r="D754" s="6" t="s">
        <v>4445</v>
      </c>
      <c r="E754" s="7" t="s">
        <v>4443</v>
      </c>
    </row>
    <row r="755" spans="1:5">
      <c r="A755" s="11" t="s">
        <v>2928</v>
      </c>
      <c r="B755" s="5" t="s">
        <v>3690</v>
      </c>
      <c r="C755" s="12" t="s">
        <v>23</v>
      </c>
      <c r="D755" s="12" t="s">
        <v>4445</v>
      </c>
      <c r="E755" s="7" t="s">
        <v>4443</v>
      </c>
    </row>
    <row r="756" spans="1:5">
      <c r="A756" s="4" t="s">
        <v>3042</v>
      </c>
      <c r="B756" s="5" t="s">
        <v>3811</v>
      </c>
      <c r="C756" s="6" t="s">
        <v>23</v>
      </c>
      <c r="D756" s="6" t="s">
        <v>4445</v>
      </c>
      <c r="E756" s="7" t="s">
        <v>4443</v>
      </c>
    </row>
    <row r="757" spans="1:5">
      <c r="A757" s="4" t="s">
        <v>3041</v>
      </c>
      <c r="B757" s="5" t="s">
        <v>3810</v>
      </c>
      <c r="C757" s="6" t="s">
        <v>23</v>
      </c>
      <c r="D757" s="6" t="s">
        <v>4445</v>
      </c>
      <c r="E757" s="7" t="s">
        <v>4443</v>
      </c>
    </row>
    <row r="758" spans="1:5">
      <c r="A758" s="11" t="s">
        <v>3043</v>
      </c>
      <c r="B758" s="5" t="s">
        <v>3812</v>
      </c>
      <c r="C758" s="12" t="s">
        <v>23</v>
      </c>
      <c r="D758" s="12" t="s">
        <v>4445</v>
      </c>
      <c r="E758" s="7" t="s">
        <v>4443</v>
      </c>
    </row>
    <row r="759" spans="1:5">
      <c r="A759" s="4" t="s">
        <v>3048</v>
      </c>
      <c r="B759" s="5" t="s">
        <v>3817</v>
      </c>
      <c r="C759" s="6" t="s">
        <v>23</v>
      </c>
      <c r="D759" s="6" t="s">
        <v>4445</v>
      </c>
      <c r="E759" s="7" t="s">
        <v>4443</v>
      </c>
    </row>
    <row r="760" spans="1:5">
      <c r="A760" s="11" t="s">
        <v>3049</v>
      </c>
      <c r="B760" s="10" t="s">
        <v>3818</v>
      </c>
      <c r="C760" s="12" t="s">
        <v>23</v>
      </c>
      <c r="D760" s="12" t="s">
        <v>4445</v>
      </c>
      <c r="E760" s="7" t="s">
        <v>4443</v>
      </c>
    </row>
    <row r="761" spans="1:5">
      <c r="A761" s="4" t="s">
        <v>3044</v>
      </c>
      <c r="B761" s="5" t="s">
        <v>3813</v>
      </c>
      <c r="C761" s="6" t="s">
        <v>23</v>
      </c>
      <c r="D761" s="6" t="s">
        <v>4445</v>
      </c>
      <c r="E761" s="7" t="s">
        <v>4443</v>
      </c>
    </row>
    <row r="762" spans="1:5">
      <c r="A762" s="4" t="s">
        <v>3050</v>
      </c>
      <c r="B762" s="5" t="s">
        <v>3819</v>
      </c>
      <c r="C762" s="12" t="s">
        <v>23</v>
      </c>
      <c r="D762" s="12" t="s">
        <v>4445</v>
      </c>
      <c r="E762" s="7" t="s">
        <v>4443</v>
      </c>
    </row>
    <row r="763" spans="1:5">
      <c r="A763" s="4" t="s">
        <v>3045</v>
      </c>
      <c r="B763" s="5" t="s">
        <v>3814</v>
      </c>
      <c r="C763" s="6" t="s">
        <v>23</v>
      </c>
      <c r="D763" s="6" t="s">
        <v>4445</v>
      </c>
      <c r="E763" s="7" t="s">
        <v>4443</v>
      </c>
    </row>
    <row r="764" spans="1:5">
      <c r="A764" s="4" t="s">
        <v>3051</v>
      </c>
      <c r="B764" s="5" t="s">
        <v>3820</v>
      </c>
      <c r="C764" s="6" t="s">
        <v>23</v>
      </c>
      <c r="D764" s="6" t="s">
        <v>4445</v>
      </c>
      <c r="E764" s="7" t="s">
        <v>4443</v>
      </c>
    </row>
    <row r="765" spans="1:5">
      <c r="A765" s="4" t="s">
        <v>3046</v>
      </c>
      <c r="B765" s="5" t="s">
        <v>3815</v>
      </c>
      <c r="C765" s="6" t="s">
        <v>23</v>
      </c>
      <c r="D765" s="6" t="s">
        <v>4445</v>
      </c>
      <c r="E765" s="7" t="s">
        <v>4443</v>
      </c>
    </row>
    <row r="766" spans="1:5">
      <c r="A766" s="4" t="s">
        <v>3064</v>
      </c>
      <c r="B766" s="5" t="s">
        <v>3833</v>
      </c>
      <c r="C766" s="6" t="s">
        <v>23</v>
      </c>
      <c r="D766" s="6" t="s">
        <v>4445</v>
      </c>
      <c r="E766" s="7" t="s">
        <v>4443</v>
      </c>
    </row>
    <row r="767" spans="1:5">
      <c r="A767" s="4" t="s">
        <v>2934</v>
      </c>
      <c r="B767" s="5" t="s">
        <v>3696</v>
      </c>
      <c r="C767" s="6" t="s">
        <v>23</v>
      </c>
      <c r="D767" s="6" t="s">
        <v>4445</v>
      </c>
      <c r="E767" s="7" t="s">
        <v>4443</v>
      </c>
    </row>
    <row r="768" spans="1:5">
      <c r="A768" s="4" t="s">
        <v>2929</v>
      </c>
      <c r="B768" s="5" t="s">
        <v>3691</v>
      </c>
      <c r="C768" s="6" t="s">
        <v>23</v>
      </c>
      <c r="D768" s="6" t="s">
        <v>4445</v>
      </c>
      <c r="E768" s="7" t="s">
        <v>4443</v>
      </c>
    </row>
    <row r="769" spans="1:5">
      <c r="A769" s="4" t="s">
        <v>3508</v>
      </c>
      <c r="B769" s="5" t="s">
        <v>4282</v>
      </c>
      <c r="C769" s="6" t="s">
        <v>23</v>
      </c>
      <c r="D769" s="6" t="s">
        <v>4445</v>
      </c>
      <c r="E769" s="7" t="s">
        <v>4443</v>
      </c>
    </row>
    <row r="770" spans="1:5">
      <c r="A770" s="4" t="s">
        <v>3080</v>
      </c>
      <c r="B770" s="5" t="s">
        <v>3849</v>
      </c>
      <c r="C770" s="6" t="s">
        <v>23</v>
      </c>
      <c r="D770" s="6" t="s">
        <v>4445</v>
      </c>
      <c r="E770" s="7" t="s">
        <v>4443</v>
      </c>
    </row>
    <row r="771" spans="1:5">
      <c r="A771" s="11" t="s">
        <v>2944</v>
      </c>
      <c r="B771" s="5" t="s">
        <v>3706</v>
      </c>
      <c r="C771" s="12" t="s">
        <v>23</v>
      </c>
      <c r="D771" s="12" t="s">
        <v>4445</v>
      </c>
      <c r="E771" s="7" t="s">
        <v>4443</v>
      </c>
    </row>
    <row r="772" spans="1:5">
      <c r="A772" s="4" t="s">
        <v>2945</v>
      </c>
      <c r="B772" s="5" t="s">
        <v>3707</v>
      </c>
      <c r="C772" s="6" t="s">
        <v>23</v>
      </c>
      <c r="D772" s="6" t="s">
        <v>4445</v>
      </c>
      <c r="E772" s="7" t="s">
        <v>4443</v>
      </c>
    </row>
    <row r="773" spans="1:5">
      <c r="A773" s="4" t="s">
        <v>2940</v>
      </c>
      <c r="B773" s="5" t="s">
        <v>3702</v>
      </c>
      <c r="C773" s="6" t="s">
        <v>23</v>
      </c>
      <c r="D773" s="6" t="s">
        <v>4445</v>
      </c>
      <c r="E773" s="7" t="s">
        <v>4443</v>
      </c>
    </row>
    <row r="774" spans="1:5">
      <c r="A774" s="4" t="s">
        <v>3162</v>
      </c>
      <c r="B774" s="5" t="s">
        <v>3932</v>
      </c>
      <c r="C774" s="6" t="s">
        <v>23</v>
      </c>
      <c r="D774" s="6" t="s">
        <v>4445</v>
      </c>
      <c r="E774" s="7" t="s">
        <v>4443</v>
      </c>
    </row>
    <row r="775" spans="1:5">
      <c r="A775" s="4" t="s">
        <v>3163</v>
      </c>
      <c r="B775" s="5" t="s">
        <v>3933</v>
      </c>
      <c r="C775" s="6" t="s">
        <v>23</v>
      </c>
      <c r="D775" s="6" t="s">
        <v>4445</v>
      </c>
      <c r="E775" s="7" t="s">
        <v>4443</v>
      </c>
    </row>
    <row r="776" spans="1:5">
      <c r="A776" s="4" t="s">
        <v>3079</v>
      </c>
      <c r="B776" s="5" t="s">
        <v>3848</v>
      </c>
      <c r="C776" s="6" t="s">
        <v>23</v>
      </c>
      <c r="D776" s="6" t="s">
        <v>4445</v>
      </c>
      <c r="E776" s="7" t="s">
        <v>4443</v>
      </c>
    </row>
    <row r="777" spans="1:5">
      <c r="A777" s="4" t="s">
        <v>2936</v>
      </c>
      <c r="B777" s="5" t="s">
        <v>3698</v>
      </c>
      <c r="C777" s="6" t="s">
        <v>23</v>
      </c>
      <c r="D777" s="6" t="s">
        <v>4445</v>
      </c>
      <c r="E777" s="7" t="s">
        <v>4443</v>
      </c>
    </row>
    <row r="778" spans="1:5">
      <c r="A778" s="4" t="s">
        <v>2935</v>
      </c>
      <c r="B778" s="5" t="s">
        <v>3697</v>
      </c>
      <c r="C778" s="6" t="s">
        <v>23</v>
      </c>
      <c r="D778" s="6" t="s">
        <v>4445</v>
      </c>
      <c r="E778" s="7" t="s">
        <v>4443</v>
      </c>
    </row>
    <row r="779" spans="1:5">
      <c r="A779" s="4" t="s">
        <v>2937</v>
      </c>
      <c r="B779" s="5" t="s">
        <v>3699</v>
      </c>
      <c r="C779" s="6" t="s">
        <v>23</v>
      </c>
      <c r="D779" s="6" t="s">
        <v>4445</v>
      </c>
      <c r="E779" s="7" t="s">
        <v>4443</v>
      </c>
    </row>
    <row r="780" spans="1:5">
      <c r="A780" s="4" t="s">
        <v>2946</v>
      </c>
      <c r="B780" s="5" t="s">
        <v>3708</v>
      </c>
      <c r="C780" s="6" t="s">
        <v>23</v>
      </c>
      <c r="D780" s="6" t="s">
        <v>4445</v>
      </c>
      <c r="E780" s="7" t="s">
        <v>4443</v>
      </c>
    </row>
    <row r="781" spans="1:5">
      <c r="A781" s="4" t="s">
        <v>3003</v>
      </c>
      <c r="B781" s="5" t="s">
        <v>3771</v>
      </c>
      <c r="C781" s="6" t="s">
        <v>23</v>
      </c>
      <c r="D781" s="6" t="s">
        <v>4445</v>
      </c>
      <c r="E781" s="7" t="s">
        <v>4443</v>
      </c>
    </row>
    <row r="782" spans="1:5">
      <c r="A782" s="4" t="s">
        <v>3006</v>
      </c>
      <c r="B782" s="5" t="s">
        <v>3774</v>
      </c>
      <c r="C782" s="6" t="s">
        <v>23</v>
      </c>
      <c r="D782" s="6" t="s">
        <v>4445</v>
      </c>
      <c r="E782" s="7" t="s">
        <v>4443</v>
      </c>
    </row>
    <row r="783" spans="1:5">
      <c r="A783" s="4" t="s">
        <v>3185</v>
      </c>
      <c r="B783" s="5" t="s">
        <v>3955</v>
      </c>
      <c r="C783" s="6" t="s">
        <v>23</v>
      </c>
      <c r="D783" s="6" t="s">
        <v>4445</v>
      </c>
      <c r="E783" s="7" t="s">
        <v>4443</v>
      </c>
    </row>
    <row r="784" spans="1:5">
      <c r="A784" s="4" t="s">
        <v>3186</v>
      </c>
      <c r="B784" s="5" t="s">
        <v>3956</v>
      </c>
      <c r="C784" s="6" t="s">
        <v>23</v>
      </c>
      <c r="D784" s="6" t="s">
        <v>4445</v>
      </c>
      <c r="E784" s="7" t="s">
        <v>4443</v>
      </c>
    </row>
    <row r="785" spans="1:5">
      <c r="A785" s="11" t="s">
        <v>3187</v>
      </c>
      <c r="B785" s="5" t="s">
        <v>3957</v>
      </c>
      <c r="C785" s="12" t="s">
        <v>23</v>
      </c>
      <c r="D785" s="12" t="s">
        <v>4445</v>
      </c>
      <c r="E785" s="7" t="s">
        <v>4443</v>
      </c>
    </row>
    <row r="786" spans="1:5">
      <c r="A786" s="4" t="s">
        <v>3188</v>
      </c>
      <c r="B786" s="5" t="s">
        <v>3958</v>
      </c>
      <c r="C786" s="6" t="s">
        <v>23</v>
      </c>
      <c r="D786" s="6" t="s">
        <v>4445</v>
      </c>
      <c r="E786" s="7" t="s">
        <v>4443</v>
      </c>
    </row>
    <row r="787" spans="1:5">
      <c r="A787" s="4" t="s">
        <v>3189</v>
      </c>
      <c r="B787" s="5" t="s">
        <v>3959</v>
      </c>
      <c r="C787" s="6" t="s">
        <v>23</v>
      </c>
      <c r="D787" s="6" t="s">
        <v>4445</v>
      </c>
      <c r="E787" s="7" t="s">
        <v>4443</v>
      </c>
    </row>
    <row r="788" spans="1:5">
      <c r="A788" s="4" t="s">
        <v>3190</v>
      </c>
      <c r="B788" s="5" t="s">
        <v>3960</v>
      </c>
      <c r="C788" s="6" t="s">
        <v>23</v>
      </c>
      <c r="D788" s="6" t="s">
        <v>4445</v>
      </c>
      <c r="E788" s="7" t="s">
        <v>4443</v>
      </c>
    </row>
    <row r="789" spans="1:5">
      <c r="A789" s="4" t="s">
        <v>2953</v>
      </c>
      <c r="B789" s="5" t="s">
        <v>3715</v>
      </c>
      <c r="C789" s="6" t="s">
        <v>23</v>
      </c>
      <c r="D789" s="6" t="s">
        <v>4445</v>
      </c>
      <c r="E789" s="7" t="s">
        <v>4443</v>
      </c>
    </row>
    <row r="790" spans="1:5">
      <c r="A790" s="4" t="s">
        <v>2947</v>
      </c>
      <c r="B790" s="5" t="s">
        <v>3709</v>
      </c>
      <c r="C790" s="6" t="s">
        <v>23</v>
      </c>
      <c r="D790" s="6" t="s">
        <v>4445</v>
      </c>
      <c r="E790" s="7" t="s">
        <v>4443</v>
      </c>
    </row>
    <row r="791" spans="1:5">
      <c r="A791" s="4" t="s">
        <v>2954</v>
      </c>
      <c r="B791" s="5" t="s">
        <v>3716</v>
      </c>
      <c r="C791" s="6" t="s">
        <v>23</v>
      </c>
      <c r="D791" s="6" t="s">
        <v>4445</v>
      </c>
      <c r="E791" s="7" t="s">
        <v>4443</v>
      </c>
    </row>
    <row r="792" spans="1:5">
      <c r="A792" s="11" t="s">
        <v>2948</v>
      </c>
      <c r="B792" s="5" t="s">
        <v>3710</v>
      </c>
      <c r="C792" s="12" t="s">
        <v>23</v>
      </c>
      <c r="D792" s="12" t="s">
        <v>4445</v>
      </c>
      <c r="E792" s="7" t="s">
        <v>4443</v>
      </c>
    </row>
    <row r="793" spans="1:5">
      <c r="A793" s="4" t="s">
        <v>2955</v>
      </c>
      <c r="B793" s="5" t="s">
        <v>3717</v>
      </c>
      <c r="C793" s="6" t="s">
        <v>23</v>
      </c>
      <c r="D793" s="6" t="s">
        <v>4445</v>
      </c>
      <c r="E793" s="7" t="s">
        <v>4443</v>
      </c>
    </row>
    <row r="794" spans="1:5">
      <c r="A794" s="4" t="s">
        <v>2949</v>
      </c>
      <c r="B794" s="5" t="s">
        <v>3711</v>
      </c>
      <c r="C794" s="6" t="s">
        <v>23</v>
      </c>
      <c r="D794" s="6" t="s">
        <v>4445</v>
      </c>
      <c r="E794" s="7" t="s">
        <v>4443</v>
      </c>
    </row>
    <row r="795" spans="1:5">
      <c r="A795" s="4" t="s">
        <v>2956</v>
      </c>
      <c r="B795" s="5" t="s">
        <v>3718</v>
      </c>
      <c r="C795" s="6" t="s">
        <v>23</v>
      </c>
      <c r="D795" s="6" t="s">
        <v>4445</v>
      </c>
      <c r="E795" s="7" t="s">
        <v>4443</v>
      </c>
    </row>
    <row r="796" spans="1:5">
      <c r="A796" s="4" t="s">
        <v>2950</v>
      </c>
      <c r="B796" s="5" t="s">
        <v>3712</v>
      </c>
      <c r="C796" s="6" t="s">
        <v>23</v>
      </c>
      <c r="D796" s="6" t="s">
        <v>4445</v>
      </c>
      <c r="E796" s="7" t="s">
        <v>4443</v>
      </c>
    </row>
    <row r="797" spans="1:5">
      <c r="A797" s="4" t="s">
        <v>2957</v>
      </c>
      <c r="B797" s="5" t="s">
        <v>3719</v>
      </c>
      <c r="C797" s="6" t="s">
        <v>23</v>
      </c>
      <c r="D797" s="6" t="s">
        <v>4445</v>
      </c>
      <c r="E797" s="7" t="s">
        <v>4443</v>
      </c>
    </row>
    <row r="798" spans="1:5">
      <c r="A798" s="4" t="s">
        <v>2951</v>
      </c>
      <c r="B798" s="5" t="s">
        <v>3713</v>
      </c>
      <c r="C798" s="6" t="s">
        <v>23</v>
      </c>
      <c r="D798" s="6" t="s">
        <v>4445</v>
      </c>
      <c r="E798" s="7" t="s">
        <v>4443</v>
      </c>
    </row>
    <row r="799" spans="1:5">
      <c r="A799" s="4" t="s">
        <v>2958</v>
      </c>
      <c r="B799" s="5" t="s">
        <v>3720</v>
      </c>
      <c r="C799" s="6" t="s">
        <v>23</v>
      </c>
      <c r="D799" s="6" t="s">
        <v>4445</v>
      </c>
      <c r="E799" s="7" t="s">
        <v>4443</v>
      </c>
    </row>
    <row r="800" spans="1:5">
      <c r="A800" s="11" t="s">
        <v>2952</v>
      </c>
      <c r="B800" s="5" t="s">
        <v>3714</v>
      </c>
      <c r="C800" s="12" t="s">
        <v>23</v>
      </c>
      <c r="D800" s="12" t="s">
        <v>4445</v>
      </c>
      <c r="E800" s="7" t="s">
        <v>4443</v>
      </c>
    </row>
    <row r="801" spans="1:5">
      <c r="A801" s="4" t="s">
        <v>2927</v>
      </c>
      <c r="B801" s="5" t="s">
        <v>3689</v>
      </c>
      <c r="C801" s="6" t="s">
        <v>23</v>
      </c>
      <c r="D801" s="6" t="s">
        <v>4445</v>
      </c>
      <c r="E801" s="7" t="s">
        <v>4443</v>
      </c>
    </row>
    <row r="802" spans="1:5">
      <c r="A802" s="4" t="s">
        <v>3505</v>
      </c>
      <c r="B802" s="5" t="s">
        <v>4279</v>
      </c>
      <c r="C802" s="6" t="s">
        <v>23</v>
      </c>
      <c r="D802" s="6" t="s">
        <v>4445</v>
      </c>
      <c r="E802" s="7" t="s">
        <v>4443</v>
      </c>
    </row>
    <row r="803" spans="1:5">
      <c r="A803" s="4" t="s">
        <v>3032</v>
      </c>
      <c r="B803" s="5" t="s">
        <v>3801</v>
      </c>
      <c r="C803" s="6" t="s">
        <v>23</v>
      </c>
      <c r="D803" s="6" t="s">
        <v>4445</v>
      </c>
      <c r="E803" s="7" t="s">
        <v>4443</v>
      </c>
    </row>
    <row r="804" spans="1:5">
      <c r="A804" s="4" t="s">
        <v>3033</v>
      </c>
      <c r="B804" s="5" t="s">
        <v>3802</v>
      </c>
      <c r="C804" s="6" t="s">
        <v>23</v>
      </c>
      <c r="D804" s="6" t="s">
        <v>4445</v>
      </c>
      <c r="E804" s="7" t="s">
        <v>4443</v>
      </c>
    </row>
    <row r="805" spans="1:5">
      <c r="A805" s="4" t="s">
        <v>3025</v>
      </c>
      <c r="B805" s="5" t="s">
        <v>3794</v>
      </c>
      <c r="C805" s="6" t="s">
        <v>23</v>
      </c>
      <c r="D805" s="6" t="s">
        <v>4445</v>
      </c>
      <c r="E805" s="7" t="s">
        <v>4443</v>
      </c>
    </row>
    <row r="806" spans="1:5">
      <c r="A806" s="4" t="s">
        <v>3026</v>
      </c>
      <c r="B806" s="5" t="s">
        <v>3795</v>
      </c>
      <c r="C806" s="6" t="s">
        <v>23</v>
      </c>
      <c r="D806" s="6" t="s">
        <v>4445</v>
      </c>
      <c r="E806" s="7" t="s">
        <v>4443</v>
      </c>
    </row>
    <row r="807" spans="1:5">
      <c r="A807" s="4" t="s">
        <v>3027</v>
      </c>
      <c r="B807" s="5" t="s">
        <v>3796</v>
      </c>
      <c r="C807" s="6" t="s">
        <v>23</v>
      </c>
      <c r="D807" s="6" t="s">
        <v>4445</v>
      </c>
      <c r="E807" s="7" t="s">
        <v>4443</v>
      </c>
    </row>
    <row r="808" spans="1:5">
      <c r="A808" s="4" t="s">
        <v>3028</v>
      </c>
      <c r="B808" s="5" t="s">
        <v>3797</v>
      </c>
      <c r="C808" s="6" t="s">
        <v>23</v>
      </c>
      <c r="D808" s="6" t="s">
        <v>4445</v>
      </c>
      <c r="E808" s="7" t="s">
        <v>4443</v>
      </c>
    </row>
    <row r="809" spans="1:5">
      <c r="A809" s="4" t="s">
        <v>3034</v>
      </c>
      <c r="B809" s="5" t="s">
        <v>3803</v>
      </c>
      <c r="C809" s="6" t="s">
        <v>23</v>
      </c>
      <c r="D809" s="6" t="s">
        <v>4445</v>
      </c>
      <c r="E809" s="7" t="s">
        <v>4443</v>
      </c>
    </row>
    <row r="810" spans="1:5">
      <c r="A810" s="4" t="s">
        <v>3029</v>
      </c>
      <c r="B810" s="5" t="s">
        <v>3798</v>
      </c>
      <c r="C810" s="6" t="s">
        <v>23</v>
      </c>
      <c r="D810" s="6" t="s">
        <v>4445</v>
      </c>
      <c r="E810" s="7" t="s">
        <v>4443</v>
      </c>
    </row>
    <row r="811" spans="1:5">
      <c r="A811" s="4" t="s">
        <v>3200</v>
      </c>
      <c r="B811" s="5" t="s">
        <v>3970</v>
      </c>
      <c r="C811" s="6" t="s">
        <v>23</v>
      </c>
      <c r="D811" s="6" t="s">
        <v>4445</v>
      </c>
      <c r="E811" s="7" t="s">
        <v>4443</v>
      </c>
    </row>
    <row r="812" spans="1:5">
      <c r="A812" s="4" t="s">
        <v>3022</v>
      </c>
      <c r="B812" s="5" t="s">
        <v>3791</v>
      </c>
      <c r="C812" s="6" t="s">
        <v>23</v>
      </c>
      <c r="D812" s="6" t="s">
        <v>4445</v>
      </c>
      <c r="E812" s="7" t="s">
        <v>4443</v>
      </c>
    </row>
    <row r="813" spans="1:5">
      <c r="A813" s="4" t="s">
        <v>3035</v>
      </c>
      <c r="B813" s="5" t="s">
        <v>3804</v>
      </c>
      <c r="C813" s="6" t="s">
        <v>23</v>
      </c>
      <c r="D813" s="6" t="s">
        <v>4445</v>
      </c>
      <c r="E813" s="7" t="s">
        <v>4443</v>
      </c>
    </row>
    <row r="814" spans="1:5">
      <c r="A814" s="4" t="s">
        <v>3030</v>
      </c>
      <c r="B814" s="5" t="s">
        <v>3799</v>
      </c>
      <c r="C814" s="6" t="s">
        <v>23</v>
      </c>
      <c r="D814" s="6" t="s">
        <v>4445</v>
      </c>
      <c r="E814" s="7" t="s">
        <v>4443</v>
      </c>
    </row>
    <row r="815" spans="1:5">
      <c r="A815" s="4" t="s">
        <v>3036</v>
      </c>
      <c r="B815" s="5" t="s">
        <v>3805</v>
      </c>
      <c r="C815" s="6" t="s">
        <v>23</v>
      </c>
      <c r="D815" s="6" t="s">
        <v>4445</v>
      </c>
      <c r="E815" s="7" t="s">
        <v>4443</v>
      </c>
    </row>
    <row r="816" spans="1:5">
      <c r="A816" s="4" t="s">
        <v>3038</v>
      </c>
      <c r="B816" s="5" t="s">
        <v>3807</v>
      </c>
      <c r="C816" s="6" t="s">
        <v>23</v>
      </c>
      <c r="D816" s="6" t="s">
        <v>4445</v>
      </c>
      <c r="E816" s="7" t="s">
        <v>4443</v>
      </c>
    </row>
    <row r="817" spans="1:5">
      <c r="A817" s="11" t="s">
        <v>3031</v>
      </c>
      <c r="B817" s="5" t="s">
        <v>3800</v>
      </c>
      <c r="C817" s="12" t="s">
        <v>23</v>
      </c>
      <c r="D817" s="12" t="s">
        <v>4445</v>
      </c>
      <c r="E817" s="7" t="s">
        <v>4443</v>
      </c>
    </row>
    <row r="818" spans="1:5">
      <c r="A818" s="4" t="s">
        <v>3037</v>
      </c>
      <c r="B818" s="5" t="s">
        <v>3806</v>
      </c>
      <c r="C818" s="6" t="s">
        <v>23</v>
      </c>
      <c r="D818" s="6" t="s">
        <v>4445</v>
      </c>
      <c r="E818" s="7" t="s">
        <v>4443</v>
      </c>
    </row>
    <row r="819" spans="1:5">
      <c r="A819" s="4" t="s">
        <v>3197</v>
      </c>
      <c r="B819" s="5" t="s">
        <v>3967</v>
      </c>
      <c r="C819" s="6" t="s">
        <v>23</v>
      </c>
      <c r="D819" s="6" t="s">
        <v>4445</v>
      </c>
      <c r="E819" s="7" t="s">
        <v>4443</v>
      </c>
    </row>
    <row r="820" spans="1:5">
      <c r="A820" s="4" t="s">
        <v>3198</v>
      </c>
      <c r="B820" s="5" t="s">
        <v>3968</v>
      </c>
      <c r="C820" s="6" t="s">
        <v>23</v>
      </c>
      <c r="D820" s="6" t="s">
        <v>4445</v>
      </c>
      <c r="E820" s="7" t="s">
        <v>4443</v>
      </c>
    </row>
    <row r="821" spans="1:5">
      <c r="A821" s="4" t="s">
        <v>3199</v>
      </c>
      <c r="B821" s="5" t="s">
        <v>3969</v>
      </c>
      <c r="C821" s="6" t="s">
        <v>23</v>
      </c>
      <c r="D821" s="6" t="s">
        <v>4445</v>
      </c>
      <c r="E821" s="7" t="s">
        <v>4443</v>
      </c>
    </row>
    <row r="822" spans="1:5">
      <c r="A822" s="4" t="s">
        <v>3201</v>
      </c>
      <c r="B822" s="5" t="s">
        <v>3971</v>
      </c>
      <c r="C822" s="6" t="s">
        <v>23</v>
      </c>
      <c r="D822" s="6" t="s">
        <v>4445</v>
      </c>
      <c r="E822" s="7" t="s">
        <v>4443</v>
      </c>
    </row>
    <row r="823" spans="1:5">
      <c r="A823" s="4" t="s">
        <v>2924</v>
      </c>
      <c r="B823" s="5" t="s">
        <v>3686</v>
      </c>
      <c r="C823" s="6" t="s">
        <v>23</v>
      </c>
      <c r="D823" s="6" t="s">
        <v>4445</v>
      </c>
      <c r="E823" s="7" t="s">
        <v>4443</v>
      </c>
    </row>
    <row r="824" spans="1:5">
      <c r="A824" s="4" t="s">
        <v>3017</v>
      </c>
      <c r="B824" s="5" t="s">
        <v>3785</v>
      </c>
      <c r="C824" s="6" t="s">
        <v>23</v>
      </c>
      <c r="D824" s="6" t="s">
        <v>4445</v>
      </c>
      <c r="E824" s="7" t="s">
        <v>4443</v>
      </c>
    </row>
    <row r="825" spans="1:5">
      <c r="A825" s="4" t="s">
        <v>3017</v>
      </c>
      <c r="B825" s="5" t="s">
        <v>3786</v>
      </c>
      <c r="C825" s="6" t="s">
        <v>23</v>
      </c>
      <c r="D825" s="6" t="s">
        <v>4445</v>
      </c>
      <c r="E825" s="7" t="s">
        <v>4443</v>
      </c>
    </row>
    <row r="826" spans="1:5">
      <c r="A826" s="4" t="s">
        <v>3018</v>
      </c>
      <c r="B826" s="5" t="s">
        <v>3787</v>
      </c>
      <c r="C826" s="6" t="s">
        <v>23</v>
      </c>
      <c r="D826" s="6" t="s">
        <v>4445</v>
      </c>
      <c r="E826" s="7" t="s">
        <v>4443</v>
      </c>
    </row>
    <row r="827" spans="1:5">
      <c r="A827" s="4" t="s">
        <v>3019</v>
      </c>
      <c r="B827" s="5" t="s">
        <v>3788</v>
      </c>
      <c r="C827" s="6" t="s">
        <v>23</v>
      </c>
      <c r="D827" s="6" t="s">
        <v>4445</v>
      </c>
      <c r="E827" s="7" t="s">
        <v>4443</v>
      </c>
    </row>
    <row r="828" spans="1:5">
      <c r="A828" s="4" t="s">
        <v>3020</v>
      </c>
      <c r="B828" s="5" t="s">
        <v>3789</v>
      </c>
      <c r="C828" s="6" t="s">
        <v>23</v>
      </c>
      <c r="D828" s="6" t="s">
        <v>4445</v>
      </c>
      <c r="E828" s="7" t="s">
        <v>4443</v>
      </c>
    </row>
    <row r="829" spans="1:5">
      <c r="A829" s="4" t="s">
        <v>3021</v>
      </c>
      <c r="B829" s="5" t="s">
        <v>3790</v>
      </c>
      <c r="C829" s="6" t="s">
        <v>23</v>
      </c>
      <c r="D829" s="6" t="s">
        <v>4445</v>
      </c>
      <c r="E829" s="7" t="s">
        <v>4443</v>
      </c>
    </row>
    <row r="830" spans="1:5">
      <c r="A830" s="4" t="s">
        <v>3012</v>
      </c>
      <c r="B830" s="5" t="s">
        <v>3780</v>
      </c>
      <c r="C830" s="6" t="s">
        <v>23</v>
      </c>
      <c r="D830" s="6" t="s">
        <v>4445</v>
      </c>
      <c r="E830" s="7" t="s">
        <v>4443</v>
      </c>
    </row>
    <row r="831" spans="1:5">
      <c r="A831" s="4" t="s">
        <v>3013</v>
      </c>
      <c r="B831" s="5" t="s">
        <v>3781</v>
      </c>
      <c r="C831" s="6" t="s">
        <v>23</v>
      </c>
      <c r="D831" s="6" t="s">
        <v>4445</v>
      </c>
      <c r="E831" s="7" t="s">
        <v>4443</v>
      </c>
    </row>
    <row r="832" spans="1:5">
      <c r="A832" s="4" t="s">
        <v>3014</v>
      </c>
      <c r="B832" s="5" t="s">
        <v>3782</v>
      </c>
      <c r="C832" s="6" t="s">
        <v>23</v>
      </c>
      <c r="D832" s="6" t="s">
        <v>4445</v>
      </c>
      <c r="E832" s="7" t="s">
        <v>4443</v>
      </c>
    </row>
    <row r="833" spans="1:5">
      <c r="A833" s="4" t="s">
        <v>3023</v>
      </c>
      <c r="B833" s="5" t="s">
        <v>3792</v>
      </c>
      <c r="C833" s="6" t="s">
        <v>23</v>
      </c>
      <c r="D833" s="6" t="s">
        <v>4445</v>
      </c>
      <c r="E833" s="7" t="s">
        <v>4443</v>
      </c>
    </row>
    <row r="834" spans="1:5">
      <c r="A834" s="4" t="s">
        <v>3015</v>
      </c>
      <c r="B834" s="5" t="s">
        <v>3783</v>
      </c>
      <c r="C834" s="6" t="s">
        <v>23</v>
      </c>
      <c r="D834" s="6" t="s">
        <v>4445</v>
      </c>
      <c r="E834" s="7" t="s">
        <v>4443</v>
      </c>
    </row>
    <row r="835" spans="1:5">
      <c r="A835" s="4" t="s">
        <v>3024</v>
      </c>
      <c r="B835" s="5" t="s">
        <v>3793</v>
      </c>
      <c r="C835" s="6" t="s">
        <v>23</v>
      </c>
      <c r="D835" s="6" t="s">
        <v>4445</v>
      </c>
      <c r="E835" s="7" t="s">
        <v>4443</v>
      </c>
    </row>
    <row r="836" spans="1:5">
      <c r="A836" s="4" t="s">
        <v>3016</v>
      </c>
      <c r="B836" s="5" t="s">
        <v>3784</v>
      </c>
      <c r="C836" s="6" t="s">
        <v>23</v>
      </c>
      <c r="D836" s="6" t="s">
        <v>4445</v>
      </c>
      <c r="E836" s="7" t="s">
        <v>4443</v>
      </c>
    </row>
    <row r="837" spans="1:5">
      <c r="A837" s="4" t="s">
        <v>3536</v>
      </c>
      <c r="B837" s="5" t="s">
        <v>4310</v>
      </c>
      <c r="C837" s="6" t="s">
        <v>23</v>
      </c>
      <c r="D837" s="6" t="s">
        <v>4445</v>
      </c>
      <c r="E837" s="7" t="s">
        <v>4443</v>
      </c>
    </row>
    <row r="838" spans="1:5">
      <c r="A838" s="4" t="s">
        <v>3559</v>
      </c>
      <c r="B838" s="5" t="s">
        <v>4334</v>
      </c>
      <c r="C838" s="6" t="s">
        <v>23</v>
      </c>
      <c r="D838" s="6" t="s">
        <v>4445</v>
      </c>
      <c r="E838" s="7" t="s">
        <v>4443</v>
      </c>
    </row>
    <row r="839" spans="1:5">
      <c r="A839" s="4" t="s">
        <v>3507</v>
      </c>
      <c r="B839" s="5" t="s">
        <v>4281</v>
      </c>
      <c r="C839" s="6" t="s">
        <v>23</v>
      </c>
      <c r="D839" s="6" t="s">
        <v>4445</v>
      </c>
      <c r="E839" s="7" t="s">
        <v>4443</v>
      </c>
    </row>
    <row r="840" spans="1:5">
      <c r="A840" s="4" t="s">
        <v>3075</v>
      </c>
      <c r="B840" s="5" t="s">
        <v>3844</v>
      </c>
      <c r="C840" s="6" t="s">
        <v>23</v>
      </c>
      <c r="D840" s="6" t="s">
        <v>4445</v>
      </c>
      <c r="E840" s="7" t="s">
        <v>4443</v>
      </c>
    </row>
    <row r="841" spans="1:5">
      <c r="A841" s="4" t="s">
        <v>3078</v>
      </c>
      <c r="B841" s="5" t="s">
        <v>3847</v>
      </c>
      <c r="C841" s="6" t="s">
        <v>23</v>
      </c>
      <c r="D841" s="6" t="s">
        <v>4445</v>
      </c>
      <c r="E841" s="7" t="s">
        <v>4443</v>
      </c>
    </row>
    <row r="842" spans="1:5">
      <c r="A842" s="4" t="s">
        <v>3074</v>
      </c>
      <c r="B842" s="5" t="s">
        <v>3843</v>
      </c>
      <c r="C842" s="6" t="s">
        <v>23</v>
      </c>
      <c r="D842" s="6" t="s">
        <v>4445</v>
      </c>
      <c r="E842" s="7" t="s">
        <v>4443</v>
      </c>
    </row>
    <row r="843" spans="1:5">
      <c r="A843" s="4" t="s">
        <v>3081</v>
      </c>
      <c r="B843" s="5" t="s">
        <v>3850</v>
      </c>
      <c r="C843" s="6" t="s">
        <v>23</v>
      </c>
      <c r="D843" s="6" t="s">
        <v>4445</v>
      </c>
      <c r="E843" s="7" t="s">
        <v>4443</v>
      </c>
    </row>
    <row r="844" spans="1:5">
      <c r="A844" s="4" t="s">
        <v>3076</v>
      </c>
      <c r="B844" s="5" t="s">
        <v>3845</v>
      </c>
      <c r="C844" s="6" t="s">
        <v>23</v>
      </c>
      <c r="D844" s="6" t="s">
        <v>4445</v>
      </c>
      <c r="E844" s="7" t="s">
        <v>4443</v>
      </c>
    </row>
    <row r="845" spans="1:5">
      <c r="A845" s="4" t="s">
        <v>3082</v>
      </c>
      <c r="B845" s="5" t="s">
        <v>3851</v>
      </c>
      <c r="C845" s="6" t="s">
        <v>23</v>
      </c>
      <c r="D845" s="6" t="s">
        <v>4445</v>
      </c>
      <c r="E845" s="7" t="s">
        <v>4443</v>
      </c>
    </row>
    <row r="846" spans="1:5">
      <c r="A846" s="4" t="s">
        <v>3077</v>
      </c>
      <c r="B846" s="5" t="s">
        <v>3846</v>
      </c>
      <c r="C846" s="6" t="s">
        <v>23</v>
      </c>
      <c r="D846" s="6" t="s">
        <v>4445</v>
      </c>
      <c r="E846" s="7" t="s">
        <v>4443</v>
      </c>
    </row>
    <row r="847" spans="1:5">
      <c r="A847" s="4" t="s">
        <v>3083</v>
      </c>
      <c r="B847" s="5" t="s">
        <v>3852</v>
      </c>
      <c r="C847" s="6" t="s">
        <v>23</v>
      </c>
      <c r="D847" s="6" t="s">
        <v>4445</v>
      </c>
      <c r="E847" s="7" t="s">
        <v>4443</v>
      </c>
    </row>
    <row r="848" spans="1:5">
      <c r="A848" s="4" t="s">
        <v>2933</v>
      </c>
      <c r="B848" s="5" t="s">
        <v>3695</v>
      </c>
      <c r="C848" s="6" t="s">
        <v>23</v>
      </c>
      <c r="D848" s="6" t="s">
        <v>4445</v>
      </c>
      <c r="E848" s="7" t="s">
        <v>4443</v>
      </c>
    </row>
    <row r="849" spans="1:5">
      <c r="A849" s="4" t="s">
        <v>3527</v>
      </c>
      <c r="B849" s="5" t="s">
        <v>4301</v>
      </c>
      <c r="C849" s="6" t="s">
        <v>23</v>
      </c>
      <c r="D849" s="6" t="s">
        <v>4445</v>
      </c>
      <c r="E849" s="7" t="s">
        <v>4443</v>
      </c>
    </row>
    <row r="850" spans="1:5">
      <c r="A850" s="4" t="s">
        <v>3521</v>
      </c>
      <c r="B850" s="5" t="s">
        <v>4295</v>
      </c>
      <c r="C850" s="6" t="s">
        <v>23</v>
      </c>
      <c r="D850" s="6" t="s">
        <v>4445</v>
      </c>
      <c r="E850" s="7" t="s">
        <v>4443</v>
      </c>
    </row>
    <row r="851" spans="1:5">
      <c r="A851" s="11" t="s">
        <v>3522</v>
      </c>
      <c r="B851" s="5" t="s">
        <v>4296</v>
      </c>
      <c r="C851" s="12" t="s">
        <v>23</v>
      </c>
      <c r="D851" s="12" t="s">
        <v>4445</v>
      </c>
      <c r="E851" s="7" t="s">
        <v>4443</v>
      </c>
    </row>
    <row r="852" spans="1:5">
      <c r="A852" s="4" t="s">
        <v>3516</v>
      </c>
      <c r="B852" s="5" t="s">
        <v>4290</v>
      </c>
      <c r="C852" s="6" t="s">
        <v>23</v>
      </c>
      <c r="D852" s="6" t="s">
        <v>4445</v>
      </c>
      <c r="E852" s="7" t="s">
        <v>4443</v>
      </c>
    </row>
    <row r="853" spans="1:5">
      <c r="A853" s="4" t="s">
        <v>3538</v>
      </c>
      <c r="B853" s="5" t="s">
        <v>4312</v>
      </c>
      <c r="C853" s="6" t="s">
        <v>23</v>
      </c>
      <c r="D853" s="6" t="s">
        <v>4445</v>
      </c>
      <c r="E853" s="7" t="s">
        <v>4443</v>
      </c>
    </row>
    <row r="854" spans="1:5">
      <c r="A854" s="4" t="s">
        <v>3530</v>
      </c>
      <c r="B854" s="5" t="s">
        <v>4304</v>
      </c>
      <c r="C854" s="6" t="s">
        <v>23</v>
      </c>
      <c r="D854" s="6" t="s">
        <v>4445</v>
      </c>
      <c r="E854" s="7" t="s">
        <v>4443</v>
      </c>
    </row>
    <row r="855" spans="1:5">
      <c r="A855" s="4" t="s">
        <v>3504</v>
      </c>
      <c r="B855" s="5" t="s">
        <v>4278</v>
      </c>
      <c r="C855" s="6" t="s">
        <v>23</v>
      </c>
      <c r="D855" s="6" t="s">
        <v>4445</v>
      </c>
      <c r="E855" s="7" t="s">
        <v>4443</v>
      </c>
    </row>
    <row r="856" spans="1:5">
      <c r="A856" s="4" t="s">
        <v>3532</v>
      </c>
      <c r="B856" s="5" t="s">
        <v>4306</v>
      </c>
      <c r="C856" s="6" t="s">
        <v>23</v>
      </c>
      <c r="D856" s="6" t="s">
        <v>4445</v>
      </c>
      <c r="E856" s="7" t="s">
        <v>4443</v>
      </c>
    </row>
    <row r="857" spans="1:5">
      <c r="A857" s="4" t="s">
        <v>3524</v>
      </c>
      <c r="B857" s="5" t="s">
        <v>4298</v>
      </c>
      <c r="C857" s="6" t="s">
        <v>23</v>
      </c>
      <c r="D857" s="6" t="s">
        <v>4445</v>
      </c>
      <c r="E857" s="7" t="s">
        <v>4443</v>
      </c>
    </row>
    <row r="858" spans="1:5">
      <c r="A858" s="4" t="s">
        <v>3534</v>
      </c>
      <c r="B858" s="5" t="s">
        <v>4308</v>
      </c>
      <c r="C858" s="6" t="s">
        <v>23</v>
      </c>
      <c r="D858" s="6" t="s">
        <v>4445</v>
      </c>
      <c r="E858" s="7" t="s">
        <v>4443</v>
      </c>
    </row>
    <row r="859" spans="1:5">
      <c r="A859" s="4" t="s">
        <v>3531</v>
      </c>
      <c r="B859" s="5" t="s">
        <v>4305</v>
      </c>
      <c r="C859" s="6" t="s">
        <v>23</v>
      </c>
      <c r="D859" s="6" t="s">
        <v>4445</v>
      </c>
      <c r="E859" s="7" t="s">
        <v>4443</v>
      </c>
    </row>
    <row r="860" spans="1:5">
      <c r="A860" s="4" t="s">
        <v>3350</v>
      </c>
      <c r="B860" s="5" t="s">
        <v>4121</v>
      </c>
      <c r="C860" s="6" t="s">
        <v>23</v>
      </c>
      <c r="D860" s="6" t="s">
        <v>4445</v>
      </c>
      <c r="E860" s="7" t="s">
        <v>4443</v>
      </c>
    </row>
    <row r="861" spans="1:5">
      <c r="A861" s="4" t="s">
        <v>3520</v>
      </c>
      <c r="B861" s="5" t="s">
        <v>4294</v>
      </c>
      <c r="C861" s="6" t="s">
        <v>23</v>
      </c>
      <c r="D861" s="6" t="s">
        <v>4445</v>
      </c>
      <c r="E861" s="7" t="s">
        <v>4443</v>
      </c>
    </row>
    <row r="862" spans="1:5">
      <c r="A862" s="4" t="s">
        <v>3517</v>
      </c>
      <c r="B862" s="5" t="s">
        <v>4291</v>
      </c>
      <c r="C862" s="6" t="s">
        <v>23</v>
      </c>
      <c r="D862" s="6" t="s">
        <v>4445</v>
      </c>
      <c r="E862" s="7" t="s">
        <v>4443</v>
      </c>
    </row>
    <row r="863" spans="1:5">
      <c r="A863" s="4" t="s">
        <v>2910</v>
      </c>
      <c r="B863" s="5" t="s">
        <v>3670</v>
      </c>
      <c r="C863" s="6" t="s">
        <v>23</v>
      </c>
      <c r="D863" s="6" t="s">
        <v>4445</v>
      </c>
      <c r="E863" s="7" t="s">
        <v>4443</v>
      </c>
    </row>
    <row r="864" spans="1:5">
      <c r="A864" s="11" t="s">
        <v>3351</v>
      </c>
      <c r="B864" s="5" t="s">
        <v>4122</v>
      </c>
      <c r="C864" s="12" t="s">
        <v>23</v>
      </c>
      <c r="D864" s="12" t="s">
        <v>4445</v>
      </c>
      <c r="E864" s="7" t="s">
        <v>4443</v>
      </c>
    </row>
    <row r="865" spans="1:5">
      <c r="A865" s="4" t="s">
        <v>3352</v>
      </c>
      <c r="B865" s="5" t="s">
        <v>4123</v>
      </c>
      <c r="C865" s="6" t="s">
        <v>23</v>
      </c>
      <c r="D865" s="6" t="s">
        <v>4445</v>
      </c>
      <c r="E865" s="7" t="s">
        <v>4443</v>
      </c>
    </row>
    <row r="866" spans="1:5">
      <c r="A866" s="4" t="s">
        <v>3353</v>
      </c>
      <c r="B866" s="5" t="s">
        <v>4124</v>
      </c>
      <c r="C866" s="6" t="s">
        <v>23</v>
      </c>
      <c r="D866" s="6" t="s">
        <v>4445</v>
      </c>
      <c r="E866" s="7" t="s">
        <v>4443</v>
      </c>
    </row>
    <row r="867" spans="1:5">
      <c r="A867" s="11" t="s">
        <v>3354</v>
      </c>
      <c r="B867" s="5" t="s">
        <v>4125</v>
      </c>
      <c r="C867" s="12" t="s">
        <v>23</v>
      </c>
      <c r="D867" s="12" t="s">
        <v>4445</v>
      </c>
      <c r="E867" s="7" t="s">
        <v>4443</v>
      </c>
    </row>
    <row r="868" spans="1:5">
      <c r="A868" s="4" t="s">
        <v>3365</v>
      </c>
      <c r="B868" s="5" t="s">
        <v>4136</v>
      </c>
      <c r="C868" s="6" t="s">
        <v>23</v>
      </c>
      <c r="D868" s="6" t="s">
        <v>4445</v>
      </c>
      <c r="E868" s="7" t="s">
        <v>4443</v>
      </c>
    </row>
    <row r="869" spans="1:5">
      <c r="A869" s="4" t="s">
        <v>3366</v>
      </c>
      <c r="B869" s="5" t="s">
        <v>4137</v>
      </c>
      <c r="C869" s="6" t="s">
        <v>23</v>
      </c>
      <c r="D869" s="6" t="s">
        <v>4445</v>
      </c>
      <c r="E869" s="7" t="s">
        <v>4443</v>
      </c>
    </row>
    <row r="870" spans="1:5">
      <c r="A870" s="4" t="s">
        <v>3355</v>
      </c>
      <c r="B870" s="5" t="s">
        <v>4126</v>
      </c>
      <c r="C870" s="6" t="s">
        <v>23</v>
      </c>
      <c r="D870" s="6" t="s">
        <v>4445</v>
      </c>
      <c r="E870" s="7" t="s">
        <v>4443</v>
      </c>
    </row>
    <row r="871" spans="1:5">
      <c r="A871" s="11" t="s">
        <v>3356</v>
      </c>
      <c r="B871" s="5" t="s">
        <v>4127</v>
      </c>
      <c r="C871" s="12" t="s">
        <v>23</v>
      </c>
      <c r="D871" s="12" t="s">
        <v>4445</v>
      </c>
      <c r="E871" s="7" t="s">
        <v>4443</v>
      </c>
    </row>
    <row r="872" spans="1:5">
      <c r="A872" s="4" t="s">
        <v>3357</v>
      </c>
      <c r="B872" s="5" t="s">
        <v>4128</v>
      </c>
      <c r="C872" s="12" t="s">
        <v>23</v>
      </c>
      <c r="D872" s="12" t="s">
        <v>4445</v>
      </c>
      <c r="E872" s="60" t="s">
        <v>4443</v>
      </c>
    </row>
    <row r="873" spans="1:5">
      <c r="A873" s="4" t="s">
        <v>3358</v>
      </c>
      <c r="B873" s="5" t="s">
        <v>4129</v>
      </c>
      <c r="C873" s="6" t="s">
        <v>23</v>
      </c>
      <c r="D873" s="6" t="s">
        <v>4445</v>
      </c>
      <c r="E873" s="7" t="s">
        <v>4443</v>
      </c>
    </row>
    <row r="874" spans="1:5">
      <c r="A874" s="4" t="s">
        <v>3359</v>
      </c>
      <c r="B874" s="5" t="s">
        <v>4130</v>
      </c>
      <c r="C874" s="6" t="s">
        <v>23</v>
      </c>
      <c r="D874" s="6" t="s">
        <v>4445</v>
      </c>
      <c r="E874" s="7" t="s">
        <v>4443</v>
      </c>
    </row>
    <row r="875" spans="1:5">
      <c r="A875" s="11" t="s">
        <v>3360</v>
      </c>
      <c r="B875" s="5" t="s">
        <v>4131</v>
      </c>
      <c r="C875" s="12" t="s">
        <v>23</v>
      </c>
      <c r="D875" s="12" t="s">
        <v>4445</v>
      </c>
      <c r="E875" s="7" t="s">
        <v>4443</v>
      </c>
    </row>
    <row r="876" spans="1:5">
      <c r="A876" s="11" t="s">
        <v>3361</v>
      </c>
      <c r="B876" s="5" t="s">
        <v>4132</v>
      </c>
      <c r="C876" s="12" t="s">
        <v>23</v>
      </c>
      <c r="D876" s="12" t="s">
        <v>4445</v>
      </c>
      <c r="E876" s="7" t="s">
        <v>4443</v>
      </c>
    </row>
    <row r="877" spans="1:5">
      <c r="A877" s="4" t="s">
        <v>3362</v>
      </c>
      <c r="B877" s="5" t="s">
        <v>4133</v>
      </c>
      <c r="C877" s="6" t="s">
        <v>23</v>
      </c>
      <c r="D877" s="6" t="s">
        <v>4445</v>
      </c>
      <c r="E877" s="7" t="s">
        <v>4443</v>
      </c>
    </row>
    <row r="878" spans="1:5">
      <c r="A878" s="11" t="s">
        <v>3367</v>
      </c>
      <c r="B878" s="5" t="s">
        <v>4138</v>
      </c>
      <c r="C878" s="12" t="s">
        <v>23</v>
      </c>
      <c r="D878" s="12" t="s">
        <v>4445</v>
      </c>
      <c r="E878" s="7" t="s">
        <v>4443</v>
      </c>
    </row>
    <row r="879" spans="1:5">
      <c r="A879" s="11" t="s">
        <v>3363</v>
      </c>
      <c r="B879" s="5" t="s">
        <v>4134</v>
      </c>
      <c r="C879" s="12" t="s">
        <v>23</v>
      </c>
      <c r="D879" s="12" t="s">
        <v>4445</v>
      </c>
      <c r="E879" s="7" t="s">
        <v>4443</v>
      </c>
    </row>
    <row r="880" spans="1:5">
      <c r="A880" s="11" t="s">
        <v>3364</v>
      </c>
      <c r="B880" s="5" t="s">
        <v>4135</v>
      </c>
      <c r="C880" s="12" t="s">
        <v>23</v>
      </c>
      <c r="D880" s="12" t="s">
        <v>4445</v>
      </c>
      <c r="E880" s="7" t="s">
        <v>4443</v>
      </c>
    </row>
    <row r="881" spans="1:5">
      <c r="A881" s="11" t="s">
        <v>3369</v>
      </c>
      <c r="B881" s="5" t="s">
        <v>4140</v>
      </c>
      <c r="C881" s="12" t="s">
        <v>23</v>
      </c>
      <c r="D881" s="12" t="s">
        <v>4445</v>
      </c>
      <c r="E881" s="7" t="s">
        <v>4443</v>
      </c>
    </row>
    <row r="882" spans="1:5">
      <c r="A882" s="11" t="s">
        <v>3370</v>
      </c>
      <c r="B882" s="5" t="s">
        <v>4141</v>
      </c>
      <c r="C882" s="12" t="s">
        <v>23</v>
      </c>
      <c r="D882" s="12" t="s">
        <v>4445</v>
      </c>
      <c r="E882" s="7" t="s">
        <v>4443</v>
      </c>
    </row>
    <row r="883" spans="1:5">
      <c r="A883" s="11" t="s">
        <v>3371</v>
      </c>
      <c r="B883" s="5" t="s">
        <v>4142</v>
      </c>
      <c r="C883" s="12" t="s">
        <v>23</v>
      </c>
      <c r="D883" s="12" t="s">
        <v>4445</v>
      </c>
      <c r="E883" s="7" t="s">
        <v>4443</v>
      </c>
    </row>
    <row r="884" spans="1:5">
      <c r="A884" s="11" t="s">
        <v>3368</v>
      </c>
      <c r="B884" s="5" t="s">
        <v>4139</v>
      </c>
      <c r="C884" s="12" t="s">
        <v>23</v>
      </c>
      <c r="D884" s="12" t="s">
        <v>4445</v>
      </c>
      <c r="E884" s="7" t="s">
        <v>4443</v>
      </c>
    </row>
    <row r="885" spans="1:5">
      <c r="A885" s="4" t="s">
        <v>3372</v>
      </c>
      <c r="B885" s="5" t="s">
        <v>4143</v>
      </c>
      <c r="C885" s="6" t="s">
        <v>23</v>
      </c>
      <c r="D885" s="6" t="s">
        <v>4445</v>
      </c>
      <c r="E885" s="7" t="s">
        <v>4443</v>
      </c>
    </row>
    <row r="886" spans="1:5">
      <c r="A886" s="4" t="s">
        <v>3373</v>
      </c>
      <c r="B886" s="5" t="s">
        <v>4144</v>
      </c>
      <c r="C886" s="6" t="s">
        <v>23</v>
      </c>
      <c r="D886" s="6" t="s">
        <v>4445</v>
      </c>
      <c r="E886" s="7" t="s">
        <v>4443</v>
      </c>
    </row>
    <row r="887" spans="1:5">
      <c r="A887" s="4" t="s">
        <v>3374</v>
      </c>
      <c r="B887" s="5" t="s">
        <v>4145</v>
      </c>
      <c r="C887" s="6" t="s">
        <v>23</v>
      </c>
      <c r="D887" s="6" t="s">
        <v>4445</v>
      </c>
      <c r="E887" s="7" t="s">
        <v>4443</v>
      </c>
    </row>
    <row r="888" spans="1:5">
      <c r="A888" s="4" t="s">
        <v>3375</v>
      </c>
      <c r="B888" s="5" t="s">
        <v>4146</v>
      </c>
      <c r="C888" s="6" t="s">
        <v>23</v>
      </c>
      <c r="D888" s="6" t="s">
        <v>4445</v>
      </c>
      <c r="E888" s="7" t="s">
        <v>4443</v>
      </c>
    </row>
    <row r="889" spans="1:5">
      <c r="A889" s="4" t="s">
        <v>3376</v>
      </c>
      <c r="B889" s="5" t="s">
        <v>4147</v>
      </c>
      <c r="C889" s="6" t="s">
        <v>23</v>
      </c>
      <c r="D889" s="6" t="s">
        <v>4445</v>
      </c>
      <c r="E889" s="7" t="s">
        <v>4443</v>
      </c>
    </row>
    <row r="890" spans="1:5">
      <c r="A890" s="4" t="s">
        <v>3377</v>
      </c>
      <c r="B890" s="5" t="s">
        <v>4148</v>
      </c>
      <c r="C890" s="6" t="s">
        <v>23</v>
      </c>
      <c r="D890" s="6" t="s">
        <v>4445</v>
      </c>
      <c r="E890" s="7" t="s">
        <v>4443</v>
      </c>
    </row>
    <row r="891" spans="1:5">
      <c r="A891" s="4" t="s">
        <v>3378</v>
      </c>
      <c r="B891" s="5" t="s">
        <v>4149</v>
      </c>
      <c r="C891" s="6" t="s">
        <v>23</v>
      </c>
      <c r="D891" s="6" t="s">
        <v>4445</v>
      </c>
      <c r="E891" s="7" t="s">
        <v>4443</v>
      </c>
    </row>
    <row r="892" spans="1:5">
      <c r="A892" s="4" t="s">
        <v>3379</v>
      </c>
      <c r="B892" s="5" t="s">
        <v>4150</v>
      </c>
      <c r="C892" s="6" t="s">
        <v>23</v>
      </c>
      <c r="D892" s="6" t="s">
        <v>4445</v>
      </c>
      <c r="E892" s="7" t="s">
        <v>4443</v>
      </c>
    </row>
    <row r="893" spans="1:5">
      <c r="A893" s="4" t="s">
        <v>3380</v>
      </c>
      <c r="B893" s="5" t="s">
        <v>4151</v>
      </c>
      <c r="C893" s="6" t="s">
        <v>23</v>
      </c>
      <c r="D893" s="6" t="s">
        <v>4445</v>
      </c>
      <c r="E893" s="7" t="s">
        <v>4443</v>
      </c>
    </row>
    <row r="894" spans="1:5">
      <c r="A894" s="4" t="s">
        <v>3381</v>
      </c>
      <c r="B894" s="5" t="s">
        <v>4152</v>
      </c>
      <c r="C894" s="6" t="s">
        <v>23</v>
      </c>
      <c r="D894" s="6" t="s">
        <v>4445</v>
      </c>
      <c r="E894" s="7" t="s">
        <v>4443</v>
      </c>
    </row>
    <row r="895" spans="1:5">
      <c r="A895" s="4" t="s">
        <v>3382</v>
      </c>
      <c r="B895" s="5" t="s">
        <v>4153</v>
      </c>
      <c r="C895" s="6" t="s">
        <v>23</v>
      </c>
      <c r="D895" s="6" t="s">
        <v>4445</v>
      </c>
      <c r="E895" s="7" t="s">
        <v>4443</v>
      </c>
    </row>
    <row r="896" spans="1:5">
      <c r="A896" s="4" t="s">
        <v>3383</v>
      </c>
      <c r="B896" s="5" t="s">
        <v>4154</v>
      </c>
      <c r="C896" s="6" t="s">
        <v>23</v>
      </c>
      <c r="D896" s="6" t="s">
        <v>4445</v>
      </c>
      <c r="E896" s="7" t="s">
        <v>4443</v>
      </c>
    </row>
    <row r="897" spans="1:5">
      <c r="A897" s="4" t="s">
        <v>3384</v>
      </c>
      <c r="B897" s="5" t="s">
        <v>4155</v>
      </c>
      <c r="C897" s="6" t="s">
        <v>23</v>
      </c>
      <c r="D897" s="6" t="s">
        <v>4445</v>
      </c>
      <c r="E897" s="7" t="s">
        <v>4443</v>
      </c>
    </row>
    <row r="898" spans="1:5">
      <c r="A898" s="4" t="s">
        <v>3385</v>
      </c>
      <c r="B898" s="5" t="s">
        <v>4156</v>
      </c>
      <c r="C898" s="6" t="s">
        <v>23</v>
      </c>
      <c r="D898" s="6" t="s">
        <v>4445</v>
      </c>
      <c r="E898" s="7" t="s">
        <v>4443</v>
      </c>
    </row>
    <row r="899" spans="1:5">
      <c r="A899" s="4" t="s">
        <v>3386</v>
      </c>
      <c r="B899" s="5" t="s">
        <v>4157</v>
      </c>
      <c r="C899" s="6" t="s">
        <v>23</v>
      </c>
      <c r="D899" s="6" t="s">
        <v>4445</v>
      </c>
      <c r="E899" s="7" t="s">
        <v>4443</v>
      </c>
    </row>
    <row r="900" spans="1:5">
      <c r="A900" s="4" t="s">
        <v>3387</v>
      </c>
      <c r="B900" s="5" t="s">
        <v>4158</v>
      </c>
      <c r="C900" s="6" t="s">
        <v>23</v>
      </c>
      <c r="D900" s="6" t="s">
        <v>4445</v>
      </c>
      <c r="E900" s="7" t="s">
        <v>4443</v>
      </c>
    </row>
    <row r="901" spans="1:5">
      <c r="A901" s="4" t="s">
        <v>3388</v>
      </c>
      <c r="B901" s="5" t="s">
        <v>4159</v>
      </c>
      <c r="C901" s="6" t="s">
        <v>23</v>
      </c>
      <c r="D901" s="6" t="s">
        <v>4445</v>
      </c>
      <c r="E901" s="7" t="s">
        <v>4443</v>
      </c>
    </row>
    <row r="902" spans="1:5">
      <c r="A902" s="4" t="s">
        <v>3389</v>
      </c>
      <c r="B902" s="5" t="s">
        <v>4160</v>
      </c>
      <c r="C902" s="6" t="s">
        <v>23</v>
      </c>
      <c r="D902" s="6" t="s">
        <v>4445</v>
      </c>
      <c r="E902" s="7" t="s">
        <v>4443</v>
      </c>
    </row>
    <row r="903" spans="1:5">
      <c r="A903" s="4" t="s">
        <v>3390</v>
      </c>
      <c r="B903" s="5" t="s">
        <v>4161</v>
      </c>
      <c r="C903" s="6" t="s">
        <v>23</v>
      </c>
      <c r="D903" s="6" t="s">
        <v>4445</v>
      </c>
      <c r="E903" s="7" t="s">
        <v>4443</v>
      </c>
    </row>
    <row r="904" spans="1:5">
      <c r="A904" s="4" t="s">
        <v>3391</v>
      </c>
      <c r="B904" s="5" t="s">
        <v>4162</v>
      </c>
      <c r="C904" s="6" t="s">
        <v>23</v>
      </c>
      <c r="D904" s="6" t="s">
        <v>4445</v>
      </c>
      <c r="E904" s="7" t="s">
        <v>4443</v>
      </c>
    </row>
    <row r="905" spans="1:5">
      <c r="A905" s="4" t="s">
        <v>3392</v>
      </c>
      <c r="B905" s="5" t="s">
        <v>4163</v>
      </c>
      <c r="C905" s="6" t="s">
        <v>23</v>
      </c>
      <c r="D905" s="6" t="s">
        <v>4445</v>
      </c>
      <c r="E905" s="7" t="s">
        <v>4443</v>
      </c>
    </row>
    <row r="906" spans="1:5">
      <c r="A906" s="4" t="s">
        <v>3393</v>
      </c>
      <c r="B906" s="5" t="s">
        <v>4164</v>
      </c>
      <c r="C906" s="6" t="s">
        <v>23</v>
      </c>
      <c r="D906" s="6" t="s">
        <v>4445</v>
      </c>
      <c r="E906" s="7" t="s">
        <v>4443</v>
      </c>
    </row>
    <row r="907" spans="1:5">
      <c r="A907" s="4" t="s">
        <v>3394</v>
      </c>
      <c r="B907" s="5" t="s">
        <v>4165</v>
      </c>
      <c r="C907" s="6" t="s">
        <v>23</v>
      </c>
      <c r="D907" s="6" t="s">
        <v>4445</v>
      </c>
      <c r="E907" s="7" t="s">
        <v>4443</v>
      </c>
    </row>
    <row r="908" spans="1:5">
      <c r="A908" s="4" t="s">
        <v>3395</v>
      </c>
      <c r="B908" s="5" t="s">
        <v>4166</v>
      </c>
      <c r="C908" s="6" t="s">
        <v>23</v>
      </c>
      <c r="D908" s="6" t="s">
        <v>4445</v>
      </c>
      <c r="E908" s="7" t="s">
        <v>4443</v>
      </c>
    </row>
    <row r="909" spans="1:5">
      <c r="A909" s="4" t="s">
        <v>3396</v>
      </c>
      <c r="B909" s="5" t="s">
        <v>4167</v>
      </c>
      <c r="C909" s="6" t="s">
        <v>23</v>
      </c>
      <c r="D909" s="6" t="s">
        <v>4445</v>
      </c>
      <c r="E909" s="7" t="s">
        <v>4443</v>
      </c>
    </row>
    <row r="910" spans="1:5">
      <c r="A910" s="11" t="s">
        <v>3397</v>
      </c>
      <c r="B910" s="5" t="s">
        <v>4168</v>
      </c>
      <c r="C910" s="12" t="s">
        <v>23</v>
      </c>
      <c r="D910" s="12" t="s">
        <v>4445</v>
      </c>
      <c r="E910" s="7" t="s">
        <v>4443</v>
      </c>
    </row>
    <row r="911" spans="1:5">
      <c r="A911" s="11" t="s">
        <v>3398</v>
      </c>
      <c r="B911" s="5" t="s">
        <v>4169</v>
      </c>
      <c r="C911" s="12" t="s">
        <v>23</v>
      </c>
      <c r="D911" s="12" t="s">
        <v>4445</v>
      </c>
      <c r="E911" s="7" t="s">
        <v>4443</v>
      </c>
    </row>
    <row r="912" spans="1:5">
      <c r="A912" s="11" t="s">
        <v>3398</v>
      </c>
      <c r="B912" s="5" t="s">
        <v>4170</v>
      </c>
      <c r="C912" s="12" t="s">
        <v>23</v>
      </c>
      <c r="D912" s="12" t="s">
        <v>4445</v>
      </c>
      <c r="E912" s="7" t="s">
        <v>4443</v>
      </c>
    </row>
    <row r="913" spans="1:5">
      <c r="A913" s="4" t="s">
        <v>3398</v>
      </c>
      <c r="B913" s="5" t="s">
        <v>4171</v>
      </c>
      <c r="C913" s="6" t="s">
        <v>23</v>
      </c>
      <c r="D913" s="6" t="s">
        <v>4445</v>
      </c>
      <c r="E913" s="7" t="s">
        <v>4443</v>
      </c>
    </row>
    <row r="914" spans="1:5">
      <c r="A914" s="4" t="s">
        <v>3399</v>
      </c>
      <c r="B914" s="5" t="s">
        <v>4172</v>
      </c>
      <c r="C914" s="6" t="s">
        <v>23</v>
      </c>
      <c r="D914" s="6" t="s">
        <v>4445</v>
      </c>
      <c r="E914" s="7" t="s">
        <v>4443</v>
      </c>
    </row>
    <row r="915" spans="1:5">
      <c r="A915" s="4" t="s">
        <v>3400</v>
      </c>
      <c r="B915" s="5" t="s">
        <v>4173</v>
      </c>
      <c r="C915" s="6" t="s">
        <v>23</v>
      </c>
      <c r="D915" s="6" t="s">
        <v>4445</v>
      </c>
      <c r="E915" s="7" t="s">
        <v>4443</v>
      </c>
    </row>
    <row r="916" spans="1:5">
      <c r="A916" s="4" t="s">
        <v>3402</v>
      </c>
      <c r="B916" s="5" t="s">
        <v>4175</v>
      </c>
      <c r="C916" s="6" t="s">
        <v>23</v>
      </c>
      <c r="D916" s="6" t="s">
        <v>4445</v>
      </c>
      <c r="E916" s="7" t="s">
        <v>4443</v>
      </c>
    </row>
    <row r="917" spans="1:5">
      <c r="A917" s="4" t="s">
        <v>3403</v>
      </c>
      <c r="B917" s="5" t="s">
        <v>4176</v>
      </c>
      <c r="C917" s="6" t="s">
        <v>23</v>
      </c>
      <c r="D917" s="6" t="s">
        <v>4445</v>
      </c>
      <c r="E917" s="7" t="s">
        <v>4443</v>
      </c>
    </row>
    <row r="918" spans="1:5">
      <c r="A918" s="4" t="s">
        <v>3404</v>
      </c>
      <c r="B918" s="5" t="s">
        <v>4177</v>
      </c>
      <c r="C918" s="6" t="s">
        <v>23</v>
      </c>
      <c r="D918" s="6" t="s">
        <v>4445</v>
      </c>
      <c r="E918" s="7" t="s">
        <v>4443</v>
      </c>
    </row>
    <row r="919" spans="1:5">
      <c r="A919" s="4" t="s">
        <v>3405</v>
      </c>
      <c r="B919" s="5" t="s">
        <v>4178</v>
      </c>
      <c r="C919" s="6" t="s">
        <v>23</v>
      </c>
      <c r="D919" s="6" t="s">
        <v>4445</v>
      </c>
      <c r="E919" s="7" t="s">
        <v>4443</v>
      </c>
    </row>
    <row r="920" spans="1:5">
      <c r="A920" s="4" t="s">
        <v>3406</v>
      </c>
      <c r="B920" s="5" t="s">
        <v>4179</v>
      </c>
      <c r="C920" s="6" t="s">
        <v>23</v>
      </c>
      <c r="D920" s="6" t="s">
        <v>4445</v>
      </c>
      <c r="E920" s="7" t="s">
        <v>4443</v>
      </c>
    </row>
    <row r="921" spans="1:5">
      <c r="A921" s="4" t="s">
        <v>3407</v>
      </c>
      <c r="B921" s="5" t="s">
        <v>4180</v>
      </c>
      <c r="C921" s="6" t="s">
        <v>23</v>
      </c>
      <c r="D921" s="6" t="s">
        <v>4445</v>
      </c>
      <c r="E921" s="7" t="s">
        <v>4443</v>
      </c>
    </row>
    <row r="922" spans="1:5">
      <c r="A922" s="4" t="s">
        <v>3408</v>
      </c>
      <c r="B922" s="5" t="s">
        <v>4181</v>
      </c>
      <c r="C922" s="6" t="s">
        <v>23</v>
      </c>
      <c r="D922" s="6" t="s">
        <v>4445</v>
      </c>
      <c r="E922" s="7" t="s">
        <v>4443</v>
      </c>
    </row>
    <row r="923" spans="1:5">
      <c r="A923" s="4" t="s">
        <v>3409</v>
      </c>
      <c r="B923" s="5" t="s">
        <v>4182</v>
      </c>
      <c r="C923" s="6" t="s">
        <v>23</v>
      </c>
      <c r="D923" s="6" t="s">
        <v>4445</v>
      </c>
      <c r="E923" s="7" t="s">
        <v>4443</v>
      </c>
    </row>
    <row r="924" spans="1:5">
      <c r="A924" s="4" t="s">
        <v>3548</v>
      </c>
      <c r="B924" s="5" t="s">
        <v>4322</v>
      </c>
      <c r="C924" s="6" t="s">
        <v>23</v>
      </c>
      <c r="D924" s="6" t="s">
        <v>4445</v>
      </c>
      <c r="E924" s="7" t="s">
        <v>4443</v>
      </c>
    </row>
    <row r="925" spans="1:5">
      <c r="A925" s="4" t="s">
        <v>3410</v>
      </c>
      <c r="B925" s="5" t="s">
        <v>4183</v>
      </c>
      <c r="C925" s="6" t="s">
        <v>23</v>
      </c>
      <c r="D925" s="6" t="s">
        <v>4445</v>
      </c>
      <c r="E925" s="7" t="s">
        <v>4443</v>
      </c>
    </row>
    <row r="926" spans="1:5">
      <c r="A926" s="4" t="s">
        <v>3411</v>
      </c>
      <c r="B926" s="5" t="s">
        <v>4184</v>
      </c>
      <c r="C926" s="6" t="s">
        <v>23</v>
      </c>
      <c r="D926" s="6" t="s">
        <v>4445</v>
      </c>
      <c r="E926" s="7" t="s">
        <v>4443</v>
      </c>
    </row>
    <row r="927" spans="1:5">
      <c r="A927" s="4" t="s">
        <v>3557</v>
      </c>
      <c r="B927" s="5" t="s">
        <v>4332</v>
      </c>
      <c r="C927" s="6" t="s">
        <v>23</v>
      </c>
      <c r="D927" s="6" t="s">
        <v>4445</v>
      </c>
      <c r="E927" s="7" t="s">
        <v>4443</v>
      </c>
    </row>
    <row r="928" spans="1:5">
      <c r="A928" s="11" t="s">
        <v>3496</v>
      </c>
      <c r="B928" s="5" t="s">
        <v>4270</v>
      </c>
      <c r="C928" s="12" t="s">
        <v>23</v>
      </c>
      <c r="D928" s="12" t="s">
        <v>4445</v>
      </c>
      <c r="E928" s="7" t="s">
        <v>4443</v>
      </c>
    </row>
    <row r="929" spans="1:5">
      <c r="A929" s="4" t="s">
        <v>3412</v>
      </c>
      <c r="B929" s="5" t="s">
        <v>4185</v>
      </c>
      <c r="C929" s="6" t="s">
        <v>23</v>
      </c>
      <c r="D929" s="6" t="s">
        <v>4445</v>
      </c>
      <c r="E929" s="7" t="s">
        <v>4443</v>
      </c>
    </row>
    <row r="930" spans="1:5">
      <c r="A930" s="4" t="s">
        <v>3412</v>
      </c>
      <c r="B930" s="5" t="s">
        <v>4186</v>
      </c>
      <c r="C930" s="6" t="s">
        <v>23</v>
      </c>
      <c r="D930" s="6" t="s">
        <v>4445</v>
      </c>
      <c r="E930" s="7" t="s">
        <v>4443</v>
      </c>
    </row>
    <row r="931" spans="1:5">
      <c r="A931" s="4" t="s">
        <v>3413</v>
      </c>
      <c r="B931" s="5" t="s">
        <v>4187</v>
      </c>
      <c r="C931" s="6" t="s">
        <v>23</v>
      </c>
      <c r="D931" s="6" t="s">
        <v>4445</v>
      </c>
      <c r="E931" s="7" t="s">
        <v>4443</v>
      </c>
    </row>
    <row r="932" spans="1:5">
      <c r="A932" s="4" t="s">
        <v>3414</v>
      </c>
      <c r="B932" s="5" t="s">
        <v>4188</v>
      </c>
      <c r="C932" s="6" t="s">
        <v>23</v>
      </c>
      <c r="D932" s="6" t="s">
        <v>4445</v>
      </c>
      <c r="E932" s="7" t="s">
        <v>4443</v>
      </c>
    </row>
    <row r="933" spans="1:5">
      <c r="A933" s="4" t="s">
        <v>3415</v>
      </c>
      <c r="B933" s="5" t="s">
        <v>4189</v>
      </c>
      <c r="C933" s="6" t="s">
        <v>23</v>
      </c>
      <c r="D933" s="6" t="s">
        <v>4445</v>
      </c>
      <c r="E933" s="7" t="s">
        <v>4443</v>
      </c>
    </row>
    <row r="934" spans="1:5">
      <c r="A934" s="4" t="s">
        <v>3416</v>
      </c>
      <c r="B934" s="5" t="s">
        <v>4190</v>
      </c>
      <c r="C934" s="6" t="s">
        <v>23</v>
      </c>
      <c r="D934" s="6" t="s">
        <v>4445</v>
      </c>
      <c r="E934" s="7" t="s">
        <v>4443</v>
      </c>
    </row>
    <row r="935" spans="1:5">
      <c r="A935" s="4" t="s">
        <v>3417</v>
      </c>
      <c r="B935" s="5" t="s">
        <v>4191</v>
      </c>
      <c r="C935" s="6" t="s">
        <v>23</v>
      </c>
      <c r="D935" s="6" t="s">
        <v>4445</v>
      </c>
      <c r="E935" s="7" t="s">
        <v>4443</v>
      </c>
    </row>
    <row r="936" spans="1:5">
      <c r="A936" s="4" t="s">
        <v>3497</v>
      </c>
      <c r="B936" s="5" t="s">
        <v>4271</v>
      </c>
      <c r="C936" s="6" t="s">
        <v>23</v>
      </c>
      <c r="D936" s="6" t="s">
        <v>4445</v>
      </c>
      <c r="E936" s="7" t="s">
        <v>4443</v>
      </c>
    </row>
    <row r="937" spans="1:5">
      <c r="A937" s="4" t="s">
        <v>3553</v>
      </c>
      <c r="B937" s="5" t="s">
        <v>4328</v>
      </c>
      <c r="C937" s="6" t="s">
        <v>23</v>
      </c>
      <c r="D937" s="6" t="s">
        <v>4445</v>
      </c>
      <c r="E937" s="7" t="s">
        <v>4443</v>
      </c>
    </row>
    <row r="938" spans="1:5">
      <c r="A938" s="11" t="s">
        <v>3418</v>
      </c>
      <c r="B938" s="5" t="s">
        <v>4192</v>
      </c>
      <c r="C938" s="12" t="s">
        <v>23</v>
      </c>
      <c r="D938" s="12" t="s">
        <v>4445</v>
      </c>
      <c r="E938" s="7" t="s">
        <v>4443</v>
      </c>
    </row>
    <row r="939" spans="1:5">
      <c r="A939" s="4" t="s">
        <v>3419</v>
      </c>
      <c r="B939" s="5" t="s">
        <v>4193</v>
      </c>
      <c r="C939" s="6" t="s">
        <v>23</v>
      </c>
      <c r="D939" s="6" t="s">
        <v>4445</v>
      </c>
      <c r="E939" s="7" t="s">
        <v>4443</v>
      </c>
    </row>
    <row r="940" spans="1:5">
      <c r="A940" s="4" t="s">
        <v>3420</v>
      </c>
      <c r="B940" s="5" t="s">
        <v>4194</v>
      </c>
      <c r="C940" s="6" t="s">
        <v>23</v>
      </c>
      <c r="D940" s="6" t="s">
        <v>4445</v>
      </c>
      <c r="E940" s="7" t="s">
        <v>4443</v>
      </c>
    </row>
    <row r="941" spans="1:5">
      <c r="A941" s="11" t="s">
        <v>3421</v>
      </c>
      <c r="B941" s="5" t="s">
        <v>4195</v>
      </c>
      <c r="C941" s="12" t="s">
        <v>23</v>
      </c>
      <c r="D941" s="12" t="s">
        <v>4445</v>
      </c>
      <c r="E941" s="7" t="s">
        <v>4443</v>
      </c>
    </row>
    <row r="942" spans="1:5">
      <c r="A942" s="11" t="s">
        <v>3422</v>
      </c>
      <c r="B942" s="5" t="s">
        <v>4196</v>
      </c>
      <c r="C942" s="12" t="s">
        <v>23</v>
      </c>
      <c r="D942" s="12" t="s">
        <v>4445</v>
      </c>
      <c r="E942" s="7" t="s">
        <v>4443</v>
      </c>
    </row>
    <row r="943" spans="1:5">
      <c r="A943" s="4" t="s">
        <v>3423</v>
      </c>
      <c r="B943" s="5" t="s">
        <v>4197</v>
      </c>
      <c r="C943" s="6" t="s">
        <v>23</v>
      </c>
      <c r="D943" s="6" t="s">
        <v>4445</v>
      </c>
      <c r="E943" s="7" t="s">
        <v>4443</v>
      </c>
    </row>
    <row r="944" spans="1:5">
      <c r="A944" s="4" t="s">
        <v>3424</v>
      </c>
      <c r="B944" s="5" t="s">
        <v>4198</v>
      </c>
      <c r="C944" s="6" t="s">
        <v>23</v>
      </c>
      <c r="D944" s="6" t="s">
        <v>4445</v>
      </c>
      <c r="E944" s="7" t="s">
        <v>4443</v>
      </c>
    </row>
    <row r="945" spans="1:5">
      <c r="A945" s="4" t="s">
        <v>3425</v>
      </c>
      <c r="B945" s="5" t="s">
        <v>4199</v>
      </c>
      <c r="C945" s="6" t="s">
        <v>23</v>
      </c>
      <c r="D945" s="6" t="s">
        <v>4445</v>
      </c>
      <c r="E945" s="7" t="s">
        <v>4443</v>
      </c>
    </row>
    <row r="946" spans="1:5">
      <c r="A946" s="4" t="s">
        <v>3426</v>
      </c>
      <c r="B946" s="5" t="s">
        <v>4200</v>
      </c>
      <c r="C946" s="6" t="s">
        <v>23</v>
      </c>
      <c r="D946" s="6" t="s">
        <v>4445</v>
      </c>
      <c r="E946" s="7" t="s">
        <v>4443</v>
      </c>
    </row>
    <row r="947" spans="1:5">
      <c r="A947" s="4" t="s">
        <v>3427</v>
      </c>
      <c r="B947" s="5" t="s">
        <v>4201</v>
      </c>
      <c r="C947" s="6" t="s">
        <v>23</v>
      </c>
      <c r="D947" s="6" t="s">
        <v>4445</v>
      </c>
      <c r="E947" s="7" t="s">
        <v>4443</v>
      </c>
    </row>
    <row r="948" spans="1:5">
      <c r="A948" s="11" t="s">
        <v>3428</v>
      </c>
      <c r="B948" s="5" t="s">
        <v>4202</v>
      </c>
      <c r="C948" s="12" t="s">
        <v>23</v>
      </c>
      <c r="D948" s="12" t="s">
        <v>4445</v>
      </c>
      <c r="E948" s="7" t="s">
        <v>4443</v>
      </c>
    </row>
    <row r="949" spans="1:5">
      <c r="A949" s="4" t="s">
        <v>3429</v>
      </c>
      <c r="B949" s="5" t="s">
        <v>4203</v>
      </c>
      <c r="C949" s="6" t="s">
        <v>23</v>
      </c>
      <c r="D949" s="6" t="s">
        <v>4445</v>
      </c>
      <c r="E949" s="7" t="s">
        <v>4443</v>
      </c>
    </row>
    <row r="950" spans="1:5">
      <c r="A950" s="4" t="s">
        <v>3430</v>
      </c>
      <c r="B950" s="5" t="s">
        <v>4204</v>
      </c>
      <c r="C950" s="6" t="s">
        <v>23</v>
      </c>
      <c r="D950" s="6" t="s">
        <v>4445</v>
      </c>
      <c r="E950" s="7" t="s">
        <v>4443</v>
      </c>
    </row>
    <row r="951" spans="1:5">
      <c r="A951" s="4" t="s">
        <v>3498</v>
      </c>
      <c r="B951" s="5" t="s">
        <v>4272</v>
      </c>
      <c r="C951" s="6" t="s">
        <v>23</v>
      </c>
      <c r="D951" s="6" t="s">
        <v>4445</v>
      </c>
      <c r="E951" s="7" t="s">
        <v>4443</v>
      </c>
    </row>
    <row r="952" spans="1:5">
      <c r="A952" s="4" t="s">
        <v>3565</v>
      </c>
      <c r="B952" s="5" t="s">
        <v>4341</v>
      </c>
      <c r="C952" s="6" t="s">
        <v>23</v>
      </c>
      <c r="D952" s="6" t="s">
        <v>4445</v>
      </c>
      <c r="E952" s="7" t="s">
        <v>4443</v>
      </c>
    </row>
    <row r="953" spans="1:5">
      <c r="A953" s="4" t="s">
        <v>3431</v>
      </c>
      <c r="B953" s="5" t="s">
        <v>4205</v>
      </c>
      <c r="C953" s="6" t="s">
        <v>23</v>
      </c>
      <c r="D953" s="6" t="s">
        <v>4445</v>
      </c>
      <c r="E953" s="7" t="s">
        <v>4443</v>
      </c>
    </row>
    <row r="954" spans="1:5">
      <c r="A954" s="4" t="s">
        <v>3432</v>
      </c>
      <c r="B954" s="5" t="s">
        <v>4206</v>
      </c>
      <c r="C954" s="6" t="s">
        <v>23</v>
      </c>
      <c r="D954" s="6" t="s">
        <v>4445</v>
      </c>
      <c r="E954" s="7" t="s">
        <v>4443</v>
      </c>
    </row>
    <row r="955" spans="1:5">
      <c r="A955" s="4" t="s">
        <v>3433</v>
      </c>
      <c r="B955" s="5" t="s">
        <v>4207</v>
      </c>
      <c r="C955" s="6" t="s">
        <v>23</v>
      </c>
      <c r="D955" s="6" t="s">
        <v>4445</v>
      </c>
      <c r="E955" s="7" t="s">
        <v>4443</v>
      </c>
    </row>
    <row r="956" spans="1:5">
      <c r="A956" s="4" t="s">
        <v>3434</v>
      </c>
      <c r="B956" s="5" t="s">
        <v>4208</v>
      </c>
      <c r="C956" s="6" t="s">
        <v>23</v>
      </c>
      <c r="D956" s="6" t="s">
        <v>4445</v>
      </c>
      <c r="E956" s="7" t="s">
        <v>4443</v>
      </c>
    </row>
    <row r="957" spans="1:5">
      <c r="A957" s="4" t="s">
        <v>3435</v>
      </c>
      <c r="B957" s="5" t="s">
        <v>4209</v>
      </c>
      <c r="C957" s="6" t="s">
        <v>23</v>
      </c>
      <c r="D957" s="6" t="s">
        <v>4445</v>
      </c>
      <c r="E957" s="7" t="s">
        <v>4443</v>
      </c>
    </row>
    <row r="958" spans="1:5">
      <c r="A958" s="4" t="s">
        <v>3436</v>
      </c>
      <c r="B958" s="5" t="s">
        <v>4210</v>
      </c>
      <c r="C958" s="6" t="s">
        <v>23</v>
      </c>
      <c r="D958" s="6" t="s">
        <v>4445</v>
      </c>
      <c r="E958" s="7" t="s">
        <v>4443</v>
      </c>
    </row>
    <row r="959" spans="1:5">
      <c r="A959" s="4" t="s">
        <v>3437</v>
      </c>
      <c r="B959" s="5" t="s">
        <v>4211</v>
      </c>
      <c r="C959" s="6" t="s">
        <v>23</v>
      </c>
      <c r="D959" s="6" t="s">
        <v>4445</v>
      </c>
      <c r="E959" s="7" t="s">
        <v>4443</v>
      </c>
    </row>
    <row r="960" spans="1:5">
      <c r="A960" s="4" t="s">
        <v>3554</v>
      </c>
      <c r="B960" s="5" t="s">
        <v>4329</v>
      </c>
      <c r="C960" s="6" t="s">
        <v>23</v>
      </c>
      <c r="D960" s="6" t="s">
        <v>4445</v>
      </c>
      <c r="E960" s="7" t="s">
        <v>4443</v>
      </c>
    </row>
    <row r="961" spans="1:5">
      <c r="A961" s="4" t="s">
        <v>3495</v>
      </c>
      <c r="B961" s="5" t="s">
        <v>4269</v>
      </c>
      <c r="C961" s="6" t="s">
        <v>23</v>
      </c>
      <c r="D961" s="6" t="s">
        <v>4445</v>
      </c>
      <c r="E961" s="7" t="s">
        <v>4443</v>
      </c>
    </row>
    <row r="962" spans="1:5">
      <c r="A962" s="4" t="s">
        <v>3438</v>
      </c>
      <c r="B962" s="5" t="s">
        <v>4212</v>
      </c>
      <c r="C962" s="6" t="s">
        <v>23</v>
      </c>
      <c r="D962" s="6" t="s">
        <v>4445</v>
      </c>
      <c r="E962" s="7" t="s">
        <v>4443</v>
      </c>
    </row>
    <row r="963" spans="1:5">
      <c r="A963" s="4" t="s">
        <v>3499</v>
      </c>
      <c r="B963" s="5" t="s">
        <v>4273</v>
      </c>
      <c r="C963" s="6" t="s">
        <v>23</v>
      </c>
      <c r="D963" s="6" t="s">
        <v>4445</v>
      </c>
      <c r="E963" s="7" t="s">
        <v>4443</v>
      </c>
    </row>
    <row r="964" spans="1:5">
      <c r="A964" s="4" t="s">
        <v>3439</v>
      </c>
      <c r="B964" s="5" t="s">
        <v>4213</v>
      </c>
      <c r="C964" s="6" t="s">
        <v>23</v>
      </c>
      <c r="D964" s="6" t="s">
        <v>4445</v>
      </c>
      <c r="E964" s="7" t="s">
        <v>4443</v>
      </c>
    </row>
    <row r="965" spans="1:5">
      <c r="A965" s="4" t="s">
        <v>3440</v>
      </c>
      <c r="B965" s="5" t="s">
        <v>4214</v>
      </c>
      <c r="C965" s="6" t="s">
        <v>23</v>
      </c>
      <c r="D965" s="6" t="s">
        <v>4445</v>
      </c>
      <c r="E965" s="7" t="s">
        <v>4443</v>
      </c>
    </row>
    <row r="966" spans="1:5">
      <c r="A966" s="4" t="s">
        <v>3441</v>
      </c>
      <c r="B966" s="5" t="s">
        <v>4215</v>
      </c>
      <c r="C966" s="6" t="s">
        <v>23</v>
      </c>
      <c r="D966" s="6" t="s">
        <v>4445</v>
      </c>
      <c r="E966" s="7" t="s">
        <v>4443</v>
      </c>
    </row>
    <row r="967" spans="1:5">
      <c r="A967" s="4" t="s">
        <v>3442</v>
      </c>
      <c r="B967" s="5" t="s">
        <v>4216</v>
      </c>
      <c r="C967" s="6" t="s">
        <v>23</v>
      </c>
      <c r="D967" s="6" t="s">
        <v>4445</v>
      </c>
      <c r="E967" s="7" t="s">
        <v>4443</v>
      </c>
    </row>
    <row r="968" spans="1:5">
      <c r="A968" s="4" t="s">
        <v>3443</v>
      </c>
      <c r="B968" s="5" t="s">
        <v>4217</v>
      </c>
      <c r="C968" s="6" t="s">
        <v>23</v>
      </c>
      <c r="D968" s="6" t="s">
        <v>4445</v>
      </c>
      <c r="E968" s="7" t="s">
        <v>4443</v>
      </c>
    </row>
    <row r="969" spans="1:5">
      <c r="A969" s="4" t="s">
        <v>3444</v>
      </c>
      <c r="B969" s="5" t="s">
        <v>4218</v>
      </c>
      <c r="C969" s="6" t="s">
        <v>23</v>
      </c>
      <c r="D969" s="6" t="s">
        <v>4445</v>
      </c>
      <c r="E969" s="7" t="s">
        <v>4443</v>
      </c>
    </row>
    <row r="970" spans="1:5">
      <c r="A970" s="4" t="s">
        <v>3445</v>
      </c>
      <c r="B970" s="5" t="s">
        <v>4219</v>
      </c>
      <c r="C970" s="6" t="s">
        <v>23</v>
      </c>
      <c r="D970" s="6" t="s">
        <v>4445</v>
      </c>
      <c r="E970" s="7" t="s">
        <v>4443</v>
      </c>
    </row>
    <row r="971" spans="1:5">
      <c r="A971" s="4" t="s">
        <v>3446</v>
      </c>
      <c r="B971" s="5" t="s">
        <v>4220</v>
      </c>
      <c r="C971" s="6" t="s">
        <v>23</v>
      </c>
      <c r="D971" s="6" t="s">
        <v>4445</v>
      </c>
      <c r="E971" s="7" t="s">
        <v>4443</v>
      </c>
    </row>
    <row r="972" spans="1:5">
      <c r="A972" s="4" t="s">
        <v>3447</v>
      </c>
      <c r="B972" s="5" t="s">
        <v>4221</v>
      </c>
      <c r="C972" s="6" t="s">
        <v>23</v>
      </c>
      <c r="D972" s="6" t="s">
        <v>4445</v>
      </c>
      <c r="E972" s="7" t="s">
        <v>4443</v>
      </c>
    </row>
    <row r="973" spans="1:5">
      <c r="A973" s="11" t="s">
        <v>3500</v>
      </c>
      <c r="B973" s="5" t="s">
        <v>4274</v>
      </c>
      <c r="C973" s="12" t="s">
        <v>23</v>
      </c>
      <c r="D973" s="12" t="s">
        <v>4445</v>
      </c>
      <c r="E973" s="7" t="s">
        <v>4443</v>
      </c>
    </row>
    <row r="974" spans="1:5">
      <c r="A974" s="4" t="s">
        <v>3448</v>
      </c>
      <c r="B974" s="5" t="s">
        <v>4222</v>
      </c>
      <c r="C974" s="6" t="s">
        <v>23</v>
      </c>
      <c r="D974" s="6" t="s">
        <v>4445</v>
      </c>
      <c r="E974" s="7" t="s">
        <v>4443</v>
      </c>
    </row>
    <row r="975" spans="1:5">
      <c r="A975" s="4" t="s">
        <v>3449</v>
      </c>
      <c r="B975" s="5" t="s">
        <v>4223</v>
      </c>
      <c r="C975" s="6" t="s">
        <v>23</v>
      </c>
      <c r="D975" s="6" t="s">
        <v>4445</v>
      </c>
      <c r="E975" s="7" t="s">
        <v>4443</v>
      </c>
    </row>
    <row r="976" spans="1:5">
      <c r="A976" s="11" t="s">
        <v>3450</v>
      </c>
      <c r="B976" s="5" t="s">
        <v>4224</v>
      </c>
      <c r="C976" s="12" t="s">
        <v>23</v>
      </c>
      <c r="D976" s="12" t="s">
        <v>4445</v>
      </c>
      <c r="E976" s="7" t="s">
        <v>4443</v>
      </c>
    </row>
    <row r="977" spans="1:5">
      <c r="A977" s="4" t="s">
        <v>3542</v>
      </c>
      <c r="B977" s="5" t="s">
        <v>4316</v>
      </c>
      <c r="C977" s="6" t="s">
        <v>23</v>
      </c>
      <c r="D977" s="6" t="s">
        <v>4445</v>
      </c>
      <c r="E977" s="7" t="s">
        <v>4443</v>
      </c>
    </row>
    <row r="978" spans="1:5">
      <c r="A978" s="4" t="s">
        <v>2916</v>
      </c>
      <c r="B978" s="5" t="s">
        <v>3678</v>
      </c>
      <c r="C978" s="6" t="s">
        <v>23</v>
      </c>
      <c r="D978" s="6" t="s">
        <v>4445</v>
      </c>
      <c r="E978" s="7" t="s">
        <v>4443</v>
      </c>
    </row>
    <row r="979" spans="1:5">
      <c r="A979" s="4" t="s">
        <v>3161</v>
      </c>
      <c r="B979" s="5" t="s">
        <v>3931</v>
      </c>
      <c r="C979" s="6" t="s">
        <v>23</v>
      </c>
      <c r="D979" s="6" t="s">
        <v>4445</v>
      </c>
      <c r="E979" s="7" t="s">
        <v>4443</v>
      </c>
    </row>
    <row r="980" spans="1:5">
      <c r="A980" s="4" t="s">
        <v>3451</v>
      </c>
      <c r="B980" s="5" t="s">
        <v>4225</v>
      </c>
      <c r="C980" s="6" t="s">
        <v>23</v>
      </c>
      <c r="D980" s="6" t="s">
        <v>4445</v>
      </c>
      <c r="E980" s="7" t="s">
        <v>4443</v>
      </c>
    </row>
    <row r="981" spans="1:5">
      <c r="A981" s="4" t="s">
        <v>3551</v>
      </c>
      <c r="B981" s="5" t="s">
        <v>4326</v>
      </c>
      <c r="C981" s="6" t="s">
        <v>23</v>
      </c>
      <c r="D981" s="6" t="s">
        <v>4445</v>
      </c>
      <c r="E981" s="7" t="s">
        <v>4443</v>
      </c>
    </row>
    <row r="982" spans="1:5">
      <c r="A982" s="4" t="s">
        <v>3452</v>
      </c>
      <c r="B982" s="5" t="s">
        <v>4226</v>
      </c>
      <c r="C982" s="6" t="s">
        <v>23</v>
      </c>
      <c r="D982" s="6" t="s">
        <v>4445</v>
      </c>
      <c r="E982" s="7" t="s">
        <v>4443</v>
      </c>
    </row>
    <row r="983" spans="1:5">
      <c r="A983" s="11" t="s">
        <v>3453</v>
      </c>
      <c r="B983" s="5" t="s">
        <v>4227</v>
      </c>
      <c r="C983" s="12" t="s">
        <v>23</v>
      </c>
      <c r="D983" s="12" t="s">
        <v>4445</v>
      </c>
      <c r="E983" s="7" t="s">
        <v>4443</v>
      </c>
    </row>
    <row r="984" spans="1:5">
      <c r="A984" s="4" t="s">
        <v>3550</v>
      </c>
      <c r="B984" s="5" t="s">
        <v>4325</v>
      </c>
      <c r="C984" s="6" t="s">
        <v>23</v>
      </c>
      <c r="D984" s="6" t="s">
        <v>4445</v>
      </c>
      <c r="E984" s="7" t="s">
        <v>4443</v>
      </c>
    </row>
    <row r="985" spans="1:5">
      <c r="A985" s="11" t="s">
        <v>3454</v>
      </c>
      <c r="B985" s="5" t="s">
        <v>4228</v>
      </c>
      <c r="C985" s="12" t="s">
        <v>23</v>
      </c>
      <c r="D985" s="12" t="s">
        <v>4445</v>
      </c>
      <c r="E985" s="7" t="s">
        <v>4443</v>
      </c>
    </row>
    <row r="986" spans="1:5">
      <c r="A986" s="4" t="s">
        <v>3455</v>
      </c>
      <c r="B986" s="5" t="s">
        <v>4229</v>
      </c>
      <c r="C986" s="6" t="s">
        <v>23</v>
      </c>
      <c r="D986" s="6" t="s">
        <v>4445</v>
      </c>
      <c r="E986" s="7" t="s">
        <v>4443</v>
      </c>
    </row>
    <row r="987" spans="1:5">
      <c r="A987" s="4" t="s">
        <v>3501</v>
      </c>
      <c r="B987" s="5" t="s">
        <v>4275</v>
      </c>
      <c r="C987" s="6" t="s">
        <v>23</v>
      </c>
      <c r="D987" s="6" t="s">
        <v>4445</v>
      </c>
      <c r="E987" s="7" t="s">
        <v>4443</v>
      </c>
    </row>
    <row r="988" spans="1:5">
      <c r="A988" s="11" t="s">
        <v>3456</v>
      </c>
      <c r="B988" s="5" t="s">
        <v>4230</v>
      </c>
      <c r="C988" s="12" t="s">
        <v>23</v>
      </c>
      <c r="D988" s="12" t="s">
        <v>4445</v>
      </c>
      <c r="E988" s="7" t="s">
        <v>4443</v>
      </c>
    </row>
    <row r="989" spans="1:5">
      <c r="A989" s="11" t="s">
        <v>3457</v>
      </c>
      <c r="B989" s="5" t="s">
        <v>4231</v>
      </c>
      <c r="C989" s="12" t="s">
        <v>23</v>
      </c>
      <c r="D989" s="12" t="s">
        <v>4445</v>
      </c>
      <c r="E989" s="7" t="s">
        <v>4443</v>
      </c>
    </row>
    <row r="990" spans="1:5">
      <c r="A990" s="4" t="s">
        <v>3458</v>
      </c>
      <c r="B990" s="5" t="s">
        <v>4232</v>
      </c>
      <c r="C990" s="6" t="s">
        <v>23</v>
      </c>
      <c r="D990" s="6" t="s">
        <v>4445</v>
      </c>
      <c r="E990" s="7" t="s">
        <v>4443</v>
      </c>
    </row>
    <row r="991" spans="1:5">
      <c r="A991" s="4" t="s">
        <v>3459</v>
      </c>
      <c r="B991" s="5" t="s">
        <v>4233</v>
      </c>
      <c r="C991" s="6" t="s">
        <v>23</v>
      </c>
      <c r="D991" s="6" t="s">
        <v>4445</v>
      </c>
      <c r="E991" s="7" t="s">
        <v>4443</v>
      </c>
    </row>
    <row r="992" spans="1:5">
      <c r="A992" s="4" t="s">
        <v>3460</v>
      </c>
      <c r="B992" s="5" t="s">
        <v>4234</v>
      </c>
      <c r="C992" s="6" t="s">
        <v>23</v>
      </c>
      <c r="D992" s="6" t="s">
        <v>4445</v>
      </c>
      <c r="E992" s="7" t="s">
        <v>4443</v>
      </c>
    </row>
    <row r="993" spans="1:5">
      <c r="A993" s="4" t="s">
        <v>3461</v>
      </c>
      <c r="B993" s="5" t="s">
        <v>4235</v>
      </c>
      <c r="C993" s="6" t="s">
        <v>23</v>
      </c>
      <c r="D993" s="6" t="s">
        <v>4445</v>
      </c>
      <c r="E993" s="7" t="s">
        <v>4443</v>
      </c>
    </row>
    <row r="994" spans="1:5">
      <c r="A994" s="4" t="s">
        <v>3462</v>
      </c>
      <c r="B994" s="5" t="s">
        <v>4236</v>
      </c>
      <c r="C994" s="6" t="s">
        <v>23</v>
      </c>
      <c r="D994" s="6" t="s">
        <v>4445</v>
      </c>
      <c r="E994" s="7" t="s">
        <v>4443</v>
      </c>
    </row>
    <row r="995" spans="1:5">
      <c r="A995" s="4" t="s">
        <v>3464</v>
      </c>
      <c r="B995" s="5" t="s">
        <v>4238</v>
      </c>
      <c r="C995" s="6" t="s">
        <v>23</v>
      </c>
      <c r="D995" s="6" t="s">
        <v>4445</v>
      </c>
      <c r="E995" s="7" t="s">
        <v>4443</v>
      </c>
    </row>
    <row r="996" spans="1:5">
      <c r="A996" s="4" t="s">
        <v>3465</v>
      </c>
      <c r="B996" s="5" t="s">
        <v>4239</v>
      </c>
      <c r="C996" s="6" t="s">
        <v>23</v>
      </c>
      <c r="D996" s="6" t="s">
        <v>4445</v>
      </c>
      <c r="E996" s="7" t="s">
        <v>4443</v>
      </c>
    </row>
    <row r="997" spans="1:5">
      <c r="A997" s="4" t="s">
        <v>3466</v>
      </c>
      <c r="B997" s="5" t="s">
        <v>4240</v>
      </c>
      <c r="C997" s="6" t="s">
        <v>23</v>
      </c>
      <c r="D997" s="6" t="s">
        <v>4445</v>
      </c>
      <c r="E997" s="7" t="s">
        <v>4443</v>
      </c>
    </row>
    <row r="998" spans="1:5">
      <c r="A998" s="4" t="s">
        <v>3569</v>
      </c>
      <c r="B998" s="5" t="s">
        <v>4345</v>
      </c>
      <c r="C998" s="6" t="s">
        <v>23</v>
      </c>
      <c r="D998" s="6" t="s">
        <v>4445</v>
      </c>
      <c r="E998" s="7" t="s">
        <v>4443</v>
      </c>
    </row>
    <row r="999" spans="1:5">
      <c r="A999" s="4" t="s">
        <v>3463</v>
      </c>
      <c r="B999" s="5" t="s">
        <v>4237</v>
      </c>
      <c r="C999" s="6" t="s">
        <v>23</v>
      </c>
      <c r="D999" s="6" t="s">
        <v>4445</v>
      </c>
      <c r="E999" s="7" t="s">
        <v>4443</v>
      </c>
    </row>
    <row r="1000" spans="1:5">
      <c r="A1000" s="4" t="s">
        <v>3467</v>
      </c>
      <c r="B1000" s="5" t="s">
        <v>4241</v>
      </c>
      <c r="C1000" s="6" t="s">
        <v>23</v>
      </c>
      <c r="D1000" s="6" t="s">
        <v>4445</v>
      </c>
      <c r="E1000" s="7" t="s">
        <v>4443</v>
      </c>
    </row>
    <row r="1001" spans="1:5">
      <c r="A1001" s="4" t="s">
        <v>907</v>
      </c>
      <c r="B1001" s="5" t="s">
        <v>906</v>
      </c>
      <c r="C1001" s="6" t="s">
        <v>23</v>
      </c>
      <c r="D1001" s="6" t="s">
        <v>63</v>
      </c>
      <c r="E1001" s="7" t="s">
        <v>98</v>
      </c>
    </row>
    <row r="1002" spans="1:5">
      <c r="A1002" s="4" t="s">
        <v>909</v>
      </c>
      <c r="B1002" s="5" t="s">
        <v>908</v>
      </c>
      <c r="C1002" s="6" t="s">
        <v>23</v>
      </c>
      <c r="D1002" s="6" t="s">
        <v>63</v>
      </c>
      <c r="E1002" s="7" t="s">
        <v>67</v>
      </c>
    </row>
    <row r="1003" spans="1:5">
      <c r="A1003" s="4" t="s">
        <v>911</v>
      </c>
      <c r="B1003" s="5" t="s">
        <v>910</v>
      </c>
      <c r="C1003" s="6" t="s">
        <v>23</v>
      </c>
      <c r="D1003" s="6" t="s">
        <v>24</v>
      </c>
      <c r="E1003" s="7" t="s">
        <v>4447</v>
      </c>
    </row>
    <row r="1004" spans="1:5">
      <c r="A1004" s="4" t="s">
        <v>913</v>
      </c>
      <c r="B1004" s="5" t="s">
        <v>912</v>
      </c>
      <c r="C1004" s="12" t="s">
        <v>23</v>
      </c>
      <c r="D1004" s="12" t="s">
        <v>24</v>
      </c>
      <c r="E1004" s="7" t="s">
        <v>4448</v>
      </c>
    </row>
    <row r="1005" spans="1:5">
      <c r="A1005" s="4" t="s">
        <v>915</v>
      </c>
      <c r="B1005" s="5" t="s">
        <v>914</v>
      </c>
      <c r="C1005" s="6" t="s">
        <v>23</v>
      </c>
      <c r="D1005" s="6" t="s">
        <v>24</v>
      </c>
      <c r="E1005" s="7" t="s">
        <v>4449</v>
      </c>
    </row>
    <row r="1006" spans="1:5">
      <c r="A1006" s="4" t="s">
        <v>917</v>
      </c>
      <c r="B1006" s="5" t="s">
        <v>916</v>
      </c>
      <c r="C1006" s="6" t="s">
        <v>23</v>
      </c>
      <c r="D1006" s="6" t="s">
        <v>24</v>
      </c>
      <c r="E1006" s="7" t="s">
        <v>4454</v>
      </c>
    </row>
    <row r="1007" spans="1:5">
      <c r="A1007" s="4" t="s">
        <v>919</v>
      </c>
      <c r="B1007" s="5" t="s">
        <v>918</v>
      </c>
      <c r="C1007" s="6" t="s">
        <v>23</v>
      </c>
      <c r="D1007" s="6" t="s">
        <v>24</v>
      </c>
      <c r="E1007" s="7" t="s">
        <v>4451</v>
      </c>
    </row>
    <row r="1008" spans="1:5">
      <c r="A1008" s="4" t="s">
        <v>921</v>
      </c>
      <c r="B1008" s="5" t="s">
        <v>920</v>
      </c>
      <c r="C1008" s="6" t="s">
        <v>23</v>
      </c>
      <c r="D1008" s="6" t="s">
        <v>24</v>
      </c>
      <c r="E1008" s="7" t="s">
        <v>4452</v>
      </c>
    </row>
    <row r="1009" spans="1:5">
      <c r="A1009" s="4" t="s">
        <v>923</v>
      </c>
      <c r="B1009" s="5" t="s">
        <v>922</v>
      </c>
      <c r="C1009" s="6" t="s">
        <v>23</v>
      </c>
      <c r="D1009" s="6" t="s">
        <v>24</v>
      </c>
      <c r="E1009" s="7" t="s">
        <v>4451</v>
      </c>
    </row>
    <row r="1010" spans="1:5">
      <c r="A1010" s="4" t="s">
        <v>925</v>
      </c>
      <c r="B1010" s="5" t="s">
        <v>924</v>
      </c>
      <c r="C1010" s="6" t="s">
        <v>23</v>
      </c>
      <c r="D1010" s="6" t="s">
        <v>24</v>
      </c>
      <c r="E1010" s="7" t="s">
        <v>4447</v>
      </c>
    </row>
    <row r="1011" spans="1:5">
      <c r="A1011" s="4" t="s">
        <v>927</v>
      </c>
      <c r="B1011" s="5" t="s">
        <v>926</v>
      </c>
      <c r="C1011" s="6" t="s">
        <v>23</v>
      </c>
      <c r="D1011" s="6" t="s">
        <v>63</v>
      </c>
      <c r="E1011" s="7" t="s">
        <v>67</v>
      </c>
    </row>
    <row r="1012" spans="1:5">
      <c r="A1012" s="4" t="s">
        <v>929</v>
      </c>
      <c r="B1012" s="5" t="s">
        <v>928</v>
      </c>
      <c r="C1012" s="6" t="s">
        <v>23</v>
      </c>
      <c r="D1012" s="6" t="s">
        <v>24</v>
      </c>
      <c r="E1012" s="7" t="s">
        <v>4447</v>
      </c>
    </row>
    <row r="1013" spans="1:5">
      <c r="A1013" s="4" t="s">
        <v>931</v>
      </c>
      <c r="B1013" s="5" t="s">
        <v>930</v>
      </c>
      <c r="C1013" s="6" t="s">
        <v>23</v>
      </c>
      <c r="D1013" s="6" t="s">
        <v>24</v>
      </c>
      <c r="E1013" s="7" t="s">
        <v>4453</v>
      </c>
    </row>
    <row r="1014" spans="1:5">
      <c r="A1014" s="4" t="s">
        <v>3468</v>
      </c>
      <c r="B1014" s="5" t="s">
        <v>4242</v>
      </c>
      <c r="C1014" s="6" t="s">
        <v>23</v>
      </c>
      <c r="D1014" s="6" t="s">
        <v>4445</v>
      </c>
      <c r="E1014" s="7" t="s">
        <v>4443</v>
      </c>
    </row>
    <row r="1015" spans="1:5">
      <c r="A1015" s="4" t="s">
        <v>933</v>
      </c>
      <c r="B1015" s="5" t="s">
        <v>932</v>
      </c>
      <c r="C1015" s="6" t="s">
        <v>23</v>
      </c>
      <c r="D1015" s="6" t="s">
        <v>63</v>
      </c>
      <c r="E1015" s="7" t="s">
        <v>67</v>
      </c>
    </row>
    <row r="1016" spans="1:5">
      <c r="A1016" s="4" t="s">
        <v>935</v>
      </c>
      <c r="B1016" s="5" t="s">
        <v>934</v>
      </c>
      <c r="C1016" s="6" t="s">
        <v>23</v>
      </c>
      <c r="D1016" s="6" t="s">
        <v>63</v>
      </c>
      <c r="E1016" s="7" t="s">
        <v>89</v>
      </c>
    </row>
    <row r="1017" spans="1:5">
      <c r="A1017" s="4" t="s">
        <v>937</v>
      </c>
      <c r="B1017" s="5" t="s">
        <v>936</v>
      </c>
      <c r="C1017" s="6" t="s">
        <v>23</v>
      </c>
      <c r="D1017" s="6" t="s">
        <v>63</v>
      </c>
      <c r="E1017" s="7" t="s">
        <v>95</v>
      </c>
    </row>
    <row r="1018" spans="1:5">
      <c r="A1018" s="4" t="s">
        <v>939</v>
      </c>
      <c r="B1018" s="5" t="s">
        <v>938</v>
      </c>
      <c r="C1018" s="6" t="s">
        <v>23</v>
      </c>
      <c r="D1018" s="6" t="s">
        <v>63</v>
      </c>
      <c r="E1018" s="7" t="s">
        <v>67</v>
      </c>
    </row>
    <row r="1019" spans="1:5">
      <c r="A1019" s="4" t="s">
        <v>941</v>
      </c>
      <c r="B1019" s="5" t="s">
        <v>940</v>
      </c>
      <c r="C1019" s="6" t="s">
        <v>23</v>
      </c>
      <c r="D1019" s="6" t="s">
        <v>63</v>
      </c>
      <c r="E1019" s="7" t="s">
        <v>64</v>
      </c>
    </row>
    <row r="1020" spans="1:5">
      <c r="A1020" s="4" t="s">
        <v>943</v>
      </c>
      <c r="B1020" s="5" t="s">
        <v>942</v>
      </c>
      <c r="C1020" s="6" t="s">
        <v>23</v>
      </c>
      <c r="D1020" s="6" t="s">
        <v>63</v>
      </c>
      <c r="E1020" s="7" t="s">
        <v>67</v>
      </c>
    </row>
    <row r="1021" spans="1:5">
      <c r="A1021" s="4" t="s">
        <v>945</v>
      </c>
      <c r="B1021" s="5" t="s">
        <v>944</v>
      </c>
      <c r="C1021" s="6" t="s">
        <v>23</v>
      </c>
      <c r="D1021" s="6" t="s">
        <v>24</v>
      </c>
      <c r="E1021" s="7" t="s">
        <v>4457</v>
      </c>
    </row>
    <row r="1022" spans="1:5">
      <c r="A1022" s="4" t="s">
        <v>947</v>
      </c>
      <c r="B1022" s="5" t="s">
        <v>946</v>
      </c>
      <c r="C1022" s="6" t="s">
        <v>23</v>
      </c>
      <c r="D1022" s="6" t="s">
        <v>24</v>
      </c>
      <c r="E1022" s="7" t="s">
        <v>4447</v>
      </c>
    </row>
    <row r="1023" spans="1:5">
      <c r="A1023" s="4" t="s">
        <v>949</v>
      </c>
      <c r="B1023" s="5" t="s">
        <v>948</v>
      </c>
      <c r="C1023" s="6" t="s">
        <v>23</v>
      </c>
      <c r="D1023" s="6" t="s">
        <v>24</v>
      </c>
      <c r="E1023" s="7" t="s">
        <v>4450</v>
      </c>
    </row>
    <row r="1024" spans="1:5">
      <c r="A1024" s="4" t="s">
        <v>951</v>
      </c>
      <c r="B1024" s="5" t="s">
        <v>950</v>
      </c>
      <c r="C1024" s="6" t="s">
        <v>23</v>
      </c>
      <c r="D1024" s="6" t="s">
        <v>24</v>
      </c>
      <c r="E1024" s="7" t="s">
        <v>4454</v>
      </c>
    </row>
    <row r="1025" spans="1:5">
      <c r="A1025" s="4" t="s">
        <v>953</v>
      </c>
      <c r="B1025" s="5" t="s">
        <v>952</v>
      </c>
      <c r="C1025" s="6" t="s">
        <v>23</v>
      </c>
      <c r="D1025" s="6" t="s">
        <v>24</v>
      </c>
      <c r="E1025" s="7" t="s">
        <v>4452</v>
      </c>
    </row>
    <row r="1026" spans="1:5">
      <c r="A1026" s="4" t="s">
        <v>955</v>
      </c>
      <c r="B1026" s="5" t="s">
        <v>954</v>
      </c>
      <c r="C1026" s="6" t="s">
        <v>23</v>
      </c>
      <c r="D1026" s="6" t="s">
        <v>24</v>
      </c>
      <c r="E1026" s="7" t="s">
        <v>4448</v>
      </c>
    </row>
    <row r="1027" spans="1:5">
      <c r="A1027" s="4" t="s">
        <v>957</v>
      </c>
      <c r="B1027" s="5" t="s">
        <v>956</v>
      </c>
      <c r="C1027" s="6" t="s">
        <v>23</v>
      </c>
      <c r="D1027" s="6" t="s">
        <v>63</v>
      </c>
      <c r="E1027" s="7" t="s">
        <v>67</v>
      </c>
    </row>
    <row r="1028" spans="1:5">
      <c r="A1028" s="4" t="s">
        <v>959</v>
      </c>
      <c r="B1028" s="5" t="s">
        <v>958</v>
      </c>
      <c r="C1028" s="6" t="s">
        <v>23</v>
      </c>
      <c r="D1028" s="6" t="s">
        <v>24</v>
      </c>
      <c r="E1028" s="7" t="s">
        <v>4457</v>
      </c>
    </row>
    <row r="1029" spans="1:5">
      <c r="A1029" s="4" t="s">
        <v>961</v>
      </c>
      <c r="B1029" s="5" t="s">
        <v>960</v>
      </c>
      <c r="C1029" s="6" t="s">
        <v>23</v>
      </c>
      <c r="D1029" s="6" t="s">
        <v>24</v>
      </c>
      <c r="E1029" s="7" t="s">
        <v>4455</v>
      </c>
    </row>
    <row r="1030" spans="1:5">
      <c r="A1030" s="4" t="s">
        <v>963</v>
      </c>
      <c r="B1030" s="5" t="s">
        <v>962</v>
      </c>
      <c r="C1030" s="6" t="s">
        <v>23</v>
      </c>
      <c r="D1030" s="6" t="s">
        <v>63</v>
      </c>
      <c r="E1030" s="7" t="s">
        <v>64</v>
      </c>
    </row>
    <row r="1031" spans="1:5">
      <c r="A1031" s="4" t="s">
        <v>965</v>
      </c>
      <c r="B1031" s="5" t="s">
        <v>964</v>
      </c>
      <c r="C1031" s="6" t="s">
        <v>23</v>
      </c>
      <c r="D1031" s="6" t="s">
        <v>63</v>
      </c>
      <c r="E1031" s="7" t="s">
        <v>67</v>
      </c>
    </row>
    <row r="1032" spans="1:5">
      <c r="A1032" s="4" t="s">
        <v>967</v>
      </c>
      <c r="B1032" s="5" t="s">
        <v>966</v>
      </c>
      <c r="C1032" s="6" t="s">
        <v>23</v>
      </c>
      <c r="D1032" s="6" t="s">
        <v>63</v>
      </c>
      <c r="E1032" s="7" t="s">
        <v>86</v>
      </c>
    </row>
    <row r="1033" spans="1:5">
      <c r="A1033" s="4" t="s">
        <v>969</v>
      </c>
      <c r="B1033" s="5" t="s">
        <v>968</v>
      </c>
      <c r="C1033" s="6" t="s">
        <v>23</v>
      </c>
      <c r="D1033" s="6" t="s">
        <v>24</v>
      </c>
      <c r="E1033" s="7" t="s">
        <v>4457</v>
      </c>
    </row>
    <row r="1034" spans="1:5">
      <c r="A1034" s="4" t="s">
        <v>971</v>
      </c>
      <c r="B1034" s="5" t="s">
        <v>970</v>
      </c>
      <c r="C1034" s="6" t="s">
        <v>23</v>
      </c>
      <c r="D1034" s="6" t="s">
        <v>24</v>
      </c>
      <c r="E1034" s="7" t="s">
        <v>4447</v>
      </c>
    </row>
    <row r="1035" spans="1:5">
      <c r="A1035" s="4" t="s">
        <v>973</v>
      </c>
      <c r="B1035" s="5" t="s">
        <v>972</v>
      </c>
      <c r="C1035" s="6" t="s">
        <v>23</v>
      </c>
      <c r="D1035" s="6" t="s">
        <v>24</v>
      </c>
      <c r="E1035" s="7" t="s">
        <v>4448</v>
      </c>
    </row>
    <row r="1036" spans="1:5">
      <c r="A1036" s="74" t="s">
        <v>4956</v>
      </c>
      <c r="B1036" s="5" t="s">
        <v>974</v>
      </c>
      <c r="C1036" s="6" t="s">
        <v>23</v>
      </c>
      <c r="D1036" s="6" t="s">
        <v>63</v>
      </c>
      <c r="E1036" s="7" t="s">
        <v>64</v>
      </c>
    </row>
    <row r="1037" spans="1:5">
      <c r="A1037" s="4" t="s">
        <v>976</v>
      </c>
      <c r="B1037" s="5" t="s">
        <v>975</v>
      </c>
      <c r="C1037" s="6" t="s">
        <v>23</v>
      </c>
      <c r="D1037" s="6" t="s">
        <v>63</v>
      </c>
      <c r="E1037" s="7" t="s">
        <v>98</v>
      </c>
    </row>
    <row r="1038" spans="1:5">
      <c r="A1038" s="4" t="s">
        <v>978</v>
      </c>
      <c r="B1038" s="5" t="s">
        <v>977</v>
      </c>
      <c r="C1038" s="6" t="s">
        <v>23</v>
      </c>
      <c r="D1038" s="6" t="s">
        <v>24</v>
      </c>
      <c r="E1038" s="7" t="s">
        <v>4446</v>
      </c>
    </row>
    <row r="1039" spans="1:5">
      <c r="A1039" s="4" t="s">
        <v>980</v>
      </c>
      <c r="B1039" s="5" t="s">
        <v>979</v>
      </c>
      <c r="C1039" s="6" t="s">
        <v>23</v>
      </c>
      <c r="D1039" s="6" t="s">
        <v>24</v>
      </c>
      <c r="E1039" s="7" t="s">
        <v>4447</v>
      </c>
    </row>
    <row r="1040" spans="1:5">
      <c r="A1040" s="4" t="s">
        <v>982</v>
      </c>
      <c r="B1040" s="5" t="s">
        <v>981</v>
      </c>
      <c r="C1040" s="6" t="s">
        <v>23</v>
      </c>
      <c r="D1040" s="6" t="s">
        <v>24</v>
      </c>
      <c r="E1040" s="7" t="s">
        <v>4448</v>
      </c>
    </row>
    <row r="1041" spans="1:5">
      <c r="A1041" s="4" t="s">
        <v>984</v>
      </c>
      <c r="B1041" s="5" t="s">
        <v>983</v>
      </c>
      <c r="C1041" s="6" t="s">
        <v>23</v>
      </c>
      <c r="D1041" s="6" t="s">
        <v>24</v>
      </c>
      <c r="E1041" s="7" t="s">
        <v>4450</v>
      </c>
    </row>
    <row r="1042" spans="1:5">
      <c r="A1042" s="4" t="s">
        <v>986</v>
      </c>
      <c r="B1042" s="5" t="s">
        <v>985</v>
      </c>
      <c r="C1042" s="6" t="s">
        <v>23</v>
      </c>
      <c r="D1042" s="6" t="s">
        <v>24</v>
      </c>
      <c r="E1042" s="7" t="s">
        <v>4451</v>
      </c>
    </row>
    <row r="1043" spans="1:5">
      <c r="A1043" s="4" t="s">
        <v>988</v>
      </c>
      <c r="B1043" s="5" t="s">
        <v>987</v>
      </c>
      <c r="C1043" s="12" t="s">
        <v>23</v>
      </c>
      <c r="D1043" s="12" t="s">
        <v>63</v>
      </c>
      <c r="E1043" s="7" t="s">
        <v>86</v>
      </c>
    </row>
    <row r="1044" spans="1:5">
      <c r="A1044" s="4" t="s">
        <v>990</v>
      </c>
      <c r="B1044" s="5" t="s">
        <v>989</v>
      </c>
      <c r="C1044" s="6" t="s">
        <v>23</v>
      </c>
      <c r="D1044" s="6" t="s">
        <v>63</v>
      </c>
      <c r="E1044" s="7" t="s">
        <v>98</v>
      </c>
    </row>
    <row r="1045" spans="1:5">
      <c r="A1045" s="4" t="s">
        <v>992</v>
      </c>
      <c r="B1045" s="5" t="s">
        <v>991</v>
      </c>
      <c r="C1045" s="6" t="s">
        <v>23</v>
      </c>
      <c r="D1045" s="6" t="s">
        <v>63</v>
      </c>
      <c r="E1045" s="7" t="s">
        <v>67</v>
      </c>
    </row>
    <row r="1046" spans="1:5">
      <c r="A1046" s="4" t="s">
        <v>994</v>
      </c>
      <c r="B1046" s="5" t="s">
        <v>993</v>
      </c>
      <c r="C1046" s="6" t="s">
        <v>23</v>
      </c>
      <c r="D1046" s="6" t="s">
        <v>24</v>
      </c>
      <c r="E1046" s="7" t="s">
        <v>4453</v>
      </c>
    </row>
    <row r="1047" spans="1:5">
      <c r="A1047" s="4" t="s">
        <v>996</v>
      </c>
      <c r="B1047" s="5" t="s">
        <v>995</v>
      </c>
      <c r="C1047" s="6" t="s">
        <v>23</v>
      </c>
      <c r="D1047" s="6" t="s">
        <v>63</v>
      </c>
      <c r="E1047" s="7" t="s">
        <v>67</v>
      </c>
    </row>
    <row r="1048" spans="1:5">
      <c r="A1048" s="4" t="s">
        <v>998</v>
      </c>
      <c r="B1048" s="5" t="s">
        <v>997</v>
      </c>
      <c r="C1048" s="6" t="s">
        <v>23</v>
      </c>
      <c r="D1048" s="6" t="s">
        <v>24</v>
      </c>
      <c r="E1048" s="7" t="s">
        <v>4446</v>
      </c>
    </row>
    <row r="1049" spans="1:5">
      <c r="A1049" s="4" t="s">
        <v>1000</v>
      </c>
      <c r="B1049" s="5" t="s">
        <v>999</v>
      </c>
      <c r="C1049" s="6" t="s">
        <v>23</v>
      </c>
      <c r="D1049" s="6" t="s">
        <v>24</v>
      </c>
      <c r="E1049" s="7" t="s">
        <v>4455</v>
      </c>
    </row>
    <row r="1050" spans="1:5">
      <c r="A1050" s="4" t="s">
        <v>1002</v>
      </c>
      <c r="B1050" s="5" t="s">
        <v>1001</v>
      </c>
      <c r="C1050" s="6" t="s">
        <v>23</v>
      </c>
      <c r="D1050" s="6" t="s">
        <v>24</v>
      </c>
      <c r="E1050" s="7" t="s">
        <v>4448</v>
      </c>
    </row>
    <row r="1051" spans="1:5">
      <c r="A1051" s="4" t="s">
        <v>1004</v>
      </c>
      <c r="B1051" s="5" t="s">
        <v>1003</v>
      </c>
      <c r="C1051" s="6" t="s">
        <v>23</v>
      </c>
      <c r="D1051" s="6" t="s">
        <v>24</v>
      </c>
      <c r="E1051" s="7" t="s">
        <v>4447</v>
      </c>
    </row>
    <row r="1052" spans="1:5">
      <c r="A1052" s="4" t="s">
        <v>1006</v>
      </c>
      <c r="B1052" s="5" t="s">
        <v>1005</v>
      </c>
      <c r="C1052" s="6" t="s">
        <v>23</v>
      </c>
      <c r="D1052" s="6" t="s">
        <v>24</v>
      </c>
      <c r="E1052" s="7" t="s">
        <v>4448</v>
      </c>
    </row>
    <row r="1053" spans="1:5">
      <c r="A1053" s="4" t="s">
        <v>1008</v>
      </c>
      <c r="B1053" s="5" t="s">
        <v>1007</v>
      </c>
      <c r="C1053" s="6" t="s">
        <v>23</v>
      </c>
      <c r="D1053" s="6" t="s">
        <v>24</v>
      </c>
      <c r="E1053" s="7" t="s">
        <v>4450</v>
      </c>
    </row>
    <row r="1054" spans="1:5">
      <c r="A1054" s="4" t="s">
        <v>1010</v>
      </c>
      <c r="B1054" s="5" t="s">
        <v>1009</v>
      </c>
      <c r="C1054" s="6" t="s">
        <v>23</v>
      </c>
      <c r="D1054" s="6" t="s">
        <v>24</v>
      </c>
      <c r="E1054" s="7" t="s">
        <v>4452</v>
      </c>
    </row>
    <row r="1055" spans="1:5">
      <c r="A1055" s="4" t="s">
        <v>1012</v>
      </c>
      <c r="B1055" s="5" t="s">
        <v>1011</v>
      </c>
      <c r="C1055" s="6" t="s">
        <v>23</v>
      </c>
      <c r="D1055" s="6" t="s">
        <v>24</v>
      </c>
      <c r="E1055" s="7" t="s">
        <v>4456</v>
      </c>
    </row>
    <row r="1056" spans="1:5">
      <c r="A1056" s="4" t="s">
        <v>1014</v>
      </c>
      <c r="B1056" s="5" t="s">
        <v>1013</v>
      </c>
      <c r="C1056" s="6" t="s">
        <v>23</v>
      </c>
      <c r="D1056" s="6" t="s">
        <v>24</v>
      </c>
      <c r="E1056" s="7" t="s">
        <v>4447</v>
      </c>
    </row>
    <row r="1057" spans="1:5">
      <c r="A1057" s="4" t="s">
        <v>1016</v>
      </c>
      <c r="B1057" s="5" t="s">
        <v>1015</v>
      </c>
      <c r="C1057" s="6" t="s">
        <v>23</v>
      </c>
      <c r="D1057" s="6" t="s">
        <v>24</v>
      </c>
      <c r="E1057" s="7" t="s">
        <v>4448</v>
      </c>
    </row>
    <row r="1058" spans="1:5">
      <c r="A1058" s="4" t="s">
        <v>1018</v>
      </c>
      <c r="B1058" s="5" t="s">
        <v>1017</v>
      </c>
      <c r="C1058" s="6" t="s">
        <v>23</v>
      </c>
      <c r="D1058" s="6" t="s">
        <v>24</v>
      </c>
      <c r="E1058" s="7" t="s">
        <v>4450</v>
      </c>
    </row>
    <row r="1059" spans="1:5">
      <c r="A1059" s="4" t="s">
        <v>1020</v>
      </c>
      <c r="B1059" s="5" t="s">
        <v>1019</v>
      </c>
      <c r="C1059" s="6" t="s">
        <v>23</v>
      </c>
      <c r="D1059" s="6" t="s">
        <v>24</v>
      </c>
      <c r="E1059" s="7" t="s">
        <v>4451</v>
      </c>
    </row>
    <row r="1060" spans="1:5">
      <c r="A1060" s="4" t="s">
        <v>1022</v>
      </c>
      <c r="B1060" s="5" t="s">
        <v>1021</v>
      </c>
      <c r="C1060" s="6" t="s">
        <v>23</v>
      </c>
      <c r="D1060" s="6" t="s">
        <v>24</v>
      </c>
      <c r="E1060" s="7" t="s">
        <v>4452</v>
      </c>
    </row>
    <row r="1061" spans="1:5">
      <c r="A1061" s="4" t="s">
        <v>1024</v>
      </c>
      <c r="B1061" s="5" t="s">
        <v>1023</v>
      </c>
      <c r="C1061" s="6" t="s">
        <v>23</v>
      </c>
      <c r="D1061" s="6" t="s">
        <v>24</v>
      </c>
      <c r="E1061" s="7" t="s">
        <v>4448</v>
      </c>
    </row>
    <row r="1062" spans="1:5">
      <c r="A1062" s="4" t="s">
        <v>1026</v>
      </c>
      <c r="B1062" s="5" t="s">
        <v>1025</v>
      </c>
      <c r="C1062" s="6" t="s">
        <v>23</v>
      </c>
      <c r="D1062" s="6" t="s">
        <v>24</v>
      </c>
      <c r="E1062" s="7" t="s">
        <v>4457</v>
      </c>
    </row>
    <row r="1063" spans="1:5">
      <c r="A1063" s="4" t="s">
        <v>1028</v>
      </c>
      <c r="B1063" s="5" t="s">
        <v>1027</v>
      </c>
      <c r="C1063" s="6" t="s">
        <v>23</v>
      </c>
      <c r="D1063" s="6" t="s">
        <v>24</v>
      </c>
      <c r="E1063" s="7" t="s">
        <v>4455</v>
      </c>
    </row>
    <row r="1064" spans="1:5">
      <c r="A1064" s="4" t="s">
        <v>1030</v>
      </c>
      <c r="B1064" s="5" t="s">
        <v>1029</v>
      </c>
      <c r="C1064" s="6" t="s">
        <v>23</v>
      </c>
      <c r="D1064" s="6" t="s">
        <v>24</v>
      </c>
      <c r="E1064" s="7" t="s">
        <v>4449</v>
      </c>
    </row>
    <row r="1065" spans="1:5">
      <c r="A1065" s="4" t="s">
        <v>1032</v>
      </c>
      <c r="B1065" s="5" t="s">
        <v>1031</v>
      </c>
      <c r="C1065" s="6" t="s">
        <v>23</v>
      </c>
      <c r="D1065" s="6" t="s">
        <v>24</v>
      </c>
      <c r="E1065" s="7" t="s">
        <v>4454</v>
      </c>
    </row>
    <row r="1066" spans="1:5">
      <c r="A1066" s="4" t="s">
        <v>1034</v>
      </c>
      <c r="B1066" s="5" t="s">
        <v>1033</v>
      </c>
      <c r="C1066" s="6" t="s">
        <v>23</v>
      </c>
      <c r="D1066" s="6" t="s">
        <v>24</v>
      </c>
      <c r="E1066" s="7" t="s">
        <v>4451</v>
      </c>
    </row>
    <row r="1067" spans="1:5">
      <c r="A1067" s="11" t="s">
        <v>1036</v>
      </c>
      <c r="B1067" s="5" t="s">
        <v>1035</v>
      </c>
      <c r="C1067" s="12" t="s">
        <v>23</v>
      </c>
      <c r="D1067" s="12" t="s">
        <v>24</v>
      </c>
      <c r="E1067" s="7" t="s">
        <v>4456</v>
      </c>
    </row>
    <row r="1068" spans="1:5">
      <c r="A1068" s="4" t="s">
        <v>1038</v>
      </c>
      <c r="B1068" s="5" t="s">
        <v>1037</v>
      </c>
      <c r="C1068" s="6" t="s">
        <v>23</v>
      </c>
      <c r="D1068" s="6" t="s">
        <v>24</v>
      </c>
      <c r="E1068" s="7" t="s">
        <v>4453</v>
      </c>
    </row>
    <row r="1069" spans="1:5">
      <c r="A1069" s="4" t="s">
        <v>1040</v>
      </c>
      <c r="B1069" s="5" t="s">
        <v>1039</v>
      </c>
      <c r="C1069" s="6" t="s">
        <v>23</v>
      </c>
      <c r="D1069" s="6" t="s">
        <v>63</v>
      </c>
      <c r="E1069" s="7" t="s">
        <v>64</v>
      </c>
    </row>
    <row r="1070" spans="1:5">
      <c r="A1070" s="4" t="s">
        <v>1042</v>
      </c>
      <c r="B1070" s="5" t="s">
        <v>1041</v>
      </c>
      <c r="C1070" s="6" t="s">
        <v>23</v>
      </c>
      <c r="D1070" s="6" t="s">
        <v>63</v>
      </c>
      <c r="E1070" s="7" t="s">
        <v>67</v>
      </c>
    </row>
    <row r="1071" spans="1:5">
      <c r="A1071" s="4" t="s">
        <v>3301</v>
      </c>
      <c r="B1071" s="5" t="s">
        <v>4072</v>
      </c>
      <c r="C1071" s="6" t="s">
        <v>23</v>
      </c>
      <c r="D1071" s="6" t="s">
        <v>63</v>
      </c>
      <c r="E1071" s="7" t="s">
        <v>98</v>
      </c>
    </row>
    <row r="1072" spans="1:5">
      <c r="A1072" s="4" t="s">
        <v>1044</v>
      </c>
      <c r="B1072" s="5" t="s">
        <v>1043</v>
      </c>
      <c r="C1072" s="6" t="s">
        <v>23</v>
      </c>
      <c r="D1072" s="6" t="s">
        <v>63</v>
      </c>
      <c r="E1072" s="7" t="s">
        <v>98</v>
      </c>
    </row>
    <row r="1073" spans="1:5">
      <c r="A1073" s="4" t="s">
        <v>1046</v>
      </c>
      <c r="B1073" s="5" t="s">
        <v>1045</v>
      </c>
      <c r="C1073" s="6" t="s">
        <v>23</v>
      </c>
      <c r="D1073" s="6" t="s">
        <v>63</v>
      </c>
      <c r="E1073" s="7" t="s">
        <v>98</v>
      </c>
    </row>
    <row r="1074" spans="1:5">
      <c r="A1074" s="4" t="s">
        <v>1048</v>
      </c>
      <c r="B1074" s="5" t="s">
        <v>1047</v>
      </c>
      <c r="C1074" s="6" t="s">
        <v>23</v>
      </c>
      <c r="D1074" s="6" t="s">
        <v>24</v>
      </c>
      <c r="E1074" s="7" t="s">
        <v>4447</v>
      </c>
    </row>
    <row r="1075" spans="1:5">
      <c r="A1075" s="4" t="s">
        <v>1050</v>
      </c>
      <c r="B1075" s="5" t="s">
        <v>1049</v>
      </c>
      <c r="C1075" s="6" t="s">
        <v>23</v>
      </c>
      <c r="D1075" s="6" t="s">
        <v>24</v>
      </c>
      <c r="E1075" s="7" t="s">
        <v>4448</v>
      </c>
    </row>
    <row r="1076" spans="1:5">
      <c r="A1076" s="4" t="s">
        <v>1052</v>
      </c>
      <c r="B1076" s="5" t="s">
        <v>1051</v>
      </c>
      <c r="C1076" s="6" t="s">
        <v>23</v>
      </c>
      <c r="D1076" s="6" t="s">
        <v>24</v>
      </c>
      <c r="E1076" s="7" t="s">
        <v>4449</v>
      </c>
    </row>
    <row r="1077" spans="1:5">
      <c r="A1077" s="4" t="s">
        <v>1054</v>
      </c>
      <c r="B1077" s="5" t="s">
        <v>1053</v>
      </c>
      <c r="C1077" s="6" t="s">
        <v>23</v>
      </c>
      <c r="D1077" s="6" t="s">
        <v>24</v>
      </c>
      <c r="E1077" s="7" t="s">
        <v>4454</v>
      </c>
    </row>
    <row r="1078" spans="1:5">
      <c r="A1078" s="4" t="s">
        <v>1056</v>
      </c>
      <c r="B1078" s="5" t="s">
        <v>1055</v>
      </c>
      <c r="C1078" s="6" t="s">
        <v>23</v>
      </c>
      <c r="D1078" s="6" t="s">
        <v>24</v>
      </c>
      <c r="E1078" s="7" t="s">
        <v>4451</v>
      </c>
    </row>
    <row r="1079" spans="1:5">
      <c r="A1079" s="4" t="s">
        <v>1058</v>
      </c>
      <c r="B1079" s="5" t="s">
        <v>1057</v>
      </c>
      <c r="C1079" s="6" t="s">
        <v>23</v>
      </c>
      <c r="D1079" s="6" t="s">
        <v>24</v>
      </c>
      <c r="E1079" s="7" t="s">
        <v>4448</v>
      </c>
    </row>
    <row r="1080" spans="1:5">
      <c r="A1080" s="4" t="s">
        <v>1060</v>
      </c>
      <c r="B1080" s="5" t="s">
        <v>1059</v>
      </c>
      <c r="C1080" s="6" t="s">
        <v>23</v>
      </c>
      <c r="D1080" s="6" t="s">
        <v>24</v>
      </c>
      <c r="E1080" s="7" t="s">
        <v>4449</v>
      </c>
    </row>
    <row r="1081" spans="1:5">
      <c r="A1081" s="4" t="s">
        <v>1062</v>
      </c>
      <c r="B1081" s="5" t="s">
        <v>1061</v>
      </c>
      <c r="C1081" s="6" t="s">
        <v>23</v>
      </c>
      <c r="D1081" s="6" t="s">
        <v>24</v>
      </c>
      <c r="E1081" s="7" t="s">
        <v>4450</v>
      </c>
    </row>
    <row r="1082" spans="1:5">
      <c r="A1082" s="4" t="s">
        <v>1064</v>
      </c>
      <c r="B1082" s="5" t="s">
        <v>1063</v>
      </c>
      <c r="C1082" s="6" t="s">
        <v>23</v>
      </c>
      <c r="D1082" s="6" t="s">
        <v>24</v>
      </c>
      <c r="E1082" s="7" t="s">
        <v>4454</v>
      </c>
    </row>
    <row r="1083" spans="1:5">
      <c r="A1083" s="4" t="s">
        <v>1066</v>
      </c>
      <c r="B1083" s="8" t="s">
        <v>1065</v>
      </c>
      <c r="C1083" s="6" t="s">
        <v>23</v>
      </c>
      <c r="D1083" s="6" t="s">
        <v>63</v>
      </c>
      <c r="E1083" s="7" t="s">
        <v>98</v>
      </c>
    </row>
    <row r="1084" spans="1:5">
      <c r="A1084" s="4" t="s">
        <v>1068</v>
      </c>
      <c r="B1084" s="5" t="s">
        <v>1067</v>
      </c>
      <c r="C1084" s="6" t="s">
        <v>23</v>
      </c>
      <c r="D1084" s="6" t="s">
        <v>24</v>
      </c>
      <c r="E1084" s="7" t="s">
        <v>4457</v>
      </c>
    </row>
    <row r="1085" spans="1:5">
      <c r="A1085" s="4" t="s">
        <v>1070</v>
      </c>
      <c r="B1085" s="5" t="s">
        <v>1069</v>
      </c>
      <c r="C1085" s="6" t="s">
        <v>23</v>
      </c>
      <c r="D1085" s="6" t="s">
        <v>24</v>
      </c>
      <c r="E1085" s="7" t="s">
        <v>4455</v>
      </c>
    </row>
    <row r="1086" spans="1:5">
      <c r="A1086" s="4" t="s">
        <v>1072</v>
      </c>
      <c r="B1086" s="5" t="s">
        <v>1071</v>
      </c>
      <c r="C1086" s="6" t="s">
        <v>23</v>
      </c>
      <c r="D1086" s="6" t="s">
        <v>63</v>
      </c>
      <c r="E1086" s="7" t="s">
        <v>98</v>
      </c>
    </row>
    <row r="1087" spans="1:5">
      <c r="A1087" s="4" t="s">
        <v>4528</v>
      </c>
      <c r="B1087" s="5" t="s">
        <v>4529</v>
      </c>
      <c r="C1087" s="6" t="s">
        <v>23</v>
      </c>
      <c r="D1087" s="6" t="s">
        <v>24</v>
      </c>
      <c r="E1087" s="7" t="s">
        <v>4446</v>
      </c>
    </row>
    <row r="1088" spans="1:5">
      <c r="A1088" s="4" t="s">
        <v>1074</v>
      </c>
      <c r="B1088" s="5" t="s">
        <v>1073</v>
      </c>
      <c r="C1088" s="6" t="s">
        <v>23</v>
      </c>
      <c r="D1088" s="6" t="s">
        <v>63</v>
      </c>
      <c r="E1088" s="7" t="s">
        <v>64</v>
      </c>
    </row>
    <row r="1089" spans="1:5">
      <c r="A1089" s="4" t="s">
        <v>1076</v>
      </c>
      <c r="B1089" s="5" t="s">
        <v>1075</v>
      </c>
      <c r="C1089" s="6" t="s">
        <v>23</v>
      </c>
      <c r="D1089" s="6" t="s">
        <v>63</v>
      </c>
      <c r="E1089" s="7" t="s">
        <v>67</v>
      </c>
    </row>
    <row r="1090" spans="1:5">
      <c r="A1090" s="4" t="s">
        <v>1078</v>
      </c>
      <c r="B1090" s="5" t="s">
        <v>1077</v>
      </c>
      <c r="C1090" s="6" t="s">
        <v>23</v>
      </c>
      <c r="D1090" s="6" t="s">
        <v>63</v>
      </c>
      <c r="E1090" s="7" t="s">
        <v>287</v>
      </c>
    </row>
    <row r="1091" spans="1:5">
      <c r="A1091" s="4" t="s">
        <v>1080</v>
      </c>
      <c r="B1091" s="5" t="s">
        <v>1079</v>
      </c>
      <c r="C1091" s="6" t="s">
        <v>23</v>
      </c>
      <c r="D1091" s="6" t="s">
        <v>24</v>
      </c>
      <c r="E1091" s="7" t="s">
        <v>4457</v>
      </c>
    </row>
    <row r="1092" spans="1:5">
      <c r="A1092" s="4" t="s">
        <v>1082</v>
      </c>
      <c r="B1092" s="5" t="s">
        <v>1081</v>
      </c>
      <c r="C1092" s="6" t="s">
        <v>23</v>
      </c>
      <c r="D1092" s="6" t="s">
        <v>24</v>
      </c>
      <c r="E1092" s="7" t="s">
        <v>4455</v>
      </c>
    </row>
    <row r="1093" spans="1:5">
      <c r="A1093" s="4" t="s">
        <v>1084</v>
      </c>
      <c r="B1093" s="5" t="s">
        <v>1083</v>
      </c>
      <c r="C1093" s="6" t="s">
        <v>23</v>
      </c>
      <c r="D1093" s="6" t="s">
        <v>24</v>
      </c>
      <c r="E1093" s="7" t="s">
        <v>4449</v>
      </c>
    </row>
    <row r="1094" spans="1:5">
      <c r="A1094" s="4" t="s">
        <v>1086</v>
      </c>
      <c r="B1094" s="5" t="s">
        <v>1085</v>
      </c>
      <c r="C1094" s="6" t="s">
        <v>23</v>
      </c>
      <c r="D1094" s="6" t="s">
        <v>24</v>
      </c>
      <c r="E1094" s="7" t="s">
        <v>4454</v>
      </c>
    </row>
    <row r="1095" spans="1:5">
      <c r="A1095" s="4" t="s">
        <v>1088</v>
      </c>
      <c r="B1095" s="5" t="s">
        <v>1087</v>
      </c>
      <c r="C1095" s="6" t="s">
        <v>23</v>
      </c>
      <c r="D1095" s="6" t="s">
        <v>24</v>
      </c>
      <c r="E1095" s="7" t="s">
        <v>4456</v>
      </c>
    </row>
    <row r="1096" spans="1:5">
      <c r="A1096" s="4" t="s">
        <v>1090</v>
      </c>
      <c r="B1096" s="5" t="s">
        <v>1089</v>
      </c>
      <c r="C1096" s="6" t="s">
        <v>23</v>
      </c>
      <c r="D1096" s="6" t="s">
        <v>24</v>
      </c>
      <c r="E1096" s="7" t="s">
        <v>4452</v>
      </c>
    </row>
    <row r="1097" spans="1:5">
      <c r="A1097" s="4" t="s">
        <v>1092</v>
      </c>
      <c r="B1097" s="5" t="s">
        <v>1091</v>
      </c>
      <c r="C1097" s="6" t="s">
        <v>23</v>
      </c>
      <c r="D1097" s="6" t="s">
        <v>24</v>
      </c>
      <c r="E1097" s="7" t="s">
        <v>4455</v>
      </c>
    </row>
    <row r="1098" spans="1:5">
      <c r="A1098" s="4" t="s">
        <v>1094</v>
      </c>
      <c r="B1098" s="5" t="s">
        <v>1093</v>
      </c>
      <c r="C1098" s="6" t="s">
        <v>23</v>
      </c>
      <c r="D1098" s="6" t="s">
        <v>24</v>
      </c>
      <c r="E1098" s="7" t="s">
        <v>4449</v>
      </c>
    </row>
    <row r="1099" spans="1:5">
      <c r="A1099" s="4" t="s">
        <v>1096</v>
      </c>
      <c r="B1099" s="5" t="s">
        <v>1095</v>
      </c>
      <c r="C1099" s="6" t="s">
        <v>23</v>
      </c>
      <c r="D1099" s="6" t="s">
        <v>24</v>
      </c>
      <c r="E1099" s="7" t="s">
        <v>4454</v>
      </c>
    </row>
    <row r="1100" spans="1:5">
      <c r="A1100" s="4" t="s">
        <v>1098</v>
      </c>
      <c r="B1100" s="5" t="s">
        <v>1097</v>
      </c>
      <c r="C1100" s="6" t="s">
        <v>23</v>
      </c>
      <c r="D1100" s="6" t="s">
        <v>24</v>
      </c>
      <c r="E1100" s="7" t="s">
        <v>4452</v>
      </c>
    </row>
    <row r="1101" spans="1:5">
      <c r="A1101" s="11" t="s">
        <v>1100</v>
      </c>
      <c r="B1101" s="5" t="s">
        <v>1099</v>
      </c>
      <c r="C1101" s="12" t="s">
        <v>23</v>
      </c>
      <c r="D1101" s="12" t="s">
        <v>24</v>
      </c>
      <c r="E1101" s="7" t="s">
        <v>4446</v>
      </c>
    </row>
    <row r="1102" spans="1:5">
      <c r="A1102" s="4" t="s">
        <v>1102</v>
      </c>
      <c r="B1102" s="5" t="s">
        <v>1101</v>
      </c>
      <c r="C1102" s="6" t="s">
        <v>23</v>
      </c>
      <c r="D1102" s="6" t="s">
        <v>24</v>
      </c>
      <c r="E1102" s="7" t="s">
        <v>4447</v>
      </c>
    </row>
    <row r="1103" spans="1:5">
      <c r="A1103" s="4" t="s">
        <v>1104</v>
      </c>
      <c r="B1103" s="5" t="s">
        <v>1103</v>
      </c>
      <c r="C1103" s="6" t="s">
        <v>23</v>
      </c>
      <c r="D1103" s="6" t="s">
        <v>24</v>
      </c>
      <c r="E1103" s="7" t="s">
        <v>4448</v>
      </c>
    </row>
    <row r="1104" spans="1:5">
      <c r="A1104" s="4" t="s">
        <v>1106</v>
      </c>
      <c r="B1104" s="5" t="s">
        <v>1105</v>
      </c>
      <c r="C1104" s="6" t="s">
        <v>23</v>
      </c>
      <c r="D1104" s="6" t="s">
        <v>24</v>
      </c>
      <c r="E1104" s="7" t="s">
        <v>4450</v>
      </c>
    </row>
    <row r="1105" spans="1:5">
      <c r="A1105" s="4" t="s">
        <v>1108</v>
      </c>
      <c r="B1105" s="5" t="s">
        <v>1107</v>
      </c>
      <c r="C1105" s="6" t="s">
        <v>23</v>
      </c>
      <c r="D1105" s="6" t="s">
        <v>63</v>
      </c>
      <c r="E1105" s="7" t="s">
        <v>98</v>
      </c>
    </row>
    <row r="1106" spans="1:5">
      <c r="A1106" s="4" t="s">
        <v>1110</v>
      </c>
      <c r="B1106" s="5" t="s">
        <v>1109</v>
      </c>
      <c r="C1106" s="6" t="s">
        <v>23</v>
      </c>
      <c r="D1106" s="6" t="s">
        <v>63</v>
      </c>
      <c r="E1106" s="7" t="s">
        <v>98</v>
      </c>
    </row>
    <row r="1107" spans="1:5">
      <c r="A1107" s="4" t="s">
        <v>3469</v>
      </c>
      <c r="B1107" s="5" t="s">
        <v>4243</v>
      </c>
      <c r="C1107" s="6" t="s">
        <v>23</v>
      </c>
      <c r="D1107" s="6" t="s">
        <v>4445</v>
      </c>
      <c r="E1107" s="7" t="s">
        <v>4443</v>
      </c>
    </row>
    <row r="1108" spans="1:5">
      <c r="A1108" s="11" t="s">
        <v>3294</v>
      </c>
      <c r="B1108" s="5" t="s">
        <v>4064</v>
      </c>
      <c r="C1108" s="12" t="s">
        <v>23</v>
      </c>
      <c r="D1108" s="12" t="s">
        <v>4445</v>
      </c>
      <c r="E1108" s="7" t="s">
        <v>4443</v>
      </c>
    </row>
    <row r="1109" spans="1:5">
      <c r="A1109" s="4" t="s">
        <v>1112</v>
      </c>
      <c r="B1109" s="5" t="s">
        <v>1111</v>
      </c>
      <c r="C1109" s="6" t="s">
        <v>23</v>
      </c>
      <c r="D1109" s="6" t="s">
        <v>24</v>
      </c>
      <c r="E1109" s="7" t="s">
        <v>4448</v>
      </c>
    </row>
    <row r="1110" spans="1:5">
      <c r="A1110" s="4" t="s">
        <v>3297</v>
      </c>
      <c r="B1110" s="5" t="s">
        <v>4067</v>
      </c>
      <c r="C1110" s="6" t="s">
        <v>23</v>
      </c>
      <c r="D1110" s="6" t="s">
        <v>4445</v>
      </c>
      <c r="E1110" s="7" t="s">
        <v>4443</v>
      </c>
    </row>
    <row r="1111" spans="1:5">
      <c r="A1111" s="4" t="s">
        <v>1114</v>
      </c>
      <c r="B1111" s="5" t="s">
        <v>1113</v>
      </c>
      <c r="C1111" s="6" t="s">
        <v>23</v>
      </c>
      <c r="D1111" s="6" t="s">
        <v>63</v>
      </c>
      <c r="E1111" s="7" t="s">
        <v>67</v>
      </c>
    </row>
    <row r="1112" spans="1:5">
      <c r="A1112" s="4" t="s">
        <v>1116</v>
      </c>
      <c r="B1112" s="5" t="s">
        <v>1115</v>
      </c>
      <c r="C1112" s="6" t="s">
        <v>23</v>
      </c>
      <c r="D1112" s="6" t="s">
        <v>63</v>
      </c>
      <c r="E1112" s="7" t="s">
        <v>287</v>
      </c>
    </row>
    <row r="1113" spans="1:5">
      <c r="A1113" s="11" t="s">
        <v>1118</v>
      </c>
      <c r="B1113" s="5" t="s">
        <v>1117</v>
      </c>
      <c r="C1113" s="12" t="s">
        <v>23</v>
      </c>
      <c r="D1113" s="12" t="s">
        <v>63</v>
      </c>
      <c r="E1113" s="7" t="s">
        <v>98</v>
      </c>
    </row>
    <row r="1114" spans="1:5">
      <c r="A1114" s="4" t="s">
        <v>1120</v>
      </c>
      <c r="B1114" s="5" t="s">
        <v>1119</v>
      </c>
      <c r="C1114" s="6" t="s">
        <v>23</v>
      </c>
      <c r="D1114" s="6" t="s">
        <v>63</v>
      </c>
      <c r="E1114" s="7" t="s">
        <v>67</v>
      </c>
    </row>
    <row r="1115" spans="1:5">
      <c r="A1115" s="4" t="s">
        <v>1122</v>
      </c>
      <c r="B1115" s="5" t="s">
        <v>1121</v>
      </c>
      <c r="C1115" s="6" t="s">
        <v>23</v>
      </c>
      <c r="D1115" s="6" t="s">
        <v>24</v>
      </c>
      <c r="E1115" s="7" t="s">
        <v>4447</v>
      </c>
    </row>
    <row r="1116" spans="1:5">
      <c r="A1116" s="4" t="s">
        <v>3581</v>
      </c>
      <c r="B1116" s="5" t="s">
        <v>4356</v>
      </c>
      <c r="C1116" s="6" t="s">
        <v>23</v>
      </c>
      <c r="D1116" s="6" t="s">
        <v>24</v>
      </c>
      <c r="E1116" s="7" t="s">
        <v>4455</v>
      </c>
    </row>
    <row r="1117" spans="1:5">
      <c r="A1117" s="4" t="s">
        <v>1124</v>
      </c>
      <c r="B1117" s="5" t="s">
        <v>1123</v>
      </c>
      <c r="C1117" s="6" t="s">
        <v>23</v>
      </c>
      <c r="D1117" s="6" t="s">
        <v>63</v>
      </c>
      <c r="E1117" s="7" t="s">
        <v>64</v>
      </c>
    </row>
    <row r="1118" spans="1:5">
      <c r="A1118" s="4" t="s">
        <v>1126</v>
      </c>
      <c r="B1118" s="5" t="s">
        <v>1125</v>
      </c>
      <c r="C1118" s="6" t="s">
        <v>23</v>
      </c>
      <c r="D1118" s="6" t="s">
        <v>63</v>
      </c>
      <c r="E1118" s="7" t="s">
        <v>86</v>
      </c>
    </row>
    <row r="1119" spans="1:5">
      <c r="A1119" s="4" t="s">
        <v>1128</v>
      </c>
      <c r="B1119" s="5" t="s">
        <v>1127</v>
      </c>
      <c r="C1119" s="6" t="s">
        <v>23</v>
      </c>
      <c r="D1119" s="6" t="s">
        <v>63</v>
      </c>
      <c r="E1119" s="7" t="s">
        <v>89</v>
      </c>
    </row>
    <row r="1120" spans="1:5">
      <c r="A1120" s="4" t="s">
        <v>1130</v>
      </c>
      <c r="B1120" s="5" t="s">
        <v>1129</v>
      </c>
      <c r="C1120" s="6" t="s">
        <v>23</v>
      </c>
      <c r="D1120" s="6" t="s">
        <v>63</v>
      </c>
      <c r="E1120" s="7" t="s">
        <v>92</v>
      </c>
    </row>
    <row r="1121" spans="1:5">
      <c r="A1121" s="4" t="s">
        <v>1132</v>
      </c>
      <c r="B1121" s="5" t="s">
        <v>1131</v>
      </c>
      <c r="C1121" s="6" t="s">
        <v>23</v>
      </c>
      <c r="D1121" s="6" t="s">
        <v>63</v>
      </c>
      <c r="E1121" s="7" t="s">
        <v>95</v>
      </c>
    </row>
    <row r="1122" spans="1:5">
      <c r="A1122" s="4" t="s">
        <v>1134</v>
      </c>
      <c r="B1122" s="5" t="s">
        <v>1133</v>
      </c>
      <c r="C1122" s="6" t="s">
        <v>23</v>
      </c>
      <c r="D1122" s="6" t="s">
        <v>63</v>
      </c>
      <c r="E1122" s="7" t="s">
        <v>287</v>
      </c>
    </row>
    <row r="1123" spans="1:5">
      <c r="A1123" s="4" t="s">
        <v>1136</v>
      </c>
      <c r="B1123" s="5" t="s">
        <v>1135</v>
      </c>
      <c r="C1123" s="6" t="s">
        <v>23</v>
      </c>
      <c r="D1123" s="6" t="s">
        <v>63</v>
      </c>
      <c r="E1123" s="7" t="s">
        <v>425</v>
      </c>
    </row>
    <row r="1124" spans="1:5">
      <c r="A1124" s="4" t="s">
        <v>1138</v>
      </c>
      <c r="B1124" s="5" t="s">
        <v>1137</v>
      </c>
      <c r="C1124" s="6" t="s">
        <v>23</v>
      </c>
      <c r="D1124" s="6" t="s">
        <v>24</v>
      </c>
      <c r="E1124" s="7" t="s">
        <v>4447</v>
      </c>
    </row>
    <row r="1125" spans="1:5">
      <c r="A1125" s="4" t="s">
        <v>1140</v>
      </c>
      <c r="B1125" s="5" t="s">
        <v>1139</v>
      </c>
      <c r="C1125" s="6" t="s">
        <v>23</v>
      </c>
      <c r="D1125" s="6" t="s">
        <v>24</v>
      </c>
      <c r="E1125" s="7" t="s">
        <v>4448</v>
      </c>
    </row>
    <row r="1126" spans="1:5">
      <c r="A1126" s="4" t="s">
        <v>1142</v>
      </c>
      <c r="B1126" s="5" t="s">
        <v>1141</v>
      </c>
      <c r="C1126" s="6" t="s">
        <v>23</v>
      </c>
      <c r="D1126" s="6" t="s">
        <v>24</v>
      </c>
      <c r="E1126" s="7" t="s">
        <v>4450</v>
      </c>
    </row>
    <row r="1127" spans="1:5">
      <c r="A1127" s="4" t="s">
        <v>1144</v>
      </c>
      <c r="B1127" s="5" t="s">
        <v>1143</v>
      </c>
      <c r="C1127" s="6" t="s">
        <v>23</v>
      </c>
      <c r="D1127" s="6" t="s">
        <v>24</v>
      </c>
      <c r="E1127" s="7" t="s">
        <v>4455</v>
      </c>
    </row>
    <row r="1128" spans="1:5">
      <c r="A1128" s="4" t="s">
        <v>1146</v>
      </c>
      <c r="B1128" s="5" t="s">
        <v>1145</v>
      </c>
      <c r="C1128" s="6" t="s">
        <v>23</v>
      </c>
      <c r="D1128" s="6" t="s">
        <v>24</v>
      </c>
      <c r="E1128" s="7" t="s">
        <v>4448</v>
      </c>
    </row>
    <row r="1129" spans="1:5">
      <c r="A1129" s="4" t="s">
        <v>1148</v>
      </c>
      <c r="B1129" s="5" t="s">
        <v>1147</v>
      </c>
      <c r="C1129" s="6" t="s">
        <v>23</v>
      </c>
      <c r="D1129" s="6" t="s">
        <v>24</v>
      </c>
      <c r="E1129" s="7" t="s">
        <v>4450</v>
      </c>
    </row>
    <row r="1130" spans="1:5">
      <c r="A1130" s="4" t="s">
        <v>1150</v>
      </c>
      <c r="B1130" s="5" t="s">
        <v>1149</v>
      </c>
      <c r="C1130" s="6" t="s">
        <v>23</v>
      </c>
      <c r="D1130" s="6" t="s">
        <v>24</v>
      </c>
      <c r="E1130" s="7" t="s">
        <v>4454</v>
      </c>
    </row>
    <row r="1131" spans="1:5">
      <c r="A1131" s="4" t="s">
        <v>1152</v>
      </c>
      <c r="B1131" s="5" t="s">
        <v>1151</v>
      </c>
      <c r="C1131" s="6" t="s">
        <v>23</v>
      </c>
      <c r="D1131" s="6" t="s">
        <v>24</v>
      </c>
      <c r="E1131" s="7" t="s">
        <v>4452</v>
      </c>
    </row>
    <row r="1132" spans="1:5">
      <c r="A1132" s="4" t="s">
        <v>4534</v>
      </c>
      <c r="B1132" s="5" t="s">
        <v>4535</v>
      </c>
      <c r="C1132" s="6" t="s">
        <v>23</v>
      </c>
      <c r="D1132" s="6" t="s">
        <v>320</v>
      </c>
      <c r="E1132" s="7" t="s">
        <v>4444</v>
      </c>
    </row>
    <row r="1133" spans="1:5">
      <c r="A1133" s="4" t="s">
        <v>1154</v>
      </c>
      <c r="B1133" s="5" t="s">
        <v>1153</v>
      </c>
      <c r="C1133" s="6" t="s">
        <v>23</v>
      </c>
      <c r="D1133" s="6" t="s">
        <v>320</v>
      </c>
      <c r="E1133" s="7" t="s">
        <v>4444</v>
      </c>
    </row>
    <row r="1134" spans="1:5">
      <c r="A1134" s="4" t="s">
        <v>1156</v>
      </c>
      <c r="B1134" s="5" t="s">
        <v>1155</v>
      </c>
      <c r="C1134" s="6" t="s">
        <v>23</v>
      </c>
      <c r="D1134" s="6" t="s">
        <v>24</v>
      </c>
      <c r="E1134" s="7" t="s">
        <v>4455</v>
      </c>
    </row>
    <row r="1135" spans="1:5">
      <c r="A1135" s="4" t="s">
        <v>1158</v>
      </c>
      <c r="B1135" s="5" t="s">
        <v>1157</v>
      </c>
      <c r="C1135" s="6" t="s">
        <v>23</v>
      </c>
      <c r="D1135" s="6" t="s">
        <v>24</v>
      </c>
      <c r="E1135" s="7" t="s">
        <v>4449</v>
      </c>
    </row>
    <row r="1136" spans="1:5">
      <c r="A1136" s="11" t="s">
        <v>1160</v>
      </c>
      <c r="B1136" s="5" t="s">
        <v>1159</v>
      </c>
      <c r="C1136" s="12" t="s">
        <v>23</v>
      </c>
      <c r="D1136" s="12" t="s">
        <v>24</v>
      </c>
      <c r="E1136" s="7" t="s">
        <v>4454</v>
      </c>
    </row>
    <row r="1137" spans="1:6">
      <c r="A1137" s="4" t="s">
        <v>1162</v>
      </c>
      <c r="B1137" s="5" t="s">
        <v>1161</v>
      </c>
      <c r="C1137" s="6" t="s">
        <v>23</v>
      </c>
      <c r="D1137" s="6" t="s">
        <v>63</v>
      </c>
      <c r="E1137" s="7" t="s">
        <v>64</v>
      </c>
      <c r="F1137" s="205" t="s">
        <v>2884</v>
      </c>
    </row>
    <row r="1138" spans="1:6">
      <c r="A1138" s="74" t="s">
        <v>5051</v>
      </c>
      <c r="B1138" s="5" t="s">
        <v>1161</v>
      </c>
      <c r="C1138" s="6" t="s">
        <v>23</v>
      </c>
      <c r="D1138" s="6" t="s">
        <v>63</v>
      </c>
      <c r="E1138" s="7" t="s">
        <v>64</v>
      </c>
      <c r="F1138" s="205" t="s">
        <v>2884</v>
      </c>
    </row>
    <row r="1139" spans="1:6">
      <c r="A1139" s="4" t="s">
        <v>1164</v>
      </c>
      <c r="B1139" s="5" t="s">
        <v>1163</v>
      </c>
      <c r="C1139" s="6" t="s">
        <v>23</v>
      </c>
      <c r="D1139" s="6" t="s">
        <v>63</v>
      </c>
      <c r="E1139" s="7" t="s">
        <v>86</v>
      </c>
      <c r="F1139" s="205" t="s">
        <v>2884</v>
      </c>
    </row>
    <row r="1140" spans="1:6">
      <c r="A1140" s="74" t="s">
        <v>5052</v>
      </c>
      <c r="B1140" s="5" t="s">
        <v>1163</v>
      </c>
      <c r="C1140" s="6" t="s">
        <v>23</v>
      </c>
      <c r="D1140" s="6" t="s">
        <v>63</v>
      </c>
      <c r="E1140" s="7" t="s">
        <v>86</v>
      </c>
      <c r="F1140" s="205" t="s">
        <v>2884</v>
      </c>
    </row>
    <row r="1141" spans="1:6">
      <c r="A1141" s="4" t="s">
        <v>3298</v>
      </c>
      <c r="B1141" s="5" t="s">
        <v>4069</v>
      </c>
      <c r="C1141" s="6" t="s">
        <v>23</v>
      </c>
      <c r="D1141" s="6" t="s">
        <v>63</v>
      </c>
      <c r="E1141" s="7" t="s">
        <v>98</v>
      </c>
    </row>
    <row r="1142" spans="1:6">
      <c r="A1142" s="4" t="s">
        <v>1166</v>
      </c>
      <c r="B1142" s="5" t="s">
        <v>1165</v>
      </c>
      <c r="C1142" s="6" t="s">
        <v>23</v>
      </c>
      <c r="D1142" s="6" t="s">
        <v>63</v>
      </c>
      <c r="E1142" s="7" t="s">
        <v>67</v>
      </c>
    </row>
    <row r="1143" spans="1:6">
      <c r="A1143" s="4" t="s">
        <v>1168</v>
      </c>
      <c r="B1143" s="5" t="s">
        <v>1167</v>
      </c>
      <c r="C1143" s="6" t="s">
        <v>23</v>
      </c>
      <c r="D1143" s="6" t="s">
        <v>24</v>
      </c>
      <c r="E1143" s="7" t="s">
        <v>4447</v>
      </c>
    </row>
    <row r="1144" spans="1:6">
      <c r="A1144" s="4" t="s">
        <v>1170</v>
      </c>
      <c r="B1144" s="5" t="s">
        <v>1169</v>
      </c>
      <c r="C1144" s="6" t="s">
        <v>23</v>
      </c>
      <c r="D1144" s="6" t="s">
        <v>24</v>
      </c>
      <c r="E1144" s="7" t="s">
        <v>4448</v>
      </c>
    </row>
    <row r="1145" spans="1:6">
      <c r="A1145" s="4" t="s">
        <v>3321</v>
      </c>
      <c r="B1145" s="5" t="s">
        <v>4093</v>
      </c>
      <c r="C1145" s="6" t="s">
        <v>23</v>
      </c>
      <c r="D1145" s="6" t="s">
        <v>24</v>
      </c>
      <c r="E1145" s="7" t="s">
        <v>4449</v>
      </c>
    </row>
    <row r="1146" spans="1:6">
      <c r="A1146" s="4" t="s">
        <v>1172</v>
      </c>
      <c r="B1146" s="5" t="s">
        <v>1171</v>
      </c>
      <c r="C1146" s="6" t="s">
        <v>23</v>
      </c>
      <c r="D1146" s="6" t="s">
        <v>24</v>
      </c>
      <c r="E1146" s="7" t="s">
        <v>4450</v>
      </c>
    </row>
    <row r="1147" spans="1:6">
      <c r="A1147" s="4" t="s">
        <v>1174</v>
      </c>
      <c r="B1147" s="5" t="s">
        <v>1173</v>
      </c>
      <c r="C1147" s="6" t="s">
        <v>23</v>
      </c>
      <c r="D1147" s="6" t="s">
        <v>24</v>
      </c>
      <c r="E1147" s="7" t="s">
        <v>4457</v>
      </c>
    </row>
    <row r="1148" spans="1:6">
      <c r="A1148" s="4" t="s">
        <v>1176</v>
      </c>
      <c r="B1148" s="5" t="s">
        <v>1175</v>
      </c>
      <c r="C1148" s="6" t="s">
        <v>23</v>
      </c>
      <c r="D1148" s="6" t="s">
        <v>24</v>
      </c>
      <c r="E1148" s="7" t="s">
        <v>4455</v>
      </c>
    </row>
    <row r="1149" spans="1:6">
      <c r="A1149" s="4" t="s">
        <v>1178</v>
      </c>
      <c r="B1149" s="5" t="s">
        <v>1177</v>
      </c>
      <c r="C1149" s="6" t="s">
        <v>23</v>
      </c>
      <c r="D1149" s="6" t="s">
        <v>24</v>
      </c>
      <c r="E1149" s="7" t="s">
        <v>4449</v>
      </c>
    </row>
    <row r="1150" spans="1:6">
      <c r="A1150" s="4" t="s">
        <v>1180</v>
      </c>
      <c r="B1150" s="5" t="s">
        <v>1179</v>
      </c>
      <c r="C1150" s="6" t="s">
        <v>23</v>
      </c>
      <c r="D1150" s="6" t="s">
        <v>24</v>
      </c>
      <c r="E1150" s="7" t="s">
        <v>4447</v>
      </c>
    </row>
    <row r="1151" spans="1:6">
      <c r="A1151" s="4" t="s">
        <v>1182</v>
      </c>
      <c r="B1151" s="5" t="s">
        <v>1181</v>
      </c>
      <c r="C1151" s="6" t="s">
        <v>23</v>
      </c>
      <c r="D1151" s="6" t="s">
        <v>24</v>
      </c>
      <c r="E1151" s="7" t="s">
        <v>4455</v>
      </c>
    </row>
    <row r="1152" spans="1:6">
      <c r="A1152" s="4" t="s">
        <v>1184</v>
      </c>
      <c r="B1152" s="5" t="s">
        <v>1183</v>
      </c>
      <c r="C1152" s="6" t="s">
        <v>23</v>
      </c>
      <c r="D1152" s="6" t="s">
        <v>24</v>
      </c>
      <c r="E1152" s="7" t="s">
        <v>4448</v>
      </c>
    </row>
    <row r="1153" spans="1:5">
      <c r="A1153" s="4" t="s">
        <v>1186</v>
      </c>
      <c r="B1153" s="5" t="s">
        <v>1185</v>
      </c>
      <c r="C1153" s="6" t="s">
        <v>23</v>
      </c>
      <c r="D1153" s="6" t="s">
        <v>63</v>
      </c>
      <c r="E1153" s="7" t="s">
        <v>98</v>
      </c>
    </row>
    <row r="1154" spans="1:5">
      <c r="A1154" s="4" t="s">
        <v>1188</v>
      </c>
      <c r="B1154" s="5" t="s">
        <v>1187</v>
      </c>
      <c r="C1154" s="6" t="s">
        <v>23</v>
      </c>
      <c r="D1154" s="6" t="s">
        <v>63</v>
      </c>
      <c r="E1154" s="7" t="s">
        <v>86</v>
      </c>
    </row>
    <row r="1155" spans="1:5">
      <c r="A1155" s="4" t="s">
        <v>1190</v>
      </c>
      <c r="B1155" s="5" t="s">
        <v>1189</v>
      </c>
      <c r="C1155" s="6" t="s">
        <v>23</v>
      </c>
      <c r="D1155" s="6" t="s">
        <v>63</v>
      </c>
      <c r="E1155" s="7" t="s">
        <v>98</v>
      </c>
    </row>
    <row r="1156" spans="1:5">
      <c r="A1156" s="4" t="s">
        <v>1192</v>
      </c>
      <c r="B1156" s="5" t="s">
        <v>1191</v>
      </c>
      <c r="C1156" s="6" t="s">
        <v>23</v>
      </c>
      <c r="D1156" s="6" t="s">
        <v>63</v>
      </c>
      <c r="E1156" s="7" t="s">
        <v>67</v>
      </c>
    </row>
    <row r="1157" spans="1:5">
      <c r="A1157" s="4" t="s">
        <v>1194</v>
      </c>
      <c r="B1157" s="5" t="s">
        <v>1193</v>
      </c>
      <c r="C1157" s="6" t="s">
        <v>23</v>
      </c>
      <c r="D1157" s="6" t="s">
        <v>63</v>
      </c>
      <c r="E1157" s="7" t="s">
        <v>4443</v>
      </c>
    </row>
    <row r="1158" spans="1:5">
      <c r="A1158" s="4" t="s">
        <v>1196</v>
      </c>
      <c r="B1158" s="5" t="s">
        <v>1195</v>
      </c>
      <c r="C1158" s="6" t="s">
        <v>23</v>
      </c>
      <c r="D1158" s="6" t="s">
        <v>63</v>
      </c>
      <c r="E1158" s="7" t="s">
        <v>67</v>
      </c>
    </row>
    <row r="1159" spans="1:5">
      <c r="A1159" s="4" t="s">
        <v>1198</v>
      </c>
      <c r="B1159" s="5" t="s">
        <v>1197</v>
      </c>
      <c r="C1159" s="6" t="s">
        <v>23</v>
      </c>
      <c r="D1159" s="6" t="s">
        <v>24</v>
      </c>
      <c r="E1159" s="7" t="s">
        <v>4446</v>
      </c>
    </row>
    <row r="1160" spans="1:5">
      <c r="A1160" s="4" t="s">
        <v>1200</v>
      </c>
      <c r="B1160" s="5" t="s">
        <v>1199</v>
      </c>
      <c r="C1160" s="6" t="s">
        <v>23</v>
      </c>
      <c r="D1160" s="6" t="s">
        <v>24</v>
      </c>
      <c r="E1160" s="7" t="s">
        <v>4457</v>
      </c>
    </row>
    <row r="1161" spans="1:5">
      <c r="A1161" s="4" t="s">
        <v>1202</v>
      </c>
      <c r="B1161" s="5" t="s">
        <v>1201</v>
      </c>
      <c r="C1161" s="6" t="s">
        <v>23</v>
      </c>
      <c r="D1161" s="6" t="s">
        <v>24</v>
      </c>
      <c r="E1161" s="7" t="s">
        <v>4455</v>
      </c>
    </row>
    <row r="1162" spans="1:5">
      <c r="A1162" s="4" t="s">
        <v>1204</v>
      </c>
      <c r="B1162" s="5" t="s">
        <v>1203</v>
      </c>
      <c r="C1162" s="6" t="s">
        <v>23</v>
      </c>
      <c r="D1162" s="6" t="s">
        <v>24</v>
      </c>
      <c r="E1162" s="7" t="s">
        <v>4449</v>
      </c>
    </row>
    <row r="1163" spans="1:5">
      <c r="A1163" s="4" t="s">
        <v>1206</v>
      </c>
      <c r="B1163" s="5" t="s">
        <v>1205</v>
      </c>
      <c r="C1163" s="6" t="s">
        <v>23</v>
      </c>
      <c r="D1163" s="6" t="s">
        <v>24</v>
      </c>
      <c r="E1163" s="7" t="s">
        <v>4455</v>
      </c>
    </row>
    <row r="1164" spans="1:5">
      <c r="A1164" s="4" t="s">
        <v>1208</v>
      </c>
      <c r="B1164" s="5" t="s">
        <v>1207</v>
      </c>
      <c r="C1164" s="6" t="s">
        <v>23</v>
      </c>
      <c r="D1164" s="6" t="s">
        <v>24</v>
      </c>
      <c r="E1164" s="7" t="s">
        <v>4448</v>
      </c>
    </row>
    <row r="1165" spans="1:5">
      <c r="A1165" s="4" t="s">
        <v>3584</v>
      </c>
      <c r="B1165" s="5" t="s">
        <v>4359</v>
      </c>
      <c r="C1165" s="6" t="s">
        <v>23</v>
      </c>
      <c r="D1165" s="6" t="s">
        <v>24</v>
      </c>
      <c r="E1165" s="7" t="s">
        <v>4455</v>
      </c>
    </row>
    <row r="1166" spans="1:5">
      <c r="A1166" s="4" t="s">
        <v>3585</v>
      </c>
      <c r="B1166" s="5" t="s">
        <v>4360</v>
      </c>
      <c r="C1166" s="6" t="s">
        <v>23</v>
      </c>
      <c r="D1166" s="6" t="s">
        <v>24</v>
      </c>
      <c r="E1166" s="7" t="s">
        <v>4448</v>
      </c>
    </row>
    <row r="1167" spans="1:5">
      <c r="A1167" s="4" t="s">
        <v>3586</v>
      </c>
      <c r="B1167" s="5" t="s">
        <v>4361</v>
      </c>
      <c r="C1167" s="6" t="s">
        <v>23</v>
      </c>
      <c r="D1167" s="6" t="s">
        <v>24</v>
      </c>
      <c r="E1167" s="7" t="s">
        <v>4450</v>
      </c>
    </row>
    <row r="1168" spans="1:5">
      <c r="A1168" s="11" t="s">
        <v>3587</v>
      </c>
      <c r="B1168" s="5" t="s">
        <v>4362</v>
      </c>
      <c r="C1168" s="12" t="s">
        <v>23</v>
      </c>
      <c r="D1168" s="12" t="s">
        <v>24</v>
      </c>
      <c r="E1168" s="7" t="s">
        <v>4454</v>
      </c>
    </row>
    <row r="1169" spans="1:5">
      <c r="A1169" s="11" t="s">
        <v>3588</v>
      </c>
      <c r="B1169" s="5" t="s">
        <v>4363</v>
      </c>
      <c r="C1169" s="12" t="s">
        <v>23</v>
      </c>
      <c r="D1169" s="12" t="s">
        <v>24</v>
      </c>
      <c r="E1169" s="7" t="s">
        <v>4451</v>
      </c>
    </row>
    <row r="1170" spans="1:5">
      <c r="A1170" s="4" t="s">
        <v>1210</v>
      </c>
      <c r="B1170" s="5" t="s">
        <v>1209</v>
      </c>
      <c r="C1170" s="6" t="s">
        <v>23</v>
      </c>
      <c r="D1170" s="6" t="s">
        <v>24</v>
      </c>
      <c r="E1170" s="7" t="s">
        <v>4455</v>
      </c>
    </row>
    <row r="1171" spans="1:5">
      <c r="A1171" s="4" t="s">
        <v>1212</v>
      </c>
      <c r="B1171" s="5" t="s">
        <v>1211</v>
      </c>
      <c r="C1171" s="6" t="s">
        <v>23</v>
      </c>
      <c r="D1171" s="6" t="s">
        <v>24</v>
      </c>
      <c r="E1171" s="7" t="s">
        <v>4448</v>
      </c>
    </row>
    <row r="1172" spans="1:5">
      <c r="A1172" s="4" t="s">
        <v>1214</v>
      </c>
      <c r="B1172" s="5" t="s">
        <v>1213</v>
      </c>
      <c r="C1172" s="6" t="s">
        <v>23</v>
      </c>
      <c r="D1172" s="6" t="s">
        <v>24</v>
      </c>
      <c r="E1172" s="7" t="s">
        <v>4450</v>
      </c>
    </row>
    <row r="1173" spans="1:5">
      <c r="A1173" s="11" t="s">
        <v>1216</v>
      </c>
      <c r="B1173" s="5" t="s">
        <v>1215</v>
      </c>
      <c r="C1173" s="12" t="s">
        <v>23</v>
      </c>
      <c r="D1173" s="12" t="s">
        <v>24</v>
      </c>
      <c r="E1173" s="7" t="s">
        <v>4454</v>
      </c>
    </row>
    <row r="1174" spans="1:5">
      <c r="A1174" s="11" t="s">
        <v>1218</v>
      </c>
      <c r="B1174" s="5" t="s">
        <v>1217</v>
      </c>
      <c r="C1174" s="12" t="s">
        <v>23</v>
      </c>
      <c r="D1174" s="12" t="s">
        <v>24</v>
      </c>
      <c r="E1174" s="7" t="s">
        <v>4453</v>
      </c>
    </row>
    <row r="1175" spans="1:5">
      <c r="A1175" s="11" t="s">
        <v>1220</v>
      </c>
      <c r="B1175" s="5" t="s">
        <v>1219</v>
      </c>
      <c r="C1175" s="12" t="s">
        <v>23</v>
      </c>
      <c r="D1175" s="12" t="s">
        <v>24</v>
      </c>
      <c r="E1175" s="7" t="s">
        <v>4452</v>
      </c>
    </row>
    <row r="1176" spans="1:5">
      <c r="A1176" s="4" t="s">
        <v>1222</v>
      </c>
      <c r="B1176" s="5" t="s">
        <v>1221</v>
      </c>
      <c r="C1176" s="6" t="s">
        <v>23</v>
      </c>
      <c r="D1176" s="6" t="s">
        <v>24</v>
      </c>
      <c r="E1176" s="7" t="s">
        <v>4455</v>
      </c>
    </row>
    <row r="1177" spans="1:5">
      <c r="A1177" s="4" t="s">
        <v>1224</v>
      </c>
      <c r="B1177" s="5" t="s">
        <v>1223</v>
      </c>
      <c r="C1177" s="6" t="s">
        <v>23</v>
      </c>
      <c r="D1177" s="6" t="s">
        <v>24</v>
      </c>
      <c r="E1177" s="7" t="s">
        <v>4448</v>
      </c>
    </row>
    <row r="1178" spans="1:5">
      <c r="A1178" s="4" t="s">
        <v>1226</v>
      </c>
      <c r="B1178" s="5" t="s">
        <v>1225</v>
      </c>
      <c r="C1178" s="6" t="s">
        <v>23</v>
      </c>
      <c r="D1178" s="6" t="s">
        <v>24</v>
      </c>
      <c r="E1178" s="7" t="s">
        <v>4450</v>
      </c>
    </row>
    <row r="1179" spans="1:5">
      <c r="A1179" s="4" t="s">
        <v>1228</v>
      </c>
      <c r="B1179" s="5" t="s">
        <v>1227</v>
      </c>
      <c r="C1179" s="6" t="s">
        <v>23</v>
      </c>
      <c r="D1179" s="6" t="s">
        <v>24</v>
      </c>
      <c r="E1179" s="7" t="s">
        <v>4454</v>
      </c>
    </row>
    <row r="1180" spans="1:5">
      <c r="A1180" s="4" t="s">
        <v>1230</v>
      </c>
      <c r="B1180" s="5" t="s">
        <v>1229</v>
      </c>
      <c r="C1180" s="6" t="s">
        <v>23</v>
      </c>
      <c r="D1180" s="6" t="s">
        <v>24</v>
      </c>
      <c r="E1180" s="7" t="s">
        <v>4452</v>
      </c>
    </row>
    <row r="1181" spans="1:5">
      <c r="A1181" s="4" t="s">
        <v>1232</v>
      </c>
      <c r="B1181" s="5" t="s">
        <v>1231</v>
      </c>
      <c r="C1181" s="6" t="s">
        <v>23</v>
      </c>
      <c r="D1181" s="6" t="s">
        <v>24</v>
      </c>
      <c r="E1181" s="7" t="s">
        <v>4453</v>
      </c>
    </row>
    <row r="1182" spans="1:5">
      <c r="A1182" s="4" t="s">
        <v>4536</v>
      </c>
      <c r="B1182" s="5" t="s">
        <v>4368</v>
      </c>
      <c r="C1182" s="6" t="s">
        <v>23</v>
      </c>
      <c r="D1182" s="6" t="s">
        <v>24</v>
      </c>
      <c r="E1182" s="7" t="s">
        <v>4455</v>
      </c>
    </row>
    <row r="1183" spans="1:5">
      <c r="A1183" s="11" t="s">
        <v>1234</v>
      </c>
      <c r="B1183" s="5" t="s">
        <v>1233</v>
      </c>
      <c r="C1183" s="12" t="s">
        <v>23</v>
      </c>
      <c r="D1183" s="12" t="s">
        <v>24</v>
      </c>
      <c r="E1183" s="7" t="s">
        <v>4455</v>
      </c>
    </row>
    <row r="1184" spans="1:5">
      <c r="A1184" s="4" t="s">
        <v>1236</v>
      </c>
      <c r="B1184" s="5" t="s">
        <v>1235</v>
      </c>
      <c r="C1184" s="6" t="s">
        <v>23</v>
      </c>
      <c r="D1184" s="6" t="s">
        <v>24</v>
      </c>
      <c r="E1184" s="7" t="s">
        <v>4448</v>
      </c>
    </row>
    <row r="1185" spans="1:5">
      <c r="A1185" s="4" t="s">
        <v>1238</v>
      </c>
      <c r="B1185" s="5" t="s">
        <v>1237</v>
      </c>
      <c r="C1185" s="6" t="s">
        <v>23</v>
      </c>
      <c r="D1185" s="6" t="s">
        <v>24</v>
      </c>
      <c r="E1185" s="7" t="s">
        <v>4450</v>
      </c>
    </row>
    <row r="1186" spans="1:5">
      <c r="A1186" s="4" t="s">
        <v>1240</v>
      </c>
      <c r="B1186" s="5" t="s">
        <v>1239</v>
      </c>
      <c r="C1186" s="6" t="s">
        <v>23</v>
      </c>
      <c r="D1186" s="6" t="s">
        <v>24</v>
      </c>
      <c r="E1186" s="7" t="s">
        <v>4454</v>
      </c>
    </row>
    <row r="1187" spans="1:5">
      <c r="A1187" s="4" t="s">
        <v>1242</v>
      </c>
      <c r="B1187" s="5" t="s">
        <v>1241</v>
      </c>
      <c r="C1187" s="6" t="s">
        <v>23</v>
      </c>
      <c r="D1187" s="6" t="s">
        <v>24</v>
      </c>
      <c r="E1187" s="7" t="s">
        <v>4452</v>
      </c>
    </row>
    <row r="1188" spans="1:5">
      <c r="A1188" s="4" t="s">
        <v>1244</v>
      </c>
      <c r="B1188" s="5" t="s">
        <v>1243</v>
      </c>
      <c r="C1188" s="6" t="s">
        <v>23</v>
      </c>
      <c r="D1188" s="6" t="s">
        <v>24</v>
      </c>
      <c r="E1188" s="7" t="s">
        <v>4455</v>
      </c>
    </row>
    <row r="1189" spans="1:5">
      <c r="A1189" s="4" t="s">
        <v>1246</v>
      </c>
      <c r="B1189" s="5" t="s">
        <v>1245</v>
      </c>
      <c r="C1189" s="6" t="s">
        <v>23</v>
      </c>
      <c r="D1189" s="6" t="s">
        <v>24</v>
      </c>
      <c r="E1189" s="7" t="s">
        <v>4448</v>
      </c>
    </row>
    <row r="1190" spans="1:5">
      <c r="A1190" s="4" t="s">
        <v>1248</v>
      </c>
      <c r="B1190" s="5" t="s">
        <v>1247</v>
      </c>
      <c r="C1190" s="6" t="s">
        <v>23</v>
      </c>
      <c r="D1190" s="6" t="s">
        <v>24</v>
      </c>
      <c r="E1190" s="7" t="s">
        <v>4450</v>
      </c>
    </row>
    <row r="1191" spans="1:5">
      <c r="A1191" s="4" t="s">
        <v>1250</v>
      </c>
      <c r="B1191" s="5" t="s">
        <v>1249</v>
      </c>
      <c r="C1191" s="6" t="s">
        <v>23</v>
      </c>
      <c r="D1191" s="6" t="s">
        <v>24</v>
      </c>
      <c r="E1191" s="7" t="s">
        <v>4454</v>
      </c>
    </row>
    <row r="1192" spans="1:5">
      <c r="A1192" s="4" t="s">
        <v>4537</v>
      </c>
      <c r="B1192" s="5" t="s">
        <v>4367</v>
      </c>
      <c r="C1192" s="6" t="s">
        <v>23</v>
      </c>
      <c r="D1192" s="6" t="s">
        <v>24</v>
      </c>
      <c r="E1192" s="7" t="s">
        <v>4455</v>
      </c>
    </row>
    <row r="1193" spans="1:5">
      <c r="A1193" s="4" t="s">
        <v>3589</v>
      </c>
      <c r="B1193" s="5" t="s">
        <v>4364</v>
      </c>
      <c r="C1193" s="6" t="s">
        <v>23</v>
      </c>
      <c r="D1193" s="6" t="s">
        <v>24</v>
      </c>
      <c r="E1193" s="7" t="s">
        <v>4455</v>
      </c>
    </row>
    <row r="1194" spans="1:5">
      <c r="A1194" s="4" t="s">
        <v>3590</v>
      </c>
      <c r="B1194" s="5" t="s">
        <v>4365</v>
      </c>
      <c r="C1194" s="6" t="s">
        <v>23</v>
      </c>
      <c r="D1194" s="6" t="s">
        <v>24</v>
      </c>
      <c r="E1194" s="7" t="s">
        <v>4448</v>
      </c>
    </row>
    <row r="1195" spans="1:5">
      <c r="A1195" s="11" t="s">
        <v>3591</v>
      </c>
      <c r="B1195" s="5" t="s">
        <v>4366</v>
      </c>
      <c r="C1195" s="12" t="s">
        <v>23</v>
      </c>
      <c r="D1195" s="12" t="s">
        <v>24</v>
      </c>
      <c r="E1195" s="7" t="s">
        <v>4449</v>
      </c>
    </row>
    <row r="1196" spans="1:5">
      <c r="A1196" s="4" t="s">
        <v>3593</v>
      </c>
      <c r="B1196" s="5" t="s">
        <v>4370</v>
      </c>
      <c r="C1196" s="6" t="s">
        <v>23</v>
      </c>
      <c r="D1196" s="6" t="s">
        <v>63</v>
      </c>
      <c r="E1196" s="7" t="s">
        <v>4455</v>
      </c>
    </row>
    <row r="1197" spans="1:5">
      <c r="A1197" s="4" t="s">
        <v>3592</v>
      </c>
      <c r="B1197" s="5" t="s">
        <v>4369</v>
      </c>
      <c r="C1197" s="6" t="s">
        <v>23</v>
      </c>
      <c r="D1197" s="6" t="s">
        <v>24</v>
      </c>
      <c r="E1197" s="7" t="s">
        <v>4455</v>
      </c>
    </row>
    <row r="1198" spans="1:5">
      <c r="A1198" s="4" t="s">
        <v>1252</v>
      </c>
      <c r="B1198" s="5" t="s">
        <v>1251</v>
      </c>
      <c r="C1198" s="6" t="s">
        <v>23</v>
      </c>
      <c r="D1198" s="6" t="s">
        <v>24</v>
      </c>
      <c r="E1198" s="7" t="s">
        <v>4455</v>
      </c>
    </row>
    <row r="1199" spans="1:5">
      <c r="A1199" s="4" t="s">
        <v>1254</v>
      </c>
      <c r="B1199" s="5" t="s">
        <v>1253</v>
      </c>
      <c r="C1199" s="6" t="s">
        <v>23</v>
      </c>
      <c r="D1199" s="6" t="s">
        <v>24</v>
      </c>
      <c r="E1199" s="7" t="s">
        <v>4448</v>
      </c>
    </row>
    <row r="1200" spans="1:5">
      <c r="A1200" s="4" t="s">
        <v>1256</v>
      </c>
      <c r="B1200" s="5" t="s">
        <v>1255</v>
      </c>
      <c r="C1200" s="6" t="s">
        <v>23</v>
      </c>
      <c r="D1200" s="6" t="s">
        <v>24</v>
      </c>
      <c r="E1200" s="7" t="s">
        <v>4450</v>
      </c>
    </row>
    <row r="1201" spans="1:5">
      <c r="A1201" s="4" t="s">
        <v>1258</v>
      </c>
      <c r="B1201" s="5" t="s">
        <v>1257</v>
      </c>
      <c r="C1201" s="6" t="s">
        <v>23</v>
      </c>
      <c r="D1201" s="6" t="s">
        <v>24</v>
      </c>
      <c r="E1201" s="7" t="s">
        <v>4454</v>
      </c>
    </row>
    <row r="1202" spans="1:5">
      <c r="A1202" s="4" t="s">
        <v>1260</v>
      </c>
      <c r="B1202" s="5" t="s">
        <v>1259</v>
      </c>
      <c r="C1202" s="6" t="s">
        <v>23</v>
      </c>
      <c r="D1202" s="6" t="s">
        <v>24</v>
      </c>
      <c r="E1202" s="7" t="s">
        <v>4452</v>
      </c>
    </row>
    <row r="1203" spans="1:5">
      <c r="A1203" s="4" t="s">
        <v>1262</v>
      </c>
      <c r="B1203" s="5" t="s">
        <v>1261</v>
      </c>
      <c r="C1203" s="6" t="s">
        <v>23</v>
      </c>
      <c r="D1203" s="6" t="s">
        <v>24</v>
      </c>
      <c r="E1203" s="7" t="s">
        <v>4455</v>
      </c>
    </row>
    <row r="1204" spans="1:5">
      <c r="A1204" s="4" t="s">
        <v>1264</v>
      </c>
      <c r="B1204" s="5" t="s">
        <v>1263</v>
      </c>
      <c r="C1204" s="6" t="s">
        <v>23</v>
      </c>
      <c r="D1204" s="6" t="s">
        <v>24</v>
      </c>
      <c r="E1204" s="7" t="s">
        <v>4448</v>
      </c>
    </row>
    <row r="1205" spans="1:5">
      <c r="A1205" s="4" t="s">
        <v>1266</v>
      </c>
      <c r="B1205" s="5" t="s">
        <v>1265</v>
      </c>
      <c r="C1205" s="6" t="s">
        <v>23</v>
      </c>
      <c r="D1205" s="6" t="s">
        <v>24</v>
      </c>
      <c r="E1205" s="7" t="s">
        <v>4450</v>
      </c>
    </row>
    <row r="1206" spans="1:5">
      <c r="A1206" s="11" t="s">
        <v>1268</v>
      </c>
      <c r="B1206" s="5" t="s">
        <v>1267</v>
      </c>
      <c r="C1206" s="12" t="s">
        <v>23</v>
      </c>
      <c r="D1206" s="12" t="s">
        <v>24</v>
      </c>
      <c r="E1206" s="7" t="s">
        <v>4454</v>
      </c>
    </row>
    <row r="1207" spans="1:5">
      <c r="A1207" s="4" t="s">
        <v>1270</v>
      </c>
      <c r="B1207" s="5" t="s">
        <v>1269</v>
      </c>
      <c r="C1207" s="6" t="s">
        <v>23</v>
      </c>
      <c r="D1207" s="6" t="s">
        <v>24</v>
      </c>
      <c r="E1207" s="7" t="s">
        <v>4452</v>
      </c>
    </row>
    <row r="1208" spans="1:5">
      <c r="A1208" s="4" t="s">
        <v>1272</v>
      </c>
      <c r="B1208" s="5" t="s">
        <v>1271</v>
      </c>
      <c r="C1208" s="6" t="s">
        <v>23</v>
      </c>
      <c r="D1208" s="6" t="s">
        <v>24</v>
      </c>
      <c r="E1208" s="7" t="s">
        <v>4454</v>
      </c>
    </row>
    <row r="1209" spans="1:5">
      <c r="A1209" s="4" t="s">
        <v>1274</v>
      </c>
      <c r="B1209" s="5" t="s">
        <v>1273</v>
      </c>
      <c r="C1209" s="6" t="s">
        <v>23</v>
      </c>
      <c r="D1209" s="6" t="s">
        <v>24</v>
      </c>
      <c r="E1209" s="7" t="s">
        <v>4452</v>
      </c>
    </row>
    <row r="1210" spans="1:5">
      <c r="A1210" s="4" t="s">
        <v>1276</v>
      </c>
      <c r="B1210" s="5" t="s">
        <v>1275</v>
      </c>
      <c r="C1210" s="6" t="s">
        <v>23</v>
      </c>
      <c r="D1210" s="6" t="s">
        <v>24</v>
      </c>
      <c r="E1210" s="7" t="s">
        <v>4455</v>
      </c>
    </row>
    <row r="1211" spans="1:5">
      <c r="A1211" s="4" t="s">
        <v>1278</v>
      </c>
      <c r="B1211" s="5" t="s">
        <v>1277</v>
      </c>
      <c r="C1211" s="6" t="s">
        <v>23</v>
      </c>
      <c r="D1211" s="6" t="s">
        <v>24</v>
      </c>
      <c r="E1211" s="7" t="s">
        <v>4450</v>
      </c>
    </row>
    <row r="1212" spans="1:5">
      <c r="A1212" s="4" t="s">
        <v>1280</v>
      </c>
      <c r="B1212" s="5" t="s">
        <v>1279</v>
      </c>
      <c r="C1212" s="6" t="s">
        <v>23</v>
      </c>
      <c r="D1212" s="6" t="s">
        <v>24</v>
      </c>
      <c r="E1212" s="7" t="s">
        <v>4450</v>
      </c>
    </row>
    <row r="1213" spans="1:5">
      <c r="A1213" s="4" t="s">
        <v>1282</v>
      </c>
      <c r="B1213" s="5" t="s">
        <v>1281</v>
      </c>
      <c r="C1213" s="6" t="s">
        <v>23</v>
      </c>
      <c r="D1213" s="6" t="s">
        <v>24</v>
      </c>
      <c r="E1213" s="7" t="s">
        <v>4455</v>
      </c>
    </row>
    <row r="1214" spans="1:5">
      <c r="A1214" s="4" t="s">
        <v>1284</v>
      </c>
      <c r="B1214" s="5" t="s">
        <v>1283</v>
      </c>
      <c r="C1214" s="6" t="s">
        <v>23</v>
      </c>
      <c r="D1214" s="6" t="s">
        <v>24</v>
      </c>
      <c r="E1214" s="7" t="s">
        <v>4448</v>
      </c>
    </row>
    <row r="1215" spans="1:5">
      <c r="A1215" s="4" t="s">
        <v>1286</v>
      </c>
      <c r="B1215" s="5" t="s">
        <v>1285</v>
      </c>
      <c r="C1215" s="6" t="s">
        <v>23</v>
      </c>
      <c r="D1215" s="6" t="s">
        <v>24</v>
      </c>
      <c r="E1215" s="7" t="s">
        <v>4450</v>
      </c>
    </row>
    <row r="1216" spans="1:5">
      <c r="A1216" s="4" t="s">
        <v>3583</v>
      </c>
      <c r="B1216" s="5" t="s">
        <v>4358</v>
      </c>
      <c r="C1216" s="6" t="s">
        <v>23</v>
      </c>
      <c r="D1216" s="6" t="s">
        <v>24</v>
      </c>
      <c r="E1216" s="7" t="s">
        <v>4451</v>
      </c>
    </row>
    <row r="1217" spans="1:5">
      <c r="A1217" s="4" t="s">
        <v>1288</v>
      </c>
      <c r="B1217" s="5" t="s">
        <v>1287</v>
      </c>
      <c r="C1217" s="6" t="s">
        <v>23</v>
      </c>
      <c r="D1217" s="6" t="s">
        <v>24</v>
      </c>
      <c r="E1217" s="7" t="s">
        <v>4455</v>
      </c>
    </row>
    <row r="1218" spans="1:5">
      <c r="A1218" s="4" t="s">
        <v>1290</v>
      </c>
      <c r="B1218" s="5" t="s">
        <v>1289</v>
      </c>
      <c r="C1218" s="6" t="s">
        <v>23</v>
      </c>
      <c r="D1218" s="6" t="s">
        <v>24</v>
      </c>
      <c r="E1218" s="7" t="s">
        <v>4448</v>
      </c>
    </row>
    <row r="1219" spans="1:5">
      <c r="A1219" s="4" t="s">
        <v>1292</v>
      </c>
      <c r="B1219" s="5" t="s">
        <v>1291</v>
      </c>
      <c r="C1219" s="6" t="s">
        <v>23</v>
      </c>
      <c r="D1219" s="6" t="s">
        <v>24</v>
      </c>
      <c r="E1219" s="7" t="s">
        <v>4450</v>
      </c>
    </row>
    <row r="1220" spans="1:5">
      <c r="A1220" s="4" t="s">
        <v>1294</v>
      </c>
      <c r="B1220" s="5" t="s">
        <v>1293</v>
      </c>
      <c r="C1220" s="6" t="s">
        <v>23</v>
      </c>
      <c r="D1220" s="6" t="s">
        <v>24</v>
      </c>
      <c r="E1220" s="7" t="s">
        <v>4454</v>
      </c>
    </row>
    <row r="1221" spans="1:5">
      <c r="A1221" s="4" t="s">
        <v>1296</v>
      </c>
      <c r="B1221" s="5" t="s">
        <v>1295</v>
      </c>
      <c r="C1221" s="6" t="s">
        <v>23</v>
      </c>
      <c r="D1221" s="6" t="s">
        <v>24</v>
      </c>
      <c r="E1221" s="7" t="s">
        <v>4455</v>
      </c>
    </row>
    <row r="1222" spans="1:5">
      <c r="A1222" s="4" t="s">
        <v>1298</v>
      </c>
      <c r="B1222" s="5" t="s">
        <v>1297</v>
      </c>
      <c r="C1222" s="6" t="s">
        <v>23</v>
      </c>
      <c r="D1222" s="6" t="s">
        <v>24</v>
      </c>
      <c r="E1222" s="7" t="s">
        <v>4455</v>
      </c>
    </row>
    <row r="1223" spans="1:5">
      <c r="A1223" s="4" t="s">
        <v>1300</v>
      </c>
      <c r="B1223" s="5" t="s">
        <v>1299</v>
      </c>
      <c r="C1223" s="6" t="s">
        <v>23</v>
      </c>
      <c r="D1223" s="6" t="s">
        <v>24</v>
      </c>
      <c r="E1223" s="7" t="s">
        <v>4448</v>
      </c>
    </row>
    <row r="1224" spans="1:5">
      <c r="A1224" s="4" t="s">
        <v>1302</v>
      </c>
      <c r="B1224" s="5" t="s">
        <v>1301</v>
      </c>
      <c r="C1224" s="6" t="s">
        <v>23</v>
      </c>
      <c r="D1224" s="6" t="s">
        <v>24</v>
      </c>
      <c r="E1224" s="7" t="s">
        <v>4450</v>
      </c>
    </row>
    <row r="1225" spans="1:5">
      <c r="A1225" s="4" t="s">
        <v>1304</v>
      </c>
      <c r="B1225" s="5" t="s">
        <v>1303</v>
      </c>
      <c r="C1225" s="6" t="s">
        <v>23</v>
      </c>
      <c r="D1225" s="6" t="s">
        <v>24</v>
      </c>
      <c r="E1225" s="7" t="s">
        <v>4454</v>
      </c>
    </row>
    <row r="1226" spans="1:5">
      <c r="A1226" s="4" t="s">
        <v>1306</v>
      </c>
      <c r="B1226" s="5" t="s">
        <v>1305</v>
      </c>
      <c r="C1226" s="6" t="s">
        <v>23</v>
      </c>
      <c r="D1226" s="6" t="s">
        <v>24</v>
      </c>
      <c r="E1226" s="7" t="s">
        <v>4455</v>
      </c>
    </row>
    <row r="1227" spans="1:5">
      <c r="A1227" s="4" t="s">
        <v>1308</v>
      </c>
      <c r="B1227" s="5" t="s">
        <v>1307</v>
      </c>
      <c r="C1227" s="6" t="s">
        <v>23</v>
      </c>
      <c r="D1227" s="6" t="s">
        <v>24</v>
      </c>
      <c r="E1227" s="7" t="s">
        <v>4448</v>
      </c>
    </row>
    <row r="1228" spans="1:5">
      <c r="A1228" s="4" t="s">
        <v>1310</v>
      </c>
      <c r="B1228" s="5" t="s">
        <v>1309</v>
      </c>
      <c r="C1228" s="6" t="s">
        <v>23</v>
      </c>
      <c r="D1228" s="6" t="s">
        <v>24</v>
      </c>
      <c r="E1228" s="7" t="s">
        <v>4450</v>
      </c>
    </row>
    <row r="1229" spans="1:5">
      <c r="A1229" s="4" t="s">
        <v>1312</v>
      </c>
      <c r="B1229" s="5" t="s">
        <v>1311</v>
      </c>
      <c r="C1229" s="6" t="s">
        <v>23</v>
      </c>
      <c r="D1229" s="6" t="s">
        <v>24</v>
      </c>
      <c r="E1229" s="7" t="s">
        <v>4454</v>
      </c>
    </row>
    <row r="1230" spans="1:5">
      <c r="A1230" s="4" t="s">
        <v>1314</v>
      </c>
      <c r="B1230" s="5" t="s">
        <v>1313</v>
      </c>
      <c r="C1230" s="6" t="s">
        <v>23</v>
      </c>
      <c r="D1230" s="6" t="s">
        <v>24</v>
      </c>
      <c r="E1230" s="7" t="s">
        <v>4455</v>
      </c>
    </row>
    <row r="1231" spans="1:5">
      <c r="A1231" s="4" t="s">
        <v>1316</v>
      </c>
      <c r="B1231" s="5" t="s">
        <v>1315</v>
      </c>
      <c r="C1231" s="6" t="s">
        <v>23</v>
      </c>
      <c r="D1231" s="6" t="s">
        <v>24</v>
      </c>
      <c r="E1231" s="7" t="s">
        <v>4448</v>
      </c>
    </row>
    <row r="1232" spans="1:5">
      <c r="A1232" s="4" t="s">
        <v>1318</v>
      </c>
      <c r="B1232" s="5" t="s">
        <v>1317</v>
      </c>
      <c r="C1232" s="6" t="s">
        <v>23</v>
      </c>
      <c r="D1232" s="6" t="s">
        <v>24</v>
      </c>
      <c r="E1232" s="7" t="s">
        <v>4450</v>
      </c>
    </row>
    <row r="1233" spans="1:5">
      <c r="A1233" s="4" t="s">
        <v>1320</v>
      </c>
      <c r="B1233" s="5" t="s">
        <v>1319</v>
      </c>
      <c r="C1233" s="6" t="s">
        <v>23</v>
      </c>
      <c r="D1233" s="6" t="s">
        <v>24</v>
      </c>
      <c r="E1233" s="7" t="s">
        <v>4454</v>
      </c>
    </row>
    <row r="1234" spans="1:5">
      <c r="A1234" s="4" t="s">
        <v>1322</v>
      </c>
      <c r="B1234" s="5" t="s">
        <v>1321</v>
      </c>
      <c r="C1234" s="6" t="s">
        <v>23</v>
      </c>
      <c r="D1234" s="6" t="s">
        <v>24</v>
      </c>
      <c r="E1234" s="7" t="s">
        <v>4452</v>
      </c>
    </row>
    <row r="1235" spans="1:5">
      <c r="A1235" s="4" t="s">
        <v>1324</v>
      </c>
      <c r="B1235" s="5" t="s">
        <v>1323</v>
      </c>
      <c r="C1235" s="6" t="s">
        <v>23</v>
      </c>
      <c r="D1235" s="6" t="s">
        <v>24</v>
      </c>
      <c r="E1235" s="7" t="s">
        <v>4455</v>
      </c>
    </row>
    <row r="1236" spans="1:5">
      <c r="A1236" s="4" t="s">
        <v>1326</v>
      </c>
      <c r="B1236" s="5" t="s">
        <v>1325</v>
      </c>
      <c r="C1236" s="6" t="s">
        <v>23</v>
      </c>
      <c r="D1236" s="6" t="s">
        <v>24</v>
      </c>
      <c r="E1236" s="7" t="s">
        <v>4448</v>
      </c>
    </row>
    <row r="1237" spans="1:5">
      <c r="A1237" s="4" t="s">
        <v>1328</v>
      </c>
      <c r="B1237" s="10" t="s">
        <v>1327</v>
      </c>
      <c r="C1237" s="6" t="s">
        <v>23</v>
      </c>
      <c r="D1237" s="6" t="s">
        <v>24</v>
      </c>
      <c r="E1237" s="7" t="s">
        <v>4450</v>
      </c>
    </row>
    <row r="1238" spans="1:5">
      <c r="A1238" s="11" t="s">
        <v>1330</v>
      </c>
      <c r="B1238" s="5" t="s">
        <v>1329</v>
      </c>
      <c r="C1238" s="12" t="s">
        <v>23</v>
      </c>
      <c r="D1238" s="12" t="s">
        <v>24</v>
      </c>
      <c r="E1238" s="7" t="s">
        <v>4454</v>
      </c>
    </row>
    <row r="1239" spans="1:5">
      <c r="A1239" s="4" t="s">
        <v>1332</v>
      </c>
      <c r="B1239" s="5" t="s">
        <v>1331</v>
      </c>
      <c r="C1239" s="6" t="s">
        <v>23</v>
      </c>
      <c r="D1239" s="6" t="s">
        <v>24</v>
      </c>
      <c r="E1239" s="7" t="s">
        <v>4452</v>
      </c>
    </row>
    <row r="1240" spans="1:5">
      <c r="A1240" s="4" t="s">
        <v>1334</v>
      </c>
      <c r="B1240" s="5" t="s">
        <v>1333</v>
      </c>
      <c r="C1240" s="6" t="s">
        <v>23</v>
      </c>
      <c r="D1240" s="6" t="s">
        <v>24</v>
      </c>
      <c r="E1240" s="7" t="s">
        <v>4455</v>
      </c>
    </row>
    <row r="1241" spans="1:5">
      <c r="A1241" s="4" t="s">
        <v>1336</v>
      </c>
      <c r="B1241" s="5" t="s">
        <v>1335</v>
      </c>
      <c r="C1241" s="6" t="s">
        <v>23</v>
      </c>
      <c r="D1241" s="6" t="s">
        <v>24</v>
      </c>
      <c r="E1241" s="7" t="s">
        <v>4448</v>
      </c>
    </row>
    <row r="1242" spans="1:5">
      <c r="A1242" s="4" t="s">
        <v>1338</v>
      </c>
      <c r="B1242" s="5" t="s">
        <v>1337</v>
      </c>
      <c r="C1242" s="6" t="s">
        <v>23</v>
      </c>
      <c r="D1242" s="6" t="s">
        <v>24</v>
      </c>
      <c r="E1242" s="7" t="s">
        <v>4450</v>
      </c>
    </row>
    <row r="1243" spans="1:5">
      <c r="A1243" s="4" t="s">
        <v>1340</v>
      </c>
      <c r="B1243" s="5" t="s">
        <v>1339</v>
      </c>
      <c r="C1243" s="6" t="s">
        <v>23</v>
      </c>
      <c r="D1243" s="6" t="s">
        <v>24</v>
      </c>
      <c r="E1243" s="7" t="s">
        <v>4454</v>
      </c>
    </row>
    <row r="1244" spans="1:5">
      <c r="A1244" s="4" t="s">
        <v>1342</v>
      </c>
      <c r="B1244" s="5" t="s">
        <v>1341</v>
      </c>
      <c r="C1244" s="6" t="s">
        <v>23</v>
      </c>
      <c r="D1244" s="6" t="s">
        <v>24</v>
      </c>
      <c r="E1244" s="7" t="s">
        <v>4452</v>
      </c>
    </row>
    <row r="1245" spans="1:5">
      <c r="A1245" s="4" t="s">
        <v>1344</v>
      </c>
      <c r="B1245" s="5" t="s">
        <v>1343</v>
      </c>
      <c r="C1245" s="6" t="s">
        <v>23</v>
      </c>
      <c r="D1245" s="6" t="s">
        <v>24</v>
      </c>
      <c r="E1245" s="7" t="s">
        <v>4453</v>
      </c>
    </row>
    <row r="1246" spans="1:5">
      <c r="A1246" s="4" t="s">
        <v>1346</v>
      </c>
      <c r="B1246" s="5" t="s">
        <v>1345</v>
      </c>
      <c r="C1246" s="6" t="s">
        <v>23</v>
      </c>
      <c r="D1246" s="6" t="s">
        <v>63</v>
      </c>
      <c r="E1246" s="7" t="s">
        <v>64</v>
      </c>
    </row>
    <row r="1247" spans="1:5">
      <c r="A1247" s="4" t="s">
        <v>1348</v>
      </c>
      <c r="B1247" s="8" t="s">
        <v>1347</v>
      </c>
      <c r="C1247" s="6" t="s">
        <v>23</v>
      </c>
      <c r="D1247" s="6" t="s">
        <v>24</v>
      </c>
      <c r="E1247" s="7" t="s">
        <v>4449</v>
      </c>
    </row>
    <row r="1248" spans="1:5">
      <c r="A1248" s="4" t="s">
        <v>1350</v>
      </c>
      <c r="B1248" s="8" t="s">
        <v>1349</v>
      </c>
      <c r="C1248" s="6" t="s">
        <v>23</v>
      </c>
      <c r="D1248" s="6" t="s">
        <v>24</v>
      </c>
      <c r="E1248" s="7" t="s">
        <v>4448</v>
      </c>
    </row>
    <row r="1249" spans="1:5">
      <c r="A1249" s="4" t="s">
        <v>1352</v>
      </c>
      <c r="B1249" s="8" t="s">
        <v>1351</v>
      </c>
      <c r="C1249" s="6" t="s">
        <v>23</v>
      </c>
      <c r="D1249" s="6" t="s">
        <v>24</v>
      </c>
      <c r="E1249" s="7" t="s">
        <v>4454</v>
      </c>
    </row>
    <row r="1250" spans="1:5">
      <c r="A1250" s="4" t="s">
        <v>1354</v>
      </c>
      <c r="B1250" s="8" t="s">
        <v>1353</v>
      </c>
      <c r="C1250" s="6" t="s">
        <v>23</v>
      </c>
      <c r="D1250" s="6" t="s">
        <v>63</v>
      </c>
      <c r="E1250" s="7" t="s">
        <v>64</v>
      </c>
    </row>
    <row r="1251" spans="1:5">
      <c r="A1251" s="4" t="s">
        <v>1356</v>
      </c>
      <c r="B1251" s="8" t="s">
        <v>1355</v>
      </c>
      <c r="C1251" s="6" t="s">
        <v>23</v>
      </c>
      <c r="D1251" s="6" t="s">
        <v>24</v>
      </c>
      <c r="E1251" s="7" t="s">
        <v>4455</v>
      </c>
    </row>
    <row r="1252" spans="1:5">
      <c r="A1252" s="4" t="s">
        <v>1358</v>
      </c>
      <c r="B1252" s="5" t="s">
        <v>1357</v>
      </c>
      <c r="C1252" s="6" t="s">
        <v>23</v>
      </c>
      <c r="D1252" s="6" t="s">
        <v>24</v>
      </c>
      <c r="E1252" s="7" t="s">
        <v>4446</v>
      </c>
    </row>
    <row r="1253" spans="1:5">
      <c r="A1253" s="4" t="s">
        <v>3611</v>
      </c>
      <c r="B1253" s="5" t="s">
        <v>4388</v>
      </c>
      <c r="C1253" s="6" t="s">
        <v>23</v>
      </c>
      <c r="D1253" s="6" t="s">
        <v>4463</v>
      </c>
      <c r="E1253" s="7" t="s">
        <v>4455</v>
      </c>
    </row>
    <row r="1254" spans="1:5">
      <c r="A1254" s="4" t="s">
        <v>1360</v>
      </c>
      <c r="B1254" s="5" t="s">
        <v>1359</v>
      </c>
      <c r="C1254" s="6" t="s">
        <v>23</v>
      </c>
      <c r="D1254" s="6" t="s">
        <v>24</v>
      </c>
      <c r="E1254" s="7" t="s">
        <v>4447</v>
      </c>
    </row>
    <row r="1255" spans="1:5">
      <c r="A1255" s="4" t="s">
        <v>1362</v>
      </c>
      <c r="B1255" s="5" t="s">
        <v>1361</v>
      </c>
      <c r="C1255" s="6" t="s">
        <v>23</v>
      </c>
      <c r="D1255" s="6" t="s">
        <v>24</v>
      </c>
      <c r="E1255" s="7" t="s">
        <v>4450</v>
      </c>
    </row>
    <row r="1256" spans="1:5">
      <c r="A1256" s="4" t="s">
        <v>1364</v>
      </c>
      <c r="B1256" s="5" t="s">
        <v>1363</v>
      </c>
      <c r="C1256" s="6" t="s">
        <v>23</v>
      </c>
      <c r="D1256" s="6" t="s">
        <v>24</v>
      </c>
      <c r="E1256" s="7" t="s">
        <v>4451</v>
      </c>
    </row>
    <row r="1257" spans="1:5">
      <c r="A1257" s="4" t="s">
        <v>1366</v>
      </c>
      <c r="B1257" s="5" t="s">
        <v>1365</v>
      </c>
      <c r="C1257" s="6" t="s">
        <v>23</v>
      </c>
      <c r="D1257" s="6" t="s">
        <v>24</v>
      </c>
      <c r="E1257" s="7" t="s">
        <v>4453</v>
      </c>
    </row>
    <row r="1258" spans="1:5">
      <c r="A1258" s="11" t="s">
        <v>1368</v>
      </c>
      <c r="B1258" s="5" t="s">
        <v>1367</v>
      </c>
      <c r="C1258" s="12" t="s">
        <v>23</v>
      </c>
      <c r="D1258" s="12" t="s">
        <v>24</v>
      </c>
      <c r="E1258" s="7" t="s">
        <v>4448</v>
      </c>
    </row>
    <row r="1259" spans="1:5">
      <c r="A1259" s="4" t="s">
        <v>1370</v>
      </c>
      <c r="B1259" s="5" t="s">
        <v>1369</v>
      </c>
      <c r="C1259" s="6" t="s">
        <v>23</v>
      </c>
      <c r="D1259" s="6" t="s">
        <v>63</v>
      </c>
      <c r="E1259" s="7" t="s">
        <v>64</v>
      </c>
    </row>
    <row r="1260" spans="1:5">
      <c r="A1260" s="4" t="s">
        <v>1372</v>
      </c>
      <c r="B1260" s="5" t="s">
        <v>1371</v>
      </c>
      <c r="C1260" s="6" t="s">
        <v>23</v>
      </c>
      <c r="D1260" s="6" t="s">
        <v>63</v>
      </c>
      <c r="E1260" s="7" t="s">
        <v>64</v>
      </c>
    </row>
    <row r="1261" spans="1:5">
      <c r="A1261" s="4" t="s">
        <v>1374</v>
      </c>
      <c r="B1261" s="5" t="s">
        <v>1373</v>
      </c>
      <c r="C1261" s="6" t="s">
        <v>23</v>
      </c>
      <c r="D1261" s="6" t="s">
        <v>63</v>
      </c>
      <c r="E1261" s="7" t="s">
        <v>64</v>
      </c>
    </row>
    <row r="1262" spans="1:5">
      <c r="A1262" s="11" t="s">
        <v>1376</v>
      </c>
      <c r="B1262" s="5" t="s">
        <v>1375</v>
      </c>
      <c r="C1262" s="12" t="s">
        <v>23</v>
      </c>
      <c r="D1262" s="12" t="s">
        <v>24</v>
      </c>
      <c r="E1262" s="7" t="s">
        <v>4446</v>
      </c>
    </row>
    <row r="1263" spans="1:5">
      <c r="A1263" s="4" t="s">
        <v>1378</v>
      </c>
      <c r="B1263" s="5" t="s">
        <v>1377</v>
      </c>
      <c r="C1263" s="6" t="s">
        <v>23</v>
      </c>
      <c r="D1263" s="6" t="s">
        <v>63</v>
      </c>
      <c r="E1263" s="7" t="s">
        <v>98</v>
      </c>
    </row>
    <row r="1264" spans="1:5">
      <c r="A1264" s="4" t="s">
        <v>1380</v>
      </c>
      <c r="B1264" s="5" t="s">
        <v>1379</v>
      </c>
      <c r="C1264" s="6" t="s">
        <v>23</v>
      </c>
      <c r="D1264" s="6" t="s">
        <v>24</v>
      </c>
      <c r="E1264" s="7" t="s">
        <v>4446</v>
      </c>
    </row>
    <row r="1265" spans="1:5">
      <c r="A1265" s="4" t="s">
        <v>1382</v>
      </c>
      <c r="B1265" s="5" t="s">
        <v>1381</v>
      </c>
      <c r="C1265" s="6" t="s">
        <v>23</v>
      </c>
      <c r="D1265" s="6" t="s">
        <v>24</v>
      </c>
      <c r="E1265" s="7" t="s">
        <v>4457</v>
      </c>
    </row>
    <row r="1266" spans="1:5">
      <c r="A1266" s="4" t="s">
        <v>1384</v>
      </c>
      <c r="B1266" s="5" t="s">
        <v>1383</v>
      </c>
      <c r="C1266" s="6" t="s">
        <v>23</v>
      </c>
      <c r="D1266" s="6" t="s">
        <v>24</v>
      </c>
      <c r="E1266" s="7" t="s">
        <v>4447</v>
      </c>
    </row>
    <row r="1267" spans="1:5">
      <c r="A1267" s="4" t="s">
        <v>1386</v>
      </c>
      <c r="B1267" s="5" t="s">
        <v>1385</v>
      </c>
      <c r="C1267" s="6" t="s">
        <v>23</v>
      </c>
      <c r="D1267" s="6" t="s">
        <v>24</v>
      </c>
      <c r="E1267" s="7" t="s">
        <v>4448</v>
      </c>
    </row>
    <row r="1268" spans="1:5">
      <c r="A1268" s="11" t="s">
        <v>1388</v>
      </c>
      <c r="B1268" s="5" t="s">
        <v>1387</v>
      </c>
      <c r="C1268" s="12" t="s">
        <v>23</v>
      </c>
      <c r="D1268" s="12" t="s">
        <v>24</v>
      </c>
      <c r="E1268" s="7" t="s">
        <v>4446</v>
      </c>
    </row>
    <row r="1269" spans="1:5">
      <c r="A1269" s="4" t="s">
        <v>1390</v>
      </c>
      <c r="B1269" s="5" t="s">
        <v>1389</v>
      </c>
      <c r="C1269" s="6" t="s">
        <v>23</v>
      </c>
      <c r="D1269" s="6" t="s">
        <v>24</v>
      </c>
      <c r="E1269" s="7" t="s">
        <v>4447</v>
      </c>
    </row>
    <row r="1270" spans="1:5">
      <c r="A1270" s="4" t="s">
        <v>3575</v>
      </c>
      <c r="B1270" s="5" t="s">
        <v>4351</v>
      </c>
      <c r="C1270" s="6" t="s">
        <v>23</v>
      </c>
      <c r="D1270" s="6" t="s">
        <v>24</v>
      </c>
      <c r="E1270" s="7" t="s">
        <v>4448</v>
      </c>
    </row>
    <row r="1271" spans="1:5">
      <c r="A1271" s="4" t="s">
        <v>1392</v>
      </c>
      <c r="B1271" s="5" t="s">
        <v>1391</v>
      </c>
      <c r="C1271" s="6" t="s">
        <v>23</v>
      </c>
      <c r="D1271" s="6" t="s">
        <v>63</v>
      </c>
      <c r="E1271" s="7" t="s">
        <v>425</v>
      </c>
    </row>
    <row r="1272" spans="1:5">
      <c r="A1272" s="4" t="s">
        <v>1394</v>
      </c>
      <c r="B1272" s="5" t="s">
        <v>1393</v>
      </c>
      <c r="C1272" s="6" t="s">
        <v>23</v>
      </c>
      <c r="D1272" s="6" t="s">
        <v>63</v>
      </c>
      <c r="E1272" s="7" t="s">
        <v>4458</v>
      </c>
    </row>
    <row r="1273" spans="1:5">
      <c r="A1273" s="4" t="s">
        <v>1396</v>
      </c>
      <c r="B1273" s="5" t="s">
        <v>1395</v>
      </c>
      <c r="C1273" s="6" t="s">
        <v>23</v>
      </c>
      <c r="D1273" s="6" t="s">
        <v>24</v>
      </c>
      <c r="E1273" s="7" t="s">
        <v>4447</v>
      </c>
    </row>
    <row r="1274" spans="1:5">
      <c r="A1274" s="4" t="s">
        <v>1398</v>
      </c>
      <c r="B1274" s="5" t="s">
        <v>1397</v>
      </c>
      <c r="C1274" s="6" t="s">
        <v>23</v>
      </c>
      <c r="D1274" s="6" t="s">
        <v>24</v>
      </c>
      <c r="E1274" s="7" t="s">
        <v>4454</v>
      </c>
    </row>
    <row r="1275" spans="1:5">
      <c r="A1275" s="4" t="s">
        <v>1400</v>
      </c>
      <c r="B1275" s="5" t="s">
        <v>1399</v>
      </c>
      <c r="C1275" s="6" t="s">
        <v>23</v>
      </c>
      <c r="D1275" s="6" t="s">
        <v>24</v>
      </c>
      <c r="E1275" s="7" t="s">
        <v>4452</v>
      </c>
    </row>
    <row r="1276" spans="1:5">
      <c r="A1276" s="4" t="s">
        <v>1402</v>
      </c>
      <c r="B1276" s="5" t="s">
        <v>1401</v>
      </c>
      <c r="C1276" s="6" t="s">
        <v>23</v>
      </c>
      <c r="D1276" s="6" t="s">
        <v>24</v>
      </c>
      <c r="E1276" s="7" t="s">
        <v>4456</v>
      </c>
    </row>
    <row r="1277" spans="1:5">
      <c r="A1277" s="4" t="s">
        <v>1404</v>
      </c>
      <c r="B1277" s="5" t="s">
        <v>1403</v>
      </c>
      <c r="C1277" s="6" t="s">
        <v>23</v>
      </c>
      <c r="D1277" s="6" t="s">
        <v>63</v>
      </c>
      <c r="E1277" s="7" t="s">
        <v>92</v>
      </c>
    </row>
    <row r="1278" spans="1:5">
      <c r="A1278" s="4" t="s">
        <v>1406</v>
      </c>
      <c r="B1278" s="5" t="s">
        <v>1405</v>
      </c>
      <c r="C1278" s="6" t="s">
        <v>23</v>
      </c>
      <c r="D1278" s="6" t="s">
        <v>63</v>
      </c>
      <c r="E1278" s="7" t="s">
        <v>86</v>
      </c>
    </row>
    <row r="1279" spans="1:5">
      <c r="A1279" s="4" t="s">
        <v>1408</v>
      </c>
      <c r="B1279" s="5" t="s">
        <v>1407</v>
      </c>
      <c r="C1279" s="6" t="s">
        <v>23</v>
      </c>
      <c r="D1279" s="6" t="s">
        <v>63</v>
      </c>
      <c r="E1279" s="7" t="s">
        <v>89</v>
      </c>
    </row>
    <row r="1280" spans="1:5">
      <c r="A1280" s="4" t="s">
        <v>1410</v>
      </c>
      <c r="B1280" s="5" t="s">
        <v>1409</v>
      </c>
      <c r="C1280" s="6" t="s">
        <v>23</v>
      </c>
      <c r="D1280" s="6" t="s">
        <v>63</v>
      </c>
      <c r="E1280" s="7" t="s">
        <v>95</v>
      </c>
    </row>
    <row r="1281" spans="1:5">
      <c r="A1281" s="4" t="s">
        <v>1412</v>
      </c>
      <c r="B1281" s="5" t="s">
        <v>1411</v>
      </c>
      <c r="C1281" s="6" t="s">
        <v>23</v>
      </c>
      <c r="D1281" s="6" t="s">
        <v>63</v>
      </c>
      <c r="E1281" s="7" t="s">
        <v>64</v>
      </c>
    </row>
    <row r="1282" spans="1:5">
      <c r="A1282" s="4" t="s">
        <v>1414</v>
      </c>
      <c r="B1282" s="5" t="s">
        <v>1413</v>
      </c>
      <c r="C1282" s="6" t="s">
        <v>23</v>
      </c>
      <c r="D1282" s="6" t="s">
        <v>24</v>
      </c>
      <c r="E1282" s="7" t="s">
        <v>4446</v>
      </c>
    </row>
    <row r="1283" spans="1:5">
      <c r="A1283" s="4" t="s">
        <v>1416</v>
      </c>
      <c r="B1283" s="5" t="s">
        <v>1415</v>
      </c>
      <c r="C1283" s="6" t="s">
        <v>23</v>
      </c>
      <c r="D1283" s="6" t="s">
        <v>24</v>
      </c>
      <c r="E1283" s="7" t="s">
        <v>4447</v>
      </c>
    </row>
    <row r="1284" spans="1:5">
      <c r="A1284" s="4" t="s">
        <v>1418</v>
      </c>
      <c r="B1284" s="5" t="s">
        <v>1417</v>
      </c>
      <c r="C1284" s="6" t="s">
        <v>23</v>
      </c>
      <c r="D1284" s="6" t="s">
        <v>24</v>
      </c>
      <c r="E1284" s="7" t="s">
        <v>4455</v>
      </c>
    </row>
    <row r="1285" spans="1:5">
      <c r="A1285" s="4" t="s">
        <v>1420</v>
      </c>
      <c r="B1285" s="5" t="s">
        <v>1419</v>
      </c>
      <c r="C1285" s="6" t="s">
        <v>23</v>
      </c>
      <c r="D1285" s="6" t="s">
        <v>24</v>
      </c>
      <c r="E1285" s="7" t="s">
        <v>4446</v>
      </c>
    </row>
    <row r="1286" spans="1:5">
      <c r="A1286" s="4" t="s">
        <v>1422</v>
      </c>
      <c r="B1286" s="5" t="s">
        <v>1421</v>
      </c>
      <c r="C1286" s="6" t="s">
        <v>23</v>
      </c>
      <c r="D1286" s="6" t="s">
        <v>24</v>
      </c>
      <c r="E1286" s="7" t="s">
        <v>4447</v>
      </c>
    </row>
    <row r="1287" spans="1:5">
      <c r="A1287" s="4" t="s">
        <v>1424</v>
      </c>
      <c r="B1287" s="5" t="s">
        <v>1423</v>
      </c>
      <c r="C1287" s="6" t="s">
        <v>23</v>
      </c>
      <c r="D1287" s="6" t="s">
        <v>24</v>
      </c>
      <c r="E1287" s="7" t="s">
        <v>4450</v>
      </c>
    </row>
    <row r="1288" spans="1:5">
      <c r="A1288" s="4" t="s">
        <v>1426</v>
      </c>
      <c r="B1288" s="5" t="s">
        <v>1425</v>
      </c>
      <c r="C1288" s="6" t="s">
        <v>23</v>
      </c>
      <c r="D1288" s="6" t="s">
        <v>24</v>
      </c>
      <c r="E1288" s="7" t="s">
        <v>4448</v>
      </c>
    </row>
    <row r="1289" spans="1:5">
      <c r="A1289" s="4" t="s">
        <v>1428</v>
      </c>
      <c r="B1289" s="5" t="s">
        <v>1427</v>
      </c>
      <c r="C1289" s="6" t="s">
        <v>23</v>
      </c>
      <c r="D1289" s="6" t="s">
        <v>63</v>
      </c>
      <c r="E1289" s="7" t="s">
        <v>425</v>
      </c>
    </row>
    <row r="1290" spans="1:5">
      <c r="A1290" s="4" t="s">
        <v>1430</v>
      </c>
      <c r="B1290" s="5" t="s">
        <v>1429</v>
      </c>
      <c r="C1290" s="6" t="s">
        <v>23</v>
      </c>
      <c r="D1290" s="6" t="s">
        <v>63</v>
      </c>
      <c r="E1290" s="7" t="s">
        <v>92</v>
      </c>
    </row>
    <row r="1291" spans="1:5">
      <c r="A1291" s="4" t="s">
        <v>1432</v>
      </c>
      <c r="B1291" s="5" t="s">
        <v>1431</v>
      </c>
      <c r="C1291" s="6" t="s">
        <v>23</v>
      </c>
      <c r="D1291" s="6" t="s">
        <v>63</v>
      </c>
      <c r="E1291" s="7" t="s">
        <v>572</v>
      </c>
    </row>
    <row r="1292" spans="1:5">
      <c r="A1292" s="4" t="s">
        <v>1434</v>
      </c>
      <c r="B1292" s="5" t="s">
        <v>1433</v>
      </c>
      <c r="C1292" s="6" t="s">
        <v>23</v>
      </c>
      <c r="D1292" s="6" t="s">
        <v>24</v>
      </c>
      <c r="E1292" s="7" t="s">
        <v>4447</v>
      </c>
    </row>
    <row r="1293" spans="1:5">
      <c r="A1293" s="4" t="s">
        <v>1436</v>
      </c>
      <c r="B1293" s="5" t="s">
        <v>1435</v>
      </c>
      <c r="C1293" s="6" t="s">
        <v>23</v>
      </c>
      <c r="D1293" s="6" t="s">
        <v>24</v>
      </c>
      <c r="E1293" s="7" t="s">
        <v>4448</v>
      </c>
    </row>
    <row r="1294" spans="1:5">
      <c r="A1294" s="4" t="s">
        <v>1438</v>
      </c>
      <c r="B1294" s="5" t="s">
        <v>1437</v>
      </c>
      <c r="C1294" s="6" t="s">
        <v>23</v>
      </c>
      <c r="D1294" s="6" t="s">
        <v>24</v>
      </c>
      <c r="E1294" s="7" t="s">
        <v>4450</v>
      </c>
    </row>
    <row r="1295" spans="1:5">
      <c r="A1295" s="4" t="s">
        <v>1440</v>
      </c>
      <c r="B1295" s="5" t="s">
        <v>1439</v>
      </c>
      <c r="C1295" s="6" t="s">
        <v>23</v>
      </c>
      <c r="D1295" s="6" t="s">
        <v>24</v>
      </c>
      <c r="E1295" s="7" t="s">
        <v>4451</v>
      </c>
    </row>
    <row r="1296" spans="1:5">
      <c r="A1296" s="4" t="s">
        <v>1442</v>
      </c>
      <c r="B1296" s="5" t="s">
        <v>1441</v>
      </c>
      <c r="C1296" s="6" t="s">
        <v>23</v>
      </c>
      <c r="D1296" s="6" t="s">
        <v>24</v>
      </c>
      <c r="E1296" s="7" t="s">
        <v>4453</v>
      </c>
    </row>
    <row r="1297" spans="1:5">
      <c r="A1297" s="4" t="s">
        <v>1444</v>
      </c>
      <c r="B1297" s="5" t="s">
        <v>1443</v>
      </c>
      <c r="C1297" s="6" t="s">
        <v>23</v>
      </c>
      <c r="D1297" s="6" t="s">
        <v>63</v>
      </c>
      <c r="E1297" s="7" t="s">
        <v>98</v>
      </c>
    </row>
    <row r="1298" spans="1:5">
      <c r="A1298" s="4" t="s">
        <v>1446</v>
      </c>
      <c r="B1298" s="5" t="s">
        <v>1445</v>
      </c>
      <c r="C1298" s="6" t="s">
        <v>23</v>
      </c>
      <c r="D1298" s="6" t="s">
        <v>63</v>
      </c>
      <c r="E1298" s="7" t="s">
        <v>64</v>
      </c>
    </row>
    <row r="1299" spans="1:5">
      <c r="A1299" s="4" t="s">
        <v>1448</v>
      </c>
      <c r="B1299" s="5" t="s">
        <v>1447</v>
      </c>
      <c r="C1299" s="6" t="s">
        <v>23</v>
      </c>
      <c r="D1299" s="6" t="s">
        <v>24</v>
      </c>
      <c r="E1299" s="7" t="s">
        <v>4447</v>
      </c>
    </row>
    <row r="1300" spans="1:5">
      <c r="A1300" s="4" t="s">
        <v>1450</v>
      </c>
      <c r="B1300" s="5" t="s">
        <v>1449</v>
      </c>
      <c r="C1300" s="6" t="s">
        <v>23</v>
      </c>
      <c r="D1300" s="6" t="s">
        <v>63</v>
      </c>
      <c r="E1300" s="7" t="s">
        <v>98</v>
      </c>
    </row>
    <row r="1301" spans="1:5">
      <c r="A1301" s="4" t="s">
        <v>1452</v>
      </c>
      <c r="B1301" s="5" t="s">
        <v>1451</v>
      </c>
      <c r="C1301" s="6" t="s">
        <v>23</v>
      </c>
      <c r="D1301" s="6" t="s">
        <v>24</v>
      </c>
      <c r="E1301" s="7" t="s">
        <v>4450</v>
      </c>
    </row>
    <row r="1302" spans="1:5">
      <c r="A1302" s="4" t="s">
        <v>1454</v>
      </c>
      <c r="B1302" s="5" t="s">
        <v>1453</v>
      </c>
      <c r="C1302" s="6" t="s">
        <v>23</v>
      </c>
      <c r="D1302" s="6" t="s">
        <v>24</v>
      </c>
      <c r="E1302" s="7" t="s">
        <v>4451</v>
      </c>
    </row>
    <row r="1303" spans="1:5">
      <c r="A1303" s="4" t="s">
        <v>1456</v>
      </c>
      <c r="B1303" s="5" t="s">
        <v>1455</v>
      </c>
      <c r="C1303" s="6" t="s">
        <v>23</v>
      </c>
      <c r="D1303" s="6" t="s">
        <v>24</v>
      </c>
      <c r="E1303" s="7" t="s">
        <v>4453</v>
      </c>
    </row>
    <row r="1304" spans="1:5">
      <c r="A1304" s="4" t="s">
        <v>1458</v>
      </c>
      <c r="B1304" s="5" t="s">
        <v>1457</v>
      </c>
      <c r="C1304" s="12" t="s">
        <v>23</v>
      </c>
      <c r="D1304" s="12" t="s">
        <v>24</v>
      </c>
      <c r="E1304" s="7" t="s">
        <v>4456</v>
      </c>
    </row>
    <row r="1305" spans="1:5">
      <c r="A1305" s="4" t="s">
        <v>1460</v>
      </c>
      <c r="B1305" s="5" t="s">
        <v>1459</v>
      </c>
      <c r="C1305" s="6" t="s">
        <v>23</v>
      </c>
      <c r="D1305" s="6" t="s">
        <v>24</v>
      </c>
      <c r="E1305" s="7" t="s">
        <v>4455</v>
      </c>
    </row>
    <row r="1306" spans="1:5">
      <c r="A1306" s="4" t="s">
        <v>3612</v>
      </c>
      <c r="B1306" s="5" t="s">
        <v>4389</v>
      </c>
      <c r="C1306" s="6" t="s">
        <v>23</v>
      </c>
      <c r="D1306" s="6" t="s">
        <v>4463</v>
      </c>
      <c r="E1306" s="7" t="s">
        <v>4448</v>
      </c>
    </row>
    <row r="1307" spans="1:5">
      <c r="A1307" s="4" t="s">
        <v>1462</v>
      </c>
      <c r="B1307" s="5" t="s">
        <v>1461</v>
      </c>
      <c r="C1307" s="6" t="s">
        <v>23</v>
      </c>
      <c r="D1307" s="6" t="s">
        <v>63</v>
      </c>
      <c r="E1307" s="7" t="s">
        <v>98</v>
      </c>
    </row>
    <row r="1308" spans="1:5">
      <c r="A1308" s="4" t="s">
        <v>1464</v>
      </c>
      <c r="B1308" s="5" t="s">
        <v>1463</v>
      </c>
      <c r="C1308" s="6" t="s">
        <v>23</v>
      </c>
      <c r="D1308" s="6" t="s">
        <v>24</v>
      </c>
      <c r="E1308" s="7" t="s">
        <v>4446</v>
      </c>
    </row>
    <row r="1309" spans="1:5">
      <c r="A1309" s="11" t="s">
        <v>1466</v>
      </c>
      <c r="B1309" s="5" t="s">
        <v>1465</v>
      </c>
      <c r="C1309" s="12" t="s">
        <v>23</v>
      </c>
      <c r="D1309" s="12" t="s">
        <v>24</v>
      </c>
      <c r="E1309" s="7" t="s">
        <v>4457</v>
      </c>
    </row>
    <row r="1310" spans="1:5">
      <c r="A1310" s="4" t="s">
        <v>1468</v>
      </c>
      <c r="B1310" s="5" t="s">
        <v>1467</v>
      </c>
      <c r="C1310" s="6" t="s">
        <v>23</v>
      </c>
      <c r="D1310" s="6" t="s">
        <v>24</v>
      </c>
      <c r="E1310" s="7" t="s">
        <v>4455</v>
      </c>
    </row>
    <row r="1311" spans="1:5">
      <c r="A1311" s="11" t="s">
        <v>1470</v>
      </c>
      <c r="B1311" s="5" t="s">
        <v>1469</v>
      </c>
      <c r="C1311" s="12" t="s">
        <v>23</v>
      </c>
      <c r="D1311" s="12" t="s">
        <v>24</v>
      </c>
      <c r="E1311" s="7" t="s">
        <v>4449</v>
      </c>
    </row>
    <row r="1312" spans="1:5">
      <c r="A1312" s="4" t="s">
        <v>1472</v>
      </c>
      <c r="B1312" s="5" t="s">
        <v>1471</v>
      </c>
      <c r="C1312" s="6" t="s">
        <v>23</v>
      </c>
      <c r="D1312" s="6" t="s">
        <v>24</v>
      </c>
      <c r="E1312" s="7" t="s">
        <v>4454</v>
      </c>
    </row>
    <row r="1313" spans="1:5">
      <c r="A1313" s="4" t="s">
        <v>3278</v>
      </c>
      <c r="B1313" s="5" t="s">
        <v>4048</v>
      </c>
      <c r="C1313" s="6" t="s">
        <v>23</v>
      </c>
      <c r="D1313" s="6" t="s">
        <v>4445</v>
      </c>
      <c r="E1313" s="7" t="s">
        <v>4443</v>
      </c>
    </row>
    <row r="1314" spans="1:5">
      <c r="A1314" s="4" t="s">
        <v>3283</v>
      </c>
      <c r="B1314" s="5" t="s">
        <v>4053</v>
      </c>
      <c r="C1314" s="6" t="s">
        <v>23</v>
      </c>
      <c r="D1314" s="6" t="s">
        <v>4445</v>
      </c>
      <c r="E1314" s="7" t="s">
        <v>4443</v>
      </c>
    </row>
    <row r="1315" spans="1:5">
      <c r="A1315" s="4" t="s">
        <v>3277</v>
      </c>
      <c r="B1315" s="5" t="s">
        <v>4047</v>
      </c>
      <c r="C1315" s="6" t="s">
        <v>23</v>
      </c>
      <c r="D1315" s="6" t="s">
        <v>4445</v>
      </c>
      <c r="E1315" s="7" t="s">
        <v>4443</v>
      </c>
    </row>
    <row r="1316" spans="1:5">
      <c r="A1316" s="4" t="s">
        <v>3287</v>
      </c>
      <c r="B1316" s="5" t="s">
        <v>4057</v>
      </c>
      <c r="C1316" s="6" t="s">
        <v>23</v>
      </c>
      <c r="D1316" s="6" t="s">
        <v>4445</v>
      </c>
      <c r="E1316" s="7" t="s">
        <v>4443</v>
      </c>
    </row>
    <row r="1317" spans="1:5">
      <c r="A1317" s="11" t="s">
        <v>3234</v>
      </c>
      <c r="B1317" s="5" t="s">
        <v>4004</v>
      </c>
      <c r="C1317" s="12" t="s">
        <v>23</v>
      </c>
      <c r="D1317" s="12" t="s">
        <v>4445</v>
      </c>
      <c r="E1317" s="7" t="s">
        <v>4443</v>
      </c>
    </row>
    <row r="1318" spans="1:5">
      <c r="A1318" s="4" t="s">
        <v>3282</v>
      </c>
      <c r="B1318" s="5" t="s">
        <v>4052</v>
      </c>
      <c r="C1318" s="6" t="s">
        <v>23</v>
      </c>
      <c r="D1318" s="6" t="s">
        <v>4445</v>
      </c>
      <c r="E1318" s="7" t="s">
        <v>4443</v>
      </c>
    </row>
    <row r="1319" spans="1:5">
      <c r="A1319" s="4" t="s">
        <v>3236</v>
      </c>
      <c r="B1319" s="5" t="s">
        <v>4006</v>
      </c>
      <c r="C1319" s="6" t="s">
        <v>23</v>
      </c>
      <c r="D1319" s="6" t="s">
        <v>4445</v>
      </c>
      <c r="E1319" s="7" t="s">
        <v>4443</v>
      </c>
    </row>
    <row r="1320" spans="1:5">
      <c r="A1320" s="11" t="s">
        <v>3253</v>
      </c>
      <c r="B1320" s="5" t="s">
        <v>4023</v>
      </c>
      <c r="C1320" s="12" t="s">
        <v>23</v>
      </c>
      <c r="D1320" s="12" t="s">
        <v>4445</v>
      </c>
      <c r="E1320" s="7" t="s">
        <v>4443</v>
      </c>
    </row>
    <row r="1321" spans="1:5">
      <c r="A1321" s="11" t="s">
        <v>3243</v>
      </c>
      <c r="B1321" s="5" t="s">
        <v>4013</v>
      </c>
      <c r="C1321" s="12" t="s">
        <v>23</v>
      </c>
      <c r="D1321" s="12" t="s">
        <v>4445</v>
      </c>
      <c r="E1321" s="7" t="s">
        <v>4443</v>
      </c>
    </row>
    <row r="1322" spans="1:5">
      <c r="A1322" s="4" t="s">
        <v>3233</v>
      </c>
      <c r="B1322" s="5" t="s">
        <v>4003</v>
      </c>
      <c r="C1322" s="6" t="s">
        <v>23</v>
      </c>
      <c r="D1322" s="6" t="s">
        <v>4445</v>
      </c>
      <c r="E1322" s="7" t="s">
        <v>4443</v>
      </c>
    </row>
    <row r="1323" spans="1:5">
      <c r="A1323" s="4" t="s">
        <v>3252</v>
      </c>
      <c r="B1323" s="5" t="s">
        <v>4022</v>
      </c>
      <c r="C1323" s="6" t="s">
        <v>23</v>
      </c>
      <c r="D1323" s="6" t="s">
        <v>4445</v>
      </c>
      <c r="E1323" s="7" t="s">
        <v>4443</v>
      </c>
    </row>
    <row r="1324" spans="1:5">
      <c r="A1324" s="11" t="s">
        <v>3250</v>
      </c>
      <c r="B1324" s="5" t="s">
        <v>4020</v>
      </c>
      <c r="C1324" s="12" t="s">
        <v>23</v>
      </c>
      <c r="D1324" s="12" t="s">
        <v>4445</v>
      </c>
      <c r="E1324" s="7" t="s">
        <v>4443</v>
      </c>
    </row>
    <row r="1325" spans="1:5">
      <c r="A1325" s="4" t="s">
        <v>3237</v>
      </c>
      <c r="B1325" s="5" t="s">
        <v>4007</v>
      </c>
      <c r="C1325" s="6" t="s">
        <v>23</v>
      </c>
      <c r="D1325" s="6" t="s">
        <v>4445</v>
      </c>
      <c r="E1325" s="7" t="s">
        <v>4443</v>
      </c>
    </row>
    <row r="1326" spans="1:5">
      <c r="A1326" s="4" t="s">
        <v>3254</v>
      </c>
      <c r="B1326" s="5" t="s">
        <v>4024</v>
      </c>
      <c r="C1326" s="6" t="s">
        <v>23</v>
      </c>
      <c r="D1326" s="6" t="s">
        <v>4445</v>
      </c>
      <c r="E1326" s="7" t="s">
        <v>4443</v>
      </c>
    </row>
    <row r="1327" spans="1:5">
      <c r="A1327" s="4" t="s">
        <v>3240</v>
      </c>
      <c r="B1327" s="5" t="s">
        <v>4010</v>
      </c>
      <c r="C1327" s="6" t="s">
        <v>23</v>
      </c>
      <c r="D1327" s="6" t="s">
        <v>4445</v>
      </c>
      <c r="E1327" s="7" t="s">
        <v>4443</v>
      </c>
    </row>
    <row r="1328" spans="1:5">
      <c r="A1328" s="4" t="s">
        <v>3262</v>
      </c>
      <c r="B1328" s="5" t="s">
        <v>4032</v>
      </c>
      <c r="C1328" s="6" t="s">
        <v>23</v>
      </c>
      <c r="D1328" s="6" t="s">
        <v>4445</v>
      </c>
      <c r="E1328" s="7" t="s">
        <v>4443</v>
      </c>
    </row>
    <row r="1329" spans="1:5">
      <c r="A1329" s="4" t="s">
        <v>3239</v>
      </c>
      <c r="B1329" s="5" t="s">
        <v>4009</v>
      </c>
      <c r="C1329" s="6" t="s">
        <v>23</v>
      </c>
      <c r="D1329" s="6" t="s">
        <v>4445</v>
      </c>
      <c r="E1329" s="7" t="s">
        <v>4443</v>
      </c>
    </row>
    <row r="1330" spans="1:5">
      <c r="A1330" s="4" t="s">
        <v>3247</v>
      </c>
      <c r="B1330" s="5" t="s">
        <v>4017</v>
      </c>
      <c r="C1330" s="6" t="s">
        <v>23</v>
      </c>
      <c r="D1330" s="6" t="s">
        <v>4445</v>
      </c>
      <c r="E1330" s="7" t="s">
        <v>4443</v>
      </c>
    </row>
    <row r="1331" spans="1:5">
      <c r="A1331" s="11" t="s">
        <v>3241</v>
      </c>
      <c r="B1331" s="5" t="s">
        <v>4011</v>
      </c>
      <c r="C1331" s="12" t="s">
        <v>23</v>
      </c>
      <c r="D1331" s="12" t="s">
        <v>4445</v>
      </c>
      <c r="E1331" s="7" t="s">
        <v>4443</v>
      </c>
    </row>
    <row r="1332" spans="1:5">
      <c r="A1332" s="4" t="s">
        <v>3238</v>
      </c>
      <c r="B1332" s="5" t="s">
        <v>4008</v>
      </c>
      <c r="C1332" s="6" t="s">
        <v>23</v>
      </c>
      <c r="D1332" s="6" t="s">
        <v>4445</v>
      </c>
      <c r="E1332" s="7" t="s">
        <v>4443</v>
      </c>
    </row>
    <row r="1333" spans="1:5">
      <c r="A1333" s="4" t="s">
        <v>3245</v>
      </c>
      <c r="B1333" s="5" t="s">
        <v>4015</v>
      </c>
      <c r="C1333" s="6" t="s">
        <v>23</v>
      </c>
      <c r="D1333" s="6" t="s">
        <v>4445</v>
      </c>
      <c r="E1333" s="7" t="s">
        <v>4443</v>
      </c>
    </row>
    <row r="1334" spans="1:5">
      <c r="A1334" s="4" t="s">
        <v>3246</v>
      </c>
      <c r="B1334" s="5" t="s">
        <v>4016</v>
      </c>
      <c r="C1334" s="6" t="s">
        <v>23</v>
      </c>
      <c r="D1334" s="6" t="s">
        <v>4445</v>
      </c>
      <c r="E1334" s="7" t="s">
        <v>4443</v>
      </c>
    </row>
    <row r="1335" spans="1:5">
      <c r="A1335" s="4" t="s">
        <v>1474</v>
      </c>
      <c r="B1335" s="5" t="s">
        <v>1473</v>
      </c>
      <c r="C1335" s="6" t="s">
        <v>23</v>
      </c>
      <c r="D1335" s="6" t="s">
        <v>63</v>
      </c>
      <c r="E1335" s="7" t="s">
        <v>67</v>
      </c>
    </row>
    <row r="1336" spans="1:5">
      <c r="A1336" s="4" t="s">
        <v>1476</v>
      </c>
      <c r="B1336" s="5" t="s">
        <v>1475</v>
      </c>
      <c r="C1336" s="6" t="s">
        <v>23</v>
      </c>
      <c r="D1336" s="6" t="s">
        <v>24</v>
      </c>
      <c r="E1336" s="7" t="s">
        <v>4455</v>
      </c>
    </row>
    <row r="1337" spans="1:5">
      <c r="A1337" s="4" t="s">
        <v>1478</v>
      </c>
      <c r="B1337" s="5" t="s">
        <v>1477</v>
      </c>
      <c r="C1337" s="6" t="s">
        <v>23</v>
      </c>
      <c r="D1337" s="6" t="s">
        <v>63</v>
      </c>
      <c r="E1337" s="7" t="s">
        <v>425</v>
      </c>
    </row>
    <row r="1338" spans="1:5">
      <c r="A1338" s="4" t="s">
        <v>3235</v>
      </c>
      <c r="B1338" s="5" t="s">
        <v>4005</v>
      </c>
      <c r="C1338" s="6" t="s">
        <v>23</v>
      </c>
      <c r="D1338" s="6" t="s">
        <v>4445</v>
      </c>
      <c r="E1338" s="7" t="s">
        <v>4443</v>
      </c>
    </row>
    <row r="1339" spans="1:5">
      <c r="A1339" s="4" t="s">
        <v>1480</v>
      </c>
      <c r="B1339" s="5" t="s">
        <v>1479</v>
      </c>
      <c r="C1339" s="6" t="s">
        <v>23</v>
      </c>
      <c r="D1339" s="6" t="s">
        <v>63</v>
      </c>
      <c r="E1339" s="7" t="s">
        <v>64</v>
      </c>
    </row>
    <row r="1340" spans="1:5">
      <c r="A1340" s="4" t="s">
        <v>1482</v>
      </c>
      <c r="B1340" s="5" t="s">
        <v>1481</v>
      </c>
      <c r="C1340" s="6" t="s">
        <v>23</v>
      </c>
      <c r="D1340" s="6" t="s">
        <v>24</v>
      </c>
      <c r="E1340" s="7" t="s">
        <v>4446</v>
      </c>
    </row>
    <row r="1341" spans="1:5">
      <c r="A1341" s="4" t="s">
        <v>1484</v>
      </c>
      <c r="B1341" s="5" t="s">
        <v>1483</v>
      </c>
      <c r="C1341" s="6" t="s">
        <v>23</v>
      </c>
      <c r="D1341" s="6" t="s">
        <v>24</v>
      </c>
      <c r="E1341" s="7" t="s">
        <v>4457</v>
      </c>
    </row>
    <row r="1342" spans="1:5">
      <c r="A1342" s="4" t="s">
        <v>1486</v>
      </c>
      <c r="B1342" s="5" t="s">
        <v>1485</v>
      </c>
      <c r="C1342" s="6" t="s">
        <v>23</v>
      </c>
      <c r="D1342" s="6" t="s">
        <v>24</v>
      </c>
      <c r="E1342" s="7" t="s">
        <v>4455</v>
      </c>
    </row>
    <row r="1343" spans="1:5">
      <c r="A1343" s="4" t="s">
        <v>1488</v>
      </c>
      <c r="B1343" s="5" t="s">
        <v>1487</v>
      </c>
      <c r="C1343" s="6" t="s">
        <v>23</v>
      </c>
      <c r="D1343" s="6" t="s">
        <v>24</v>
      </c>
      <c r="E1343" s="7" t="s">
        <v>4447</v>
      </c>
    </row>
    <row r="1344" spans="1:5">
      <c r="A1344" s="4" t="s">
        <v>1490</v>
      </c>
      <c r="B1344" s="5" t="s">
        <v>1489</v>
      </c>
      <c r="C1344" s="6" t="s">
        <v>23</v>
      </c>
      <c r="D1344" s="6" t="s">
        <v>63</v>
      </c>
      <c r="E1344" s="7" t="s">
        <v>572</v>
      </c>
    </row>
    <row r="1345" spans="1:5">
      <c r="A1345" s="4" t="s">
        <v>1492</v>
      </c>
      <c r="B1345" s="5" t="s">
        <v>1491</v>
      </c>
      <c r="C1345" s="6" t="s">
        <v>23</v>
      </c>
      <c r="D1345" s="6" t="s">
        <v>24</v>
      </c>
      <c r="E1345" s="7" t="s">
        <v>4455</v>
      </c>
    </row>
    <row r="1346" spans="1:5">
      <c r="A1346" s="4" t="s">
        <v>1494</v>
      </c>
      <c r="B1346" s="5" t="s">
        <v>1493</v>
      </c>
      <c r="C1346" s="6" t="s">
        <v>23</v>
      </c>
      <c r="D1346" s="6" t="s">
        <v>63</v>
      </c>
      <c r="E1346" s="7" t="s">
        <v>425</v>
      </c>
    </row>
    <row r="1347" spans="1:5">
      <c r="A1347" s="11" t="s">
        <v>1496</v>
      </c>
      <c r="B1347" s="5" t="s">
        <v>1495</v>
      </c>
      <c r="C1347" s="12" t="s">
        <v>23</v>
      </c>
      <c r="D1347" s="12" t="s">
        <v>63</v>
      </c>
      <c r="E1347" s="7" t="s">
        <v>89</v>
      </c>
    </row>
    <row r="1348" spans="1:5">
      <c r="A1348" s="11" t="s">
        <v>1498</v>
      </c>
      <c r="B1348" s="10" t="s">
        <v>1497</v>
      </c>
      <c r="C1348" s="12" t="s">
        <v>23</v>
      </c>
      <c r="D1348" s="12" t="s">
        <v>63</v>
      </c>
      <c r="E1348" s="7" t="s">
        <v>92</v>
      </c>
    </row>
    <row r="1349" spans="1:5">
      <c r="A1349" s="11" t="s">
        <v>3047</v>
      </c>
      <c r="B1349" s="5" t="s">
        <v>3816</v>
      </c>
      <c r="C1349" s="12" t="s">
        <v>23</v>
      </c>
      <c r="D1349" s="12" t="s">
        <v>4445</v>
      </c>
      <c r="E1349" s="7" t="s">
        <v>4443</v>
      </c>
    </row>
    <row r="1350" spans="1:5">
      <c r="A1350" s="4" t="s">
        <v>1500</v>
      </c>
      <c r="B1350" s="5" t="s">
        <v>1499</v>
      </c>
      <c r="C1350" s="6" t="s">
        <v>23</v>
      </c>
      <c r="D1350" s="6" t="s">
        <v>24</v>
      </c>
      <c r="E1350" s="7" t="s">
        <v>4446</v>
      </c>
    </row>
    <row r="1351" spans="1:5">
      <c r="A1351" s="11" t="s">
        <v>1502</v>
      </c>
      <c r="B1351" s="5" t="s">
        <v>1501</v>
      </c>
      <c r="C1351" s="12" t="s">
        <v>23</v>
      </c>
      <c r="D1351" s="12" t="s">
        <v>24</v>
      </c>
      <c r="E1351" s="7" t="s">
        <v>4447</v>
      </c>
    </row>
    <row r="1352" spans="1:5">
      <c r="A1352" s="4" t="s">
        <v>1504</v>
      </c>
      <c r="B1352" s="5" t="s">
        <v>1503</v>
      </c>
      <c r="C1352" s="6" t="s">
        <v>23</v>
      </c>
      <c r="D1352" s="6" t="s">
        <v>24</v>
      </c>
      <c r="E1352" s="7" t="s">
        <v>4448</v>
      </c>
    </row>
    <row r="1353" spans="1:5">
      <c r="A1353" s="11" t="s">
        <v>3011</v>
      </c>
      <c r="B1353" s="5" t="s">
        <v>3779</v>
      </c>
      <c r="C1353" s="12" t="s">
        <v>23</v>
      </c>
      <c r="D1353" s="12" t="s">
        <v>4445</v>
      </c>
      <c r="E1353" s="7" t="s">
        <v>4443</v>
      </c>
    </row>
    <row r="1354" spans="1:5">
      <c r="A1354" s="11" t="s">
        <v>3180</v>
      </c>
      <c r="B1354" s="5" t="s">
        <v>3950</v>
      </c>
      <c r="C1354" s="12" t="s">
        <v>23</v>
      </c>
      <c r="D1354" s="12" t="s">
        <v>4445</v>
      </c>
      <c r="E1354" s="7" t="s">
        <v>4443</v>
      </c>
    </row>
    <row r="1355" spans="1:5">
      <c r="A1355" s="4" t="s">
        <v>3155</v>
      </c>
      <c r="B1355" s="5" t="s">
        <v>3925</v>
      </c>
      <c r="C1355" s="6" t="s">
        <v>23</v>
      </c>
      <c r="D1355" s="6" t="s">
        <v>4445</v>
      </c>
      <c r="E1355" s="7" t="s">
        <v>4443</v>
      </c>
    </row>
    <row r="1356" spans="1:5">
      <c r="A1356" s="11" t="s">
        <v>3149</v>
      </c>
      <c r="B1356" s="5" t="s">
        <v>3919</v>
      </c>
      <c r="C1356" s="12" t="s">
        <v>23</v>
      </c>
      <c r="D1356" s="12" t="s">
        <v>4445</v>
      </c>
      <c r="E1356" s="7" t="s">
        <v>4443</v>
      </c>
    </row>
    <row r="1357" spans="1:5">
      <c r="A1357" s="11" t="s">
        <v>2906</v>
      </c>
      <c r="B1357" s="5" t="s">
        <v>3666</v>
      </c>
      <c r="C1357" s="12" t="s">
        <v>23</v>
      </c>
      <c r="D1357" s="12" t="s">
        <v>4445</v>
      </c>
      <c r="E1357" s="7" t="s">
        <v>4443</v>
      </c>
    </row>
    <row r="1358" spans="1:5">
      <c r="A1358" s="4" t="s">
        <v>3526</v>
      </c>
      <c r="B1358" s="5" t="s">
        <v>4300</v>
      </c>
      <c r="C1358" s="6" t="s">
        <v>23</v>
      </c>
      <c r="D1358" s="6" t="s">
        <v>4445</v>
      </c>
      <c r="E1358" s="7" t="s">
        <v>4443</v>
      </c>
    </row>
    <row r="1359" spans="1:5">
      <c r="A1359" s="4" t="s">
        <v>3470</v>
      </c>
      <c r="B1359" s="5" t="s">
        <v>4244</v>
      </c>
      <c r="C1359" s="6" t="s">
        <v>23</v>
      </c>
      <c r="D1359" s="6" t="s">
        <v>4445</v>
      </c>
      <c r="E1359" s="7" t="s">
        <v>4443</v>
      </c>
    </row>
    <row r="1360" spans="1:5">
      <c r="A1360" s="4" t="s">
        <v>3502</v>
      </c>
      <c r="B1360" s="5" t="s">
        <v>4276</v>
      </c>
      <c r="C1360" s="6" t="s">
        <v>23</v>
      </c>
      <c r="D1360" s="6" t="s">
        <v>4445</v>
      </c>
      <c r="E1360" s="7" t="s">
        <v>4443</v>
      </c>
    </row>
    <row r="1361" spans="1:5">
      <c r="A1361" s="4" t="s">
        <v>3156</v>
      </c>
      <c r="B1361" s="5" t="s">
        <v>3926</v>
      </c>
      <c r="C1361" s="6" t="s">
        <v>23</v>
      </c>
      <c r="D1361" s="6" t="s">
        <v>4445</v>
      </c>
      <c r="E1361" s="7" t="s">
        <v>4443</v>
      </c>
    </row>
    <row r="1362" spans="1:5">
      <c r="A1362" s="4" t="s">
        <v>3150</v>
      </c>
      <c r="B1362" s="5" t="s">
        <v>3920</v>
      </c>
      <c r="C1362" s="6" t="s">
        <v>23</v>
      </c>
      <c r="D1362" s="6" t="s">
        <v>4445</v>
      </c>
      <c r="E1362" s="7" t="s">
        <v>4443</v>
      </c>
    </row>
    <row r="1363" spans="1:5">
      <c r="A1363" s="11" t="s">
        <v>2907</v>
      </c>
      <c r="B1363" s="5" t="s">
        <v>3667</v>
      </c>
      <c r="C1363" s="12" t="s">
        <v>23</v>
      </c>
      <c r="D1363" s="12" t="s">
        <v>4445</v>
      </c>
      <c r="E1363" s="7" t="s">
        <v>4443</v>
      </c>
    </row>
    <row r="1364" spans="1:5">
      <c r="A1364" s="11" t="s">
        <v>3157</v>
      </c>
      <c r="B1364" s="5" t="s">
        <v>3927</v>
      </c>
      <c r="C1364" s="12" t="s">
        <v>23</v>
      </c>
      <c r="D1364" s="12" t="s">
        <v>4445</v>
      </c>
      <c r="E1364" s="7" t="s">
        <v>4443</v>
      </c>
    </row>
    <row r="1365" spans="1:5">
      <c r="A1365" s="4" t="s">
        <v>3151</v>
      </c>
      <c r="B1365" s="5" t="s">
        <v>3921</v>
      </c>
      <c r="C1365" s="6" t="s">
        <v>23</v>
      </c>
      <c r="D1365" s="6" t="s">
        <v>4445</v>
      </c>
      <c r="E1365" s="7" t="s">
        <v>4443</v>
      </c>
    </row>
    <row r="1366" spans="1:5">
      <c r="A1366" s="4" t="s">
        <v>2908</v>
      </c>
      <c r="B1366" s="5" t="s">
        <v>3668</v>
      </c>
      <c r="C1366" s="6" t="s">
        <v>23</v>
      </c>
      <c r="D1366" s="6" t="s">
        <v>4445</v>
      </c>
      <c r="E1366" s="7" t="s">
        <v>4443</v>
      </c>
    </row>
    <row r="1367" spans="1:5">
      <c r="A1367" s="4" t="s">
        <v>3471</v>
      </c>
      <c r="B1367" s="5" t="s">
        <v>4245</v>
      </c>
      <c r="C1367" s="6" t="s">
        <v>23</v>
      </c>
      <c r="D1367" s="6" t="s">
        <v>4445</v>
      </c>
      <c r="E1367" s="7" t="s">
        <v>4443</v>
      </c>
    </row>
    <row r="1368" spans="1:5">
      <c r="A1368" s="4" t="s">
        <v>3472</v>
      </c>
      <c r="B1368" s="5" t="s">
        <v>4246</v>
      </c>
      <c r="C1368" s="6" t="s">
        <v>23</v>
      </c>
      <c r="D1368" s="6" t="s">
        <v>4445</v>
      </c>
      <c r="E1368" s="7" t="s">
        <v>4443</v>
      </c>
    </row>
    <row r="1369" spans="1:5">
      <c r="A1369" s="4" t="s">
        <v>3552</v>
      </c>
      <c r="B1369" s="5" t="s">
        <v>4327</v>
      </c>
      <c r="C1369" s="6" t="s">
        <v>23</v>
      </c>
      <c r="D1369" s="6" t="s">
        <v>4445</v>
      </c>
      <c r="E1369" s="7" t="s">
        <v>4443</v>
      </c>
    </row>
    <row r="1370" spans="1:5">
      <c r="A1370" s="4" t="s">
        <v>1506</v>
      </c>
      <c r="B1370" s="5" t="s">
        <v>1505</v>
      </c>
      <c r="C1370" s="6" t="s">
        <v>23</v>
      </c>
      <c r="D1370" s="6" t="s">
        <v>63</v>
      </c>
      <c r="E1370" s="7" t="s">
        <v>64</v>
      </c>
    </row>
    <row r="1371" spans="1:5">
      <c r="A1371" s="4" t="s">
        <v>3158</v>
      </c>
      <c r="B1371" s="5" t="s">
        <v>3928</v>
      </c>
      <c r="C1371" s="6" t="s">
        <v>23</v>
      </c>
      <c r="D1371" s="6" t="s">
        <v>4445</v>
      </c>
      <c r="E1371" s="7" t="s">
        <v>4443</v>
      </c>
    </row>
    <row r="1372" spans="1:5">
      <c r="A1372" s="11" t="s">
        <v>3152</v>
      </c>
      <c r="B1372" s="5" t="s">
        <v>3922</v>
      </c>
      <c r="C1372" s="12" t="s">
        <v>23</v>
      </c>
      <c r="D1372" s="12" t="s">
        <v>4445</v>
      </c>
      <c r="E1372" s="7" t="s">
        <v>4443</v>
      </c>
    </row>
    <row r="1373" spans="1:5">
      <c r="A1373" s="11" t="s">
        <v>3230</v>
      </c>
      <c r="B1373" s="5" t="s">
        <v>4000</v>
      </c>
      <c r="C1373" s="12" t="s">
        <v>23</v>
      </c>
      <c r="D1373" s="12" t="s">
        <v>4445</v>
      </c>
      <c r="E1373" s="7" t="s">
        <v>4443</v>
      </c>
    </row>
    <row r="1374" spans="1:5">
      <c r="A1374" s="11" t="s">
        <v>3232</v>
      </c>
      <c r="B1374" s="5" t="s">
        <v>4002</v>
      </c>
      <c r="C1374" s="12" t="s">
        <v>23</v>
      </c>
      <c r="D1374" s="12" t="s">
        <v>4445</v>
      </c>
      <c r="E1374" s="7" t="s">
        <v>4443</v>
      </c>
    </row>
    <row r="1375" spans="1:5">
      <c r="A1375" s="11" t="s">
        <v>3231</v>
      </c>
      <c r="B1375" s="5" t="s">
        <v>4001</v>
      </c>
      <c r="C1375" s="12" t="s">
        <v>23</v>
      </c>
      <c r="D1375" s="12" t="s">
        <v>4445</v>
      </c>
      <c r="E1375" s="7" t="s">
        <v>4443</v>
      </c>
    </row>
    <row r="1376" spans="1:5">
      <c r="A1376" s="4" t="s">
        <v>2911</v>
      </c>
      <c r="B1376" s="5" t="s">
        <v>3671</v>
      </c>
      <c r="C1376" s="6" t="s">
        <v>23</v>
      </c>
      <c r="D1376" s="6" t="s">
        <v>4445</v>
      </c>
      <c r="E1376" s="7" t="s">
        <v>4443</v>
      </c>
    </row>
    <row r="1377" spans="1:5">
      <c r="A1377" s="4" t="s">
        <v>3040</v>
      </c>
      <c r="B1377" s="5" t="s">
        <v>3809</v>
      </c>
      <c r="C1377" s="6" t="s">
        <v>23</v>
      </c>
      <c r="D1377" s="6" t="s">
        <v>4445</v>
      </c>
      <c r="E1377" s="7" t="s">
        <v>4443</v>
      </c>
    </row>
    <row r="1378" spans="1:5">
      <c r="A1378" s="4" t="s">
        <v>3473</v>
      </c>
      <c r="B1378" s="5" t="s">
        <v>4247</v>
      </c>
      <c r="C1378" s="6" t="s">
        <v>23</v>
      </c>
      <c r="D1378" s="6" t="s">
        <v>4445</v>
      </c>
      <c r="E1378" s="7" t="s">
        <v>4443</v>
      </c>
    </row>
    <row r="1379" spans="1:5">
      <c r="A1379" s="4" t="s">
        <v>2909</v>
      </c>
      <c r="B1379" s="5" t="s">
        <v>3669</v>
      </c>
      <c r="C1379" s="6" t="s">
        <v>23</v>
      </c>
      <c r="D1379" s="6" t="s">
        <v>4445</v>
      </c>
      <c r="E1379" s="7" t="s">
        <v>4443</v>
      </c>
    </row>
    <row r="1380" spans="1:5">
      <c r="A1380" s="4" t="s">
        <v>3159</v>
      </c>
      <c r="B1380" s="5" t="s">
        <v>3929</v>
      </c>
      <c r="C1380" s="6" t="s">
        <v>23</v>
      </c>
      <c r="D1380" s="6" t="s">
        <v>4445</v>
      </c>
      <c r="E1380" s="7" t="s">
        <v>4443</v>
      </c>
    </row>
    <row r="1381" spans="1:5">
      <c r="A1381" s="4" t="s">
        <v>3153</v>
      </c>
      <c r="B1381" s="5" t="s">
        <v>3923</v>
      </c>
      <c r="C1381" s="6" t="s">
        <v>23</v>
      </c>
      <c r="D1381" s="6" t="s">
        <v>4445</v>
      </c>
      <c r="E1381" s="7" t="s">
        <v>4443</v>
      </c>
    </row>
    <row r="1382" spans="1:5">
      <c r="A1382" s="4" t="s">
        <v>3160</v>
      </c>
      <c r="B1382" s="5" t="s">
        <v>3930</v>
      </c>
      <c r="C1382" s="6" t="s">
        <v>23</v>
      </c>
      <c r="D1382" s="6" t="s">
        <v>4445</v>
      </c>
      <c r="E1382" s="7" t="s">
        <v>4443</v>
      </c>
    </row>
    <row r="1383" spans="1:5">
      <c r="A1383" s="4" t="s">
        <v>3154</v>
      </c>
      <c r="B1383" s="5" t="s">
        <v>3924</v>
      </c>
      <c r="C1383" s="6" t="s">
        <v>23</v>
      </c>
      <c r="D1383" s="6" t="s">
        <v>4445</v>
      </c>
      <c r="E1383" s="7" t="s">
        <v>4443</v>
      </c>
    </row>
    <row r="1384" spans="1:5">
      <c r="A1384" s="4" t="s">
        <v>3474</v>
      </c>
      <c r="B1384" s="5" t="s">
        <v>4248</v>
      </c>
      <c r="C1384" s="6" t="s">
        <v>23</v>
      </c>
      <c r="D1384" s="6" t="s">
        <v>4445</v>
      </c>
      <c r="E1384" s="7" t="s">
        <v>4443</v>
      </c>
    </row>
    <row r="1385" spans="1:5">
      <c r="A1385" s="4" t="s">
        <v>3475</v>
      </c>
      <c r="B1385" s="5" t="s">
        <v>4249</v>
      </c>
      <c r="C1385" s="6" t="s">
        <v>23</v>
      </c>
      <c r="D1385" s="6" t="s">
        <v>4445</v>
      </c>
      <c r="E1385" s="7" t="s">
        <v>4443</v>
      </c>
    </row>
    <row r="1386" spans="1:5">
      <c r="A1386" s="4" t="s">
        <v>3312</v>
      </c>
      <c r="B1386" s="5" t="s">
        <v>4085</v>
      </c>
      <c r="C1386" s="6" t="s">
        <v>23</v>
      </c>
      <c r="D1386" s="6" t="s">
        <v>4445</v>
      </c>
      <c r="E1386" s="7" t="s">
        <v>89</v>
      </c>
    </row>
    <row r="1387" spans="1:5">
      <c r="A1387" s="4" t="s">
        <v>3311</v>
      </c>
      <c r="B1387" s="5" t="s">
        <v>4084</v>
      </c>
      <c r="C1387" s="6" t="s">
        <v>23</v>
      </c>
      <c r="D1387" s="6" t="s">
        <v>4445</v>
      </c>
      <c r="E1387" s="7" t="s">
        <v>86</v>
      </c>
    </row>
    <row r="1388" spans="1:5">
      <c r="A1388" s="4" t="s">
        <v>3310</v>
      </c>
      <c r="B1388" s="5" t="s">
        <v>4083</v>
      </c>
      <c r="C1388" s="6" t="s">
        <v>23</v>
      </c>
      <c r="D1388" s="6" t="s">
        <v>4445</v>
      </c>
      <c r="E1388" s="7" t="s">
        <v>64</v>
      </c>
    </row>
    <row r="1389" spans="1:5">
      <c r="A1389" s="4" t="s">
        <v>1508</v>
      </c>
      <c r="B1389" s="5" t="s">
        <v>1507</v>
      </c>
      <c r="C1389" s="6" t="s">
        <v>23</v>
      </c>
      <c r="D1389" s="6" t="s">
        <v>63</v>
      </c>
      <c r="E1389" s="7" t="s">
        <v>67</v>
      </c>
    </row>
    <row r="1390" spans="1:5">
      <c r="A1390" s="4" t="s">
        <v>1510</v>
      </c>
      <c r="B1390" s="5" t="s">
        <v>1509</v>
      </c>
      <c r="C1390" s="6" t="s">
        <v>23</v>
      </c>
      <c r="D1390" s="6" t="s">
        <v>63</v>
      </c>
      <c r="E1390" s="7" t="s">
        <v>64</v>
      </c>
    </row>
    <row r="1391" spans="1:5">
      <c r="A1391" s="4" t="s">
        <v>1512</v>
      </c>
      <c r="B1391" s="5" t="s">
        <v>1511</v>
      </c>
      <c r="C1391" s="6" t="s">
        <v>23</v>
      </c>
      <c r="D1391" s="6" t="s">
        <v>24</v>
      </c>
      <c r="E1391" s="7" t="s">
        <v>4446</v>
      </c>
    </row>
    <row r="1392" spans="1:5">
      <c r="A1392" s="4" t="s">
        <v>1514</v>
      </c>
      <c r="B1392" s="5" t="s">
        <v>1513</v>
      </c>
      <c r="C1392" s="6" t="s">
        <v>23</v>
      </c>
      <c r="D1392" s="6" t="s">
        <v>24</v>
      </c>
      <c r="E1392" s="7" t="s">
        <v>4447</v>
      </c>
    </row>
    <row r="1393" spans="1:5">
      <c r="A1393" s="4" t="s">
        <v>1516</v>
      </c>
      <c r="B1393" s="5" t="s">
        <v>1515</v>
      </c>
      <c r="C1393" s="6" t="s">
        <v>23</v>
      </c>
      <c r="D1393" s="6" t="s">
        <v>24</v>
      </c>
      <c r="E1393" s="7" t="s">
        <v>4448</v>
      </c>
    </row>
    <row r="1394" spans="1:5">
      <c r="A1394" s="11" t="s">
        <v>1518</v>
      </c>
      <c r="B1394" s="5" t="s">
        <v>1517</v>
      </c>
      <c r="C1394" s="12" t="s">
        <v>23</v>
      </c>
      <c r="D1394" s="12" t="s">
        <v>24</v>
      </c>
      <c r="E1394" s="7" t="s">
        <v>4450</v>
      </c>
    </row>
    <row r="1395" spans="1:5">
      <c r="A1395" s="11" t="s">
        <v>1520</v>
      </c>
      <c r="B1395" s="5" t="s">
        <v>1519</v>
      </c>
      <c r="C1395" s="12" t="s">
        <v>23</v>
      </c>
      <c r="D1395" s="12" t="s">
        <v>24</v>
      </c>
      <c r="E1395" s="7" t="s">
        <v>4447</v>
      </c>
    </row>
    <row r="1396" spans="1:5">
      <c r="A1396" s="11" t="s">
        <v>1522</v>
      </c>
      <c r="B1396" s="5" t="s">
        <v>1521</v>
      </c>
      <c r="C1396" s="12" t="s">
        <v>23</v>
      </c>
      <c r="D1396" s="12" t="s">
        <v>24</v>
      </c>
      <c r="E1396" s="7" t="s">
        <v>4455</v>
      </c>
    </row>
    <row r="1397" spans="1:5">
      <c r="A1397" s="11" t="s">
        <v>1524</v>
      </c>
      <c r="B1397" s="5" t="s">
        <v>1523</v>
      </c>
      <c r="C1397" s="12" t="s">
        <v>23</v>
      </c>
      <c r="D1397" s="12" t="s">
        <v>24</v>
      </c>
      <c r="E1397" s="7" t="s">
        <v>4457</v>
      </c>
    </row>
    <row r="1398" spans="1:5">
      <c r="A1398" s="4" t="s">
        <v>3181</v>
      </c>
      <c r="B1398" s="5" t="s">
        <v>3951</v>
      </c>
      <c r="C1398" s="6" t="s">
        <v>23</v>
      </c>
      <c r="D1398" s="6" t="s">
        <v>4445</v>
      </c>
      <c r="E1398" s="7" t="s">
        <v>4443</v>
      </c>
    </row>
    <row r="1399" spans="1:5">
      <c r="A1399" s="4" t="s">
        <v>1526</v>
      </c>
      <c r="B1399" s="5" t="s">
        <v>1525</v>
      </c>
      <c r="C1399" s="6" t="s">
        <v>23</v>
      </c>
      <c r="D1399" s="6" t="s">
        <v>24</v>
      </c>
      <c r="E1399" s="7" t="s">
        <v>4447</v>
      </c>
    </row>
    <row r="1400" spans="1:5">
      <c r="A1400" s="4" t="s">
        <v>1528</v>
      </c>
      <c r="B1400" s="5" t="s">
        <v>1527</v>
      </c>
      <c r="C1400" s="6" t="s">
        <v>23</v>
      </c>
      <c r="D1400" s="6" t="s">
        <v>24</v>
      </c>
      <c r="E1400" s="7" t="s">
        <v>4448</v>
      </c>
    </row>
    <row r="1401" spans="1:5">
      <c r="A1401" s="4" t="s">
        <v>1530</v>
      </c>
      <c r="B1401" s="5" t="s">
        <v>1529</v>
      </c>
      <c r="C1401" s="6" t="s">
        <v>23</v>
      </c>
      <c r="D1401" s="6" t="s">
        <v>24</v>
      </c>
      <c r="E1401" s="7" t="s">
        <v>4449</v>
      </c>
    </row>
    <row r="1402" spans="1:5">
      <c r="A1402" s="4" t="s">
        <v>1532</v>
      </c>
      <c r="B1402" s="5" t="s">
        <v>1531</v>
      </c>
      <c r="C1402" s="6" t="s">
        <v>23</v>
      </c>
      <c r="D1402" s="6" t="s">
        <v>24</v>
      </c>
      <c r="E1402" s="7" t="s">
        <v>4448</v>
      </c>
    </row>
    <row r="1403" spans="1:5">
      <c r="A1403" s="4" t="s">
        <v>1534</v>
      </c>
      <c r="B1403" s="5" t="s">
        <v>1533</v>
      </c>
      <c r="C1403" s="12" t="s">
        <v>23</v>
      </c>
      <c r="D1403" s="12" t="s">
        <v>24</v>
      </c>
      <c r="E1403" s="7" t="s">
        <v>4448</v>
      </c>
    </row>
    <row r="1404" spans="1:5">
      <c r="A1404" s="4" t="s">
        <v>1536</v>
      </c>
      <c r="B1404" s="5" t="s">
        <v>1535</v>
      </c>
      <c r="C1404" s="6" t="s">
        <v>23</v>
      </c>
      <c r="D1404" s="6" t="s">
        <v>24</v>
      </c>
      <c r="E1404" s="7" t="s">
        <v>4449</v>
      </c>
    </row>
    <row r="1405" spans="1:5">
      <c r="A1405" s="4" t="s">
        <v>1538</v>
      </c>
      <c r="B1405" s="5" t="s">
        <v>1537</v>
      </c>
      <c r="C1405" s="6" t="s">
        <v>23</v>
      </c>
      <c r="D1405" s="6" t="s">
        <v>24</v>
      </c>
      <c r="E1405" s="7" t="s">
        <v>4450</v>
      </c>
    </row>
    <row r="1406" spans="1:5">
      <c r="A1406" s="4" t="s">
        <v>1540</v>
      </c>
      <c r="B1406" s="5" t="s">
        <v>1539</v>
      </c>
      <c r="C1406" s="6" t="s">
        <v>23</v>
      </c>
      <c r="D1406" s="6" t="s">
        <v>24</v>
      </c>
      <c r="E1406" s="7" t="s">
        <v>4451</v>
      </c>
    </row>
    <row r="1407" spans="1:5">
      <c r="A1407" s="4" t="s">
        <v>1542</v>
      </c>
      <c r="B1407" s="5" t="s">
        <v>1541</v>
      </c>
      <c r="C1407" s="6" t="s">
        <v>23</v>
      </c>
      <c r="D1407" s="6" t="s">
        <v>24</v>
      </c>
      <c r="E1407" s="7" t="s">
        <v>4453</v>
      </c>
    </row>
    <row r="1408" spans="1:5">
      <c r="A1408" s="4" t="s">
        <v>1544</v>
      </c>
      <c r="B1408" s="5" t="s">
        <v>1543</v>
      </c>
      <c r="C1408" s="6" t="s">
        <v>23</v>
      </c>
      <c r="D1408" s="6" t="s">
        <v>24</v>
      </c>
      <c r="E1408" s="7" t="s">
        <v>4447</v>
      </c>
    </row>
    <row r="1409" spans="1:5">
      <c r="A1409" s="4" t="s">
        <v>1546</v>
      </c>
      <c r="B1409" s="5" t="s">
        <v>1545</v>
      </c>
      <c r="C1409" s="6" t="s">
        <v>23</v>
      </c>
      <c r="D1409" s="6" t="s">
        <v>24</v>
      </c>
      <c r="E1409" s="7" t="s">
        <v>4448</v>
      </c>
    </row>
    <row r="1410" spans="1:5">
      <c r="A1410" s="4" t="s">
        <v>1548</v>
      </c>
      <c r="B1410" s="5" t="s">
        <v>1547</v>
      </c>
      <c r="C1410" s="6" t="s">
        <v>23</v>
      </c>
      <c r="D1410" s="6" t="s">
        <v>24</v>
      </c>
      <c r="E1410" s="7" t="s">
        <v>4450</v>
      </c>
    </row>
    <row r="1411" spans="1:5">
      <c r="A1411" s="4" t="s">
        <v>1550</v>
      </c>
      <c r="B1411" s="5" t="s">
        <v>1549</v>
      </c>
      <c r="C1411" s="6" t="s">
        <v>23</v>
      </c>
      <c r="D1411" s="6" t="s">
        <v>24</v>
      </c>
      <c r="E1411" s="7" t="s">
        <v>4451</v>
      </c>
    </row>
    <row r="1412" spans="1:5">
      <c r="A1412" s="4" t="s">
        <v>1552</v>
      </c>
      <c r="B1412" s="8" t="s">
        <v>1551</v>
      </c>
      <c r="C1412" s="6" t="s">
        <v>23</v>
      </c>
      <c r="D1412" s="6" t="s">
        <v>24</v>
      </c>
      <c r="E1412" s="7" t="s">
        <v>4452</v>
      </c>
    </row>
    <row r="1413" spans="1:5">
      <c r="A1413" s="4" t="s">
        <v>1554</v>
      </c>
      <c r="B1413" s="5" t="s">
        <v>1553</v>
      </c>
      <c r="C1413" s="6" t="s">
        <v>23</v>
      </c>
      <c r="D1413" s="6" t="s">
        <v>63</v>
      </c>
      <c r="E1413" s="7" t="s">
        <v>67</v>
      </c>
    </row>
    <row r="1414" spans="1:5">
      <c r="A1414" s="4" t="s">
        <v>1556</v>
      </c>
      <c r="B1414" s="5" t="s">
        <v>1555</v>
      </c>
      <c r="C1414" s="6" t="s">
        <v>23</v>
      </c>
      <c r="D1414" s="6" t="s">
        <v>24</v>
      </c>
      <c r="E1414" s="7" t="s">
        <v>4453</v>
      </c>
    </row>
    <row r="1415" spans="1:5">
      <c r="A1415" s="4" t="s">
        <v>1558</v>
      </c>
      <c r="B1415" s="5" t="s">
        <v>1557</v>
      </c>
      <c r="C1415" s="6" t="s">
        <v>23</v>
      </c>
      <c r="D1415" s="6" t="s">
        <v>24</v>
      </c>
      <c r="E1415" s="7" t="s">
        <v>4451</v>
      </c>
    </row>
    <row r="1416" spans="1:5">
      <c r="A1416" s="4" t="s">
        <v>1560</v>
      </c>
      <c r="B1416" s="5" t="s">
        <v>1559</v>
      </c>
      <c r="C1416" s="6" t="s">
        <v>23</v>
      </c>
      <c r="D1416" s="6" t="s">
        <v>24</v>
      </c>
      <c r="E1416" s="7" t="s">
        <v>4453</v>
      </c>
    </row>
    <row r="1417" spans="1:5">
      <c r="A1417" s="4" t="s">
        <v>1562</v>
      </c>
      <c r="B1417" s="5" t="s">
        <v>1561</v>
      </c>
      <c r="C1417" s="6" t="s">
        <v>23</v>
      </c>
      <c r="D1417" s="6" t="s">
        <v>24</v>
      </c>
      <c r="E1417" s="7" t="s">
        <v>4447</v>
      </c>
    </row>
    <row r="1418" spans="1:5">
      <c r="A1418" s="4" t="s">
        <v>1564</v>
      </c>
      <c r="B1418" s="5" t="s">
        <v>1563</v>
      </c>
      <c r="C1418" s="6" t="s">
        <v>23</v>
      </c>
      <c r="D1418" s="6" t="s">
        <v>24</v>
      </c>
      <c r="E1418" s="7" t="s">
        <v>4450</v>
      </c>
    </row>
    <row r="1419" spans="1:5">
      <c r="A1419" s="4" t="s">
        <v>1566</v>
      </c>
      <c r="B1419" s="5" t="s">
        <v>1565</v>
      </c>
      <c r="C1419" s="6" t="s">
        <v>23</v>
      </c>
      <c r="D1419" s="6" t="s">
        <v>24</v>
      </c>
      <c r="E1419" s="7" t="s">
        <v>4454</v>
      </c>
    </row>
    <row r="1420" spans="1:5">
      <c r="A1420" s="4" t="s">
        <v>1568</v>
      </c>
      <c r="B1420" s="5" t="s">
        <v>1567</v>
      </c>
      <c r="C1420" s="6" t="s">
        <v>23</v>
      </c>
      <c r="D1420" s="6" t="s">
        <v>24</v>
      </c>
      <c r="E1420" s="7" t="s">
        <v>4449</v>
      </c>
    </row>
    <row r="1421" spans="1:5">
      <c r="A1421" s="4" t="s">
        <v>1570</v>
      </c>
      <c r="B1421" s="5" t="s">
        <v>1569</v>
      </c>
      <c r="C1421" s="6" t="s">
        <v>23</v>
      </c>
      <c r="D1421" s="6" t="s">
        <v>24</v>
      </c>
      <c r="E1421" s="7" t="s">
        <v>4447</v>
      </c>
    </row>
    <row r="1422" spans="1:5">
      <c r="A1422" s="4" t="s">
        <v>1572</v>
      </c>
      <c r="B1422" s="5" t="s">
        <v>1571</v>
      </c>
      <c r="C1422" s="6" t="s">
        <v>23</v>
      </c>
      <c r="D1422" s="6" t="s">
        <v>24</v>
      </c>
      <c r="E1422" s="7" t="s">
        <v>4448</v>
      </c>
    </row>
    <row r="1423" spans="1:5">
      <c r="A1423" s="4" t="s">
        <v>1574</v>
      </c>
      <c r="B1423" s="5" t="s">
        <v>1573</v>
      </c>
      <c r="C1423" s="6" t="s">
        <v>23</v>
      </c>
      <c r="D1423" s="6" t="s">
        <v>24</v>
      </c>
      <c r="E1423" s="7" t="s">
        <v>4450</v>
      </c>
    </row>
    <row r="1424" spans="1:5">
      <c r="A1424" s="4" t="s">
        <v>1576</v>
      </c>
      <c r="B1424" s="5" t="s">
        <v>1575</v>
      </c>
      <c r="C1424" s="6" t="s">
        <v>23</v>
      </c>
      <c r="D1424" s="6" t="s">
        <v>24</v>
      </c>
      <c r="E1424" s="7" t="s">
        <v>4451</v>
      </c>
    </row>
    <row r="1425" spans="1:5">
      <c r="A1425" s="4" t="s">
        <v>1578</v>
      </c>
      <c r="B1425" s="5" t="s">
        <v>1577</v>
      </c>
      <c r="C1425" s="6" t="s">
        <v>23</v>
      </c>
      <c r="D1425" s="6" t="s">
        <v>24</v>
      </c>
      <c r="E1425" s="7" t="s">
        <v>4452</v>
      </c>
    </row>
    <row r="1426" spans="1:5">
      <c r="A1426" s="4" t="s">
        <v>3620</v>
      </c>
      <c r="B1426" s="5" t="s">
        <v>4397</v>
      </c>
      <c r="C1426" s="6" t="s">
        <v>23</v>
      </c>
      <c r="D1426" s="6" t="s">
        <v>4445</v>
      </c>
      <c r="E1426" s="7" t="s">
        <v>67</v>
      </c>
    </row>
    <row r="1427" spans="1:5">
      <c r="A1427" s="4" t="s">
        <v>1580</v>
      </c>
      <c r="B1427" s="5" t="s">
        <v>1579</v>
      </c>
      <c r="C1427" s="6" t="s">
        <v>23</v>
      </c>
      <c r="D1427" s="6" t="s">
        <v>24</v>
      </c>
      <c r="E1427" s="7" t="s">
        <v>4447</v>
      </c>
    </row>
    <row r="1428" spans="1:5">
      <c r="A1428" s="4" t="s">
        <v>1582</v>
      </c>
      <c r="B1428" s="5" t="s">
        <v>1581</v>
      </c>
      <c r="C1428" s="6" t="s">
        <v>23</v>
      </c>
      <c r="D1428" s="6" t="s">
        <v>320</v>
      </c>
      <c r="E1428" s="7" t="s">
        <v>4444</v>
      </c>
    </row>
    <row r="1429" spans="1:5">
      <c r="A1429" s="4" t="s">
        <v>1584</v>
      </c>
      <c r="B1429" s="5" t="s">
        <v>1583</v>
      </c>
      <c r="C1429" s="6" t="s">
        <v>23</v>
      </c>
      <c r="D1429" s="6" t="s">
        <v>320</v>
      </c>
      <c r="E1429" s="7" t="s">
        <v>4444</v>
      </c>
    </row>
    <row r="1430" spans="1:5">
      <c r="A1430" s="11" t="s">
        <v>1586</v>
      </c>
      <c r="B1430" s="5" t="s">
        <v>1585</v>
      </c>
      <c r="C1430" s="12" t="s">
        <v>23</v>
      </c>
      <c r="D1430" s="12" t="s">
        <v>320</v>
      </c>
      <c r="E1430" s="9" t="s">
        <v>4444</v>
      </c>
    </row>
    <row r="1431" spans="1:5">
      <c r="A1431" s="4" t="s">
        <v>1588</v>
      </c>
      <c r="B1431" s="5" t="s">
        <v>1587</v>
      </c>
      <c r="C1431" s="6" t="s">
        <v>23</v>
      </c>
      <c r="D1431" s="6" t="s">
        <v>320</v>
      </c>
      <c r="E1431" s="7" t="s">
        <v>4444</v>
      </c>
    </row>
    <row r="1432" spans="1:5">
      <c r="A1432" s="4" t="s">
        <v>1590</v>
      </c>
      <c r="B1432" s="5" t="s">
        <v>1589</v>
      </c>
      <c r="C1432" s="6" t="s">
        <v>23</v>
      </c>
      <c r="D1432" s="6" t="s">
        <v>24</v>
      </c>
      <c r="E1432" s="7" t="s">
        <v>4454</v>
      </c>
    </row>
    <row r="1433" spans="1:5">
      <c r="A1433" s="4" t="s">
        <v>1592</v>
      </c>
      <c r="B1433" s="5" t="s">
        <v>1591</v>
      </c>
      <c r="C1433" s="6" t="s">
        <v>23</v>
      </c>
      <c r="D1433" s="6" t="s">
        <v>24</v>
      </c>
      <c r="E1433" s="7" t="s">
        <v>4452</v>
      </c>
    </row>
    <row r="1434" spans="1:5">
      <c r="A1434" s="11" t="s">
        <v>1594</v>
      </c>
      <c r="B1434" s="5" t="s">
        <v>1593</v>
      </c>
      <c r="C1434" s="12" t="s">
        <v>23</v>
      </c>
      <c r="D1434" s="12" t="s">
        <v>24</v>
      </c>
      <c r="E1434" s="7" t="s">
        <v>4456</v>
      </c>
    </row>
    <row r="1435" spans="1:5">
      <c r="A1435" s="4" t="s">
        <v>1596</v>
      </c>
      <c r="B1435" s="5" t="s">
        <v>1595</v>
      </c>
      <c r="C1435" s="6" t="s">
        <v>23</v>
      </c>
      <c r="D1435" s="6" t="s">
        <v>24</v>
      </c>
      <c r="E1435" s="7" t="s">
        <v>4450</v>
      </c>
    </row>
    <row r="1436" spans="1:5">
      <c r="A1436" s="4" t="s">
        <v>1598</v>
      </c>
      <c r="B1436" s="5" t="s">
        <v>1597</v>
      </c>
      <c r="C1436" s="6" t="s">
        <v>23</v>
      </c>
      <c r="D1436" s="6" t="s">
        <v>24</v>
      </c>
      <c r="E1436" s="7" t="s">
        <v>4449</v>
      </c>
    </row>
    <row r="1437" spans="1:5">
      <c r="A1437" s="4" t="s">
        <v>1600</v>
      </c>
      <c r="B1437" s="5" t="s">
        <v>1599</v>
      </c>
      <c r="C1437" s="6" t="s">
        <v>23</v>
      </c>
      <c r="D1437" s="6" t="s">
        <v>24</v>
      </c>
      <c r="E1437" s="7" t="s">
        <v>4450</v>
      </c>
    </row>
    <row r="1438" spans="1:5">
      <c r="A1438" s="4" t="s">
        <v>1602</v>
      </c>
      <c r="B1438" s="5" t="s">
        <v>1601</v>
      </c>
      <c r="C1438" s="6" t="s">
        <v>23</v>
      </c>
      <c r="D1438" s="6" t="s">
        <v>320</v>
      </c>
      <c r="E1438" s="7" t="s">
        <v>4444</v>
      </c>
    </row>
    <row r="1439" spans="1:5">
      <c r="A1439" s="4" t="s">
        <v>1604</v>
      </c>
      <c r="B1439" s="5" t="s">
        <v>1603</v>
      </c>
      <c r="C1439" s="6" t="s">
        <v>23</v>
      </c>
      <c r="D1439" s="6" t="s">
        <v>320</v>
      </c>
      <c r="E1439" s="7" t="s">
        <v>4444</v>
      </c>
    </row>
    <row r="1440" spans="1:5">
      <c r="A1440" s="4" t="s">
        <v>1606</v>
      </c>
      <c r="B1440" s="5" t="s">
        <v>1605</v>
      </c>
      <c r="C1440" s="6" t="s">
        <v>23</v>
      </c>
      <c r="D1440" s="6" t="s">
        <v>24</v>
      </c>
      <c r="E1440" s="7" t="s">
        <v>4451</v>
      </c>
    </row>
    <row r="1441" spans="1:5">
      <c r="A1441" s="4" t="s">
        <v>1608</v>
      </c>
      <c r="B1441" s="5" t="s">
        <v>1607</v>
      </c>
      <c r="C1441" s="6" t="s">
        <v>23</v>
      </c>
      <c r="D1441" s="6" t="s">
        <v>24</v>
      </c>
      <c r="E1441" s="7" t="s">
        <v>4447</v>
      </c>
    </row>
    <row r="1442" spans="1:5">
      <c r="A1442" s="4" t="s">
        <v>1610</v>
      </c>
      <c r="B1442" s="5" t="s">
        <v>1609</v>
      </c>
      <c r="C1442" s="6" t="s">
        <v>23</v>
      </c>
      <c r="D1442" s="6" t="s">
        <v>24</v>
      </c>
      <c r="E1442" s="7" t="s">
        <v>4447</v>
      </c>
    </row>
    <row r="1443" spans="1:5">
      <c r="A1443" s="4" t="s">
        <v>1612</v>
      </c>
      <c r="B1443" s="5" t="s">
        <v>1611</v>
      </c>
      <c r="C1443" s="6" t="s">
        <v>23</v>
      </c>
      <c r="D1443" s="6" t="s">
        <v>24</v>
      </c>
      <c r="E1443" s="7" t="s">
        <v>4448</v>
      </c>
    </row>
    <row r="1444" spans="1:5">
      <c r="A1444" s="4" t="s">
        <v>1614</v>
      </c>
      <c r="B1444" s="5" t="s">
        <v>1613</v>
      </c>
      <c r="C1444" s="6" t="s">
        <v>23</v>
      </c>
      <c r="D1444" s="6" t="s">
        <v>24</v>
      </c>
      <c r="E1444" s="7" t="s">
        <v>4450</v>
      </c>
    </row>
    <row r="1445" spans="1:5">
      <c r="A1445" s="69" t="s">
        <v>1616</v>
      </c>
      <c r="B1445" s="70" t="s">
        <v>1615</v>
      </c>
      <c r="C1445" s="71" t="s">
        <v>23</v>
      </c>
      <c r="D1445" s="71" t="s">
        <v>320</v>
      </c>
      <c r="E1445" s="72" t="s">
        <v>4444</v>
      </c>
    </row>
    <row r="1446" spans="1:5">
      <c r="A1446" s="4" t="s">
        <v>1618</v>
      </c>
      <c r="B1446" s="5" t="s">
        <v>1617</v>
      </c>
      <c r="C1446" s="6" t="s">
        <v>23</v>
      </c>
      <c r="D1446" s="6" t="s">
        <v>24</v>
      </c>
      <c r="E1446" s="7" t="s">
        <v>4457</v>
      </c>
    </row>
    <row r="1447" spans="1:5">
      <c r="A1447" s="4" t="s">
        <v>1620</v>
      </c>
      <c r="B1447" s="5" t="s">
        <v>1619</v>
      </c>
      <c r="C1447" s="6" t="s">
        <v>23</v>
      </c>
      <c r="D1447" s="6" t="s">
        <v>24</v>
      </c>
      <c r="E1447" s="7" t="s">
        <v>4455</v>
      </c>
    </row>
    <row r="1448" spans="1:5">
      <c r="A1448" s="4" t="s">
        <v>1622</v>
      </c>
      <c r="B1448" s="5" t="s">
        <v>1621</v>
      </c>
      <c r="C1448" s="6" t="s">
        <v>23</v>
      </c>
      <c r="D1448" s="6" t="s">
        <v>24</v>
      </c>
      <c r="E1448" s="7" t="s">
        <v>4449</v>
      </c>
    </row>
    <row r="1449" spans="1:5">
      <c r="A1449" s="4" t="s">
        <v>1624</v>
      </c>
      <c r="B1449" s="5" t="s">
        <v>1623</v>
      </c>
      <c r="C1449" s="6" t="s">
        <v>23</v>
      </c>
      <c r="D1449" s="6" t="s">
        <v>63</v>
      </c>
      <c r="E1449" s="7" t="s">
        <v>98</v>
      </c>
    </row>
    <row r="1450" spans="1:5">
      <c r="A1450" s="4" t="s">
        <v>1626</v>
      </c>
      <c r="B1450" s="5" t="s">
        <v>1625</v>
      </c>
      <c r="C1450" s="6" t="s">
        <v>23</v>
      </c>
      <c r="D1450" s="6" t="s">
        <v>24</v>
      </c>
      <c r="E1450" s="7" t="s">
        <v>4447</v>
      </c>
    </row>
    <row r="1451" spans="1:5">
      <c r="A1451" s="4" t="s">
        <v>1628</v>
      </c>
      <c r="B1451" s="5" t="s">
        <v>1627</v>
      </c>
      <c r="C1451" s="6" t="s">
        <v>23</v>
      </c>
      <c r="D1451" s="6" t="s">
        <v>63</v>
      </c>
      <c r="E1451" s="7" t="s">
        <v>67</v>
      </c>
    </row>
    <row r="1452" spans="1:5">
      <c r="A1452" s="4" t="s">
        <v>4475</v>
      </c>
      <c r="B1452" s="5" t="s">
        <v>4540</v>
      </c>
      <c r="C1452" s="6" t="s">
        <v>23</v>
      </c>
      <c r="D1452" s="6" t="s">
        <v>320</v>
      </c>
      <c r="E1452" s="7" t="s">
        <v>4444</v>
      </c>
    </row>
    <row r="1453" spans="1:5">
      <c r="A1453" s="4" t="s">
        <v>1630</v>
      </c>
      <c r="B1453" s="5" t="s">
        <v>1629</v>
      </c>
      <c r="C1453" s="6" t="s">
        <v>23</v>
      </c>
      <c r="D1453" s="6" t="s">
        <v>320</v>
      </c>
      <c r="E1453" s="7" t="s">
        <v>4444</v>
      </c>
    </row>
    <row r="1454" spans="1:5">
      <c r="A1454" s="4" t="s">
        <v>1632</v>
      </c>
      <c r="B1454" s="5" t="s">
        <v>1631</v>
      </c>
      <c r="C1454" s="6" t="s">
        <v>23</v>
      </c>
      <c r="D1454" s="6" t="s">
        <v>24</v>
      </c>
      <c r="E1454" s="7" t="s">
        <v>4451</v>
      </c>
    </row>
    <row r="1455" spans="1:5">
      <c r="A1455" s="4" t="s">
        <v>1634</v>
      </c>
      <c r="B1455" s="5" t="s">
        <v>1633</v>
      </c>
      <c r="C1455" s="6" t="s">
        <v>23</v>
      </c>
      <c r="D1455" s="6" t="s">
        <v>24</v>
      </c>
      <c r="E1455" s="7" t="s">
        <v>4455</v>
      </c>
    </row>
    <row r="1456" spans="1:5">
      <c r="A1456" s="4" t="s">
        <v>1636</v>
      </c>
      <c r="B1456" s="5" t="s">
        <v>1635</v>
      </c>
      <c r="C1456" s="6" t="s">
        <v>23</v>
      </c>
      <c r="D1456" s="6" t="s">
        <v>320</v>
      </c>
      <c r="E1456" s="7" t="s">
        <v>4444</v>
      </c>
    </row>
    <row r="1457" spans="1:5">
      <c r="A1457" s="4" t="s">
        <v>1638</v>
      </c>
      <c r="B1457" s="5" t="s">
        <v>1637</v>
      </c>
      <c r="C1457" s="6" t="s">
        <v>23</v>
      </c>
      <c r="D1457" s="6" t="s">
        <v>24</v>
      </c>
      <c r="E1457" s="7" t="s">
        <v>4454</v>
      </c>
    </row>
    <row r="1458" spans="1:5">
      <c r="A1458" s="4" t="s">
        <v>1640</v>
      </c>
      <c r="B1458" s="5" t="s">
        <v>1639</v>
      </c>
      <c r="C1458" s="6" t="s">
        <v>23</v>
      </c>
      <c r="D1458" s="6" t="s">
        <v>63</v>
      </c>
      <c r="E1458" s="7" t="s">
        <v>67</v>
      </c>
    </row>
    <row r="1459" spans="1:5">
      <c r="A1459" s="4" t="s">
        <v>1642</v>
      </c>
      <c r="B1459" s="5" t="s">
        <v>1641</v>
      </c>
      <c r="C1459" s="6" t="s">
        <v>23</v>
      </c>
      <c r="D1459" s="6" t="s">
        <v>63</v>
      </c>
      <c r="E1459" s="7" t="s">
        <v>98</v>
      </c>
    </row>
    <row r="1460" spans="1:5">
      <c r="A1460" s="4" t="s">
        <v>1644</v>
      </c>
      <c r="B1460" s="5" t="s">
        <v>1643</v>
      </c>
      <c r="C1460" s="6" t="s">
        <v>23</v>
      </c>
      <c r="D1460" s="6" t="s">
        <v>63</v>
      </c>
      <c r="E1460" s="7" t="s">
        <v>67</v>
      </c>
    </row>
    <row r="1461" spans="1:5">
      <c r="A1461" s="4" t="s">
        <v>1646</v>
      </c>
      <c r="B1461" s="5" t="s">
        <v>1645</v>
      </c>
      <c r="C1461" s="6" t="s">
        <v>23</v>
      </c>
      <c r="D1461" s="6" t="s">
        <v>24</v>
      </c>
      <c r="E1461" s="7" t="s">
        <v>4446</v>
      </c>
    </row>
    <row r="1462" spans="1:5">
      <c r="A1462" s="4" t="s">
        <v>3617</v>
      </c>
      <c r="B1462" s="5" t="s">
        <v>4394</v>
      </c>
      <c r="C1462" s="6" t="s">
        <v>23</v>
      </c>
      <c r="D1462" s="6" t="s">
        <v>24</v>
      </c>
      <c r="E1462" s="7" t="s">
        <v>4447</v>
      </c>
    </row>
    <row r="1463" spans="1:5">
      <c r="A1463" s="4" t="s">
        <v>3619</v>
      </c>
      <c r="B1463" s="5" t="s">
        <v>4396</v>
      </c>
      <c r="C1463" s="6" t="s">
        <v>23</v>
      </c>
      <c r="D1463" s="6" t="s">
        <v>24</v>
      </c>
      <c r="E1463" s="7" t="s">
        <v>4447</v>
      </c>
    </row>
    <row r="1464" spans="1:5">
      <c r="A1464" s="4" t="s">
        <v>3307</v>
      </c>
      <c r="B1464" s="5" t="s">
        <v>4080</v>
      </c>
      <c r="C1464" s="6" t="s">
        <v>23</v>
      </c>
      <c r="D1464" s="6" t="s">
        <v>63</v>
      </c>
      <c r="E1464" s="7" t="s">
        <v>98</v>
      </c>
    </row>
    <row r="1465" spans="1:5">
      <c r="A1465" s="4" t="s">
        <v>1648</v>
      </c>
      <c r="B1465" s="5" t="s">
        <v>1647</v>
      </c>
      <c r="C1465" s="6" t="s">
        <v>23</v>
      </c>
      <c r="D1465" s="6" t="s">
        <v>24</v>
      </c>
      <c r="E1465" s="7" t="s">
        <v>4446</v>
      </c>
    </row>
    <row r="1466" spans="1:5">
      <c r="A1466" s="4" t="s">
        <v>1650</v>
      </c>
      <c r="B1466" s="5" t="s">
        <v>1649</v>
      </c>
      <c r="C1466" s="6" t="s">
        <v>23</v>
      </c>
      <c r="D1466" s="6" t="s">
        <v>63</v>
      </c>
      <c r="E1466" s="7" t="s">
        <v>64</v>
      </c>
    </row>
    <row r="1467" spans="1:5">
      <c r="A1467" s="4" t="s">
        <v>1652</v>
      </c>
      <c r="B1467" s="5" t="s">
        <v>1651</v>
      </c>
      <c r="C1467" s="6" t="s">
        <v>23</v>
      </c>
      <c r="D1467" s="6" t="s">
        <v>24</v>
      </c>
      <c r="E1467" s="7" t="s">
        <v>4446</v>
      </c>
    </row>
    <row r="1468" spans="1:5">
      <c r="A1468" s="4" t="s">
        <v>1654</v>
      </c>
      <c r="B1468" s="5" t="s">
        <v>1653</v>
      </c>
      <c r="C1468" s="6" t="s">
        <v>23</v>
      </c>
      <c r="D1468" s="6" t="s">
        <v>24</v>
      </c>
      <c r="E1468" s="7" t="s">
        <v>4447</v>
      </c>
    </row>
    <row r="1469" spans="1:5">
      <c r="A1469" s="4" t="s">
        <v>1656</v>
      </c>
      <c r="B1469" s="5" t="s">
        <v>1655</v>
      </c>
      <c r="C1469" s="6" t="s">
        <v>23</v>
      </c>
      <c r="D1469" s="6" t="s">
        <v>24</v>
      </c>
      <c r="E1469" s="7" t="s">
        <v>4448</v>
      </c>
    </row>
    <row r="1470" spans="1:5">
      <c r="A1470" s="4" t="s">
        <v>1658</v>
      </c>
      <c r="B1470" s="5" t="s">
        <v>1657</v>
      </c>
      <c r="C1470" s="6" t="s">
        <v>23</v>
      </c>
      <c r="D1470" s="6" t="s">
        <v>24</v>
      </c>
      <c r="E1470" s="7" t="s">
        <v>4446</v>
      </c>
    </row>
    <row r="1471" spans="1:5">
      <c r="A1471" s="11" t="s">
        <v>1660</v>
      </c>
      <c r="B1471" s="5" t="s">
        <v>1659</v>
      </c>
      <c r="C1471" s="12" t="s">
        <v>23</v>
      </c>
      <c r="D1471" s="12" t="s">
        <v>24</v>
      </c>
      <c r="E1471" s="7" t="s">
        <v>4447</v>
      </c>
    </row>
    <row r="1472" spans="1:5">
      <c r="A1472" s="11" t="s">
        <v>1662</v>
      </c>
      <c r="B1472" s="5" t="s">
        <v>1661</v>
      </c>
      <c r="C1472" s="12" t="s">
        <v>23</v>
      </c>
      <c r="D1472" s="12" t="s">
        <v>24</v>
      </c>
      <c r="E1472" s="7" t="s">
        <v>4455</v>
      </c>
    </row>
    <row r="1473" spans="1:5">
      <c r="A1473" s="11" t="s">
        <v>1664</v>
      </c>
      <c r="B1473" s="5" t="s">
        <v>1663</v>
      </c>
      <c r="C1473" s="12" t="s">
        <v>23</v>
      </c>
      <c r="D1473" s="12" t="s">
        <v>24</v>
      </c>
      <c r="E1473" s="7" t="s">
        <v>4449</v>
      </c>
    </row>
    <row r="1474" spans="1:5">
      <c r="A1474" s="11" t="s">
        <v>1666</v>
      </c>
      <c r="B1474" s="5" t="s">
        <v>1665</v>
      </c>
      <c r="C1474" s="12" t="s">
        <v>23</v>
      </c>
      <c r="D1474" s="12" t="s">
        <v>63</v>
      </c>
      <c r="E1474" s="7" t="s">
        <v>67</v>
      </c>
    </row>
    <row r="1475" spans="1:5">
      <c r="A1475" s="11" t="s">
        <v>1668</v>
      </c>
      <c r="B1475" s="5" t="s">
        <v>1667</v>
      </c>
      <c r="C1475" s="12" t="s">
        <v>23</v>
      </c>
      <c r="D1475" s="12" t="s">
        <v>63</v>
      </c>
      <c r="E1475" s="7" t="s">
        <v>287</v>
      </c>
    </row>
    <row r="1476" spans="1:5">
      <c r="A1476" s="4" t="s">
        <v>3562</v>
      </c>
      <c r="B1476" s="5" t="s">
        <v>4337</v>
      </c>
      <c r="C1476" s="6" t="s">
        <v>23</v>
      </c>
      <c r="D1476" s="6" t="s">
        <v>4445</v>
      </c>
      <c r="E1476" s="7" t="s">
        <v>4443</v>
      </c>
    </row>
    <row r="1477" spans="1:5">
      <c r="A1477" s="4" t="s">
        <v>3476</v>
      </c>
      <c r="B1477" s="5" t="s">
        <v>4250</v>
      </c>
      <c r="C1477" s="12" t="s">
        <v>23</v>
      </c>
      <c r="D1477" s="12" t="s">
        <v>4445</v>
      </c>
      <c r="E1477" s="7" t="s">
        <v>4443</v>
      </c>
    </row>
    <row r="1478" spans="1:5">
      <c r="A1478" s="4" t="s">
        <v>3331</v>
      </c>
      <c r="B1478" s="5" t="s">
        <v>4101</v>
      </c>
      <c r="C1478" s="6" t="s">
        <v>23</v>
      </c>
      <c r="D1478" s="6" t="s">
        <v>4445</v>
      </c>
      <c r="E1478" s="7" t="s">
        <v>4443</v>
      </c>
    </row>
    <row r="1479" spans="1:5">
      <c r="A1479" s="4" t="s">
        <v>3477</v>
      </c>
      <c r="B1479" s="5" t="s">
        <v>4251</v>
      </c>
      <c r="C1479" s="6" t="s">
        <v>23</v>
      </c>
      <c r="D1479" s="6" t="s">
        <v>4445</v>
      </c>
      <c r="E1479" s="7" t="s">
        <v>4443</v>
      </c>
    </row>
    <row r="1480" spans="1:5">
      <c r="A1480" s="4" t="s">
        <v>3478</v>
      </c>
      <c r="B1480" s="5" t="s">
        <v>4252</v>
      </c>
      <c r="C1480" s="6" t="s">
        <v>23</v>
      </c>
      <c r="D1480" s="6" t="s">
        <v>4445</v>
      </c>
      <c r="E1480" s="7" t="s">
        <v>4443</v>
      </c>
    </row>
    <row r="1481" spans="1:5">
      <c r="A1481" s="4" t="s">
        <v>3479</v>
      </c>
      <c r="B1481" s="5" t="s">
        <v>4253</v>
      </c>
      <c r="C1481" s="6" t="s">
        <v>23</v>
      </c>
      <c r="D1481" s="6" t="s">
        <v>4445</v>
      </c>
      <c r="E1481" s="7" t="s">
        <v>4443</v>
      </c>
    </row>
    <row r="1482" spans="1:5">
      <c r="A1482" s="4" t="s">
        <v>3480</v>
      </c>
      <c r="B1482" s="5" t="s">
        <v>4254</v>
      </c>
      <c r="C1482" s="6" t="s">
        <v>23</v>
      </c>
      <c r="D1482" s="6" t="s">
        <v>4445</v>
      </c>
      <c r="E1482" s="7" t="s">
        <v>4443</v>
      </c>
    </row>
    <row r="1483" spans="1:5">
      <c r="A1483" s="4" t="s">
        <v>3481</v>
      </c>
      <c r="B1483" s="5" t="s">
        <v>4255</v>
      </c>
      <c r="C1483" s="6" t="s">
        <v>23</v>
      </c>
      <c r="D1483" s="6" t="s">
        <v>4445</v>
      </c>
      <c r="E1483" s="7" t="s">
        <v>4443</v>
      </c>
    </row>
    <row r="1484" spans="1:5">
      <c r="A1484" s="4" t="s">
        <v>3571</v>
      </c>
      <c r="B1484" s="5" t="s">
        <v>4347</v>
      </c>
      <c r="C1484" s="6" t="s">
        <v>23</v>
      </c>
      <c r="D1484" s="6" t="s">
        <v>4445</v>
      </c>
      <c r="E1484" s="7" t="s">
        <v>4443</v>
      </c>
    </row>
    <row r="1485" spans="1:5">
      <c r="A1485" s="4" t="s">
        <v>3329</v>
      </c>
      <c r="B1485" s="5" t="s">
        <v>4099</v>
      </c>
      <c r="C1485" s="6" t="s">
        <v>23</v>
      </c>
      <c r="D1485" s="6" t="s">
        <v>4445</v>
      </c>
      <c r="E1485" s="7" t="s">
        <v>4443</v>
      </c>
    </row>
    <row r="1486" spans="1:5">
      <c r="A1486" s="4" t="s">
        <v>3300</v>
      </c>
      <c r="B1486" s="5" t="s">
        <v>4071</v>
      </c>
      <c r="C1486" s="6" t="s">
        <v>23</v>
      </c>
      <c r="D1486" s="6" t="s">
        <v>63</v>
      </c>
      <c r="E1486" s="7" t="s">
        <v>98</v>
      </c>
    </row>
    <row r="1487" spans="1:5">
      <c r="A1487" s="4" t="s">
        <v>1670</v>
      </c>
      <c r="B1487" s="5" t="s">
        <v>1669</v>
      </c>
      <c r="C1487" s="6" t="s">
        <v>23</v>
      </c>
      <c r="D1487" s="6" t="s">
        <v>63</v>
      </c>
      <c r="E1487" s="7" t="s">
        <v>67</v>
      </c>
    </row>
    <row r="1488" spans="1:5">
      <c r="A1488" s="4" t="s">
        <v>1672</v>
      </c>
      <c r="B1488" s="5" t="s">
        <v>1671</v>
      </c>
      <c r="C1488" s="6" t="s">
        <v>23</v>
      </c>
      <c r="D1488" s="6" t="s">
        <v>63</v>
      </c>
      <c r="E1488" s="7" t="s">
        <v>287</v>
      </c>
    </row>
    <row r="1489" spans="1:5">
      <c r="A1489" s="4" t="s">
        <v>1674</v>
      </c>
      <c r="B1489" s="5" t="s">
        <v>1673</v>
      </c>
      <c r="C1489" s="6" t="s">
        <v>23</v>
      </c>
      <c r="D1489" s="6" t="s">
        <v>63</v>
      </c>
      <c r="E1489" s="7" t="s">
        <v>98</v>
      </c>
    </row>
    <row r="1490" spans="1:5">
      <c r="A1490" s="4" t="s">
        <v>1676</v>
      </c>
      <c r="B1490" s="5" t="s">
        <v>1675</v>
      </c>
      <c r="C1490" s="6" t="s">
        <v>23</v>
      </c>
      <c r="D1490" s="6" t="s">
        <v>24</v>
      </c>
      <c r="E1490" s="7" t="s">
        <v>4446</v>
      </c>
    </row>
    <row r="1491" spans="1:5">
      <c r="A1491" s="4" t="s">
        <v>1678</v>
      </c>
      <c r="B1491" s="5" t="s">
        <v>1677</v>
      </c>
      <c r="C1491" s="6" t="s">
        <v>23</v>
      </c>
      <c r="D1491" s="6" t="s">
        <v>24</v>
      </c>
      <c r="E1491" s="7" t="s">
        <v>4446</v>
      </c>
    </row>
    <row r="1492" spans="1:5">
      <c r="A1492" s="4" t="s">
        <v>1680</v>
      </c>
      <c r="B1492" s="5" t="s">
        <v>1679</v>
      </c>
      <c r="C1492" s="6" t="s">
        <v>23</v>
      </c>
      <c r="D1492" s="6" t="s">
        <v>24</v>
      </c>
      <c r="E1492" s="7" t="s">
        <v>4447</v>
      </c>
    </row>
    <row r="1493" spans="1:5">
      <c r="A1493" s="4" t="s">
        <v>1682</v>
      </c>
      <c r="B1493" s="5" t="s">
        <v>1681</v>
      </c>
      <c r="C1493" s="6" t="s">
        <v>23</v>
      </c>
      <c r="D1493" s="6" t="s">
        <v>24</v>
      </c>
      <c r="E1493" s="7" t="s">
        <v>4448</v>
      </c>
    </row>
    <row r="1494" spans="1:5">
      <c r="A1494" s="4" t="s">
        <v>1684</v>
      </c>
      <c r="B1494" s="5" t="s">
        <v>1683</v>
      </c>
      <c r="C1494" s="6" t="s">
        <v>23</v>
      </c>
      <c r="D1494" s="6" t="s">
        <v>561</v>
      </c>
      <c r="E1494" s="7" t="s">
        <v>4443</v>
      </c>
    </row>
    <row r="1495" spans="1:5">
      <c r="A1495" s="4" t="s">
        <v>4541</v>
      </c>
      <c r="B1495" s="5" t="s">
        <v>4542</v>
      </c>
      <c r="C1495" s="6" t="s">
        <v>23</v>
      </c>
      <c r="D1495" s="6" t="s">
        <v>63</v>
      </c>
      <c r="E1495" s="7" t="s">
        <v>67</v>
      </c>
    </row>
    <row r="1496" spans="1:5">
      <c r="A1496" s="4" t="s">
        <v>1686</v>
      </c>
      <c r="B1496" s="5" t="s">
        <v>1685</v>
      </c>
      <c r="C1496" s="6" t="s">
        <v>23</v>
      </c>
      <c r="D1496" s="6" t="s">
        <v>24</v>
      </c>
      <c r="E1496" s="7" t="s">
        <v>4448</v>
      </c>
    </row>
    <row r="1497" spans="1:5">
      <c r="A1497" s="4" t="s">
        <v>1688</v>
      </c>
      <c r="B1497" s="5" t="s">
        <v>1687</v>
      </c>
      <c r="C1497" s="6" t="s">
        <v>23</v>
      </c>
      <c r="D1497" s="6" t="s">
        <v>24</v>
      </c>
      <c r="E1497" s="7" t="s">
        <v>4450</v>
      </c>
    </row>
    <row r="1498" spans="1:5">
      <c r="A1498" s="4" t="s">
        <v>1690</v>
      </c>
      <c r="B1498" s="5" t="s">
        <v>1689</v>
      </c>
      <c r="C1498" s="6" t="s">
        <v>23</v>
      </c>
      <c r="D1498" s="6" t="s">
        <v>24</v>
      </c>
      <c r="E1498" s="7" t="s">
        <v>4454</v>
      </c>
    </row>
    <row r="1499" spans="1:5">
      <c r="A1499" s="4" t="s">
        <v>1692</v>
      </c>
      <c r="B1499" s="5" t="s">
        <v>1691</v>
      </c>
      <c r="C1499" s="6" t="s">
        <v>23</v>
      </c>
      <c r="D1499" s="6" t="s">
        <v>24</v>
      </c>
      <c r="E1499" s="7" t="s">
        <v>4451</v>
      </c>
    </row>
    <row r="1500" spans="1:5">
      <c r="A1500" s="4" t="s">
        <v>1694</v>
      </c>
      <c r="B1500" s="5" t="s">
        <v>1693</v>
      </c>
      <c r="C1500" s="6" t="s">
        <v>23</v>
      </c>
      <c r="D1500" s="6" t="s">
        <v>24</v>
      </c>
      <c r="E1500" s="7" t="s">
        <v>4452</v>
      </c>
    </row>
    <row r="1501" spans="1:5">
      <c r="A1501" s="4" t="s">
        <v>1696</v>
      </c>
      <c r="B1501" s="5" t="s">
        <v>1695</v>
      </c>
      <c r="C1501" s="6" t="s">
        <v>23</v>
      </c>
      <c r="D1501" s="6" t="s">
        <v>24</v>
      </c>
      <c r="E1501" s="7" t="s">
        <v>4453</v>
      </c>
    </row>
    <row r="1502" spans="1:5">
      <c r="A1502" s="4" t="s">
        <v>1698</v>
      </c>
      <c r="B1502" s="5" t="s">
        <v>1697</v>
      </c>
      <c r="C1502" s="6" t="s">
        <v>23</v>
      </c>
      <c r="D1502" s="6" t="s">
        <v>24</v>
      </c>
      <c r="E1502" s="7" t="s">
        <v>4454</v>
      </c>
    </row>
    <row r="1503" spans="1:5">
      <c r="A1503" s="4" t="s">
        <v>1700</v>
      </c>
      <c r="B1503" s="5" t="s">
        <v>1699</v>
      </c>
      <c r="C1503" s="6" t="s">
        <v>23</v>
      </c>
      <c r="D1503" s="6" t="s">
        <v>24</v>
      </c>
      <c r="E1503" s="7" t="s">
        <v>4451</v>
      </c>
    </row>
    <row r="1504" spans="1:5">
      <c r="A1504" s="4" t="s">
        <v>1702</v>
      </c>
      <c r="B1504" s="5" t="s">
        <v>1701</v>
      </c>
      <c r="C1504" s="6" t="s">
        <v>23</v>
      </c>
      <c r="D1504" s="6" t="s">
        <v>24</v>
      </c>
      <c r="E1504" s="7" t="s">
        <v>4452</v>
      </c>
    </row>
    <row r="1505" spans="1:5">
      <c r="A1505" s="4" t="s">
        <v>1704</v>
      </c>
      <c r="B1505" s="5" t="s">
        <v>1703</v>
      </c>
      <c r="C1505" s="6" t="s">
        <v>23</v>
      </c>
      <c r="D1505" s="6" t="s">
        <v>24</v>
      </c>
      <c r="E1505" s="7" t="s">
        <v>4453</v>
      </c>
    </row>
    <row r="1506" spans="1:5">
      <c r="A1506" s="4" t="s">
        <v>1706</v>
      </c>
      <c r="B1506" s="5" t="s">
        <v>1705</v>
      </c>
      <c r="C1506" s="6" t="s">
        <v>23</v>
      </c>
      <c r="D1506" s="6" t="s">
        <v>24</v>
      </c>
      <c r="E1506" s="7" t="s">
        <v>4448</v>
      </c>
    </row>
    <row r="1507" spans="1:5">
      <c r="A1507" s="4" t="s">
        <v>1708</v>
      </c>
      <c r="B1507" s="5" t="s">
        <v>1707</v>
      </c>
      <c r="C1507" s="6" t="s">
        <v>23</v>
      </c>
      <c r="D1507" s="6" t="s">
        <v>24</v>
      </c>
      <c r="E1507" s="7" t="s">
        <v>4450</v>
      </c>
    </row>
    <row r="1508" spans="1:5">
      <c r="A1508" s="4" t="s">
        <v>1710</v>
      </c>
      <c r="B1508" s="5" t="s">
        <v>1709</v>
      </c>
      <c r="C1508" s="6" t="s">
        <v>23</v>
      </c>
      <c r="D1508" s="6" t="s">
        <v>24</v>
      </c>
      <c r="E1508" s="7" t="s">
        <v>4455</v>
      </c>
    </row>
    <row r="1509" spans="1:5">
      <c r="A1509" s="4" t="s">
        <v>1712</v>
      </c>
      <c r="B1509" s="5" t="s">
        <v>1711</v>
      </c>
      <c r="C1509" s="6" t="s">
        <v>23</v>
      </c>
      <c r="D1509" s="6" t="s">
        <v>24</v>
      </c>
      <c r="E1509" s="7" t="s">
        <v>4449</v>
      </c>
    </row>
    <row r="1510" spans="1:5">
      <c r="A1510" s="4" t="s">
        <v>1714</v>
      </c>
      <c r="B1510" s="5" t="s">
        <v>1713</v>
      </c>
      <c r="C1510" s="6" t="s">
        <v>23</v>
      </c>
      <c r="D1510" s="6" t="s">
        <v>24</v>
      </c>
      <c r="E1510" s="7" t="s">
        <v>4447</v>
      </c>
    </row>
    <row r="1511" spans="1:5">
      <c r="A1511" s="4" t="s">
        <v>1716</v>
      </c>
      <c r="B1511" s="5" t="s">
        <v>1715</v>
      </c>
      <c r="C1511" s="6" t="s">
        <v>23</v>
      </c>
      <c r="D1511" s="6" t="s">
        <v>63</v>
      </c>
      <c r="E1511" s="7" t="s">
        <v>4450</v>
      </c>
    </row>
    <row r="1512" spans="1:5">
      <c r="A1512" s="4" t="s">
        <v>1718</v>
      </c>
      <c r="B1512" s="5" t="s">
        <v>1717</v>
      </c>
      <c r="C1512" s="6" t="s">
        <v>23</v>
      </c>
      <c r="D1512" s="6" t="s">
        <v>24</v>
      </c>
      <c r="E1512" s="7" t="s">
        <v>4454</v>
      </c>
    </row>
    <row r="1513" spans="1:5">
      <c r="A1513" s="4" t="s">
        <v>1720</v>
      </c>
      <c r="B1513" s="5" t="s">
        <v>1719</v>
      </c>
      <c r="C1513" s="6" t="s">
        <v>23</v>
      </c>
      <c r="D1513" s="6" t="s">
        <v>24</v>
      </c>
      <c r="E1513" s="7" t="s">
        <v>4451</v>
      </c>
    </row>
    <row r="1514" spans="1:5">
      <c r="A1514" s="4" t="s">
        <v>1722</v>
      </c>
      <c r="B1514" s="5" t="s">
        <v>1721</v>
      </c>
      <c r="C1514" s="6" t="s">
        <v>23</v>
      </c>
      <c r="D1514" s="6" t="s">
        <v>24</v>
      </c>
      <c r="E1514" s="7" t="s">
        <v>4452</v>
      </c>
    </row>
    <row r="1515" spans="1:5">
      <c r="A1515" s="4" t="s">
        <v>1724</v>
      </c>
      <c r="B1515" s="5" t="s">
        <v>1723</v>
      </c>
      <c r="C1515" s="6" t="s">
        <v>23</v>
      </c>
      <c r="D1515" s="6" t="s">
        <v>24</v>
      </c>
      <c r="E1515" s="7" t="s">
        <v>4455</v>
      </c>
    </row>
    <row r="1516" spans="1:5">
      <c r="A1516" s="4" t="s">
        <v>1726</v>
      </c>
      <c r="B1516" s="5" t="s">
        <v>1725</v>
      </c>
      <c r="C1516" s="6" t="s">
        <v>23</v>
      </c>
      <c r="D1516" s="6" t="s">
        <v>24</v>
      </c>
      <c r="E1516" s="7" t="s">
        <v>4455</v>
      </c>
    </row>
    <row r="1517" spans="1:5">
      <c r="A1517" s="4" t="s">
        <v>1728</v>
      </c>
      <c r="B1517" s="5" t="s">
        <v>1727</v>
      </c>
      <c r="C1517" s="6" t="s">
        <v>23</v>
      </c>
      <c r="D1517" s="6" t="s">
        <v>24</v>
      </c>
      <c r="E1517" s="7" t="s">
        <v>4448</v>
      </c>
    </row>
    <row r="1518" spans="1:5">
      <c r="A1518" s="4" t="s">
        <v>1730</v>
      </c>
      <c r="B1518" s="5" t="s">
        <v>1729</v>
      </c>
      <c r="C1518" s="6" t="s">
        <v>23</v>
      </c>
      <c r="D1518" s="6" t="s">
        <v>24</v>
      </c>
      <c r="E1518" s="7" t="s">
        <v>4450</v>
      </c>
    </row>
    <row r="1519" spans="1:5">
      <c r="A1519" s="4" t="s">
        <v>1732</v>
      </c>
      <c r="B1519" s="5" t="s">
        <v>1731</v>
      </c>
      <c r="C1519" s="6" t="s">
        <v>23</v>
      </c>
      <c r="D1519" s="6" t="s">
        <v>24</v>
      </c>
      <c r="E1519" s="7" t="s">
        <v>4454</v>
      </c>
    </row>
    <row r="1520" spans="1:5">
      <c r="A1520" s="4" t="s">
        <v>1734</v>
      </c>
      <c r="B1520" s="5" t="s">
        <v>1733</v>
      </c>
      <c r="C1520" s="6" t="s">
        <v>23</v>
      </c>
      <c r="D1520" s="6" t="s">
        <v>24</v>
      </c>
      <c r="E1520" s="7" t="s">
        <v>4452</v>
      </c>
    </row>
    <row r="1521" spans="1:5">
      <c r="A1521" s="4" t="s">
        <v>1736</v>
      </c>
      <c r="B1521" s="5" t="s">
        <v>1735</v>
      </c>
      <c r="C1521" s="6" t="s">
        <v>23</v>
      </c>
      <c r="D1521" s="6" t="s">
        <v>24</v>
      </c>
      <c r="E1521" s="7" t="s">
        <v>4455</v>
      </c>
    </row>
    <row r="1522" spans="1:5">
      <c r="A1522" s="4" t="s">
        <v>1738</v>
      </c>
      <c r="B1522" s="5" t="s">
        <v>1737</v>
      </c>
      <c r="C1522" s="6" t="s">
        <v>23</v>
      </c>
      <c r="D1522" s="6" t="s">
        <v>24</v>
      </c>
      <c r="E1522" s="7" t="s">
        <v>4448</v>
      </c>
    </row>
    <row r="1523" spans="1:5">
      <c r="A1523" s="4" t="s">
        <v>1740</v>
      </c>
      <c r="B1523" s="5" t="s">
        <v>1739</v>
      </c>
      <c r="C1523" s="6" t="s">
        <v>23</v>
      </c>
      <c r="D1523" s="6" t="s">
        <v>24</v>
      </c>
      <c r="E1523" s="7" t="s">
        <v>4450</v>
      </c>
    </row>
    <row r="1524" spans="1:5">
      <c r="A1524" s="4" t="s">
        <v>1742</v>
      </c>
      <c r="B1524" s="5" t="s">
        <v>1741</v>
      </c>
      <c r="C1524" s="6" t="s">
        <v>23</v>
      </c>
      <c r="D1524" s="6" t="s">
        <v>24</v>
      </c>
      <c r="E1524" s="7" t="s">
        <v>4454</v>
      </c>
    </row>
    <row r="1525" spans="1:5">
      <c r="A1525" s="4" t="s">
        <v>1744</v>
      </c>
      <c r="B1525" s="5" t="s">
        <v>1743</v>
      </c>
      <c r="C1525" s="6" t="s">
        <v>23</v>
      </c>
      <c r="D1525" s="6" t="s">
        <v>24</v>
      </c>
      <c r="E1525" s="7" t="s">
        <v>4452</v>
      </c>
    </row>
    <row r="1526" spans="1:5">
      <c r="A1526" s="4" t="s">
        <v>1746</v>
      </c>
      <c r="B1526" s="5" t="s">
        <v>1745</v>
      </c>
      <c r="C1526" s="6" t="s">
        <v>23</v>
      </c>
      <c r="D1526" s="6" t="s">
        <v>24</v>
      </c>
      <c r="E1526" s="7" t="s">
        <v>4448</v>
      </c>
    </row>
    <row r="1527" spans="1:5">
      <c r="A1527" s="4" t="s">
        <v>1748</v>
      </c>
      <c r="B1527" s="5" t="s">
        <v>1747</v>
      </c>
      <c r="C1527" s="6" t="s">
        <v>23</v>
      </c>
      <c r="D1527" s="6" t="s">
        <v>24</v>
      </c>
      <c r="E1527" s="7" t="s">
        <v>4449</v>
      </c>
    </row>
    <row r="1528" spans="1:5">
      <c r="A1528" s="4" t="s">
        <v>1750</v>
      </c>
      <c r="B1528" s="5" t="s">
        <v>1749</v>
      </c>
      <c r="C1528" s="6" t="s">
        <v>23</v>
      </c>
      <c r="D1528" s="6" t="s">
        <v>24</v>
      </c>
      <c r="E1528" s="7" t="s">
        <v>4454</v>
      </c>
    </row>
    <row r="1529" spans="1:5">
      <c r="A1529" s="4" t="s">
        <v>1752</v>
      </c>
      <c r="B1529" s="5" t="s">
        <v>1751</v>
      </c>
      <c r="C1529" s="6" t="s">
        <v>23</v>
      </c>
      <c r="D1529" s="6" t="s">
        <v>24</v>
      </c>
      <c r="E1529" s="7" t="s">
        <v>4452</v>
      </c>
    </row>
    <row r="1530" spans="1:5">
      <c r="A1530" s="4" t="s">
        <v>1754</v>
      </c>
      <c r="B1530" s="5" t="s">
        <v>1753</v>
      </c>
      <c r="C1530" s="6" t="s">
        <v>23</v>
      </c>
      <c r="D1530" s="6" t="s">
        <v>63</v>
      </c>
      <c r="E1530" s="7" t="s">
        <v>64</v>
      </c>
    </row>
    <row r="1531" spans="1:5">
      <c r="A1531" s="4" t="s">
        <v>1756</v>
      </c>
      <c r="B1531" s="5" t="s">
        <v>1755</v>
      </c>
      <c r="C1531" s="6" t="s">
        <v>23</v>
      </c>
      <c r="D1531" s="6" t="s">
        <v>24</v>
      </c>
      <c r="E1531" s="7" t="s">
        <v>4446</v>
      </c>
    </row>
    <row r="1532" spans="1:5">
      <c r="A1532" s="4" t="s">
        <v>1758</v>
      </c>
      <c r="B1532" s="5" t="s">
        <v>1757</v>
      </c>
      <c r="C1532" s="6" t="s">
        <v>23</v>
      </c>
      <c r="D1532" s="6" t="s">
        <v>24</v>
      </c>
      <c r="E1532" s="7" t="s">
        <v>4447</v>
      </c>
    </row>
    <row r="1533" spans="1:5">
      <c r="A1533" s="4" t="s">
        <v>1760</v>
      </c>
      <c r="B1533" s="5" t="s">
        <v>1759</v>
      </c>
      <c r="C1533" s="6" t="s">
        <v>23</v>
      </c>
      <c r="D1533" s="6" t="s">
        <v>24</v>
      </c>
      <c r="E1533" s="7" t="s">
        <v>4448</v>
      </c>
    </row>
    <row r="1534" spans="1:5">
      <c r="A1534" s="4" t="s">
        <v>1762</v>
      </c>
      <c r="B1534" s="5" t="s">
        <v>1761</v>
      </c>
      <c r="C1534" s="6" t="s">
        <v>23</v>
      </c>
      <c r="D1534" s="6" t="s">
        <v>24</v>
      </c>
      <c r="E1534" s="7" t="s">
        <v>4447</v>
      </c>
    </row>
    <row r="1535" spans="1:5">
      <c r="A1535" s="4" t="s">
        <v>1764</v>
      </c>
      <c r="B1535" s="5" t="s">
        <v>1763</v>
      </c>
      <c r="C1535" s="6" t="s">
        <v>23</v>
      </c>
      <c r="D1535" s="6" t="s">
        <v>24</v>
      </c>
      <c r="E1535" s="7" t="s">
        <v>4448</v>
      </c>
    </row>
    <row r="1536" spans="1:5">
      <c r="A1536" s="4" t="s">
        <v>1766</v>
      </c>
      <c r="B1536" s="5" t="s">
        <v>1765</v>
      </c>
      <c r="C1536" s="6" t="s">
        <v>23</v>
      </c>
      <c r="D1536" s="6" t="s">
        <v>24</v>
      </c>
      <c r="E1536" s="7" t="s">
        <v>4449</v>
      </c>
    </row>
    <row r="1537" spans="1:5">
      <c r="A1537" s="4" t="s">
        <v>1768</v>
      </c>
      <c r="B1537" s="5" t="s">
        <v>1767</v>
      </c>
      <c r="C1537" s="6" t="s">
        <v>23</v>
      </c>
      <c r="D1537" s="6" t="s">
        <v>24</v>
      </c>
      <c r="E1537" s="7" t="s">
        <v>4447</v>
      </c>
    </row>
    <row r="1538" spans="1:5">
      <c r="A1538" s="4" t="s">
        <v>1770</v>
      </c>
      <c r="B1538" s="5" t="s">
        <v>1769</v>
      </c>
      <c r="C1538" s="6" t="s">
        <v>23</v>
      </c>
      <c r="D1538" s="6" t="s">
        <v>24</v>
      </c>
      <c r="E1538" s="7" t="s">
        <v>4448</v>
      </c>
    </row>
    <row r="1539" spans="1:5">
      <c r="A1539" s="4" t="s">
        <v>1772</v>
      </c>
      <c r="B1539" s="5" t="s">
        <v>1771</v>
      </c>
      <c r="C1539" s="6" t="s">
        <v>23</v>
      </c>
      <c r="D1539" s="6" t="s">
        <v>24</v>
      </c>
      <c r="E1539" s="7" t="s">
        <v>4450</v>
      </c>
    </row>
    <row r="1540" spans="1:5">
      <c r="A1540" s="4" t="s">
        <v>1774</v>
      </c>
      <c r="B1540" s="5" t="s">
        <v>1773</v>
      </c>
      <c r="C1540" s="6" t="s">
        <v>23</v>
      </c>
      <c r="D1540" s="6" t="s">
        <v>24</v>
      </c>
      <c r="E1540" s="7" t="s">
        <v>4454</v>
      </c>
    </row>
    <row r="1541" spans="1:5">
      <c r="A1541" s="4" t="s">
        <v>3302</v>
      </c>
      <c r="B1541" s="5" t="s">
        <v>4073</v>
      </c>
      <c r="C1541" s="6" t="s">
        <v>23</v>
      </c>
      <c r="D1541" s="6" t="s">
        <v>63</v>
      </c>
      <c r="E1541" s="7" t="s">
        <v>98</v>
      </c>
    </row>
    <row r="1542" spans="1:5">
      <c r="A1542" s="4" t="s">
        <v>3302</v>
      </c>
      <c r="B1542" s="5" t="s">
        <v>4074</v>
      </c>
      <c r="C1542" s="6" t="s">
        <v>23</v>
      </c>
      <c r="D1542" s="6" t="s">
        <v>63</v>
      </c>
      <c r="E1542" s="7" t="s">
        <v>98</v>
      </c>
    </row>
    <row r="1543" spans="1:5">
      <c r="A1543" s="4" t="s">
        <v>1776</v>
      </c>
      <c r="B1543" s="5" t="s">
        <v>1775</v>
      </c>
      <c r="C1543" s="6" t="s">
        <v>23</v>
      </c>
      <c r="D1543" s="6" t="s">
        <v>63</v>
      </c>
      <c r="E1543" s="7" t="s">
        <v>98</v>
      </c>
    </row>
    <row r="1544" spans="1:5">
      <c r="A1544" s="4" t="s">
        <v>1778</v>
      </c>
      <c r="B1544" s="5" t="s">
        <v>1777</v>
      </c>
      <c r="C1544" s="6" t="s">
        <v>23</v>
      </c>
      <c r="D1544" s="6" t="s">
        <v>63</v>
      </c>
      <c r="E1544" s="7" t="s">
        <v>98</v>
      </c>
    </row>
    <row r="1545" spans="1:5">
      <c r="A1545" s="4" t="s">
        <v>1780</v>
      </c>
      <c r="B1545" s="5" t="s">
        <v>1779</v>
      </c>
      <c r="C1545" s="6" t="s">
        <v>23</v>
      </c>
      <c r="D1545" s="6" t="s">
        <v>63</v>
      </c>
      <c r="E1545" s="7" t="s">
        <v>98</v>
      </c>
    </row>
    <row r="1546" spans="1:5">
      <c r="A1546" s="4" t="s">
        <v>1782</v>
      </c>
      <c r="B1546" s="5" t="s">
        <v>1781</v>
      </c>
      <c r="C1546" s="6" t="s">
        <v>23</v>
      </c>
      <c r="D1546" s="6" t="s">
        <v>24</v>
      </c>
      <c r="E1546" s="7" t="s">
        <v>4446</v>
      </c>
    </row>
    <row r="1547" spans="1:5">
      <c r="A1547" s="4" t="s">
        <v>1784</v>
      </c>
      <c r="B1547" s="5" t="s">
        <v>1783</v>
      </c>
      <c r="C1547" s="6" t="s">
        <v>23</v>
      </c>
      <c r="D1547" s="6" t="s">
        <v>24</v>
      </c>
      <c r="E1547" s="7" t="s">
        <v>4448</v>
      </c>
    </row>
    <row r="1548" spans="1:5">
      <c r="A1548" s="4" t="s">
        <v>1786</v>
      </c>
      <c r="B1548" s="5" t="s">
        <v>1785</v>
      </c>
      <c r="C1548" s="6" t="s">
        <v>23</v>
      </c>
      <c r="D1548" s="6" t="s">
        <v>24</v>
      </c>
      <c r="E1548" s="7" t="s">
        <v>4447</v>
      </c>
    </row>
    <row r="1549" spans="1:5">
      <c r="A1549" s="4" t="s">
        <v>1788</v>
      </c>
      <c r="B1549" s="5" t="s">
        <v>1787</v>
      </c>
      <c r="C1549" s="6" t="s">
        <v>23</v>
      </c>
      <c r="D1549" s="6" t="s">
        <v>24</v>
      </c>
      <c r="E1549" s="7" t="s">
        <v>4450</v>
      </c>
    </row>
    <row r="1550" spans="1:5">
      <c r="A1550" s="4" t="s">
        <v>1790</v>
      </c>
      <c r="B1550" s="5" t="s">
        <v>1789</v>
      </c>
      <c r="C1550" s="6" t="s">
        <v>23</v>
      </c>
      <c r="D1550" s="6" t="s">
        <v>24</v>
      </c>
      <c r="E1550" s="7" t="s">
        <v>4451</v>
      </c>
    </row>
    <row r="1551" spans="1:5">
      <c r="A1551" s="4" t="s">
        <v>1792</v>
      </c>
      <c r="B1551" s="5" t="s">
        <v>1791</v>
      </c>
      <c r="C1551" s="6" t="s">
        <v>23</v>
      </c>
      <c r="D1551" s="6" t="s">
        <v>24</v>
      </c>
      <c r="E1551" s="7" t="s">
        <v>4452</v>
      </c>
    </row>
    <row r="1552" spans="1:5">
      <c r="A1552" s="4" t="s">
        <v>3629</v>
      </c>
      <c r="B1552" s="5" t="s">
        <v>4405</v>
      </c>
      <c r="C1552" s="6" t="s">
        <v>23</v>
      </c>
      <c r="D1552" s="6" t="s">
        <v>4463</v>
      </c>
      <c r="E1552" s="7" t="s">
        <v>4443</v>
      </c>
    </row>
    <row r="1553" spans="1:5">
      <c r="A1553" s="4" t="s">
        <v>3638</v>
      </c>
      <c r="B1553" s="5" t="s">
        <v>4415</v>
      </c>
      <c r="C1553" s="6" t="s">
        <v>23</v>
      </c>
      <c r="D1553" s="6" t="s">
        <v>4463</v>
      </c>
      <c r="E1553" s="7" t="s">
        <v>4443</v>
      </c>
    </row>
    <row r="1554" spans="1:5">
      <c r="A1554" s="4" t="s">
        <v>3639</v>
      </c>
      <c r="B1554" s="5" t="s">
        <v>4416</v>
      </c>
      <c r="C1554" s="6" t="s">
        <v>23</v>
      </c>
      <c r="D1554" s="6" t="s">
        <v>4463</v>
      </c>
      <c r="E1554" s="7" t="s">
        <v>4443</v>
      </c>
    </row>
    <row r="1555" spans="1:5">
      <c r="A1555" s="4" t="s">
        <v>3640</v>
      </c>
      <c r="B1555" s="5" t="s">
        <v>4417</v>
      </c>
      <c r="C1555" s="6" t="s">
        <v>23</v>
      </c>
      <c r="D1555" s="6" t="s">
        <v>4463</v>
      </c>
      <c r="E1555" s="7" t="s">
        <v>4443</v>
      </c>
    </row>
    <row r="1556" spans="1:5">
      <c r="A1556" s="4" t="s">
        <v>3630</v>
      </c>
      <c r="B1556" s="5" t="s">
        <v>4406</v>
      </c>
      <c r="C1556" s="6" t="s">
        <v>23</v>
      </c>
      <c r="D1556" s="6" t="s">
        <v>4463</v>
      </c>
      <c r="E1556" s="7" t="s">
        <v>4443</v>
      </c>
    </row>
    <row r="1557" spans="1:5">
      <c r="A1557" s="4" t="s">
        <v>3641</v>
      </c>
      <c r="B1557" s="5" t="s">
        <v>4418</v>
      </c>
      <c r="C1557" s="6" t="s">
        <v>23</v>
      </c>
      <c r="D1557" s="6" t="s">
        <v>4463</v>
      </c>
      <c r="E1557" s="7" t="s">
        <v>4443</v>
      </c>
    </row>
    <row r="1558" spans="1:5">
      <c r="A1558" s="4" t="s">
        <v>3642</v>
      </c>
      <c r="B1558" s="5" t="s">
        <v>4419</v>
      </c>
      <c r="C1558" s="6" t="s">
        <v>23</v>
      </c>
      <c r="D1558" s="6" t="s">
        <v>4463</v>
      </c>
      <c r="E1558" s="7" t="s">
        <v>4443</v>
      </c>
    </row>
    <row r="1559" spans="1:5">
      <c r="A1559" s="4" t="s">
        <v>3643</v>
      </c>
      <c r="B1559" s="5" t="s">
        <v>4420</v>
      </c>
      <c r="C1559" s="6" t="s">
        <v>23</v>
      </c>
      <c r="D1559" s="6" t="s">
        <v>4463</v>
      </c>
      <c r="E1559" s="7" t="s">
        <v>4443</v>
      </c>
    </row>
    <row r="1560" spans="1:5">
      <c r="A1560" s="4" t="s">
        <v>1794</v>
      </c>
      <c r="B1560" s="5" t="s">
        <v>1793</v>
      </c>
      <c r="C1560" s="6" t="s">
        <v>23</v>
      </c>
      <c r="D1560" s="6" t="s">
        <v>63</v>
      </c>
      <c r="E1560" s="7" t="s">
        <v>4458</v>
      </c>
    </row>
    <row r="1561" spans="1:5">
      <c r="A1561" s="4" t="s">
        <v>1796</v>
      </c>
      <c r="B1561" s="5" t="s">
        <v>1795</v>
      </c>
      <c r="C1561" s="6" t="s">
        <v>23</v>
      </c>
      <c r="D1561" s="6" t="s">
        <v>63</v>
      </c>
      <c r="E1561" s="7" t="s">
        <v>4461</v>
      </c>
    </row>
    <row r="1562" spans="1:5">
      <c r="A1562" s="4" t="s">
        <v>1798</v>
      </c>
      <c r="B1562" s="5" t="s">
        <v>1797</v>
      </c>
      <c r="C1562" s="6" t="s">
        <v>23</v>
      </c>
      <c r="D1562" s="6" t="s">
        <v>63</v>
      </c>
      <c r="E1562" s="7" t="s">
        <v>4460</v>
      </c>
    </row>
    <row r="1563" spans="1:5">
      <c r="A1563" s="4" t="s">
        <v>1800</v>
      </c>
      <c r="B1563" s="5" t="s">
        <v>1799</v>
      </c>
      <c r="C1563" s="6" t="s">
        <v>23</v>
      </c>
      <c r="D1563" s="6" t="s">
        <v>63</v>
      </c>
      <c r="E1563" s="7" t="s">
        <v>4462</v>
      </c>
    </row>
    <row r="1564" spans="1:5">
      <c r="A1564" s="4" t="s">
        <v>1802</v>
      </c>
      <c r="B1564" s="5" t="s">
        <v>1801</v>
      </c>
      <c r="C1564" s="6" t="s">
        <v>23</v>
      </c>
      <c r="D1564" s="6" t="s">
        <v>24</v>
      </c>
      <c r="E1564" s="7" t="s">
        <v>4446</v>
      </c>
    </row>
    <row r="1565" spans="1:5">
      <c r="A1565" s="4" t="s">
        <v>1804</v>
      </c>
      <c r="B1565" s="5" t="s">
        <v>1803</v>
      </c>
      <c r="C1565" s="6" t="s">
        <v>23</v>
      </c>
      <c r="D1565" s="6" t="s">
        <v>24</v>
      </c>
      <c r="E1565" s="7" t="s">
        <v>4447</v>
      </c>
    </row>
    <row r="1566" spans="1:5">
      <c r="A1566" s="4" t="s">
        <v>1806</v>
      </c>
      <c r="B1566" s="5" t="s">
        <v>1805</v>
      </c>
      <c r="C1566" s="6" t="s">
        <v>23</v>
      </c>
      <c r="D1566" s="6" t="s">
        <v>24</v>
      </c>
      <c r="E1566" s="7" t="s">
        <v>4448</v>
      </c>
    </row>
    <row r="1567" spans="1:5">
      <c r="A1567" s="4" t="s">
        <v>1808</v>
      </c>
      <c r="B1567" s="5" t="s">
        <v>1807</v>
      </c>
      <c r="C1567" s="6" t="s">
        <v>23</v>
      </c>
      <c r="D1567" s="6" t="s">
        <v>24</v>
      </c>
      <c r="E1567" s="7" t="s">
        <v>4446</v>
      </c>
    </row>
    <row r="1568" spans="1:5">
      <c r="A1568" s="4" t="s">
        <v>1810</v>
      </c>
      <c r="B1568" s="5" t="s">
        <v>1809</v>
      </c>
      <c r="C1568" s="6" t="s">
        <v>23</v>
      </c>
      <c r="D1568" s="6" t="s">
        <v>24</v>
      </c>
      <c r="E1568" s="7" t="s">
        <v>4447</v>
      </c>
    </row>
    <row r="1569" spans="1:5">
      <c r="A1569" s="4" t="s">
        <v>1812</v>
      </c>
      <c r="B1569" s="5" t="s">
        <v>1811</v>
      </c>
      <c r="C1569" s="6" t="s">
        <v>23</v>
      </c>
      <c r="D1569" s="6" t="s">
        <v>24</v>
      </c>
      <c r="E1569" s="7" t="s">
        <v>4448</v>
      </c>
    </row>
    <row r="1570" spans="1:5">
      <c r="A1570" s="4" t="s">
        <v>1814</v>
      </c>
      <c r="B1570" s="5" t="s">
        <v>1813</v>
      </c>
      <c r="C1570" s="6" t="s">
        <v>23</v>
      </c>
      <c r="D1570" s="6" t="s">
        <v>24</v>
      </c>
      <c r="E1570" s="7" t="s">
        <v>4450</v>
      </c>
    </row>
    <row r="1571" spans="1:5">
      <c r="A1571" s="4" t="s">
        <v>1816</v>
      </c>
      <c r="B1571" s="5" t="s">
        <v>1815</v>
      </c>
      <c r="C1571" s="6" t="s">
        <v>23</v>
      </c>
      <c r="D1571" s="6" t="s">
        <v>24</v>
      </c>
      <c r="E1571" s="7" t="s">
        <v>4454</v>
      </c>
    </row>
    <row r="1572" spans="1:5">
      <c r="A1572" s="4" t="s">
        <v>1818</v>
      </c>
      <c r="B1572" s="5" t="s">
        <v>1817</v>
      </c>
      <c r="C1572" s="6" t="s">
        <v>23</v>
      </c>
      <c r="D1572" s="6" t="s">
        <v>24</v>
      </c>
      <c r="E1572" s="7" t="s">
        <v>4451</v>
      </c>
    </row>
    <row r="1573" spans="1:5">
      <c r="A1573" s="4" t="s">
        <v>1820</v>
      </c>
      <c r="B1573" s="5" t="s">
        <v>1819</v>
      </c>
      <c r="C1573" s="6" t="s">
        <v>23</v>
      </c>
      <c r="D1573" s="6" t="s">
        <v>24</v>
      </c>
      <c r="E1573" s="7" t="s">
        <v>4452</v>
      </c>
    </row>
    <row r="1574" spans="1:5">
      <c r="A1574" s="4" t="s">
        <v>1822</v>
      </c>
      <c r="B1574" s="5" t="s">
        <v>1821</v>
      </c>
      <c r="C1574" s="6" t="s">
        <v>23</v>
      </c>
      <c r="D1574" s="6" t="s">
        <v>24</v>
      </c>
      <c r="E1574" s="7" t="s">
        <v>4446</v>
      </c>
    </row>
    <row r="1575" spans="1:5">
      <c r="A1575" s="4" t="s">
        <v>1824</v>
      </c>
      <c r="B1575" s="5" t="s">
        <v>1823</v>
      </c>
      <c r="C1575" s="6" t="s">
        <v>23</v>
      </c>
      <c r="D1575" s="6" t="s">
        <v>24</v>
      </c>
      <c r="E1575" s="7" t="s">
        <v>4447</v>
      </c>
    </row>
    <row r="1576" spans="1:5">
      <c r="A1576" s="4" t="s">
        <v>1826</v>
      </c>
      <c r="B1576" s="5" t="s">
        <v>1825</v>
      </c>
      <c r="C1576" s="6" t="s">
        <v>23</v>
      </c>
      <c r="D1576" s="6" t="s">
        <v>24</v>
      </c>
      <c r="E1576" s="7" t="s">
        <v>4448</v>
      </c>
    </row>
    <row r="1577" spans="1:5">
      <c r="A1577" s="4" t="s">
        <v>3631</v>
      </c>
      <c r="B1577" s="5" t="s">
        <v>4407</v>
      </c>
      <c r="C1577" s="6" t="s">
        <v>23</v>
      </c>
      <c r="D1577" s="6" t="s">
        <v>4463</v>
      </c>
      <c r="E1577" s="7" t="s">
        <v>4443</v>
      </c>
    </row>
    <row r="1578" spans="1:5">
      <c r="A1578" s="11" t="s">
        <v>3644</v>
      </c>
      <c r="B1578" s="5" t="s">
        <v>4421</v>
      </c>
      <c r="C1578" s="12" t="s">
        <v>23</v>
      </c>
      <c r="D1578" s="12" t="s">
        <v>4463</v>
      </c>
      <c r="E1578" s="7" t="s">
        <v>4443</v>
      </c>
    </row>
    <row r="1579" spans="1:5">
      <c r="A1579" s="4" t="s">
        <v>3645</v>
      </c>
      <c r="B1579" s="5" t="s">
        <v>4422</v>
      </c>
      <c r="C1579" s="6" t="s">
        <v>23</v>
      </c>
      <c r="D1579" s="6" t="s">
        <v>4463</v>
      </c>
      <c r="E1579" s="7" t="s">
        <v>4443</v>
      </c>
    </row>
    <row r="1580" spans="1:5">
      <c r="A1580" s="4" t="s">
        <v>3646</v>
      </c>
      <c r="B1580" s="5" t="s">
        <v>4423</v>
      </c>
      <c r="C1580" s="6" t="s">
        <v>23</v>
      </c>
      <c r="D1580" s="6" t="s">
        <v>4463</v>
      </c>
      <c r="E1580" s="7" t="s">
        <v>4443</v>
      </c>
    </row>
    <row r="1581" spans="1:5">
      <c r="A1581" s="4" t="s">
        <v>1828</v>
      </c>
      <c r="B1581" s="5" t="s">
        <v>1827</v>
      </c>
      <c r="C1581" s="6" t="s">
        <v>23</v>
      </c>
      <c r="D1581" s="6" t="s">
        <v>63</v>
      </c>
      <c r="E1581" s="7" t="s">
        <v>98</v>
      </c>
    </row>
    <row r="1582" spans="1:5">
      <c r="A1582" s="4" t="s">
        <v>1830</v>
      </c>
      <c r="B1582" s="5" t="s">
        <v>1829</v>
      </c>
      <c r="C1582" s="6" t="s">
        <v>23</v>
      </c>
      <c r="D1582" s="6" t="s">
        <v>63</v>
      </c>
      <c r="E1582" s="7" t="s">
        <v>67</v>
      </c>
    </row>
    <row r="1583" spans="1:5">
      <c r="A1583" s="4" t="s">
        <v>1832</v>
      </c>
      <c r="B1583" s="5" t="s">
        <v>1831</v>
      </c>
      <c r="C1583" s="6" t="s">
        <v>23</v>
      </c>
      <c r="D1583" s="6" t="s">
        <v>24</v>
      </c>
      <c r="E1583" s="7" t="s">
        <v>4457</v>
      </c>
    </row>
    <row r="1584" spans="1:5">
      <c r="A1584" s="4" t="s">
        <v>1834</v>
      </c>
      <c r="B1584" s="5" t="s">
        <v>1833</v>
      </c>
      <c r="C1584" s="6" t="s">
        <v>23</v>
      </c>
      <c r="D1584" s="6" t="s">
        <v>63</v>
      </c>
      <c r="E1584" s="7" t="s">
        <v>67</v>
      </c>
    </row>
    <row r="1585" spans="1:5">
      <c r="A1585" s="4" t="s">
        <v>1836</v>
      </c>
      <c r="B1585" s="5" t="s">
        <v>1835</v>
      </c>
      <c r="C1585" s="6" t="s">
        <v>23</v>
      </c>
      <c r="D1585" s="6" t="s">
        <v>63</v>
      </c>
      <c r="E1585" s="7" t="s">
        <v>64</v>
      </c>
    </row>
    <row r="1586" spans="1:5">
      <c r="A1586" s="4" t="s">
        <v>1838</v>
      </c>
      <c r="B1586" s="5" t="s">
        <v>1837</v>
      </c>
      <c r="C1586" s="6" t="s">
        <v>23</v>
      </c>
      <c r="D1586" s="6" t="s">
        <v>63</v>
      </c>
      <c r="E1586" s="7" t="s">
        <v>98</v>
      </c>
    </row>
    <row r="1587" spans="1:5">
      <c r="A1587" s="4" t="s">
        <v>1840</v>
      </c>
      <c r="B1587" s="5" t="s">
        <v>1839</v>
      </c>
      <c r="C1587" s="6" t="s">
        <v>23</v>
      </c>
      <c r="D1587" s="6" t="s">
        <v>24</v>
      </c>
      <c r="E1587" s="7" t="s">
        <v>287</v>
      </c>
    </row>
    <row r="1588" spans="1:5">
      <c r="A1588" s="4" t="s">
        <v>1842</v>
      </c>
      <c r="B1588" s="5" t="s">
        <v>1841</v>
      </c>
      <c r="C1588" s="6" t="s">
        <v>23</v>
      </c>
      <c r="D1588" s="6" t="s">
        <v>63</v>
      </c>
      <c r="E1588" s="7" t="s">
        <v>86</v>
      </c>
    </row>
    <row r="1589" spans="1:5">
      <c r="A1589" s="4" t="s">
        <v>1844</v>
      </c>
      <c r="B1589" s="5" t="s">
        <v>1843</v>
      </c>
      <c r="C1589" s="6" t="s">
        <v>23</v>
      </c>
      <c r="D1589" s="6" t="s">
        <v>63</v>
      </c>
      <c r="E1589" s="7" t="s">
        <v>287</v>
      </c>
    </row>
    <row r="1590" spans="1:5">
      <c r="A1590" s="4" t="s">
        <v>1846</v>
      </c>
      <c r="B1590" s="5" t="s">
        <v>1845</v>
      </c>
      <c r="C1590" s="6" t="s">
        <v>23</v>
      </c>
      <c r="D1590" s="6" t="s">
        <v>63</v>
      </c>
      <c r="E1590" s="7" t="s">
        <v>98</v>
      </c>
    </row>
    <row r="1591" spans="1:5">
      <c r="A1591" s="4" t="s">
        <v>1848</v>
      </c>
      <c r="B1591" s="5" t="s">
        <v>1847</v>
      </c>
      <c r="C1591" s="6" t="s">
        <v>23</v>
      </c>
      <c r="D1591" s="6" t="s">
        <v>63</v>
      </c>
      <c r="E1591" s="7" t="s">
        <v>67</v>
      </c>
    </row>
    <row r="1592" spans="1:5">
      <c r="A1592" s="4" t="s">
        <v>1850</v>
      </c>
      <c r="B1592" s="5" t="s">
        <v>1849</v>
      </c>
      <c r="C1592" s="6" t="s">
        <v>23</v>
      </c>
      <c r="D1592" s="6" t="s">
        <v>63</v>
      </c>
      <c r="E1592" s="7" t="s">
        <v>287</v>
      </c>
    </row>
    <row r="1593" spans="1:5">
      <c r="A1593" s="4" t="s">
        <v>1852</v>
      </c>
      <c r="B1593" s="5" t="s">
        <v>1851</v>
      </c>
      <c r="C1593" s="6" t="s">
        <v>23</v>
      </c>
      <c r="D1593" s="6" t="s">
        <v>63</v>
      </c>
      <c r="E1593" s="7" t="s">
        <v>425</v>
      </c>
    </row>
    <row r="1594" spans="1:5">
      <c r="A1594" s="4" t="s">
        <v>1854</v>
      </c>
      <c r="B1594" s="5" t="s">
        <v>1853</v>
      </c>
      <c r="C1594" s="6" t="s">
        <v>23</v>
      </c>
      <c r="D1594" s="6" t="s">
        <v>63</v>
      </c>
      <c r="E1594" s="7" t="s">
        <v>4458</v>
      </c>
    </row>
    <row r="1595" spans="1:5">
      <c r="A1595" s="4" t="s">
        <v>1856</v>
      </c>
      <c r="B1595" s="5" t="s">
        <v>1855</v>
      </c>
      <c r="C1595" s="6" t="s">
        <v>23</v>
      </c>
      <c r="D1595" s="6" t="s">
        <v>63</v>
      </c>
      <c r="E1595" s="7" t="s">
        <v>4458</v>
      </c>
    </row>
    <row r="1596" spans="1:5">
      <c r="A1596" s="4" t="s">
        <v>1858</v>
      </c>
      <c r="B1596" s="5" t="s">
        <v>1857</v>
      </c>
      <c r="C1596" s="6" t="s">
        <v>23</v>
      </c>
      <c r="D1596" s="6" t="s">
        <v>63</v>
      </c>
      <c r="E1596" s="7" t="s">
        <v>89</v>
      </c>
    </row>
    <row r="1597" spans="1:5">
      <c r="A1597" s="4" t="s">
        <v>1860</v>
      </c>
      <c r="B1597" s="5" t="s">
        <v>1859</v>
      </c>
      <c r="C1597" s="6" t="s">
        <v>23</v>
      </c>
      <c r="D1597" s="6" t="s">
        <v>63</v>
      </c>
      <c r="E1597" s="7" t="s">
        <v>425</v>
      </c>
    </row>
    <row r="1598" spans="1:5">
      <c r="A1598" s="4" t="s">
        <v>1862</v>
      </c>
      <c r="B1598" s="5" t="s">
        <v>1861</v>
      </c>
      <c r="C1598" s="6" t="s">
        <v>23</v>
      </c>
      <c r="D1598" s="6" t="s">
        <v>63</v>
      </c>
      <c r="E1598" s="7" t="s">
        <v>92</v>
      </c>
    </row>
    <row r="1599" spans="1:5">
      <c r="A1599" s="4" t="s">
        <v>1864</v>
      </c>
      <c r="B1599" s="5" t="s">
        <v>1863</v>
      </c>
      <c r="C1599" s="6" t="s">
        <v>23</v>
      </c>
      <c r="D1599" s="6" t="s">
        <v>63</v>
      </c>
      <c r="E1599" s="7" t="s">
        <v>4460</v>
      </c>
    </row>
    <row r="1600" spans="1:5">
      <c r="A1600" s="4" t="s">
        <v>1866</v>
      </c>
      <c r="B1600" s="5" t="s">
        <v>1865</v>
      </c>
      <c r="C1600" s="6" t="s">
        <v>23</v>
      </c>
      <c r="D1600" s="6" t="s">
        <v>63</v>
      </c>
      <c r="E1600" s="7" t="s">
        <v>572</v>
      </c>
    </row>
    <row r="1601" spans="1:5">
      <c r="A1601" s="4" t="s">
        <v>3599</v>
      </c>
      <c r="B1601" s="5" t="s">
        <v>4376</v>
      </c>
      <c r="C1601" s="6" t="s">
        <v>23</v>
      </c>
      <c r="D1601" s="6" t="s">
        <v>4463</v>
      </c>
      <c r="E1601" s="7" t="s">
        <v>4443</v>
      </c>
    </row>
    <row r="1602" spans="1:5">
      <c r="A1602" s="4" t="s">
        <v>3600</v>
      </c>
      <c r="B1602" s="5" t="s">
        <v>4377</v>
      </c>
      <c r="C1602" s="6" t="s">
        <v>23</v>
      </c>
      <c r="D1602" s="6" t="s">
        <v>4463</v>
      </c>
      <c r="E1602" s="7" t="s">
        <v>4443</v>
      </c>
    </row>
    <row r="1603" spans="1:5">
      <c r="A1603" s="4" t="s">
        <v>3602</v>
      </c>
      <c r="B1603" s="5" t="s">
        <v>4379</v>
      </c>
      <c r="C1603" s="6" t="s">
        <v>23</v>
      </c>
      <c r="D1603" s="6" t="s">
        <v>4463</v>
      </c>
      <c r="E1603" s="7" t="s">
        <v>4443</v>
      </c>
    </row>
    <row r="1604" spans="1:5">
      <c r="A1604" s="4" t="s">
        <v>1868</v>
      </c>
      <c r="B1604" s="5" t="s">
        <v>1867</v>
      </c>
      <c r="C1604" s="6" t="s">
        <v>23</v>
      </c>
      <c r="D1604" s="6" t="s">
        <v>24</v>
      </c>
      <c r="E1604" s="7" t="s">
        <v>4449</v>
      </c>
    </row>
    <row r="1605" spans="1:5">
      <c r="A1605" s="4" t="s">
        <v>1870</v>
      </c>
      <c r="B1605" s="5" t="s">
        <v>1869</v>
      </c>
      <c r="C1605" s="6" t="s">
        <v>23</v>
      </c>
      <c r="D1605" s="6" t="s">
        <v>63</v>
      </c>
      <c r="E1605" s="7" t="s">
        <v>98</v>
      </c>
    </row>
    <row r="1606" spans="1:5">
      <c r="A1606" s="4" t="s">
        <v>3303</v>
      </c>
      <c r="B1606" s="5" t="s">
        <v>4076</v>
      </c>
      <c r="C1606" s="6" t="s">
        <v>23</v>
      </c>
      <c r="D1606" s="6" t="s">
        <v>63</v>
      </c>
      <c r="E1606" s="7" t="s">
        <v>98</v>
      </c>
    </row>
    <row r="1607" spans="1:5">
      <c r="A1607" s="4" t="s">
        <v>1872</v>
      </c>
      <c r="B1607" s="5" t="s">
        <v>1871</v>
      </c>
      <c r="C1607" s="6" t="s">
        <v>23</v>
      </c>
      <c r="D1607" s="6" t="s">
        <v>24</v>
      </c>
      <c r="E1607" s="7" t="s">
        <v>4447</v>
      </c>
    </row>
    <row r="1608" spans="1:5">
      <c r="A1608" s="4" t="s">
        <v>1874</v>
      </c>
      <c r="B1608" s="5" t="s">
        <v>1873</v>
      </c>
      <c r="C1608" s="6" t="s">
        <v>23</v>
      </c>
      <c r="D1608" s="6" t="s">
        <v>63</v>
      </c>
      <c r="E1608" s="7" t="s">
        <v>64</v>
      </c>
    </row>
    <row r="1609" spans="1:5">
      <c r="A1609" s="4" t="s">
        <v>1876</v>
      </c>
      <c r="B1609" s="5" t="s">
        <v>1875</v>
      </c>
      <c r="C1609" s="6" t="s">
        <v>23</v>
      </c>
      <c r="D1609" s="6" t="s">
        <v>24</v>
      </c>
      <c r="E1609" s="7" t="s">
        <v>4446</v>
      </c>
    </row>
    <row r="1610" spans="1:5">
      <c r="A1610" s="4" t="s">
        <v>1878</v>
      </c>
      <c r="B1610" s="5" t="s">
        <v>1877</v>
      </c>
      <c r="C1610" s="6" t="s">
        <v>23</v>
      </c>
      <c r="D1610" s="6" t="s">
        <v>24</v>
      </c>
      <c r="E1610" s="7" t="s">
        <v>4448</v>
      </c>
    </row>
    <row r="1611" spans="1:5">
      <c r="A1611" s="4" t="s">
        <v>1880</v>
      </c>
      <c r="B1611" s="5" t="s">
        <v>1879</v>
      </c>
      <c r="C1611" s="6" t="s">
        <v>23</v>
      </c>
      <c r="D1611" s="6" t="s">
        <v>24</v>
      </c>
      <c r="E1611" s="7" t="s">
        <v>4450</v>
      </c>
    </row>
    <row r="1612" spans="1:5">
      <c r="A1612" s="4" t="s">
        <v>1882</v>
      </c>
      <c r="B1612" s="5" t="s">
        <v>1881</v>
      </c>
      <c r="C1612" s="6" t="s">
        <v>23</v>
      </c>
      <c r="D1612" s="6" t="s">
        <v>24</v>
      </c>
      <c r="E1612" s="7" t="s">
        <v>4449</v>
      </c>
    </row>
    <row r="1613" spans="1:5">
      <c r="A1613" s="4" t="s">
        <v>4545</v>
      </c>
      <c r="B1613" s="5" t="s">
        <v>4546</v>
      </c>
      <c r="C1613" s="6" t="s">
        <v>23</v>
      </c>
      <c r="D1613" s="6" t="s">
        <v>63</v>
      </c>
      <c r="E1613" s="7" t="s">
        <v>98</v>
      </c>
    </row>
    <row r="1614" spans="1:5">
      <c r="A1614" s="4" t="s">
        <v>3293</v>
      </c>
      <c r="B1614" s="5" t="s">
        <v>4063</v>
      </c>
      <c r="C1614" s="6" t="s">
        <v>23</v>
      </c>
      <c r="D1614" s="6" t="s">
        <v>63</v>
      </c>
      <c r="E1614" s="7" t="s">
        <v>98</v>
      </c>
    </row>
    <row r="1615" spans="1:5">
      <c r="A1615" s="4" t="s">
        <v>3293</v>
      </c>
      <c r="B1615" s="5" t="s">
        <v>4068</v>
      </c>
      <c r="C1615" s="6" t="s">
        <v>23</v>
      </c>
      <c r="D1615" s="6" t="s">
        <v>63</v>
      </c>
      <c r="E1615" s="7" t="s">
        <v>98</v>
      </c>
    </row>
    <row r="1616" spans="1:5">
      <c r="A1616" s="4" t="s">
        <v>1884</v>
      </c>
      <c r="B1616" s="5" t="s">
        <v>1883</v>
      </c>
      <c r="C1616" s="6" t="s">
        <v>23</v>
      </c>
      <c r="D1616" s="6" t="s">
        <v>63</v>
      </c>
      <c r="E1616" s="7" t="s">
        <v>4458</v>
      </c>
    </row>
    <row r="1617" spans="1:5">
      <c r="A1617" s="4" t="s">
        <v>1886</v>
      </c>
      <c r="B1617" s="5" t="s">
        <v>1885</v>
      </c>
      <c r="C1617" s="6" t="s">
        <v>23</v>
      </c>
      <c r="D1617" s="6" t="s">
        <v>63</v>
      </c>
      <c r="E1617" s="7" t="s">
        <v>4461</v>
      </c>
    </row>
    <row r="1618" spans="1:5">
      <c r="A1618" s="4" t="s">
        <v>1888</v>
      </c>
      <c r="B1618" s="5" t="s">
        <v>1887</v>
      </c>
      <c r="C1618" s="6" t="s">
        <v>23</v>
      </c>
      <c r="D1618" s="6" t="s">
        <v>63</v>
      </c>
      <c r="E1618" s="7" t="s">
        <v>4460</v>
      </c>
    </row>
    <row r="1619" spans="1:5">
      <c r="A1619" s="4" t="s">
        <v>1890</v>
      </c>
      <c r="B1619" s="5" t="s">
        <v>1889</v>
      </c>
      <c r="C1619" s="6" t="s">
        <v>23</v>
      </c>
      <c r="D1619" s="6" t="s">
        <v>63</v>
      </c>
      <c r="E1619" s="7" t="s">
        <v>4462</v>
      </c>
    </row>
    <row r="1620" spans="1:5">
      <c r="A1620" s="4" t="s">
        <v>1892</v>
      </c>
      <c r="B1620" s="5" t="s">
        <v>1891</v>
      </c>
      <c r="C1620" s="6" t="s">
        <v>23</v>
      </c>
      <c r="D1620" s="6" t="s">
        <v>63</v>
      </c>
      <c r="E1620" s="7" t="s">
        <v>4461</v>
      </c>
    </row>
    <row r="1621" spans="1:5">
      <c r="A1621" s="4" t="s">
        <v>1894</v>
      </c>
      <c r="B1621" s="5" t="s">
        <v>1893</v>
      </c>
      <c r="C1621" s="6" t="s">
        <v>23</v>
      </c>
      <c r="D1621" s="6" t="s">
        <v>63</v>
      </c>
      <c r="E1621" s="7" t="s">
        <v>4458</v>
      </c>
    </row>
    <row r="1622" spans="1:5">
      <c r="A1622" s="4" t="s">
        <v>1896</v>
      </c>
      <c r="B1622" s="5" t="s">
        <v>1895</v>
      </c>
      <c r="C1622" s="6" t="s">
        <v>23</v>
      </c>
      <c r="D1622" s="6" t="s">
        <v>63</v>
      </c>
      <c r="E1622" s="7" t="s">
        <v>95</v>
      </c>
    </row>
    <row r="1623" spans="1:5">
      <c r="A1623" s="4" t="s">
        <v>1898</v>
      </c>
      <c r="B1623" s="5" t="s">
        <v>1897</v>
      </c>
      <c r="C1623" s="6" t="s">
        <v>23</v>
      </c>
      <c r="D1623" s="6" t="s">
        <v>63</v>
      </c>
      <c r="E1623" s="7" t="s">
        <v>425</v>
      </c>
    </row>
    <row r="1624" spans="1:5">
      <c r="A1624" s="4" t="s">
        <v>1900</v>
      </c>
      <c r="B1624" s="5" t="s">
        <v>1899</v>
      </c>
      <c r="C1624" s="6" t="s">
        <v>23</v>
      </c>
      <c r="D1624" s="6" t="s">
        <v>63</v>
      </c>
      <c r="E1624" s="7" t="s">
        <v>92</v>
      </c>
    </row>
    <row r="1625" spans="1:5">
      <c r="A1625" s="4" t="s">
        <v>1902</v>
      </c>
      <c r="B1625" s="5" t="s">
        <v>1901</v>
      </c>
      <c r="C1625" s="6" t="s">
        <v>23</v>
      </c>
      <c r="D1625" s="6" t="s">
        <v>63</v>
      </c>
      <c r="E1625" s="7" t="s">
        <v>92</v>
      </c>
    </row>
    <row r="1626" spans="1:5">
      <c r="A1626" s="4" t="s">
        <v>1904</v>
      </c>
      <c r="B1626" s="5" t="s">
        <v>1903</v>
      </c>
      <c r="C1626" s="6" t="s">
        <v>23</v>
      </c>
      <c r="D1626" s="6" t="s">
        <v>63</v>
      </c>
      <c r="E1626" s="7" t="s">
        <v>572</v>
      </c>
    </row>
    <row r="1627" spans="1:5">
      <c r="A1627" s="4" t="s">
        <v>1906</v>
      </c>
      <c r="B1627" s="5" t="s">
        <v>1905</v>
      </c>
      <c r="C1627" s="6" t="s">
        <v>23</v>
      </c>
      <c r="D1627" s="6" t="s">
        <v>63</v>
      </c>
      <c r="E1627" s="7" t="s">
        <v>95</v>
      </c>
    </row>
    <row r="1628" spans="1:5">
      <c r="A1628" s="4" t="s">
        <v>1908</v>
      </c>
      <c r="B1628" s="5" t="s">
        <v>1907</v>
      </c>
      <c r="C1628" s="6" t="s">
        <v>23</v>
      </c>
      <c r="D1628" s="6" t="s">
        <v>63</v>
      </c>
      <c r="E1628" s="7" t="s">
        <v>4460</v>
      </c>
    </row>
    <row r="1629" spans="1:5">
      <c r="A1629" s="4" t="s">
        <v>1910</v>
      </c>
      <c r="B1629" s="5" t="s">
        <v>1909</v>
      </c>
      <c r="C1629" s="6" t="s">
        <v>23</v>
      </c>
      <c r="D1629" s="6" t="s">
        <v>63</v>
      </c>
      <c r="E1629" s="7" t="s">
        <v>4462</v>
      </c>
    </row>
    <row r="1630" spans="1:5">
      <c r="A1630" s="4" t="s">
        <v>1912</v>
      </c>
      <c r="B1630" s="5" t="s">
        <v>1911</v>
      </c>
      <c r="C1630" s="6" t="s">
        <v>23</v>
      </c>
      <c r="D1630" s="6" t="s">
        <v>24</v>
      </c>
      <c r="E1630" s="7" t="s">
        <v>4457</v>
      </c>
    </row>
    <row r="1631" spans="1:5">
      <c r="A1631" s="4" t="s">
        <v>1914</v>
      </c>
      <c r="B1631" s="5" t="s">
        <v>1913</v>
      </c>
      <c r="C1631" s="6" t="s">
        <v>23</v>
      </c>
      <c r="D1631" s="6" t="s">
        <v>24</v>
      </c>
      <c r="E1631" s="7" t="s">
        <v>4447</v>
      </c>
    </row>
    <row r="1632" spans="1:5">
      <c r="A1632" s="4" t="s">
        <v>1916</v>
      </c>
      <c r="B1632" s="5" t="s">
        <v>1915</v>
      </c>
      <c r="C1632" s="6" t="s">
        <v>23</v>
      </c>
      <c r="D1632" s="6" t="s">
        <v>24</v>
      </c>
      <c r="E1632" s="7" t="s">
        <v>4448</v>
      </c>
    </row>
    <row r="1633" spans="1:5">
      <c r="A1633" s="4" t="s">
        <v>1918</v>
      </c>
      <c r="B1633" s="5" t="s">
        <v>1917</v>
      </c>
      <c r="C1633" s="6" t="s">
        <v>23</v>
      </c>
      <c r="D1633" s="6" t="s">
        <v>24</v>
      </c>
      <c r="E1633" s="7" t="s">
        <v>4450</v>
      </c>
    </row>
    <row r="1634" spans="1:5">
      <c r="A1634" s="4" t="s">
        <v>1920</v>
      </c>
      <c r="B1634" s="5" t="s">
        <v>1919</v>
      </c>
      <c r="C1634" s="6" t="s">
        <v>23</v>
      </c>
      <c r="D1634" s="6" t="s">
        <v>24</v>
      </c>
      <c r="E1634" s="7" t="s">
        <v>4451</v>
      </c>
    </row>
    <row r="1635" spans="1:5">
      <c r="A1635" s="4" t="s">
        <v>1922</v>
      </c>
      <c r="B1635" s="5" t="s">
        <v>1921</v>
      </c>
      <c r="C1635" s="12" t="s">
        <v>23</v>
      </c>
      <c r="D1635" s="12" t="s">
        <v>24</v>
      </c>
      <c r="E1635" s="7" t="s">
        <v>4452</v>
      </c>
    </row>
    <row r="1636" spans="1:5">
      <c r="A1636" s="4" t="s">
        <v>1924</v>
      </c>
      <c r="B1636" s="5" t="s">
        <v>1923</v>
      </c>
      <c r="C1636" s="6" t="s">
        <v>23</v>
      </c>
      <c r="D1636" s="6" t="s">
        <v>24</v>
      </c>
      <c r="E1636" s="7" t="s">
        <v>4456</v>
      </c>
    </row>
    <row r="1637" spans="1:5">
      <c r="A1637" s="4" t="s">
        <v>1926</v>
      </c>
      <c r="B1637" s="5" t="s">
        <v>1925</v>
      </c>
      <c r="C1637" s="6" t="s">
        <v>23</v>
      </c>
      <c r="D1637" s="6" t="s">
        <v>24</v>
      </c>
      <c r="E1637" s="7" t="s">
        <v>4447</v>
      </c>
    </row>
    <row r="1638" spans="1:5">
      <c r="A1638" s="4" t="s">
        <v>1928</v>
      </c>
      <c r="B1638" s="5" t="s">
        <v>1927</v>
      </c>
      <c r="C1638" s="6" t="s">
        <v>23</v>
      </c>
      <c r="D1638" s="6" t="s">
        <v>24</v>
      </c>
      <c r="E1638" s="7" t="s">
        <v>4448</v>
      </c>
    </row>
    <row r="1639" spans="1:5">
      <c r="A1639" s="4" t="s">
        <v>1930</v>
      </c>
      <c r="B1639" s="5" t="s">
        <v>1929</v>
      </c>
      <c r="C1639" s="6" t="s">
        <v>23</v>
      </c>
      <c r="D1639" s="6" t="s">
        <v>24</v>
      </c>
      <c r="E1639" s="7" t="s">
        <v>4450</v>
      </c>
    </row>
    <row r="1640" spans="1:5">
      <c r="A1640" s="4" t="s">
        <v>1932</v>
      </c>
      <c r="B1640" s="5" t="s">
        <v>1931</v>
      </c>
      <c r="C1640" s="6" t="s">
        <v>23</v>
      </c>
      <c r="D1640" s="6" t="s">
        <v>24</v>
      </c>
      <c r="E1640" s="7" t="s">
        <v>4454</v>
      </c>
    </row>
    <row r="1641" spans="1:5">
      <c r="A1641" s="4" t="s">
        <v>1934</v>
      </c>
      <c r="B1641" s="5" t="s">
        <v>1933</v>
      </c>
      <c r="C1641" s="6" t="s">
        <v>23</v>
      </c>
      <c r="D1641" s="6" t="s">
        <v>24</v>
      </c>
      <c r="E1641" s="7" t="s">
        <v>4452</v>
      </c>
    </row>
    <row r="1642" spans="1:5">
      <c r="A1642" s="4" t="s">
        <v>1936</v>
      </c>
      <c r="B1642" s="5" t="s">
        <v>1935</v>
      </c>
      <c r="C1642" s="6" t="s">
        <v>23</v>
      </c>
      <c r="D1642" s="6" t="s">
        <v>24</v>
      </c>
      <c r="E1642" s="7" t="s">
        <v>4451</v>
      </c>
    </row>
    <row r="1643" spans="1:5">
      <c r="A1643" s="4" t="s">
        <v>3330</v>
      </c>
      <c r="B1643" s="5" t="s">
        <v>4100</v>
      </c>
      <c r="C1643" s="6" t="s">
        <v>23</v>
      </c>
      <c r="D1643" s="6" t="s">
        <v>4445</v>
      </c>
      <c r="E1643" s="7" t="s">
        <v>4443</v>
      </c>
    </row>
    <row r="1644" spans="1:5">
      <c r="A1644" s="4" t="s">
        <v>1938</v>
      </c>
      <c r="B1644" s="5" t="s">
        <v>1937</v>
      </c>
      <c r="C1644" s="6" t="s">
        <v>23</v>
      </c>
      <c r="D1644" s="6" t="s">
        <v>320</v>
      </c>
      <c r="E1644" s="7" t="s">
        <v>4444</v>
      </c>
    </row>
    <row r="1645" spans="1:5">
      <c r="A1645" s="4" t="s">
        <v>1940</v>
      </c>
      <c r="B1645" s="5" t="s">
        <v>1939</v>
      </c>
      <c r="C1645" s="6" t="s">
        <v>23</v>
      </c>
      <c r="D1645" s="6" t="s">
        <v>320</v>
      </c>
      <c r="E1645" s="7" t="s">
        <v>4444</v>
      </c>
    </row>
    <row r="1646" spans="1:5">
      <c r="A1646" s="4" t="s">
        <v>4471</v>
      </c>
      <c r="B1646" s="5" t="s">
        <v>4472</v>
      </c>
      <c r="C1646" s="6" t="s">
        <v>23</v>
      </c>
      <c r="D1646" s="6" t="s">
        <v>320</v>
      </c>
      <c r="E1646" s="7" t="s">
        <v>4444</v>
      </c>
    </row>
    <row r="1647" spans="1:5">
      <c r="A1647" s="4" t="s">
        <v>1942</v>
      </c>
      <c r="B1647" s="5" t="s">
        <v>1941</v>
      </c>
      <c r="C1647" s="6" t="s">
        <v>23</v>
      </c>
      <c r="D1647" s="6" t="s">
        <v>63</v>
      </c>
      <c r="E1647" s="7" t="s">
        <v>572</v>
      </c>
    </row>
    <row r="1648" spans="1:5">
      <c r="A1648" s="4" t="s">
        <v>1944</v>
      </c>
      <c r="B1648" s="5" t="s">
        <v>1943</v>
      </c>
      <c r="C1648" s="6" t="s">
        <v>23</v>
      </c>
      <c r="D1648" s="6" t="s">
        <v>63</v>
      </c>
      <c r="E1648" s="7" t="s">
        <v>4458</v>
      </c>
    </row>
    <row r="1649" spans="1:5">
      <c r="A1649" s="4" t="s">
        <v>1946</v>
      </c>
      <c r="B1649" s="5" t="s">
        <v>1945</v>
      </c>
      <c r="C1649" s="6" t="s">
        <v>23</v>
      </c>
      <c r="D1649" s="6" t="s">
        <v>63</v>
      </c>
      <c r="E1649" s="7" t="s">
        <v>95</v>
      </c>
    </row>
    <row r="1650" spans="1:5">
      <c r="A1650" s="4" t="s">
        <v>1948</v>
      </c>
      <c r="B1650" s="5" t="s">
        <v>1947</v>
      </c>
      <c r="C1650" s="6" t="s">
        <v>23</v>
      </c>
      <c r="D1650" s="6" t="s">
        <v>24</v>
      </c>
      <c r="E1650" s="7" t="s">
        <v>4449</v>
      </c>
    </row>
    <row r="1651" spans="1:5">
      <c r="A1651" s="4" t="s">
        <v>1950</v>
      </c>
      <c r="B1651" s="5" t="s">
        <v>1949</v>
      </c>
      <c r="C1651" s="6" t="s">
        <v>23</v>
      </c>
      <c r="D1651" s="6" t="s">
        <v>24</v>
      </c>
      <c r="E1651" s="7" t="s">
        <v>4447</v>
      </c>
    </row>
    <row r="1652" spans="1:5">
      <c r="A1652" s="4" t="s">
        <v>3332</v>
      </c>
      <c r="B1652" s="5" t="s">
        <v>4102</v>
      </c>
      <c r="C1652" s="6" t="s">
        <v>23</v>
      </c>
      <c r="D1652" s="6" t="s">
        <v>4445</v>
      </c>
      <c r="E1652" s="7" t="s">
        <v>4443</v>
      </c>
    </row>
    <row r="1653" spans="1:5">
      <c r="A1653" s="4" t="s">
        <v>3272</v>
      </c>
      <c r="B1653" s="5" t="s">
        <v>4042</v>
      </c>
      <c r="C1653" s="6" t="s">
        <v>23</v>
      </c>
      <c r="D1653" s="6" t="s">
        <v>4445</v>
      </c>
      <c r="E1653" s="7" t="s">
        <v>4443</v>
      </c>
    </row>
    <row r="1654" spans="1:5">
      <c r="A1654" s="4" t="s">
        <v>3281</v>
      </c>
      <c r="B1654" s="5" t="s">
        <v>4051</v>
      </c>
      <c r="C1654" s="6" t="s">
        <v>23</v>
      </c>
      <c r="D1654" s="6" t="s">
        <v>4445</v>
      </c>
      <c r="E1654" s="7" t="s">
        <v>4443</v>
      </c>
    </row>
    <row r="1655" spans="1:5">
      <c r="A1655" s="11" t="s">
        <v>3286</v>
      </c>
      <c r="B1655" s="5" t="s">
        <v>4056</v>
      </c>
      <c r="C1655" s="12" t="s">
        <v>23</v>
      </c>
      <c r="D1655" s="12" t="s">
        <v>4445</v>
      </c>
      <c r="E1655" s="7" t="s">
        <v>4443</v>
      </c>
    </row>
    <row r="1656" spans="1:5">
      <c r="A1656" s="4" t="s">
        <v>3164</v>
      </c>
      <c r="B1656" s="5" t="s">
        <v>3934</v>
      </c>
      <c r="C1656" s="6" t="s">
        <v>23</v>
      </c>
      <c r="D1656" s="6" t="s">
        <v>4445</v>
      </c>
      <c r="E1656" s="7" t="s">
        <v>4443</v>
      </c>
    </row>
    <row r="1657" spans="1:5">
      <c r="A1657" s="4" t="s">
        <v>3265</v>
      </c>
      <c r="B1657" s="5" t="s">
        <v>4035</v>
      </c>
      <c r="C1657" s="6" t="s">
        <v>23</v>
      </c>
      <c r="D1657" s="6" t="s">
        <v>4445</v>
      </c>
      <c r="E1657" s="7" t="s">
        <v>4443</v>
      </c>
    </row>
    <row r="1658" spans="1:5">
      <c r="A1658" s="4" t="s">
        <v>3228</v>
      </c>
      <c r="B1658" s="5" t="s">
        <v>3998</v>
      </c>
      <c r="C1658" s="6" t="s">
        <v>23</v>
      </c>
      <c r="D1658" s="6" t="s">
        <v>4445</v>
      </c>
      <c r="E1658" s="7" t="s">
        <v>4443</v>
      </c>
    </row>
    <row r="1659" spans="1:5">
      <c r="A1659" s="4" t="s">
        <v>3270</v>
      </c>
      <c r="B1659" s="5" t="s">
        <v>4040</v>
      </c>
      <c r="C1659" s="6" t="s">
        <v>23</v>
      </c>
      <c r="D1659" s="6" t="s">
        <v>4445</v>
      </c>
      <c r="E1659" s="7" t="s">
        <v>4443</v>
      </c>
    </row>
    <row r="1660" spans="1:5">
      <c r="A1660" s="4" t="s">
        <v>3280</v>
      </c>
      <c r="B1660" s="5" t="s">
        <v>4050</v>
      </c>
      <c r="C1660" s="6" t="s">
        <v>23</v>
      </c>
      <c r="D1660" s="6" t="s">
        <v>4445</v>
      </c>
      <c r="E1660" s="7" t="s">
        <v>4443</v>
      </c>
    </row>
    <row r="1661" spans="1:5">
      <c r="A1661" s="4" t="s">
        <v>3165</v>
      </c>
      <c r="B1661" s="5" t="s">
        <v>3935</v>
      </c>
      <c r="C1661" s="6" t="s">
        <v>23</v>
      </c>
      <c r="D1661" s="6" t="s">
        <v>4445</v>
      </c>
      <c r="E1661" s="7" t="s">
        <v>4443</v>
      </c>
    </row>
    <row r="1662" spans="1:5">
      <c r="A1662" s="4" t="s">
        <v>3166</v>
      </c>
      <c r="B1662" s="5" t="s">
        <v>3936</v>
      </c>
      <c r="C1662" s="6" t="s">
        <v>23</v>
      </c>
      <c r="D1662" s="6" t="s">
        <v>4445</v>
      </c>
      <c r="E1662" s="7" t="s">
        <v>4443</v>
      </c>
    </row>
    <row r="1663" spans="1:5">
      <c r="A1663" s="4" t="s">
        <v>3167</v>
      </c>
      <c r="B1663" s="5" t="s">
        <v>3937</v>
      </c>
      <c r="C1663" s="6" t="s">
        <v>23</v>
      </c>
      <c r="D1663" s="6" t="s">
        <v>4445</v>
      </c>
      <c r="E1663" s="7" t="s">
        <v>4443</v>
      </c>
    </row>
    <row r="1664" spans="1:5">
      <c r="A1664" s="4" t="s">
        <v>3168</v>
      </c>
      <c r="B1664" s="5" t="s">
        <v>3938</v>
      </c>
      <c r="C1664" s="6" t="s">
        <v>23</v>
      </c>
      <c r="D1664" s="6" t="s">
        <v>4445</v>
      </c>
      <c r="E1664" s="7" t="s">
        <v>4443</v>
      </c>
    </row>
    <row r="1665" spans="1:5">
      <c r="A1665" s="4" t="s">
        <v>3279</v>
      </c>
      <c r="B1665" s="5" t="s">
        <v>4049</v>
      </c>
      <c r="C1665" s="6" t="s">
        <v>23</v>
      </c>
      <c r="D1665" s="6" t="s">
        <v>4445</v>
      </c>
      <c r="E1665" s="7" t="s">
        <v>4443</v>
      </c>
    </row>
    <row r="1666" spans="1:5">
      <c r="A1666" s="4" t="s">
        <v>3274</v>
      </c>
      <c r="B1666" s="5" t="s">
        <v>4044</v>
      </c>
      <c r="C1666" s="6" t="s">
        <v>23</v>
      </c>
      <c r="D1666" s="6" t="s">
        <v>4445</v>
      </c>
      <c r="E1666" s="7" t="s">
        <v>4443</v>
      </c>
    </row>
    <row r="1667" spans="1:5">
      <c r="A1667" s="4" t="s">
        <v>3268</v>
      </c>
      <c r="B1667" s="5" t="s">
        <v>4038</v>
      </c>
      <c r="C1667" s="6" t="s">
        <v>23</v>
      </c>
      <c r="D1667" s="6" t="s">
        <v>4445</v>
      </c>
      <c r="E1667" s="7" t="s">
        <v>4443</v>
      </c>
    </row>
    <row r="1668" spans="1:5">
      <c r="A1668" s="4" t="s">
        <v>3182</v>
      </c>
      <c r="B1668" s="5" t="s">
        <v>3952</v>
      </c>
      <c r="C1668" s="6" t="s">
        <v>23</v>
      </c>
      <c r="D1668" s="6" t="s">
        <v>4445</v>
      </c>
      <c r="E1668" s="7" t="s">
        <v>4443</v>
      </c>
    </row>
    <row r="1669" spans="1:5">
      <c r="A1669" s="4" t="s">
        <v>3179</v>
      </c>
      <c r="B1669" s="5" t="s">
        <v>3949</v>
      </c>
      <c r="C1669" s="6" t="s">
        <v>23</v>
      </c>
      <c r="D1669" s="6" t="s">
        <v>4445</v>
      </c>
      <c r="E1669" s="7" t="s">
        <v>4443</v>
      </c>
    </row>
    <row r="1670" spans="1:5">
      <c r="A1670" s="4" t="s">
        <v>3169</v>
      </c>
      <c r="B1670" s="5" t="s">
        <v>3939</v>
      </c>
      <c r="C1670" s="6" t="s">
        <v>23</v>
      </c>
      <c r="D1670" s="6" t="s">
        <v>4445</v>
      </c>
      <c r="E1670" s="7" t="s">
        <v>4443</v>
      </c>
    </row>
    <row r="1671" spans="1:5">
      <c r="A1671" s="4" t="s">
        <v>3170</v>
      </c>
      <c r="B1671" s="5" t="s">
        <v>3940</v>
      </c>
      <c r="C1671" s="6" t="s">
        <v>23</v>
      </c>
      <c r="D1671" s="6" t="s">
        <v>4445</v>
      </c>
      <c r="E1671" s="7" t="s">
        <v>4443</v>
      </c>
    </row>
    <row r="1672" spans="1:5">
      <c r="A1672" s="11" t="s">
        <v>3171</v>
      </c>
      <c r="B1672" s="5" t="s">
        <v>3941</v>
      </c>
      <c r="C1672" s="12" t="s">
        <v>23</v>
      </c>
      <c r="D1672" s="12" t="s">
        <v>4445</v>
      </c>
      <c r="E1672" s="7" t="s">
        <v>4443</v>
      </c>
    </row>
    <row r="1673" spans="1:5">
      <c r="A1673" s="4" t="s">
        <v>3184</v>
      </c>
      <c r="B1673" s="5" t="s">
        <v>3954</v>
      </c>
      <c r="C1673" s="6" t="s">
        <v>23</v>
      </c>
      <c r="D1673" s="6" t="s">
        <v>4445</v>
      </c>
      <c r="E1673" s="7" t="s">
        <v>4443</v>
      </c>
    </row>
    <row r="1674" spans="1:5">
      <c r="A1674" s="4" t="s">
        <v>3273</v>
      </c>
      <c r="B1674" s="5" t="s">
        <v>4043</v>
      </c>
      <c r="C1674" s="6" t="s">
        <v>23</v>
      </c>
      <c r="D1674" s="6" t="s">
        <v>4445</v>
      </c>
      <c r="E1674" s="7" t="s">
        <v>4443</v>
      </c>
    </row>
    <row r="1675" spans="1:5">
      <c r="A1675" s="4" t="s">
        <v>3308</v>
      </c>
      <c r="B1675" s="5" t="s">
        <v>4081</v>
      </c>
      <c r="C1675" s="6" t="s">
        <v>23</v>
      </c>
      <c r="D1675" s="6" t="s">
        <v>4445</v>
      </c>
      <c r="E1675" s="7" t="s">
        <v>4443</v>
      </c>
    </row>
    <row r="1676" spans="1:5">
      <c r="A1676" s="4" t="s">
        <v>3309</v>
      </c>
      <c r="B1676" s="5" t="s">
        <v>4082</v>
      </c>
      <c r="C1676" s="6" t="s">
        <v>23</v>
      </c>
      <c r="D1676" s="6" t="s">
        <v>4445</v>
      </c>
      <c r="E1676" s="7" t="s">
        <v>4443</v>
      </c>
    </row>
    <row r="1677" spans="1:5">
      <c r="A1677" s="4" t="s">
        <v>3267</v>
      </c>
      <c r="B1677" s="5" t="s">
        <v>4037</v>
      </c>
      <c r="C1677" s="6" t="s">
        <v>23</v>
      </c>
      <c r="D1677" s="6" t="s">
        <v>4445</v>
      </c>
      <c r="E1677" s="7" t="s">
        <v>4443</v>
      </c>
    </row>
    <row r="1678" spans="1:5">
      <c r="A1678" s="4" t="s">
        <v>3172</v>
      </c>
      <c r="B1678" s="5" t="s">
        <v>3942</v>
      </c>
      <c r="C1678" s="6" t="s">
        <v>23</v>
      </c>
      <c r="D1678" s="6" t="s">
        <v>4445</v>
      </c>
      <c r="E1678" s="7" t="s">
        <v>4443</v>
      </c>
    </row>
    <row r="1679" spans="1:5">
      <c r="A1679" s="4" t="s">
        <v>3173</v>
      </c>
      <c r="B1679" s="5" t="s">
        <v>3943</v>
      </c>
      <c r="C1679" s="6" t="s">
        <v>23</v>
      </c>
      <c r="D1679" s="6" t="s">
        <v>4445</v>
      </c>
      <c r="E1679" s="7" t="s">
        <v>4443</v>
      </c>
    </row>
    <row r="1680" spans="1:5">
      <c r="A1680" s="4" t="s">
        <v>3259</v>
      </c>
      <c r="B1680" s="5" t="s">
        <v>4029</v>
      </c>
      <c r="C1680" s="6" t="s">
        <v>23</v>
      </c>
      <c r="D1680" s="6" t="s">
        <v>4445</v>
      </c>
      <c r="E1680" s="7" t="s">
        <v>4443</v>
      </c>
    </row>
    <row r="1681" spans="1:5">
      <c r="A1681" s="4" t="s">
        <v>3276</v>
      </c>
      <c r="B1681" s="5" t="s">
        <v>4046</v>
      </c>
      <c r="C1681" s="6" t="s">
        <v>23</v>
      </c>
      <c r="D1681" s="6" t="s">
        <v>4445</v>
      </c>
      <c r="E1681" s="7" t="s">
        <v>4443</v>
      </c>
    </row>
    <row r="1682" spans="1:5">
      <c r="A1682" s="4" t="s">
        <v>3183</v>
      </c>
      <c r="B1682" s="5" t="s">
        <v>3953</v>
      </c>
      <c r="C1682" s="6" t="s">
        <v>23</v>
      </c>
      <c r="D1682" s="6" t="s">
        <v>4445</v>
      </c>
      <c r="E1682" s="7" t="s">
        <v>4443</v>
      </c>
    </row>
    <row r="1683" spans="1:5">
      <c r="A1683" s="4" t="s">
        <v>3275</v>
      </c>
      <c r="B1683" s="5" t="s">
        <v>4045</v>
      </c>
      <c r="C1683" s="6" t="s">
        <v>23</v>
      </c>
      <c r="D1683" s="6" t="s">
        <v>4445</v>
      </c>
      <c r="E1683" s="7" t="s">
        <v>4443</v>
      </c>
    </row>
    <row r="1684" spans="1:5">
      <c r="A1684" s="4" t="s">
        <v>3269</v>
      </c>
      <c r="B1684" s="5" t="s">
        <v>4039</v>
      </c>
      <c r="C1684" s="6" t="s">
        <v>23</v>
      </c>
      <c r="D1684" s="6" t="s">
        <v>4445</v>
      </c>
      <c r="E1684" s="7" t="s">
        <v>4443</v>
      </c>
    </row>
    <row r="1685" spans="1:5">
      <c r="A1685" s="11" t="s">
        <v>3174</v>
      </c>
      <c r="B1685" s="5" t="s">
        <v>3944</v>
      </c>
      <c r="C1685" s="12" t="s">
        <v>23</v>
      </c>
      <c r="D1685" s="12" t="s">
        <v>4445</v>
      </c>
      <c r="E1685" s="7" t="s">
        <v>4443</v>
      </c>
    </row>
    <row r="1686" spans="1:5">
      <c r="A1686" s="11" t="s">
        <v>3175</v>
      </c>
      <c r="B1686" s="10" t="s">
        <v>3945</v>
      </c>
      <c r="C1686" s="12" t="s">
        <v>23</v>
      </c>
      <c r="D1686" s="12" t="s">
        <v>4445</v>
      </c>
      <c r="E1686" s="7" t="s">
        <v>4443</v>
      </c>
    </row>
    <row r="1687" spans="1:5">
      <c r="A1687" s="4" t="s">
        <v>3010</v>
      </c>
      <c r="B1687" s="5" t="s">
        <v>3778</v>
      </c>
      <c r="C1687" s="6" t="s">
        <v>23</v>
      </c>
      <c r="D1687" s="6" t="s">
        <v>4445</v>
      </c>
      <c r="E1687" s="7" t="s">
        <v>4443</v>
      </c>
    </row>
    <row r="1688" spans="1:5">
      <c r="A1688" s="11" t="s">
        <v>3285</v>
      </c>
      <c r="B1688" s="5" t="s">
        <v>4055</v>
      </c>
      <c r="C1688" s="12" t="s">
        <v>23</v>
      </c>
      <c r="D1688" s="12" t="s">
        <v>4445</v>
      </c>
      <c r="E1688" s="7" t="s">
        <v>4443</v>
      </c>
    </row>
    <row r="1689" spans="1:5">
      <c r="A1689" s="4" t="s">
        <v>3271</v>
      </c>
      <c r="B1689" s="5" t="s">
        <v>4041</v>
      </c>
      <c r="C1689" s="6" t="s">
        <v>23</v>
      </c>
      <c r="D1689" s="6" t="s">
        <v>4445</v>
      </c>
      <c r="E1689" s="7" t="s">
        <v>4443</v>
      </c>
    </row>
    <row r="1690" spans="1:5">
      <c r="A1690" s="4" t="s">
        <v>3266</v>
      </c>
      <c r="B1690" s="5" t="s">
        <v>4036</v>
      </c>
      <c r="C1690" s="6" t="s">
        <v>23</v>
      </c>
      <c r="D1690" s="6" t="s">
        <v>4445</v>
      </c>
      <c r="E1690" s="7" t="s">
        <v>4443</v>
      </c>
    </row>
    <row r="1691" spans="1:5">
      <c r="A1691" s="4" t="s">
        <v>3176</v>
      </c>
      <c r="B1691" s="5" t="s">
        <v>3946</v>
      </c>
      <c r="C1691" s="6" t="s">
        <v>23</v>
      </c>
      <c r="D1691" s="6" t="s">
        <v>4445</v>
      </c>
      <c r="E1691" s="7" t="s">
        <v>4443</v>
      </c>
    </row>
    <row r="1692" spans="1:5">
      <c r="A1692" s="11" t="s">
        <v>3177</v>
      </c>
      <c r="B1692" s="5" t="s">
        <v>3947</v>
      </c>
      <c r="C1692" s="12" t="s">
        <v>23</v>
      </c>
      <c r="D1692" s="12" t="s">
        <v>4445</v>
      </c>
      <c r="E1692" s="7" t="s">
        <v>4443</v>
      </c>
    </row>
    <row r="1693" spans="1:5">
      <c r="A1693" s="4" t="s">
        <v>3178</v>
      </c>
      <c r="B1693" s="5" t="s">
        <v>3948</v>
      </c>
      <c r="C1693" s="6" t="s">
        <v>23</v>
      </c>
      <c r="D1693" s="6" t="s">
        <v>4445</v>
      </c>
      <c r="E1693" s="7" t="s">
        <v>4443</v>
      </c>
    </row>
    <row r="1694" spans="1:5">
      <c r="A1694" s="11" t="s">
        <v>3249</v>
      </c>
      <c r="B1694" s="5" t="s">
        <v>4019</v>
      </c>
      <c r="C1694" s="12" t="s">
        <v>23</v>
      </c>
      <c r="D1694" s="12" t="s">
        <v>4445</v>
      </c>
      <c r="E1694" s="7" t="s">
        <v>4443</v>
      </c>
    </row>
    <row r="1695" spans="1:5">
      <c r="A1695" s="11" t="s">
        <v>3255</v>
      </c>
      <c r="B1695" s="5" t="s">
        <v>4025</v>
      </c>
      <c r="C1695" s="12" t="s">
        <v>23</v>
      </c>
      <c r="D1695" s="12" t="s">
        <v>4445</v>
      </c>
      <c r="E1695" s="7" t="s">
        <v>4443</v>
      </c>
    </row>
    <row r="1696" spans="1:5">
      <c r="A1696" s="4" t="s">
        <v>3482</v>
      </c>
      <c r="B1696" s="5" t="s">
        <v>4256</v>
      </c>
      <c r="C1696" s="6" t="s">
        <v>23</v>
      </c>
      <c r="D1696" s="6" t="s">
        <v>4445</v>
      </c>
      <c r="E1696" s="7" t="s">
        <v>4443</v>
      </c>
    </row>
    <row r="1697" spans="1:5">
      <c r="A1697" s="11" t="s">
        <v>3483</v>
      </c>
      <c r="B1697" s="5" t="s">
        <v>4257</v>
      </c>
      <c r="C1697" s="12" t="s">
        <v>23</v>
      </c>
      <c r="D1697" s="12" t="s">
        <v>4445</v>
      </c>
      <c r="E1697" s="7" t="s">
        <v>4443</v>
      </c>
    </row>
    <row r="1698" spans="1:5">
      <c r="A1698" s="11" t="s">
        <v>3570</v>
      </c>
      <c r="B1698" s="5" t="s">
        <v>4346</v>
      </c>
      <c r="C1698" s="12" t="s">
        <v>23</v>
      </c>
      <c r="D1698" s="12" t="s">
        <v>4445</v>
      </c>
      <c r="E1698" s="7" t="s">
        <v>4443</v>
      </c>
    </row>
    <row r="1699" spans="1:5">
      <c r="A1699" s="4" t="s">
        <v>3484</v>
      </c>
      <c r="B1699" s="5" t="s">
        <v>4258</v>
      </c>
      <c r="C1699" s="6" t="s">
        <v>23</v>
      </c>
      <c r="D1699" s="6" t="s">
        <v>4445</v>
      </c>
      <c r="E1699" s="7" t="s">
        <v>4443</v>
      </c>
    </row>
    <row r="1700" spans="1:5">
      <c r="A1700" s="4" t="s">
        <v>3257</v>
      </c>
      <c r="B1700" s="5" t="s">
        <v>4027</v>
      </c>
      <c r="C1700" s="6" t="s">
        <v>23</v>
      </c>
      <c r="D1700" s="6" t="s">
        <v>4445</v>
      </c>
      <c r="E1700" s="7" t="s">
        <v>4443</v>
      </c>
    </row>
    <row r="1701" spans="1:5">
      <c r="A1701" s="4" t="s">
        <v>3258</v>
      </c>
      <c r="B1701" s="5" t="s">
        <v>4028</v>
      </c>
      <c r="C1701" s="6" t="s">
        <v>23</v>
      </c>
      <c r="D1701" s="6" t="s">
        <v>4445</v>
      </c>
      <c r="E1701" s="7" t="s">
        <v>4443</v>
      </c>
    </row>
    <row r="1702" spans="1:5">
      <c r="A1702" s="4" t="s">
        <v>3039</v>
      </c>
      <c r="B1702" s="5" t="s">
        <v>3808</v>
      </c>
      <c r="C1702" s="6" t="s">
        <v>23</v>
      </c>
      <c r="D1702" s="6" t="s">
        <v>4445</v>
      </c>
      <c r="E1702" s="7" t="s">
        <v>4443</v>
      </c>
    </row>
    <row r="1703" spans="1:5">
      <c r="A1703" s="4" t="s">
        <v>3485</v>
      </c>
      <c r="B1703" s="5" t="s">
        <v>4259</v>
      </c>
      <c r="C1703" s="6" t="s">
        <v>23</v>
      </c>
      <c r="D1703" s="6" t="s">
        <v>4445</v>
      </c>
      <c r="E1703" s="7" t="s">
        <v>4443</v>
      </c>
    </row>
    <row r="1704" spans="1:5">
      <c r="A1704" s="4" t="s">
        <v>3556</v>
      </c>
      <c r="B1704" s="5" t="s">
        <v>4331</v>
      </c>
      <c r="C1704" s="6" t="s">
        <v>23</v>
      </c>
      <c r="D1704" s="6" t="s">
        <v>4445</v>
      </c>
      <c r="E1704" s="7" t="s">
        <v>4443</v>
      </c>
    </row>
    <row r="1705" spans="1:5">
      <c r="A1705" s="4" t="s">
        <v>3486</v>
      </c>
      <c r="B1705" s="5" t="s">
        <v>4260</v>
      </c>
      <c r="C1705" s="6" t="s">
        <v>23</v>
      </c>
      <c r="D1705" s="6" t="s">
        <v>4445</v>
      </c>
      <c r="E1705" s="7" t="s">
        <v>4443</v>
      </c>
    </row>
    <row r="1706" spans="1:5">
      <c r="A1706" s="4" t="s">
        <v>3487</v>
      </c>
      <c r="B1706" s="5" t="s">
        <v>4261</v>
      </c>
      <c r="C1706" s="6" t="s">
        <v>23</v>
      </c>
      <c r="D1706" s="6" t="s">
        <v>4445</v>
      </c>
      <c r="E1706" s="7" t="s">
        <v>4443</v>
      </c>
    </row>
    <row r="1707" spans="1:5">
      <c r="A1707" s="4" t="s">
        <v>3488</v>
      </c>
      <c r="B1707" s="5" t="s">
        <v>4262</v>
      </c>
      <c r="C1707" s="6" t="s">
        <v>23</v>
      </c>
      <c r="D1707" s="6" t="s">
        <v>4445</v>
      </c>
      <c r="E1707" s="7" t="s">
        <v>4443</v>
      </c>
    </row>
    <row r="1708" spans="1:5">
      <c r="A1708" s="4" t="s">
        <v>3489</v>
      </c>
      <c r="B1708" s="5" t="s">
        <v>4263</v>
      </c>
      <c r="C1708" s="6" t="s">
        <v>23</v>
      </c>
      <c r="D1708" s="6" t="s">
        <v>4445</v>
      </c>
      <c r="E1708" s="7" t="s">
        <v>4443</v>
      </c>
    </row>
    <row r="1709" spans="1:5">
      <c r="A1709" s="4" t="s">
        <v>3490</v>
      </c>
      <c r="B1709" s="5" t="s">
        <v>4264</v>
      </c>
      <c r="C1709" s="6" t="s">
        <v>23</v>
      </c>
      <c r="D1709" s="6" t="s">
        <v>4445</v>
      </c>
      <c r="E1709" s="7" t="s">
        <v>4443</v>
      </c>
    </row>
    <row r="1710" spans="1:5">
      <c r="A1710" s="4" t="s">
        <v>1952</v>
      </c>
      <c r="B1710" s="5" t="s">
        <v>1951</v>
      </c>
      <c r="C1710" s="6" t="s">
        <v>23</v>
      </c>
      <c r="D1710" s="6" t="s">
        <v>24</v>
      </c>
      <c r="E1710" s="7" t="s">
        <v>4451</v>
      </c>
    </row>
    <row r="1711" spans="1:5">
      <c r="A1711" s="4" t="s">
        <v>1954</v>
      </c>
      <c r="B1711" s="5" t="s">
        <v>1953</v>
      </c>
      <c r="C1711" s="6" t="s">
        <v>23</v>
      </c>
      <c r="D1711" s="6" t="s">
        <v>24</v>
      </c>
      <c r="E1711" s="7" t="s">
        <v>4449</v>
      </c>
    </row>
    <row r="1712" spans="1:5">
      <c r="A1712" s="4" t="s">
        <v>1956</v>
      </c>
      <c r="B1712" s="5" t="s">
        <v>1955</v>
      </c>
      <c r="C1712" s="6" t="s">
        <v>23</v>
      </c>
      <c r="D1712" s="6" t="s">
        <v>63</v>
      </c>
      <c r="E1712" s="7" t="s">
        <v>86</v>
      </c>
    </row>
    <row r="1713" spans="1:5">
      <c r="A1713" s="4" t="s">
        <v>1958</v>
      </c>
      <c r="B1713" s="5" t="s">
        <v>1957</v>
      </c>
      <c r="C1713" s="6" t="s">
        <v>23</v>
      </c>
      <c r="D1713" s="6" t="s">
        <v>24</v>
      </c>
      <c r="E1713" s="7" t="s">
        <v>4447</v>
      </c>
    </row>
    <row r="1714" spans="1:5">
      <c r="A1714" s="4" t="s">
        <v>1960</v>
      </c>
      <c r="B1714" s="5" t="s">
        <v>1959</v>
      </c>
      <c r="C1714" s="6" t="s">
        <v>23</v>
      </c>
      <c r="D1714" s="6" t="s">
        <v>24</v>
      </c>
      <c r="E1714" s="7" t="s">
        <v>4448</v>
      </c>
    </row>
    <row r="1715" spans="1:5">
      <c r="A1715" s="4" t="s">
        <v>1962</v>
      </c>
      <c r="B1715" s="5" t="s">
        <v>1961</v>
      </c>
      <c r="C1715" s="6" t="s">
        <v>23</v>
      </c>
      <c r="D1715" s="6" t="s">
        <v>24</v>
      </c>
      <c r="E1715" s="7" t="s">
        <v>4450</v>
      </c>
    </row>
    <row r="1716" spans="1:5">
      <c r="A1716" s="4" t="s">
        <v>3323</v>
      </c>
      <c r="B1716" s="5" t="s">
        <v>4094</v>
      </c>
      <c r="C1716" s="6" t="s">
        <v>23</v>
      </c>
      <c r="D1716" s="6" t="s">
        <v>24</v>
      </c>
      <c r="E1716" s="7" t="s">
        <v>4454</v>
      </c>
    </row>
    <row r="1717" spans="1:5">
      <c r="A1717" s="4" t="s">
        <v>1964</v>
      </c>
      <c r="B1717" s="5" t="s">
        <v>1963</v>
      </c>
      <c r="C1717" s="6" t="s">
        <v>23</v>
      </c>
      <c r="D1717" s="6" t="s">
        <v>63</v>
      </c>
      <c r="E1717" s="7" t="s">
        <v>98</v>
      </c>
    </row>
    <row r="1718" spans="1:5">
      <c r="A1718" s="4" t="s">
        <v>1966</v>
      </c>
      <c r="B1718" s="5" t="s">
        <v>1965</v>
      </c>
      <c r="C1718" s="6" t="s">
        <v>23</v>
      </c>
      <c r="D1718" s="6" t="s">
        <v>24</v>
      </c>
      <c r="E1718" s="7" t="s">
        <v>4447</v>
      </c>
    </row>
    <row r="1719" spans="1:5">
      <c r="A1719" s="4" t="s">
        <v>1968</v>
      </c>
      <c r="B1719" s="5" t="s">
        <v>1967</v>
      </c>
      <c r="C1719" s="6" t="s">
        <v>23</v>
      </c>
      <c r="D1719" s="6" t="s">
        <v>24</v>
      </c>
      <c r="E1719" s="7" t="s">
        <v>4448</v>
      </c>
    </row>
    <row r="1720" spans="1:5">
      <c r="A1720" s="4" t="s">
        <v>1970</v>
      </c>
      <c r="B1720" s="5" t="s">
        <v>1969</v>
      </c>
      <c r="C1720" s="6" t="s">
        <v>23</v>
      </c>
      <c r="D1720" s="6" t="s">
        <v>63</v>
      </c>
      <c r="E1720" s="7" t="s">
        <v>67</v>
      </c>
    </row>
    <row r="1721" spans="1:5">
      <c r="A1721" s="4" t="s">
        <v>1972</v>
      </c>
      <c r="B1721" s="5" t="s">
        <v>1971</v>
      </c>
      <c r="C1721" s="6" t="s">
        <v>23</v>
      </c>
      <c r="D1721" s="6" t="s">
        <v>63</v>
      </c>
      <c r="E1721" s="7" t="s">
        <v>86</v>
      </c>
    </row>
    <row r="1722" spans="1:5">
      <c r="A1722" s="4" t="s">
        <v>1974</v>
      </c>
      <c r="B1722" s="5" t="s">
        <v>1973</v>
      </c>
      <c r="C1722" s="12" t="s">
        <v>23</v>
      </c>
      <c r="D1722" s="12" t="s">
        <v>24</v>
      </c>
      <c r="E1722" s="7" t="s">
        <v>4447</v>
      </c>
    </row>
    <row r="1723" spans="1:5">
      <c r="A1723" s="4" t="s">
        <v>1976</v>
      </c>
      <c r="B1723" s="5" t="s">
        <v>1975</v>
      </c>
      <c r="C1723" s="6" t="s">
        <v>23</v>
      </c>
      <c r="D1723" s="6" t="s">
        <v>24</v>
      </c>
      <c r="E1723" s="7" t="s">
        <v>4448</v>
      </c>
    </row>
    <row r="1724" spans="1:5">
      <c r="A1724" s="4" t="s">
        <v>1978</v>
      </c>
      <c r="B1724" s="5" t="s">
        <v>1977</v>
      </c>
      <c r="C1724" s="6" t="s">
        <v>23</v>
      </c>
      <c r="D1724" s="6" t="s">
        <v>24</v>
      </c>
      <c r="E1724" s="7" t="s">
        <v>4450</v>
      </c>
    </row>
    <row r="1725" spans="1:5">
      <c r="A1725" s="4" t="s">
        <v>1980</v>
      </c>
      <c r="B1725" s="5" t="s">
        <v>1979</v>
      </c>
      <c r="C1725" s="6" t="s">
        <v>23</v>
      </c>
      <c r="D1725" s="6" t="s">
        <v>24</v>
      </c>
      <c r="E1725" s="7" t="s">
        <v>4451</v>
      </c>
    </row>
    <row r="1726" spans="1:5">
      <c r="A1726" s="4" t="s">
        <v>1982</v>
      </c>
      <c r="B1726" s="5" t="s">
        <v>1981</v>
      </c>
      <c r="C1726" s="6" t="s">
        <v>23</v>
      </c>
      <c r="D1726" s="6" t="s">
        <v>63</v>
      </c>
      <c r="E1726" s="7" t="s">
        <v>98</v>
      </c>
    </row>
    <row r="1727" spans="1:5">
      <c r="A1727" s="4" t="s">
        <v>1984</v>
      </c>
      <c r="B1727" s="5" t="s">
        <v>1983</v>
      </c>
      <c r="C1727" s="6" t="s">
        <v>23</v>
      </c>
      <c r="D1727" s="6" t="s">
        <v>63</v>
      </c>
      <c r="E1727" s="7" t="s">
        <v>98</v>
      </c>
    </row>
    <row r="1728" spans="1:5">
      <c r="A1728" s="4" t="s">
        <v>1986</v>
      </c>
      <c r="B1728" s="5" t="s">
        <v>1985</v>
      </c>
      <c r="C1728" s="6" t="s">
        <v>23</v>
      </c>
      <c r="D1728" s="6" t="s">
        <v>63</v>
      </c>
      <c r="E1728" s="7" t="s">
        <v>98</v>
      </c>
    </row>
    <row r="1729" spans="1:5">
      <c r="A1729" s="4" t="s">
        <v>1988</v>
      </c>
      <c r="B1729" s="5" t="s">
        <v>1987</v>
      </c>
      <c r="C1729" s="6" t="s">
        <v>23</v>
      </c>
      <c r="D1729" s="6" t="s">
        <v>24</v>
      </c>
      <c r="E1729" s="7" t="s">
        <v>4446</v>
      </c>
    </row>
    <row r="1730" spans="1:5">
      <c r="A1730" s="4" t="s">
        <v>1990</v>
      </c>
      <c r="B1730" s="5" t="s">
        <v>1989</v>
      </c>
      <c r="C1730" s="6" t="s">
        <v>23</v>
      </c>
      <c r="D1730" s="6" t="s">
        <v>24</v>
      </c>
      <c r="E1730" s="7" t="s">
        <v>4457</v>
      </c>
    </row>
    <row r="1731" spans="1:5">
      <c r="A1731" s="4" t="s">
        <v>1992</v>
      </c>
      <c r="B1731" s="5" t="s">
        <v>1991</v>
      </c>
      <c r="C1731" s="6" t="s">
        <v>23</v>
      </c>
      <c r="D1731" s="6" t="s">
        <v>24</v>
      </c>
      <c r="E1731" s="7" t="s">
        <v>4455</v>
      </c>
    </row>
    <row r="1732" spans="1:5">
      <c r="A1732" s="4" t="s">
        <v>1994</v>
      </c>
      <c r="B1732" s="5" t="s">
        <v>1993</v>
      </c>
      <c r="C1732" s="6" t="s">
        <v>23</v>
      </c>
      <c r="D1732" s="6" t="s">
        <v>24</v>
      </c>
      <c r="E1732" s="7" t="s">
        <v>4449</v>
      </c>
    </row>
    <row r="1733" spans="1:5">
      <c r="A1733" s="4" t="s">
        <v>1996</v>
      </c>
      <c r="B1733" s="5" t="s">
        <v>1995</v>
      </c>
      <c r="C1733" s="6" t="s">
        <v>23</v>
      </c>
      <c r="D1733" s="6" t="s">
        <v>24</v>
      </c>
      <c r="E1733" s="7" t="s">
        <v>4450</v>
      </c>
    </row>
    <row r="1734" spans="1:5">
      <c r="A1734" s="4" t="s">
        <v>1998</v>
      </c>
      <c r="B1734" s="5" t="s">
        <v>1997</v>
      </c>
      <c r="C1734" s="6" t="s">
        <v>23</v>
      </c>
      <c r="D1734" s="6" t="s">
        <v>24</v>
      </c>
      <c r="E1734" s="7" t="s">
        <v>4447</v>
      </c>
    </row>
    <row r="1735" spans="1:5">
      <c r="A1735" s="4" t="s">
        <v>2000</v>
      </c>
      <c r="B1735" s="5" t="s">
        <v>1999</v>
      </c>
      <c r="C1735" s="6" t="s">
        <v>23</v>
      </c>
      <c r="D1735" s="6" t="s">
        <v>24</v>
      </c>
      <c r="E1735" s="7" t="s">
        <v>4448</v>
      </c>
    </row>
    <row r="1736" spans="1:5">
      <c r="A1736" s="4" t="s">
        <v>2002</v>
      </c>
      <c r="B1736" s="5" t="s">
        <v>2001</v>
      </c>
      <c r="C1736" s="6" t="s">
        <v>23</v>
      </c>
      <c r="D1736" s="6" t="s">
        <v>24</v>
      </c>
      <c r="E1736" s="7" t="s">
        <v>4450</v>
      </c>
    </row>
    <row r="1737" spans="1:5">
      <c r="A1737" s="4" t="s">
        <v>2004</v>
      </c>
      <c r="B1737" s="5" t="s">
        <v>2003</v>
      </c>
      <c r="C1737" s="6" t="s">
        <v>23</v>
      </c>
      <c r="D1737" s="6" t="s">
        <v>24</v>
      </c>
      <c r="E1737" s="7" t="s">
        <v>4451</v>
      </c>
    </row>
    <row r="1738" spans="1:5">
      <c r="A1738" s="4" t="s">
        <v>2006</v>
      </c>
      <c r="B1738" s="5" t="s">
        <v>2005</v>
      </c>
      <c r="C1738" s="6" t="s">
        <v>23</v>
      </c>
      <c r="D1738" s="6" t="s">
        <v>24</v>
      </c>
      <c r="E1738" s="7" t="s">
        <v>4446</v>
      </c>
    </row>
    <row r="1739" spans="1:5">
      <c r="A1739" s="4" t="s">
        <v>2008</v>
      </c>
      <c r="B1739" s="5" t="s">
        <v>2007</v>
      </c>
      <c r="C1739" s="6" t="s">
        <v>23</v>
      </c>
      <c r="D1739" s="6" t="s">
        <v>63</v>
      </c>
      <c r="E1739" s="7" t="s">
        <v>86</v>
      </c>
    </row>
    <row r="1740" spans="1:5">
      <c r="A1740" s="4" t="s">
        <v>2010</v>
      </c>
      <c r="B1740" s="5" t="s">
        <v>2009</v>
      </c>
      <c r="C1740" s="6" t="s">
        <v>23</v>
      </c>
      <c r="D1740" s="6" t="s">
        <v>24</v>
      </c>
      <c r="E1740" s="7" t="s">
        <v>4447</v>
      </c>
    </row>
    <row r="1741" spans="1:5">
      <c r="A1741" s="4" t="s">
        <v>2012</v>
      </c>
      <c r="B1741" s="5" t="s">
        <v>2011</v>
      </c>
      <c r="C1741" s="6" t="s">
        <v>23</v>
      </c>
      <c r="D1741" s="6" t="s">
        <v>24</v>
      </c>
      <c r="E1741" s="7" t="s">
        <v>4448</v>
      </c>
    </row>
    <row r="1742" spans="1:5">
      <c r="A1742" s="4" t="s">
        <v>2014</v>
      </c>
      <c r="B1742" s="5" t="s">
        <v>2013</v>
      </c>
      <c r="C1742" s="6" t="s">
        <v>23</v>
      </c>
      <c r="D1742" s="6" t="s">
        <v>24</v>
      </c>
      <c r="E1742" s="7" t="s">
        <v>4450</v>
      </c>
    </row>
    <row r="1743" spans="1:5">
      <c r="A1743" s="4" t="s">
        <v>2016</v>
      </c>
      <c r="B1743" s="5" t="s">
        <v>2015</v>
      </c>
      <c r="C1743" s="6" t="s">
        <v>23</v>
      </c>
      <c r="D1743" s="6" t="s">
        <v>24</v>
      </c>
      <c r="E1743" s="7" t="s">
        <v>4454</v>
      </c>
    </row>
    <row r="1744" spans="1:5">
      <c r="A1744" s="4" t="s">
        <v>2018</v>
      </c>
      <c r="B1744" s="5" t="s">
        <v>2017</v>
      </c>
      <c r="C1744" s="6" t="s">
        <v>23</v>
      </c>
      <c r="D1744" s="6" t="s">
        <v>24</v>
      </c>
      <c r="E1744" s="7" t="s">
        <v>4451</v>
      </c>
    </row>
    <row r="1745" spans="1:5">
      <c r="A1745" s="4" t="s">
        <v>2020</v>
      </c>
      <c r="B1745" s="5" t="s">
        <v>2019</v>
      </c>
      <c r="C1745" s="6" t="s">
        <v>23</v>
      </c>
      <c r="D1745" s="6" t="s">
        <v>63</v>
      </c>
      <c r="E1745" s="7" t="s">
        <v>67</v>
      </c>
    </row>
    <row r="1746" spans="1:5">
      <c r="A1746" s="4" t="s">
        <v>2022</v>
      </c>
      <c r="B1746" s="5" t="s">
        <v>2021</v>
      </c>
      <c r="C1746" s="6" t="s">
        <v>23</v>
      </c>
      <c r="D1746" s="6" t="s">
        <v>63</v>
      </c>
      <c r="E1746" s="7" t="s">
        <v>89</v>
      </c>
    </row>
    <row r="1747" spans="1:5">
      <c r="A1747" s="4" t="s">
        <v>2024</v>
      </c>
      <c r="B1747" s="5" t="s">
        <v>2023</v>
      </c>
      <c r="C1747" s="6" t="s">
        <v>23</v>
      </c>
      <c r="D1747" s="6" t="s">
        <v>63</v>
      </c>
      <c r="E1747" s="7" t="s">
        <v>92</v>
      </c>
    </row>
    <row r="1748" spans="1:5">
      <c r="A1748" s="4" t="s">
        <v>2026</v>
      </c>
      <c r="B1748" s="5" t="s">
        <v>2025</v>
      </c>
      <c r="C1748" s="6" t="s">
        <v>23</v>
      </c>
      <c r="D1748" s="6" t="s">
        <v>63</v>
      </c>
      <c r="E1748" s="7" t="s">
        <v>98</v>
      </c>
    </row>
    <row r="1749" spans="1:5">
      <c r="A1749" s="4" t="s">
        <v>2028</v>
      </c>
      <c r="B1749" s="5" t="s">
        <v>2027</v>
      </c>
      <c r="C1749" s="6" t="s">
        <v>23</v>
      </c>
      <c r="D1749" s="6" t="s">
        <v>63</v>
      </c>
      <c r="E1749" s="7" t="s">
        <v>98</v>
      </c>
    </row>
    <row r="1750" spans="1:5">
      <c r="A1750" s="4" t="s">
        <v>2030</v>
      </c>
      <c r="B1750" s="5" t="s">
        <v>2029</v>
      </c>
      <c r="C1750" s="6" t="s">
        <v>23</v>
      </c>
      <c r="D1750" s="6" t="s">
        <v>63</v>
      </c>
      <c r="E1750" s="7" t="s">
        <v>98</v>
      </c>
    </row>
    <row r="1751" spans="1:5">
      <c r="A1751" s="4" t="s">
        <v>2032</v>
      </c>
      <c r="B1751" s="5" t="s">
        <v>2031</v>
      </c>
      <c r="C1751" s="6" t="s">
        <v>23</v>
      </c>
      <c r="D1751" s="6" t="s">
        <v>63</v>
      </c>
      <c r="E1751" s="7" t="s">
        <v>98</v>
      </c>
    </row>
    <row r="1752" spans="1:5">
      <c r="A1752" s="4" t="s">
        <v>2034</v>
      </c>
      <c r="B1752" s="5" t="s">
        <v>2033</v>
      </c>
      <c r="C1752" s="6" t="s">
        <v>23</v>
      </c>
      <c r="D1752" s="6" t="s">
        <v>63</v>
      </c>
      <c r="E1752" s="7" t="s">
        <v>64</v>
      </c>
    </row>
    <row r="1753" spans="1:5">
      <c r="A1753" s="4" t="s">
        <v>2036</v>
      </c>
      <c r="B1753" s="5" t="s">
        <v>2035</v>
      </c>
      <c r="C1753" s="6" t="s">
        <v>23</v>
      </c>
      <c r="D1753" s="6" t="s">
        <v>24</v>
      </c>
      <c r="E1753" s="7" t="s">
        <v>4446</v>
      </c>
    </row>
    <row r="1754" spans="1:5">
      <c r="A1754" s="4" t="s">
        <v>2038</v>
      </c>
      <c r="B1754" s="5" t="s">
        <v>2037</v>
      </c>
      <c r="C1754" s="6" t="s">
        <v>23</v>
      </c>
      <c r="D1754" s="6" t="s">
        <v>24</v>
      </c>
      <c r="E1754" s="7" t="s">
        <v>4447</v>
      </c>
    </row>
    <row r="1755" spans="1:5">
      <c r="A1755" s="4" t="s">
        <v>3326</v>
      </c>
      <c r="B1755" s="5" t="s">
        <v>4097</v>
      </c>
      <c r="C1755" s="6" t="s">
        <v>23</v>
      </c>
      <c r="D1755" s="6" t="s">
        <v>24</v>
      </c>
      <c r="E1755" s="7" t="s">
        <v>4455</v>
      </c>
    </row>
    <row r="1756" spans="1:5">
      <c r="A1756" s="11" t="s">
        <v>2040</v>
      </c>
      <c r="B1756" s="5" t="s">
        <v>2039</v>
      </c>
      <c r="C1756" s="12" t="s">
        <v>23</v>
      </c>
      <c r="D1756" s="12" t="s">
        <v>63</v>
      </c>
      <c r="E1756" s="7" t="s">
        <v>86</v>
      </c>
    </row>
    <row r="1757" spans="1:5">
      <c r="A1757" s="4" t="s">
        <v>2042</v>
      </c>
      <c r="B1757" s="5" t="s">
        <v>2041</v>
      </c>
      <c r="C1757" s="6" t="s">
        <v>23</v>
      </c>
      <c r="D1757" s="6" t="s">
        <v>63</v>
      </c>
      <c r="E1757" s="7" t="s">
        <v>64</v>
      </c>
    </row>
    <row r="1758" spans="1:5">
      <c r="A1758" s="4" t="s">
        <v>2044</v>
      </c>
      <c r="B1758" s="5" t="s">
        <v>2043</v>
      </c>
      <c r="C1758" s="6" t="s">
        <v>23</v>
      </c>
      <c r="D1758" s="6" t="s">
        <v>63</v>
      </c>
      <c r="E1758" s="7" t="s">
        <v>86</v>
      </c>
    </row>
    <row r="1759" spans="1:5">
      <c r="A1759" s="4" t="s">
        <v>2046</v>
      </c>
      <c r="B1759" s="5" t="s">
        <v>2045</v>
      </c>
      <c r="C1759" s="6" t="s">
        <v>23</v>
      </c>
      <c r="D1759" s="6" t="s">
        <v>24</v>
      </c>
      <c r="E1759" s="7" t="s">
        <v>4447</v>
      </c>
    </row>
    <row r="1760" spans="1:5">
      <c r="A1760" s="4" t="s">
        <v>2048</v>
      </c>
      <c r="B1760" s="5" t="s">
        <v>2047</v>
      </c>
      <c r="C1760" s="6" t="s">
        <v>23</v>
      </c>
      <c r="D1760" s="6" t="s">
        <v>24</v>
      </c>
      <c r="E1760" s="7" t="s">
        <v>4449</v>
      </c>
    </row>
    <row r="1761" spans="1:5">
      <c r="A1761" s="4" t="s">
        <v>2050</v>
      </c>
      <c r="B1761" s="5" t="s">
        <v>2049</v>
      </c>
      <c r="C1761" s="6" t="s">
        <v>23</v>
      </c>
      <c r="D1761" s="6" t="s">
        <v>24</v>
      </c>
      <c r="E1761" s="7" t="s">
        <v>4446</v>
      </c>
    </row>
    <row r="1762" spans="1:5">
      <c r="A1762" s="4" t="s">
        <v>2052</v>
      </c>
      <c r="B1762" s="5" t="s">
        <v>2051</v>
      </c>
      <c r="C1762" s="6" t="s">
        <v>23</v>
      </c>
      <c r="D1762" s="6" t="s">
        <v>24</v>
      </c>
      <c r="E1762" s="7" t="s">
        <v>4447</v>
      </c>
    </row>
    <row r="1763" spans="1:5">
      <c r="A1763" s="11" t="s">
        <v>2054</v>
      </c>
      <c r="B1763" s="5" t="s">
        <v>2053</v>
      </c>
      <c r="C1763" s="12" t="s">
        <v>23</v>
      </c>
      <c r="D1763" s="12" t="s">
        <v>24</v>
      </c>
      <c r="E1763" s="7" t="s">
        <v>4448</v>
      </c>
    </row>
    <row r="1764" spans="1:5">
      <c r="A1764" s="4" t="s">
        <v>2056</v>
      </c>
      <c r="B1764" s="5" t="s">
        <v>2055</v>
      </c>
      <c r="C1764" s="6" t="s">
        <v>23</v>
      </c>
      <c r="D1764" s="6" t="s">
        <v>24</v>
      </c>
      <c r="E1764" s="7" t="s">
        <v>4449</v>
      </c>
    </row>
    <row r="1765" spans="1:5">
      <c r="A1765" s="4" t="s">
        <v>2058</v>
      </c>
      <c r="B1765" s="5" t="s">
        <v>2057</v>
      </c>
      <c r="C1765" s="6" t="s">
        <v>23</v>
      </c>
      <c r="D1765" s="6" t="s">
        <v>24</v>
      </c>
      <c r="E1765" s="7" t="s">
        <v>4454</v>
      </c>
    </row>
    <row r="1766" spans="1:5">
      <c r="A1766" s="4" t="s">
        <v>3608</v>
      </c>
      <c r="B1766" s="5" t="s">
        <v>4385</v>
      </c>
      <c r="C1766" s="6" t="s">
        <v>23</v>
      </c>
      <c r="D1766" s="6" t="s">
        <v>4463</v>
      </c>
      <c r="E1766" s="7" t="s">
        <v>92</v>
      </c>
    </row>
    <row r="1767" spans="1:5">
      <c r="A1767" s="4" t="s">
        <v>2060</v>
      </c>
      <c r="B1767" s="5" t="s">
        <v>2059</v>
      </c>
      <c r="C1767" s="6" t="s">
        <v>23</v>
      </c>
      <c r="D1767" s="6" t="s">
        <v>561</v>
      </c>
      <c r="E1767" s="7" t="s">
        <v>425</v>
      </c>
    </row>
    <row r="1768" spans="1:5">
      <c r="A1768" s="4" t="s">
        <v>3607</v>
      </c>
      <c r="B1768" s="5" t="s">
        <v>4384</v>
      </c>
      <c r="C1768" s="6" t="s">
        <v>23</v>
      </c>
      <c r="D1768" s="6" t="s">
        <v>4463</v>
      </c>
      <c r="E1768" s="7" t="s">
        <v>425</v>
      </c>
    </row>
    <row r="1769" spans="1:5">
      <c r="A1769" s="4" t="s">
        <v>2062</v>
      </c>
      <c r="B1769" s="5" t="s">
        <v>2061</v>
      </c>
      <c r="C1769" s="6" t="s">
        <v>23</v>
      </c>
      <c r="D1769" s="6" t="s">
        <v>561</v>
      </c>
      <c r="E1769" s="7" t="s">
        <v>89</v>
      </c>
    </row>
    <row r="1770" spans="1:5">
      <c r="A1770" s="4" t="s">
        <v>2064</v>
      </c>
      <c r="B1770" s="5" t="s">
        <v>2063</v>
      </c>
      <c r="C1770" s="6" t="s">
        <v>23</v>
      </c>
      <c r="D1770" s="6" t="s">
        <v>561</v>
      </c>
      <c r="E1770" s="7" t="s">
        <v>92</v>
      </c>
    </row>
    <row r="1771" spans="1:5">
      <c r="A1771" s="4" t="s">
        <v>3609</v>
      </c>
      <c r="B1771" s="5" t="s">
        <v>4386</v>
      </c>
      <c r="C1771" s="6" t="s">
        <v>23</v>
      </c>
      <c r="D1771" s="6" t="s">
        <v>4463</v>
      </c>
      <c r="E1771" s="7" t="s">
        <v>572</v>
      </c>
    </row>
    <row r="1772" spans="1:5">
      <c r="A1772" s="4" t="s">
        <v>2066</v>
      </c>
      <c r="B1772" s="5" t="s">
        <v>2065</v>
      </c>
      <c r="C1772" s="6" t="s">
        <v>23</v>
      </c>
      <c r="D1772" s="6" t="s">
        <v>63</v>
      </c>
      <c r="E1772" s="7" t="s">
        <v>98</v>
      </c>
    </row>
    <row r="1773" spans="1:5">
      <c r="A1773" s="4" t="s">
        <v>2068</v>
      </c>
      <c r="B1773" s="5" t="s">
        <v>2067</v>
      </c>
      <c r="C1773" s="6" t="s">
        <v>23</v>
      </c>
      <c r="D1773" s="6" t="s">
        <v>63</v>
      </c>
      <c r="E1773" s="7" t="s">
        <v>98</v>
      </c>
    </row>
    <row r="1774" spans="1:5">
      <c r="A1774" s="4" t="s">
        <v>2070</v>
      </c>
      <c r="B1774" s="5" t="s">
        <v>2069</v>
      </c>
      <c r="C1774" s="6" t="s">
        <v>23</v>
      </c>
      <c r="D1774" s="6" t="s">
        <v>63</v>
      </c>
      <c r="E1774" s="7" t="s">
        <v>98</v>
      </c>
    </row>
    <row r="1775" spans="1:5">
      <c r="A1775" s="4" t="s">
        <v>2072</v>
      </c>
      <c r="B1775" s="5" t="s">
        <v>2071</v>
      </c>
      <c r="C1775" s="6" t="s">
        <v>23</v>
      </c>
      <c r="D1775" s="6" t="s">
        <v>63</v>
      </c>
      <c r="E1775" s="7" t="s">
        <v>98</v>
      </c>
    </row>
    <row r="1776" spans="1:5">
      <c r="A1776" s="4" t="s">
        <v>4547</v>
      </c>
      <c r="B1776" s="5" t="s">
        <v>4548</v>
      </c>
      <c r="C1776" s="6" t="s">
        <v>23</v>
      </c>
      <c r="D1776" s="6" t="s">
        <v>320</v>
      </c>
      <c r="E1776" s="7" t="s">
        <v>4444</v>
      </c>
    </row>
    <row r="1777" spans="1:5">
      <c r="A1777" s="11" t="s">
        <v>2074</v>
      </c>
      <c r="B1777" s="5" t="s">
        <v>2073</v>
      </c>
      <c r="C1777" s="12" t="s">
        <v>23</v>
      </c>
      <c r="D1777" s="12" t="s">
        <v>63</v>
      </c>
      <c r="E1777" s="7" t="s">
        <v>4444</v>
      </c>
    </row>
    <row r="1778" spans="1:5">
      <c r="A1778" s="4" t="s">
        <v>2076</v>
      </c>
      <c r="B1778" s="5" t="s">
        <v>2075</v>
      </c>
      <c r="C1778" s="6" t="s">
        <v>23</v>
      </c>
      <c r="D1778" s="6" t="s">
        <v>320</v>
      </c>
      <c r="E1778" s="7" t="s">
        <v>4444</v>
      </c>
    </row>
    <row r="1779" spans="1:5">
      <c r="A1779" s="4" t="s">
        <v>2078</v>
      </c>
      <c r="B1779" s="5" t="s">
        <v>2077</v>
      </c>
      <c r="C1779" s="12" t="s">
        <v>23</v>
      </c>
      <c r="D1779" s="12" t="s">
        <v>63</v>
      </c>
      <c r="E1779" s="7" t="s">
        <v>287</v>
      </c>
    </row>
    <row r="1780" spans="1:5">
      <c r="A1780" s="4" t="s">
        <v>2080</v>
      </c>
      <c r="B1780" s="5" t="s">
        <v>2079</v>
      </c>
      <c r="C1780" s="12" t="s">
        <v>23</v>
      </c>
      <c r="D1780" s="12" t="s">
        <v>63</v>
      </c>
      <c r="E1780" s="7" t="s">
        <v>425</v>
      </c>
    </row>
    <row r="1781" spans="1:5">
      <c r="A1781" s="4" t="s">
        <v>2082</v>
      </c>
      <c r="B1781" s="5" t="s">
        <v>2081</v>
      </c>
      <c r="C1781" s="6" t="s">
        <v>23</v>
      </c>
      <c r="D1781" s="6" t="s">
        <v>63</v>
      </c>
      <c r="E1781" s="7" t="s">
        <v>4444</v>
      </c>
    </row>
    <row r="1782" spans="1:5">
      <c r="A1782" s="4" t="s">
        <v>3085</v>
      </c>
      <c r="B1782" s="5" t="s">
        <v>3854</v>
      </c>
      <c r="C1782" s="6" t="s">
        <v>23</v>
      </c>
      <c r="D1782" s="6" t="s">
        <v>320</v>
      </c>
      <c r="E1782" s="7" t="s">
        <v>4444</v>
      </c>
    </row>
    <row r="1783" spans="1:5">
      <c r="A1783" s="4" t="s">
        <v>2084</v>
      </c>
      <c r="B1783" s="5" t="s">
        <v>2083</v>
      </c>
      <c r="C1783" s="6" t="s">
        <v>23</v>
      </c>
      <c r="D1783" s="6" t="s">
        <v>63</v>
      </c>
      <c r="E1783" s="7" t="s">
        <v>425</v>
      </c>
    </row>
    <row r="1784" spans="1:5">
      <c r="A1784" s="11" t="s">
        <v>2086</v>
      </c>
      <c r="B1784" s="5" t="s">
        <v>2085</v>
      </c>
      <c r="C1784" s="12" t="s">
        <v>23</v>
      </c>
      <c r="D1784" s="12" t="s">
        <v>63</v>
      </c>
      <c r="E1784" s="7" t="s">
        <v>572</v>
      </c>
    </row>
    <row r="1785" spans="1:5">
      <c r="A1785" s="4" t="s">
        <v>2088</v>
      </c>
      <c r="B1785" s="5" t="s">
        <v>2087</v>
      </c>
      <c r="C1785" s="6" t="s">
        <v>23</v>
      </c>
      <c r="D1785" s="6" t="s">
        <v>63</v>
      </c>
      <c r="E1785" s="7" t="s">
        <v>4458</v>
      </c>
    </row>
    <row r="1786" spans="1:5">
      <c r="A1786" s="4" t="s">
        <v>2090</v>
      </c>
      <c r="B1786" s="5" t="s">
        <v>2089</v>
      </c>
      <c r="C1786" s="6" t="s">
        <v>23</v>
      </c>
      <c r="D1786" s="6" t="s">
        <v>320</v>
      </c>
      <c r="E1786" s="7" t="s">
        <v>4444</v>
      </c>
    </row>
    <row r="1787" spans="1:5">
      <c r="A1787" s="4" t="s">
        <v>2092</v>
      </c>
      <c r="B1787" s="5" t="s">
        <v>2091</v>
      </c>
      <c r="C1787" s="6" t="s">
        <v>23</v>
      </c>
      <c r="D1787" s="6" t="s">
        <v>63</v>
      </c>
      <c r="E1787" s="7" t="s">
        <v>98</v>
      </c>
    </row>
    <row r="1788" spans="1:5">
      <c r="A1788" s="4" t="s">
        <v>2094</v>
      </c>
      <c r="B1788" s="5" t="s">
        <v>2093</v>
      </c>
      <c r="C1788" s="6" t="s">
        <v>23</v>
      </c>
      <c r="D1788" s="6" t="s">
        <v>63</v>
      </c>
      <c r="E1788" s="7" t="s">
        <v>67</v>
      </c>
    </row>
    <row r="1789" spans="1:5">
      <c r="A1789" s="11" t="s">
        <v>2096</v>
      </c>
      <c r="B1789" s="5" t="s">
        <v>2095</v>
      </c>
      <c r="C1789" s="12" t="s">
        <v>23</v>
      </c>
      <c r="D1789" s="12" t="s">
        <v>63</v>
      </c>
      <c r="E1789" s="7" t="s">
        <v>287</v>
      </c>
    </row>
    <row r="1790" spans="1:5">
      <c r="A1790" s="4" t="s">
        <v>4549</v>
      </c>
      <c r="B1790" s="5" t="s">
        <v>2081</v>
      </c>
      <c r="C1790" s="6" t="s">
        <v>23</v>
      </c>
      <c r="D1790" s="6" t="s">
        <v>63</v>
      </c>
      <c r="E1790" s="7" t="s">
        <v>4444</v>
      </c>
    </row>
    <row r="1791" spans="1:5">
      <c r="A1791" s="4" t="s">
        <v>2098</v>
      </c>
      <c r="B1791" s="5" t="s">
        <v>2097</v>
      </c>
      <c r="C1791" s="6" t="s">
        <v>23</v>
      </c>
      <c r="D1791" s="6" t="s">
        <v>63</v>
      </c>
      <c r="E1791" s="7" t="s">
        <v>4443</v>
      </c>
    </row>
    <row r="1792" spans="1:5">
      <c r="A1792" s="4" t="s">
        <v>2100</v>
      </c>
      <c r="B1792" s="5" t="s">
        <v>2099</v>
      </c>
      <c r="C1792" s="6" t="s">
        <v>23</v>
      </c>
      <c r="D1792" s="6" t="s">
        <v>24</v>
      </c>
      <c r="E1792" s="7" t="s">
        <v>4451</v>
      </c>
    </row>
    <row r="1793" spans="1:5">
      <c r="A1793" s="4" t="s">
        <v>2102</v>
      </c>
      <c r="B1793" s="5" t="s">
        <v>2101</v>
      </c>
      <c r="C1793" s="6" t="s">
        <v>23</v>
      </c>
      <c r="D1793" s="6" t="s">
        <v>24</v>
      </c>
      <c r="E1793" s="7" t="s">
        <v>4447</v>
      </c>
    </row>
    <row r="1794" spans="1:5">
      <c r="A1794" s="4" t="s">
        <v>2104</v>
      </c>
      <c r="B1794" s="5" t="s">
        <v>2103</v>
      </c>
      <c r="C1794" s="6" t="s">
        <v>23</v>
      </c>
      <c r="D1794" s="6" t="s">
        <v>24</v>
      </c>
      <c r="E1794" s="7" t="s">
        <v>4448</v>
      </c>
    </row>
    <row r="1795" spans="1:5">
      <c r="A1795" s="4" t="s">
        <v>2106</v>
      </c>
      <c r="B1795" s="5" t="s">
        <v>2105</v>
      </c>
      <c r="C1795" s="6" t="s">
        <v>23</v>
      </c>
      <c r="D1795" s="6" t="s">
        <v>24</v>
      </c>
      <c r="E1795" s="7" t="s">
        <v>4450</v>
      </c>
    </row>
    <row r="1796" spans="1:5">
      <c r="A1796" s="4" t="s">
        <v>3313</v>
      </c>
      <c r="B1796" s="5" t="s">
        <v>4086</v>
      </c>
      <c r="C1796" s="6" t="s">
        <v>23</v>
      </c>
      <c r="D1796" s="6" t="s">
        <v>4445</v>
      </c>
      <c r="E1796" s="7" t="s">
        <v>89</v>
      </c>
    </row>
    <row r="1797" spans="1:5">
      <c r="A1797" s="4" t="s">
        <v>2108</v>
      </c>
      <c r="B1797" s="5" t="s">
        <v>2107</v>
      </c>
      <c r="C1797" s="6" t="s">
        <v>23</v>
      </c>
      <c r="D1797" s="6" t="s">
        <v>63</v>
      </c>
      <c r="E1797" s="7" t="s">
        <v>98</v>
      </c>
    </row>
    <row r="1798" spans="1:5">
      <c r="A1798" s="4" t="s">
        <v>2110</v>
      </c>
      <c r="B1798" s="5" t="s">
        <v>2109</v>
      </c>
      <c r="C1798" s="6" t="s">
        <v>23</v>
      </c>
      <c r="D1798" s="6" t="s">
        <v>63</v>
      </c>
      <c r="E1798" s="7" t="s">
        <v>86</v>
      </c>
    </row>
    <row r="1799" spans="1:5">
      <c r="A1799" s="4" t="s">
        <v>2112</v>
      </c>
      <c r="B1799" s="5" t="s">
        <v>2111</v>
      </c>
      <c r="C1799" s="6" t="s">
        <v>23</v>
      </c>
      <c r="D1799" s="6" t="s">
        <v>63</v>
      </c>
      <c r="E1799" s="7" t="s">
        <v>425</v>
      </c>
    </row>
    <row r="1800" spans="1:5">
      <c r="A1800" s="4" t="s">
        <v>3613</v>
      </c>
      <c r="B1800" s="5" t="s">
        <v>4390</v>
      </c>
      <c r="C1800" s="6" t="s">
        <v>23</v>
      </c>
      <c r="D1800" s="6" t="s">
        <v>4463</v>
      </c>
      <c r="E1800" s="7" t="s">
        <v>4449</v>
      </c>
    </row>
    <row r="1801" spans="1:5">
      <c r="A1801" s="4" t="s">
        <v>2114</v>
      </c>
      <c r="B1801" s="5" t="s">
        <v>2113</v>
      </c>
      <c r="C1801" s="6" t="s">
        <v>23</v>
      </c>
      <c r="D1801" s="6" t="s">
        <v>63</v>
      </c>
      <c r="E1801" s="7" t="s">
        <v>64</v>
      </c>
    </row>
    <row r="1802" spans="1:5">
      <c r="A1802" s="4" t="s">
        <v>3284</v>
      </c>
      <c r="B1802" s="5" t="s">
        <v>4054</v>
      </c>
      <c r="C1802" s="6" t="s">
        <v>23</v>
      </c>
      <c r="D1802" s="6" t="s">
        <v>4445</v>
      </c>
      <c r="E1802" s="7" t="s">
        <v>4443</v>
      </c>
    </row>
    <row r="1803" spans="1:5">
      <c r="A1803" s="4" t="s">
        <v>3229</v>
      </c>
      <c r="B1803" s="5" t="s">
        <v>3999</v>
      </c>
      <c r="C1803" s="6" t="s">
        <v>23</v>
      </c>
      <c r="D1803" s="6" t="s">
        <v>4445</v>
      </c>
      <c r="E1803" s="7" t="s">
        <v>4443</v>
      </c>
    </row>
    <row r="1804" spans="1:5">
      <c r="A1804" s="4" t="s">
        <v>3543</v>
      </c>
      <c r="B1804" s="5" t="s">
        <v>4317</v>
      </c>
      <c r="C1804" s="6" t="s">
        <v>23</v>
      </c>
      <c r="D1804" s="6" t="s">
        <v>4445</v>
      </c>
      <c r="E1804" s="7" t="s">
        <v>4443</v>
      </c>
    </row>
    <row r="1805" spans="1:5">
      <c r="A1805" s="4" t="s">
        <v>3560</v>
      </c>
      <c r="B1805" s="5" t="s">
        <v>4335</v>
      </c>
      <c r="C1805" s="6" t="s">
        <v>23</v>
      </c>
      <c r="D1805" s="6" t="s">
        <v>4445</v>
      </c>
      <c r="E1805" s="7" t="s">
        <v>4443</v>
      </c>
    </row>
    <row r="1806" spans="1:5">
      <c r="A1806" s="4" t="s">
        <v>3610</v>
      </c>
      <c r="B1806" s="5" t="s">
        <v>4387</v>
      </c>
      <c r="C1806" s="6" t="s">
        <v>23</v>
      </c>
      <c r="D1806" s="6" t="s">
        <v>4463</v>
      </c>
      <c r="E1806" s="7" t="s">
        <v>4447</v>
      </c>
    </row>
    <row r="1807" spans="1:5">
      <c r="A1807" s="4" t="s">
        <v>2116</v>
      </c>
      <c r="B1807" s="5" t="s">
        <v>2115</v>
      </c>
      <c r="C1807" s="6" t="s">
        <v>23</v>
      </c>
      <c r="D1807" s="6" t="s">
        <v>24</v>
      </c>
      <c r="E1807" s="7" t="s">
        <v>4448</v>
      </c>
    </row>
    <row r="1808" spans="1:5">
      <c r="A1808" s="4" t="s">
        <v>3561</v>
      </c>
      <c r="B1808" s="5" t="s">
        <v>4336</v>
      </c>
      <c r="C1808" s="6" t="s">
        <v>23</v>
      </c>
      <c r="D1808" s="6" t="s">
        <v>4445</v>
      </c>
      <c r="E1808" s="7" t="s">
        <v>4443</v>
      </c>
    </row>
    <row r="1809" spans="1:5">
      <c r="A1809" s="4" t="s">
        <v>3544</v>
      </c>
      <c r="B1809" s="5" t="s">
        <v>4318</v>
      </c>
      <c r="C1809" s="6" t="s">
        <v>23</v>
      </c>
      <c r="D1809" s="6" t="s">
        <v>4445</v>
      </c>
      <c r="E1809" s="7" t="s">
        <v>4443</v>
      </c>
    </row>
    <row r="1810" spans="1:5">
      <c r="A1810" s="4" t="s">
        <v>3491</v>
      </c>
      <c r="B1810" s="5" t="s">
        <v>4265</v>
      </c>
      <c r="C1810" s="6" t="s">
        <v>23</v>
      </c>
      <c r="D1810" s="6" t="s">
        <v>4445</v>
      </c>
      <c r="E1810" s="7" t="s">
        <v>4443</v>
      </c>
    </row>
    <row r="1811" spans="1:5">
      <c r="A1811" s="4" t="s">
        <v>3547</v>
      </c>
      <c r="B1811" s="5" t="s">
        <v>4321</v>
      </c>
      <c r="C1811" s="6" t="s">
        <v>23</v>
      </c>
      <c r="D1811" s="6" t="s">
        <v>4445</v>
      </c>
      <c r="E1811" s="7" t="s">
        <v>4443</v>
      </c>
    </row>
    <row r="1812" spans="1:5">
      <c r="A1812" s="4" t="s">
        <v>2118</v>
      </c>
      <c r="B1812" s="5" t="s">
        <v>2117</v>
      </c>
      <c r="C1812" s="6" t="s">
        <v>23</v>
      </c>
      <c r="D1812" s="6" t="s">
        <v>561</v>
      </c>
      <c r="E1812" s="7" t="s">
        <v>4458</v>
      </c>
    </row>
    <row r="1813" spans="1:5">
      <c r="A1813" s="4" t="s">
        <v>3632</v>
      </c>
      <c r="B1813" s="5" t="s">
        <v>4408</v>
      </c>
      <c r="C1813" s="12" t="s">
        <v>23</v>
      </c>
      <c r="D1813" s="12" t="s">
        <v>4463</v>
      </c>
      <c r="E1813" s="7" t="s">
        <v>4443</v>
      </c>
    </row>
    <row r="1814" spans="1:5">
      <c r="A1814" s="4" t="s">
        <v>3647</v>
      </c>
      <c r="B1814" s="5" t="s">
        <v>4424</v>
      </c>
      <c r="C1814" s="6" t="s">
        <v>23</v>
      </c>
      <c r="D1814" s="6" t="s">
        <v>4463</v>
      </c>
      <c r="E1814" s="7" t="s">
        <v>4443</v>
      </c>
    </row>
    <row r="1815" spans="1:5">
      <c r="A1815" s="4" t="s">
        <v>3648</v>
      </c>
      <c r="B1815" s="5" t="s">
        <v>4425</v>
      </c>
      <c r="C1815" s="6" t="s">
        <v>23</v>
      </c>
      <c r="D1815" s="6" t="s">
        <v>4463</v>
      </c>
      <c r="E1815" s="7" t="s">
        <v>4443</v>
      </c>
    </row>
    <row r="1816" spans="1:5">
      <c r="A1816" s="4" t="s">
        <v>3649</v>
      </c>
      <c r="B1816" s="5" t="s">
        <v>4426</v>
      </c>
      <c r="C1816" s="6" t="s">
        <v>23</v>
      </c>
      <c r="D1816" s="6" t="s">
        <v>4463</v>
      </c>
      <c r="E1816" s="7" t="s">
        <v>4443</v>
      </c>
    </row>
    <row r="1817" spans="1:5">
      <c r="A1817" s="4" t="s">
        <v>3633</v>
      </c>
      <c r="B1817" s="5" t="s">
        <v>4409</v>
      </c>
      <c r="C1817" s="6" t="s">
        <v>23</v>
      </c>
      <c r="D1817" s="6" t="s">
        <v>4463</v>
      </c>
      <c r="E1817" s="7" t="s">
        <v>4443</v>
      </c>
    </row>
    <row r="1818" spans="1:5">
      <c r="A1818" s="4" t="s">
        <v>3650</v>
      </c>
      <c r="B1818" s="5" t="s">
        <v>4427</v>
      </c>
      <c r="C1818" s="6" t="s">
        <v>23</v>
      </c>
      <c r="D1818" s="6" t="s">
        <v>4463</v>
      </c>
      <c r="E1818" s="7" t="s">
        <v>4443</v>
      </c>
    </row>
    <row r="1819" spans="1:5">
      <c r="A1819" s="4" t="s">
        <v>3651</v>
      </c>
      <c r="B1819" s="5" t="s">
        <v>4428</v>
      </c>
      <c r="C1819" s="6" t="s">
        <v>23</v>
      </c>
      <c r="D1819" s="6" t="s">
        <v>4463</v>
      </c>
      <c r="E1819" s="7" t="s">
        <v>4443</v>
      </c>
    </row>
    <row r="1820" spans="1:5">
      <c r="A1820" s="4" t="s">
        <v>3652</v>
      </c>
      <c r="B1820" s="5" t="s">
        <v>4429</v>
      </c>
      <c r="C1820" s="12" t="s">
        <v>23</v>
      </c>
      <c r="D1820" s="12" t="s">
        <v>4463</v>
      </c>
      <c r="E1820" s="7" t="s">
        <v>4443</v>
      </c>
    </row>
    <row r="1821" spans="1:5">
      <c r="A1821" s="4" t="s">
        <v>2121</v>
      </c>
      <c r="B1821" s="5" t="s">
        <v>2120</v>
      </c>
      <c r="C1821" s="6" t="s">
        <v>23</v>
      </c>
      <c r="D1821" s="6" t="s">
        <v>24</v>
      </c>
      <c r="E1821" s="7" t="s">
        <v>4449</v>
      </c>
    </row>
    <row r="1822" spans="1:5">
      <c r="A1822" s="4" t="s">
        <v>2123</v>
      </c>
      <c r="B1822" s="5" t="s">
        <v>2122</v>
      </c>
      <c r="C1822" s="6" t="s">
        <v>23</v>
      </c>
      <c r="D1822" s="6" t="s">
        <v>24</v>
      </c>
      <c r="E1822" s="7" t="s">
        <v>4457</v>
      </c>
    </row>
    <row r="1823" spans="1:5">
      <c r="A1823" s="4" t="s">
        <v>2125</v>
      </c>
      <c r="B1823" s="5" t="s">
        <v>2124</v>
      </c>
      <c r="C1823" s="6" t="s">
        <v>23</v>
      </c>
      <c r="D1823" s="6" t="s">
        <v>24</v>
      </c>
      <c r="E1823" s="7" t="s">
        <v>4455</v>
      </c>
    </row>
    <row r="1824" spans="1:5">
      <c r="A1824" s="4" t="s">
        <v>2127</v>
      </c>
      <c r="B1824" s="5" t="s">
        <v>2126</v>
      </c>
      <c r="C1824" s="6" t="s">
        <v>23</v>
      </c>
      <c r="D1824" s="6" t="s">
        <v>63</v>
      </c>
      <c r="E1824" s="7" t="s">
        <v>92</v>
      </c>
    </row>
    <row r="1825" spans="1:5">
      <c r="A1825" s="4" t="s">
        <v>2129</v>
      </c>
      <c r="B1825" s="5" t="s">
        <v>2128</v>
      </c>
      <c r="C1825" s="6" t="s">
        <v>23</v>
      </c>
      <c r="D1825" s="6" t="s">
        <v>24</v>
      </c>
      <c r="E1825" s="7" t="s">
        <v>4457</v>
      </c>
    </row>
    <row r="1826" spans="1:5">
      <c r="A1826" s="4" t="s">
        <v>2131</v>
      </c>
      <c r="B1826" s="5" t="s">
        <v>2130</v>
      </c>
      <c r="C1826" s="6" t="s">
        <v>23</v>
      </c>
      <c r="D1826" s="6" t="s">
        <v>24</v>
      </c>
      <c r="E1826" s="7" t="s">
        <v>4457</v>
      </c>
    </row>
    <row r="1827" spans="1:5">
      <c r="A1827" s="4" t="s">
        <v>2133</v>
      </c>
      <c r="B1827" s="5" t="s">
        <v>2132</v>
      </c>
      <c r="C1827" s="6" t="s">
        <v>23</v>
      </c>
      <c r="D1827" s="6" t="s">
        <v>24</v>
      </c>
      <c r="E1827" s="7" t="s">
        <v>4455</v>
      </c>
    </row>
    <row r="1828" spans="1:5">
      <c r="A1828" s="4" t="s">
        <v>2135</v>
      </c>
      <c r="B1828" s="5" t="s">
        <v>2134</v>
      </c>
      <c r="C1828" s="6" t="s">
        <v>23</v>
      </c>
      <c r="D1828" s="6" t="s">
        <v>24</v>
      </c>
      <c r="E1828" s="7" t="s">
        <v>4449</v>
      </c>
    </row>
    <row r="1829" spans="1:5">
      <c r="A1829" s="4" t="s">
        <v>2137</v>
      </c>
      <c r="B1829" s="5" t="s">
        <v>2136</v>
      </c>
      <c r="C1829" s="6" t="s">
        <v>23</v>
      </c>
      <c r="D1829" s="6" t="s">
        <v>24</v>
      </c>
      <c r="E1829" s="7" t="s">
        <v>4454</v>
      </c>
    </row>
    <row r="1830" spans="1:5">
      <c r="A1830" s="4" t="s">
        <v>2139</v>
      </c>
      <c r="B1830" s="5" t="s">
        <v>2138</v>
      </c>
      <c r="C1830" s="6" t="s">
        <v>23</v>
      </c>
      <c r="D1830" s="6" t="s">
        <v>24</v>
      </c>
      <c r="E1830" s="7" t="s">
        <v>4446</v>
      </c>
    </row>
    <row r="1831" spans="1:5">
      <c r="A1831" s="4" t="s">
        <v>2141</v>
      </c>
      <c r="B1831" s="5" t="s">
        <v>2140</v>
      </c>
      <c r="C1831" s="6" t="s">
        <v>23</v>
      </c>
      <c r="D1831" s="6" t="s">
        <v>24</v>
      </c>
      <c r="E1831" s="7" t="s">
        <v>4447</v>
      </c>
    </row>
    <row r="1832" spans="1:5">
      <c r="A1832" s="4" t="s">
        <v>2143</v>
      </c>
      <c r="B1832" s="5" t="s">
        <v>2142</v>
      </c>
      <c r="C1832" s="6" t="s">
        <v>23</v>
      </c>
      <c r="D1832" s="6" t="s">
        <v>63</v>
      </c>
      <c r="E1832" s="7" t="s">
        <v>64</v>
      </c>
    </row>
    <row r="1833" spans="1:5">
      <c r="A1833" s="4" t="s">
        <v>2145</v>
      </c>
      <c r="B1833" s="5" t="s">
        <v>2144</v>
      </c>
      <c r="C1833" s="6" t="s">
        <v>23</v>
      </c>
      <c r="D1833" s="6" t="s">
        <v>63</v>
      </c>
      <c r="E1833" s="7" t="s">
        <v>64</v>
      </c>
    </row>
    <row r="1834" spans="1:5">
      <c r="A1834" s="4" t="s">
        <v>2147</v>
      </c>
      <c r="B1834" s="5" t="s">
        <v>2146</v>
      </c>
      <c r="C1834" s="6" t="s">
        <v>23</v>
      </c>
      <c r="D1834" s="6" t="s">
        <v>24</v>
      </c>
      <c r="E1834" s="7" t="s">
        <v>4446</v>
      </c>
    </row>
    <row r="1835" spans="1:5">
      <c r="A1835" s="11" t="s">
        <v>2149</v>
      </c>
      <c r="B1835" s="5" t="s">
        <v>2148</v>
      </c>
      <c r="C1835" s="12" t="s">
        <v>23</v>
      </c>
      <c r="D1835" s="12" t="s">
        <v>24</v>
      </c>
      <c r="E1835" s="7" t="s">
        <v>4457</v>
      </c>
    </row>
    <row r="1836" spans="1:5">
      <c r="A1836" s="4" t="s">
        <v>2151</v>
      </c>
      <c r="B1836" s="5" t="s">
        <v>2150</v>
      </c>
      <c r="C1836" s="6" t="s">
        <v>23</v>
      </c>
      <c r="D1836" s="6" t="s">
        <v>24</v>
      </c>
      <c r="E1836" s="7" t="s">
        <v>4450</v>
      </c>
    </row>
    <row r="1837" spans="1:5">
      <c r="A1837" s="4" t="s">
        <v>2153</v>
      </c>
      <c r="B1837" s="5" t="s">
        <v>2152</v>
      </c>
      <c r="C1837" s="6" t="s">
        <v>23</v>
      </c>
      <c r="D1837" s="6" t="s">
        <v>24</v>
      </c>
      <c r="E1837" s="7" t="s">
        <v>4448</v>
      </c>
    </row>
    <row r="1838" spans="1:5">
      <c r="A1838" s="4" t="s">
        <v>2155</v>
      </c>
      <c r="B1838" s="5" t="s">
        <v>2154</v>
      </c>
      <c r="C1838" s="6" t="s">
        <v>23</v>
      </c>
      <c r="D1838" s="6" t="s">
        <v>24</v>
      </c>
      <c r="E1838" s="7" t="s">
        <v>4451</v>
      </c>
    </row>
    <row r="1839" spans="1:5">
      <c r="A1839" s="4" t="s">
        <v>2157</v>
      </c>
      <c r="B1839" s="5" t="s">
        <v>2156</v>
      </c>
      <c r="C1839" s="6" t="s">
        <v>23</v>
      </c>
      <c r="D1839" s="6" t="s">
        <v>24</v>
      </c>
      <c r="E1839" s="7" t="s">
        <v>4447</v>
      </c>
    </row>
    <row r="1840" spans="1:5">
      <c r="A1840" s="4" t="s">
        <v>2159</v>
      </c>
      <c r="B1840" s="5" t="s">
        <v>2158</v>
      </c>
      <c r="C1840" s="6" t="s">
        <v>23</v>
      </c>
      <c r="D1840" s="6" t="s">
        <v>24</v>
      </c>
      <c r="E1840" s="7" t="s">
        <v>4448</v>
      </c>
    </row>
    <row r="1841" spans="1:5">
      <c r="A1841" s="4" t="s">
        <v>2161</v>
      </c>
      <c r="B1841" s="5" t="s">
        <v>2160</v>
      </c>
      <c r="C1841" s="12" t="s">
        <v>23</v>
      </c>
      <c r="D1841" s="12" t="s">
        <v>24</v>
      </c>
      <c r="E1841" s="7" t="s">
        <v>4449</v>
      </c>
    </row>
    <row r="1842" spans="1:5">
      <c r="A1842" s="4" t="s">
        <v>2163</v>
      </c>
      <c r="B1842" s="5" t="s">
        <v>2162</v>
      </c>
      <c r="C1842" s="6" t="s">
        <v>23</v>
      </c>
      <c r="D1842" s="6" t="s">
        <v>24</v>
      </c>
      <c r="E1842" s="7" t="s">
        <v>4448</v>
      </c>
    </row>
    <row r="1843" spans="1:5">
      <c r="A1843" s="4" t="s">
        <v>2166</v>
      </c>
      <c r="B1843" s="5" t="s">
        <v>2165</v>
      </c>
      <c r="C1843" s="6" t="s">
        <v>23</v>
      </c>
      <c r="D1843" s="6" t="s">
        <v>24</v>
      </c>
      <c r="E1843" s="7" t="s">
        <v>4457</v>
      </c>
    </row>
    <row r="1844" spans="1:5">
      <c r="A1844" s="4" t="s">
        <v>2168</v>
      </c>
      <c r="B1844" s="5" t="s">
        <v>2167</v>
      </c>
      <c r="C1844" s="6" t="s">
        <v>23</v>
      </c>
      <c r="D1844" s="6" t="s">
        <v>24</v>
      </c>
      <c r="E1844" s="7" t="s">
        <v>4455</v>
      </c>
    </row>
    <row r="1845" spans="1:5">
      <c r="A1845" s="4" t="s">
        <v>4552</v>
      </c>
      <c r="B1845" s="5" t="s">
        <v>2164</v>
      </c>
      <c r="C1845" s="6" t="s">
        <v>23</v>
      </c>
      <c r="D1845" s="6" t="s">
        <v>24</v>
      </c>
      <c r="E1845" s="7" t="s">
        <v>4449</v>
      </c>
    </row>
    <row r="1846" spans="1:5">
      <c r="A1846" s="4" t="s">
        <v>2170</v>
      </c>
      <c r="B1846" s="5" t="s">
        <v>2169</v>
      </c>
      <c r="C1846" s="6" t="s">
        <v>23</v>
      </c>
      <c r="D1846" s="6" t="s">
        <v>63</v>
      </c>
      <c r="E1846" s="7" t="s">
        <v>67</v>
      </c>
    </row>
    <row r="1847" spans="1:5">
      <c r="A1847" s="4" t="s">
        <v>4553</v>
      </c>
      <c r="B1847" s="5" t="s">
        <v>2209</v>
      </c>
      <c r="C1847" s="6" t="s">
        <v>23</v>
      </c>
      <c r="D1847" s="6" t="s">
        <v>24</v>
      </c>
      <c r="E1847" s="7" t="s">
        <v>4446</v>
      </c>
    </row>
    <row r="1848" spans="1:5">
      <c r="A1848" s="4" t="s">
        <v>4554</v>
      </c>
      <c r="B1848" s="5" t="s">
        <v>2210</v>
      </c>
      <c r="C1848" s="6" t="s">
        <v>23</v>
      </c>
      <c r="D1848" s="6" t="s">
        <v>24</v>
      </c>
      <c r="E1848" s="7" t="s">
        <v>4457</v>
      </c>
    </row>
    <row r="1849" spans="1:5">
      <c r="A1849" s="4" t="s">
        <v>4555</v>
      </c>
      <c r="B1849" s="5" t="s">
        <v>2211</v>
      </c>
      <c r="C1849" s="6" t="s">
        <v>23</v>
      </c>
      <c r="D1849" s="6" t="s">
        <v>24</v>
      </c>
      <c r="E1849" s="7" t="s">
        <v>4447</v>
      </c>
    </row>
    <row r="1850" spans="1:5">
      <c r="A1850" s="4" t="s">
        <v>2172</v>
      </c>
      <c r="B1850" s="5" t="s">
        <v>2171</v>
      </c>
      <c r="C1850" s="6" t="s">
        <v>23</v>
      </c>
      <c r="D1850" s="6" t="s">
        <v>63</v>
      </c>
      <c r="E1850" s="7" t="s">
        <v>64</v>
      </c>
    </row>
    <row r="1851" spans="1:5">
      <c r="A1851" s="4" t="s">
        <v>2174</v>
      </c>
      <c r="B1851" s="5" t="s">
        <v>2173</v>
      </c>
      <c r="C1851" s="6" t="s">
        <v>23</v>
      </c>
      <c r="D1851" s="6" t="s">
        <v>63</v>
      </c>
      <c r="E1851" s="7" t="s">
        <v>67</v>
      </c>
    </row>
    <row r="1852" spans="1:5">
      <c r="A1852" s="4" t="s">
        <v>2176</v>
      </c>
      <c r="B1852" s="5" t="s">
        <v>2175</v>
      </c>
      <c r="C1852" s="6" t="s">
        <v>23</v>
      </c>
      <c r="D1852" s="6" t="s">
        <v>63</v>
      </c>
      <c r="E1852" s="7" t="s">
        <v>64</v>
      </c>
    </row>
    <row r="1853" spans="1:5">
      <c r="A1853" s="4" t="s">
        <v>2178</v>
      </c>
      <c r="B1853" s="5" t="s">
        <v>2177</v>
      </c>
      <c r="C1853" s="6" t="s">
        <v>23</v>
      </c>
      <c r="D1853" s="6" t="s">
        <v>63</v>
      </c>
      <c r="E1853" s="7" t="s">
        <v>64</v>
      </c>
    </row>
    <row r="1854" spans="1:5">
      <c r="A1854" s="4" t="s">
        <v>2180</v>
      </c>
      <c r="B1854" s="5" t="s">
        <v>2179</v>
      </c>
      <c r="C1854" s="6" t="s">
        <v>23</v>
      </c>
      <c r="D1854" s="6" t="s">
        <v>63</v>
      </c>
      <c r="E1854" s="7" t="s">
        <v>287</v>
      </c>
    </row>
    <row r="1855" spans="1:5">
      <c r="A1855" s="4" t="s">
        <v>2182</v>
      </c>
      <c r="B1855" s="5" t="s">
        <v>2181</v>
      </c>
      <c r="C1855" s="6" t="s">
        <v>23</v>
      </c>
      <c r="D1855" s="6" t="s">
        <v>24</v>
      </c>
      <c r="E1855" s="7" t="s">
        <v>4455</v>
      </c>
    </row>
    <row r="1856" spans="1:5">
      <c r="A1856" s="4" t="s">
        <v>2184</v>
      </c>
      <c r="B1856" s="5" t="s">
        <v>2183</v>
      </c>
      <c r="C1856" s="6" t="s">
        <v>23</v>
      </c>
      <c r="D1856" s="6" t="s">
        <v>24</v>
      </c>
      <c r="E1856" s="7" t="s">
        <v>4451</v>
      </c>
    </row>
    <row r="1857" spans="1:5">
      <c r="A1857" s="4" t="s">
        <v>2186</v>
      </c>
      <c r="B1857" s="5" t="s">
        <v>2185</v>
      </c>
      <c r="C1857" s="6" t="s">
        <v>23</v>
      </c>
      <c r="D1857" s="6" t="s">
        <v>63</v>
      </c>
      <c r="E1857" s="7" t="s">
        <v>67</v>
      </c>
    </row>
    <row r="1858" spans="1:5">
      <c r="A1858" s="4" t="s">
        <v>2188</v>
      </c>
      <c r="B1858" s="5" t="s">
        <v>2187</v>
      </c>
      <c r="C1858" s="6" t="s">
        <v>23</v>
      </c>
      <c r="D1858" s="6" t="s">
        <v>24</v>
      </c>
      <c r="E1858" s="7" t="s">
        <v>4449</v>
      </c>
    </row>
    <row r="1859" spans="1:5">
      <c r="A1859" s="4" t="s">
        <v>2190</v>
      </c>
      <c r="B1859" s="5" t="s">
        <v>2189</v>
      </c>
      <c r="C1859" s="6" t="s">
        <v>23</v>
      </c>
      <c r="D1859" s="6" t="s">
        <v>63</v>
      </c>
      <c r="E1859" s="7" t="s">
        <v>67</v>
      </c>
    </row>
    <row r="1860" spans="1:5">
      <c r="A1860" s="4" t="s">
        <v>2192</v>
      </c>
      <c r="B1860" s="5" t="s">
        <v>2191</v>
      </c>
      <c r="C1860" s="6" t="s">
        <v>23</v>
      </c>
      <c r="D1860" s="6" t="s">
        <v>63</v>
      </c>
      <c r="E1860" s="7" t="s">
        <v>287</v>
      </c>
    </row>
    <row r="1861" spans="1:5">
      <c r="A1861" s="4" t="s">
        <v>2194</v>
      </c>
      <c r="B1861" s="5" t="s">
        <v>2193</v>
      </c>
      <c r="C1861" s="6" t="s">
        <v>23</v>
      </c>
      <c r="D1861" s="6" t="s">
        <v>24</v>
      </c>
      <c r="E1861" s="7" t="s">
        <v>4455</v>
      </c>
    </row>
    <row r="1862" spans="1:5">
      <c r="A1862" s="4" t="s">
        <v>2196</v>
      </c>
      <c r="B1862" s="5" t="s">
        <v>2195</v>
      </c>
      <c r="C1862" s="6" t="s">
        <v>23</v>
      </c>
      <c r="D1862" s="6" t="s">
        <v>63</v>
      </c>
      <c r="E1862" s="7" t="s">
        <v>98</v>
      </c>
    </row>
    <row r="1863" spans="1:5">
      <c r="A1863" s="4" t="s">
        <v>2198</v>
      </c>
      <c r="B1863" s="5" t="s">
        <v>2197</v>
      </c>
      <c r="C1863" s="6" t="s">
        <v>23</v>
      </c>
      <c r="D1863" s="6" t="s">
        <v>63</v>
      </c>
      <c r="E1863" s="7" t="s">
        <v>67</v>
      </c>
    </row>
    <row r="1864" spans="1:5">
      <c r="A1864" s="4" t="s">
        <v>2200</v>
      </c>
      <c r="B1864" s="5" t="s">
        <v>2199</v>
      </c>
      <c r="C1864" s="6" t="s">
        <v>23</v>
      </c>
      <c r="D1864" s="6" t="s">
        <v>63</v>
      </c>
      <c r="E1864" s="7" t="s">
        <v>4457</v>
      </c>
    </row>
    <row r="1865" spans="1:5">
      <c r="A1865" s="4" t="s">
        <v>3574</v>
      </c>
      <c r="B1865" s="5" t="s">
        <v>4350</v>
      </c>
      <c r="C1865" s="6" t="s">
        <v>23</v>
      </c>
      <c r="D1865" s="6" t="s">
        <v>24</v>
      </c>
      <c r="E1865" s="7" t="s">
        <v>4446</v>
      </c>
    </row>
    <row r="1866" spans="1:5">
      <c r="A1866" s="4" t="s">
        <v>2202</v>
      </c>
      <c r="B1866" s="5" t="s">
        <v>2201</v>
      </c>
      <c r="C1866" s="6" t="s">
        <v>23</v>
      </c>
      <c r="D1866" s="6" t="s">
        <v>24</v>
      </c>
      <c r="E1866" s="7" t="s">
        <v>4448</v>
      </c>
    </row>
    <row r="1867" spans="1:5">
      <c r="A1867" s="4" t="s">
        <v>2204</v>
      </c>
      <c r="B1867" s="5" t="s">
        <v>2203</v>
      </c>
      <c r="C1867" s="6" t="s">
        <v>23</v>
      </c>
      <c r="D1867" s="6" t="s">
        <v>24</v>
      </c>
      <c r="E1867" s="7" t="s">
        <v>4450</v>
      </c>
    </row>
    <row r="1868" spans="1:5">
      <c r="A1868" s="4" t="s">
        <v>2206</v>
      </c>
      <c r="B1868" s="5" t="s">
        <v>2205</v>
      </c>
      <c r="C1868" s="6" t="s">
        <v>23</v>
      </c>
      <c r="D1868" s="6" t="s">
        <v>24</v>
      </c>
      <c r="E1868" s="7" t="s">
        <v>4449</v>
      </c>
    </row>
    <row r="1869" spans="1:5">
      <c r="A1869" s="4" t="s">
        <v>2208</v>
      </c>
      <c r="B1869" s="5" t="s">
        <v>2207</v>
      </c>
      <c r="C1869" s="6" t="s">
        <v>23</v>
      </c>
      <c r="D1869" s="6" t="s">
        <v>24</v>
      </c>
      <c r="E1869" s="7" t="s">
        <v>4454</v>
      </c>
    </row>
    <row r="1870" spans="1:5">
      <c r="A1870" s="4" t="s">
        <v>3492</v>
      </c>
      <c r="B1870" s="5" t="s">
        <v>4266</v>
      </c>
      <c r="C1870" s="6" t="s">
        <v>23</v>
      </c>
      <c r="D1870" s="6" t="s">
        <v>4445</v>
      </c>
      <c r="E1870" s="7" t="s">
        <v>4443</v>
      </c>
    </row>
    <row r="1871" spans="1:5">
      <c r="A1871" s="4" t="s">
        <v>3594</v>
      </c>
      <c r="B1871" s="5" t="s">
        <v>4371</v>
      </c>
      <c r="C1871" s="6" t="s">
        <v>23</v>
      </c>
      <c r="D1871" s="6" t="s">
        <v>63</v>
      </c>
      <c r="E1871" s="7" t="s">
        <v>98</v>
      </c>
    </row>
    <row r="1872" spans="1:5">
      <c r="A1872" s="4" t="s">
        <v>3493</v>
      </c>
      <c r="B1872" s="5" t="s">
        <v>4267</v>
      </c>
      <c r="C1872" s="6" t="s">
        <v>23</v>
      </c>
      <c r="D1872" s="6" t="s">
        <v>4445</v>
      </c>
      <c r="E1872" s="7" t="s">
        <v>4443</v>
      </c>
    </row>
    <row r="1873" spans="1:5">
      <c r="A1873" s="4" t="s">
        <v>3634</v>
      </c>
      <c r="B1873" s="5" t="s">
        <v>4410</v>
      </c>
      <c r="C1873" s="6" t="s">
        <v>23</v>
      </c>
      <c r="D1873" s="6" t="s">
        <v>4463</v>
      </c>
      <c r="E1873" s="7" t="s">
        <v>4443</v>
      </c>
    </row>
    <row r="1874" spans="1:5">
      <c r="A1874" s="4" t="s">
        <v>3653</v>
      </c>
      <c r="B1874" s="5" t="s">
        <v>4430</v>
      </c>
      <c r="C1874" s="6" t="s">
        <v>23</v>
      </c>
      <c r="D1874" s="6" t="s">
        <v>4463</v>
      </c>
      <c r="E1874" s="7" t="s">
        <v>4443</v>
      </c>
    </row>
    <row r="1875" spans="1:5">
      <c r="A1875" s="4" t="s">
        <v>3654</v>
      </c>
      <c r="B1875" s="5" t="s">
        <v>4431</v>
      </c>
      <c r="C1875" s="6" t="s">
        <v>23</v>
      </c>
      <c r="D1875" s="6" t="s">
        <v>4463</v>
      </c>
      <c r="E1875" s="7" t="s">
        <v>4443</v>
      </c>
    </row>
    <row r="1876" spans="1:5">
      <c r="A1876" s="4" t="s">
        <v>3655</v>
      </c>
      <c r="B1876" s="5" t="s">
        <v>4432</v>
      </c>
      <c r="C1876" s="6" t="s">
        <v>23</v>
      </c>
      <c r="D1876" s="6" t="s">
        <v>4463</v>
      </c>
      <c r="E1876" s="7" t="s">
        <v>4443</v>
      </c>
    </row>
    <row r="1877" spans="1:5">
      <c r="A1877" s="4" t="s">
        <v>4560</v>
      </c>
      <c r="B1877" s="5" t="s">
        <v>2119</v>
      </c>
      <c r="C1877" s="6" t="s">
        <v>23</v>
      </c>
      <c r="D1877" s="6" t="s">
        <v>24</v>
      </c>
      <c r="E1877" s="7" t="s">
        <v>4455</v>
      </c>
    </row>
    <row r="1878" spans="1:5">
      <c r="A1878" s="4" t="s">
        <v>3494</v>
      </c>
      <c r="B1878" s="5" t="s">
        <v>4268</v>
      </c>
      <c r="C1878" s="6" t="s">
        <v>23</v>
      </c>
      <c r="D1878" s="6" t="s">
        <v>4445</v>
      </c>
      <c r="E1878" s="7" t="s">
        <v>4443</v>
      </c>
    </row>
    <row r="1879" spans="1:5">
      <c r="A1879" s="4" t="s">
        <v>2213</v>
      </c>
      <c r="B1879" s="5" t="s">
        <v>2212</v>
      </c>
      <c r="C1879" s="6" t="s">
        <v>23</v>
      </c>
      <c r="D1879" s="6" t="s">
        <v>63</v>
      </c>
      <c r="E1879" s="7" t="s">
        <v>64</v>
      </c>
    </row>
    <row r="1880" spans="1:5">
      <c r="A1880" s="4" t="s">
        <v>2215</v>
      </c>
      <c r="B1880" s="5" t="s">
        <v>2214</v>
      </c>
      <c r="C1880" s="6" t="s">
        <v>23</v>
      </c>
      <c r="D1880" s="6" t="s">
        <v>24</v>
      </c>
      <c r="E1880" s="7" t="s">
        <v>4454</v>
      </c>
    </row>
    <row r="1881" spans="1:5">
      <c r="A1881" s="4" t="s">
        <v>2217</v>
      </c>
      <c r="B1881" s="5" t="s">
        <v>2216</v>
      </c>
      <c r="C1881" s="6" t="s">
        <v>23</v>
      </c>
      <c r="D1881" s="6" t="s">
        <v>63</v>
      </c>
      <c r="E1881" s="7" t="s">
        <v>287</v>
      </c>
    </row>
    <row r="1882" spans="1:5">
      <c r="A1882" s="11" t="s">
        <v>2219</v>
      </c>
      <c r="B1882" s="5" t="s">
        <v>2218</v>
      </c>
      <c r="C1882" s="12" t="s">
        <v>23</v>
      </c>
      <c r="D1882" s="12" t="s">
        <v>63</v>
      </c>
      <c r="E1882" s="7" t="s">
        <v>64</v>
      </c>
    </row>
    <row r="1883" spans="1:5">
      <c r="A1883" s="11" t="s">
        <v>2221</v>
      </c>
      <c r="B1883" s="5" t="s">
        <v>2220</v>
      </c>
      <c r="C1883" s="12" t="s">
        <v>23</v>
      </c>
      <c r="D1883" s="12" t="s">
        <v>24</v>
      </c>
      <c r="E1883" s="7" t="s">
        <v>4452</v>
      </c>
    </row>
    <row r="1884" spans="1:5">
      <c r="A1884" s="4" t="s">
        <v>2223</v>
      </c>
      <c r="B1884" s="5" t="s">
        <v>2222</v>
      </c>
      <c r="C1884" s="6" t="s">
        <v>23</v>
      </c>
      <c r="D1884" s="6" t="s">
        <v>24</v>
      </c>
      <c r="E1884" s="7" t="s">
        <v>4457</v>
      </c>
    </row>
    <row r="1885" spans="1:5">
      <c r="A1885" s="4" t="s">
        <v>2225</v>
      </c>
      <c r="B1885" s="5" t="s">
        <v>2224</v>
      </c>
      <c r="C1885" s="6" t="s">
        <v>23</v>
      </c>
      <c r="D1885" s="6" t="s">
        <v>24</v>
      </c>
      <c r="E1885" s="7" t="s">
        <v>4447</v>
      </c>
    </row>
    <row r="1886" spans="1:5">
      <c r="A1886" s="4" t="s">
        <v>2227</v>
      </c>
      <c r="B1886" s="5" t="s">
        <v>2226</v>
      </c>
      <c r="C1886" s="6" t="s">
        <v>23</v>
      </c>
      <c r="D1886" s="6" t="s">
        <v>24</v>
      </c>
      <c r="E1886" s="7" t="s">
        <v>4448</v>
      </c>
    </row>
    <row r="1887" spans="1:5">
      <c r="A1887" s="4" t="s">
        <v>2229</v>
      </c>
      <c r="B1887" s="5" t="s">
        <v>2228</v>
      </c>
      <c r="C1887" s="6" t="s">
        <v>23</v>
      </c>
      <c r="D1887" s="6" t="s">
        <v>24</v>
      </c>
      <c r="E1887" s="7" t="s">
        <v>4449</v>
      </c>
    </row>
    <row r="1888" spans="1:5">
      <c r="A1888" s="4" t="s">
        <v>2231</v>
      </c>
      <c r="B1888" s="5" t="s">
        <v>2230</v>
      </c>
      <c r="C1888" s="6" t="s">
        <v>23</v>
      </c>
      <c r="D1888" s="6" t="s">
        <v>24</v>
      </c>
      <c r="E1888" s="7" t="s">
        <v>4450</v>
      </c>
    </row>
    <row r="1889" spans="1:5">
      <c r="A1889" s="4" t="s">
        <v>2233</v>
      </c>
      <c r="B1889" s="5" t="s">
        <v>2232</v>
      </c>
      <c r="C1889" s="6" t="s">
        <v>23</v>
      </c>
      <c r="D1889" s="6" t="s">
        <v>24</v>
      </c>
      <c r="E1889" s="7" t="s">
        <v>4455</v>
      </c>
    </row>
    <row r="1890" spans="1:5">
      <c r="A1890" s="4" t="s">
        <v>2235</v>
      </c>
      <c r="B1890" s="5" t="s">
        <v>2234</v>
      </c>
      <c r="C1890" s="6" t="s">
        <v>23</v>
      </c>
      <c r="D1890" s="6" t="s">
        <v>63</v>
      </c>
      <c r="E1890" s="7" t="s">
        <v>92</v>
      </c>
    </row>
    <row r="1891" spans="1:5">
      <c r="A1891" s="4" t="s">
        <v>2237</v>
      </c>
      <c r="B1891" s="5" t="s">
        <v>2236</v>
      </c>
      <c r="C1891" s="6" t="s">
        <v>23</v>
      </c>
      <c r="D1891" s="6" t="s">
        <v>63</v>
      </c>
      <c r="E1891" s="7" t="s">
        <v>67</v>
      </c>
    </row>
    <row r="1892" spans="1:5">
      <c r="A1892" s="4" t="s">
        <v>2239</v>
      </c>
      <c r="B1892" s="5" t="s">
        <v>2238</v>
      </c>
      <c r="C1892" s="6" t="s">
        <v>23</v>
      </c>
      <c r="D1892" s="6" t="s">
        <v>63</v>
      </c>
      <c r="E1892" s="7" t="s">
        <v>287</v>
      </c>
    </row>
    <row r="1893" spans="1:5">
      <c r="A1893" s="4" t="s">
        <v>2241</v>
      </c>
      <c r="B1893" s="5" t="s">
        <v>2240</v>
      </c>
      <c r="C1893" s="6" t="s">
        <v>23</v>
      </c>
      <c r="D1893" s="6" t="s">
        <v>24</v>
      </c>
      <c r="E1893" s="7" t="s">
        <v>4449</v>
      </c>
    </row>
    <row r="1894" spans="1:5">
      <c r="A1894" s="4" t="s">
        <v>2243</v>
      </c>
      <c r="B1894" s="5" t="s">
        <v>2242</v>
      </c>
      <c r="C1894" s="6" t="s">
        <v>23</v>
      </c>
      <c r="D1894" s="6" t="s">
        <v>24</v>
      </c>
      <c r="E1894" s="7" t="s">
        <v>4455</v>
      </c>
    </row>
    <row r="1895" spans="1:5">
      <c r="A1895" s="4" t="s">
        <v>2245</v>
      </c>
      <c r="B1895" s="5" t="s">
        <v>2244</v>
      </c>
      <c r="C1895" s="6" t="s">
        <v>23</v>
      </c>
      <c r="D1895" s="6" t="s">
        <v>24</v>
      </c>
      <c r="E1895" s="7" t="s">
        <v>4454</v>
      </c>
    </row>
    <row r="1896" spans="1:5">
      <c r="A1896" s="4" t="s">
        <v>2247</v>
      </c>
      <c r="B1896" s="5" t="s">
        <v>2246</v>
      </c>
      <c r="C1896" s="6" t="s">
        <v>23</v>
      </c>
      <c r="D1896" s="6" t="s">
        <v>63</v>
      </c>
      <c r="E1896" s="7" t="s">
        <v>64</v>
      </c>
    </row>
    <row r="1897" spans="1:5">
      <c r="A1897" s="4" t="s">
        <v>2249</v>
      </c>
      <c r="B1897" s="5" t="s">
        <v>2248</v>
      </c>
      <c r="C1897" s="6" t="s">
        <v>23</v>
      </c>
      <c r="D1897" s="6" t="s">
        <v>63</v>
      </c>
      <c r="E1897" s="7" t="s">
        <v>67</v>
      </c>
    </row>
    <row r="1898" spans="1:5">
      <c r="A1898" s="4" t="s">
        <v>2251</v>
      </c>
      <c r="B1898" s="5" t="s">
        <v>2250</v>
      </c>
      <c r="C1898" s="6" t="s">
        <v>23</v>
      </c>
      <c r="D1898" s="6" t="s">
        <v>24</v>
      </c>
      <c r="E1898" s="7" t="s">
        <v>4446</v>
      </c>
    </row>
    <row r="1899" spans="1:5">
      <c r="A1899" s="4" t="s">
        <v>2253</v>
      </c>
      <c r="B1899" s="5" t="s">
        <v>2252</v>
      </c>
      <c r="C1899" s="6" t="s">
        <v>23</v>
      </c>
      <c r="D1899" s="6" t="s">
        <v>24</v>
      </c>
      <c r="E1899" s="7" t="s">
        <v>4447</v>
      </c>
    </row>
    <row r="1900" spans="1:5">
      <c r="A1900" s="4" t="s">
        <v>2255</v>
      </c>
      <c r="B1900" s="5" t="s">
        <v>2254</v>
      </c>
      <c r="C1900" s="6" t="s">
        <v>23</v>
      </c>
      <c r="D1900" s="6" t="s">
        <v>24</v>
      </c>
      <c r="E1900" s="7" t="s">
        <v>4448</v>
      </c>
    </row>
    <row r="1901" spans="1:5">
      <c r="A1901" s="4" t="s">
        <v>2257</v>
      </c>
      <c r="B1901" s="5" t="s">
        <v>2256</v>
      </c>
      <c r="C1901" s="6" t="s">
        <v>23</v>
      </c>
      <c r="D1901" s="6" t="s">
        <v>24</v>
      </c>
      <c r="E1901" s="7" t="s">
        <v>4447</v>
      </c>
    </row>
    <row r="1902" spans="1:5">
      <c r="A1902" s="4" t="s">
        <v>2259</v>
      </c>
      <c r="B1902" s="5" t="s">
        <v>2258</v>
      </c>
      <c r="C1902" s="6" t="s">
        <v>23</v>
      </c>
      <c r="D1902" s="6" t="s">
        <v>24</v>
      </c>
      <c r="E1902" s="7" t="s">
        <v>4450</v>
      </c>
    </row>
    <row r="1903" spans="1:5">
      <c r="A1903" s="4" t="s">
        <v>2261</v>
      </c>
      <c r="B1903" s="5" t="s">
        <v>2260</v>
      </c>
      <c r="C1903" s="6" t="s">
        <v>23</v>
      </c>
      <c r="D1903" s="6" t="s">
        <v>24</v>
      </c>
      <c r="E1903" s="7" t="s">
        <v>4448</v>
      </c>
    </row>
    <row r="1904" spans="1:5">
      <c r="A1904" s="11" t="s">
        <v>2263</v>
      </c>
      <c r="B1904" s="5" t="s">
        <v>2262</v>
      </c>
      <c r="C1904" s="12" t="s">
        <v>23</v>
      </c>
      <c r="D1904" s="12" t="s">
        <v>63</v>
      </c>
      <c r="E1904" s="7" t="s">
        <v>64</v>
      </c>
    </row>
    <row r="1905" spans="1:5">
      <c r="A1905" s="4" t="s">
        <v>2265</v>
      </c>
      <c r="B1905" s="5" t="s">
        <v>2264</v>
      </c>
      <c r="C1905" s="6" t="s">
        <v>23</v>
      </c>
      <c r="D1905" s="6" t="s">
        <v>24</v>
      </c>
      <c r="E1905" s="7" t="s">
        <v>4446</v>
      </c>
    </row>
    <row r="1906" spans="1:5">
      <c r="A1906" s="4" t="s">
        <v>2267</v>
      </c>
      <c r="B1906" s="5" t="s">
        <v>2266</v>
      </c>
      <c r="C1906" s="6" t="s">
        <v>23</v>
      </c>
      <c r="D1906" s="6" t="s">
        <v>24</v>
      </c>
      <c r="E1906" s="7" t="s">
        <v>4455</v>
      </c>
    </row>
    <row r="1907" spans="1:5">
      <c r="A1907" s="4" t="s">
        <v>2269</v>
      </c>
      <c r="B1907" s="5" t="s">
        <v>2268</v>
      </c>
      <c r="C1907" s="6" t="s">
        <v>23</v>
      </c>
      <c r="D1907" s="6" t="s">
        <v>24</v>
      </c>
      <c r="E1907" s="7" t="s">
        <v>4446</v>
      </c>
    </row>
    <row r="1908" spans="1:5">
      <c r="A1908" s="4" t="s">
        <v>2271</v>
      </c>
      <c r="B1908" s="5" t="s">
        <v>2270</v>
      </c>
      <c r="C1908" s="6" t="s">
        <v>23</v>
      </c>
      <c r="D1908" s="6" t="s">
        <v>24</v>
      </c>
      <c r="E1908" s="7" t="s">
        <v>4447</v>
      </c>
    </row>
    <row r="1909" spans="1:5">
      <c r="A1909" s="4" t="s">
        <v>2273</v>
      </c>
      <c r="B1909" s="5" t="s">
        <v>2272</v>
      </c>
      <c r="C1909" s="6" t="s">
        <v>23</v>
      </c>
      <c r="D1909" s="6" t="s">
        <v>24</v>
      </c>
      <c r="E1909" s="7" t="s">
        <v>4455</v>
      </c>
    </row>
    <row r="1910" spans="1:5">
      <c r="A1910" s="4" t="s">
        <v>2275</v>
      </c>
      <c r="B1910" s="5" t="s">
        <v>2274</v>
      </c>
      <c r="C1910" s="6" t="s">
        <v>23</v>
      </c>
      <c r="D1910" s="6" t="s">
        <v>24</v>
      </c>
      <c r="E1910" s="7" t="s">
        <v>4446</v>
      </c>
    </row>
    <row r="1911" spans="1:5">
      <c r="A1911" s="4" t="s">
        <v>2277</v>
      </c>
      <c r="B1911" s="5" t="s">
        <v>2276</v>
      </c>
      <c r="C1911" s="6" t="s">
        <v>23</v>
      </c>
      <c r="D1911" s="6" t="s">
        <v>24</v>
      </c>
      <c r="E1911" s="7" t="s">
        <v>4447</v>
      </c>
    </row>
    <row r="1912" spans="1:5">
      <c r="A1912" s="4" t="s">
        <v>2279</v>
      </c>
      <c r="B1912" s="5" t="s">
        <v>2278</v>
      </c>
      <c r="C1912" s="6" t="s">
        <v>23</v>
      </c>
      <c r="D1912" s="6" t="s">
        <v>24</v>
      </c>
      <c r="E1912" s="7" t="s">
        <v>4448</v>
      </c>
    </row>
    <row r="1913" spans="1:5">
      <c r="A1913" s="4" t="s">
        <v>2281</v>
      </c>
      <c r="B1913" s="5" t="s">
        <v>2280</v>
      </c>
      <c r="C1913" s="6" t="s">
        <v>23</v>
      </c>
      <c r="D1913" s="6" t="s">
        <v>63</v>
      </c>
      <c r="E1913" s="7" t="s">
        <v>64</v>
      </c>
    </row>
    <row r="1914" spans="1:5">
      <c r="A1914" s="4" t="s">
        <v>2283</v>
      </c>
      <c r="B1914" s="5" t="s">
        <v>2282</v>
      </c>
      <c r="C1914" s="6" t="s">
        <v>23</v>
      </c>
      <c r="D1914" s="6" t="s">
        <v>63</v>
      </c>
      <c r="E1914" s="7" t="s">
        <v>86</v>
      </c>
    </row>
    <row r="1915" spans="1:5">
      <c r="A1915" s="4" t="s">
        <v>2285</v>
      </c>
      <c r="B1915" s="5" t="s">
        <v>2284</v>
      </c>
      <c r="C1915" s="6" t="s">
        <v>23</v>
      </c>
      <c r="D1915" s="6" t="s">
        <v>63</v>
      </c>
      <c r="E1915" s="7" t="s">
        <v>89</v>
      </c>
    </row>
    <row r="1916" spans="1:5">
      <c r="A1916" s="4" t="s">
        <v>2287</v>
      </c>
      <c r="B1916" s="5" t="s">
        <v>2286</v>
      </c>
      <c r="C1916" s="6" t="s">
        <v>23</v>
      </c>
      <c r="D1916" s="6" t="s">
        <v>63</v>
      </c>
      <c r="E1916" s="7" t="s">
        <v>572</v>
      </c>
    </row>
    <row r="1917" spans="1:5">
      <c r="A1917" s="4" t="s">
        <v>2289</v>
      </c>
      <c r="B1917" s="5" t="s">
        <v>2288</v>
      </c>
      <c r="C1917" s="6" t="s">
        <v>23</v>
      </c>
      <c r="D1917" s="6" t="s">
        <v>24</v>
      </c>
      <c r="E1917" s="7" t="s">
        <v>4446</v>
      </c>
    </row>
    <row r="1918" spans="1:5">
      <c r="A1918" s="4" t="s">
        <v>2291</v>
      </c>
      <c r="B1918" s="5" t="s">
        <v>2290</v>
      </c>
      <c r="C1918" s="6" t="s">
        <v>23</v>
      </c>
      <c r="D1918" s="6" t="s">
        <v>24</v>
      </c>
      <c r="E1918" s="7" t="s">
        <v>4447</v>
      </c>
    </row>
    <row r="1919" spans="1:5">
      <c r="A1919" s="4" t="s">
        <v>3582</v>
      </c>
      <c r="B1919" s="5" t="s">
        <v>4357</v>
      </c>
      <c r="C1919" s="6" t="s">
        <v>23</v>
      </c>
      <c r="D1919" s="6" t="s">
        <v>24</v>
      </c>
      <c r="E1919" s="7" t="s">
        <v>4448</v>
      </c>
    </row>
    <row r="1920" spans="1:5">
      <c r="A1920" s="4" t="s">
        <v>3573</v>
      </c>
      <c r="B1920" s="5" t="s">
        <v>4349</v>
      </c>
      <c r="C1920" s="6" t="s">
        <v>23</v>
      </c>
      <c r="D1920" s="6" t="s">
        <v>24</v>
      </c>
      <c r="E1920" s="7" t="s">
        <v>4446</v>
      </c>
    </row>
    <row r="1921" spans="1:5">
      <c r="A1921" s="4" t="s">
        <v>2293</v>
      </c>
      <c r="B1921" s="5" t="s">
        <v>2292</v>
      </c>
      <c r="C1921" s="6" t="s">
        <v>23</v>
      </c>
      <c r="D1921" s="6" t="s">
        <v>63</v>
      </c>
      <c r="E1921" s="7" t="s">
        <v>67</v>
      </c>
    </row>
    <row r="1922" spans="1:5">
      <c r="A1922" s="4" t="s">
        <v>2295</v>
      </c>
      <c r="B1922" s="5" t="s">
        <v>2294</v>
      </c>
      <c r="C1922" s="6" t="s">
        <v>23</v>
      </c>
      <c r="D1922" s="6" t="s">
        <v>63</v>
      </c>
      <c r="E1922" s="7" t="s">
        <v>287</v>
      </c>
    </row>
    <row r="1923" spans="1:5">
      <c r="A1923" s="4" t="s">
        <v>2297</v>
      </c>
      <c r="B1923" s="5" t="s">
        <v>2296</v>
      </c>
      <c r="C1923" s="6" t="s">
        <v>23</v>
      </c>
      <c r="D1923" s="6" t="s">
        <v>63</v>
      </c>
      <c r="E1923" s="7" t="s">
        <v>425</v>
      </c>
    </row>
    <row r="1924" spans="1:5">
      <c r="A1924" s="4" t="s">
        <v>2299</v>
      </c>
      <c r="B1924" s="5" t="s">
        <v>2298</v>
      </c>
      <c r="C1924" s="6" t="s">
        <v>23</v>
      </c>
      <c r="D1924" s="6" t="s">
        <v>24</v>
      </c>
      <c r="E1924" s="7" t="s">
        <v>4446</v>
      </c>
    </row>
    <row r="1925" spans="1:5">
      <c r="A1925" s="4" t="s">
        <v>2301</v>
      </c>
      <c r="B1925" s="5" t="s">
        <v>2300</v>
      </c>
      <c r="C1925" s="6" t="s">
        <v>23</v>
      </c>
      <c r="D1925" s="6" t="s">
        <v>24</v>
      </c>
      <c r="E1925" s="7" t="s">
        <v>4457</v>
      </c>
    </row>
    <row r="1926" spans="1:5">
      <c r="A1926" s="4" t="s">
        <v>2303</v>
      </c>
      <c r="B1926" s="5" t="s">
        <v>2302</v>
      </c>
      <c r="C1926" s="6" t="s">
        <v>23</v>
      </c>
      <c r="D1926" s="6" t="s">
        <v>24</v>
      </c>
      <c r="E1926" s="7" t="s">
        <v>4455</v>
      </c>
    </row>
    <row r="1927" spans="1:5">
      <c r="A1927" s="4" t="s">
        <v>2305</v>
      </c>
      <c r="B1927" s="5" t="s">
        <v>2304</v>
      </c>
      <c r="C1927" s="6" t="s">
        <v>23</v>
      </c>
      <c r="D1927" s="6" t="s">
        <v>24</v>
      </c>
      <c r="E1927" s="7" t="s">
        <v>4446</v>
      </c>
    </row>
    <row r="1928" spans="1:5">
      <c r="A1928" s="4" t="s">
        <v>2307</v>
      </c>
      <c r="B1928" s="5" t="s">
        <v>2306</v>
      </c>
      <c r="C1928" s="6" t="s">
        <v>23</v>
      </c>
      <c r="D1928" s="6" t="s">
        <v>63</v>
      </c>
      <c r="E1928" s="7" t="s">
        <v>64</v>
      </c>
    </row>
    <row r="1929" spans="1:5">
      <c r="A1929" s="4" t="s">
        <v>2309</v>
      </c>
      <c r="B1929" s="5" t="s">
        <v>2308</v>
      </c>
      <c r="C1929" s="6" t="s">
        <v>23</v>
      </c>
      <c r="D1929" s="6" t="s">
        <v>63</v>
      </c>
      <c r="E1929" s="7" t="s">
        <v>67</v>
      </c>
    </row>
    <row r="1930" spans="1:5">
      <c r="A1930" s="4" t="s">
        <v>2311</v>
      </c>
      <c r="B1930" s="5" t="s">
        <v>2310</v>
      </c>
      <c r="C1930" s="6" t="s">
        <v>23</v>
      </c>
      <c r="D1930" s="6" t="s">
        <v>63</v>
      </c>
      <c r="E1930" s="7" t="s">
        <v>86</v>
      </c>
    </row>
    <row r="1931" spans="1:5">
      <c r="A1931" s="4" t="s">
        <v>2313</v>
      </c>
      <c r="B1931" s="5" t="s">
        <v>2312</v>
      </c>
      <c r="C1931" s="6" t="s">
        <v>23</v>
      </c>
      <c r="D1931" s="6" t="s">
        <v>63</v>
      </c>
      <c r="E1931" s="7" t="s">
        <v>287</v>
      </c>
    </row>
    <row r="1932" spans="1:5">
      <c r="A1932" s="4" t="s">
        <v>2315</v>
      </c>
      <c r="B1932" s="5" t="s">
        <v>2314</v>
      </c>
      <c r="C1932" s="6" t="s">
        <v>23</v>
      </c>
      <c r="D1932" s="6" t="s">
        <v>63</v>
      </c>
      <c r="E1932" s="7" t="s">
        <v>92</v>
      </c>
    </row>
    <row r="1933" spans="1:5">
      <c r="A1933" s="4" t="s">
        <v>2317</v>
      </c>
      <c r="B1933" s="5" t="s">
        <v>2316</v>
      </c>
      <c r="C1933" s="6" t="s">
        <v>23</v>
      </c>
      <c r="D1933" s="6" t="s">
        <v>63</v>
      </c>
      <c r="E1933" s="7" t="s">
        <v>89</v>
      </c>
    </row>
    <row r="1934" spans="1:5">
      <c r="A1934" s="4" t="s">
        <v>2319</v>
      </c>
      <c r="B1934" s="5" t="s">
        <v>2318</v>
      </c>
      <c r="C1934" s="6" t="s">
        <v>23</v>
      </c>
      <c r="D1934" s="6" t="s">
        <v>24</v>
      </c>
      <c r="E1934" s="7" t="s">
        <v>4446</v>
      </c>
    </row>
    <row r="1935" spans="1:5">
      <c r="A1935" s="4" t="s">
        <v>2321</v>
      </c>
      <c r="B1935" s="5" t="s">
        <v>2320</v>
      </c>
      <c r="C1935" s="6" t="s">
        <v>23</v>
      </c>
      <c r="D1935" s="6" t="s">
        <v>24</v>
      </c>
      <c r="E1935" s="7" t="s">
        <v>4457</v>
      </c>
    </row>
    <row r="1936" spans="1:5">
      <c r="A1936" s="4" t="s">
        <v>2323</v>
      </c>
      <c r="B1936" s="5" t="s">
        <v>2322</v>
      </c>
      <c r="C1936" s="6" t="s">
        <v>23</v>
      </c>
      <c r="D1936" s="6" t="s">
        <v>24</v>
      </c>
      <c r="E1936" s="7" t="s">
        <v>4447</v>
      </c>
    </row>
    <row r="1937" spans="1:5">
      <c r="A1937" s="4" t="s">
        <v>2325</v>
      </c>
      <c r="B1937" s="5" t="s">
        <v>2324</v>
      </c>
      <c r="C1937" s="6" t="s">
        <v>23</v>
      </c>
      <c r="D1937" s="6" t="s">
        <v>63</v>
      </c>
      <c r="E1937" s="7" t="s">
        <v>86</v>
      </c>
    </row>
    <row r="1938" spans="1:5">
      <c r="A1938" s="4" t="s">
        <v>2327</v>
      </c>
      <c r="B1938" s="5" t="s">
        <v>2326</v>
      </c>
      <c r="C1938" s="6" t="s">
        <v>23</v>
      </c>
      <c r="D1938" s="6" t="s">
        <v>24</v>
      </c>
      <c r="E1938" s="7" t="s">
        <v>4446</v>
      </c>
    </row>
    <row r="1939" spans="1:5">
      <c r="A1939" s="4" t="s">
        <v>2329</v>
      </c>
      <c r="B1939" s="5" t="s">
        <v>2328</v>
      </c>
      <c r="C1939" s="6" t="s">
        <v>23</v>
      </c>
      <c r="D1939" s="6" t="s">
        <v>24</v>
      </c>
      <c r="E1939" s="7" t="s">
        <v>4457</v>
      </c>
    </row>
    <row r="1940" spans="1:5">
      <c r="A1940" s="4" t="s">
        <v>2331</v>
      </c>
      <c r="B1940" s="5" t="s">
        <v>2330</v>
      </c>
      <c r="C1940" s="6" t="s">
        <v>23</v>
      </c>
      <c r="D1940" s="6" t="s">
        <v>24</v>
      </c>
      <c r="E1940" s="7" t="s">
        <v>4455</v>
      </c>
    </row>
    <row r="1941" spans="1:5">
      <c r="A1941" s="4" t="s">
        <v>2333</v>
      </c>
      <c r="B1941" s="5" t="s">
        <v>2332</v>
      </c>
      <c r="C1941" s="6" t="s">
        <v>23</v>
      </c>
      <c r="D1941" s="6" t="s">
        <v>63</v>
      </c>
      <c r="E1941" s="7" t="s">
        <v>98</v>
      </c>
    </row>
    <row r="1942" spans="1:5">
      <c r="A1942" s="4" t="s">
        <v>2335</v>
      </c>
      <c r="B1942" s="5" t="s">
        <v>2334</v>
      </c>
      <c r="C1942" s="6" t="s">
        <v>23</v>
      </c>
      <c r="D1942" s="6" t="s">
        <v>63</v>
      </c>
      <c r="E1942" s="7" t="s">
        <v>64</v>
      </c>
    </row>
    <row r="1943" spans="1:5">
      <c r="A1943" s="4" t="s">
        <v>2337</v>
      </c>
      <c r="B1943" s="5" t="s">
        <v>2336</v>
      </c>
      <c r="C1943" s="6" t="s">
        <v>23</v>
      </c>
      <c r="D1943" s="6" t="s">
        <v>63</v>
      </c>
      <c r="E1943" s="7" t="s">
        <v>67</v>
      </c>
    </row>
    <row r="1944" spans="1:5">
      <c r="A1944" s="4" t="s">
        <v>2339</v>
      </c>
      <c r="B1944" s="5" t="s">
        <v>2338</v>
      </c>
      <c r="C1944" s="6" t="s">
        <v>23</v>
      </c>
      <c r="D1944" s="6" t="s">
        <v>24</v>
      </c>
      <c r="E1944" s="7" t="s">
        <v>4446</v>
      </c>
    </row>
    <row r="1945" spans="1:5">
      <c r="A1945" s="4" t="s">
        <v>2341</v>
      </c>
      <c r="B1945" s="5" t="s">
        <v>2340</v>
      </c>
      <c r="C1945" s="6" t="s">
        <v>23</v>
      </c>
      <c r="D1945" s="6" t="s">
        <v>24</v>
      </c>
      <c r="E1945" s="7" t="s">
        <v>4455</v>
      </c>
    </row>
    <row r="1946" spans="1:5">
      <c r="A1946" s="4" t="s">
        <v>2343</v>
      </c>
      <c r="B1946" s="5" t="s">
        <v>2342</v>
      </c>
      <c r="C1946" s="6" t="s">
        <v>23</v>
      </c>
      <c r="D1946" s="6" t="s">
        <v>24</v>
      </c>
      <c r="E1946" s="7" t="s">
        <v>4449</v>
      </c>
    </row>
    <row r="1947" spans="1:5">
      <c r="A1947" s="4" t="s">
        <v>2345</v>
      </c>
      <c r="B1947" s="5" t="s">
        <v>2344</v>
      </c>
      <c r="C1947" s="6" t="s">
        <v>23</v>
      </c>
      <c r="D1947" s="6" t="s">
        <v>24</v>
      </c>
      <c r="E1947" s="7" t="s">
        <v>4454</v>
      </c>
    </row>
    <row r="1948" spans="1:5">
      <c r="A1948" s="4" t="s">
        <v>2347</v>
      </c>
      <c r="B1948" s="5" t="s">
        <v>2346</v>
      </c>
      <c r="C1948" s="6" t="s">
        <v>23</v>
      </c>
      <c r="D1948" s="6" t="s">
        <v>24</v>
      </c>
      <c r="E1948" s="7" t="s">
        <v>4457</v>
      </c>
    </row>
    <row r="1949" spans="1:5">
      <c r="A1949" s="4" t="s">
        <v>2349</v>
      </c>
      <c r="B1949" s="5" t="s">
        <v>2348</v>
      </c>
      <c r="C1949" s="6" t="s">
        <v>23</v>
      </c>
      <c r="D1949" s="6" t="s">
        <v>24</v>
      </c>
      <c r="E1949" s="7" t="s">
        <v>4447</v>
      </c>
    </row>
    <row r="1950" spans="1:5">
      <c r="A1950" s="4" t="s">
        <v>2351</v>
      </c>
      <c r="B1950" s="5" t="s">
        <v>2350</v>
      </c>
      <c r="C1950" s="6" t="s">
        <v>23</v>
      </c>
      <c r="D1950" s="6" t="s">
        <v>63</v>
      </c>
      <c r="E1950" s="7" t="s">
        <v>98</v>
      </c>
    </row>
    <row r="1951" spans="1:5">
      <c r="A1951" s="4" t="s">
        <v>2353</v>
      </c>
      <c r="B1951" s="5" t="s">
        <v>2352</v>
      </c>
      <c r="C1951" s="6" t="s">
        <v>23</v>
      </c>
      <c r="D1951" s="6" t="s">
        <v>24</v>
      </c>
      <c r="E1951" s="7" t="s">
        <v>4448</v>
      </c>
    </row>
    <row r="1952" spans="1:5">
      <c r="A1952" s="4" t="s">
        <v>2355</v>
      </c>
      <c r="B1952" s="5" t="s">
        <v>2354</v>
      </c>
      <c r="C1952" s="6" t="s">
        <v>23</v>
      </c>
      <c r="D1952" s="6" t="s">
        <v>24</v>
      </c>
      <c r="E1952" s="7" t="s">
        <v>4449</v>
      </c>
    </row>
    <row r="1953" spans="1:5">
      <c r="A1953" s="4" t="s">
        <v>2357</v>
      </c>
      <c r="B1953" s="5" t="s">
        <v>2356</v>
      </c>
      <c r="C1953" s="6" t="s">
        <v>23</v>
      </c>
      <c r="D1953" s="6" t="s">
        <v>24</v>
      </c>
      <c r="E1953" s="7" t="s">
        <v>4450</v>
      </c>
    </row>
    <row r="1954" spans="1:5">
      <c r="A1954" s="4" t="s">
        <v>2359</v>
      </c>
      <c r="B1954" s="5" t="s">
        <v>2358</v>
      </c>
      <c r="C1954" s="6" t="s">
        <v>23</v>
      </c>
      <c r="D1954" s="6" t="s">
        <v>24</v>
      </c>
      <c r="E1954" s="7" t="s">
        <v>4457</v>
      </c>
    </row>
    <row r="1955" spans="1:5">
      <c r="A1955" s="4" t="s">
        <v>2361</v>
      </c>
      <c r="B1955" s="5" t="s">
        <v>2360</v>
      </c>
      <c r="C1955" s="6" t="s">
        <v>23</v>
      </c>
      <c r="D1955" s="6" t="s">
        <v>24</v>
      </c>
      <c r="E1955" s="7" t="s">
        <v>4455</v>
      </c>
    </row>
    <row r="1956" spans="1:5">
      <c r="A1956" s="4" t="s">
        <v>2363</v>
      </c>
      <c r="B1956" s="5" t="s">
        <v>2362</v>
      </c>
      <c r="C1956" s="6" t="s">
        <v>23</v>
      </c>
      <c r="D1956" s="6" t="s">
        <v>24</v>
      </c>
      <c r="E1956" s="7" t="s">
        <v>4449</v>
      </c>
    </row>
    <row r="1957" spans="1:5">
      <c r="A1957" s="4" t="s">
        <v>2365</v>
      </c>
      <c r="B1957" s="5" t="s">
        <v>2364</v>
      </c>
      <c r="C1957" s="6" t="s">
        <v>23</v>
      </c>
      <c r="D1957" s="6" t="s">
        <v>63</v>
      </c>
      <c r="E1957" s="7" t="s">
        <v>64</v>
      </c>
    </row>
    <row r="1958" spans="1:5">
      <c r="A1958" s="4" t="s">
        <v>2367</v>
      </c>
      <c r="B1958" s="5" t="s">
        <v>2366</v>
      </c>
      <c r="C1958" s="6" t="s">
        <v>23</v>
      </c>
      <c r="D1958" s="6" t="s">
        <v>24</v>
      </c>
      <c r="E1958" s="7" t="s">
        <v>4446</v>
      </c>
    </row>
    <row r="1959" spans="1:5">
      <c r="A1959" s="4" t="s">
        <v>2369</v>
      </c>
      <c r="B1959" s="5" t="s">
        <v>2368</v>
      </c>
      <c r="C1959" s="6" t="s">
        <v>23</v>
      </c>
      <c r="D1959" s="6" t="s">
        <v>24</v>
      </c>
      <c r="E1959" s="7" t="s">
        <v>4447</v>
      </c>
    </row>
    <row r="1960" spans="1:5">
      <c r="A1960" s="4" t="s">
        <v>2371</v>
      </c>
      <c r="B1960" s="5" t="s">
        <v>2370</v>
      </c>
      <c r="C1960" s="6" t="s">
        <v>23</v>
      </c>
      <c r="D1960" s="6" t="s">
        <v>24</v>
      </c>
      <c r="E1960" s="7" t="s">
        <v>4455</v>
      </c>
    </row>
    <row r="1961" spans="1:5">
      <c r="A1961" s="4" t="s">
        <v>2373</v>
      </c>
      <c r="B1961" s="5" t="s">
        <v>2372</v>
      </c>
      <c r="C1961" s="6" t="s">
        <v>23</v>
      </c>
      <c r="D1961" s="6" t="s">
        <v>63</v>
      </c>
      <c r="E1961" s="7" t="s">
        <v>67</v>
      </c>
    </row>
    <row r="1962" spans="1:5">
      <c r="A1962" s="4" t="s">
        <v>2375</v>
      </c>
      <c r="B1962" s="5" t="s">
        <v>2374</v>
      </c>
      <c r="C1962" s="6" t="s">
        <v>23</v>
      </c>
      <c r="D1962" s="6" t="s">
        <v>63</v>
      </c>
      <c r="E1962" s="7" t="s">
        <v>86</v>
      </c>
    </row>
    <row r="1963" spans="1:5">
      <c r="A1963" s="4" t="s">
        <v>2377</v>
      </c>
      <c r="B1963" s="5" t="s">
        <v>2376</v>
      </c>
      <c r="C1963" s="6" t="s">
        <v>23</v>
      </c>
      <c r="D1963" s="6" t="s">
        <v>63</v>
      </c>
      <c r="E1963" s="7" t="s">
        <v>89</v>
      </c>
    </row>
    <row r="1964" spans="1:5">
      <c r="A1964" s="4" t="s">
        <v>2379</v>
      </c>
      <c r="B1964" s="5" t="s">
        <v>2378</v>
      </c>
      <c r="C1964" s="6" t="s">
        <v>23</v>
      </c>
      <c r="D1964" s="6" t="s">
        <v>24</v>
      </c>
      <c r="E1964" s="7" t="s">
        <v>4446</v>
      </c>
    </row>
    <row r="1965" spans="1:5">
      <c r="A1965" s="4" t="s">
        <v>2381</v>
      </c>
      <c r="B1965" s="5" t="s">
        <v>2380</v>
      </c>
      <c r="C1965" s="6" t="s">
        <v>23</v>
      </c>
      <c r="D1965" s="6" t="s">
        <v>24</v>
      </c>
      <c r="E1965" s="7" t="s">
        <v>4446</v>
      </c>
    </row>
    <row r="1966" spans="1:5">
      <c r="A1966" s="4" t="s">
        <v>2383</v>
      </c>
      <c r="B1966" s="5" t="s">
        <v>2382</v>
      </c>
      <c r="C1966" s="6" t="s">
        <v>23</v>
      </c>
      <c r="D1966" s="6" t="s">
        <v>24</v>
      </c>
      <c r="E1966" s="7" t="s">
        <v>4457</v>
      </c>
    </row>
    <row r="1967" spans="1:5">
      <c r="A1967" s="4" t="s">
        <v>3084</v>
      </c>
      <c r="B1967" s="5" t="s">
        <v>3853</v>
      </c>
      <c r="C1967" s="6" t="s">
        <v>23</v>
      </c>
      <c r="D1967" s="6" t="s">
        <v>4445</v>
      </c>
      <c r="E1967" s="7" t="s">
        <v>4443</v>
      </c>
    </row>
    <row r="1968" spans="1:5">
      <c r="A1968" s="4" t="s">
        <v>2385</v>
      </c>
      <c r="B1968" s="5" t="s">
        <v>2384</v>
      </c>
      <c r="C1968" s="6" t="s">
        <v>23</v>
      </c>
      <c r="D1968" s="6" t="s">
        <v>24</v>
      </c>
      <c r="E1968" s="7" t="s">
        <v>4446</v>
      </c>
    </row>
    <row r="1969" spans="1:5">
      <c r="A1969" s="11" t="s">
        <v>2387</v>
      </c>
      <c r="B1969" s="5" t="s">
        <v>2386</v>
      </c>
      <c r="C1969" s="12" t="s">
        <v>23</v>
      </c>
      <c r="D1969" s="12" t="s">
        <v>24</v>
      </c>
      <c r="E1969" s="7" t="s">
        <v>4446</v>
      </c>
    </row>
    <row r="1970" spans="1:5">
      <c r="A1970" s="4" t="s">
        <v>2389</v>
      </c>
      <c r="B1970" s="5" t="s">
        <v>2388</v>
      </c>
      <c r="C1970" s="6" t="s">
        <v>23</v>
      </c>
      <c r="D1970" s="6" t="s">
        <v>24</v>
      </c>
      <c r="E1970" s="7" t="s">
        <v>4447</v>
      </c>
    </row>
    <row r="1971" spans="1:5">
      <c r="A1971" s="4" t="s">
        <v>2391</v>
      </c>
      <c r="B1971" s="5" t="s">
        <v>2390</v>
      </c>
      <c r="C1971" s="6" t="s">
        <v>23</v>
      </c>
      <c r="D1971" s="6" t="s">
        <v>24</v>
      </c>
      <c r="E1971" s="7" t="s">
        <v>4448</v>
      </c>
    </row>
    <row r="1972" spans="1:5">
      <c r="A1972" s="4" t="s">
        <v>2393</v>
      </c>
      <c r="B1972" s="5" t="s">
        <v>2392</v>
      </c>
      <c r="C1972" s="6" t="s">
        <v>23</v>
      </c>
      <c r="D1972" s="6" t="s">
        <v>24</v>
      </c>
      <c r="E1972" s="7" t="s">
        <v>4450</v>
      </c>
    </row>
    <row r="1973" spans="1:5">
      <c r="A1973" s="4" t="s">
        <v>2395</v>
      </c>
      <c r="B1973" s="5" t="s">
        <v>2394</v>
      </c>
      <c r="C1973" s="6" t="s">
        <v>23</v>
      </c>
      <c r="D1973" s="6" t="s">
        <v>63</v>
      </c>
      <c r="E1973" s="7" t="s">
        <v>98</v>
      </c>
    </row>
    <row r="1974" spans="1:5">
      <c r="A1974" s="4" t="s">
        <v>2397</v>
      </c>
      <c r="B1974" s="5" t="s">
        <v>2396</v>
      </c>
      <c r="C1974" s="6" t="s">
        <v>23</v>
      </c>
      <c r="D1974" s="6" t="s">
        <v>561</v>
      </c>
      <c r="E1974" s="7" t="s">
        <v>4461</v>
      </c>
    </row>
    <row r="1975" spans="1:5">
      <c r="A1975" s="4" t="s">
        <v>2399</v>
      </c>
      <c r="B1975" s="5" t="s">
        <v>2398</v>
      </c>
      <c r="C1975" s="6" t="s">
        <v>23</v>
      </c>
      <c r="D1975" s="6" t="s">
        <v>561</v>
      </c>
      <c r="E1975" s="7" t="s">
        <v>4443</v>
      </c>
    </row>
    <row r="1976" spans="1:5">
      <c r="A1976" s="4" t="s">
        <v>2401</v>
      </c>
      <c r="B1976" s="5" t="s">
        <v>2400</v>
      </c>
      <c r="C1976" s="6" t="s">
        <v>23</v>
      </c>
      <c r="D1976" s="6" t="s">
        <v>24</v>
      </c>
      <c r="E1976" s="7" t="s">
        <v>4446</v>
      </c>
    </row>
    <row r="1977" spans="1:5">
      <c r="A1977" s="4" t="s">
        <v>2403</v>
      </c>
      <c r="B1977" s="5" t="s">
        <v>2402</v>
      </c>
      <c r="C1977" s="6" t="s">
        <v>23</v>
      </c>
      <c r="D1977" s="6" t="s">
        <v>24</v>
      </c>
      <c r="E1977" s="7" t="s">
        <v>4447</v>
      </c>
    </row>
    <row r="1978" spans="1:5">
      <c r="A1978" s="4" t="s">
        <v>2405</v>
      </c>
      <c r="B1978" s="5" t="s">
        <v>2404</v>
      </c>
      <c r="C1978" s="6" t="s">
        <v>23</v>
      </c>
      <c r="D1978" s="6" t="s">
        <v>24</v>
      </c>
      <c r="E1978" s="7" t="s">
        <v>4448</v>
      </c>
    </row>
    <row r="1979" spans="1:5">
      <c r="A1979" s="4" t="s">
        <v>2407</v>
      </c>
      <c r="B1979" s="5" t="s">
        <v>2406</v>
      </c>
      <c r="C1979" s="6" t="s">
        <v>23</v>
      </c>
      <c r="D1979" s="6" t="s">
        <v>24</v>
      </c>
      <c r="E1979" s="7" t="s">
        <v>4450</v>
      </c>
    </row>
    <row r="1980" spans="1:5">
      <c r="A1980" s="4" t="s">
        <v>2409</v>
      </c>
      <c r="B1980" s="5" t="s">
        <v>2408</v>
      </c>
      <c r="C1980" s="6" t="s">
        <v>23</v>
      </c>
      <c r="D1980" s="6" t="s">
        <v>24</v>
      </c>
      <c r="E1980" s="7" t="s">
        <v>4446</v>
      </c>
    </row>
    <row r="1981" spans="1:5">
      <c r="A1981" s="4" t="s">
        <v>2411</v>
      </c>
      <c r="B1981" s="5" t="s">
        <v>2410</v>
      </c>
      <c r="C1981" s="6" t="s">
        <v>23</v>
      </c>
      <c r="D1981" s="6" t="s">
        <v>24</v>
      </c>
      <c r="E1981" s="7" t="s">
        <v>4447</v>
      </c>
    </row>
    <row r="1982" spans="1:5">
      <c r="A1982" s="4" t="s">
        <v>2413</v>
      </c>
      <c r="B1982" s="5" t="s">
        <v>2412</v>
      </c>
      <c r="C1982" s="6" t="s">
        <v>23</v>
      </c>
      <c r="D1982" s="6" t="s">
        <v>320</v>
      </c>
      <c r="E1982" s="7" t="s">
        <v>4444</v>
      </c>
    </row>
    <row r="1983" spans="1:5">
      <c r="A1983" s="4" t="s">
        <v>2415</v>
      </c>
      <c r="B1983" s="5" t="s">
        <v>2414</v>
      </c>
      <c r="C1983" s="6" t="s">
        <v>23</v>
      </c>
      <c r="D1983" s="6" t="s">
        <v>63</v>
      </c>
      <c r="E1983" s="7" t="s">
        <v>98</v>
      </c>
    </row>
    <row r="1984" spans="1:5">
      <c r="A1984" s="4" t="s">
        <v>2417</v>
      </c>
      <c r="B1984" s="5" t="s">
        <v>2416</v>
      </c>
      <c r="C1984" s="6" t="s">
        <v>23</v>
      </c>
      <c r="D1984" s="6" t="s">
        <v>24</v>
      </c>
      <c r="E1984" s="7" t="s">
        <v>4457</v>
      </c>
    </row>
    <row r="1985" spans="1:5">
      <c r="A1985" s="4" t="s">
        <v>2419</v>
      </c>
      <c r="B1985" s="5" t="s">
        <v>2418</v>
      </c>
      <c r="C1985" s="6" t="s">
        <v>23</v>
      </c>
      <c r="D1985" s="6" t="s">
        <v>24</v>
      </c>
      <c r="E1985" s="7" t="s">
        <v>4455</v>
      </c>
    </row>
    <row r="1986" spans="1:5">
      <c r="A1986" s="4" t="s">
        <v>2421</v>
      </c>
      <c r="B1986" s="5" t="s">
        <v>2420</v>
      </c>
      <c r="C1986" s="6" t="s">
        <v>23</v>
      </c>
      <c r="D1986" s="6" t="s">
        <v>24</v>
      </c>
      <c r="E1986" s="7" t="s">
        <v>4449</v>
      </c>
    </row>
    <row r="1987" spans="1:5">
      <c r="A1987" s="4" t="s">
        <v>2423</v>
      </c>
      <c r="B1987" s="5" t="s">
        <v>2422</v>
      </c>
      <c r="C1987" s="6" t="s">
        <v>23</v>
      </c>
      <c r="D1987" s="6" t="s">
        <v>24</v>
      </c>
      <c r="E1987" s="7" t="s">
        <v>4446</v>
      </c>
    </row>
    <row r="1988" spans="1:5">
      <c r="A1988" s="11" t="s">
        <v>2425</v>
      </c>
      <c r="B1988" s="5" t="s">
        <v>2424</v>
      </c>
      <c r="C1988" s="12" t="s">
        <v>23</v>
      </c>
      <c r="D1988" s="12" t="s">
        <v>24</v>
      </c>
      <c r="E1988" s="7" t="s">
        <v>4447</v>
      </c>
    </row>
    <row r="1989" spans="1:5">
      <c r="A1989" s="4" t="s">
        <v>2427</v>
      </c>
      <c r="B1989" s="5" t="s">
        <v>2426</v>
      </c>
      <c r="C1989" s="6" t="s">
        <v>23</v>
      </c>
      <c r="D1989" s="6" t="s">
        <v>24</v>
      </c>
      <c r="E1989" s="7" t="s">
        <v>4447</v>
      </c>
    </row>
    <row r="1990" spans="1:5">
      <c r="A1990" s="4" t="s">
        <v>2429</v>
      </c>
      <c r="B1990" s="5" t="s">
        <v>2428</v>
      </c>
      <c r="C1990" s="6" t="s">
        <v>23</v>
      </c>
      <c r="D1990" s="6" t="s">
        <v>24</v>
      </c>
      <c r="E1990" s="7" t="s">
        <v>4448</v>
      </c>
    </row>
    <row r="1991" spans="1:5">
      <c r="A1991" s="4" t="s">
        <v>2431</v>
      </c>
      <c r="B1991" s="5" t="s">
        <v>2430</v>
      </c>
      <c r="C1991" s="6" t="s">
        <v>23</v>
      </c>
      <c r="D1991" s="6" t="s">
        <v>24</v>
      </c>
      <c r="E1991" s="7" t="s">
        <v>4450</v>
      </c>
    </row>
    <row r="1992" spans="1:5">
      <c r="A1992" s="4" t="s">
        <v>2433</v>
      </c>
      <c r="B1992" s="5" t="s">
        <v>2432</v>
      </c>
      <c r="C1992" s="6" t="s">
        <v>23</v>
      </c>
      <c r="D1992" s="6" t="s">
        <v>24</v>
      </c>
      <c r="E1992" s="7" t="s">
        <v>4454</v>
      </c>
    </row>
    <row r="1993" spans="1:5">
      <c r="A1993" s="4" t="s">
        <v>2435</v>
      </c>
      <c r="B1993" s="5" t="s">
        <v>2434</v>
      </c>
      <c r="C1993" s="6" t="s">
        <v>23</v>
      </c>
      <c r="D1993" s="6" t="s">
        <v>24</v>
      </c>
      <c r="E1993" s="7" t="s">
        <v>4447</v>
      </c>
    </row>
    <row r="1994" spans="1:5">
      <c r="A1994" s="4" t="s">
        <v>2437</v>
      </c>
      <c r="B1994" s="5" t="s">
        <v>2436</v>
      </c>
      <c r="C1994" s="6" t="s">
        <v>23</v>
      </c>
      <c r="D1994" s="6" t="s">
        <v>24</v>
      </c>
      <c r="E1994" s="7" t="s">
        <v>4448</v>
      </c>
    </row>
    <row r="1995" spans="1:5">
      <c r="A1995" s="4" t="s">
        <v>2439</v>
      </c>
      <c r="B1995" s="5" t="s">
        <v>2438</v>
      </c>
      <c r="C1995" s="6" t="s">
        <v>23</v>
      </c>
      <c r="D1995" s="6" t="s">
        <v>24</v>
      </c>
      <c r="E1995" s="7" t="s">
        <v>4450</v>
      </c>
    </row>
    <row r="1996" spans="1:5">
      <c r="A1996" s="4" t="s">
        <v>2441</v>
      </c>
      <c r="B1996" s="5" t="s">
        <v>2440</v>
      </c>
      <c r="C1996" s="6" t="s">
        <v>23</v>
      </c>
      <c r="D1996" s="6" t="s">
        <v>24</v>
      </c>
      <c r="E1996" s="7" t="s">
        <v>4453</v>
      </c>
    </row>
    <row r="1997" spans="1:5">
      <c r="A1997" s="4" t="s">
        <v>2443</v>
      </c>
      <c r="B1997" s="5" t="s">
        <v>2442</v>
      </c>
      <c r="C1997" s="6" t="s">
        <v>23</v>
      </c>
      <c r="D1997" s="6" t="s">
        <v>24</v>
      </c>
      <c r="E1997" s="7" t="s">
        <v>4451</v>
      </c>
    </row>
    <row r="1998" spans="1:5">
      <c r="A1998" s="4" t="s">
        <v>2445</v>
      </c>
      <c r="B1998" s="5" t="s">
        <v>2444</v>
      </c>
      <c r="C1998" s="6" t="s">
        <v>23</v>
      </c>
      <c r="D1998" s="6" t="s">
        <v>63</v>
      </c>
      <c r="E1998" s="7" t="s">
        <v>98</v>
      </c>
    </row>
    <row r="1999" spans="1:5">
      <c r="A1999" s="4" t="s">
        <v>2447</v>
      </c>
      <c r="B1999" s="5" t="s">
        <v>2446</v>
      </c>
      <c r="C1999" s="6" t="s">
        <v>23</v>
      </c>
      <c r="D1999" s="6" t="s">
        <v>63</v>
      </c>
      <c r="E1999" s="7" t="s">
        <v>67</v>
      </c>
    </row>
    <row r="2000" spans="1:5">
      <c r="A2000" s="4" t="s">
        <v>2449</v>
      </c>
      <c r="B2000" s="5" t="s">
        <v>2448</v>
      </c>
      <c r="C2000" s="6" t="s">
        <v>23</v>
      </c>
      <c r="D2000" s="6" t="s">
        <v>24</v>
      </c>
      <c r="E2000" s="7" t="s">
        <v>4446</v>
      </c>
    </row>
    <row r="2001" spans="1:5">
      <c r="A2001" s="4" t="s">
        <v>2451</v>
      </c>
      <c r="B2001" s="5" t="s">
        <v>2450</v>
      </c>
      <c r="C2001" s="6" t="s">
        <v>23</v>
      </c>
      <c r="D2001" s="6" t="s">
        <v>63</v>
      </c>
      <c r="E2001" s="7" t="s">
        <v>98</v>
      </c>
    </row>
    <row r="2002" spans="1:5">
      <c r="A2002" s="4" t="s">
        <v>2453</v>
      </c>
      <c r="B2002" s="5" t="s">
        <v>2452</v>
      </c>
      <c r="C2002" s="6" t="s">
        <v>23</v>
      </c>
      <c r="D2002" s="6" t="s">
        <v>63</v>
      </c>
      <c r="E2002" s="7" t="s">
        <v>98</v>
      </c>
    </row>
    <row r="2003" spans="1:5">
      <c r="A2003" s="4" t="s">
        <v>2455</v>
      </c>
      <c r="B2003" s="5" t="s">
        <v>2454</v>
      </c>
      <c r="C2003" s="6" t="s">
        <v>23</v>
      </c>
      <c r="D2003" s="6" t="s">
        <v>63</v>
      </c>
      <c r="E2003" s="7" t="s">
        <v>98</v>
      </c>
    </row>
    <row r="2004" spans="1:5">
      <c r="A2004" s="4" t="s">
        <v>2457</v>
      </c>
      <c r="B2004" s="5" t="s">
        <v>2456</v>
      </c>
      <c r="C2004" s="6" t="s">
        <v>23</v>
      </c>
      <c r="D2004" s="6" t="s">
        <v>63</v>
      </c>
      <c r="E2004" s="7" t="s">
        <v>98</v>
      </c>
    </row>
    <row r="2005" spans="1:5">
      <c r="A2005" s="11" t="s">
        <v>2459</v>
      </c>
      <c r="B2005" s="5" t="s">
        <v>2458</v>
      </c>
      <c r="C2005" s="12" t="s">
        <v>23</v>
      </c>
      <c r="D2005" s="12" t="s">
        <v>63</v>
      </c>
      <c r="E2005" s="7" t="s">
        <v>98</v>
      </c>
    </row>
    <row r="2006" spans="1:5">
      <c r="A2006" s="4" t="s">
        <v>2461</v>
      </c>
      <c r="B2006" s="5" t="s">
        <v>2460</v>
      </c>
      <c r="C2006" s="6" t="s">
        <v>23</v>
      </c>
      <c r="D2006" s="6" t="s">
        <v>63</v>
      </c>
      <c r="E2006" s="7" t="s">
        <v>98</v>
      </c>
    </row>
    <row r="2007" spans="1:5">
      <c r="A2007" s="4" t="s">
        <v>2463</v>
      </c>
      <c r="B2007" s="5" t="s">
        <v>2462</v>
      </c>
      <c r="C2007" s="6" t="s">
        <v>23</v>
      </c>
      <c r="D2007" s="6" t="s">
        <v>63</v>
      </c>
      <c r="E2007" s="7" t="s">
        <v>98</v>
      </c>
    </row>
    <row r="2008" spans="1:5">
      <c r="A2008" s="4" t="s">
        <v>2465</v>
      </c>
      <c r="B2008" s="5" t="s">
        <v>2464</v>
      </c>
      <c r="C2008" s="6" t="s">
        <v>23</v>
      </c>
      <c r="D2008" s="6" t="s">
        <v>63</v>
      </c>
      <c r="E2008" s="7" t="s">
        <v>98</v>
      </c>
    </row>
    <row r="2009" spans="1:5">
      <c r="A2009" s="4" t="s">
        <v>2467</v>
      </c>
      <c r="B2009" s="5" t="s">
        <v>2466</v>
      </c>
      <c r="C2009" s="6" t="s">
        <v>23</v>
      </c>
      <c r="D2009" s="6" t="s">
        <v>63</v>
      </c>
      <c r="E2009" s="7" t="s">
        <v>98</v>
      </c>
    </row>
    <row r="2010" spans="1:5">
      <c r="A2010" s="4" t="s">
        <v>2469</v>
      </c>
      <c r="B2010" s="5" t="s">
        <v>2468</v>
      </c>
      <c r="C2010" s="6" t="s">
        <v>23</v>
      </c>
      <c r="D2010" s="6" t="s">
        <v>24</v>
      </c>
      <c r="E2010" s="7" t="s">
        <v>4455</v>
      </c>
    </row>
    <row r="2011" spans="1:5">
      <c r="A2011" s="4" t="s">
        <v>2471</v>
      </c>
      <c r="B2011" s="5" t="s">
        <v>2470</v>
      </c>
      <c r="C2011" s="6" t="s">
        <v>23</v>
      </c>
      <c r="D2011" s="6" t="s">
        <v>24</v>
      </c>
      <c r="E2011" s="7" t="s">
        <v>4449</v>
      </c>
    </row>
    <row r="2012" spans="1:5">
      <c r="A2012" s="4" t="s">
        <v>2473</v>
      </c>
      <c r="B2012" s="5" t="s">
        <v>2472</v>
      </c>
      <c r="C2012" s="6" t="s">
        <v>23</v>
      </c>
      <c r="D2012" s="6" t="s">
        <v>24</v>
      </c>
      <c r="E2012" s="7" t="s">
        <v>4454</v>
      </c>
    </row>
    <row r="2013" spans="1:5">
      <c r="A2013" s="4" t="s">
        <v>2475</v>
      </c>
      <c r="B2013" s="5" t="s">
        <v>2474</v>
      </c>
      <c r="C2013" s="6" t="s">
        <v>23</v>
      </c>
      <c r="D2013" s="6" t="s">
        <v>24</v>
      </c>
      <c r="E2013" s="7" t="s">
        <v>4455</v>
      </c>
    </row>
    <row r="2014" spans="1:5">
      <c r="A2014" s="4" t="s">
        <v>2477</v>
      </c>
      <c r="B2014" s="5" t="s">
        <v>2476</v>
      </c>
      <c r="C2014" s="6" t="s">
        <v>23</v>
      </c>
      <c r="D2014" s="6" t="s">
        <v>24</v>
      </c>
      <c r="E2014" s="7" t="s">
        <v>4448</v>
      </c>
    </row>
    <row r="2015" spans="1:5">
      <c r="A2015" s="4" t="s">
        <v>2479</v>
      </c>
      <c r="B2015" s="5" t="s">
        <v>2478</v>
      </c>
      <c r="C2015" s="6" t="s">
        <v>23</v>
      </c>
      <c r="D2015" s="6" t="s">
        <v>24</v>
      </c>
      <c r="E2015" s="7" t="s">
        <v>4450</v>
      </c>
    </row>
    <row r="2016" spans="1:5">
      <c r="A2016" s="4" t="s">
        <v>2481</v>
      </c>
      <c r="B2016" s="5" t="s">
        <v>2480</v>
      </c>
      <c r="C2016" s="6" t="s">
        <v>23</v>
      </c>
      <c r="D2016" s="6" t="s">
        <v>24</v>
      </c>
      <c r="E2016" s="7" t="s">
        <v>4451</v>
      </c>
    </row>
    <row r="2017" spans="1:5">
      <c r="A2017" s="4" t="s">
        <v>4473</v>
      </c>
      <c r="B2017" s="5" t="s">
        <v>4474</v>
      </c>
      <c r="C2017" s="6" t="s">
        <v>23</v>
      </c>
      <c r="D2017" s="6" t="s">
        <v>320</v>
      </c>
      <c r="E2017" s="7" t="s">
        <v>4444</v>
      </c>
    </row>
    <row r="2018" spans="1:5">
      <c r="A2018" s="4" t="s">
        <v>3305</v>
      </c>
      <c r="B2018" s="5" t="s">
        <v>4078</v>
      </c>
      <c r="C2018" s="6" t="s">
        <v>23</v>
      </c>
      <c r="D2018" s="6" t="s">
        <v>63</v>
      </c>
      <c r="E2018" s="7" t="s">
        <v>98</v>
      </c>
    </row>
    <row r="2019" spans="1:5">
      <c r="A2019" s="4" t="s">
        <v>3306</v>
      </c>
      <c r="B2019" s="5" t="s">
        <v>4079</v>
      </c>
      <c r="C2019" s="6" t="s">
        <v>23</v>
      </c>
      <c r="D2019" s="6" t="s">
        <v>63</v>
      </c>
      <c r="E2019" s="7" t="s">
        <v>98</v>
      </c>
    </row>
    <row r="2020" spans="1:5">
      <c r="A2020" s="4" t="s">
        <v>2483</v>
      </c>
      <c r="B2020" s="5" t="s">
        <v>2482</v>
      </c>
      <c r="C2020" s="6" t="s">
        <v>23</v>
      </c>
      <c r="D2020" s="6" t="s">
        <v>63</v>
      </c>
      <c r="E2020" s="7" t="s">
        <v>98</v>
      </c>
    </row>
    <row r="2021" spans="1:5">
      <c r="A2021" s="4" t="s">
        <v>3314</v>
      </c>
      <c r="B2021" s="5" t="s">
        <v>4087</v>
      </c>
      <c r="C2021" s="6" t="s">
        <v>23</v>
      </c>
      <c r="D2021" s="6" t="s">
        <v>4445</v>
      </c>
      <c r="E2021" s="7" t="s">
        <v>4443</v>
      </c>
    </row>
    <row r="2022" spans="1:5">
      <c r="A2022" s="4" t="s">
        <v>2485</v>
      </c>
      <c r="B2022" s="5" t="s">
        <v>2484</v>
      </c>
      <c r="C2022" s="6" t="s">
        <v>23</v>
      </c>
      <c r="D2022" s="6" t="s">
        <v>63</v>
      </c>
      <c r="E2022" s="7" t="s">
        <v>98</v>
      </c>
    </row>
    <row r="2023" spans="1:5">
      <c r="A2023" s="4" t="s">
        <v>3304</v>
      </c>
      <c r="B2023" s="5" t="s">
        <v>4077</v>
      </c>
      <c r="C2023" s="6" t="s">
        <v>23</v>
      </c>
      <c r="D2023" s="6" t="s">
        <v>63</v>
      </c>
      <c r="E2023" s="7" t="s">
        <v>98</v>
      </c>
    </row>
    <row r="2024" spans="1:5">
      <c r="A2024" s="4" t="s">
        <v>2487</v>
      </c>
      <c r="B2024" s="5" t="s">
        <v>2486</v>
      </c>
      <c r="C2024" s="6" t="s">
        <v>23</v>
      </c>
      <c r="D2024" s="6" t="s">
        <v>24</v>
      </c>
      <c r="E2024" s="7" t="s">
        <v>4447</v>
      </c>
    </row>
    <row r="2025" spans="1:5">
      <c r="A2025" s="4" t="s">
        <v>2489</v>
      </c>
      <c r="B2025" s="5" t="s">
        <v>2488</v>
      </c>
      <c r="C2025" s="6" t="s">
        <v>23</v>
      </c>
      <c r="D2025" s="6" t="s">
        <v>24</v>
      </c>
      <c r="E2025" s="7" t="s">
        <v>4448</v>
      </c>
    </row>
    <row r="2026" spans="1:5">
      <c r="A2026" s="4" t="s">
        <v>2491</v>
      </c>
      <c r="B2026" s="5" t="s">
        <v>2490</v>
      </c>
      <c r="C2026" s="6" t="s">
        <v>23</v>
      </c>
      <c r="D2026" s="6" t="s">
        <v>24</v>
      </c>
      <c r="E2026" s="7" t="s">
        <v>4455</v>
      </c>
    </row>
    <row r="2027" spans="1:5">
      <c r="A2027" s="4" t="s">
        <v>2493</v>
      </c>
      <c r="B2027" s="5" t="s">
        <v>2492</v>
      </c>
      <c r="C2027" s="6" t="s">
        <v>23</v>
      </c>
      <c r="D2027" s="6" t="s">
        <v>24</v>
      </c>
      <c r="E2027" s="7" t="s">
        <v>4448</v>
      </c>
    </row>
    <row r="2028" spans="1:5">
      <c r="A2028" s="4" t="s">
        <v>2495</v>
      </c>
      <c r="B2028" s="5" t="s">
        <v>2494</v>
      </c>
      <c r="C2028" s="6" t="s">
        <v>23</v>
      </c>
      <c r="D2028" s="6" t="s">
        <v>24</v>
      </c>
      <c r="E2028" s="7" t="s">
        <v>4450</v>
      </c>
    </row>
    <row r="2029" spans="1:5">
      <c r="A2029" s="4" t="s">
        <v>2497</v>
      </c>
      <c r="B2029" s="5" t="s">
        <v>2496</v>
      </c>
      <c r="C2029" s="6" t="s">
        <v>23</v>
      </c>
      <c r="D2029" s="6" t="s">
        <v>24</v>
      </c>
      <c r="E2029" s="7" t="s">
        <v>4454</v>
      </c>
    </row>
    <row r="2030" spans="1:5">
      <c r="A2030" s="4" t="s">
        <v>2499</v>
      </c>
      <c r="B2030" s="5" t="s">
        <v>2498</v>
      </c>
      <c r="C2030" s="6" t="s">
        <v>23</v>
      </c>
      <c r="D2030" s="6" t="s">
        <v>24</v>
      </c>
      <c r="E2030" s="7" t="s">
        <v>4453</v>
      </c>
    </row>
    <row r="2031" spans="1:5">
      <c r="A2031" s="4" t="s">
        <v>2501</v>
      </c>
      <c r="B2031" s="5" t="s">
        <v>2500</v>
      </c>
      <c r="C2031" s="6" t="s">
        <v>23</v>
      </c>
      <c r="D2031" s="6" t="s">
        <v>24</v>
      </c>
      <c r="E2031" s="7" t="s">
        <v>4452</v>
      </c>
    </row>
    <row r="2032" spans="1:5">
      <c r="A2032" s="4">
        <v>0</v>
      </c>
      <c r="B2032" s="108" t="s">
        <v>4615</v>
      </c>
      <c r="C2032" s="6" t="s">
        <v>2504</v>
      </c>
      <c r="D2032" s="6" t="s">
        <v>2505</v>
      </c>
      <c r="E2032" s="7" t="s">
        <v>98</v>
      </c>
    </row>
    <row r="2033" spans="1:5">
      <c r="A2033" s="4" t="s">
        <v>2502</v>
      </c>
      <c r="B2033" s="5" t="s">
        <v>2503</v>
      </c>
      <c r="C2033" s="6" t="s">
        <v>2504</v>
      </c>
      <c r="D2033" s="6" t="s">
        <v>2505</v>
      </c>
      <c r="E2033" s="7" t="s">
        <v>98</v>
      </c>
    </row>
    <row r="2034" spans="1:5">
      <c r="A2034" s="4" t="s">
        <v>3621</v>
      </c>
      <c r="B2034" s="5" t="s">
        <v>2506</v>
      </c>
      <c r="C2034" s="6" t="s">
        <v>2504</v>
      </c>
      <c r="D2034" s="6" t="s">
        <v>2505</v>
      </c>
      <c r="E2034" s="7" t="s">
        <v>89</v>
      </c>
    </row>
    <row r="2035" spans="1:5">
      <c r="A2035" s="4" t="s">
        <v>2507</v>
      </c>
      <c r="B2035" s="5" t="s">
        <v>2508</v>
      </c>
      <c r="C2035" s="6" t="s">
        <v>2504</v>
      </c>
      <c r="D2035" s="6" t="s">
        <v>2505</v>
      </c>
      <c r="E2035" s="7" t="s">
        <v>425</v>
      </c>
    </row>
    <row r="2036" spans="1:5">
      <c r="A2036" s="4" t="s">
        <v>2509</v>
      </c>
      <c r="B2036" s="5" t="s">
        <v>2510</v>
      </c>
      <c r="C2036" s="6" t="s">
        <v>2504</v>
      </c>
      <c r="D2036" s="6" t="s">
        <v>2505</v>
      </c>
      <c r="E2036" s="7" t="s">
        <v>64</v>
      </c>
    </row>
    <row r="2037" spans="1:5">
      <c r="A2037" s="4" t="s">
        <v>2511</v>
      </c>
      <c r="B2037" s="5" t="s">
        <v>2512</v>
      </c>
      <c r="C2037" s="6" t="s">
        <v>2504</v>
      </c>
      <c r="D2037" s="6" t="s">
        <v>2505</v>
      </c>
      <c r="E2037" s="7" t="s">
        <v>98</v>
      </c>
    </row>
    <row r="2038" spans="1:5">
      <c r="A2038" s="4" t="s">
        <v>4496</v>
      </c>
      <c r="B2038" s="5" t="s">
        <v>4497</v>
      </c>
      <c r="C2038" s="6" t="s">
        <v>2504</v>
      </c>
      <c r="D2038" s="6" t="s">
        <v>2505</v>
      </c>
      <c r="E2038" s="7" t="s">
        <v>98</v>
      </c>
    </row>
    <row r="2039" spans="1:5">
      <c r="A2039" s="4" t="s">
        <v>3625</v>
      </c>
      <c r="B2039" s="5" t="s">
        <v>4401</v>
      </c>
      <c r="C2039" s="6" t="s">
        <v>2504</v>
      </c>
      <c r="D2039" s="6" t="s">
        <v>2505</v>
      </c>
      <c r="E2039" s="7" t="s">
        <v>67</v>
      </c>
    </row>
    <row r="2040" spans="1:5">
      <c r="A2040" s="4" t="s">
        <v>2515</v>
      </c>
      <c r="B2040" s="5" t="s">
        <v>2516</v>
      </c>
      <c r="C2040" s="6" t="s">
        <v>2504</v>
      </c>
      <c r="D2040" s="6" t="s">
        <v>2505</v>
      </c>
      <c r="E2040" s="7" t="s">
        <v>89</v>
      </c>
    </row>
    <row r="2041" spans="1:5">
      <c r="A2041" s="4" t="s">
        <v>2517</v>
      </c>
      <c r="B2041" s="5" t="s">
        <v>2518</v>
      </c>
      <c r="C2041" s="6" t="s">
        <v>2504</v>
      </c>
      <c r="D2041" s="6" t="s">
        <v>2505</v>
      </c>
      <c r="E2041" s="7" t="s">
        <v>92</v>
      </c>
    </row>
    <row r="2042" spans="1:5">
      <c r="A2042" s="4" t="s">
        <v>2519</v>
      </c>
      <c r="B2042" s="5" t="s">
        <v>2520</v>
      </c>
      <c r="C2042" s="6" t="s">
        <v>2504</v>
      </c>
      <c r="D2042" s="6" t="s">
        <v>2505</v>
      </c>
      <c r="E2042" s="7" t="s">
        <v>92</v>
      </c>
    </row>
    <row r="2043" spans="1:5">
      <c r="A2043" s="4" t="s">
        <v>4499</v>
      </c>
      <c r="B2043" s="5" t="s">
        <v>2533</v>
      </c>
      <c r="C2043" s="6" t="s">
        <v>2504</v>
      </c>
      <c r="D2043" s="6" t="s">
        <v>2505</v>
      </c>
      <c r="E2043" s="7" t="s">
        <v>287</v>
      </c>
    </row>
    <row r="2044" spans="1:5">
      <c r="A2044" s="4" t="s">
        <v>4500</v>
      </c>
      <c r="B2044" s="5" t="s">
        <v>2534</v>
      </c>
      <c r="C2044" s="6" t="s">
        <v>2504</v>
      </c>
      <c r="D2044" s="6" t="s">
        <v>2505</v>
      </c>
      <c r="E2044" s="7" t="s">
        <v>89</v>
      </c>
    </row>
    <row r="2045" spans="1:5">
      <c r="A2045" s="4" t="s">
        <v>4501</v>
      </c>
      <c r="B2045" s="8" t="s">
        <v>2513</v>
      </c>
      <c r="C2045" s="6" t="s">
        <v>2504</v>
      </c>
      <c r="D2045" s="6" t="s">
        <v>2505</v>
      </c>
      <c r="E2045" s="7" t="s">
        <v>89</v>
      </c>
    </row>
    <row r="2046" spans="1:5">
      <c r="A2046" s="4" t="s">
        <v>2521</v>
      </c>
      <c r="B2046" s="5" t="s">
        <v>2522</v>
      </c>
      <c r="C2046" s="6" t="s">
        <v>2504</v>
      </c>
      <c r="D2046" s="6" t="s">
        <v>2505</v>
      </c>
      <c r="E2046" s="7" t="s">
        <v>89</v>
      </c>
    </row>
    <row r="2047" spans="1:5">
      <c r="A2047" s="4" t="s">
        <v>2523</v>
      </c>
      <c r="B2047" s="5" t="s">
        <v>2524</v>
      </c>
      <c r="C2047" s="6" t="s">
        <v>2504</v>
      </c>
      <c r="D2047" s="6" t="s">
        <v>2505</v>
      </c>
      <c r="E2047" s="7" t="s">
        <v>89</v>
      </c>
    </row>
    <row r="2048" spans="1:5">
      <c r="A2048" s="4" t="s">
        <v>4505</v>
      </c>
      <c r="B2048" s="5" t="s">
        <v>2514</v>
      </c>
      <c r="C2048" s="6" t="s">
        <v>2504</v>
      </c>
      <c r="D2048" s="6" t="s">
        <v>2505</v>
      </c>
      <c r="E2048" s="7" t="s">
        <v>89</v>
      </c>
    </row>
    <row r="2049" spans="1:5">
      <c r="A2049" s="4" t="s">
        <v>4506</v>
      </c>
      <c r="B2049" s="5" t="s">
        <v>2535</v>
      </c>
      <c r="C2049" s="6" t="s">
        <v>2504</v>
      </c>
      <c r="D2049" s="6" t="s">
        <v>2505</v>
      </c>
      <c r="E2049" s="7" t="s">
        <v>89</v>
      </c>
    </row>
    <row r="2050" spans="1:5">
      <c r="A2050" s="4" t="s">
        <v>2525</v>
      </c>
      <c r="B2050" s="5" t="s">
        <v>2526</v>
      </c>
      <c r="C2050" s="6" t="s">
        <v>2504</v>
      </c>
      <c r="D2050" s="6" t="s">
        <v>2505</v>
      </c>
      <c r="E2050" s="7" t="s">
        <v>287</v>
      </c>
    </row>
    <row r="2051" spans="1:5">
      <c r="A2051" s="4" t="s">
        <v>2527</v>
      </c>
      <c r="B2051" s="5" t="s">
        <v>2528</v>
      </c>
      <c r="C2051" s="6" t="s">
        <v>2504</v>
      </c>
      <c r="D2051" s="6" t="s">
        <v>2505</v>
      </c>
      <c r="E2051" s="7" t="s">
        <v>287</v>
      </c>
    </row>
    <row r="2052" spans="1:5">
      <c r="A2052" s="4" t="s">
        <v>2529</v>
      </c>
      <c r="B2052" s="5" t="s">
        <v>2530</v>
      </c>
      <c r="C2052" s="6" t="s">
        <v>2504</v>
      </c>
      <c r="D2052" s="6" t="s">
        <v>2505</v>
      </c>
      <c r="E2052" s="7" t="s">
        <v>287</v>
      </c>
    </row>
    <row r="2053" spans="1:5">
      <c r="A2053" s="4" t="s">
        <v>2531</v>
      </c>
      <c r="B2053" s="5" t="s">
        <v>2532</v>
      </c>
      <c r="C2053" s="6" t="s">
        <v>2504</v>
      </c>
      <c r="D2053" s="6" t="s">
        <v>2505</v>
      </c>
      <c r="E2053" s="7" t="s">
        <v>287</v>
      </c>
    </row>
    <row r="2054" spans="1:5">
      <c r="A2054" s="4" t="s">
        <v>2536</v>
      </c>
      <c r="B2054" s="5" t="s">
        <v>2537</v>
      </c>
      <c r="C2054" s="6" t="s">
        <v>2504</v>
      </c>
      <c r="D2054" s="6" t="s">
        <v>2505</v>
      </c>
      <c r="E2054" s="7" t="s">
        <v>67</v>
      </c>
    </row>
    <row r="2055" spans="1:5">
      <c r="A2055" s="4" t="s">
        <v>2538</v>
      </c>
      <c r="B2055" s="5" t="s">
        <v>2539</v>
      </c>
      <c r="C2055" s="6" t="s">
        <v>2504</v>
      </c>
      <c r="D2055" s="6" t="s">
        <v>2505</v>
      </c>
      <c r="E2055" s="7" t="s">
        <v>64</v>
      </c>
    </row>
    <row r="2056" spans="1:5">
      <c r="A2056" s="4" t="s">
        <v>4509</v>
      </c>
      <c r="B2056" s="5" t="s">
        <v>4510</v>
      </c>
      <c r="C2056" s="6" t="s">
        <v>2504</v>
      </c>
      <c r="D2056" s="6" t="s">
        <v>2505</v>
      </c>
      <c r="E2056" s="7" t="s">
        <v>67</v>
      </c>
    </row>
    <row r="2057" spans="1:5">
      <c r="A2057" s="4" t="s">
        <v>2540</v>
      </c>
      <c r="B2057" s="5" t="s">
        <v>2541</v>
      </c>
      <c r="C2057" s="6" t="s">
        <v>2504</v>
      </c>
      <c r="D2057" s="6" t="s">
        <v>2505</v>
      </c>
      <c r="E2057" s="7" t="s">
        <v>287</v>
      </c>
    </row>
    <row r="2058" spans="1:5">
      <c r="A2058" s="4" t="s">
        <v>2542</v>
      </c>
      <c r="B2058" s="5" t="s">
        <v>2543</v>
      </c>
      <c r="C2058" s="6" t="s">
        <v>2504</v>
      </c>
      <c r="D2058" s="6" t="s">
        <v>2505</v>
      </c>
      <c r="E2058" s="7" t="s">
        <v>67</v>
      </c>
    </row>
    <row r="2059" spans="1:5">
      <c r="A2059" s="4" t="s">
        <v>2544</v>
      </c>
      <c r="B2059" s="5" t="s">
        <v>2545</v>
      </c>
      <c r="C2059" s="6" t="s">
        <v>2504</v>
      </c>
      <c r="D2059" s="6" t="s">
        <v>2505</v>
      </c>
      <c r="E2059" s="7" t="s">
        <v>64</v>
      </c>
    </row>
    <row r="2060" spans="1:5">
      <c r="A2060" s="4" t="s">
        <v>2546</v>
      </c>
      <c r="B2060" s="5" t="s">
        <v>2547</v>
      </c>
      <c r="C2060" s="6" t="s">
        <v>2504</v>
      </c>
      <c r="D2060" s="6" t="s">
        <v>2505</v>
      </c>
      <c r="E2060" s="7" t="s">
        <v>67</v>
      </c>
    </row>
    <row r="2061" spans="1:5">
      <c r="A2061" s="4" t="s">
        <v>2548</v>
      </c>
      <c r="B2061" s="5" t="s">
        <v>2549</v>
      </c>
      <c r="C2061" s="6" t="s">
        <v>2504</v>
      </c>
      <c r="D2061" s="6" t="s">
        <v>2505</v>
      </c>
      <c r="E2061" s="7" t="s">
        <v>67</v>
      </c>
    </row>
    <row r="2062" spans="1:5">
      <c r="A2062" s="4" t="s">
        <v>2550</v>
      </c>
      <c r="B2062" s="5" t="s">
        <v>2551</v>
      </c>
      <c r="C2062" s="6" t="s">
        <v>2504</v>
      </c>
      <c r="D2062" s="6" t="s">
        <v>2505</v>
      </c>
      <c r="E2062" s="7" t="s">
        <v>98</v>
      </c>
    </row>
    <row r="2063" spans="1:5">
      <c r="A2063" s="4" t="s">
        <v>2552</v>
      </c>
      <c r="B2063" s="5" t="s">
        <v>2553</v>
      </c>
      <c r="C2063" s="6" t="s">
        <v>2504</v>
      </c>
      <c r="D2063" s="6" t="s">
        <v>2505</v>
      </c>
      <c r="E2063" s="7" t="s">
        <v>67</v>
      </c>
    </row>
    <row r="2064" spans="1:5">
      <c r="A2064" s="4" t="s">
        <v>2554</v>
      </c>
      <c r="B2064" s="5" t="s">
        <v>2555</v>
      </c>
      <c r="C2064" s="6" t="s">
        <v>2504</v>
      </c>
      <c r="D2064" s="6" t="s">
        <v>2505</v>
      </c>
      <c r="E2064" s="7" t="s">
        <v>67</v>
      </c>
    </row>
    <row r="2065" spans="1:5">
      <c r="A2065" s="4" t="s">
        <v>2556</v>
      </c>
      <c r="B2065" s="5" t="s">
        <v>2557</v>
      </c>
      <c r="C2065" s="6" t="s">
        <v>2504</v>
      </c>
      <c r="D2065" s="6" t="s">
        <v>2505</v>
      </c>
      <c r="E2065" s="7" t="s">
        <v>64</v>
      </c>
    </row>
    <row r="2066" spans="1:5">
      <c r="A2066" s="4" t="s">
        <v>2558</v>
      </c>
      <c r="B2066" s="5" t="s">
        <v>2559</v>
      </c>
      <c r="C2066" s="6" t="s">
        <v>2504</v>
      </c>
      <c r="D2066" s="6" t="s">
        <v>2505</v>
      </c>
      <c r="E2066" s="7" t="s">
        <v>64</v>
      </c>
    </row>
    <row r="2067" spans="1:5">
      <c r="A2067" s="4" t="s">
        <v>2560</v>
      </c>
      <c r="B2067" s="5" t="s">
        <v>2561</v>
      </c>
      <c r="C2067" s="6" t="s">
        <v>2504</v>
      </c>
      <c r="D2067" s="6" t="s">
        <v>2505</v>
      </c>
      <c r="E2067" s="7" t="s">
        <v>86</v>
      </c>
    </row>
    <row r="2068" spans="1:5">
      <c r="A2068" s="4" t="s">
        <v>2562</v>
      </c>
      <c r="B2068" s="5" t="s">
        <v>2563</v>
      </c>
      <c r="C2068" s="6" t="s">
        <v>2504</v>
      </c>
      <c r="D2068" s="6" t="s">
        <v>2505</v>
      </c>
      <c r="E2068" s="7" t="s">
        <v>64</v>
      </c>
    </row>
    <row r="2069" spans="1:5">
      <c r="A2069" s="4" t="s">
        <v>2564</v>
      </c>
      <c r="B2069" s="5" t="s">
        <v>2565</v>
      </c>
      <c r="C2069" s="6" t="s">
        <v>2504</v>
      </c>
      <c r="D2069" s="6" t="s">
        <v>2505</v>
      </c>
      <c r="E2069" s="7" t="s">
        <v>64</v>
      </c>
    </row>
    <row r="2070" spans="1:5">
      <c r="A2070" s="4" t="s">
        <v>2566</v>
      </c>
      <c r="B2070" s="5" t="s">
        <v>2567</v>
      </c>
      <c r="C2070" s="6" t="s">
        <v>2504</v>
      </c>
      <c r="D2070" s="6" t="s">
        <v>2505</v>
      </c>
      <c r="E2070" s="7" t="s">
        <v>64</v>
      </c>
    </row>
    <row r="2071" spans="1:5">
      <c r="A2071" s="4" t="s">
        <v>2568</v>
      </c>
      <c r="B2071" s="5" t="s">
        <v>2569</v>
      </c>
      <c r="C2071" s="6" t="s">
        <v>2504</v>
      </c>
      <c r="D2071" s="6" t="s">
        <v>2505</v>
      </c>
      <c r="E2071" s="7" t="s">
        <v>67</v>
      </c>
    </row>
    <row r="2072" spans="1:5">
      <c r="A2072" s="4" t="s">
        <v>2570</v>
      </c>
      <c r="B2072" s="5" t="s">
        <v>2571</v>
      </c>
      <c r="C2072" s="6" t="s">
        <v>2504</v>
      </c>
      <c r="D2072" s="6" t="s">
        <v>2505</v>
      </c>
      <c r="E2072" s="7" t="s">
        <v>89</v>
      </c>
    </row>
    <row r="2073" spans="1:5">
      <c r="A2073" s="4" t="s">
        <v>2572</v>
      </c>
      <c r="B2073" s="5" t="s">
        <v>2573</v>
      </c>
      <c r="C2073" s="6" t="s">
        <v>2504</v>
      </c>
      <c r="D2073" s="6" t="s">
        <v>2505</v>
      </c>
      <c r="E2073" s="7" t="s">
        <v>425</v>
      </c>
    </row>
    <row r="2074" spans="1:5">
      <c r="A2074" s="4" t="s">
        <v>2574</v>
      </c>
      <c r="B2074" s="5" t="s">
        <v>2575</v>
      </c>
      <c r="C2074" s="6" t="s">
        <v>2504</v>
      </c>
      <c r="D2074" s="6" t="s">
        <v>2505</v>
      </c>
      <c r="E2074" s="7" t="s">
        <v>67</v>
      </c>
    </row>
    <row r="2075" spans="1:5">
      <c r="A2075" s="4" t="s">
        <v>2576</v>
      </c>
      <c r="B2075" s="5" t="s">
        <v>2577</v>
      </c>
      <c r="C2075" s="6" t="s">
        <v>2504</v>
      </c>
      <c r="D2075" s="6" t="s">
        <v>2505</v>
      </c>
      <c r="E2075" s="7" t="s">
        <v>67</v>
      </c>
    </row>
    <row r="2076" spans="1:5">
      <c r="A2076" s="4" t="s">
        <v>2578</v>
      </c>
      <c r="B2076" s="5" t="s">
        <v>2579</v>
      </c>
      <c r="C2076" s="6" t="s">
        <v>2504</v>
      </c>
      <c r="D2076" s="6" t="s">
        <v>2505</v>
      </c>
      <c r="E2076" s="7" t="s">
        <v>64</v>
      </c>
    </row>
    <row r="2077" spans="1:5">
      <c r="A2077" s="4" t="s">
        <v>2580</v>
      </c>
      <c r="B2077" s="5" t="s">
        <v>2581</v>
      </c>
      <c r="C2077" s="6" t="s">
        <v>2504</v>
      </c>
      <c r="D2077" s="6" t="s">
        <v>2505</v>
      </c>
      <c r="E2077" s="7" t="s">
        <v>67</v>
      </c>
    </row>
    <row r="2078" spans="1:5">
      <c r="A2078" s="4" t="s">
        <v>2582</v>
      </c>
      <c r="B2078" s="5" t="s">
        <v>2583</v>
      </c>
      <c r="C2078" s="6" t="s">
        <v>2504</v>
      </c>
      <c r="D2078" s="6" t="s">
        <v>2505</v>
      </c>
      <c r="E2078" s="7" t="s">
        <v>287</v>
      </c>
    </row>
    <row r="2079" spans="1:5">
      <c r="A2079" s="4" t="s">
        <v>2584</v>
      </c>
      <c r="B2079" s="5" t="s">
        <v>2585</v>
      </c>
      <c r="C2079" s="6" t="s">
        <v>2504</v>
      </c>
      <c r="D2079" s="6" t="s">
        <v>2505</v>
      </c>
      <c r="E2079" s="7" t="s">
        <v>64</v>
      </c>
    </row>
    <row r="2080" spans="1:5">
      <c r="A2080" s="4" t="s">
        <v>2586</v>
      </c>
      <c r="B2080" s="5" t="s">
        <v>2587</v>
      </c>
      <c r="C2080" s="6" t="s">
        <v>2504</v>
      </c>
      <c r="D2080" s="6" t="s">
        <v>2505</v>
      </c>
      <c r="E2080" s="7" t="s">
        <v>425</v>
      </c>
    </row>
    <row r="2081" spans="1:5">
      <c r="A2081" s="4" t="s">
        <v>2588</v>
      </c>
      <c r="B2081" s="5" t="s">
        <v>2589</v>
      </c>
      <c r="C2081" s="6" t="s">
        <v>2504</v>
      </c>
      <c r="D2081" s="6" t="s">
        <v>2505</v>
      </c>
      <c r="E2081" s="7" t="s">
        <v>86</v>
      </c>
    </row>
    <row r="2082" spans="1:5">
      <c r="A2082" s="4" t="s">
        <v>2590</v>
      </c>
      <c r="B2082" s="5" t="s">
        <v>2591</v>
      </c>
      <c r="C2082" s="6" t="s">
        <v>2504</v>
      </c>
      <c r="D2082" s="6" t="s">
        <v>2505</v>
      </c>
      <c r="E2082" s="7" t="s">
        <v>98</v>
      </c>
    </row>
    <row r="2083" spans="1:5">
      <c r="A2083" s="4" t="s">
        <v>2592</v>
      </c>
      <c r="B2083" s="5" t="s">
        <v>2593</v>
      </c>
      <c r="C2083" s="6" t="s">
        <v>2504</v>
      </c>
      <c r="D2083" s="6" t="s">
        <v>2505</v>
      </c>
      <c r="E2083" s="7" t="s">
        <v>86</v>
      </c>
    </row>
    <row r="2084" spans="1:5">
      <c r="A2084" s="4" t="s">
        <v>2594</v>
      </c>
      <c r="B2084" s="5" t="s">
        <v>2595</v>
      </c>
      <c r="C2084" s="6" t="s">
        <v>2504</v>
      </c>
      <c r="D2084" s="6" t="s">
        <v>2505</v>
      </c>
      <c r="E2084" s="7" t="s">
        <v>572</v>
      </c>
    </row>
    <row r="2085" spans="1:5">
      <c r="A2085" s="4" t="s">
        <v>2596</v>
      </c>
      <c r="B2085" s="5" t="s">
        <v>2597</v>
      </c>
      <c r="C2085" s="6" t="s">
        <v>2504</v>
      </c>
      <c r="D2085" s="6" t="s">
        <v>2505</v>
      </c>
      <c r="E2085" s="7" t="s">
        <v>425</v>
      </c>
    </row>
    <row r="2086" spans="1:5">
      <c r="A2086" s="4" t="s">
        <v>2598</v>
      </c>
      <c r="B2086" s="5" t="s">
        <v>2599</v>
      </c>
      <c r="C2086" s="6" t="s">
        <v>2504</v>
      </c>
      <c r="D2086" s="6" t="s">
        <v>2505</v>
      </c>
      <c r="E2086" s="7" t="s">
        <v>64</v>
      </c>
    </row>
    <row r="2087" spans="1:5">
      <c r="A2087" s="4" t="s">
        <v>2600</v>
      </c>
      <c r="B2087" s="5" t="s">
        <v>2601</v>
      </c>
      <c r="C2087" s="6" t="s">
        <v>2504</v>
      </c>
      <c r="D2087" s="6" t="s">
        <v>2505</v>
      </c>
      <c r="E2087" s="7" t="s">
        <v>89</v>
      </c>
    </row>
    <row r="2088" spans="1:5">
      <c r="A2088" s="4" t="s">
        <v>2602</v>
      </c>
      <c r="B2088" s="5" t="s">
        <v>2603</v>
      </c>
      <c r="C2088" s="6" t="s">
        <v>2504</v>
      </c>
      <c r="D2088" s="6" t="s">
        <v>2505</v>
      </c>
      <c r="E2088" s="7" t="s">
        <v>64</v>
      </c>
    </row>
    <row r="2089" spans="1:5">
      <c r="A2089" s="4" t="s">
        <v>2619</v>
      </c>
      <c r="B2089" s="5" t="s">
        <v>2620</v>
      </c>
      <c r="C2089" s="6" t="s">
        <v>2504</v>
      </c>
      <c r="D2089" s="6" t="s">
        <v>2505</v>
      </c>
      <c r="E2089" s="7" t="s">
        <v>86</v>
      </c>
    </row>
    <row r="2090" spans="1:5">
      <c r="A2090" s="4" t="s">
        <v>2621</v>
      </c>
      <c r="B2090" s="5" t="s">
        <v>2622</v>
      </c>
      <c r="C2090" s="6" t="s">
        <v>2504</v>
      </c>
      <c r="D2090" s="6" t="s">
        <v>2505</v>
      </c>
      <c r="E2090" s="7" t="s">
        <v>89</v>
      </c>
    </row>
    <row r="2091" spans="1:5">
      <c r="A2091" s="4" t="s">
        <v>3627</v>
      </c>
      <c r="B2091" s="5" t="s">
        <v>4403</v>
      </c>
      <c r="C2091" s="6" t="s">
        <v>2504</v>
      </c>
      <c r="D2091" s="6" t="s">
        <v>2505</v>
      </c>
      <c r="E2091" s="7" t="s">
        <v>86</v>
      </c>
    </row>
    <row r="2092" spans="1:5">
      <c r="A2092" s="4" t="s">
        <v>2623</v>
      </c>
      <c r="B2092" s="5" t="s">
        <v>2624</v>
      </c>
      <c r="C2092" s="6" t="s">
        <v>2504</v>
      </c>
      <c r="D2092" s="6" t="s">
        <v>2505</v>
      </c>
      <c r="E2092" s="7" t="s">
        <v>287</v>
      </c>
    </row>
    <row r="2093" spans="1:5">
      <c r="A2093" s="4" t="s">
        <v>2604</v>
      </c>
      <c r="B2093" s="5" t="s">
        <v>2605</v>
      </c>
      <c r="C2093" s="6" t="s">
        <v>2504</v>
      </c>
      <c r="D2093" s="6" t="s">
        <v>2505</v>
      </c>
      <c r="E2093" s="7" t="s">
        <v>67</v>
      </c>
    </row>
    <row r="2094" spans="1:5">
      <c r="A2094" s="4" t="s">
        <v>2606</v>
      </c>
      <c r="B2094" s="5" t="s">
        <v>2607</v>
      </c>
      <c r="C2094" s="6" t="s">
        <v>2504</v>
      </c>
      <c r="D2094" s="6" t="s">
        <v>2505</v>
      </c>
      <c r="E2094" s="7" t="s">
        <v>287</v>
      </c>
    </row>
    <row r="2095" spans="1:5">
      <c r="A2095" s="4" t="s">
        <v>3320</v>
      </c>
      <c r="B2095" s="5" t="s">
        <v>2608</v>
      </c>
      <c r="C2095" s="6" t="s">
        <v>2504</v>
      </c>
      <c r="D2095" s="6" t="s">
        <v>2505</v>
      </c>
      <c r="E2095" s="7" t="s">
        <v>64</v>
      </c>
    </row>
    <row r="2096" spans="1:5">
      <c r="A2096" s="4" t="s">
        <v>2609</v>
      </c>
      <c r="B2096" s="5" t="s">
        <v>2610</v>
      </c>
      <c r="C2096" s="6" t="s">
        <v>2504</v>
      </c>
      <c r="D2096" s="6" t="s">
        <v>2505</v>
      </c>
      <c r="E2096" s="7" t="s">
        <v>67</v>
      </c>
    </row>
    <row r="2097" spans="1:5">
      <c r="A2097" s="4" t="s">
        <v>2611</v>
      </c>
      <c r="B2097" s="5" t="s">
        <v>2612</v>
      </c>
      <c r="C2097" s="6" t="s">
        <v>2504</v>
      </c>
      <c r="D2097" s="6" t="s">
        <v>2505</v>
      </c>
      <c r="E2097" s="7" t="s">
        <v>572</v>
      </c>
    </row>
    <row r="2098" spans="1:5">
      <c r="A2098" s="4" t="s">
        <v>2613</v>
      </c>
      <c r="B2098" s="5" t="s">
        <v>2614</v>
      </c>
      <c r="C2098" s="6" t="s">
        <v>2504</v>
      </c>
      <c r="D2098" s="6" t="s">
        <v>2505</v>
      </c>
      <c r="E2098" s="7" t="s">
        <v>92</v>
      </c>
    </row>
    <row r="2099" spans="1:5">
      <c r="A2099" s="4" t="s">
        <v>4521</v>
      </c>
      <c r="B2099" s="5" t="s">
        <v>4522</v>
      </c>
      <c r="C2099" s="6" t="s">
        <v>2504</v>
      </c>
      <c r="D2099" s="6" t="s">
        <v>2505</v>
      </c>
      <c r="E2099" s="7" t="s">
        <v>67</v>
      </c>
    </row>
    <row r="2100" spans="1:5">
      <c r="A2100" s="11" t="s">
        <v>2615</v>
      </c>
      <c r="B2100" s="5" t="s">
        <v>2616</v>
      </c>
      <c r="C2100" s="12" t="s">
        <v>2504</v>
      </c>
      <c r="D2100" s="12" t="s">
        <v>2505</v>
      </c>
      <c r="E2100" s="7" t="s">
        <v>287</v>
      </c>
    </row>
    <row r="2101" spans="1:5">
      <c r="A2101" s="4" t="s">
        <v>2617</v>
      </c>
      <c r="B2101" s="5" t="s">
        <v>2618</v>
      </c>
      <c r="C2101" s="6" t="s">
        <v>2504</v>
      </c>
      <c r="D2101" s="6" t="s">
        <v>2505</v>
      </c>
      <c r="E2101" s="7" t="s">
        <v>86</v>
      </c>
    </row>
    <row r="2102" spans="1:5">
      <c r="A2102" s="4" t="s">
        <v>2625</v>
      </c>
      <c r="B2102" s="5" t="s">
        <v>2626</v>
      </c>
      <c r="C2102" s="6" t="s">
        <v>2504</v>
      </c>
      <c r="D2102" s="6" t="s">
        <v>2505</v>
      </c>
      <c r="E2102" s="7" t="s">
        <v>64</v>
      </c>
    </row>
    <row r="2103" spans="1:5">
      <c r="A2103" s="4" t="s">
        <v>2627</v>
      </c>
      <c r="B2103" s="5" t="s">
        <v>2628</v>
      </c>
      <c r="C2103" s="6" t="s">
        <v>2504</v>
      </c>
      <c r="D2103" s="6" t="s">
        <v>2505</v>
      </c>
      <c r="E2103" s="7" t="s">
        <v>64</v>
      </c>
    </row>
    <row r="2104" spans="1:5">
      <c r="A2104" s="4" t="s">
        <v>2629</v>
      </c>
      <c r="B2104" s="5" t="s">
        <v>2630</v>
      </c>
      <c r="C2104" s="6" t="s">
        <v>2504</v>
      </c>
      <c r="D2104" s="6" t="s">
        <v>2505</v>
      </c>
      <c r="E2104" s="7" t="s">
        <v>64</v>
      </c>
    </row>
    <row r="2105" spans="1:5">
      <c r="A2105" s="4" t="s">
        <v>2631</v>
      </c>
      <c r="B2105" s="5" t="s">
        <v>2632</v>
      </c>
      <c r="C2105" s="6" t="s">
        <v>2504</v>
      </c>
      <c r="D2105" s="6" t="s">
        <v>2505</v>
      </c>
      <c r="E2105" s="7" t="s">
        <v>86</v>
      </c>
    </row>
    <row r="2106" spans="1:5">
      <c r="A2106" s="4" t="s">
        <v>2633</v>
      </c>
      <c r="B2106" s="5" t="s">
        <v>2634</v>
      </c>
      <c r="C2106" s="6" t="s">
        <v>2504</v>
      </c>
      <c r="D2106" s="6" t="s">
        <v>2505</v>
      </c>
      <c r="E2106" s="7" t="s">
        <v>92</v>
      </c>
    </row>
    <row r="2107" spans="1:5">
      <c r="A2107" s="4" t="s">
        <v>2635</v>
      </c>
      <c r="B2107" s="5" t="s">
        <v>2636</v>
      </c>
      <c r="C2107" s="6" t="s">
        <v>2504</v>
      </c>
      <c r="D2107" s="6" t="s">
        <v>2505</v>
      </c>
      <c r="E2107" s="7" t="s">
        <v>92</v>
      </c>
    </row>
    <row r="2108" spans="1:5">
      <c r="A2108" s="4" t="s">
        <v>2637</v>
      </c>
      <c r="B2108" s="5" t="s">
        <v>2638</v>
      </c>
      <c r="C2108" s="6" t="s">
        <v>2504</v>
      </c>
      <c r="D2108" s="6" t="s">
        <v>2505</v>
      </c>
      <c r="E2108" s="7" t="s">
        <v>287</v>
      </c>
    </row>
    <row r="2109" spans="1:5">
      <c r="A2109" s="4" t="s">
        <v>2639</v>
      </c>
      <c r="B2109" s="5" t="s">
        <v>2640</v>
      </c>
      <c r="C2109" s="6" t="s">
        <v>2504</v>
      </c>
      <c r="D2109" s="6" t="s">
        <v>2505</v>
      </c>
      <c r="E2109" s="7" t="s">
        <v>425</v>
      </c>
    </row>
    <row r="2110" spans="1:5">
      <c r="A2110" s="4" t="s">
        <v>2641</v>
      </c>
      <c r="B2110" s="5" t="s">
        <v>2642</v>
      </c>
      <c r="C2110" s="6" t="s">
        <v>2504</v>
      </c>
      <c r="D2110" s="6" t="s">
        <v>2505</v>
      </c>
      <c r="E2110" s="7" t="s">
        <v>287</v>
      </c>
    </row>
    <row r="2111" spans="1:5">
      <c r="A2111" s="4" t="s">
        <v>2643</v>
      </c>
      <c r="B2111" s="5" t="s">
        <v>2644</v>
      </c>
      <c r="C2111" s="6" t="s">
        <v>2504</v>
      </c>
      <c r="D2111" s="6" t="s">
        <v>2505</v>
      </c>
      <c r="E2111" s="7" t="s">
        <v>86</v>
      </c>
    </row>
    <row r="2112" spans="1:5">
      <c r="A2112" s="4" t="s">
        <v>4530</v>
      </c>
      <c r="B2112" s="5" t="s">
        <v>4531</v>
      </c>
      <c r="C2112" s="6" t="s">
        <v>2504</v>
      </c>
      <c r="D2112" s="6" t="s">
        <v>2505</v>
      </c>
      <c r="E2112" s="7" t="s">
        <v>64</v>
      </c>
    </row>
    <row r="2113" spans="1:5">
      <c r="A2113" s="4" t="s">
        <v>4532</v>
      </c>
      <c r="B2113" s="5" t="s">
        <v>4533</v>
      </c>
      <c r="C2113" s="6" t="s">
        <v>2504</v>
      </c>
      <c r="D2113" s="6" t="s">
        <v>2505</v>
      </c>
      <c r="E2113" s="7" t="s">
        <v>86</v>
      </c>
    </row>
    <row r="2114" spans="1:5">
      <c r="A2114" s="4" t="s">
        <v>2645</v>
      </c>
      <c r="B2114" s="5" t="s">
        <v>2646</v>
      </c>
      <c r="C2114" s="6" t="s">
        <v>2504</v>
      </c>
      <c r="D2114" s="6" t="s">
        <v>2505</v>
      </c>
      <c r="E2114" s="7" t="s">
        <v>89</v>
      </c>
    </row>
    <row r="2115" spans="1:5">
      <c r="A2115" s="4" t="s">
        <v>2647</v>
      </c>
      <c r="B2115" s="5" t="s">
        <v>2648</v>
      </c>
      <c r="C2115" s="6" t="s">
        <v>2504</v>
      </c>
      <c r="D2115" s="6" t="s">
        <v>2505</v>
      </c>
      <c r="E2115" s="7" t="s">
        <v>67</v>
      </c>
    </row>
    <row r="2116" spans="1:5">
      <c r="A2116" s="4" t="s">
        <v>2649</v>
      </c>
      <c r="B2116" s="5" t="s">
        <v>2650</v>
      </c>
      <c r="C2116" s="6" t="s">
        <v>2504</v>
      </c>
      <c r="D2116" s="6" t="s">
        <v>2505</v>
      </c>
      <c r="E2116" s="7" t="s">
        <v>98</v>
      </c>
    </row>
    <row r="2117" spans="1:5">
      <c r="A2117" s="11" t="s">
        <v>2651</v>
      </c>
      <c r="B2117" s="5" t="s">
        <v>2652</v>
      </c>
      <c r="C2117" s="12" t="s">
        <v>2504</v>
      </c>
      <c r="D2117" s="12" t="s">
        <v>2505</v>
      </c>
      <c r="E2117" s="7" t="s">
        <v>425</v>
      </c>
    </row>
    <row r="2118" spans="1:5">
      <c r="A2118" s="11" t="s">
        <v>2653</v>
      </c>
      <c r="B2118" s="5" t="s">
        <v>2654</v>
      </c>
      <c r="C2118" s="12" t="s">
        <v>2504</v>
      </c>
      <c r="D2118" s="12" t="s">
        <v>2505</v>
      </c>
      <c r="E2118" s="7" t="s">
        <v>425</v>
      </c>
    </row>
    <row r="2119" spans="1:5">
      <c r="A2119" s="11" t="s">
        <v>2655</v>
      </c>
      <c r="B2119" s="5" t="s">
        <v>2656</v>
      </c>
      <c r="C2119" s="12" t="s">
        <v>2504</v>
      </c>
      <c r="D2119" s="12" t="s">
        <v>2505</v>
      </c>
      <c r="E2119" s="7" t="s">
        <v>287</v>
      </c>
    </row>
    <row r="2120" spans="1:5">
      <c r="A2120" s="4" t="s">
        <v>2657</v>
      </c>
      <c r="B2120" s="5" t="s">
        <v>2658</v>
      </c>
      <c r="C2120" s="6" t="s">
        <v>2504</v>
      </c>
      <c r="D2120" s="6" t="s">
        <v>2505</v>
      </c>
      <c r="E2120" s="7" t="s">
        <v>67</v>
      </c>
    </row>
    <row r="2121" spans="1:5">
      <c r="A2121" s="4" t="s">
        <v>2659</v>
      </c>
      <c r="B2121" s="5" t="s">
        <v>2660</v>
      </c>
      <c r="C2121" s="6" t="s">
        <v>2504</v>
      </c>
      <c r="D2121" s="6" t="s">
        <v>2505</v>
      </c>
      <c r="E2121" s="7" t="s">
        <v>287</v>
      </c>
    </row>
    <row r="2122" spans="1:5">
      <c r="A2122" s="4" t="s">
        <v>2661</v>
      </c>
      <c r="B2122" s="5" t="s">
        <v>2662</v>
      </c>
      <c r="C2122" s="6" t="s">
        <v>2504</v>
      </c>
      <c r="D2122" s="6" t="s">
        <v>2505</v>
      </c>
      <c r="E2122" s="7" t="s">
        <v>425</v>
      </c>
    </row>
    <row r="2123" spans="1:5">
      <c r="A2123" s="4" t="s">
        <v>3626</v>
      </c>
      <c r="B2123" s="5" t="s">
        <v>4402</v>
      </c>
      <c r="C2123" s="6" t="s">
        <v>2504</v>
      </c>
      <c r="D2123" s="6" t="s">
        <v>2505</v>
      </c>
      <c r="E2123" s="7" t="s">
        <v>425</v>
      </c>
    </row>
    <row r="2124" spans="1:5">
      <c r="A2124" s="4" t="s">
        <v>4538</v>
      </c>
      <c r="B2124" s="5" t="s">
        <v>4539</v>
      </c>
      <c r="C2124" s="6" t="s">
        <v>2504</v>
      </c>
      <c r="D2124" s="6" t="s">
        <v>2505</v>
      </c>
      <c r="E2124" s="7" t="s">
        <v>98</v>
      </c>
    </row>
    <row r="2125" spans="1:5">
      <c r="A2125" s="4" t="s">
        <v>2663</v>
      </c>
      <c r="B2125" s="5" t="s">
        <v>2664</v>
      </c>
      <c r="C2125" s="6" t="s">
        <v>2504</v>
      </c>
      <c r="D2125" s="6" t="s">
        <v>2505</v>
      </c>
      <c r="E2125" s="7" t="s">
        <v>425</v>
      </c>
    </row>
    <row r="2126" spans="1:5">
      <c r="A2126" s="4" t="s">
        <v>2665</v>
      </c>
      <c r="B2126" s="5" t="s">
        <v>2666</v>
      </c>
      <c r="C2126" s="6" t="s">
        <v>2504</v>
      </c>
      <c r="D2126" s="6" t="s">
        <v>2505</v>
      </c>
      <c r="E2126" s="7" t="s">
        <v>67</v>
      </c>
    </row>
    <row r="2127" spans="1:5">
      <c r="A2127" s="4" t="s">
        <v>2667</v>
      </c>
      <c r="B2127" s="5" t="s">
        <v>2668</v>
      </c>
      <c r="C2127" s="6" t="s">
        <v>2504</v>
      </c>
      <c r="D2127" s="6" t="s">
        <v>320</v>
      </c>
      <c r="E2127" s="7" t="s">
        <v>4444</v>
      </c>
    </row>
    <row r="2128" spans="1:5">
      <c r="A2128" s="4" t="s">
        <v>3624</v>
      </c>
      <c r="B2128" s="5" t="s">
        <v>4400</v>
      </c>
      <c r="C2128" s="6" t="s">
        <v>2504</v>
      </c>
      <c r="D2128" s="6" t="s">
        <v>2505</v>
      </c>
      <c r="E2128" s="7" t="s">
        <v>89</v>
      </c>
    </row>
    <row r="2129" spans="1:5">
      <c r="A2129" s="4" t="s">
        <v>2669</v>
      </c>
      <c r="B2129" s="5" t="s">
        <v>2670</v>
      </c>
      <c r="C2129" s="6" t="s">
        <v>2504</v>
      </c>
      <c r="D2129" s="6" t="s">
        <v>2505</v>
      </c>
      <c r="E2129" s="7" t="s">
        <v>86</v>
      </c>
    </row>
    <row r="2130" spans="1:5">
      <c r="A2130" s="4" t="s">
        <v>2671</v>
      </c>
      <c r="B2130" s="5" t="s">
        <v>2672</v>
      </c>
      <c r="C2130" s="6" t="s">
        <v>2504</v>
      </c>
      <c r="D2130" s="6" t="s">
        <v>2505</v>
      </c>
      <c r="E2130" s="7" t="s">
        <v>64</v>
      </c>
    </row>
    <row r="2131" spans="1:5">
      <c r="A2131" s="4" t="s">
        <v>2673</v>
      </c>
      <c r="B2131" s="5" t="s">
        <v>2674</v>
      </c>
      <c r="C2131" s="6" t="s">
        <v>2504</v>
      </c>
      <c r="D2131" s="6" t="s">
        <v>2505</v>
      </c>
      <c r="E2131" s="7" t="s">
        <v>64</v>
      </c>
    </row>
    <row r="2132" spans="1:5">
      <c r="A2132" s="4" t="s">
        <v>2675</v>
      </c>
      <c r="B2132" s="5" t="s">
        <v>2676</v>
      </c>
      <c r="C2132" s="6" t="s">
        <v>2504</v>
      </c>
      <c r="D2132" s="6" t="s">
        <v>2505</v>
      </c>
      <c r="E2132" s="7" t="s">
        <v>98</v>
      </c>
    </row>
    <row r="2133" spans="1:5">
      <c r="A2133" s="4" t="s">
        <v>2677</v>
      </c>
      <c r="B2133" s="5" t="s">
        <v>2678</v>
      </c>
      <c r="C2133" s="6" t="s">
        <v>2504</v>
      </c>
      <c r="D2133" s="6" t="s">
        <v>2505</v>
      </c>
      <c r="E2133" s="7" t="s">
        <v>287</v>
      </c>
    </row>
    <row r="2134" spans="1:5">
      <c r="A2134" s="4" t="s">
        <v>2679</v>
      </c>
      <c r="B2134" s="5" t="s">
        <v>2680</v>
      </c>
      <c r="C2134" s="6" t="s">
        <v>2504</v>
      </c>
      <c r="D2134" s="6" t="s">
        <v>2505</v>
      </c>
      <c r="E2134" s="7" t="s">
        <v>95</v>
      </c>
    </row>
    <row r="2135" spans="1:5">
      <c r="A2135" s="4" t="s">
        <v>2681</v>
      </c>
      <c r="B2135" s="5" t="s">
        <v>2682</v>
      </c>
      <c r="C2135" s="6" t="s">
        <v>2504</v>
      </c>
      <c r="D2135" s="6" t="s">
        <v>2505</v>
      </c>
      <c r="E2135" s="7" t="s">
        <v>64</v>
      </c>
    </row>
    <row r="2136" spans="1:5">
      <c r="A2136" s="4" t="s">
        <v>2683</v>
      </c>
      <c r="B2136" s="5" t="s">
        <v>2684</v>
      </c>
      <c r="C2136" s="6" t="s">
        <v>2504</v>
      </c>
      <c r="D2136" s="6" t="s">
        <v>2505</v>
      </c>
      <c r="E2136" s="7" t="s">
        <v>287</v>
      </c>
    </row>
    <row r="2137" spans="1:5">
      <c r="A2137" s="4" t="s">
        <v>2685</v>
      </c>
      <c r="B2137" s="5" t="s">
        <v>2686</v>
      </c>
      <c r="C2137" s="6" t="s">
        <v>2504</v>
      </c>
      <c r="D2137" s="6" t="s">
        <v>2505</v>
      </c>
      <c r="E2137" s="7" t="s">
        <v>67</v>
      </c>
    </row>
    <row r="2138" spans="1:5">
      <c r="A2138" s="4" t="s">
        <v>2687</v>
      </c>
      <c r="B2138" s="5" t="s">
        <v>2688</v>
      </c>
      <c r="C2138" s="6" t="s">
        <v>2504</v>
      </c>
      <c r="D2138" s="6" t="s">
        <v>2505</v>
      </c>
      <c r="E2138" s="7" t="s">
        <v>89</v>
      </c>
    </row>
    <row r="2139" spans="1:5">
      <c r="A2139" s="4" t="s">
        <v>2689</v>
      </c>
      <c r="B2139" s="5" t="s">
        <v>2690</v>
      </c>
      <c r="C2139" s="6" t="s">
        <v>2504</v>
      </c>
      <c r="D2139" s="6" t="s">
        <v>2505</v>
      </c>
      <c r="E2139" s="7" t="s">
        <v>92</v>
      </c>
    </row>
    <row r="2140" spans="1:5">
      <c r="A2140" s="4" t="s">
        <v>2691</v>
      </c>
      <c r="B2140" s="5" t="s">
        <v>2692</v>
      </c>
      <c r="C2140" s="6" t="s">
        <v>2504</v>
      </c>
      <c r="D2140" s="6" t="s">
        <v>2505</v>
      </c>
      <c r="E2140" s="7" t="s">
        <v>86</v>
      </c>
    </row>
    <row r="2141" spans="1:5">
      <c r="A2141" s="4" t="s">
        <v>2693</v>
      </c>
      <c r="B2141" s="5" t="s">
        <v>2694</v>
      </c>
      <c r="C2141" s="6" t="s">
        <v>2504</v>
      </c>
      <c r="D2141" s="6" t="s">
        <v>2505</v>
      </c>
      <c r="E2141" s="7" t="s">
        <v>92</v>
      </c>
    </row>
    <row r="2142" spans="1:5">
      <c r="A2142" s="4" t="s">
        <v>2695</v>
      </c>
      <c r="B2142" s="5" t="s">
        <v>2696</v>
      </c>
      <c r="C2142" s="6" t="s">
        <v>2504</v>
      </c>
      <c r="D2142" s="6" t="s">
        <v>2505</v>
      </c>
      <c r="E2142" s="7" t="s">
        <v>86</v>
      </c>
    </row>
    <row r="2143" spans="1:5">
      <c r="A2143" s="4" t="s">
        <v>2697</v>
      </c>
      <c r="B2143" s="5" t="s">
        <v>2698</v>
      </c>
      <c r="C2143" s="6" t="s">
        <v>2504</v>
      </c>
      <c r="D2143" s="6" t="s">
        <v>2505</v>
      </c>
      <c r="E2143" s="7" t="s">
        <v>92</v>
      </c>
    </row>
    <row r="2144" spans="1:5">
      <c r="A2144" s="4" t="s">
        <v>2699</v>
      </c>
      <c r="B2144" s="5" t="s">
        <v>2700</v>
      </c>
      <c r="C2144" s="6" t="s">
        <v>2504</v>
      </c>
      <c r="D2144" s="6" t="s">
        <v>2505</v>
      </c>
      <c r="E2144" s="7" t="s">
        <v>89</v>
      </c>
    </row>
    <row r="2145" spans="1:5">
      <c r="A2145" s="4" t="s">
        <v>2701</v>
      </c>
      <c r="B2145" s="5" t="s">
        <v>2702</v>
      </c>
      <c r="C2145" s="6" t="s">
        <v>2504</v>
      </c>
      <c r="D2145" s="6" t="s">
        <v>2505</v>
      </c>
      <c r="E2145" s="7" t="s">
        <v>92</v>
      </c>
    </row>
    <row r="2146" spans="1:5">
      <c r="A2146" s="4" t="s">
        <v>2703</v>
      </c>
      <c r="B2146" s="5" t="s">
        <v>2704</v>
      </c>
      <c r="C2146" s="6" t="s">
        <v>2504</v>
      </c>
      <c r="D2146" s="6" t="s">
        <v>2505</v>
      </c>
      <c r="E2146" s="7" t="s">
        <v>64</v>
      </c>
    </row>
    <row r="2147" spans="1:5">
      <c r="A2147" s="4" t="s">
        <v>2705</v>
      </c>
      <c r="B2147" s="5" t="s">
        <v>2706</v>
      </c>
      <c r="C2147" s="6" t="s">
        <v>2504</v>
      </c>
      <c r="D2147" s="6" t="s">
        <v>2505</v>
      </c>
      <c r="E2147" s="7" t="s">
        <v>67</v>
      </c>
    </row>
    <row r="2148" spans="1:5">
      <c r="A2148" s="4" t="s">
        <v>2707</v>
      </c>
      <c r="B2148" s="5" t="s">
        <v>2708</v>
      </c>
      <c r="C2148" s="6" t="s">
        <v>2504</v>
      </c>
      <c r="D2148" s="6" t="s">
        <v>2505</v>
      </c>
      <c r="E2148" s="7" t="s">
        <v>86</v>
      </c>
    </row>
    <row r="2149" spans="1:5">
      <c r="A2149" s="11" t="s">
        <v>2709</v>
      </c>
      <c r="B2149" s="5" t="s">
        <v>2710</v>
      </c>
      <c r="C2149" s="12" t="s">
        <v>2504</v>
      </c>
      <c r="D2149" s="12" t="s">
        <v>2505</v>
      </c>
      <c r="E2149" s="7" t="s">
        <v>425</v>
      </c>
    </row>
    <row r="2150" spans="1:5">
      <c r="A2150" s="4" t="s">
        <v>3328</v>
      </c>
      <c r="B2150" s="5" t="s">
        <v>2711</v>
      </c>
      <c r="C2150" s="6" t="s">
        <v>2504</v>
      </c>
      <c r="D2150" s="6" t="s">
        <v>2505</v>
      </c>
      <c r="E2150" s="7" t="s">
        <v>86</v>
      </c>
    </row>
    <row r="2151" spans="1:5">
      <c r="A2151" s="4" t="s">
        <v>2712</v>
      </c>
      <c r="B2151" s="5" t="s">
        <v>2713</v>
      </c>
      <c r="C2151" s="6" t="s">
        <v>2504</v>
      </c>
      <c r="D2151" s="6" t="s">
        <v>2505</v>
      </c>
      <c r="E2151" s="7" t="s">
        <v>287</v>
      </c>
    </row>
    <row r="2152" spans="1:5">
      <c r="A2152" s="4" t="s">
        <v>3322</v>
      </c>
      <c r="B2152" s="5" t="s">
        <v>2714</v>
      </c>
      <c r="C2152" s="6" t="s">
        <v>2504</v>
      </c>
      <c r="D2152" s="6" t="s">
        <v>2715</v>
      </c>
      <c r="E2152" s="7" t="s">
        <v>98</v>
      </c>
    </row>
    <row r="2153" spans="1:5">
      <c r="A2153" s="4" t="s">
        <v>2716</v>
      </c>
      <c r="B2153" s="5" t="s">
        <v>2717</v>
      </c>
      <c r="C2153" s="6" t="s">
        <v>2504</v>
      </c>
      <c r="D2153" s="6" t="s">
        <v>2505</v>
      </c>
      <c r="E2153" s="7" t="s">
        <v>287</v>
      </c>
    </row>
    <row r="2154" spans="1:5">
      <c r="A2154" s="4" t="s">
        <v>2718</v>
      </c>
      <c r="B2154" s="5" t="s">
        <v>2719</v>
      </c>
      <c r="C2154" s="6" t="s">
        <v>2504</v>
      </c>
      <c r="D2154" s="6" t="s">
        <v>2505</v>
      </c>
      <c r="E2154" s="7" t="s">
        <v>89</v>
      </c>
    </row>
    <row r="2155" spans="1:5">
      <c r="A2155" s="4" t="s">
        <v>2720</v>
      </c>
      <c r="B2155" s="5" t="s">
        <v>2721</v>
      </c>
      <c r="C2155" s="6" t="s">
        <v>2504</v>
      </c>
      <c r="D2155" s="6" t="s">
        <v>2505</v>
      </c>
      <c r="E2155" s="7" t="s">
        <v>425</v>
      </c>
    </row>
    <row r="2156" spans="1:5">
      <c r="A2156" s="4" t="s">
        <v>2722</v>
      </c>
      <c r="B2156" s="5" t="s">
        <v>2723</v>
      </c>
      <c r="C2156" s="6" t="s">
        <v>2504</v>
      </c>
      <c r="D2156" s="6" t="s">
        <v>2505</v>
      </c>
      <c r="E2156" s="7" t="s">
        <v>287</v>
      </c>
    </row>
    <row r="2157" spans="1:5">
      <c r="A2157" s="4" t="s">
        <v>2724</v>
      </c>
      <c r="B2157" s="5" t="s">
        <v>2725</v>
      </c>
      <c r="C2157" s="6" t="s">
        <v>2504</v>
      </c>
      <c r="D2157" s="6" t="s">
        <v>2505</v>
      </c>
      <c r="E2157" s="7" t="s">
        <v>67</v>
      </c>
    </row>
    <row r="2158" spans="1:5">
      <c r="A2158" s="4" t="s">
        <v>2726</v>
      </c>
      <c r="B2158" s="5" t="s">
        <v>2727</v>
      </c>
      <c r="C2158" s="6" t="s">
        <v>2504</v>
      </c>
      <c r="D2158" s="6" t="s">
        <v>2505</v>
      </c>
      <c r="E2158" s="7" t="s">
        <v>287</v>
      </c>
    </row>
    <row r="2159" spans="1:5">
      <c r="A2159" s="4" t="s">
        <v>2728</v>
      </c>
      <c r="B2159" s="5" t="s">
        <v>2729</v>
      </c>
      <c r="C2159" s="6" t="s">
        <v>2504</v>
      </c>
      <c r="D2159" s="6" t="s">
        <v>2505</v>
      </c>
      <c r="E2159" s="7" t="s">
        <v>89</v>
      </c>
    </row>
    <row r="2160" spans="1:5">
      <c r="A2160" s="4" t="s">
        <v>2730</v>
      </c>
      <c r="B2160" s="5" t="s">
        <v>2731</v>
      </c>
      <c r="C2160" s="6" t="s">
        <v>2504</v>
      </c>
      <c r="D2160" s="6" t="s">
        <v>2505</v>
      </c>
      <c r="E2160" s="7" t="s">
        <v>64</v>
      </c>
    </row>
    <row r="2161" spans="1:5">
      <c r="A2161" s="4" t="s">
        <v>2732</v>
      </c>
      <c r="B2161" s="5" t="s">
        <v>2733</v>
      </c>
      <c r="C2161" s="6" t="s">
        <v>2504</v>
      </c>
      <c r="D2161" s="6" t="s">
        <v>2505</v>
      </c>
      <c r="E2161" s="7" t="s">
        <v>89</v>
      </c>
    </row>
    <row r="2162" spans="1:5">
      <c r="A2162" s="4" t="s">
        <v>2734</v>
      </c>
      <c r="B2162" s="5" t="s">
        <v>2735</v>
      </c>
      <c r="C2162" s="6" t="s">
        <v>2504</v>
      </c>
      <c r="D2162" s="6" t="s">
        <v>2505</v>
      </c>
      <c r="E2162" s="7" t="s">
        <v>287</v>
      </c>
    </row>
    <row r="2163" spans="1:5">
      <c r="A2163" s="4" t="s">
        <v>2736</v>
      </c>
      <c r="B2163" s="5" t="s">
        <v>2737</v>
      </c>
      <c r="C2163" s="6" t="s">
        <v>2504</v>
      </c>
      <c r="D2163" s="6" t="s">
        <v>2505</v>
      </c>
      <c r="E2163" s="7" t="s">
        <v>64</v>
      </c>
    </row>
    <row r="2164" spans="1:5">
      <c r="A2164" s="4" t="s">
        <v>2738</v>
      </c>
      <c r="B2164" s="5" t="s">
        <v>2739</v>
      </c>
      <c r="C2164" s="6" t="s">
        <v>2504</v>
      </c>
      <c r="D2164" s="6" t="s">
        <v>2505</v>
      </c>
      <c r="E2164" s="7" t="s">
        <v>67</v>
      </c>
    </row>
    <row r="2165" spans="1:5">
      <c r="A2165" s="4" t="s">
        <v>2740</v>
      </c>
      <c r="B2165" s="5" t="s">
        <v>2741</v>
      </c>
      <c r="C2165" s="6" t="s">
        <v>2504</v>
      </c>
      <c r="D2165" s="6" t="s">
        <v>2505</v>
      </c>
      <c r="E2165" s="7" t="s">
        <v>287</v>
      </c>
    </row>
    <row r="2166" spans="1:5">
      <c r="A2166" s="4" t="s">
        <v>2742</v>
      </c>
      <c r="B2166" s="5" t="s">
        <v>2743</v>
      </c>
      <c r="C2166" s="6" t="s">
        <v>2504</v>
      </c>
      <c r="D2166" s="6" t="s">
        <v>2505</v>
      </c>
      <c r="E2166" s="7" t="s">
        <v>287</v>
      </c>
    </row>
    <row r="2167" spans="1:5">
      <c r="A2167" s="4" t="s">
        <v>2744</v>
      </c>
      <c r="B2167" s="5" t="s">
        <v>2745</v>
      </c>
      <c r="C2167" s="6" t="s">
        <v>2504</v>
      </c>
      <c r="D2167" s="6" t="s">
        <v>2505</v>
      </c>
      <c r="E2167" s="7" t="s">
        <v>89</v>
      </c>
    </row>
    <row r="2168" spans="1:5">
      <c r="A2168" s="4" t="s">
        <v>2746</v>
      </c>
      <c r="B2168" s="5" t="s">
        <v>2747</v>
      </c>
      <c r="C2168" s="6" t="s">
        <v>2504</v>
      </c>
      <c r="D2168" s="6" t="s">
        <v>2505</v>
      </c>
      <c r="E2168" s="7" t="s">
        <v>89</v>
      </c>
    </row>
    <row r="2169" spans="1:5">
      <c r="A2169" s="4" t="s">
        <v>2748</v>
      </c>
      <c r="B2169" s="5" t="s">
        <v>2749</v>
      </c>
      <c r="C2169" s="6" t="s">
        <v>2504</v>
      </c>
      <c r="D2169" s="6" t="s">
        <v>2505</v>
      </c>
      <c r="E2169" s="7" t="s">
        <v>86</v>
      </c>
    </row>
    <row r="2170" spans="1:5">
      <c r="A2170" s="4" t="s">
        <v>4543</v>
      </c>
      <c r="B2170" s="5" t="s">
        <v>4544</v>
      </c>
      <c r="C2170" s="6" t="s">
        <v>2504</v>
      </c>
      <c r="D2170" s="6" t="s">
        <v>2505</v>
      </c>
      <c r="E2170" s="7" t="s">
        <v>67</v>
      </c>
    </row>
    <row r="2171" spans="1:5">
      <c r="A2171" s="4" t="s">
        <v>2750</v>
      </c>
      <c r="B2171" s="5" t="s">
        <v>2751</v>
      </c>
      <c r="C2171" s="6" t="s">
        <v>2504</v>
      </c>
      <c r="D2171" s="6" t="s">
        <v>2505</v>
      </c>
      <c r="E2171" s="7" t="s">
        <v>86</v>
      </c>
    </row>
    <row r="2172" spans="1:5">
      <c r="A2172" s="4" t="s">
        <v>2752</v>
      </c>
      <c r="B2172" s="5" t="s">
        <v>2753</v>
      </c>
      <c r="C2172" s="6" t="s">
        <v>2504</v>
      </c>
      <c r="D2172" s="6" t="s">
        <v>2505</v>
      </c>
      <c r="E2172" s="7" t="s">
        <v>287</v>
      </c>
    </row>
    <row r="2173" spans="1:5">
      <c r="A2173" s="4" t="s">
        <v>2754</v>
      </c>
      <c r="B2173" s="5" t="s">
        <v>2755</v>
      </c>
      <c r="C2173" s="6" t="s">
        <v>2504</v>
      </c>
      <c r="D2173" s="6" t="s">
        <v>2505</v>
      </c>
      <c r="E2173" s="7" t="s">
        <v>287</v>
      </c>
    </row>
    <row r="2174" spans="1:5">
      <c r="A2174" s="4" t="s">
        <v>2756</v>
      </c>
      <c r="B2174" s="5" t="s">
        <v>2757</v>
      </c>
      <c r="C2174" s="6" t="s">
        <v>2504</v>
      </c>
      <c r="D2174" s="6" t="s">
        <v>2505</v>
      </c>
      <c r="E2174" s="7" t="s">
        <v>86</v>
      </c>
    </row>
    <row r="2175" spans="1:5">
      <c r="A2175" s="4" t="s">
        <v>2758</v>
      </c>
      <c r="B2175" s="5" t="s">
        <v>2759</v>
      </c>
      <c r="C2175" s="6" t="s">
        <v>2504</v>
      </c>
      <c r="D2175" s="6" t="s">
        <v>2505</v>
      </c>
      <c r="E2175" s="7" t="s">
        <v>64</v>
      </c>
    </row>
    <row r="2176" spans="1:5">
      <c r="A2176" s="4" t="s">
        <v>2760</v>
      </c>
      <c r="B2176" s="5" t="s">
        <v>2761</v>
      </c>
      <c r="C2176" s="12" t="s">
        <v>2504</v>
      </c>
      <c r="D2176" s="12" t="s">
        <v>2505</v>
      </c>
      <c r="E2176" s="7" t="s">
        <v>287</v>
      </c>
    </row>
    <row r="2177" spans="1:5">
      <c r="A2177" s="4" t="s">
        <v>2762</v>
      </c>
      <c r="B2177" s="5" t="s">
        <v>2763</v>
      </c>
      <c r="C2177" s="6" t="s">
        <v>2504</v>
      </c>
      <c r="D2177" s="6" t="s">
        <v>2505</v>
      </c>
      <c r="E2177" s="7" t="s">
        <v>64</v>
      </c>
    </row>
    <row r="2178" spans="1:5">
      <c r="A2178" s="4" t="s">
        <v>2764</v>
      </c>
      <c r="B2178" s="5" t="s">
        <v>2765</v>
      </c>
      <c r="C2178" s="6" t="s">
        <v>2504</v>
      </c>
      <c r="D2178" s="6" t="s">
        <v>2505</v>
      </c>
      <c r="E2178" s="7" t="s">
        <v>86</v>
      </c>
    </row>
    <row r="2179" spans="1:5">
      <c r="A2179" s="4" t="s">
        <v>2766</v>
      </c>
      <c r="B2179" s="5" t="s">
        <v>2767</v>
      </c>
      <c r="C2179" s="6" t="s">
        <v>2504</v>
      </c>
      <c r="D2179" s="6" t="s">
        <v>2505</v>
      </c>
      <c r="E2179" s="7" t="s">
        <v>67</v>
      </c>
    </row>
    <row r="2180" spans="1:5">
      <c r="A2180" s="4" t="s">
        <v>2768</v>
      </c>
      <c r="B2180" s="5" t="s">
        <v>2769</v>
      </c>
      <c r="C2180" s="6" t="s">
        <v>2504</v>
      </c>
      <c r="D2180" s="6" t="s">
        <v>2505</v>
      </c>
      <c r="E2180" s="7" t="s">
        <v>67</v>
      </c>
    </row>
    <row r="2181" spans="1:5">
      <c r="A2181" s="4" t="s">
        <v>2770</v>
      </c>
      <c r="B2181" s="5" t="s">
        <v>2771</v>
      </c>
      <c r="C2181" s="6" t="s">
        <v>2504</v>
      </c>
      <c r="D2181" s="6" t="s">
        <v>2505</v>
      </c>
      <c r="E2181" s="7" t="s">
        <v>86</v>
      </c>
    </row>
    <row r="2182" spans="1:5">
      <c r="A2182" s="4" t="s">
        <v>2772</v>
      </c>
      <c r="B2182" s="5" t="s">
        <v>2773</v>
      </c>
      <c r="C2182" s="6" t="s">
        <v>2504</v>
      </c>
      <c r="D2182" s="6" t="s">
        <v>2505</v>
      </c>
      <c r="E2182" s="7" t="s">
        <v>67</v>
      </c>
    </row>
    <row r="2183" spans="1:5">
      <c r="A2183" s="4" t="s">
        <v>2774</v>
      </c>
      <c r="B2183" s="5" t="s">
        <v>2775</v>
      </c>
      <c r="C2183" s="6" t="s">
        <v>2504</v>
      </c>
      <c r="D2183" s="6" t="s">
        <v>2505</v>
      </c>
      <c r="E2183" s="7" t="s">
        <v>64</v>
      </c>
    </row>
    <row r="2184" spans="1:5">
      <c r="A2184" s="4" t="s">
        <v>2776</v>
      </c>
      <c r="B2184" s="5" t="s">
        <v>2777</v>
      </c>
      <c r="C2184" s="6" t="s">
        <v>2504</v>
      </c>
      <c r="D2184" s="6" t="s">
        <v>2505</v>
      </c>
      <c r="E2184" s="7" t="s">
        <v>89</v>
      </c>
    </row>
    <row r="2185" spans="1:5">
      <c r="A2185" s="4" t="s">
        <v>2778</v>
      </c>
      <c r="B2185" s="5" t="s">
        <v>2779</v>
      </c>
      <c r="C2185" s="6" t="s">
        <v>2504</v>
      </c>
      <c r="D2185" s="6" t="s">
        <v>2505</v>
      </c>
      <c r="E2185" s="7" t="s">
        <v>64</v>
      </c>
    </row>
    <row r="2186" spans="1:5">
      <c r="A2186" s="4" t="s">
        <v>2780</v>
      </c>
      <c r="B2186" s="5" t="s">
        <v>2781</v>
      </c>
      <c r="C2186" s="6" t="s">
        <v>2504</v>
      </c>
      <c r="D2186" s="6" t="s">
        <v>2505</v>
      </c>
      <c r="E2186" s="7" t="s">
        <v>64</v>
      </c>
    </row>
    <row r="2187" spans="1:5">
      <c r="A2187" s="4" t="s">
        <v>2782</v>
      </c>
      <c r="B2187" s="5" t="s">
        <v>2783</v>
      </c>
      <c r="C2187" s="6" t="s">
        <v>2504</v>
      </c>
      <c r="D2187" s="6" t="s">
        <v>2505</v>
      </c>
      <c r="E2187" s="7" t="s">
        <v>86</v>
      </c>
    </row>
    <row r="2188" spans="1:5">
      <c r="A2188" s="4" t="s">
        <v>2784</v>
      </c>
      <c r="B2188" s="5" t="s">
        <v>2785</v>
      </c>
      <c r="C2188" s="6" t="s">
        <v>2504</v>
      </c>
      <c r="D2188" s="6" t="s">
        <v>2505</v>
      </c>
      <c r="E2188" s="7" t="s">
        <v>89</v>
      </c>
    </row>
    <row r="2189" spans="1:5">
      <c r="A2189" s="4" t="s">
        <v>2786</v>
      </c>
      <c r="B2189" s="5" t="s">
        <v>2787</v>
      </c>
      <c r="C2189" s="6" t="s">
        <v>2504</v>
      </c>
      <c r="D2189" s="6" t="s">
        <v>2505</v>
      </c>
      <c r="E2189" s="7" t="s">
        <v>89</v>
      </c>
    </row>
    <row r="2190" spans="1:5">
      <c r="A2190" s="4" t="s">
        <v>2788</v>
      </c>
      <c r="B2190" s="5" t="s">
        <v>2789</v>
      </c>
      <c r="C2190" s="6" t="s">
        <v>2504</v>
      </c>
      <c r="D2190" s="6" t="s">
        <v>2505</v>
      </c>
      <c r="E2190" s="7" t="s">
        <v>572</v>
      </c>
    </row>
    <row r="2191" spans="1:5">
      <c r="A2191" s="4" t="s">
        <v>3623</v>
      </c>
      <c r="B2191" s="5" t="s">
        <v>4399</v>
      </c>
      <c r="C2191" s="6" t="s">
        <v>2504</v>
      </c>
      <c r="D2191" s="6" t="s">
        <v>2505</v>
      </c>
      <c r="E2191" s="7" t="s">
        <v>92</v>
      </c>
    </row>
    <row r="2192" spans="1:5">
      <c r="A2192" s="4" t="s">
        <v>2790</v>
      </c>
      <c r="B2192" s="5" t="s">
        <v>2791</v>
      </c>
      <c r="C2192" s="6" t="s">
        <v>2504</v>
      </c>
      <c r="D2192" s="6" t="s">
        <v>2505</v>
      </c>
      <c r="E2192" s="7" t="s">
        <v>95</v>
      </c>
    </row>
    <row r="2193" spans="1:5">
      <c r="A2193" s="4" t="s">
        <v>2792</v>
      </c>
      <c r="B2193" s="5" t="s">
        <v>2793</v>
      </c>
      <c r="C2193" s="6" t="s">
        <v>2504</v>
      </c>
      <c r="D2193" s="6" t="s">
        <v>2505</v>
      </c>
      <c r="E2193" s="7" t="s">
        <v>572</v>
      </c>
    </row>
    <row r="2194" spans="1:5">
      <c r="A2194" s="11" t="s">
        <v>2794</v>
      </c>
      <c r="B2194" s="5" t="s">
        <v>2795</v>
      </c>
      <c r="C2194" s="12" t="s">
        <v>2504</v>
      </c>
      <c r="D2194" s="12" t="s">
        <v>2505</v>
      </c>
      <c r="E2194" s="7" t="s">
        <v>572</v>
      </c>
    </row>
    <row r="2195" spans="1:5">
      <c r="A2195" s="4" t="s">
        <v>2796</v>
      </c>
      <c r="B2195" s="5" t="s">
        <v>2797</v>
      </c>
      <c r="C2195" s="6" t="s">
        <v>2504</v>
      </c>
      <c r="D2195" s="6" t="s">
        <v>2505</v>
      </c>
      <c r="E2195" s="7" t="s">
        <v>572</v>
      </c>
    </row>
    <row r="2196" spans="1:5">
      <c r="A2196" s="4" t="s">
        <v>4550</v>
      </c>
      <c r="B2196" s="5" t="s">
        <v>4551</v>
      </c>
      <c r="C2196" s="6" t="s">
        <v>2504</v>
      </c>
      <c r="D2196" s="6" t="s">
        <v>2505</v>
      </c>
      <c r="E2196" s="7" t="s">
        <v>67</v>
      </c>
    </row>
    <row r="2197" spans="1:5">
      <c r="A2197" s="4" t="s">
        <v>2798</v>
      </c>
      <c r="B2197" s="5" t="s">
        <v>2799</v>
      </c>
      <c r="C2197" s="6" t="s">
        <v>2504</v>
      </c>
      <c r="D2197" s="6" t="s">
        <v>2505</v>
      </c>
      <c r="E2197" s="7" t="s">
        <v>572</v>
      </c>
    </row>
    <row r="2198" spans="1:5">
      <c r="A2198" s="4" t="s">
        <v>2800</v>
      </c>
      <c r="B2198" s="5" t="s">
        <v>2801</v>
      </c>
      <c r="C2198" s="6" t="s">
        <v>2504</v>
      </c>
      <c r="D2198" s="6" t="s">
        <v>2505</v>
      </c>
      <c r="E2198" s="7" t="s">
        <v>572</v>
      </c>
    </row>
    <row r="2199" spans="1:5">
      <c r="A2199" s="4" t="s">
        <v>2802</v>
      </c>
      <c r="B2199" s="5" t="s">
        <v>2803</v>
      </c>
      <c r="C2199" s="6" t="s">
        <v>2504</v>
      </c>
      <c r="D2199" s="6" t="s">
        <v>2505</v>
      </c>
      <c r="E2199" s="7" t="s">
        <v>572</v>
      </c>
    </row>
    <row r="2200" spans="1:5">
      <c r="A2200" s="4" t="s">
        <v>4556</v>
      </c>
      <c r="B2200" s="5" t="s">
        <v>4557</v>
      </c>
      <c r="C2200" s="6" t="s">
        <v>2504</v>
      </c>
      <c r="D2200" s="6" t="s">
        <v>2505</v>
      </c>
      <c r="E2200" s="7" t="s">
        <v>67</v>
      </c>
    </row>
    <row r="2201" spans="1:5">
      <c r="A2201" s="4" t="s">
        <v>2804</v>
      </c>
      <c r="B2201" s="5" t="s">
        <v>2805</v>
      </c>
      <c r="C2201" s="6" t="s">
        <v>2504</v>
      </c>
      <c r="D2201" s="6" t="s">
        <v>2505</v>
      </c>
      <c r="E2201" s="7" t="s">
        <v>572</v>
      </c>
    </row>
    <row r="2202" spans="1:5">
      <c r="A2202" s="4" t="s">
        <v>2806</v>
      </c>
      <c r="B2202" s="5" t="s">
        <v>2807</v>
      </c>
      <c r="C2202" s="6" t="s">
        <v>2504</v>
      </c>
      <c r="D2202" s="6" t="s">
        <v>2505</v>
      </c>
      <c r="E2202" s="7" t="s">
        <v>95</v>
      </c>
    </row>
    <row r="2203" spans="1:5">
      <c r="A2203" s="4" t="s">
        <v>2808</v>
      </c>
      <c r="B2203" s="5" t="s">
        <v>2809</v>
      </c>
      <c r="C2203" s="6" t="s">
        <v>2504</v>
      </c>
      <c r="D2203" s="6" t="s">
        <v>2505</v>
      </c>
      <c r="E2203" s="7" t="s">
        <v>95</v>
      </c>
    </row>
    <row r="2204" spans="1:5">
      <c r="A2204" s="4" t="s">
        <v>2810</v>
      </c>
      <c r="B2204" s="5" t="s">
        <v>2811</v>
      </c>
      <c r="C2204" s="6" t="s">
        <v>2504</v>
      </c>
      <c r="D2204" s="6" t="s">
        <v>2505</v>
      </c>
      <c r="E2204" s="7" t="s">
        <v>95</v>
      </c>
    </row>
    <row r="2205" spans="1:5">
      <c r="A2205" s="4" t="s">
        <v>2812</v>
      </c>
      <c r="B2205" s="5" t="s">
        <v>2813</v>
      </c>
      <c r="C2205" s="6" t="s">
        <v>2504</v>
      </c>
      <c r="D2205" s="6" t="s">
        <v>2505</v>
      </c>
      <c r="E2205" s="7" t="s">
        <v>572</v>
      </c>
    </row>
    <row r="2206" spans="1:5">
      <c r="A2206" s="4" t="s">
        <v>3622</v>
      </c>
      <c r="B2206" s="5" t="s">
        <v>4398</v>
      </c>
      <c r="C2206" s="6" t="s">
        <v>2504</v>
      </c>
      <c r="D2206" s="6" t="s">
        <v>2505</v>
      </c>
      <c r="E2206" s="7" t="s">
        <v>92</v>
      </c>
    </row>
    <row r="2207" spans="1:5">
      <c r="A2207" s="4" t="s">
        <v>2814</v>
      </c>
      <c r="B2207" s="5" t="s">
        <v>2815</v>
      </c>
      <c r="C2207" s="6" t="s">
        <v>2504</v>
      </c>
      <c r="D2207" s="6" t="s">
        <v>2505</v>
      </c>
      <c r="E2207" s="7" t="s">
        <v>572</v>
      </c>
    </row>
    <row r="2208" spans="1:5">
      <c r="A2208" s="4" t="s">
        <v>4558</v>
      </c>
      <c r="B2208" s="5" t="s">
        <v>4559</v>
      </c>
      <c r="C2208" s="6" t="s">
        <v>2504</v>
      </c>
      <c r="D2208" s="6" t="s">
        <v>2505</v>
      </c>
      <c r="E2208" s="7" t="s">
        <v>92</v>
      </c>
    </row>
    <row r="2209" spans="1:5">
      <c r="A2209" s="11" t="s">
        <v>2816</v>
      </c>
      <c r="B2209" s="5" t="s">
        <v>2817</v>
      </c>
      <c r="C2209" s="12" t="s">
        <v>2504</v>
      </c>
      <c r="D2209" s="12" t="s">
        <v>2505</v>
      </c>
      <c r="E2209" s="7" t="s">
        <v>572</v>
      </c>
    </row>
    <row r="2210" spans="1:5">
      <c r="A2210" s="4" t="s">
        <v>2818</v>
      </c>
      <c r="B2210" s="5" t="s">
        <v>2819</v>
      </c>
      <c r="C2210" s="6" t="s">
        <v>2504</v>
      </c>
      <c r="D2210" s="6" t="s">
        <v>2505</v>
      </c>
      <c r="E2210" s="7" t="s">
        <v>95</v>
      </c>
    </row>
    <row r="2211" spans="1:5">
      <c r="A2211" s="4" t="s">
        <v>2820</v>
      </c>
      <c r="B2211" s="5" t="s">
        <v>2821</v>
      </c>
      <c r="C2211" s="6" t="s">
        <v>2504</v>
      </c>
      <c r="D2211" s="6" t="s">
        <v>2505</v>
      </c>
      <c r="E2211" s="7" t="s">
        <v>67</v>
      </c>
    </row>
    <row r="2212" spans="1:5">
      <c r="A2212" s="4" t="s">
        <v>2822</v>
      </c>
      <c r="B2212" s="5" t="s">
        <v>2823</v>
      </c>
      <c r="C2212" s="6" t="s">
        <v>2504</v>
      </c>
      <c r="D2212" s="6" t="s">
        <v>2505</v>
      </c>
      <c r="E2212" s="7" t="s">
        <v>287</v>
      </c>
    </row>
    <row r="2213" spans="1:5">
      <c r="A2213" s="4" t="s">
        <v>2824</v>
      </c>
      <c r="B2213" s="5" t="s">
        <v>2825</v>
      </c>
      <c r="C2213" s="6" t="s">
        <v>2504</v>
      </c>
      <c r="D2213" s="6" t="s">
        <v>2505</v>
      </c>
      <c r="E2213" s="7" t="s">
        <v>67</v>
      </c>
    </row>
    <row r="2214" spans="1:5">
      <c r="A2214" s="4" t="s">
        <v>2826</v>
      </c>
      <c r="B2214" s="5" t="s">
        <v>2827</v>
      </c>
      <c r="C2214" s="6" t="s">
        <v>2504</v>
      </c>
      <c r="D2214" s="6" t="s">
        <v>2505</v>
      </c>
      <c r="E2214" s="7" t="s">
        <v>287</v>
      </c>
    </row>
    <row r="2215" spans="1:5">
      <c r="A2215" s="4" t="s">
        <v>2828</v>
      </c>
      <c r="B2215" s="5" t="s">
        <v>2829</v>
      </c>
      <c r="C2215" s="6" t="s">
        <v>2504</v>
      </c>
      <c r="D2215" s="6" t="s">
        <v>2505</v>
      </c>
      <c r="E2215" s="7" t="s">
        <v>89</v>
      </c>
    </row>
    <row r="2216" spans="1:5">
      <c r="A2216" s="4" t="s">
        <v>2830</v>
      </c>
      <c r="B2216" s="5" t="s">
        <v>2831</v>
      </c>
      <c r="C2216" s="6" t="s">
        <v>2504</v>
      </c>
      <c r="D2216" s="6" t="s">
        <v>2505</v>
      </c>
      <c r="E2216" s="7" t="s">
        <v>287</v>
      </c>
    </row>
    <row r="2217" spans="1:5">
      <c r="A2217" s="74" t="s">
        <v>4631</v>
      </c>
      <c r="B2217" s="108" t="s">
        <v>2831</v>
      </c>
      <c r="C2217" s="6" t="s">
        <v>2504</v>
      </c>
      <c r="D2217" s="6" t="s">
        <v>2505</v>
      </c>
      <c r="E2217" s="7" t="s">
        <v>89</v>
      </c>
    </row>
    <row r="2218" spans="1:5">
      <c r="A2218" s="4" t="s">
        <v>2832</v>
      </c>
      <c r="B2218" s="5" t="s">
        <v>2833</v>
      </c>
      <c r="C2218" s="6" t="s">
        <v>2504</v>
      </c>
      <c r="D2218" s="6" t="s">
        <v>2505</v>
      </c>
      <c r="E2218" s="7" t="s">
        <v>64</v>
      </c>
    </row>
  </sheetData>
  <sortState ref="A2:F1458">
    <sortCondition ref="C2:C1458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"/>
  <dimension ref="B1:L410"/>
  <sheetViews>
    <sheetView topLeftCell="A68" zoomScale="90" zoomScaleNormal="90" workbookViewId="0">
      <selection activeCell="E93" sqref="E93"/>
    </sheetView>
  </sheetViews>
  <sheetFormatPr baseColWidth="10" defaultRowHeight="15"/>
  <cols>
    <col min="2" max="2" width="14.28515625" style="262" customWidth="1"/>
    <col min="3" max="3" width="7.85546875" style="263" bestFit="1" customWidth="1"/>
    <col min="4" max="4" width="11.7109375" style="264" customWidth="1"/>
    <col min="5" max="5" width="38.85546875" style="265" bestFit="1" customWidth="1"/>
    <col min="6" max="6" width="14.28515625" style="267" bestFit="1" customWidth="1"/>
    <col min="7" max="7" width="9" style="262" bestFit="1" customWidth="1"/>
    <col min="8" max="8" width="10.140625" style="262" bestFit="1" customWidth="1"/>
    <col min="9" max="9" width="10.28515625" style="265" bestFit="1" customWidth="1"/>
    <col min="10" max="10" width="40" style="265" customWidth="1"/>
    <col min="11" max="11" width="7.140625" style="107" bestFit="1" customWidth="1"/>
    <col min="12" max="12" width="14.7109375" style="107" bestFit="1" customWidth="1"/>
  </cols>
  <sheetData>
    <row r="1" spans="2:12" ht="15.75" thickBot="1">
      <c r="B1" s="221"/>
      <c r="C1" s="221"/>
      <c r="D1" s="222"/>
      <c r="E1" s="222"/>
      <c r="F1" s="223"/>
      <c r="G1" s="221"/>
      <c r="H1" s="221"/>
      <c r="I1" s="222"/>
      <c r="J1" s="222"/>
      <c r="K1" s="24"/>
      <c r="L1" s="24"/>
    </row>
    <row r="2" spans="2:12" ht="36.75" thickBot="1">
      <c r="B2" s="146" t="s">
        <v>2840</v>
      </c>
      <c r="C2" s="137" t="s">
        <v>0</v>
      </c>
      <c r="D2" s="270" t="s">
        <v>2</v>
      </c>
      <c r="E2" s="137" t="s">
        <v>3</v>
      </c>
      <c r="F2" s="154" t="s">
        <v>4</v>
      </c>
      <c r="G2" s="1" t="s">
        <v>4651</v>
      </c>
      <c r="H2" s="1" t="s">
        <v>4652</v>
      </c>
      <c r="I2" s="1" t="s">
        <v>6</v>
      </c>
      <c r="J2" s="1" t="s">
        <v>5</v>
      </c>
      <c r="K2" s="137" t="s">
        <v>1</v>
      </c>
      <c r="L2" s="1" t="s">
        <v>7</v>
      </c>
    </row>
    <row r="3" spans="2:12" ht="15.75" thickBot="1">
      <c r="B3" s="1811" t="s">
        <v>16</v>
      </c>
      <c r="C3" s="1804"/>
      <c r="D3" s="1812"/>
      <c r="E3" s="224"/>
      <c r="F3" s="225"/>
      <c r="G3" s="226"/>
      <c r="H3" s="226"/>
      <c r="I3" s="126"/>
      <c r="J3" s="126"/>
      <c r="K3" s="138"/>
      <c r="L3" s="138"/>
    </row>
    <row r="4" spans="2:12" ht="15.75" thickBot="1">
      <c r="B4" s="227" t="s">
        <v>2846</v>
      </c>
      <c r="C4" s="228">
        <v>1</v>
      </c>
      <c r="D4" s="229"/>
      <c r="E4" s="86" t="s">
        <v>4653</v>
      </c>
      <c r="F4" s="230">
        <v>44537</v>
      </c>
      <c r="G4" s="155">
        <f>IF(F4&lt;&gt;"",'CONCEPTOS Y PARAMETROS'!$M$2-YEAR(F4),"")</f>
        <v>4</v>
      </c>
      <c r="H4" s="155">
        <v>0</v>
      </c>
      <c r="I4" s="156" t="str">
        <f>IFERROR(VLOOKUP(J4,CARGOS!A:F,2,0),"")</f>
        <v>90008</v>
      </c>
      <c r="J4" s="86" t="s">
        <v>3636</v>
      </c>
      <c r="K4" s="139" t="s">
        <v>2839</v>
      </c>
      <c r="L4" s="231">
        <v>409</v>
      </c>
    </row>
    <row r="5" spans="2:12" ht="15.75" thickBot="1">
      <c r="B5" s="227" t="s">
        <v>2846</v>
      </c>
      <c r="C5" s="148">
        <f t="shared" ref="C5:C11" ca="1" si="0">OFFSET(C5,-1,0)+1</f>
        <v>2</v>
      </c>
      <c r="D5" s="232"/>
      <c r="E5" s="86" t="s">
        <v>4653</v>
      </c>
      <c r="F5" s="233">
        <v>44539</v>
      </c>
      <c r="G5" s="155">
        <f>IF(F5&lt;&gt;"",'CONCEPTOS Y PARAMETROS'!$M$2-YEAR(F5),"")</f>
        <v>4</v>
      </c>
      <c r="H5" s="157">
        <v>19</v>
      </c>
      <c r="I5" s="156" t="str">
        <f>IFERROR(VLOOKUP(J5,CARGOS!A:F,2,0),"")</f>
        <v>00906</v>
      </c>
      <c r="J5" s="87" t="s">
        <v>1582</v>
      </c>
      <c r="K5" s="140" t="s">
        <v>2836</v>
      </c>
      <c r="L5" s="234">
        <v>363</v>
      </c>
    </row>
    <row r="6" spans="2:12" ht="15.75" thickBot="1">
      <c r="B6" s="227" t="s">
        <v>2846</v>
      </c>
      <c r="C6" s="148">
        <f t="shared" ca="1" si="0"/>
        <v>3</v>
      </c>
      <c r="D6" s="232"/>
      <c r="E6" s="86" t="s">
        <v>4653</v>
      </c>
      <c r="F6" s="233">
        <v>44545</v>
      </c>
      <c r="G6" s="155">
        <f>IF(F6&lt;&gt;"",'CONCEPTOS Y PARAMETROS'!$M$2-YEAR(F6),"")</f>
        <v>4</v>
      </c>
      <c r="H6" s="157">
        <v>14</v>
      </c>
      <c r="I6" s="156" t="str">
        <f>IFERROR(VLOOKUP(J6,CARGOS!A:F,2,0),"")</f>
        <v>00906</v>
      </c>
      <c r="J6" s="87" t="s">
        <v>1582</v>
      </c>
      <c r="K6" s="140" t="s">
        <v>2836</v>
      </c>
      <c r="L6" s="234">
        <v>363</v>
      </c>
    </row>
    <row r="7" spans="2:12" ht="15.75" thickBot="1">
      <c r="B7" s="227" t="s">
        <v>2846</v>
      </c>
      <c r="C7" s="148">
        <f t="shared" ca="1" si="0"/>
        <v>4</v>
      </c>
      <c r="D7" s="232"/>
      <c r="E7" s="86" t="s">
        <v>4653</v>
      </c>
      <c r="F7" s="233">
        <v>41471</v>
      </c>
      <c r="G7" s="155">
        <f>IF(F7&lt;&gt;"",'CONCEPTOS Y PARAMETROS'!$M$2-YEAR(F7),"")</f>
        <v>12</v>
      </c>
      <c r="H7" s="157">
        <v>10</v>
      </c>
      <c r="I7" s="156" t="str">
        <f>IFERROR(VLOOKUP(J7,CARGOS!A:F,2,0),"")</f>
        <v>00906</v>
      </c>
      <c r="J7" s="87" t="s">
        <v>1582</v>
      </c>
      <c r="K7" s="140" t="s">
        <v>2836</v>
      </c>
      <c r="L7" s="234">
        <v>363</v>
      </c>
    </row>
    <row r="8" spans="2:12" ht="15.75" thickBot="1">
      <c r="B8" s="227" t="s">
        <v>2846</v>
      </c>
      <c r="C8" s="148">
        <f t="shared" ca="1" si="0"/>
        <v>5</v>
      </c>
      <c r="D8" s="232"/>
      <c r="E8" s="86" t="s">
        <v>4653</v>
      </c>
      <c r="F8" s="233">
        <v>41334</v>
      </c>
      <c r="G8" s="155">
        <f>IF(F8&lt;&gt;"",'CONCEPTOS Y PARAMETROS'!$M$2-YEAR(F8),"")</f>
        <v>12</v>
      </c>
      <c r="H8" s="157">
        <v>13</v>
      </c>
      <c r="I8" s="156" t="str">
        <f>IFERROR(VLOOKUP(J8,CARGOS!A:F,2,0),"")</f>
        <v>00906</v>
      </c>
      <c r="J8" s="87" t="s">
        <v>1582</v>
      </c>
      <c r="K8" s="140" t="s">
        <v>2836</v>
      </c>
      <c r="L8" s="234">
        <v>363</v>
      </c>
    </row>
    <row r="9" spans="2:12" ht="15.75" thickBot="1">
      <c r="B9" s="227" t="s">
        <v>2846</v>
      </c>
      <c r="C9" s="148">
        <f t="shared" ca="1" si="0"/>
        <v>6</v>
      </c>
      <c r="D9" s="232"/>
      <c r="E9" s="86" t="s">
        <v>4653</v>
      </c>
      <c r="F9" s="233">
        <v>39874</v>
      </c>
      <c r="G9" s="155">
        <f>IF(F9&lt;&gt;"",'CONCEPTOS Y PARAMETROS'!$M$2-YEAR(F9),"")</f>
        <v>16</v>
      </c>
      <c r="H9" s="157">
        <v>4</v>
      </c>
      <c r="I9" s="156" t="str">
        <f>IFERROR(VLOOKUP(J9,CARGOS!A:F,2,0),"")</f>
        <v>00906</v>
      </c>
      <c r="J9" s="87" t="s">
        <v>1582</v>
      </c>
      <c r="K9" s="140" t="s">
        <v>2836</v>
      </c>
      <c r="L9" s="234">
        <v>363</v>
      </c>
    </row>
    <row r="10" spans="2:12" ht="15.75" thickBot="1">
      <c r="B10" s="227" t="s">
        <v>2846</v>
      </c>
      <c r="C10" s="148">
        <f t="shared" ca="1" si="0"/>
        <v>7</v>
      </c>
      <c r="D10" s="232"/>
      <c r="E10" s="86" t="s">
        <v>4653</v>
      </c>
      <c r="F10" s="233">
        <v>37622</v>
      </c>
      <c r="G10" s="155">
        <f>IF(F10&lt;&gt;"",'CONCEPTOS Y PARAMETROS'!$M$2-YEAR(F10),"")</f>
        <v>22</v>
      </c>
      <c r="H10" s="157">
        <v>0</v>
      </c>
      <c r="I10" s="156" t="str">
        <f>IFERROR(VLOOKUP(J10,CARGOS!A:F,2,0),"")</f>
        <v>00905</v>
      </c>
      <c r="J10" s="87" t="s">
        <v>1584</v>
      </c>
      <c r="K10" s="140" t="s">
        <v>2836</v>
      </c>
      <c r="L10" s="234">
        <v>363</v>
      </c>
    </row>
    <row r="11" spans="2:12" ht="15.75" thickBot="1">
      <c r="B11" s="227" t="s">
        <v>2846</v>
      </c>
      <c r="C11" s="148">
        <f t="shared" ca="1" si="0"/>
        <v>8</v>
      </c>
      <c r="D11" s="232"/>
      <c r="E11" s="86" t="s">
        <v>4653</v>
      </c>
      <c r="F11" s="233">
        <v>37662</v>
      </c>
      <c r="G11" s="155">
        <f>IF(F11&lt;&gt;"",'CONCEPTOS Y PARAMETROS'!$M$2-YEAR(F11),"")</f>
        <v>22</v>
      </c>
      <c r="H11" s="157">
        <v>0</v>
      </c>
      <c r="I11" s="156" t="str">
        <f>IFERROR(VLOOKUP(J11,CARGOS!A:F,2,0),"")</f>
        <v>00905</v>
      </c>
      <c r="J11" s="87" t="s">
        <v>1584</v>
      </c>
      <c r="K11" s="140" t="s">
        <v>2836</v>
      </c>
      <c r="L11" s="234">
        <v>363</v>
      </c>
    </row>
    <row r="12" spans="2:12" ht="15.75" thickBot="1">
      <c r="B12" s="227" t="s">
        <v>2846</v>
      </c>
      <c r="C12" s="148">
        <f ca="1">OFFSET(C12,-1,0)+1</f>
        <v>9</v>
      </c>
      <c r="D12" s="232"/>
      <c r="E12" s="86" t="s">
        <v>4653</v>
      </c>
      <c r="F12" s="233">
        <v>44409</v>
      </c>
      <c r="G12" s="155">
        <f>IF(F12&lt;&gt;"",'CONCEPTOS Y PARAMETROS'!$M$2-YEAR(F12),"")</f>
        <v>4</v>
      </c>
      <c r="H12" s="157">
        <v>0</v>
      </c>
      <c r="I12" s="156" t="str">
        <f>IFERROR(VLOOKUP(J12,CARGOS!A:F,2,0),"")</f>
        <v>65001</v>
      </c>
      <c r="J12" s="87" t="s">
        <v>3618</v>
      </c>
      <c r="K12" s="140" t="s">
        <v>2835</v>
      </c>
      <c r="L12" s="234">
        <v>348</v>
      </c>
    </row>
    <row r="13" spans="2:12" ht="15.75" thickBot="1">
      <c r="B13" s="227" t="s">
        <v>2846</v>
      </c>
      <c r="C13" s="148">
        <f t="shared" ref="C13:C33" ca="1" si="1">OFFSET(C13,-1,0)+1</f>
        <v>10</v>
      </c>
      <c r="D13" s="87"/>
      <c r="E13" s="86" t="s">
        <v>4653</v>
      </c>
      <c r="F13" s="235">
        <v>39454</v>
      </c>
      <c r="G13" s="155">
        <f>IF(F13&lt;&gt;"",'CONCEPTOS Y PARAMETROS'!$M$2-YEAR(F13),"")</f>
        <v>17</v>
      </c>
      <c r="H13" s="157">
        <v>6</v>
      </c>
      <c r="I13" s="156" t="str">
        <f>IFERROR(VLOOKUP(J13,CARGOS!A:F,2,0),"")</f>
        <v>65001</v>
      </c>
      <c r="J13" s="87" t="s">
        <v>3618</v>
      </c>
      <c r="K13" s="140" t="s">
        <v>2835</v>
      </c>
      <c r="L13" s="234">
        <v>348</v>
      </c>
    </row>
    <row r="14" spans="2:12" ht="15.75" thickBot="1">
      <c r="B14" s="227" t="s">
        <v>2846</v>
      </c>
      <c r="C14" s="148">
        <f t="shared" ca="1" si="1"/>
        <v>11</v>
      </c>
      <c r="D14" s="87"/>
      <c r="E14" s="86" t="s">
        <v>4653</v>
      </c>
      <c r="F14" s="233">
        <v>43738</v>
      </c>
      <c r="G14" s="155">
        <f>IF(F14&lt;&gt;"",'CONCEPTOS Y PARAMETROS'!$M$2-YEAR(F14),"")</f>
        <v>6</v>
      </c>
      <c r="H14" s="157">
        <v>0</v>
      </c>
      <c r="I14" s="156" t="str">
        <f>IFERROR(VLOOKUP(J14,CARGOS!A:F,2,0),"")</f>
        <v>65001</v>
      </c>
      <c r="J14" s="87" t="s">
        <v>3618</v>
      </c>
      <c r="K14" s="140" t="s">
        <v>2835</v>
      </c>
      <c r="L14" s="234">
        <v>348</v>
      </c>
    </row>
    <row r="15" spans="2:12" ht="15.75" thickBot="1">
      <c r="B15" s="227" t="s">
        <v>2846</v>
      </c>
      <c r="C15" s="148">
        <f t="shared" ca="1" si="1"/>
        <v>12</v>
      </c>
      <c r="D15" s="87"/>
      <c r="E15" s="86" t="s">
        <v>4653</v>
      </c>
      <c r="F15" s="233">
        <v>39679</v>
      </c>
      <c r="G15" s="155">
        <f>IF(F15&lt;&gt;"",'CONCEPTOS Y PARAMETROS'!$M$2-YEAR(F15),"")</f>
        <v>17</v>
      </c>
      <c r="H15" s="157">
        <v>0</v>
      </c>
      <c r="I15" s="156" t="str">
        <f>IFERROR(VLOOKUP(J15,CARGOS!A:F,2,0),"")</f>
        <v>65001</v>
      </c>
      <c r="J15" s="87" t="s">
        <v>3618</v>
      </c>
      <c r="K15" s="140" t="s">
        <v>2835</v>
      </c>
      <c r="L15" s="234">
        <v>348</v>
      </c>
    </row>
    <row r="16" spans="2:12" ht="15.75" thickBot="1">
      <c r="B16" s="227" t="s">
        <v>2846</v>
      </c>
      <c r="C16" s="148">
        <f t="shared" ca="1" si="1"/>
        <v>13</v>
      </c>
      <c r="D16" s="87"/>
      <c r="E16" s="86" t="s">
        <v>4653</v>
      </c>
      <c r="F16" s="233">
        <v>36434</v>
      </c>
      <c r="G16" s="155">
        <f>IF(F16&lt;&gt;"",'CONCEPTOS Y PARAMETROS'!$M$2-YEAR(F16),"")</f>
        <v>26</v>
      </c>
      <c r="H16" s="157">
        <v>0</v>
      </c>
      <c r="I16" s="156" t="str">
        <f>IFERROR(VLOOKUP(J16,CARGOS!A:F,2,0),"")</f>
        <v>65001</v>
      </c>
      <c r="J16" s="87" t="s">
        <v>3618</v>
      </c>
      <c r="K16" s="140" t="s">
        <v>2835</v>
      </c>
      <c r="L16" s="234">
        <v>348</v>
      </c>
    </row>
    <row r="17" spans="2:12" ht="15.75" thickBot="1">
      <c r="B17" s="227" t="s">
        <v>2846</v>
      </c>
      <c r="C17" s="148">
        <f t="shared" ca="1" si="1"/>
        <v>14</v>
      </c>
      <c r="D17" s="87"/>
      <c r="E17" s="86" t="s">
        <v>4653</v>
      </c>
      <c r="F17" s="233">
        <v>41548</v>
      </c>
      <c r="G17" s="155">
        <f>IF(F17&lt;&gt;"",'CONCEPTOS Y PARAMETROS'!$M$2-YEAR(F17),"")</f>
        <v>12</v>
      </c>
      <c r="H17" s="157">
        <v>0</v>
      </c>
      <c r="I17" s="156" t="str">
        <f>IFERROR(VLOOKUP(J17,CARGOS!A:F,2,0),"")</f>
        <v>65001</v>
      </c>
      <c r="J17" s="87" t="s">
        <v>3618</v>
      </c>
      <c r="K17" s="140" t="s">
        <v>2835</v>
      </c>
      <c r="L17" s="234">
        <v>348</v>
      </c>
    </row>
    <row r="18" spans="2:12" ht="15.75" thickBot="1">
      <c r="B18" s="227" t="s">
        <v>2846</v>
      </c>
      <c r="C18" s="148">
        <f t="shared" ca="1" si="1"/>
        <v>15</v>
      </c>
      <c r="D18" s="232"/>
      <c r="E18" s="87" t="s">
        <v>4653</v>
      </c>
      <c r="F18" s="233">
        <v>44927</v>
      </c>
      <c r="G18" s="155">
        <f>IF(F18&lt;&gt;"",'CONCEPTOS Y PARAMETROS'!$M$2-YEAR(F18),"")</f>
        <v>2</v>
      </c>
      <c r="H18" s="157">
        <v>0</v>
      </c>
      <c r="I18" s="156" t="str">
        <f>IFERROR(VLOOKUP(J18,CARGOS!A:F,2,0),"")</f>
        <v>65001</v>
      </c>
      <c r="J18" s="87" t="s">
        <v>3618</v>
      </c>
      <c r="K18" s="140" t="s">
        <v>2835</v>
      </c>
      <c r="L18" s="234">
        <v>348</v>
      </c>
    </row>
    <row r="19" spans="2:12" ht="15.75" thickBot="1">
      <c r="B19" s="227" t="s">
        <v>2846</v>
      </c>
      <c r="C19" s="148">
        <f t="shared" ca="1" si="1"/>
        <v>16</v>
      </c>
      <c r="D19" s="232">
        <v>11895772</v>
      </c>
      <c r="E19" s="87" t="s">
        <v>4677</v>
      </c>
      <c r="F19" s="233">
        <v>44743</v>
      </c>
      <c r="G19" s="155">
        <f>IF(F19&lt;&gt;"",'CONCEPTOS Y PARAMETROS'!$M$2-YEAR(F19),"")</f>
        <v>3</v>
      </c>
      <c r="H19" s="157">
        <v>0</v>
      </c>
      <c r="I19" s="156" t="str">
        <f>IFERROR(VLOOKUP(J19,CARGOS!A:F,2,0),"")</f>
        <v>65001</v>
      </c>
      <c r="J19" s="87" t="s">
        <v>3618</v>
      </c>
      <c r="K19" s="140" t="s">
        <v>2835</v>
      </c>
      <c r="L19" s="234">
        <v>348</v>
      </c>
    </row>
    <row r="20" spans="2:12" ht="15.75" thickBot="1">
      <c r="B20" s="227" t="s">
        <v>2846</v>
      </c>
      <c r="C20" s="148">
        <f t="shared" ca="1" si="1"/>
        <v>17</v>
      </c>
      <c r="D20" s="232">
        <v>5348397</v>
      </c>
      <c r="E20" s="87" t="s">
        <v>4678</v>
      </c>
      <c r="F20" s="233">
        <v>43359</v>
      </c>
      <c r="G20" s="155">
        <f>IF(F20&lt;&gt;"",'CONCEPTOS Y PARAMETROS'!$M$2-YEAR(F20),"")</f>
        <v>7</v>
      </c>
      <c r="H20" s="157">
        <v>0</v>
      </c>
      <c r="I20" s="156" t="str">
        <f>IFERROR(VLOOKUP(J20,CARGOS!A:F,2,0),"")</f>
        <v>65001</v>
      </c>
      <c r="J20" s="87" t="s">
        <v>3618</v>
      </c>
      <c r="K20" s="140" t="s">
        <v>2835</v>
      </c>
      <c r="L20" s="234">
        <v>348</v>
      </c>
    </row>
    <row r="21" spans="2:12" ht="15.75" thickBot="1">
      <c r="B21" s="227" t="s">
        <v>2846</v>
      </c>
      <c r="C21" s="148">
        <f t="shared" ca="1" si="1"/>
        <v>18</v>
      </c>
      <c r="D21" s="232">
        <v>9314132</v>
      </c>
      <c r="E21" s="87" t="s">
        <v>4679</v>
      </c>
      <c r="F21" s="233">
        <v>44348</v>
      </c>
      <c r="G21" s="155">
        <f>IF(F21&lt;&gt;"",'CONCEPTOS Y PARAMETROS'!$M$2-YEAR(F21),"")</f>
        <v>4</v>
      </c>
      <c r="H21" s="157">
        <v>0</v>
      </c>
      <c r="I21" s="156" t="str">
        <f>IFERROR(VLOOKUP(J21,CARGOS!A:F,2,0),"")</f>
        <v>65001</v>
      </c>
      <c r="J21" s="87" t="s">
        <v>3618</v>
      </c>
      <c r="K21" s="140" t="s">
        <v>2835</v>
      </c>
      <c r="L21" s="234">
        <v>348</v>
      </c>
    </row>
    <row r="22" spans="2:12" ht="15.75" thickBot="1">
      <c r="B22" s="227" t="s">
        <v>2846</v>
      </c>
      <c r="C22" s="148">
        <f t="shared" ca="1" si="1"/>
        <v>19</v>
      </c>
      <c r="D22" s="232">
        <v>18096996</v>
      </c>
      <c r="E22" s="87" t="s">
        <v>4680</v>
      </c>
      <c r="F22" s="233">
        <v>44743</v>
      </c>
      <c r="G22" s="155">
        <f>IF(F22&lt;&gt;"",'CONCEPTOS Y PARAMETROS'!$M$2-YEAR(F22),"")</f>
        <v>3</v>
      </c>
      <c r="H22" s="157">
        <v>0</v>
      </c>
      <c r="I22" s="156" t="str">
        <f>IFERROR(VLOOKUP(J22,CARGOS!A:F,2,0),"")</f>
        <v>65001</v>
      </c>
      <c r="J22" s="87" t="s">
        <v>3618</v>
      </c>
      <c r="K22" s="140" t="s">
        <v>2835</v>
      </c>
      <c r="L22" s="234">
        <v>348</v>
      </c>
    </row>
    <row r="23" spans="2:12" ht="15.75" thickBot="1">
      <c r="B23" s="227" t="s">
        <v>2846</v>
      </c>
      <c r="C23" s="148">
        <f t="shared" ca="1" si="1"/>
        <v>20</v>
      </c>
      <c r="D23" s="232"/>
      <c r="E23" s="87" t="s">
        <v>4653</v>
      </c>
      <c r="F23" s="233">
        <v>36039</v>
      </c>
      <c r="G23" s="155">
        <f>IF(F23&lt;&gt;"",'CONCEPTOS Y PARAMETROS'!$M$2-YEAR(F23),"")</f>
        <v>27</v>
      </c>
      <c r="H23" s="157">
        <v>0</v>
      </c>
      <c r="I23" s="156" t="str">
        <f>IFERROR(VLOOKUP(J23,CARGOS!A:F,2,0),"")</f>
        <v>65001</v>
      </c>
      <c r="J23" s="87" t="s">
        <v>3618</v>
      </c>
      <c r="K23" s="140" t="s">
        <v>2835</v>
      </c>
      <c r="L23" s="234">
        <v>348</v>
      </c>
    </row>
    <row r="24" spans="2:12" ht="15.75" thickBot="1">
      <c r="B24" s="227" t="s">
        <v>2846</v>
      </c>
      <c r="C24" s="148">
        <f t="shared" ca="1" si="1"/>
        <v>21</v>
      </c>
      <c r="D24" s="232"/>
      <c r="E24" s="87" t="s">
        <v>4653</v>
      </c>
      <c r="F24" s="233">
        <v>39692</v>
      </c>
      <c r="G24" s="155">
        <f>IF(F24&lt;&gt;"",'CONCEPTOS Y PARAMETROS'!$M$2-YEAR(F24),"")</f>
        <v>17</v>
      </c>
      <c r="H24" s="157">
        <v>0</v>
      </c>
      <c r="I24" s="156" t="str">
        <f>IFERROR(VLOOKUP(J24,CARGOS!A:F,2,0),"")</f>
        <v>65001</v>
      </c>
      <c r="J24" s="87" t="s">
        <v>3618</v>
      </c>
      <c r="K24" s="140" t="s">
        <v>2835</v>
      </c>
      <c r="L24" s="234">
        <v>348</v>
      </c>
    </row>
    <row r="25" spans="2:12" ht="15.75" thickBot="1">
      <c r="B25" s="227" t="s">
        <v>2846</v>
      </c>
      <c r="C25" s="148">
        <f t="shared" ca="1" si="1"/>
        <v>22</v>
      </c>
      <c r="D25" s="232"/>
      <c r="E25" s="87" t="s">
        <v>4653</v>
      </c>
      <c r="F25" s="233">
        <v>43024</v>
      </c>
      <c r="G25" s="155">
        <f>IF(F25&lt;&gt;"",'CONCEPTOS Y PARAMETROS'!$M$2-YEAR(F25),"")</f>
        <v>8</v>
      </c>
      <c r="H25" s="157">
        <v>0</v>
      </c>
      <c r="I25" s="156" t="str">
        <f>IFERROR(VLOOKUP(J25,CARGOS!A:F,2,0),"")</f>
        <v>65001</v>
      </c>
      <c r="J25" s="87" t="s">
        <v>3618</v>
      </c>
      <c r="K25" s="140" t="s">
        <v>2835</v>
      </c>
      <c r="L25" s="234">
        <v>348</v>
      </c>
    </row>
    <row r="26" spans="2:12" ht="15.75" thickBot="1">
      <c r="B26" s="227" t="s">
        <v>2846</v>
      </c>
      <c r="C26" s="148">
        <f t="shared" ca="1" si="1"/>
        <v>23</v>
      </c>
      <c r="D26" s="232">
        <v>4306476</v>
      </c>
      <c r="E26" s="87" t="s">
        <v>4683</v>
      </c>
      <c r="F26" s="233">
        <v>44409</v>
      </c>
      <c r="G26" s="155">
        <f>IF(F26&lt;&gt;"",'CONCEPTOS Y PARAMETROS'!$M$2-YEAR(F26),"")</f>
        <v>4</v>
      </c>
      <c r="H26" s="157">
        <v>9</v>
      </c>
      <c r="I26" s="156" t="str">
        <f>IFERROR(VLOOKUP(J26,CARGOS!A:F,2,0),"")</f>
        <v>65001</v>
      </c>
      <c r="J26" s="87" t="s">
        <v>3618</v>
      </c>
      <c r="K26" s="140" t="s">
        <v>2835</v>
      </c>
      <c r="L26" s="234">
        <v>348</v>
      </c>
    </row>
    <row r="27" spans="2:12" ht="15.75" thickBot="1">
      <c r="B27" s="227" t="s">
        <v>2846</v>
      </c>
      <c r="C27" s="148">
        <f t="shared" ca="1" si="1"/>
        <v>24</v>
      </c>
      <c r="D27" s="232"/>
      <c r="E27" s="87" t="s">
        <v>4653</v>
      </c>
      <c r="F27" s="233">
        <v>38930</v>
      </c>
      <c r="G27" s="155">
        <f>IF(F27&lt;&gt;"",'CONCEPTOS Y PARAMETROS'!$M$2-YEAR(F27),"")</f>
        <v>19</v>
      </c>
      <c r="H27" s="157">
        <v>1</v>
      </c>
      <c r="I27" s="156" t="str">
        <f>IFERROR(VLOOKUP(J27,CARGOS!A:F,2,0),"")</f>
        <v>65001</v>
      </c>
      <c r="J27" s="87" t="s">
        <v>3618</v>
      </c>
      <c r="K27" s="140" t="s">
        <v>2835</v>
      </c>
      <c r="L27" s="234">
        <v>348</v>
      </c>
    </row>
    <row r="28" spans="2:12" ht="15.75" thickBot="1">
      <c r="B28" s="227" t="s">
        <v>2846</v>
      </c>
      <c r="C28" s="148">
        <f t="shared" ca="1" si="1"/>
        <v>25</v>
      </c>
      <c r="D28" s="232">
        <v>13568733</v>
      </c>
      <c r="E28" s="87" t="s">
        <v>4685</v>
      </c>
      <c r="F28" s="233">
        <v>44805</v>
      </c>
      <c r="G28" s="155">
        <f>IF(F28&lt;&gt;"",'CONCEPTOS Y PARAMETROS'!$M$2-YEAR(F28),"")</f>
        <v>3</v>
      </c>
      <c r="H28" s="157">
        <v>0</v>
      </c>
      <c r="I28" s="156" t="str">
        <f>IFERROR(VLOOKUP(J28,CARGOS!A:F,2,0),"")</f>
        <v>65001</v>
      </c>
      <c r="J28" s="87" t="s">
        <v>3618</v>
      </c>
      <c r="K28" s="140" t="s">
        <v>2835</v>
      </c>
      <c r="L28" s="234">
        <v>348</v>
      </c>
    </row>
    <row r="29" spans="2:12" ht="15.75" thickBot="1">
      <c r="B29" s="227" t="s">
        <v>2846</v>
      </c>
      <c r="C29" s="148">
        <f t="shared" ca="1" si="1"/>
        <v>26</v>
      </c>
      <c r="D29" s="232"/>
      <c r="E29" s="87" t="s">
        <v>4653</v>
      </c>
      <c r="F29" s="233">
        <v>43967</v>
      </c>
      <c r="G29" s="155">
        <f>IF(F29&lt;&gt;"",'CONCEPTOS Y PARAMETROS'!$M$2-YEAR(F29),"")</f>
        <v>5</v>
      </c>
      <c r="H29" s="157">
        <v>0</v>
      </c>
      <c r="I29" s="156" t="str">
        <f>IFERROR(VLOOKUP(J29,CARGOS!A:F,2,0),"")</f>
        <v>65001</v>
      </c>
      <c r="J29" s="87" t="s">
        <v>3618</v>
      </c>
      <c r="K29" s="140" t="s">
        <v>2835</v>
      </c>
      <c r="L29" s="234">
        <v>348</v>
      </c>
    </row>
    <row r="30" spans="2:12" ht="15.75" thickBot="1">
      <c r="B30" s="227" t="s">
        <v>2846</v>
      </c>
      <c r="C30" s="148">
        <f t="shared" ca="1" si="1"/>
        <v>27</v>
      </c>
      <c r="D30" s="232">
        <v>12781930</v>
      </c>
      <c r="E30" s="87" t="s">
        <v>4687</v>
      </c>
      <c r="F30" s="233">
        <v>44652</v>
      </c>
      <c r="G30" s="155">
        <f>IF(F30&lt;&gt;"",'CONCEPTOS Y PARAMETROS'!$M$2-YEAR(F30),"")</f>
        <v>3</v>
      </c>
      <c r="H30" s="157">
        <v>0</v>
      </c>
      <c r="I30" s="156" t="str">
        <f>IFERROR(VLOOKUP(J30,CARGOS!A:F,2,0),"")</f>
        <v>65001</v>
      </c>
      <c r="J30" s="87" t="s">
        <v>3618</v>
      </c>
      <c r="K30" s="140" t="s">
        <v>2835</v>
      </c>
      <c r="L30" s="234">
        <v>348</v>
      </c>
    </row>
    <row r="31" spans="2:12" ht="15.75" thickBot="1">
      <c r="B31" s="227" t="s">
        <v>2846</v>
      </c>
      <c r="C31" s="148">
        <f t="shared" ca="1" si="1"/>
        <v>28</v>
      </c>
      <c r="D31" s="232"/>
      <c r="E31" s="87" t="s">
        <v>4653</v>
      </c>
      <c r="F31" s="233">
        <v>42416</v>
      </c>
      <c r="G31" s="155">
        <f>IF(F31&lt;&gt;"",'CONCEPTOS Y PARAMETROS'!$M$2-YEAR(F31),"")</f>
        <v>9</v>
      </c>
      <c r="H31" s="157">
        <v>0</v>
      </c>
      <c r="I31" s="156" t="str">
        <f>IFERROR(VLOOKUP(J31,CARGOS!A:F,2,0),"")</f>
        <v>65001</v>
      </c>
      <c r="J31" s="87" t="s">
        <v>3618</v>
      </c>
      <c r="K31" s="140" t="s">
        <v>2835</v>
      </c>
      <c r="L31" s="234">
        <v>348</v>
      </c>
    </row>
    <row r="32" spans="2:12" ht="15.75" thickBot="1">
      <c r="B32" s="227" t="s">
        <v>2846</v>
      </c>
      <c r="C32" s="148">
        <f t="shared" ca="1" si="1"/>
        <v>29</v>
      </c>
      <c r="D32" s="232">
        <v>10035066</v>
      </c>
      <c r="E32" s="87" t="s">
        <v>4933</v>
      </c>
      <c r="F32" s="233">
        <v>44743</v>
      </c>
      <c r="G32" s="155">
        <f>IF(F32&lt;&gt;"",'CONCEPTOS Y PARAMETROS'!$M$2-YEAR(F32),"")</f>
        <v>3</v>
      </c>
      <c r="H32" s="157">
        <v>0</v>
      </c>
      <c r="I32" s="156" t="str">
        <f>IFERROR(VLOOKUP(J32,CARGOS!A:F,2,0),"")</f>
        <v>65001</v>
      </c>
      <c r="J32" s="87" t="s">
        <v>3618</v>
      </c>
      <c r="K32" s="140" t="s">
        <v>2835</v>
      </c>
      <c r="L32" s="234">
        <v>348</v>
      </c>
    </row>
    <row r="33" spans="2:12" ht="15.75" thickBot="1">
      <c r="B33" s="227" t="s">
        <v>2846</v>
      </c>
      <c r="C33" s="236">
        <f t="shared" ca="1" si="1"/>
        <v>30</v>
      </c>
      <c r="D33" s="237"/>
      <c r="E33" s="238" t="s">
        <v>4653</v>
      </c>
      <c r="F33" s="239">
        <v>44927</v>
      </c>
      <c r="G33" s="155">
        <f>IF(F33&lt;&gt;"",'CONCEPTOS Y PARAMETROS'!$M$2-YEAR(F33),"")</f>
        <v>2</v>
      </c>
      <c r="H33" s="240">
        <v>0</v>
      </c>
      <c r="I33" s="156" t="str">
        <f>IFERROR(VLOOKUP(J33,CARGOS!A:F,2,0),"")</f>
        <v>65001</v>
      </c>
      <c r="J33" s="238" t="s">
        <v>3618</v>
      </c>
      <c r="K33" s="241" t="s">
        <v>2835</v>
      </c>
      <c r="L33" s="242">
        <v>348</v>
      </c>
    </row>
    <row r="34" spans="2:12" ht="15.75" thickBot="1">
      <c r="B34" s="243"/>
      <c r="C34" s="147">
        <f ca="1">COUNT(C4:C33)</f>
        <v>30</v>
      </c>
      <c r="D34" s="1804" t="s">
        <v>2864</v>
      </c>
      <c r="E34" s="1804"/>
      <c r="F34" s="1804"/>
      <c r="G34" s="1804"/>
      <c r="H34" s="1804"/>
      <c r="I34" s="1804"/>
      <c r="J34" s="1804"/>
      <c r="K34" s="1805"/>
      <c r="L34" s="141">
        <v>10606</v>
      </c>
    </row>
    <row r="35" spans="2:12" ht="15.75" thickBot="1">
      <c r="B35" s="1811" t="s">
        <v>4561</v>
      </c>
      <c r="C35" s="1804"/>
      <c r="D35" s="1812"/>
      <c r="E35" s="244"/>
      <c r="F35" s="245"/>
      <c r="G35" s="246"/>
      <c r="H35" s="246"/>
      <c r="I35" s="247"/>
      <c r="J35" s="247"/>
      <c r="K35" s="248"/>
      <c r="L35" s="248"/>
    </row>
    <row r="36" spans="2:12" ht="15.75" thickBot="1">
      <c r="B36" s="249" t="s">
        <v>2846</v>
      </c>
      <c r="C36" s="228">
        <v>1</v>
      </c>
      <c r="D36" s="87">
        <v>4324055</v>
      </c>
      <c r="E36" s="250" t="s">
        <v>4689</v>
      </c>
      <c r="F36" s="230">
        <v>44470</v>
      </c>
      <c r="G36" s="155">
        <f>IF(F36&lt;&gt;"",'CONCEPTOS Y PARAMETROS'!$M$2-YEAR(F36),"")</f>
        <v>4</v>
      </c>
      <c r="H36" s="155">
        <v>0</v>
      </c>
      <c r="I36" s="156" t="str">
        <f>IFERROR(VLOOKUP(J36,CARGOS!A:F,2,0),"")</f>
        <v>35121</v>
      </c>
      <c r="J36" s="86" t="s">
        <v>34</v>
      </c>
      <c r="K36" s="142" t="s">
        <v>4646</v>
      </c>
      <c r="L36" s="251">
        <v>246</v>
      </c>
    </row>
    <row r="37" spans="2:12" ht="15.75" thickBot="1">
      <c r="B37" s="149" t="s">
        <v>2846</v>
      </c>
      <c r="C37" s="148">
        <f t="shared" ref="C37:C290" ca="1" si="2">OFFSET(C37,-1,0)+1</f>
        <v>2</v>
      </c>
      <c r="D37" s="87">
        <v>4657974</v>
      </c>
      <c r="E37" s="159" t="s">
        <v>4690</v>
      </c>
      <c r="F37" s="252">
        <v>39463</v>
      </c>
      <c r="G37" s="155">
        <f>IF(F37&lt;&gt;"",'CONCEPTOS Y PARAMETROS'!$M$2-YEAR(F37),"")</f>
        <v>17</v>
      </c>
      <c r="H37" s="158">
        <v>0</v>
      </c>
      <c r="I37" s="156" t="str">
        <f>IFERROR(VLOOKUP(J37,CARGOS!A:F,2,0),"")</f>
        <v>37921</v>
      </c>
      <c r="J37" s="88" t="s">
        <v>1966</v>
      </c>
      <c r="K37" s="142" t="s">
        <v>4934</v>
      </c>
      <c r="L37" s="251">
        <v>176</v>
      </c>
    </row>
    <row r="38" spans="2:12" ht="15.75" thickBot="1">
      <c r="B38" s="149" t="s">
        <v>2846</v>
      </c>
      <c r="C38" s="148">
        <f t="shared" ca="1" si="2"/>
        <v>3</v>
      </c>
      <c r="D38" s="87">
        <v>5762861</v>
      </c>
      <c r="E38" s="215" t="s">
        <v>4691</v>
      </c>
      <c r="F38" s="252">
        <v>37851</v>
      </c>
      <c r="G38" s="155">
        <f>IF(F38&lt;&gt;"",'CONCEPTOS Y PARAMETROS'!$M$2-YEAR(F38),"")</f>
        <v>22</v>
      </c>
      <c r="H38" s="158">
        <v>4</v>
      </c>
      <c r="I38" s="156" t="str">
        <f>IFERROR(VLOOKUP(J38,CARGOS!A:F,2,0),"")</f>
        <v>79532</v>
      </c>
      <c r="J38" s="88" t="s">
        <v>1558</v>
      </c>
      <c r="K38" s="142" t="s">
        <v>4935</v>
      </c>
      <c r="L38" s="251">
        <v>287</v>
      </c>
    </row>
    <row r="39" spans="2:12" ht="15.75" thickBot="1">
      <c r="B39" s="149" t="s">
        <v>2846</v>
      </c>
      <c r="C39" s="148">
        <f t="shared" ca="1" si="2"/>
        <v>4</v>
      </c>
      <c r="D39" s="87">
        <v>5782060</v>
      </c>
      <c r="E39" s="159" t="s">
        <v>4692</v>
      </c>
      <c r="F39" s="252">
        <v>39539</v>
      </c>
      <c r="G39" s="155">
        <f>IF(F39&lt;&gt;"",'CONCEPTOS Y PARAMETROS'!$M$2-YEAR(F39),"")</f>
        <v>17</v>
      </c>
      <c r="H39" s="158">
        <v>0</v>
      </c>
      <c r="I39" s="156" t="str">
        <f>IFERROR(VLOOKUP(J39,CARGOS!A:F,2,0),"")</f>
        <v>12113</v>
      </c>
      <c r="J39" s="88" t="s">
        <v>326</v>
      </c>
      <c r="K39" s="142" t="s">
        <v>4936</v>
      </c>
      <c r="L39" s="251">
        <v>226</v>
      </c>
    </row>
    <row r="40" spans="2:12" ht="15.75" thickBot="1">
      <c r="B40" s="149" t="s">
        <v>2846</v>
      </c>
      <c r="C40" s="148">
        <f t="shared" ca="1" si="2"/>
        <v>5</v>
      </c>
      <c r="D40" s="87">
        <v>5787991</v>
      </c>
      <c r="E40" s="159" t="s">
        <v>4693</v>
      </c>
      <c r="F40" s="252">
        <v>38565</v>
      </c>
      <c r="G40" s="155">
        <f>IF(F40&lt;&gt;"",'CONCEPTOS Y PARAMETROS'!$M$2-YEAR(F40),"")</f>
        <v>20</v>
      </c>
      <c r="H40" s="158">
        <v>0</v>
      </c>
      <c r="I40" s="156" t="str">
        <f>IFERROR(VLOOKUP(J40,CARGOS!A:F,2,0),"")</f>
        <v>13364</v>
      </c>
      <c r="J40" s="88" t="s">
        <v>1932</v>
      </c>
      <c r="K40" s="142" t="s">
        <v>4935</v>
      </c>
      <c r="L40" s="251">
        <v>287</v>
      </c>
    </row>
    <row r="41" spans="2:12" ht="15.75" thickBot="1">
      <c r="B41" s="149" t="s">
        <v>2846</v>
      </c>
      <c r="C41" s="148">
        <f t="shared" ca="1" si="2"/>
        <v>6</v>
      </c>
      <c r="D41" s="87">
        <v>5790501</v>
      </c>
      <c r="E41" s="159" t="s">
        <v>4694</v>
      </c>
      <c r="F41" s="252">
        <v>39707</v>
      </c>
      <c r="G41" s="155">
        <f>IF(F41&lt;&gt;"",'CONCEPTOS Y PARAMETROS'!$M$2-YEAR(F41),"")</f>
        <v>17</v>
      </c>
      <c r="H41" s="158">
        <v>0</v>
      </c>
      <c r="I41" s="156" t="str">
        <f>IFERROR(VLOOKUP(J41,CARGOS!A:F,2,0),"")</f>
        <v>13313</v>
      </c>
      <c r="J41" s="88" t="s">
        <v>366</v>
      </c>
      <c r="K41" s="142" t="s">
        <v>4936</v>
      </c>
      <c r="L41" s="251">
        <v>226</v>
      </c>
    </row>
    <row r="42" spans="2:12" ht="15.75" thickBot="1">
      <c r="B42" s="149" t="s">
        <v>2846</v>
      </c>
      <c r="C42" s="148">
        <f t="shared" ca="1" si="2"/>
        <v>7</v>
      </c>
      <c r="D42" s="87">
        <v>7744688</v>
      </c>
      <c r="E42" s="159" t="s">
        <v>4695</v>
      </c>
      <c r="F42" s="252">
        <v>44774</v>
      </c>
      <c r="G42" s="155">
        <f>IF(F42&lt;&gt;"",'CONCEPTOS Y PARAMETROS'!$M$2-YEAR(F42),"")</f>
        <v>3</v>
      </c>
      <c r="H42" s="158">
        <v>0</v>
      </c>
      <c r="I42" s="156" t="str">
        <f>IFERROR(VLOOKUP(J42,CARGOS!A:F,2,0),"")</f>
        <v>12113</v>
      </c>
      <c r="J42" s="88" t="s">
        <v>326</v>
      </c>
      <c r="K42" s="142" t="s">
        <v>4649</v>
      </c>
      <c r="L42" s="251">
        <v>192</v>
      </c>
    </row>
    <row r="43" spans="2:12" ht="15.75" thickBot="1">
      <c r="B43" s="149" t="s">
        <v>2846</v>
      </c>
      <c r="C43" s="148">
        <f t="shared" ca="1" si="2"/>
        <v>8</v>
      </c>
      <c r="D43" s="87">
        <v>7890070</v>
      </c>
      <c r="E43" s="159" t="s">
        <v>4696</v>
      </c>
      <c r="F43" s="252">
        <v>38930</v>
      </c>
      <c r="G43" s="155">
        <f>IF(F43&lt;&gt;"",'CONCEPTOS Y PARAMETROS'!$M$2-YEAR(F43),"")</f>
        <v>19</v>
      </c>
      <c r="H43" s="158">
        <v>5</v>
      </c>
      <c r="I43" s="156" t="str">
        <f>IFERROR(VLOOKUP(J43,CARGOS!A:F,2,0),"")</f>
        <v>79512</v>
      </c>
      <c r="J43" s="88" t="s">
        <v>1164</v>
      </c>
      <c r="K43" s="142" t="s">
        <v>4937</v>
      </c>
      <c r="L43" s="251">
        <v>177</v>
      </c>
    </row>
    <row r="44" spans="2:12" ht="15.75" thickBot="1">
      <c r="B44" s="149" t="s">
        <v>2846</v>
      </c>
      <c r="C44" s="148">
        <f t="shared" ca="1" si="2"/>
        <v>9</v>
      </c>
      <c r="D44" s="87">
        <v>8266170</v>
      </c>
      <c r="E44" s="159" t="s">
        <v>4938</v>
      </c>
      <c r="F44" s="252">
        <v>42948</v>
      </c>
      <c r="G44" s="155">
        <f>IF(F44&lt;&gt;"",'CONCEPTOS Y PARAMETROS'!$M$2-YEAR(F44),"")</f>
        <v>8</v>
      </c>
      <c r="H44" s="158">
        <v>0</v>
      </c>
      <c r="I44" s="156" t="str">
        <f>IFERROR(VLOOKUP(J44,CARGOS!A:F,2,0),"")</f>
        <v>79512</v>
      </c>
      <c r="J44" s="88" t="s">
        <v>1164</v>
      </c>
      <c r="K44" s="142" t="s">
        <v>4643</v>
      </c>
      <c r="L44" s="251">
        <v>279</v>
      </c>
    </row>
    <row r="45" spans="2:12" ht="15.75" thickBot="1">
      <c r="B45" s="149" t="s">
        <v>2846</v>
      </c>
      <c r="C45" s="148">
        <f t="shared" ca="1" si="2"/>
        <v>10</v>
      </c>
      <c r="D45" s="87">
        <v>9162178</v>
      </c>
      <c r="E45" s="159" t="s">
        <v>4697</v>
      </c>
      <c r="F45" s="252">
        <v>39566</v>
      </c>
      <c r="G45" s="155">
        <f>IF(F45&lt;&gt;"",'CONCEPTOS Y PARAMETROS'!$M$2-YEAR(F45),"")</f>
        <v>17</v>
      </c>
      <c r="H45" s="158">
        <v>0</v>
      </c>
      <c r="I45" s="156" t="str">
        <f>IFERROR(VLOOKUP(J45,CARGOS!A:F,2,0),"")</f>
        <v>79512</v>
      </c>
      <c r="J45" s="88" t="s">
        <v>1164</v>
      </c>
      <c r="K45" s="142" t="s">
        <v>4934</v>
      </c>
      <c r="L45" s="251">
        <v>176</v>
      </c>
    </row>
    <row r="46" spans="2:12" ht="15.75" thickBot="1">
      <c r="B46" s="149" t="s">
        <v>2846</v>
      </c>
      <c r="C46" s="148">
        <f t="shared" ca="1" si="2"/>
        <v>11</v>
      </c>
      <c r="D46" s="87">
        <v>9162243</v>
      </c>
      <c r="E46" s="159" t="s">
        <v>4698</v>
      </c>
      <c r="F46" s="252">
        <v>35535</v>
      </c>
      <c r="G46" s="155">
        <f>IF(F46&lt;&gt;"",'CONCEPTOS Y PARAMETROS'!$M$2-YEAR(F46),"")</f>
        <v>28</v>
      </c>
      <c r="H46" s="158">
        <v>0</v>
      </c>
      <c r="I46" s="156" t="str">
        <f>IFERROR(VLOOKUP(J46,CARGOS!A:F,2,0),"")</f>
        <v>79512</v>
      </c>
      <c r="J46" s="88" t="s">
        <v>1164</v>
      </c>
      <c r="K46" s="142" t="s">
        <v>4937</v>
      </c>
      <c r="L46" s="251">
        <v>177</v>
      </c>
    </row>
    <row r="47" spans="2:12" ht="15.75" thickBot="1">
      <c r="B47" s="149" t="s">
        <v>2846</v>
      </c>
      <c r="C47" s="148">
        <f t="shared" ca="1" si="2"/>
        <v>12</v>
      </c>
      <c r="D47" s="87">
        <v>9170647</v>
      </c>
      <c r="E47" s="215" t="s">
        <v>4699</v>
      </c>
      <c r="F47" s="252">
        <v>39238</v>
      </c>
      <c r="G47" s="155">
        <f>IF(F47&lt;&gt;"",'CONCEPTOS Y PARAMETROS'!$M$2-YEAR(F47),"")</f>
        <v>18</v>
      </c>
      <c r="H47" s="158">
        <v>0</v>
      </c>
      <c r="I47" s="156" t="str">
        <f>IFERROR(VLOOKUP(J47,CARGOS!A:F,2,0),"")</f>
        <v>79512</v>
      </c>
      <c r="J47" s="88" t="s">
        <v>1164</v>
      </c>
      <c r="K47" s="142" t="s">
        <v>4936</v>
      </c>
      <c r="L47" s="251">
        <v>226</v>
      </c>
    </row>
    <row r="48" spans="2:12" ht="15.75" thickBot="1">
      <c r="B48" s="149" t="s">
        <v>2846</v>
      </c>
      <c r="C48" s="148">
        <f t="shared" ca="1" si="2"/>
        <v>13</v>
      </c>
      <c r="D48" s="87">
        <v>9177323</v>
      </c>
      <c r="E48" s="159" t="s">
        <v>4700</v>
      </c>
      <c r="F48" s="252">
        <v>37879</v>
      </c>
      <c r="G48" s="155">
        <f>IF(F48&lt;&gt;"",'CONCEPTOS Y PARAMETROS'!$M$2-YEAR(F48),"")</f>
        <v>22</v>
      </c>
      <c r="H48" s="158">
        <v>0</v>
      </c>
      <c r="I48" s="156" t="str">
        <f>IFERROR(VLOOKUP(J48,CARGOS!A:F,2,0),"")</f>
        <v>12113</v>
      </c>
      <c r="J48" s="88" t="s">
        <v>326</v>
      </c>
      <c r="K48" s="142" t="s">
        <v>4937</v>
      </c>
      <c r="L48" s="251">
        <v>177</v>
      </c>
    </row>
    <row r="49" spans="2:12" ht="15.75" thickBot="1">
      <c r="B49" s="149" t="s">
        <v>2846</v>
      </c>
      <c r="C49" s="148">
        <f t="shared" ca="1" si="2"/>
        <v>14</v>
      </c>
      <c r="D49" s="87">
        <v>9178087</v>
      </c>
      <c r="E49" s="159" t="s">
        <v>4701</v>
      </c>
      <c r="F49" s="252">
        <v>37622</v>
      </c>
      <c r="G49" s="155">
        <f>IF(F49&lt;&gt;"",'CONCEPTOS Y PARAMETROS'!$M$2-YEAR(F49),"")</f>
        <v>22</v>
      </c>
      <c r="H49" s="158">
        <v>0</v>
      </c>
      <c r="I49" s="156" t="str">
        <f>IFERROR(VLOOKUP(J49,CARGOS!A:F,2,0),"")</f>
        <v>12113</v>
      </c>
      <c r="J49" s="88" t="s">
        <v>326</v>
      </c>
      <c r="K49" s="142" t="s">
        <v>4937</v>
      </c>
      <c r="L49" s="251">
        <v>177</v>
      </c>
    </row>
    <row r="50" spans="2:12" ht="15.75" thickBot="1">
      <c r="B50" s="149" t="s">
        <v>2846</v>
      </c>
      <c r="C50" s="148">
        <f t="shared" ca="1" si="2"/>
        <v>15</v>
      </c>
      <c r="D50" s="87">
        <v>9179981</v>
      </c>
      <c r="E50" s="215" t="s">
        <v>4702</v>
      </c>
      <c r="F50" s="252">
        <v>42948</v>
      </c>
      <c r="G50" s="155">
        <f>IF(F50&lt;&gt;"",'CONCEPTOS Y PARAMETROS'!$M$2-YEAR(F50),"")</f>
        <v>8</v>
      </c>
      <c r="H50" s="158">
        <v>11</v>
      </c>
      <c r="I50" s="156" t="str">
        <f>IFERROR(VLOOKUP(J50,CARGOS!A:F,2,0),"")</f>
        <v>79511</v>
      </c>
      <c r="J50" s="88" t="s">
        <v>1162</v>
      </c>
      <c r="K50" s="142" t="s">
        <v>4936</v>
      </c>
      <c r="L50" s="251">
        <v>226</v>
      </c>
    </row>
    <row r="51" spans="2:12" ht="15.75" thickBot="1">
      <c r="B51" s="149" t="s">
        <v>2846</v>
      </c>
      <c r="C51" s="148">
        <f t="shared" ca="1" si="2"/>
        <v>16</v>
      </c>
      <c r="D51" s="87">
        <v>9315117</v>
      </c>
      <c r="E51" s="159" t="s">
        <v>4703</v>
      </c>
      <c r="F51" s="252">
        <v>38412</v>
      </c>
      <c r="G51" s="155">
        <f>IF(F51&lt;&gt;"",'CONCEPTOS Y PARAMETROS'!$M$2-YEAR(F51),"")</f>
        <v>20</v>
      </c>
      <c r="H51" s="158">
        <v>0</v>
      </c>
      <c r="I51" s="156" t="str">
        <f>IFERROR(VLOOKUP(J51,CARGOS!A:F,2,0),"")</f>
        <v>15124</v>
      </c>
      <c r="J51" s="88" t="s">
        <v>210</v>
      </c>
      <c r="K51" s="142" t="s">
        <v>4935</v>
      </c>
      <c r="L51" s="251">
        <v>287</v>
      </c>
    </row>
    <row r="52" spans="2:12" ht="15.75" thickBot="1">
      <c r="B52" s="149" t="s">
        <v>2846</v>
      </c>
      <c r="C52" s="148">
        <f t="shared" ca="1" si="2"/>
        <v>17</v>
      </c>
      <c r="D52" s="87">
        <v>9315325</v>
      </c>
      <c r="E52" s="159" t="s">
        <v>4704</v>
      </c>
      <c r="F52" s="252">
        <v>39678</v>
      </c>
      <c r="G52" s="155">
        <f>IF(F52&lt;&gt;"",'CONCEPTOS Y PARAMETROS'!$M$2-YEAR(F52),"")</f>
        <v>17</v>
      </c>
      <c r="H52" s="158">
        <v>2</v>
      </c>
      <c r="I52" s="156" t="str">
        <f>IFERROR(VLOOKUP(J52,CARGOS!A:F,2,0),"")</f>
        <v>12114</v>
      </c>
      <c r="J52" s="88" t="s">
        <v>328</v>
      </c>
      <c r="K52" s="142" t="s">
        <v>4936</v>
      </c>
      <c r="L52" s="251">
        <v>226</v>
      </c>
    </row>
    <row r="53" spans="2:12" ht="15.75" thickBot="1">
      <c r="B53" s="149" t="s">
        <v>2846</v>
      </c>
      <c r="C53" s="148">
        <f t="shared" ca="1" si="2"/>
        <v>18</v>
      </c>
      <c r="D53" s="87">
        <v>9316224</v>
      </c>
      <c r="E53" s="159" t="s">
        <v>4705</v>
      </c>
      <c r="F53" s="252">
        <v>44317</v>
      </c>
      <c r="G53" s="155">
        <f>IF(F53&lt;&gt;"",'CONCEPTOS Y PARAMETROS'!$M$2-YEAR(F53),"")</f>
        <v>4</v>
      </c>
      <c r="H53" s="158">
        <v>0</v>
      </c>
      <c r="I53" s="156" t="str">
        <f>IFERROR(VLOOKUP(J53,CARGOS!A:F,2,0),"")</f>
        <v>79341</v>
      </c>
      <c r="J53" s="88" t="s">
        <v>2381</v>
      </c>
      <c r="K53" s="142" t="s">
        <v>4649</v>
      </c>
      <c r="L53" s="251">
        <v>192</v>
      </c>
    </row>
    <row r="54" spans="2:12" ht="15.75" thickBot="1">
      <c r="B54" s="149" t="s">
        <v>2846</v>
      </c>
      <c r="C54" s="148">
        <f t="shared" ca="1" si="2"/>
        <v>19</v>
      </c>
      <c r="D54" s="87">
        <v>9321916</v>
      </c>
      <c r="E54" s="159" t="s">
        <v>4939</v>
      </c>
      <c r="F54" s="252">
        <v>37851</v>
      </c>
      <c r="G54" s="155">
        <f>IF(F54&lt;&gt;"",'CONCEPTOS Y PARAMETROS'!$M$2-YEAR(F54),"")</f>
        <v>22</v>
      </c>
      <c r="H54" s="158">
        <v>0</v>
      </c>
      <c r="I54" s="156" t="str">
        <f>IFERROR(VLOOKUP(J54,CARGOS!A:F,2,0),"")</f>
        <v>79512</v>
      </c>
      <c r="J54" s="88" t="s">
        <v>1164</v>
      </c>
      <c r="K54" s="142" t="s">
        <v>4937</v>
      </c>
      <c r="L54" s="251">
        <v>177</v>
      </c>
    </row>
    <row r="55" spans="2:12" ht="15.75" thickBot="1">
      <c r="B55" s="149" t="s">
        <v>2846</v>
      </c>
      <c r="C55" s="148">
        <f t="shared" ca="1" si="2"/>
        <v>20</v>
      </c>
      <c r="D55" s="87">
        <v>9323927</v>
      </c>
      <c r="E55" s="159" t="s">
        <v>4706</v>
      </c>
      <c r="F55" s="252">
        <v>35704</v>
      </c>
      <c r="G55" s="155">
        <f>IF(F55&lt;&gt;"",'CONCEPTOS Y PARAMETROS'!$M$2-YEAR(F55),"")</f>
        <v>28</v>
      </c>
      <c r="H55" s="158">
        <v>0</v>
      </c>
      <c r="I55" s="156" t="str">
        <f>IFERROR(VLOOKUP(J55,CARGOS!A:F,2,0),"")</f>
        <v>79512</v>
      </c>
      <c r="J55" s="88" t="s">
        <v>1164</v>
      </c>
      <c r="K55" s="142" t="s">
        <v>4937</v>
      </c>
      <c r="L55" s="251">
        <v>177</v>
      </c>
    </row>
    <row r="56" spans="2:12" ht="15.75" thickBot="1">
      <c r="B56" s="149" t="s">
        <v>2846</v>
      </c>
      <c r="C56" s="148">
        <f t="shared" ca="1" si="2"/>
        <v>21</v>
      </c>
      <c r="D56" s="87">
        <v>9327253</v>
      </c>
      <c r="E56" s="159" t="s">
        <v>4707</v>
      </c>
      <c r="F56" s="252">
        <v>38930</v>
      </c>
      <c r="G56" s="155">
        <f>IF(F56&lt;&gt;"",'CONCEPTOS Y PARAMETROS'!$M$2-YEAR(F56),"")</f>
        <v>19</v>
      </c>
      <c r="H56" s="158">
        <v>0</v>
      </c>
      <c r="I56" s="156" t="str">
        <f>IFERROR(VLOOKUP(J56,CARGOS!A:F,2,0),"")</f>
        <v>13413</v>
      </c>
      <c r="J56" s="88" t="s">
        <v>220</v>
      </c>
      <c r="K56" s="142" t="s">
        <v>4940</v>
      </c>
      <c r="L56" s="251">
        <v>285</v>
      </c>
    </row>
    <row r="57" spans="2:12" ht="15.75" thickBot="1">
      <c r="B57" s="149" t="s">
        <v>2846</v>
      </c>
      <c r="C57" s="148">
        <f t="shared" ca="1" si="2"/>
        <v>22</v>
      </c>
      <c r="D57" s="87">
        <v>9328157</v>
      </c>
      <c r="E57" s="159" t="s">
        <v>4708</v>
      </c>
      <c r="F57" s="252">
        <v>41153</v>
      </c>
      <c r="G57" s="155">
        <f>IF(F57&lt;&gt;"",'CONCEPTOS Y PARAMETROS'!$M$2-YEAR(F57),"")</f>
        <v>13</v>
      </c>
      <c r="H57" s="158">
        <v>0</v>
      </c>
      <c r="I57" s="156" t="str">
        <f>IFERROR(VLOOKUP(J57,CARGOS!A:F,2,0),"")</f>
        <v>79512</v>
      </c>
      <c r="J57" s="88" t="s">
        <v>1164</v>
      </c>
      <c r="K57" s="142" t="s">
        <v>4644</v>
      </c>
      <c r="L57" s="251">
        <v>172</v>
      </c>
    </row>
    <row r="58" spans="2:12" ht="15.75" thickBot="1">
      <c r="B58" s="149" t="s">
        <v>2846</v>
      </c>
      <c r="C58" s="148">
        <f t="shared" ca="1" si="2"/>
        <v>23</v>
      </c>
      <c r="D58" s="87">
        <v>9328224</v>
      </c>
      <c r="E58" s="215" t="s">
        <v>4709</v>
      </c>
      <c r="F58" s="252">
        <v>39356</v>
      </c>
      <c r="G58" s="155">
        <f>IF(F58&lt;&gt;"",'CONCEPTOS Y PARAMETROS'!$M$2-YEAR(F58),"")</f>
        <v>18</v>
      </c>
      <c r="H58" s="158">
        <v>2</v>
      </c>
      <c r="I58" s="156" t="str">
        <f>IFERROR(VLOOKUP(J58,CARGOS!A:F,2,0),"")</f>
        <v>41113</v>
      </c>
      <c r="J58" s="88" t="s">
        <v>2251</v>
      </c>
      <c r="K58" s="142" t="s">
        <v>4941</v>
      </c>
      <c r="L58" s="251">
        <v>228</v>
      </c>
    </row>
    <row r="59" spans="2:12" ht="15.75" thickBot="1">
      <c r="B59" s="149" t="s">
        <v>2846</v>
      </c>
      <c r="C59" s="148">
        <f t="shared" ca="1" si="2"/>
        <v>24</v>
      </c>
      <c r="D59" s="87">
        <v>9496860</v>
      </c>
      <c r="E59" s="215" t="s">
        <v>4710</v>
      </c>
      <c r="F59" s="252">
        <v>43877</v>
      </c>
      <c r="G59" s="155">
        <f>IF(F59&lt;&gt;"",'CONCEPTOS Y PARAMETROS'!$M$2-YEAR(F59),"")</f>
        <v>5</v>
      </c>
      <c r="H59" s="158">
        <v>9</v>
      </c>
      <c r="I59" s="156" t="str">
        <f>IFERROR(VLOOKUP(J59,CARGOS!A:F,2,0),"")</f>
        <v>21211</v>
      </c>
      <c r="J59" s="88" t="s">
        <v>509</v>
      </c>
      <c r="K59" s="142" t="s">
        <v>4942</v>
      </c>
      <c r="L59" s="251">
        <v>283</v>
      </c>
    </row>
    <row r="60" spans="2:12" ht="15.75" thickBot="1">
      <c r="B60" s="149" t="s">
        <v>2846</v>
      </c>
      <c r="C60" s="148">
        <f t="shared" ca="1" si="2"/>
        <v>25</v>
      </c>
      <c r="D60" s="87">
        <v>9497151</v>
      </c>
      <c r="E60" s="215" t="s">
        <v>4711</v>
      </c>
      <c r="F60" s="252">
        <v>36770</v>
      </c>
      <c r="G60" s="155">
        <f>IF(F60&lt;&gt;"",'CONCEPTOS Y PARAMETROS'!$M$2-YEAR(F60),"")</f>
        <v>25</v>
      </c>
      <c r="H60" s="158">
        <v>0</v>
      </c>
      <c r="I60" s="156" t="str">
        <f>IFERROR(VLOOKUP(J60,CARGOS!A:F,2,0),"")</f>
        <v>46612</v>
      </c>
      <c r="J60" s="88" t="s">
        <v>1284</v>
      </c>
      <c r="K60" s="142" t="s">
        <v>4935</v>
      </c>
      <c r="L60" s="251">
        <v>287</v>
      </c>
    </row>
    <row r="61" spans="2:12" ht="15.75" thickBot="1">
      <c r="B61" s="149" t="s">
        <v>2846</v>
      </c>
      <c r="C61" s="148">
        <f t="shared" ca="1" si="2"/>
        <v>26</v>
      </c>
      <c r="D61" s="87">
        <v>10033119</v>
      </c>
      <c r="E61" s="159" t="s">
        <v>4712</v>
      </c>
      <c r="F61" s="252">
        <v>43359</v>
      </c>
      <c r="G61" s="155">
        <f>IF(F61&lt;&gt;"",'CONCEPTOS Y PARAMETROS'!$M$2-YEAR(F61),"")</f>
        <v>7</v>
      </c>
      <c r="H61" s="158">
        <v>0</v>
      </c>
      <c r="I61" s="156" t="str">
        <f>IFERROR(VLOOKUP(J61,CARGOS!A:F,2,0),"")</f>
        <v>79521</v>
      </c>
      <c r="J61" s="88" t="s">
        <v>2469</v>
      </c>
      <c r="K61" s="142" t="s">
        <v>4648</v>
      </c>
      <c r="L61" s="251">
        <v>277</v>
      </c>
    </row>
    <row r="62" spans="2:12" ht="15.75" thickBot="1">
      <c r="B62" s="149" t="s">
        <v>2846</v>
      </c>
      <c r="C62" s="148">
        <f t="shared" ca="1" si="2"/>
        <v>27</v>
      </c>
      <c r="D62" s="87">
        <v>10035540</v>
      </c>
      <c r="E62" s="159" t="s">
        <v>4713</v>
      </c>
      <c r="F62" s="252">
        <v>43236</v>
      </c>
      <c r="G62" s="155">
        <f>IF(F62&lt;&gt;"",'CONCEPTOS Y PARAMETROS'!$M$2-YEAR(F62),"")</f>
        <v>7</v>
      </c>
      <c r="H62" s="158">
        <v>0</v>
      </c>
      <c r="I62" s="156" t="str">
        <f>IFERROR(VLOOKUP(J62,CARGOS!A:F,2,0),"")</f>
        <v>79341</v>
      </c>
      <c r="J62" s="88" t="s">
        <v>2381</v>
      </c>
      <c r="K62" s="142" t="s">
        <v>4647</v>
      </c>
      <c r="L62" s="251">
        <v>219</v>
      </c>
    </row>
    <row r="63" spans="2:12" ht="15.75" thickBot="1">
      <c r="B63" s="149" t="s">
        <v>2846</v>
      </c>
      <c r="C63" s="148">
        <f t="shared" ca="1" si="2"/>
        <v>28</v>
      </c>
      <c r="D63" s="87">
        <v>10037054</v>
      </c>
      <c r="E63" s="159" t="s">
        <v>4714</v>
      </c>
      <c r="F63" s="252">
        <v>39820</v>
      </c>
      <c r="G63" s="155">
        <f>IF(F63&lt;&gt;"",'CONCEPTOS Y PARAMETROS'!$M$2-YEAR(F63),"")</f>
        <v>16</v>
      </c>
      <c r="H63" s="158">
        <v>0</v>
      </c>
      <c r="I63" s="156" t="str">
        <f>IFERROR(VLOOKUP(J63,CARGOS!A:F,2,0),"")</f>
        <v>79512</v>
      </c>
      <c r="J63" s="88" t="s">
        <v>1164</v>
      </c>
      <c r="K63" s="142" t="s">
        <v>4943</v>
      </c>
      <c r="L63" s="251">
        <v>174</v>
      </c>
    </row>
    <row r="64" spans="2:12" ht="15.75" thickBot="1">
      <c r="B64" s="149" t="s">
        <v>2846</v>
      </c>
      <c r="C64" s="148">
        <f t="shared" ca="1" si="2"/>
        <v>29</v>
      </c>
      <c r="D64" s="87">
        <v>10175616</v>
      </c>
      <c r="E64" s="215" t="s">
        <v>4715</v>
      </c>
      <c r="F64" s="216">
        <v>44228</v>
      </c>
      <c r="G64" s="155">
        <f>IF(F64&lt;&gt;"",'CONCEPTOS Y PARAMETROS'!$M$2-YEAR(F64),"")</f>
        <v>4</v>
      </c>
      <c r="H64" s="158">
        <v>0</v>
      </c>
      <c r="I64" s="156" t="str">
        <f>IFERROR(VLOOKUP(J64,CARGOS!A:F,2,0),"")</f>
        <v>75141</v>
      </c>
      <c r="J64" s="88" t="s">
        <v>1716</v>
      </c>
      <c r="K64" s="142" t="s">
        <v>4944</v>
      </c>
      <c r="L64" s="251">
        <v>305</v>
      </c>
    </row>
    <row r="65" spans="2:12" ht="15.75" thickBot="1">
      <c r="B65" s="149" t="s">
        <v>2846</v>
      </c>
      <c r="C65" s="148">
        <f t="shared" ca="1" si="2"/>
        <v>30</v>
      </c>
      <c r="D65" s="87">
        <v>10257016</v>
      </c>
      <c r="E65" s="159" t="s">
        <v>4716</v>
      </c>
      <c r="F65" s="252">
        <v>35947</v>
      </c>
      <c r="G65" s="155">
        <f>IF(F65&lt;&gt;"",'CONCEPTOS Y PARAMETROS'!$M$2-YEAR(F65),"")</f>
        <v>27</v>
      </c>
      <c r="H65" s="158">
        <v>0</v>
      </c>
      <c r="I65" s="156" t="str">
        <f>IFERROR(VLOOKUP(J65,CARGOS!A:F,2,0),"")</f>
        <v>79522</v>
      </c>
      <c r="J65" s="88" t="s">
        <v>2471</v>
      </c>
      <c r="K65" s="142" t="s">
        <v>4935</v>
      </c>
      <c r="L65" s="251">
        <v>287</v>
      </c>
    </row>
    <row r="66" spans="2:12" ht="15.75" thickBot="1">
      <c r="B66" s="149" t="s">
        <v>2846</v>
      </c>
      <c r="C66" s="148">
        <f t="shared" ca="1" si="2"/>
        <v>31</v>
      </c>
      <c r="D66" s="87">
        <v>10315803</v>
      </c>
      <c r="E66" s="159" t="s">
        <v>4717</v>
      </c>
      <c r="F66" s="252">
        <v>35415</v>
      </c>
      <c r="G66" s="155">
        <f>IF(F66&lt;&gt;"",'CONCEPTOS Y PARAMETROS'!$M$2-YEAR(F66),"")</f>
        <v>29</v>
      </c>
      <c r="H66" s="158">
        <v>0</v>
      </c>
      <c r="I66" s="156" t="str">
        <f>IFERROR(VLOOKUP(J66,CARGOS!A:F,2,0),"")</f>
        <v>79512</v>
      </c>
      <c r="J66" s="88" t="s">
        <v>1164</v>
      </c>
      <c r="K66" s="142" t="s">
        <v>4937</v>
      </c>
      <c r="L66" s="251">
        <v>177</v>
      </c>
    </row>
    <row r="67" spans="2:12" ht="15.75" thickBot="1">
      <c r="B67" s="149" t="s">
        <v>2846</v>
      </c>
      <c r="C67" s="148">
        <f t="shared" ca="1" si="2"/>
        <v>32</v>
      </c>
      <c r="D67" s="87">
        <v>10319457</v>
      </c>
      <c r="E67" s="159" t="s">
        <v>4718</v>
      </c>
      <c r="F67" s="252">
        <v>38831</v>
      </c>
      <c r="G67" s="155">
        <f>IF(F67&lt;&gt;"",'CONCEPTOS Y PARAMETROS'!$M$2-YEAR(F67),"")</f>
        <v>19</v>
      </c>
      <c r="H67" s="158">
        <v>0</v>
      </c>
      <c r="I67" s="156" t="str">
        <f>IFERROR(VLOOKUP(J67,CARGOS!A:F,2,0),"")</f>
        <v>24341</v>
      </c>
      <c r="J67" s="88" t="s">
        <v>2084</v>
      </c>
      <c r="K67" s="142" t="s">
        <v>4934</v>
      </c>
      <c r="L67" s="251">
        <v>176</v>
      </c>
    </row>
    <row r="68" spans="2:12" ht="15.75" thickBot="1">
      <c r="B68" s="149" t="s">
        <v>2846</v>
      </c>
      <c r="C68" s="148">
        <f t="shared" ca="1" si="2"/>
        <v>33</v>
      </c>
      <c r="D68" s="87">
        <v>10396379</v>
      </c>
      <c r="E68" s="159" t="s">
        <v>4719</v>
      </c>
      <c r="F68" s="252">
        <v>44743</v>
      </c>
      <c r="G68" s="155">
        <f>IF(F68&lt;&gt;"",'CONCEPTOS Y PARAMETROS'!$M$2-YEAR(F68),"")</f>
        <v>3</v>
      </c>
      <c r="H68" s="158">
        <v>0</v>
      </c>
      <c r="I68" s="156" t="str">
        <f>IFERROR(VLOOKUP(J68,CARGOS!A:F,2,0),"")</f>
        <v>34231</v>
      </c>
      <c r="J68" s="88" t="s">
        <v>976</v>
      </c>
      <c r="K68" s="142" t="s">
        <v>4650</v>
      </c>
      <c r="L68" s="251">
        <v>130</v>
      </c>
    </row>
    <row r="69" spans="2:12" ht="15.75" thickBot="1">
      <c r="B69" s="149" t="s">
        <v>2846</v>
      </c>
      <c r="C69" s="148">
        <f t="shared" ca="1" si="2"/>
        <v>34</v>
      </c>
      <c r="D69" s="87">
        <v>10397099</v>
      </c>
      <c r="E69" s="159" t="s">
        <v>4720</v>
      </c>
      <c r="F69" s="252">
        <v>38596</v>
      </c>
      <c r="G69" s="155">
        <f>IF(F69&lt;&gt;"",'CONCEPTOS Y PARAMETROS'!$M$2-YEAR(F69),"")</f>
        <v>20</v>
      </c>
      <c r="H69" s="158">
        <v>0</v>
      </c>
      <c r="I69" s="156" t="str">
        <f>IFERROR(VLOOKUP(J69,CARGOS!A:F,2,0),"")</f>
        <v>13364</v>
      </c>
      <c r="J69" s="88" t="s">
        <v>1932</v>
      </c>
      <c r="K69" s="142" t="s">
        <v>4935</v>
      </c>
      <c r="L69" s="251">
        <v>287</v>
      </c>
    </row>
    <row r="70" spans="2:12" ht="15.75" thickBot="1">
      <c r="B70" s="149" t="s">
        <v>2846</v>
      </c>
      <c r="C70" s="148">
        <f t="shared" ca="1" si="2"/>
        <v>35</v>
      </c>
      <c r="D70" s="87">
        <v>10398694</v>
      </c>
      <c r="E70" s="159" t="s">
        <v>4721</v>
      </c>
      <c r="F70" s="252">
        <v>44743</v>
      </c>
      <c r="G70" s="155">
        <f>IF(F70&lt;&gt;"",'CONCEPTOS Y PARAMETROS'!$M$2-YEAR(F70),"")</f>
        <v>3</v>
      </c>
      <c r="H70" s="158">
        <v>20</v>
      </c>
      <c r="I70" s="156" t="str">
        <f>IFERROR(VLOOKUP(J70,CARGOS!A:F,2,0),"")</f>
        <v>79511</v>
      </c>
      <c r="J70" s="88" t="s">
        <v>1162</v>
      </c>
      <c r="K70" s="142" t="s">
        <v>4941</v>
      </c>
      <c r="L70" s="251">
        <v>228</v>
      </c>
    </row>
    <row r="71" spans="2:12" ht="15.75" thickBot="1">
      <c r="B71" s="149" t="s">
        <v>2846</v>
      </c>
      <c r="C71" s="148">
        <f t="shared" ca="1" si="2"/>
        <v>36</v>
      </c>
      <c r="D71" s="87">
        <v>10399064</v>
      </c>
      <c r="E71" s="159" t="s">
        <v>4722</v>
      </c>
      <c r="F71" s="252">
        <v>39328</v>
      </c>
      <c r="G71" s="155">
        <f>IF(F71&lt;&gt;"",'CONCEPTOS Y PARAMETROS'!$M$2-YEAR(F71),"")</f>
        <v>18</v>
      </c>
      <c r="H71" s="158">
        <v>0</v>
      </c>
      <c r="I71" s="156" t="str">
        <f>IFERROR(VLOOKUP(J71,CARGOS!A:F,2,0),"")</f>
        <v>79512</v>
      </c>
      <c r="J71" s="88" t="s">
        <v>1164</v>
      </c>
      <c r="K71" s="142" t="s">
        <v>4936</v>
      </c>
      <c r="L71" s="251">
        <v>226</v>
      </c>
    </row>
    <row r="72" spans="2:12" ht="15.75" thickBot="1">
      <c r="B72" s="149" t="s">
        <v>2846</v>
      </c>
      <c r="C72" s="148">
        <f t="shared" ca="1" si="2"/>
        <v>37</v>
      </c>
      <c r="D72" s="87">
        <v>10400214</v>
      </c>
      <c r="E72" s="159" t="s">
        <v>4723</v>
      </c>
      <c r="F72" s="252">
        <v>41153</v>
      </c>
      <c r="G72" s="155">
        <f>IF(F72&lt;&gt;"",'CONCEPTOS Y PARAMETROS'!$M$2-YEAR(F72),"")</f>
        <v>13</v>
      </c>
      <c r="H72" s="158">
        <v>0</v>
      </c>
      <c r="I72" s="156" t="str">
        <f>IFERROR(VLOOKUP(J72,CARGOS!A:F,2,0),"")</f>
        <v>79512</v>
      </c>
      <c r="J72" s="88" t="s">
        <v>1164</v>
      </c>
      <c r="K72" s="142" t="s">
        <v>4645</v>
      </c>
      <c r="L72" s="251">
        <v>223</v>
      </c>
    </row>
    <row r="73" spans="2:12" ht="15.75" thickBot="1">
      <c r="B73" s="149" t="s">
        <v>2846</v>
      </c>
      <c r="C73" s="148">
        <f t="shared" ca="1" si="2"/>
        <v>38</v>
      </c>
      <c r="D73" s="87">
        <v>10400365</v>
      </c>
      <c r="E73" s="215" t="s">
        <v>4724</v>
      </c>
      <c r="F73" s="252">
        <v>39328</v>
      </c>
      <c r="G73" s="155">
        <f>IF(F73&lt;&gt;"",'CONCEPTOS Y PARAMETROS'!$M$2-YEAR(F73),"")</f>
        <v>18</v>
      </c>
      <c r="H73" s="158">
        <v>0</v>
      </c>
      <c r="I73" s="156" t="str">
        <f>IFERROR(VLOOKUP(J73,CARGOS!A:F,2,0),"")</f>
        <v>22414</v>
      </c>
      <c r="J73" s="88" t="s">
        <v>2188</v>
      </c>
      <c r="K73" s="142" t="s">
        <v>4936</v>
      </c>
      <c r="L73" s="251">
        <v>226</v>
      </c>
    </row>
    <row r="74" spans="2:12" ht="15.75" thickBot="1">
      <c r="B74" s="149" t="s">
        <v>2846</v>
      </c>
      <c r="C74" s="148">
        <f t="shared" ca="1" si="2"/>
        <v>39</v>
      </c>
      <c r="D74" s="87">
        <v>10400422</v>
      </c>
      <c r="E74" s="215" t="s">
        <v>4725</v>
      </c>
      <c r="F74" s="252">
        <v>44713</v>
      </c>
      <c r="G74" s="155">
        <f>IF(F74&lt;&gt;"",'CONCEPTOS Y PARAMETROS'!$M$2-YEAR(F74),"")</f>
        <v>3</v>
      </c>
      <c r="H74" s="158">
        <v>0</v>
      </c>
      <c r="I74" s="156" t="str">
        <f>IFERROR(VLOOKUP(J74,CARGOS!A:F,2,0),"")</f>
        <v>79511</v>
      </c>
      <c r="J74" s="88" t="s">
        <v>1162</v>
      </c>
      <c r="K74" s="142" t="s">
        <v>4649</v>
      </c>
      <c r="L74" s="251">
        <v>192</v>
      </c>
    </row>
    <row r="75" spans="2:12" ht="15.75" thickBot="1">
      <c r="B75" s="149" t="s">
        <v>2846</v>
      </c>
      <c r="C75" s="148">
        <f t="shared" ca="1" si="2"/>
        <v>40</v>
      </c>
      <c r="D75" s="87">
        <v>10400876</v>
      </c>
      <c r="E75" s="159" t="s">
        <v>4726</v>
      </c>
      <c r="F75" s="252">
        <v>43556</v>
      </c>
      <c r="G75" s="155">
        <f>IF(F75&lt;&gt;"",'CONCEPTOS Y PARAMETROS'!$M$2-YEAR(F75),"")</f>
        <v>6</v>
      </c>
      <c r="H75" s="158">
        <v>10</v>
      </c>
      <c r="I75" s="156" t="str">
        <f>IFERROR(VLOOKUP(J75,CARGOS!A:F,2,0),"")</f>
        <v>23451</v>
      </c>
      <c r="J75" s="88" t="s">
        <v>226</v>
      </c>
      <c r="K75" s="142" t="s">
        <v>4945</v>
      </c>
      <c r="L75" s="251">
        <v>225</v>
      </c>
    </row>
    <row r="76" spans="2:12" ht="15.75" thickBot="1">
      <c r="B76" s="149" t="s">
        <v>2846</v>
      </c>
      <c r="C76" s="148">
        <f t="shared" ca="1" si="2"/>
        <v>41</v>
      </c>
      <c r="D76" s="87">
        <v>10906923</v>
      </c>
      <c r="E76" s="159" t="s">
        <v>4727</v>
      </c>
      <c r="F76" s="252">
        <v>44636</v>
      </c>
      <c r="G76" s="155">
        <f>IF(F76&lt;&gt;"",'CONCEPTOS Y PARAMETROS'!$M$2-YEAR(F76),"")</f>
        <v>3</v>
      </c>
      <c r="H76" s="158">
        <v>0</v>
      </c>
      <c r="I76" s="156" t="str">
        <f>IFERROR(VLOOKUP(J76,CARGOS!A:F,2,0),"")</f>
        <v>79511</v>
      </c>
      <c r="J76" s="88" t="s">
        <v>1162</v>
      </c>
      <c r="K76" s="142" t="s">
        <v>4649</v>
      </c>
      <c r="L76" s="251">
        <v>192</v>
      </c>
    </row>
    <row r="77" spans="2:12" ht="15.75" thickBot="1">
      <c r="B77" s="149" t="s">
        <v>2846</v>
      </c>
      <c r="C77" s="148">
        <f t="shared" ca="1" si="2"/>
        <v>42</v>
      </c>
      <c r="D77" s="87">
        <v>10908510</v>
      </c>
      <c r="E77" s="159" t="s">
        <v>4728</v>
      </c>
      <c r="F77" s="252">
        <v>39874</v>
      </c>
      <c r="G77" s="155">
        <f>IF(F77&lt;&gt;"",'CONCEPTOS Y PARAMETROS'!$M$2-YEAR(F77),"")</f>
        <v>16</v>
      </c>
      <c r="H77" s="158">
        <v>6</v>
      </c>
      <c r="I77" s="156" t="str">
        <f>IFERROR(VLOOKUP(J77,CARGOS!A:F,2,0),"")</f>
        <v>79532</v>
      </c>
      <c r="J77" s="88" t="s">
        <v>1558</v>
      </c>
      <c r="K77" s="142" t="s">
        <v>4935</v>
      </c>
      <c r="L77" s="251">
        <v>287</v>
      </c>
    </row>
    <row r="78" spans="2:12" ht="15.75" thickBot="1">
      <c r="B78" s="149" t="s">
        <v>2846</v>
      </c>
      <c r="C78" s="148">
        <f t="shared" ca="1" si="2"/>
        <v>43</v>
      </c>
      <c r="D78" s="87">
        <v>10909245</v>
      </c>
      <c r="E78" s="215" t="s">
        <v>4729</v>
      </c>
      <c r="F78" s="252">
        <v>36054</v>
      </c>
      <c r="G78" s="155">
        <f>IF(F78&lt;&gt;"",'CONCEPTOS Y PARAMETROS'!$M$2-YEAR(F78),"")</f>
        <v>27</v>
      </c>
      <c r="H78" s="158">
        <v>0</v>
      </c>
      <c r="I78" s="156" t="str">
        <f>IFERROR(VLOOKUP(J78,CARGOS!A:F,2,0),"")</f>
        <v>79512</v>
      </c>
      <c r="J78" s="88" t="s">
        <v>1164</v>
      </c>
      <c r="K78" s="142" t="s">
        <v>4941</v>
      </c>
      <c r="L78" s="251">
        <v>228</v>
      </c>
    </row>
    <row r="79" spans="2:12" ht="15.75" thickBot="1">
      <c r="B79" s="149" t="s">
        <v>2846</v>
      </c>
      <c r="C79" s="148">
        <f t="shared" ca="1" si="2"/>
        <v>44</v>
      </c>
      <c r="D79" s="87">
        <v>10910698</v>
      </c>
      <c r="E79" s="159" t="s">
        <v>4730</v>
      </c>
      <c r="F79" s="252">
        <v>43891</v>
      </c>
      <c r="G79" s="155">
        <f>IF(F79&lt;&gt;"",'CONCEPTOS Y PARAMETROS'!$M$2-YEAR(F79),"")</f>
        <v>5</v>
      </c>
      <c r="H79" s="158">
        <v>0</v>
      </c>
      <c r="I79" s="156" t="str">
        <f>IFERROR(VLOOKUP(J79,CARGOS!A:F,2,0),"")</f>
        <v>12111</v>
      </c>
      <c r="J79" s="88" t="s">
        <v>322</v>
      </c>
      <c r="K79" s="142" t="s">
        <v>4946</v>
      </c>
      <c r="L79" s="251">
        <v>150</v>
      </c>
    </row>
    <row r="80" spans="2:12" ht="15.75" thickBot="1">
      <c r="B80" s="149" t="s">
        <v>2846</v>
      </c>
      <c r="C80" s="148">
        <f t="shared" ca="1" si="2"/>
        <v>45</v>
      </c>
      <c r="D80" s="87">
        <v>10912399</v>
      </c>
      <c r="E80" s="159" t="s">
        <v>4731</v>
      </c>
      <c r="F80" s="252">
        <v>44621</v>
      </c>
      <c r="G80" s="155">
        <f>IF(F80&lt;&gt;"",'CONCEPTOS Y PARAMETROS'!$M$2-YEAR(F80),"")</f>
        <v>3</v>
      </c>
      <c r="H80" s="158">
        <v>0</v>
      </c>
      <c r="I80" s="156" t="str">
        <f>IFERROR(VLOOKUP(J80,CARGOS!A:F,2,0),"")</f>
        <v>79511</v>
      </c>
      <c r="J80" s="88" t="s">
        <v>1162</v>
      </c>
      <c r="K80" s="142" t="s">
        <v>4650</v>
      </c>
      <c r="L80" s="251">
        <v>130</v>
      </c>
    </row>
    <row r="81" spans="2:12" ht="15.75" thickBot="1">
      <c r="B81" s="149" t="s">
        <v>2846</v>
      </c>
      <c r="C81" s="148">
        <f t="shared" ca="1" si="2"/>
        <v>46</v>
      </c>
      <c r="D81" s="87">
        <v>10913637</v>
      </c>
      <c r="E81" s="159" t="s">
        <v>4732</v>
      </c>
      <c r="F81" s="252">
        <v>40664</v>
      </c>
      <c r="G81" s="155">
        <f>IF(F81&lt;&gt;"",'CONCEPTOS Y PARAMETROS'!$M$2-YEAR(F81),"")</f>
        <v>14</v>
      </c>
      <c r="H81" s="158">
        <v>0</v>
      </c>
      <c r="I81" s="156" t="str">
        <f>IFERROR(VLOOKUP(J81,CARGOS!A:F,2,0),"")</f>
        <v>79512</v>
      </c>
      <c r="J81" s="88" t="s">
        <v>1164</v>
      </c>
      <c r="K81" s="142" t="s">
        <v>4942</v>
      </c>
      <c r="L81" s="251">
        <v>283</v>
      </c>
    </row>
    <row r="82" spans="2:12" ht="15.75" thickBot="1">
      <c r="B82" s="149" t="s">
        <v>2846</v>
      </c>
      <c r="C82" s="148">
        <f t="shared" ca="1" si="2"/>
        <v>47</v>
      </c>
      <c r="D82" s="87">
        <v>10913178</v>
      </c>
      <c r="E82" s="159" t="s">
        <v>4733</v>
      </c>
      <c r="F82" s="252">
        <v>44805</v>
      </c>
      <c r="G82" s="155">
        <f>IF(F82&lt;&gt;"",'CONCEPTOS Y PARAMETROS'!$M$2-YEAR(F82),"")</f>
        <v>3</v>
      </c>
      <c r="H82" s="158">
        <v>9</v>
      </c>
      <c r="I82" s="156" t="str">
        <f>IFERROR(VLOOKUP(J82,CARGOS!A:F,2,0),"")</f>
        <v>79330</v>
      </c>
      <c r="J82" s="88" t="s">
        <v>477</v>
      </c>
      <c r="K82" s="142" t="s">
        <v>4644</v>
      </c>
      <c r="L82" s="251">
        <v>172</v>
      </c>
    </row>
    <row r="83" spans="2:12" ht="15.75" thickBot="1">
      <c r="B83" s="149" t="s">
        <v>2846</v>
      </c>
      <c r="C83" s="148">
        <f t="shared" ca="1" si="2"/>
        <v>48</v>
      </c>
      <c r="D83" s="87">
        <v>10915223</v>
      </c>
      <c r="E83" s="159" t="s">
        <v>4734</v>
      </c>
      <c r="F83" s="252">
        <v>35339</v>
      </c>
      <c r="G83" s="155">
        <f>IF(F83&lt;&gt;"",'CONCEPTOS Y PARAMETROS'!$M$2-YEAR(F83),"")</f>
        <v>29</v>
      </c>
      <c r="H83" s="158">
        <v>0</v>
      </c>
      <c r="I83" s="156" t="str">
        <f>IFERROR(VLOOKUP(J83,CARGOS!A:F,2,0),"")</f>
        <v>79523</v>
      </c>
      <c r="J83" s="88" t="s">
        <v>2473</v>
      </c>
      <c r="K83" s="142" t="s">
        <v>4947</v>
      </c>
      <c r="L83" s="251">
        <v>316</v>
      </c>
    </row>
    <row r="84" spans="2:12" ht="15.75" thickBot="1">
      <c r="B84" s="149" t="s">
        <v>2846</v>
      </c>
      <c r="C84" s="148">
        <f t="shared" ca="1" si="2"/>
        <v>49</v>
      </c>
      <c r="D84" s="87">
        <v>10915384</v>
      </c>
      <c r="E84" s="159" t="s">
        <v>4735</v>
      </c>
      <c r="F84" s="252">
        <v>43147</v>
      </c>
      <c r="G84" s="155">
        <f>IF(F84&lt;&gt;"",'CONCEPTOS Y PARAMETROS'!$M$2-YEAR(F84),"")</f>
        <v>7</v>
      </c>
      <c r="H84" s="158">
        <v>0</v>
      </c>
      <c r="I84" s="156" t="str">
        <f>IFERROR(VLOOKUP(J84,CARGOS!A:F,2,0),"")</f>
        <v>79512</v>
      </c>
      <c r="J84" s="88" t="s">
        <v>1164</v>
      </c>
      <c r="K84" s="142" t="s">
        <v>4647</v>
      </c>
      <c r="L84" s="251">
        <v>219</v>
      </c>
    </row>
    <row r="85" spans="2:12" ht="15.75" thickBot="1">
      <c r="B85" s="149" t="s">
        <v>2846</v>
      </c>
      <c r="C85" s="148">
        <f t="shared" ca="1" si="2"/>
        <v>50</v>
      </c>
      <c r="D85" s="87">
        <v>10915597</v>
      </c>
      <c r="E85" s="159" t="s">
        <v>4736</v>
      </c>
      <c r="F85" s="252">
        <v>44501</v>
      </c>
      <c r="G85" s="155">
        <f>IF(F85&lt;&gt;"",'CONCEPTOS Y PARAMETROS'!$M$2-YEAR(F85),"")</f>
        <v>4</v>
      </c>
      <c r="H85" s="158">
        <v>0</v>
      </c>
      <c r="I85" s="156" t="str">
        <f>IFERROR(VLOOKUP(J85,CARGOS!A:F,2,0),"")</f>
        <v>79511</v>
      </c>
      <c r="J85" s="88" t="s">
        <v>1162</v>
      </c>
      <c r="K85" s="142" t="s">
        <v>4649</v>
      </c>
      <c r="L85" s="251">
        <v>192</v>
      </c>
    </row>
    <row r="86" spans="2:12" ht="15.75" thickBot="1">
      <c r="B86" s="149" t="s">
        <v>2846</v>
      </c>
      <c r="C86" s="148">
        <f t="shared" ca="1" si="2"/>
        <v>51</v>
      </c>
      <c r="D86" s="87">
        <v>10915883</v>
      </c>
      <c r="E86" s="215" t="s">
        <v>4737</v>
      </c>
      <c r="F86" s="252">
        <v>44332</v>
      </c>
      <c r="G86" s="155">
        <f>IF(F86&lt;&gt;"",'CONCEPTOS Y PARAMETROS'!$M$2-YEAR(F86),"")</f>
        <v>4</v>
      </c>
      <c r="H86" s="158">
        <v>0</v>
      </c>
      <c r="I86" s="156" t="str">
        <f>IFERROR(VLOOKUP(J86,CARGOS!A:F,2,0),"")</f>
        <v>79511</v>
      </c>
      <c r="J86" s="88" t="s">
        <v>1162</v>
      </c>
      <c r="K86" s="142" t="s">
        <v>4650</v>
      </c>
      <c r="L86" s="251">
        <v>130</v>
      </c>
    </row>
    <row r="87" spans="2:12" ht="15.75" thickBot="1">
      <c r="B87" s="149" t="s">
        <v>2846</v>
      </c>
      <c r="C87" s="148">
        <f t="shared" ca="1" si="2"/>
        <v>52</v>
      </c>
      <c r="D87" s="87">
        <v>11132943</v>
      </c>
      <c r="E87" s="159" t="s">
        <v>4738</v>
      </c>
      <c r="F87" s="252">
        <v>39738</v>
      </c>
      <c r="G87" s="155">
        <f>IF(F87&lt;&gt;"",'CONCEPTOS Y PARAMETROS'!$M$2-YEAR(F87),"")</f>
        <v>17</v>
      </c>
      <c r="H87" s="158">
        <v>0</v>
      </c>
      <c r="I87" s="156" t="str">
        <f>IFERROR(VLOOKUP(J87,CARGOS!A:F,2,0),"")</f>
        <v>79512</v>
      </c>
      <c r="J87" s="88" t="s">
        <v>1164</v>
      </c>
      <c r="K87" s="142" t="s">
        <v>4934</v>
      </c>
      <c r="L87" s="251">
        <v>176</v>
      </c>
    </row>
    <row r="88" spans="2:12" ht="15.75" thickBot="1">
      <c r="B88" s="149" t="s">
        <v>2846</v>
      </c>
      <c r="C88" s="148">
        <f t="shared" ca="1" si="2"/>
        <v>53</v>
      </c>
      <c r="D88" s="87">
        <v>11132979</v>
      </c>
      <c r="E88" s="159" t="s">
        <v>4739</v>
      </c>
      <c r="F88" s="252">
        <v>44348</v>
      </c>
      <c r="G88" s="155">
        <f>IF(F88&lt;&gt;"",'CONCEPTOS Y PARAMETROS'!$M$2-YEAR(F88),"")</f>
        <v>4</v>
      </c>
      <c r="H88" s="158">
        <v>12</v>
      </c>
      <c r="I88" s="156" t="str">
        <f>IFERROR(VLOOKUP(J88,CARGOS!A:F,2,0),"")</f>
        <v>79512</v>
      </c>
      <c r="J88" s="88" t="s">
        <v>1164</v>
      </c>
      <c r="K88" s="142" t="s">
        <v>4942</v>
      </c>
      <c r="L88" s="251">
        <v>283</v>
      </c>
    </row>
    <row r="89" spans="2:12" ht="15.75" thickBot="1">
      <c r="B89" s="149" t="s">
        <v>2846</v>
      </c>
      <c r="C89" s="148">
        <f t="shared" ca="1" si="2"/>
        <v>54</v>
      </c>
      <c r="D89" s="87">
        <v>11257247</v>
      </c>
      <c r="E89" s="159" t="s">
        <v>4740</v>
      </c>
      <c r="F89" s="252">
        <v>42492</v>
      </c>
      <c r="G89" s="155">
        <f>IF(F89&lt;&gt;"",'CONCEPTOS Y PARAMETROS'!$M$2-YEAR(F89),"")</f>
        <v>9</v>
      </c>
      <c r="H89" s="158">
        <v>0</v>
      </c>
      <c r="I89" s="156" t="str">
        <f>IFERROR(VLOOKUP(J89,CARGOS!A:F,2,0),"")</f>
        <v>82112</v>
      </c>
      <c r="J89" s="88" t="s">
        <v>837</v>
      </c>
      <c r="K89" s="142" t="s">
        <v>4643</v>
      </c>
      <c r="L89" s="251">
        <v>279</v>
      </c>
    </row>
    <row r="90" spans="2:12" ht="15.75" thickBot="1">
      <c r="B90" s="149" t="s">
        <v>2846</v>
      </c>
      <c r="C90" s="148">
        <f t="shared" ca="1" si="2"/>
        <v>55</v>
      </c>
      <c r="D90" s="87">
        <v>11318142</v>
      </c>
      <c r="E90" s="215" t="s">
        <v>4741</v>
      </c>
      <c r="F90" s="252">
        <v>43983</v>
      </c>
      <c r="G90" s="155">
        <f>IF(F90&lt;&gt;"",'CONCEPTOS Y PARAMETROS'!$M$2-YEAR(F90),"")</f>
        <v>5</v>
      </c>
      <c r="H90" s="158">
        <v>0</v>
      </c>
      <c r="I90" s="156" t="str">
        <f>IFERROR(VLOOKUP(J90,CARGOS!A:F,2,0),"")</f>
        <v>25211</v>
      </c>
      <c r="J90" s="88" t="s">
        <v>132</v>
      </c>
      <c r="K90" s="142" t="s">
        <v>4946</v>
      </c>
      <c r="L90" s="251">
        <v>150</v>
      </c>
    </row>
    <row r="91" spans="2:12" ht="15.75" thickBot="1">
      <c r="B91" s="149" t="s">
        <v>2846</v>
      </c>
      <c r="C91" s="148">
        <f t="shared" ca="1" si="2"/>
        <v>56</v>
      </c>
      <c r="D91" s="87">
        <v>11318697</v>
      </c>
      <c r="E91" s="159" t="s">
        <v>4742</v>
      </c>
      <c r="F91" s="252">
        <v>39539</v>
      </c>
      <c r="G91" s="155">
        <f>IF(F91&lt;&gt;"",'CONCEPTOS Y PARAMETROS'!$M$2-YEAR(F91),"")</f>
        <v>17</v>
      </c>
      <c r="H91" s="158">
        <v>0</v>
      </c>
      <c r="I91" s="156" t="str">
        <f>IFERROR(VLOOKUP(J91,CARGOS!A:F,2,0),"")</f>
        <v>12113</v>
      </c>
      <c r="J91" s="88" t="s">
        <v>326</v>
      </c>
      <c r="K91" s="142" t="s">
        <v>4934</v>
      </c>
      <c r="L91" s="251">
        <v>176</v>
      </c>
    </row>
    <row r="92" spans="2:12" ht="15.75" thickBot="1">
      <c r="B92" s="149" t="s">
        <v>2846</v>
      </c>
      <c r="C92" s="148">
        <f t="shared" ca="1" si="2"/>
        <v>57</v>
      </c>
      <c r="D92" s="87">
        <v>11319154</v>
      </c>
      <c r="E92" s="215" t="s">
        <v>4743</v>
      </c>
      <c r="F92" s="252">
        <v>34428</v>
      </c>
      <c r="G92" s="155">
        <f>IF(F92&lt;&gt;"",'CONCEPTOS Y PARAMETROS'!$M$2-YEAR(F92),"")</f>
        <v>31</v>
      </c>
      <c r="H92" s="158">
        <v>0</v>
      </c>
      <c r="I92" s="156" t="str">
        <f>IFERROR(VLOOKUP(J92,CARGOS!A:F,2,0),"")</f>
        <v>79512</v>
      </c>
      <c r="J92" s="88" t="s">
        <v>1164</v>
      </c>
      <c r="K92" s="142" t="s">
        <v>4947</v>
      </c>
      <c r="L92" s="251">
        <v>316</v>
      </c>
    </row>
    <row r="93" spans="2:12" ht="15.75" thickBot="1">
      <c r="B93" s="149" t="s">
        <v>2846</v>
      </c>
      <c r="C93" s="148">
        <f t="shared" ca="1" si="2"/>
        <v>58</v>
      </c>
      <c r="D93" s="87">
        <v>11320533</v>
      </c>
      <c r="E93" s="159" t="s">
        <v>4744</v>
      </c>
      <c r="F93" s="252">
        <v>37629</v>
      </c>
      <c r="G93" s="155">
        <f>IF(F93&lt;&gt;"",'CONCEPTOS Y PARAMETROS'!$M$2-YEAR(F93),"")</f>
        <v>22</v>
      </c>
      <c r="H93" s="158">
        <v>0</v>
      </c>
      <c r="I93" s="156" t="str">
        <f>IFERROR(VLOOKUP(J93,CARGOS!A:F,2,0),"")</f>
        <v>12124</v>
      </c>
      <c r="J93" s="88" t="s">
        <v>79</v>
      </c>
      <c r="K93" s="142" t="s">
        <v>4935</v>
      </c>
      <c r="L93" s="251">
        <v>287</v>
      </c>
    </row>
    <row r="94" spans="2:12" ht="15.75" thickBot="1">
      <c r="B94" s="149" t="s">
        <v>2846</v>
      </c>
      <c r="C94" s="148">
        <f t="shared" ca="1" si="2"/>
        <v>59</v>
      </c>
      <c r="D94" s="87">
        <v>11322871</v>
      </c>
      <c r="E94" s="159" t="s">
        <v>4745</v>
      </c>
      <c r="F94" s="252">
        <v>38718</v>
      </c>
      <c r="G94" s="155">
        <f>IF(F94&lt;&gt;"",'CONCEPTOS Y PARAMETROS'!$M$2-YEAR(F94),"")</f>
        <v>19</v>
      </c>
      <c r="H94" s="158">
        <v>0</v>
      </c>
      <c r="I94" s="156" t="str">
        <f>IFERROR(VLOOKUP(J94,CARGOS!A:F,2,0),"")</f>
        <v>79523</v>
      </c>
      <c r="J94" s="88" t="s">
        <v>2473</v>
      </c>
      <c r="K94" s="142" t="s">
        <v>4940</v>
      </c>
      <c r="L94" s="251">
        <v>285</v>
      </c>
    </row>
    <row r="95" spans="2:12" ht="15.75" thickBot="1">
      <c r="B95" s="149" t="s">
        <v>2846</v>
      </c>
      <c r="C95" s="148">
        <f t="shared" ca="1" si="2"/>
        <v>60</v>
      </c>
      <c r="D95" s="87">
        <v>11612620</v>
      </c>
      <c r="E95" s="159" t="s">
        <v>4746</v>
      </c>
      <c r="F95" s="252">
        <v>43845</v>
      </c>
      <c r="G95" s="155">
        <f>IF(F95&lt;&gt;"",'CONCEPTOS Y PARAMETROS'!$M$2-YEAR(F95),"")</f>
        <v>5</v>
      </c>
      <c r="H95" s="158">
        <v>0</v>
      </c>
      <c r="I95" s="156" t="str">
        <f>IFERROR(VLOOKUP(J95,CARGOS!A:F,2,0),"")</f>
        <v>79511</v>
      </c>
      <c r="J95" s="88" t="s">
        <v>1162</v>
      </c>
      <c r="K95" s="142" t="s">
        <v>4647</v>
      </c>
      <c r="L95" s="251">
        <v>219</v>
      </c>
    </row>
    <row r="96" spans="2:12" ht="15.75" thickBot="1">
      <c r="B96" s="149" t="s">
        <v>2846</v>
      </c>
      <c r="C96" s="148">
        <f t="shared" ca="1" si="2"/>
        <v>61</v>
      </c>
      <c r="D96" s="87">
        <v>11616673</v>
      </c>
      <c r="E96" s="159" t="s">
        <v>4747</v>
      </c>
      <c r="F96" s="252">
        <v>35066</v>
      </c>
      <c r="G96" s="155">
        <f>IF(F96&lt;&gt;"",'CONCEPTOS Y PARAMETROS'!$M$2-YEAR(F96),"")</f>
        <v>29</v>
      </c>
      <c r="H96" s="158">
        <v>0</v>
      </c>
      <c r="I96" s="156" t="str">
        <f>IFERROR(VLOOKUP(J96,CARGOS!A:F,2,0),"")</f>
        <v>79523</v>
      </c>
      <c r="J96" s="88" t="s">
        <v>2473</v>
      </c>
      <c r="K96" s="142" t="s">
        <v>4935</v>
      </c>
      <c r="L96" s="251">
        <v>287</v>
      </c>
    </row>
    <row r="97" spans="2:12" ht="15.75" thickBot="1">
      <c r="B97" s="149" t="s">
        <v>2846</v>
      </c>
      <c r="C97" s="148">
        <f t="shared" ca="1" si="2"/>
        <v>62</v>
      </c>
      <c r="D97" s="87">
        <v>11734553</v>
      </c>
      <c r="E97" s="159" t="s">
        <v>4748</v>
      </c>
      <c r="F97" s="252">
        <v>43206</v>
      </c>
      <c r="G97" s="155">
        <f>IF(F97&lt;&gt;"",'CONCEPTOS Y PARAMETROS'!$M$2-YEAR(F97),"")</f>
        <v>7</v>
      </c>
      <c r="H97" s="158">
        <v>0</v>
      </c>
      <c r="I97" s="156" t="str">
        <f>IFERROR(VLOOKUP(J97,CARGOS!A:F,2,0),"")</f>
        <v>79521</v>
      </c>
      <c r="J97" s="88" t="s">
        <v>2469</v>
      </c>
      <c r="K97" s="142" t="s">
        <v>4948</v>
      </c>
      <c r="L97" s="251">
        <v>307</v>
      </c>
    </row>
    <row r="98" spans="2:12" ht="15.75" thickBot="1">
      <c r="B98" s="149" t="s">
        <v>2846</v>
      </c>
      <c r="C98" s="148">
        <f t="shared" ca="1" si="2"/>
        <v>63</v>
      </c>
      <c r="D98" s="87">
        <v>11896941</v>
      </c>
      <c r="E98" s="159" t="s">
        <v>4749</v>
      </c>
      <c r="F98" s="252">
        <v>38698</v>
      </c>
      <c r="G98" s="155">
        <f>IF(F98&lt;&gt;"",'CONCEPTOS Y PARAMETROS'!$M$2-YEAR(F98),"")</f>
        <v>20</v>
      </c>
      <c r="H98" s="158">
        <v>0</v>
      </c>
      <c r="I98" s="156" t="str">
        <f>IFERROR(VLOOKUP(J98,CARGOS!A:F,2,0),"")</f>
        <v>13413</v>
      </c>
      <c r="J98" s="88" t="s">
        <v>220</v>
      </c>
      <c r="K98" s="142" t="s">
        <v>4935</v>
      </c>
      <c r="L98" s="251">
        <v>287</v>
      </c>
    </row>
    <row r="99" spans="2:12" ht="15.75" thickBot="1">
      <c r="B99" s="149" t="s">
        <v>2846</v>
      </c>
      <c r="C99" s="148">
        <f t="shared" ca="1" si="2"/>
        <v>64</v>
      </c>
      <c r="D99" s="87">
        <v>11898486</v>
      </c>
      <c r="E99" s="159" t="s">
        <v>4750</v>
      </c>
      <c r="F99" s="252">
        <v>40065</v>
      </c>
      <c r="G99" s="155">
        <f>IF(F99&lt;&gt;"",'CONCEPTOS Y PARAMETROS'!$M$2-YEAR(F99),"")</f>
        <v>16</v>
      </c>
      <c r="H99" s="158">
        <v>0</v>
      </c>
      <c r="I99" s="156" t="str">
        <f>IFERROR(VLOOKUP(J99,CARGOS!A:F,2,0),"")</f>
        <v>12113</v>
      </c>
      <c r="J99" s="88" t="s">
        <v>326</v>
      </c>
      <c r="K99" s="142" t="s">
        <v>4945</v>
      </c>
      <c r="L99" s="251">
        <v>225</v>
      </c>
    </row>
    <row r="100" spans="2:12" ht="15.75" thickBot="1">
      <c r="B100" s="149" t="s">
        <v>2846</v>
      </c>
      <c r="C100" s="148">
        <f t="shared" ca="1" si="2"/>
        <v>65</v>
      </c>
      <c r="D100" s="87">
        <v>12040792</v>
      </c>
      <c r="E100" s="159" t="s">
        <v>4751</v>
      </c>
      <c r="F100" s="252">
        <v>43236</v>
      </c>
      <c r="G100" s="155">
        <f>IF(F100&lt;&gt;"",'CONCEPTOS Y PARAMETROS'!$M$2-YEAR(F100),"")</f>
        <v>7</v>
      </c>
      <c r="H100" s="158">
        <v>0</v>
      </c>
      <c r="I100" s="156" t="str">
        <f>IFERROR(VLOOKUP(J100,CARGOS!A:F,2,0),"")</f>
        <v>22413</v>
      </c>
      <c r="J100" s="88" t="s">
        <v>2194</v>
      </c>
      <c r="K100" s="142" t="s">
        <v>4647</v>
      </c>
      <c r="L100" s="251">
        <v>219</v>
      </c>
    </row>
    <row r="101" spans="2:12" ht="15.75" thickBot="1">
      <c r="B101" s="149" t="s">
        <v>2846</v>
      </c>
      <c r="C101" s="148">
        <f t="shared" ca="1" si="2"/>
        <v>66</v>
      </c>
      <c r="D101" s="87">
        <v>12041701</v>
      </c>
      <c r="E101" s="159" t="s">
        <v>4752</v>
      </c>
      <c r="F101" s="252">
        <v>43359</v>
      </c>
      <c r="G101" s="155">
        <f>IF(F101&lt;&gt;"",'CONCEPTOS Y PARAMETROS'!$M$2-YEAR(F101),"")</f>
        <v>7</v>
      </c>
      <c r="H101" s="158">
        <v>0</v>
      </c>
      <c r="I101" s="156" t="str">
        <f>IFERROR(VLOOKUP(J101,CARGOS!A:F,2,0),"")</f>
        <v>79511</v>
      </c>
      <c r="J101" s="88" t="s">
        <v>1162</v>
      </c>
      <c r="K101" s="142" t="s">
        <v>4946</v>
      </c>
      <c r="L101" s="251">
        <v>150</v>
      </c>
    </row>
    <row r="102" spans="2:12" ht="15.75" thickBot="1">
      <c r="B102" s="149" t="s">
        <v>2846</v>
      </c>
      <c r="C102" s="148">
        <f t="shared" ca="1" si="2"/>
        <v>67</v>
      </c>
      <c r="D102" s="87">
        <v>12042855</v>
      </c>
      <c r="E102" s="215" t="s">
        <v>4753</v>
      </c>
      <c r="F102" s="216">
        <v>44028</v>
      </c>
      <c r="G102" s="155">
        <f>IF(F102&lt;&gt;"",'CONCEPTOS Y PARAMETROS'!$M$2-YEAR(F102),"")</f>
        <v>5</v>
      </c>
      <c r="H102" s="158">
        <v>0</v>
      </c>
      <c r="I102" s="156" t="str">
        <f>IFERROR(VLOOKUP(J102,CARGOS!A:F,2,0),"")</f>
        <v>71341</v>
      </c>
      <c r="J102" s="88" t="s">
        <v>969</v>
      </c>
      <c r="K102" s="142" t="s">
        <v>4647</v>
      </c>
      <c r="L102" s="251">
        <v>219</v>
      </c>
    </row>
    <row r="103" spans="2:12" ht="15.75" thickBot="1">
      <c r="B103" s="149" t="s">
        <v>2846</v>
      </c>
      <c r="C103" s="148">
        <f t="shared" ca="1" si="2"/>
        <v>68</v>
      </c>
      <c r="D103" s="87">
        <v>12045360</v>
      </c>
      <c r="E103" s="159" t="s">
        <v>4754</v>
      </c>
      <c r="F103" s="252">
        <v>39238</v>
      </c>
      <c r="G103" s="155">
        <f>IF(F103&lt;&gt;"",'CONCEPTOS Y PARAMETROS'!$M$2-YEAR(F103),"")</f>
        <v>18</v>
      </c>
      <c r="H103" s="158">
        <v>0</v>
      </c>
      <c r="I103" s="156" t="str">
        <f>IFERROR(VLOOKUP(J103,CARGOS!A:F,2,0),"")</f>
        <v>79511</v>
      </c>
      <c r="J103" s="88" t="s">
        <v>1162</v>
      </c>
      <c r="K103" s="142" t="s">
        <v>4934</v>
      </c>
      <c r="L103" s="251">
        <v>176</v>
      </c>
    </row>
    <row r="104" spans="2:12" ht="15.75" thickBot="1">
      <c r="B104" s="149" t="s">
        <v>2846</v>
      </c>
      <c r="C104" s="148">
        <f t="shared" ca="1" si="2"/>
        <v>69</v>
      </c>
      <c r="D104" s="87">
        <v>12045504</v>
      </c>
      <c r="E104" s="159" t="s">
        <v>4755</v>
      </c>
      <c r="F104" s="252">
        <v>43862</v>
      </c>
      <c r="G104" s="155">
        <f>IF(F104&lt;&gt;"",'CONCEPTOS Y PARAMETROS'!$M$2-YEAR(F104),"")</f>
        <v>5</v>
      </c>
      <c r="H104" s="158">
        <v>0</v>
      </c>
      <c r="I104" s="156" t="str">
        <f>IFERROR(VLOOKUP(J104,CARGOS!A:F,2,0),"")</f>
        <v>12111</v>
      </c>
      <c r="J104" s="88" t="s">
        <v>322</v>
      </c>
      <c r="K104" s="142" t="s">
        <v>4946</v>
      </c>
      <c r="L104" s="251">
        <v>150</v>
      </c>
    </row>
    <row r="105" spans="2:12" ht="15.75" thickBot="1">
      <c r="B105" s="149" t="s">
        <v>2846</v>
      </c>
      <c r="C105" s="148">
        <f t="shared" ca="1" si="2"/>
        <v>70</v>
      </c>
      <c r="D105" s="87">
        <v>12045934</v>
      </c>
      <c r="E105" s="159" t="s">
        <v>4756</v>
      </c>
      <c r="F105" s="252">
        <v>36342</v>
      </c>
      <c r="G105" s="155">
        <f>IF(F105&lt;&gt;"",'CONCEPTOS Y PARAMETROS'!$M$2-YEAR(F105),"")</f>
        <v>26</v>
      </c>
      <c r="H105" s="158">
        <v>1</v>
      </c>
      <c r="I105" s="156" t="str">
        <f>IFERROR(VLOOKUP(J105,CARGOS!A:F,2,0),"")</f>
        <v>23471</v>
      </c>
      <c r="J105" s="88" t="s">
        <v>1010</v>
      </c>
      <c r="K105" s="142" t="s">
        <v>4935</v>
      </c>
      <c r="L105" s="251">
        <v>287</v>
      </c>
    </row>
    <row r="106" spans="2:12" ht="15.75" thickBot="1">
      <c r="B106" s="149" t="s">
        <v>2846</v>
      </c>
      <c r="C106" s="148">
        <f t="shared" ca="1" si="2"/>
        <v>71</v>
      </c>
      <c r="D106" s="87">
        <v>12047033</v>
      </c>
      <c r="E106" s="159" t="s">
        <v>4949</v>
      </c>
      <c r="F106" s="252">
        <v>39937</v>
      </c>
      <c r="G106" s="155">
        <f>IF(F106&lt;&gt;"",'CONCEPTOS Y PARAMETROS'!$M$2-YEAR(F106),"")</f>
        <v>16</v>
      </c>
      <c r="H106" s="158">
        <v>0</v>
      </c>
      <c r="I106" s="156" t="str">
        <f>IFERROR(VLOOKUP(J106,CARGOS!A:F,2,0),"")</f>
        <v>79512</v>
      </c>
      <c r="J106" s="88" t="s">
        <v>1164</v>
      </c>
      <c r="K106" s="142" t="s">
        <v>4942</v>
      </c>
      <c r="L106" s="251">
        <v>283</v>
      </c>
    </row>
    <row r="107" spans="2:12" ht="15.75" thickBot="1">
      <c r="B107" s="149" t="s">
        <v>2846</v>
      </c>
      <c r="C107" s="148">
        <f t="shared" ca="1" si="2"/>
        <v>72</v>
      </c>
      <c r="D107" s="87">
        <v>12457981</v>
      </c>
      <c r="E107" s="159" t="s">
        <v>4757</v>
      </c>
      <c r="F107" s="252">
        <v>44348</v>
      </c>
      <c r="G107" s="155">
        <f>IF(F107&lt;&gt;"",'CONCEPTOS Y PARAMETROS'!$M$2-YEAR(F107),"")</f>
        <v>4</v>
      </c>
      <c r="H107" s="158">
        <v>4</v>
      </c>
      <c r="I107" s="156" t="str">
        <f>IFERROR(VLOOKUP(J107,CARGOS!A:F,2,0),"")</f>
        <v>75311</v>
      </c>
      <c r="J107" s="88" t="s">
        <v>1706</v>
      </c>
      <c r="K107" s="142" t="s">
        <v>4643</v>
      </c>
      <c r="L107" s="251">
        <v>279</v>
      </c>
    </row>
    <row r="108" spans="2:12" ht="15.75" thickBot="1">
      <c r="B108" s="149" t="s">
        <v>2846</v>
      </c>
      <c r="C108" s="148">
        <f t="shared" ca="1" si="2"/>
        <v>73</v>
      </c>
      <c r="D108" s="87">
        <v>12458811</v>
      </c>
      <c r="E108" s="159" t="s">
        <v>4758</v>
      </c>
      <c r="F108" s="252">
        <v>39514</v>
      </c>
      <c r="G108" s="155">
        <f>IF(F108&lt;&gt;"",'CONCEPTOS Y PARAMETROS'!$M$2-YEAR(F108),"")</f>
        <v>17</v>
      </c>
      <c r="H108" s="158">
        <v>7</v>
      </c>
      <c r="I108" s="156" t="str">
        <f>IFERROR(VLOOKUP(J108,CARGOS!A:F,2,0),"")</f>
        <v>13420</v>
      </c>
      <c r="J108" s="88" t="s">
        <v>224</v>
      </c>
      <c r="K108" s="142" t="s">
        <v>4947</v>
      </c>
      <c r="L108" s="251">
        <v>316</v>
      </c>
    </row>
    <row r="109" spans="2:12" ht="15.75" thickBot="1">
      <c r="B109" s="149" t="s">
        <v>2846</v>
      </c>
      <c r="C109" s="148">
        <f t="shared" ca="1" si="2"/>
        <v>74</v>
      </c>
      <c r="D109" s="87">
        <v>12723030</v>
      </c>
      <c r="E109" s="159" t="s">
        <v>4759</v>
      </c>
      <c r="F109" s="252">
        <v>43132</v>
      </c>
      <c r="G109" s="155">
        <f>IF(F109&lt;&gt;"",'CONCEPTOS Y PARAMETROS'!$M$2-YEAR(F109),"")</f>
        <v>7</v>
      </c>
      <c r="H109" s="158">
        <v>0</v>
      </c>
      <c r="I109" s="156" t="str">
        <f>IFERROR(VLOOKUP(J109,CARGOS!A:F,2,0),"")</f>
        <v>34234</v>
      </c>
      <c r="J109" s="88" t="s">
        <v>980</v>
      </c>
      <c r="K109" s="142" t="s">
        <v>4648</v>
      </c>
      <c r="L109" s="251">
        <v>277</v>
      </c>
    </row>
    <row r="110" spans="2:12" ht="15.75" thickBot="1">
      <c r="B110" s="149" t="s">
        <v>2846</v>
      </c>
      <c r="C110" s="148">
        <f t="shared" ca="1" si="2"/>
        <v>75</v>
      </c>
      <c r="D110" s="87">
        <v>12723482</v>
      </c>
      <c r="E110" s="159" t="s">
        <v>4760</v>
      </c>
      <c r="F110" s="252">
        <v>44636</v>
      </c>
      <c r="G110" s="155">
        <f>IF(F110&lt;&gt;"",'CONCEPTOS Y PARAMETROS'!$M$2-YEAR(F110),"")</f>
        <v>3</v>
      </c>
      <c r="H110" s="158">
        <v>3</v>
      </c>
      <c r="I110" s="156" t="str">
        <f>IFERROR(VLOOKUP(J110,CARGOS!A:F,2,0),"")</f>
        <v>79521</v>
      </c>
      <c r="J110" s="88" t="s">
        <v>2469</v>
      </c>
      <c r="K110" s="142" t="s">
        <v>4648</v>
      </c>
      <c r="L110" s="251">
        <v>277</v>
      </c>
    </row>
    <row r="111" spans="2:12" ht="15.75" thickBot="1">
      <c r="B111" s="149" t="s">
        <v>2846</v>
      </c>
      <c r="C111" s="148">
        <f t="shared" ca="1" si="2"/>
        <v>76</v>
      </c>
      <c r="D111" s="87">
        <v>12798604</v>
      </c>
      <c r="E111" s="159" t="s">
        <v>4761</v>
      </c>
      <c r="F111" s="252">
        <v>35384</v>
      </c>
      <c r="G111" s="155">
        <f>IF(F111&lt;&gt;"",'CONCEPTOS Y PARAMETROS'!$M$2-YEAR(F111),"")</f>
        <v>29</v>
      </c>
      <c r="H111" s="158">
        <v>0</v>
      </c>
      <c r="I111" s="156" t="str">
        <f>IFERROR(VLOOKUP(J111,CARGOS!A:F,2,0),"")</f>
        <v>79512</v>
      </c>
      <c r="J111" s="88" t="s">
        <v>1164</v>
      </c>
      <c r="K111" s="142" t="s">
        <v>4937</v>
      </c>
      <c r="L111" s="251">
        <v>177</v>
      </c>
    </row>
    <row r="112" spans="2:12" ht="15.75" thickBot="1">
      <c r="B112" s="149" t="s">
        <v>2846</v>
      </c>
      <c r="C112" s="148">
        <f t="shared" ca="1" si="2"/>
        <v>77</v>
      </c>
      <c r="D112" s="87">
        <v>12798736</v>
      </c>
      <c r="E112" s="159" t="s">
        <v>4762</v>
      </c>
      <c r="F112" s="252">
        <v>39479</v>
      </c>
      <c r="G112" s="155">
        <f>IF(F112&lt;&gt;"",'CONCEPTOS Y PARAMETROS'!$M$2-YEAR(F112),"")</f>
        <v>17</v>
      </c>
      <c r="H112" s="158">
        <v>7</v>
      </c>
      <c r="I112" s="156" t="str">
        <f>IFERROR(VLOOKUP(J112,CARGOS!A:F,2,0),"")</f>
        <v>15126</v>
      </c>
      <c r="J112" s="88" t="s">
        <v>214</v>
      </c>
      <c r="K112" s="142" t="s">
        <v>4947</v>
      </c>
      <c r="L112" s="251">
        <v>316</v>
      </c>
    </row>
    <row r="113" spans="2:12" ht="15.75" thickBot="1">
      <c r="B113" s="149" t="s">
        <v>2846</v>
      </c>
      <c r="C113" s="148">
        <f t="shared" ca="1" si="2"/>
        <v>78</v>
      </c>
      <c r="D113" s="87">
        <v>12905693</v>
      </c>
      <c r="E113" s="159" t="s">
        <v>4763</v>
      </c>
      <c r="F113" s="252">
        <v>43040</v>
      </c>
      <c r="G113" s="155">
        <f>IF(F113&lt;&gt;"",'CONCEPTOS Y PARAMETROS'!$M$2-YEAR(F113),"")</f>
        <v>8</v>
      </c>
      <c r="H113" s="158">
        <v>0</v>
      </c>
      <c r="I113" s="156" t="str">
        <f>IFERROR(VLOOKUP(J113,CARGOS!A:F,2,0),"")</f>
        <v>79512</v>
      </c>
      <c r="J113" s="88" t="s">
        <v>1164</v>
      </c>
      <c r="K113" s="142" t="s">
        <v>4643</v>
      </c>
      <c r="L113" s="251">
        <v>279</v>
      </c>
    </row>
    <row r="114" spans="2:12" ht="15.75" thickBot="1">
      <c r="B114" s="149" t="s">
        <v>2846</v>
      </c>
      <c r="C114" s="148">
        <f t="shared" ca="1" si="2"/>
        <v>79</v>
      </c>
      <c r="D114" s="87">
        <v>12939010</v>
      </c>
      <c r="E114" s="159" t="s">
        <v>4764</v>
      </c>
      <c r="F114" s="252">
        <v>42948</v>
      </c>
      <c r="G114" s="155">
        <f>IF(F114&lt;&gt;"",'CONCEPTOS Y PARAMETROS'!$M$2-YEAR(F114),"")</f>
        <v>8</v>
      </c>
      <c r="H114" s="158">
        <v>0</v>
      </c>
      <c r="I114" s="156" t="str">
        <f>IFERROR(VLOOKUP(J114,CARGOS!A:F,2,0),"")</f>
        <v>12113</v>
      </c>
      <c r="J114" s="88" t="s">
        <v>326</v>
      </c>
      <c r="K114" s="142" t="s">
        <v>4950</v>
      </c>
      <c r="L114" s="251">
        <v>221</v>
      </c>
    </row>
    <row r="115" spans="2:12" ht="15.75" thickBot="1">
      <c r="B115" s="149" t="s">
        <v>2846</v>
      </c>
      <c r="C115" s="148">
        <f t="shared" ca="1" si="2"/>
        <v>80</v>
      </c>
      <c r="D115" s="87">
        <v>12941385</v>
      </c>
      <c r="E115" s="159" t="s">
        <v>4765</v>
      </c>
      <c r="F115" s="252">
        <v>42948</v>
      </c>
      <c r="G115" s="155">
        <f>IF(F115&lt;&gt;"",'CONCEPTOS Y PARAMETROS'!$M$2-YEAR(F115),"")</f>
        <v>8</v>
      </c>
      <c r="H115" s="158">
        <v>0</v>
      </c>
      <c r="I115" s="156" t="str">
        <f>IFERROR(VLOOKUP(J115,CARGOS!A:F,2,0),"")</f>
        <v>79521</v>
      </c>
      <c r="J115" s="88" t="s">
        <v>2469</v>
      </c>
      <c r="K115" s="142" t="s">
        <v>4643</v>
      </c>
      <c r="L115" s="251">
        <v>279</v>
      </c>
    </row>
    <row r="116" spans="2:12" ht="15.75" thickBot="1">
      <c r="B116" s="149" t="s">
        <v>2846</v>
      </c>
      <c r="C116" s="148">
        <f t="shared" ca="1" si="2"/>
        <v>81</v>
      </c>
      <c r="D116" s="87">
        <v>13117904</v>
      </c>
      <c r="E116" s="159" t="s">
        <v>4766</v>
      </c>
      <c r="F116" s="252">
        <v>43693</v>
      </c>
      <c r="G116" s="155">
        <f>IF(F116&lt;&gt;"",'CONCEPTOS Y PARAMETROS'!$M$2-YEAR(F116),"")</f>
        <v>6</v>
      </c>
      <c r="H116" s="158">
        <v>0</v>
      </c>
      <c r="I116" s="156" t="str">
        <f>IFERROR(VLOOKUP(J116,CARGOS!A:F,2,0),"")</f>
        <v>79511</v>
      </c>
      <c r="J116" s="88" t="s">
        <v>1162</v>
      </c>
      <c r="K116" s="142" t="s">
        <v>4946</v>
      </c>
      <c r="L116" s="251">
        <v>150</v>
      </c>
    </row>
    <row r="117" spans="2:12" ht="15.75" thickBot="1">
      <c r="B117" s="149" t="s">
        <v>2846</v>
      </c>
      <c r="C117" s="148">
        <f t="shared" ca="1" si="2"/>
        <v>82</v>
      </c>
      <c r="D117" s="87">
        <v>13206767</v>
      </c>
      <c r="E117" s="159" t="s">
        <v>4767</v>
      </c>
      <c r="F117" s="252">
        <v>44713</v>
      </c>
      <c r="G117" s="155">
        <f>IF(F117&lt;&gt;"",'CONCEPTOS Y PARAMETROS'!$M$2-YEAR(F117),"")</f>
        <v>3</v>
      </c>
      <c r="H117" s="158">
        <v>0</v>
      </c>
      <c r="I117" s="156" t="str">
        <f>IFERROR(VLOOKUP(J117,CARGOS!A:F,2,0),"")</f>
        <v>12114</v>
      </c>
      <c r="J117" s="88" t="s">
        <v>328</v>
      </c>
      <c r="K117" s="142" t="s">
        <v>4646</v>
      </c>
      <c r="L117" s="251">
        <v>246</v>
      </c>
    </row>
    <row r="118" spans="2:12" ht="15.75" thickBot="1">
      <c r="B118" s="149" t="s">
        <v>2846</v>
      </c>
      <c r="C118" s="148">
        <f t="shared" ca="1" si="2"/>
        <v>83</v>
      </c>
      <c r="D118" s="87">
        <v>13207692</v>
      </c>
      <c r="E118" s="159" t="s">
        <v>4768</v>
      </c>
      <c r="F118" s="252">
        <v>38504</v>
      </c>
      <c r="G118" s="155">
        <f>IF(F118&lt;&gt;"",'CONCEPTOS Y PARAMETROS'!$M$2-YEAR(F118),"")</f>
        <v>20</v>
      </c>
      <c r="H118" s="158">
        <v>0</v>
      </c>
      <c r="I118" s="156" t="str">
        <f>IFERROR(VLOOKUP(J118,CARGOS!A:F,2,0),"")</f>
        <v>12123</v>
      </c>
      <c r="J118" s="88" t="s">
        <v>77</v>
      </c>
      <c r="K118" s="142" t="s">
        <v>4935</v>
      </c>
      <c r="L118" s="251">
        <v>287</v>
      </c>
    </row>
    <row r="119" spans="2:12" ht="15.75" thickBot="1">
      <c r="B119" s="149" t="s">
        <v>2846</v>
      </c>
      <c r="C119" s="148">
        <f t="shared" ca="1" si="2"/>
        <v>84</v>
      </c>
      <c r="D119" s="87">
        <v>13261035</v>
      </c>
      <c r="E119" s="159" t="s">
        <v>4769</v>
      </c>
      <c r="F119" s="252">
        <v>43770</v>
      </c>
      <c r="G119" s="155">
        <f>IF(F119&lt;&gt;"",'CONCEPTOS Y PARAMETROS'!$M$2-YEAR(F119),"")</f>
        <v>6</v>
      </c>
      <c r="H119" s="158">
        <v>0</v>
      </c>
      <c r="I119" s="156" t="str">
        <f>IFERROR(VLOOKUP(J119,CARGOS!A:F,2,0),"")</f>
        <v>34235</v>
      </c>
      <c r="J119" s="88" t="s">
        <v>982</v>
      </c>
      <c r="K119" s="142" t="s">
        <v>4648</v>
      </c>
      <c r="L119" s="251">
        <v>277</v>
      </c>
    </row>
    <row r="120" spans="2:12" ht="15.75" thickBot="1">
      <c r="B120" s="149" t="s">
        <v>2846</v>
      </c>
      <c r="C120" s="148">
        <f t="shared" ca="1" si="2"/>
        <v>85</v>
      </c>
      <c r="D120" s="87">
        <v>13261229</v>
      </c>
      <c r="E120" s="159" t="s">
        <v>4770</v>
      </c>
      <c r="F120" s="252">
        <v>42644</v>
      </c>
      <c r="G120" s="155">
        <f>IF(F120&lt;&gt;"",'CONCEPTOS Y PARAMETROS'!$M$2-YEAR(F120),"")</f>
        <v>9</v>
      </c>
      <c r="H120" s="158">
        <v>0</v>
      </c>
      <c r="I120" s="156" t="str">
        <f>IFERROR(VLOOKUP(J120,CARGOS!A:F,2,0),"")</f>
        <v>79342</v>
      </c>
      <c r="J120" s="88" t="s">
        <v>2383</v>
      </c>
      <c r="K120" s="142" t="s">
        <v>4950</v>
      </c>
      <c r="L120" s="251">
        <v>221</v>
      </c>
    </row>
    <row r="121" spans="2:12" ht="15.75" thickBot="1">
      <c r="B121" s="149" t="s">
        <v>2846</v>
      </c>
      <c r="C121" s="148">
        <f t="shared" ca="1" si="2"/>
        <v>86</v>
      </c>
      <c r="D121" s="87">
        <v>13461747</v>
      </c>
      <c r="E121" s="159" t="s">
        <v>4771</v>
      </c>
      <c r="F121" s="252">
        <v>44683</v>
      </c>
      <c r="G121" s="155">
        <f>IF(F121&lt;&gt;"",'CONCEPTOS Y PARAMETROS'!$M$2-YEAR(F121),"")</f>
        <v>3</v>
      </c>
      <c r="H121" s="158">
        <v>2</v>
      </c>
      <c r="I121" s="156" t="str">
        <f>IFERROR(VLOOKUP(J121,CARGOS!A:F,2,0),"")</f>
        <v>12113</v>
      </c>
      <c r="J121" s="88" t="s">
        <v>326</v>
      </c>
      <c r="K121" s="142" t="s">
        <v>4647</v>
      </c>
      <c r="L121" s="251">
        <v>219</v>
      </c>
    </row>
    <row r="122" spans="2:12" ht="15.75" thickBot="1">
      <c r="B122" s="149" t="s">
        <v>2846</v>
      </c>
      <c r="C122" s="148">
        <f t="shared" ca="1" si="2"/>
        <v>87</v>
      </c>
      <c r="D122" s="87">
        <v>13461934</v>
      </c>
      <c r="E122" s="159" t="s">
        <v>4772</v>
      </c>
      <c r="F122" s="252">
        <v>43252</v>
      </c>
      <c r="G122" s="155">
        <f>IF(F122&lt;&gt;"",'CONCEPTOS Y PARAMETROS'!$M$2-YEAR(F122),"")</f>
        <v>7</v>
      </c>
      <c r="H122" s="158">
        <v>0</v>
      </c>
      <c r="I122" s="156" t="str">
        <f>IFERROR(VLOOKUP(J122,CARGOS!A:F,2,0),"")</f>
        <v>79512</v>
      </c>
      <c r="J122" s="88" t="s">
        <v>1164</v>
      </c>
      <c r="K122" s="142" t="s">
        <v>4946</v>
      </c>
      <c r="L122" s="251">
        <v>150</v>
      </c>
    </row>
    <row r="123" spans="2:12" ht="15.75" thickBot="1">
      <c r="B123" s="149" t="s">
        <v>2846</v>
      </c>
      <c r="C123" s="148">
        <f t="shared" ca="1" si="2"/>
        <v>88</v>
      </c>
      <c r="D123" s="87">
        <v>13522518</v>
      </c>
      <c r="E123" s="159" t="s">
        <v>4773</v>
      </c>
      <c r="F123" s="252">
        <v>43739</v>
      </c>
      <c r="G123" s="155">
        <f>IF(F123&lt;&gt;"",'CONCEPTOS Y PARAMETROS'!$M$2-YEAR(F123),"")</f>
        <v>6</v>
      </c>
      <c r="H123" s="158">
        <v>0</v>
      </c>
      <c r="I123" s="156" t="str">
        <f>IFERROR(VLOOKUP(J123,CARGOS!A:F,2,0),"")</f>
        <v>25211</v>
      </c>
      <c r="J123" s="88" t="s">
        <v>132</v>
      </c>
      <c r="K123" s="142" t="s">
        <v>4946</v>
      </c>
      <c r="L123" s="251">
        <v>150</v>
      </c>
    </row>
    <row r="124" spans="2:12" ht="15.75" thickBot="1">
      <c r="B124" s="149" t="s">
        <v>2846</v>
      </c>
      <c r="C124" s="148">
        <f t="shared" ca="1" si="2"/>
        <v>89</v>
      </c>
      <c r="D124" s="87">
        <v>13523075</v>
      </c>
      <c r="E124" s="159" t="s">
        <v>4774</v>
      </c>
      <c r="F124" s="252">
        <v>37718</v>
      </c>
      <c r="G124" s="155">
        <f>IF(F124&lt;&gt;"",'CONCEPTOS Y PARAMETROS'!$M$2-YEAR(F124),"")</f>
        <v>22</v>
      </c>
      <c r="H124" s="158">
        <v>0</v>
      </c>
      <c r="I124" s="156" t="str">
        <f>IFERROR(VLOOKUP(J124,CARGOS!A:F,2,0),"")</f>
        <v>13365</v>
      </c>
      <c r="J124" s="88" t="s">
        <v>1936</v>
      </c>
      <c r="K124" s="142" t="s">
        <v>4941</v>
      </c>
      <c r="L124" s="251">
        <v>228</v>
      </c>
    </row>
    <row r="125" spans="2:12" ht="15.75" thickBot="1">
      <c r="B125" s="149" t="s">
        <v>2846</v>
      </c>
      <c r="C125" s="148">
        <f t="shared" ca="1" si="2"/>
        <v>90</v>
      </c>
      <c r="D125" s="87">
        <v>13633586</v>
      </c>
      <c r="E125" s="159" t="s">
        <v>4775</v>
      </c>
      <c r="F125" s="252">
        <v>38699</v>
      </c>
      <c r="G125" s="155">
        <f>IF(F125&lt;&gt;"",'CONCEPTOS Y PARAMETROS'!$M$2-YEAR(F125),"")</f>
        <v>20</v>
      </c>
      <c r="H125" s="158">
        <v>1</v>
      </c>
      <c r="I125" s="156" t="str">
        <f>IFERROR(VLOOKUP(J125,CARGOS!A:F,2,0),"")</f>
        <v>15125</v>
      </c>
      <c r="J125" s="88" t="s">
        <v>212</v>
      </c>
      <c r="K125" s="142" t="s">
        <v>4935</v>
      </c>
      <c r="L125" s="251">
        <v>287</v>
      </c>
    </row>
    <row r="126" spans="2:12" ht="15.75" thickBot="1">
      <c r="B126" s="149" t="s">
        <v>2846</v>
      </c>
      <c r="C126" s="148">
        <f t="shared" ca="1" si="2"/>
        <v>91</v>
      </c>
      <c r="D126" s="87">
        <v>13745803</v>
      </c>
      <c r="E126" s="159" t="s">
        <v>4776</v>
      </c>
      <c r="F126" s="252">
        <v>44774</v>
      </c>
      <c r="G126" s="155">
        <f>IF(F126&lt;&gt;"",'CONCEPTOS Y PARAMETROS'!$M$2-YEAR(F126),"")</f>
        <v>3</v>
      </c>
      <c r="H126" s="158">
        <v>13</v>
      </c>
      <c r="I126" s="156" t="str">
        <f>IFERROR(VLOOKUP(J126,CARGOS!A:F,2,0),"")</f>
        <v>79521</v>
      </c>
      <c r="J126" s="88" t="s">
        <v>2469</v>
      </c>
      <c r="K126" s="142" t="s">
        <v>4942</v>
      </c>
      <c r="L126" s="251">
        <v>283</v>
      </c>
    </row>
    <row r="127" spans="2:12" ht="15.75" thickBot="1">
      <c r="B127" s="149" t="s">
        <v>2846</v>
      </c>
      <c r="C127" s="148">
        <f t="shared" ca="1" si="2"/>
        <v>92</v>
      </c>
      <c r="D127" s="87">
        <v>13765028</v>
      </c>
      <c r="E127" s="159" t="s">
        <v>4777</v>
      </c>
      <c r="F127" s="252">
        <v>44348</v>
      </c>
      <c r="G127" s="155">
        <f>IF(F127&lt;&gt;"",'CONCEPTOS Y PARAMETROS'!$M$2-YEAR(F127),"")</f>
        <v>4</v>
      </c>
      <c r="H127" s="158">
        <v>7</v>
      </c>
      <c r="I127" s="156" t="str">
        <f>IFERROR(VLOOKUP(J127,CARGOS!A:F,2,0),"")</f>
        <v>79511</v>
      </c>
      <c r="J127" s="88" t="s">
        <v>1162</v>
      </c>
      <c r="K127" s="142" t="s">
        <v>4645</v>
      </c>
      <c r="L127" s="251">
        <v>223</v>
      </c>
    </row>
    <row r="128" spans="2:12" ht="15.75" thickBot="1">
      <c r="B128" s="149" t="s">
        <v>2846</v>
      </c>
      <c r="C128" s="148">
        <f t="shared" ca="1" si="2"/>
        <v>93</v>
      </c>
      <c r="D128" s="87">
        <v>13896147</v>
      </c>
      <c r="E128" s="159" t="s">
        <v>4778</v>
      </c>
      <c r="F128" s="252">
        <v>41334</v>
      </c>
      <c r="G128" s="155">
        <f>IF(F128&lt;&gt;"",'CONCEPTOS Y PARAMETROS'!$M$2-YEAR(F128),"")</f>
        <v>12</v>
      </c>
      <c r="H128" s="158">
        <v>0</v>
      </c>
      <c r="I128" s="156" t="str">
        <f>IFERROR(VLOOKUP(J128,CARGOS!A:F,2,0),"")</f>
        <v>12121</v>
      </c>
      <c r="J128" s="88" t="s">
        <v>73</v>
      </c>
      <c r="K128" s="142" t="s">
        <v>4642</v>
      </c>
      <c r="L128" s="251">
        <v>281</v>
      </c>
    </row>
    <row r="129" spans="2:12" ht="15.75" thickBot="1">
      <c r="B129" s="149" t="s">
        <v>2846</v>
      </c>
      <c r="C129" s="148">
        <f t="shared" ca="1" si="2"/>
        <v>94</v>
      </c>
      <c r="D129" s="87">
        <v>13896487</v>
      </c>
      <c r="E129" s="159" t="s">
        <v>4779</v>
      </c>
      <c r="F129" s="252">
        <v>44713</v>
      </c>
      <c r="G129" s="155">
        <f>IF(F129&lt;&gt;"",'CONCEPTOS Y PARAMETROS'!$M$2-YEAR(F129),"")</f>
        <v>3</v>
      </c>
      <c r="H129" s="158">
        <v>15</v>
      </c>
      <c r="I129" s="156" t="str">
        <f>IFERROR(VLOOKUP(J129,CARGOS!A:F,2,0),"")</f>
        <v>79511</v>
      </c>
      <c r="J129" s="88" t="s">
        <v>1162</v>
      </c>
      <c r="K129" s="142" t="s">
        <v>4936</v>
      </c>
      <c r="L129" s="251">
        <v>226</v>
      </c>
    </row>
    <row r="130" spans="2:12" ht="15.75" thickBot="1">
      <c r="B130" s="149" t="s">
        <v>2846</v>
      </c>
      <c r="C130" s="148">
        <f t="shared" ca="1" si="2"/>
        <v>95</v>
      </c>
      <c r="D130" s="87">
        <v>13897046</v>
      </c>
      <c r="E130" s="159" t="s">
        <v>4780</v>
      </c>
      <c r="F130" s="252">
        <v>42384</v>
      </c>
      <c r="G130" s="155">
        <f>IF(F130&lt;&gt;"",'CONCEPTOS Y PARAMETROS'!$M$2-YEAR(F130),"")</f>
        <v>9</v>
      </c>
      <c r="H130" s="158">
        <v>0</v>
      </c>
      <c r="I130" s="156" t="str">
        <f>IFERROR(VLOOKUP(J130,CARGOS!A:F,2,0),"")</f>
        <v>79342</v>
      </c>
      <c r="J130" s="88" t="s">
        <v>2383</v>
      </c>
      <c r="K130" s="142" t="s">
        <v>4950</v>
      </c>
      <c r="L130" s="251">
        <v>221</v>
      </c>
    </row>
    <row r="131" spans="2:12" ht="15.75" thickBot="1">
      <c r="B131" s="149" t="s">
        <v>2846</v>
      </c>
      <c r="C131" s="148">
        <f t="shared" ca="1" si="2"/>
        <v>96</v>
      </c>
      <c r="D131" s="87">
        <v>13897695</v>
      </c>
      <c r="E131" s="159" t="s">
        <v>4781</v>
      </c>
      <c r="F131" s="252">
        <v>39496</v>
      </c>
      <c r="G131" s="155">
        <f>IF(F131&lt;&gt;"",'CONCEPTOS Y PARAMETROS'!$M$2-YEAR(F131),"")</f>
        <v>17</v>
      </c>
      <c r="H131" s="158">
        <v>3</v>
      </c>
      <c r="I131" s="156" t="str">
        <f>IFERROR(VLOOKUP(J131,CARGOS!A:F,2,0),"")</f>
        <v>13420</v>
      </c>
      <c r="J131" s="88" t="s">
        <v>224</v>
      </c>
      <c r="K131" s="142" t="s">
        <v>4935</v>
      </c>
      <c r="L131" s="251">
        <v>287</v>
      </c>
    </row>
    <row r="132" spans="2:12" ht="15.75" thickBot="1">
      <c r="B132" s="149" t="s">
        <v>2846</v>
      </c>
      <c r="C132" s="148">
        <f t="shared" ca="1" si="2"/>
        <v>97</v>
      </c>
      <c r="D132" s="87">
        <v>13996024</v>
      </c>
      <c r="E132" s="215" t="s">
        <v>4782</v>
      </c>
      <c r="F132" s="252">
        <v>40028</v>
      </c>
      <c r="G132" s="155">
        <f>IF(F132&lt;&gt;"",'CONCEPTOS Y PARAMETROS'!$M$2-YEAR(F132),"")</f>
        <v>16</v>
      </c>
      <c r="H132" s="158">
        <v>0</v>
      </c>
      <c r="I132" s="156" t="str">
        <f>IFERROR(VLOOKUP(J132,CARGOS!A:F,2,0),"")</f>
        <v>21132</v>
      </c>
      <c r="J132" s="88" t="s">
        <v>698</v>
      </c>
      <c r="K132" s="142" t="s">
        <v>4942</v>
      </c>
      <c r="L132" s="251">
        <v>283</v>
      </c>
    </row>
    <row r="133" spans="2:12" ht="15.75" thickBot="1">
      <c r="B133" s="149" t="s">
        <v>2846</v>
      </c>
      <c r="C133" s="148">
        <f t="shared" ca="1" si="2"/>
        <v>98</v>
      </c>
      <c r="D133" s="87">
        <v>14106648</v>
      </c>
      <c r="E133" s="159" t="s">
        <v>4783</v>
      </c>
      <c r="F133" s="252">
        <v>40787</v>
      </c>
      <c r="G133" s="155">
        <f>IF(F133&lt;&gt;"",'CONCEPTOS Y PARAMETROS'!$M$2-YEAR(F133),"")</f>
        <v>14</v>
      </c>
      <c r="H133" s="158">
        <v>6</v>
      </c>
      <c r="I133" s="156" t="str">
        <f>IFERROR(VLOOKUP(J133,CARGOS!A:F,2,0),"")</f>
        <v>12114</v>
      </c>
      <c r="J133" s="88" t="s">
        <v>328</v>
      </c>
      <c r="K133" s="142" t="s">
        <v>4941</v>
      </c>
      <c r="L133" s="251">
        <v>228</v>
      </c>
    </row>
    <row r="134" spans="2:12" ht="15.75" thickBot="1">
      <c r="B134" s="149" t="s">
        <v>2846</v>
      </c>
      <c r="C134" s="148">
        <f t="shared" ca="1" si="2"/>
        <v>99</v>
      </c>
      <c r="D134" s="87">
        <v>14329448</v>
      </c>
      <c r="E134" s="159" t="s">
        <v>4784</v>
      </c>
      <c r="F134" s="252">
        <v>44743</v>
      </c>
      <c r="G134" s="155">
        <f>IF(F134&lt;&gt;"",'CONCEPTOS Y PARAMETROS'!$M$2-YEAR(F134),"")</f>
        <v>3</v>
      </c>
      <c r="H134" s="158">
        <v>0</v>
      </c>
      <c r="I134" s="156" t="str">
        <f>IFERROR(VLOOKUP(J134,CARGOS!A:F,2,0),"")</f>
        <v>79521</v>
      </c>
      <c r="J134" s="88" t="s">
        <v>2469</v>
      </c>
      <c r="K134" s="142" t="s">
        <v>4646</v>
      </c>
      <c r="L134" s="251">
        <v>246</v>
      </c>
    </row>
    <row r="135" spans="2:12" ht="15.75" thickBot="1">
      <c r="B135" s="149" t="s">
        <v>2846</v>
      </c>
      <c r="C135" s="148">
        <f t="shared" ca="1" si="2"/>
        <v>100</v>
      </c>
      <c r="D135" s="87">
        <v>14329851</v>
      </c>
      <c r="E135" s="159" t="s">
        <v>4785</v>
      </c>
      <c r="F135" s="252">
        <v>44287</v>
      </c>
      <c r="G135" s="155">
        <f>IF(F135&lt;&gt;"",'CONCEPTOS Y PARAMETROS'!$M$2-YEAR(F135),"")</f>
        <v>4</v>
      </c>
      <c r="H135" s="158">
        <v>0</v>
      </c>
      <c r="I135" s="156" t="str">
        <f>IFERROR(VLOOKUP(J135,CARGOS!A:F,2,0),"")</f>
        <v>79511</v>
      </c>
      <c r="J135" s="88" t="s">
        <v>1162</v>
      </c>
      <c r="K135" s="142" t="s">
        <v>4650</v>
      </c>
      <c r="L135" s="251">
        <v>130</v>
      </c>
    </row>
    <row r="136" spans="2:12" ht="15.75" thickBot="1">
      <c r="B136" s="149" t="s">
        <v>2846</v>
      </c>
      <c r="C136" s="148">
        <f t="shared" ca="1" si="2"/>
        <v>101</v>
      </c>
      <c r="D136" s="87">
        <v>14406240</v>
      </c>
      <c r="E136" s="159" t="s">
        <v>4786</v>
      </c>
      <c r="F136" s="252">
        <v>43785</v>
      </c>
      <c r="G136" s="155">
        <f>IF(F136&lt;&gt;"",'CONCEPTOS Y PARAMETROS'!$M$2-YEAR(F136),"")</f>
        <v>6</v>
      </c>
      <c r="H136" s="158">
        <v>11</v>
      </c>
      <c r="I136" s="156" t="str">
        <f>IFERROR(VLOOKUP(J136,CARGOS!A:F,2,0),"")</f>
        <v>79341</v>
      </c>
      <c r="J136" s="88" t="s">
        <v>2381</v>
      </c>
      <c r="K136" s="142" t="s">
        <v>4936</v>
      </c>
      <c r="L136" s="251">
        <v>226</v>
      </c>
    </row>
    <row r="137" spans="2:12" ht="15.75" thickBot="1">
      <c r="B137" s="149" t="s">
        <v>2846</v>
      </c>
      <c r="C137" s="148">
        <f t="shared" ca="1" si="2"/>
        <v>102</v>
      </c>
      <c r="D137" s="87">
        <v>14459607</v>
      </c>
      <c r="E137" s="159" t="s">
        <v>4787</v>
      </c>
      <c r="F137" s="252">
        <v>43116</v>
      </c>
      <c r="G137" s="155">
        <f>IF(F137&lt;&gt;"",'CONCEPTOS Y PARAMETROS'!$M$2-YEAR(F137),"")</f>
        <v>7</v>
      </c>
      <c r="H137" s="158">
        <v>0</v>
      </c>
      <c r="I137" s="156" t="str">
        <f>IFERROR(VLOOKUP(J137,CARGOS!A:F,2,0),"")</f>
        <v>79341</v>
      </c>
      <c r="J137" s="88" t="s">
        <v>2381</v>
      </c>
      <c r="K137" s="142" t="s">
        <v>4647</v>
      </c>
      <c r="L137" s="251">
        <v>219</v>
      </c>
    </row>
    <row r="138" spans="2:12" ht="15.75" thickBot="1">
      <c r="B138" s="149" t="s">
        <v>2846</v>
      </c>
      <c r="C138" s="148">
        <f t="shared" ca="1" si="2"/>
        <v>103</v>
      </c>
      <c r="D138" s="87">
        <v>14598170</v>
      </c>
      <c r="E138" s="159" t="s">
        <v>4788</v>
      </c>
      <c r="F138" s="252">
        <v>43435</v>
      </c>
      <c r="G138" s="155">
        <f>IF(F138&lt;&gt;"",'CONCEPTOS Y PARAMETROS'!$M$2-YEAR(F138),"")</f>
        <v>7</v>
      </c>
      <c r="H138" s="158">
        <v>0</v>
      </c>
      <c r="I138" s="156" t="str">
        <f>IFERROR(VLOOKUP(J138,CARGOS!A:F,2,0),"")</f>
        <v>79521</v>
      </c>
      <c r="J138" s="88" t="s">
        <v>2469</v>
      </c>
      <c r="K138" s="142" t="s">
        <v>4648</v>
      </c>
      <c r="L138" s="251">
        <v>277</v>
      </c>
    </row>
    <row r="139" spans="2:12" ht="15.75" thickBot="1">
      <c r="B139" s="149" t="s">
        <v>2846</v>
      </c>
      <c r="C139" s="148">
        <f t="shared" ca="1" si="2"/>
        <v>104</v>
      </c>
      <c r="D139" s="87">
        <v>14598687</v>
      </c>
      <c r="E139" s="159" t="s">
        <v>4789</v>
      </c>
      <c r="F139" s="252">
        <v>44332</v>
      </c>
      <c r="G139" s="155">
        <f>IF(F139&lt;&gt;"",'CONCEPTOS Y PARAMETROS'!$M$2-YEAR(F139),"")</f>
        <v>4</v>
      </c>
      <c r="H139" s="158">
        <v>0</v>
      </c>
      <c r="I139" s="156" t="str">
        <f>IFERROR(VLOOKUP(J139,CARGOS!A:F,2,0),"")</f>
        <v>34234</v>
      </c>
      <c r="J139" s="88" t="s">
        <v>980</v>
      </c>
      <c r="K139" s="142" t="s">
        <v>4944</v>
      </c>
      <c r="L139" s="251">
        <v>305</v>
      </c>
    </row>
    <row r="140" spans="2:12" ht="15.75" thickBot="1">
      <c r="B140" s="149" t="s">
        <v>2846</v>
      </c>
      <c r="C140" s="148">
        <f t="shared" ca="1" si="2"/>
        <v>105</v>
      </c>
      <c r="D140" s="87">
        <v>14599252</v>
      </c>
      <c r="E140" s="159" t="s">
        <v>4790</v>
      </c>
      <c r="F140" s="252">
        <v>39307</v>
      </c>
      <c r="G140" s="155">
        <f>IF(F140&lt;&gt;"",'CONCEPTOS Y PARAMETROS'!$M$2-YEAR(F140),"")</f>
        <v>18</v>
      </c>
      <c r="H140" s="158">
        <v>0</v>
      </c>
      <c r="I140" s="156" t="str">
        <f>IFERROR(VLOOKUP(J140,CARGOS!A:F,2,0),"")</f>
        <v>79523</v>
      </c>
      <c r="J140" s="88" t="s">
        <v>2473</v>
      </c>
      <c r="K140" s="142" t="s">
        <v>4951</v>
      </c>
      <c r="L140" s="251">
        <v>314</v>
      </c>
    </row>
    <row r="141" spans="2:12" ht="15.75" thickBot="1">
      <c r="B141" s="149" t="s">
        <v>2846</v>
      </c>
      <c r="C141" s="148">
        <f t="shared" ca="1" si="2"/>
        <v>106</v>
      </c>
      <c r="D141" s="87">
        <v>14718024</v>
      </c>
      <c r="E141" s="159" t="s">
        <v>4791</v>
      </c>
      <c r="F141" s="252">
        <v>44317</v>
      </c>
      <c r="G141" s="155">
        <f>IF(F141&lt;&gt;"",'CONCEPTOS Y PARAMETROS'!$M$2-YEAR(F141),"")</f>
        <v>4</v>
      </c>
      <c r="H141" s="158">
        <v>0</v>
      </c>
      <c r="I141" s="156" t="str">
        <f>IFERROR(VLOOKUP(J141,CARGOS!A:F,2,0),"")</f>
        <v>79521</v>
      </c>
      <c r="J141" s="88" t="s">
        <v>2469</v>
      </c>
      <c r="K141" s="142" t="s">
        <v>4646</v>
      </c>
      <c r="L141" s="251">
        <v>246</v>
      </c>
    </row>
    <row r="142" spans="2:12" ht="15.75" thickBot="1">
      <c r="B142" s="149" t="s">
        <v>2846</v>
      </c>
      <c r="C142" s="148">
        <f t="shared" ca="1" si="2"/>
        <v>107</v>
      </c>
      <c r="D142" s="87">
        <v>14718769</v>
      </c>
      <c r="E142" s="159" t="s">
        <v>4792</v>
      </c>
      <c r="F142" s="252">
        <v>44743</v>
      </c>
      <c r="G142" s="155">
        <f>IF(F142&lt;&gt;"",'CONCEPTOS Y PARAMETROS'!$M$2-YEAR(F142),"")</f>
        <v>3</v>
      </c>
      <c r="H142" s="158">
        <v>0</v>
      </c>
      <c r="I142" s="156" t="str">
        <f>IFERROR(VLOOKUP(J142,CARGOS!A:F,2,0),"")</f>
        <v>79511</v>
      </c>
      <c r="J142" s="88" t="s">
        <v>1162</v>
      </c>
      <c r="K142" s="142" t="s">
        <v>4649</v>
      </c>
      <c r="L142" s="251">
        <v>192</v>
      </c>
    </row>
    <row r="143" spans="2:12" ht="15.75" thickBot="1">
      <c r="B143" s="149" t="s">
        <v>2846</v>
      </c>
      <c r="C143" s="148">
        <f t="shared" ca="1" si="2"/>
        <v>108</v>
      </c>
      <c r="D143" s="87">
        <v>14719612</v>
      </c>
      <c r="E143" s="159" t="s">
        <v>4793</v>
      </c>
      <c r="F143" s="252">
        <v>43983</v>
      </c>
      <c r="G143" s="155">
        <f>IF(F143&lt;&gt;"",'CONCEPTOS Y PARAMETROS'!$M$2-YEAR(F143),"")</f>
        <v>5</v>
      </c>
      <c r="H143" s="158">
        <v>0</v>
      </c>
      <c r="I143" s="156" t="str">
        <f>IFERROR(VLOOKUP(J143,CARGOS!A:F,2,0),"")</f>
        <v>79341</v>
      </c>
      <c r="J143" s="88" t="s">
        <v>2381</v>
      </c>
      <c r="K143" s="142" t="s">
        <v>4946</v>
      </c>
      <c r="L143" s="251">
        <v>150</v>
      </c>
    </row>
    <row r="144" spans="2:12" ht="15.75" thickBot="1">
      <c r="B144" s="149" t="s">
        <v>2846</v>
      </c>
      <c r="C144" s="148">
        <f t="shared" ca="1" si="2"/>
        <v>109</v>
      </c>
      <c r="D144" s="87">
        <v>14739168</v>
      </c>
      <c r="E144" s="159" t="s">
        <v>4794</v>
      </c>
      <c r="F144" s="252">
        <v>38841</v>
      </c>
      <c r="G144" s="155">
        <f>IF(F144&lt;&gt;"",'CONCEPTOS Y PARAMETROS'!$M$2-YEAR(F144),"")</f>
        <v>19</v>
      </c>
      <c r="H144" s="158">
        <v>0</v>
      </c>
      <c r="I144" s="156" t="str">
        <f>IFERROR(VLOOKUP(J144,CARGOS!A:F,2,0),"")</f>
        <v>79353</v>
      </c>
      <c r="J144" s="88" t="s">
        <v>2431</v>
      </c>
      <c r="K144" s="142" t="s">
        <v>4936</v>
      </c>
      <c r="L144" s="251">
        <v>226</v>
      </c>
    </row>
    <row r="145" spans="2:12" ht="15.75" thickBot="1">
      <c r="B145" s="149" t="s">
        <v>2846</v>
      </c>
      <c r="C145" s="148">
        <f t="shared" ca="1" si="2"/>
        <v>110</v>
      </c>
      <c r="D145" s="87">
        <v>14928034</v>
      </c>
      <c r="E145" s="159" t="s">
        <v>4795</v>
      </c>
      <c r="F145" s="252">
        <v>44302</v>
      </c>
      <c r="G145" s="155">
        <f>IF(F145&lt;&gt;"",'CONCEPTOS Y PARAMETROS'!$M$2-YEAR(F145),"")</f>
        <v>4</v>
      </c>
      <c r="H145" s="158">
        <v>11</v>
      </c>
      <c r="I145" s="156" t="str">
        <f>IFERROR(VLOOKUP(J145,CARGOS!A:F,2,0),"")</f>
        <v>37921</v>
      </c>
      <c r="J145" s="88" t="s">
        <v>1966</v>
      </c>
      <c r="K145" s="142" t="s">
        <v>4943</v>
      </c>
      <c r="L145" s="251">
        <v>174</v>
      </c>
    </row>
    <row r="146" spans="2:12" ht="15.75" thickBot="1">
      <c r="B146" s="149" t="s">
        <v>2846</v>
      </c>
      <c r="C146" s="148">
        <f t="shared" ca="1" si="2"/>
        <v>111</v>
      </c>
      <c r="D146" s="87">
        <v>14928260</v>
      </c>
      <c r="E146" s="159" t="s">
        <v>4796</v>
      </c>
      <c r="F146" s="252">
        <v>39104</v>
      </c>
      <c r="G146" s="155">
        <f>IF(F146&lt;&gt;"",'CONCEPTOS Y PARAMETROS'!$M$2-YEAR(F146),"")</f>
        <v>18</v>
      </c>
      <c r="H146" s="158">
        <v>0</v>
      </c>
      <c r="I146" s="156" t="str">
        <f>IFERROR(VLOOKUP(J146,CARGOS!A:F,2,0),"")</f>
        <v>79521</v>
      </c>
      <c r="J146" s="88" t="s">
        <v>2469</v>
      </c>
      <c r="K146" s="142" t="s">
        <v>4936</v>
      </c>
      <c r="L146" s="251">
        <v>226</v>
      </c>
    </row>
    <row r="147" spans="2:12" ht="15.75" thickBot="1">
      <c r="B147" s="149" t="s">
        <v>2846</v>
      </c>
      <c r="C147" s="148">
        <f t="shared" ca="1" si="2"/>
        <v>112</v>
      </c>
      <c r="D147" s="87">
        <v>14929642</v>
      </c>
      <c r="E147" s="159" t="s">
        <v>4797</v>
      </c>
      <c r="F147" s="252">
        <v>43419</v>
      </c>
      <c r="G147" s="155">
        <f>IF(F147&lt;&gt;"",'CONCEPTOS Y PARAMETROS'!$M$2-YEAR(F147),"")</f>
        <v>7</v>
      </c>
      <c r="H147" s="158">
        <v>0</v>
      </c>
      <c r="I147" s="156" t="str">
        <f>IFERROR(VLOOKUP(J147,CARGOS!A:F,2,0),"")</f>
        <v>79511</v>
      </c>
      <c r="J147" s="88" t="s">
        <v>1162</v>
      </c>
      <c r="K147" s="142" t="s">
        <v>4647</v>
      </c>
      <c r="L147" s="251">
        <v>219</v>
      </c>
    </row>
    <row r="148" spans="2:12" ht="15.75" thickBot="1">
      <c r="B148" s="149" t="s">
        <v>2846</v>
      </c>
      <c r="C148" s="148">
        <f t="shared" ca="1" si="2"/>
        <v>113</v>
      </c>
      <c r="D148" s="87">
        <v>15188927</v>
      </c>
      <c r="E148" s="159" t="s">
        <v>4798</v>
      </c>
      <c r="F148" s="252">
        <v>44409</v>
      </c>
      <c r="G148" s="155">
        <f>IF(F148&lt;&gt;"",'CONCEPTOS Y PARAMETROS'!$M$2-YEAR(F148),"")</f>
        <v>4</v>
      </c>
      <c r="H148" s="158">
        <v>0</v>
      </c>
      <c r="I148" s="156" t="str">
        <f>IFERROR(VLOOKUP(J148,CARGOS!A:F,2,0),"")</f>
        <v>79512</v>
      </c>
      <c r="J148" s="88" t="s">
        <v>1164</v>
      </c>
      <c r="K148" s="142" t="s">
        <v>4650</v>
      </c>
      <c r="L148" s="251">
        <v>130</v>
      </c>
    </row>
    <row r="149" spans="2:12" ht="15.75" thickBot="1">
      <c r="B149" s="149" t="s">
        <v>2846</v>
      </c>
      <c r="C149" s="148">
        <f t="shared" ca="1" si="2"/>
        <v>114</v>
      </c>
      <c r="D149" s="87">
        <v>15188996</v>
      </c>
      <c r="E149" s="159" t="s">
        <v>4799</v>
      </c>
      <c r="F149" s="252">
        <v>43967</v>
      </c>
      <c r="G149" s="155">
        <f>IF(F149&lt;&gt;"",'CONCEPTOS Y PARAMETROS'!$M$2-YEAR(F149),"")</f>
        <v>5</v>
      </c>
      <c r="H149" s="158">
        <v>0</v>
      </c>
      <c r="I149" s="156" t="str">
        <f>IFERROR(VLOOKUP(J149,CARGOS!A:F,2,0),"")</f>
        <v>79511</v>
      </c>
      <c r="J149" s="88" t="s">
        <v>1162</v>
      </c>
      <c r="K149" s="142" t="s">
        <v>4647</v>
      </c>
      <c r="L149" s="251">
        <v>219</v>
      </c>
    </row>
    <row r="150" spans="2:12" ht="15.75" thickBot="1">
      <c r="B150" s="149" t="s">
        <v>2846</v>
      </c>
      <c r="C150" s="148">
        <f t="shared" ca="1" si="2"/>
        <v>115</v>
      </c>
      <c r="D150" s="87">
        <v>15583350</v>
      </c>
      <c r="E150" s="159" t="s">
        <v>4800</v>
      </c>
      <c r="F150" s="252">
        <v>44743</v>
      </c>
      <c r="G150" s="155">
        <f>IF(F150&lt;&gt;"",'CONCEPTOS Y PARAMETROS'!$M$2-YEAR(F150),"")</f>
        <v>3</v>
      </c>
      <c r="H150" s="158">
        <v>10</v>
      </c>
      <c r="I150" s="156" t="str">
        <f>IFERROR(VLOOKUP(J150,CARGOS!A:F,2,0),"")</f>
        <v>79511</v>
      </c>
      <c r="J150" s="88" t="s">
        <v>1162</v>
      </c>
      <c r="K150" s="142" t="s">
        <v>4644</v>
      </c>
      <c r="L150" s="251">
        <v>172</v>
      </c>
    </row>
    <row r="151" spans="2:12" ht="15.75" thickBot="1">
      <c r="B151" s="149" t="s">
        <v>2846</v>
      </c>
      <c r="C151" s="148">
        <f t="shared" ca="1" si="2"/>
        <v>116</v>
      </c>
      <c r="D151" s="87">
        <v>15583745</v>
      </c>
      <c r="E151" s="159" t="s">
        <v>4801</v>
      </c>
      <c r="F151" s="252">
        <v>43481</v>
      </c>
      <c r="G151" s="155">
        <f>IF(F151&lt;&gt;"",'CONCEPTOS Y PARAMETROS'!$M$2-YEAR(F151),"")</f>
        <v>6</v>
      </c>
      <c r="H151" s="158">
        <v>0</v>
      </c>
      <c r="I151" s="156" t="str">
        <f>IFERROR(VLOOKUP(J151,CARGOS!A:F,2,0),"")</f>
        <v>12121</v>
      </c>
      <c r="J151" s="88" t="s">
        <v>73</v>
      </c>
      <c r="K151" s="142" t="s">
        <v>4648</v>
      </c>
      <c r="L151" s="251">
        <v>277</v>
      </c>
    </row>
    <row r="152" spans="2:12" ht="15.75" thickBot="1">
      <c r="B152" s="149" t="s">
        <v>2846</v>
      </c>
      <c r="C152" s="148">
        <f t="shared" ca="1" si="2"/>
        <v>117</v>
      </c>
      <c r="D152" s="87">
        <v>15584094</v>
      </c>
      <c r="E152" s="159" t="s">
        <v>4802</v>
      </c>
      <c r="F152" s="252">
        <v>43709</v>
      </c>
      <c r="G152" s="155">
        <f>IF(F152&lt;&gt;"",'CONCEPTOS Y PARAMETROS'!$M$2-YEAR(F152),"")</f>
        <v>6</v>
      </c>
      <c r="H152" s="158">
        <v>0</v>
      </c>
      <c r="I152" s="156" t="str">
        <f>IFERROR(VLOOKUP(J152,CARGOS!A:F,2,0),"")</f>
        <v>79512</v>
      </c>
      <c r="J152" s="88" t="s">
        <v>1164</v>
      </c>
      <c r="K152" s="142" t="s">
        <v>4648</v>
      </c>
      <c r="L152" s="251">
        <v>277</v>
      </c>
    </row>
    <row r="153" spans="2:12" ht="15.75" thickBot="1">
      <c r="B153" s="149" t="s">
        <v>2846</v>
      </c>
      <c r="C153" s="148">
        <f t="shared" ca="1" si="2"/>
        <v>118</v>
      </c>
      <c r="D153" s="87">
        <v>15584189</v>
      </c>
      <c r="E153" s="159" t="s">
        <v>4803</v>
      </c>
      <c r="F153" s="252">
        <v>39092</v>
      </c>
      <c r="G153" s="155">
        <f>IF(F153&lt;&gt;"",'CONCEPTOS Y PARAMETROS'!$M$2-YEAR(F153),"")</f>
        <v>18</v>
      </c>
      <c r="H153" s="158">
        <v>0</v>
      </c>
      <c r="I153" s="156" t="str">
        <f>IFERROR(VLOOKUP(J153,CARGOS!A:F,2,0),"")</f>
        <v>15125</v>
      </c>
      <c r="J153" s="88" t="s">
        <v>212</v>
      </c>
      <c r="K153" s="142" t="s">
        <v>4940</v>
      </c>
      <c r="L153" s="251">
        <v>285</v>
      </c>
    </row>
    <row r="154" spans="2:12" ht="15.75" thickBot="1">
      <c r="B154" s="149" t="s">
        <v>2846</v>
      </c>
      <c r="C154" s="148">
        <f t="shared" ca="1" si="2"/>
        <v>119</v>
      </c>
      <c r="D154" s="87">
        <v>15588470</v>
      </c>
      <c r="E154" s="159" t="s">
        <v>4804</v>
      </c>
      <c r="F154" s="252">
        <v>39098</v>
      </c>
      <c r="G154" s="155">
        <f>IF(F154&lt;&gt;"",'CONCEPTOS Y PARAMETROS'!$M$2-YEAR(F154),"")</f>
        <v>18</v>
      </c>
      <c r="H154" s="158">
        <v>0</v>
      </c>
      <c r="I154" s="156" t="str">
        <f>IFERROR(VLOOKUP(J154,CARGOS!A:F,2,0),"")</f>
        <v>79352</v>
      </c>
      <c r="J154" s="88" t="s">
        <v>2429</v>
      </c>
      <c r="K154" s="142" t="s">
        <v>4936</v>
      </c>
      <c r="L154" s="251">
        <v>226</v>
      </c>
    </row>
    <row r="155" spans="2:12" ht="15.75" thickBot="1">
      <c r="B155" s="149" t="s">
        <v>2846</v>
      </c>
      <c r="C155" s="148">
        <f t="shared" ca="1" si="2"/>
        <v>120</v>
      </c>
      <c r="D155" s="87">
        <v>15752386</v>
      </c>
      <c r="E155" s="159" t="s">
        <v>4805</v>
      </c>
      <c r="F155" s="252">
        <v>38930</v>
      </c>
      <c r="G155" s="155">
        <f>IF(F155&lt;&gt;"",'CONCEPTOS Y PARAMETROS'!$M$2-YEAR(F155),"")</f>
        <v>19</v>
      </c>
      <c r="H155" s="158">
        <v>0</v>
      </c>
      <c r="I155" s="156" t="str">
        <f>IFERROR(VLOOKUP(J155,CARGOS!A:F,2,0),"")</f>
        <v>79512</v>
      </c>
      <c r="J155" s="88" t="s">
        <v>1164</v>
      </c>
      <c r="K155" s="142" t="s">
        <v>4936</v>
      </c>
      <c r="L155" s="251">
        <v>226</v>
      </c>
    </row>
    <row r="156" spans="2:12" ht="15.75" thickBot="1">
      <c r="B156" s="149" t="s">
        <v>2846</v>
      </c>
      <c r="C156" s="148">
        <f t="shared" ca="1" si="2"/>
        <v>121</v>
      </c>
      <c r="D156" s="87">
        <v>15752435</v>
      </c>
      <c r="E156" s="159" t="s">
        <v>4806</v>
      </c>
      <c r="F156" s="252">
        <v>38930</v>
      </c>
      <c r="G156" s="155">
        <f>IF(F156&lt;&gt;"",'CONCEPTOS Y PARAMETROS'!$M$2-YEAR(F156),"")</f>
        <v>19</v>
      </c>
      <c r="H156" s="158">
        <v>0</v>
      </c>
      <c r="I156" s="156" t="str">
        <f>IFERROR(VLOOKUP(J156,CARGOS!A:F,2,0),"")</f>
        <v>79352</v>
      </c>
      <c r="J156" s="88" t="s">
        <v>2429</v>
      </c>
      <c r="K156" s="142" t="s">
        <v>4936</v>
      </c>
      <c r="L156" s="251">
        <v>226</v>
      </c>
    </row>
    <row r="157" spans="2:12" ht="15.75" thickBot="1">
      <c r="B157" s="149" t="s">
        <v>2846</v>
      </c>
      <c r="C157" s="148">
        <f t="shared" ca="1" si="2"/>
        <v>122</v>
      </c>
      <c r="D157" s="87">
        <v>15780354</v>
      </c>
      <c r="E157" s="159" t="s">
        <v>4807</v>
      </c>
      <c r="F157" s="252">
        <v>44409</v>
      </c>
      <c r="G157" s="155">
        <f>IF(F157&lt;&gt;"",'CONCEPTOS Y PARAMETROS'!$M$2-YEAR(F157),"")</f>
        <v>4</v>
      </c>
      <c r="H157" s="158">
        <v>0</v>
      </c>
      <c r="I157" s="156" t="str">
        <f>IFERROR(VLOOKUP(J157,CARGOS!A:F,2,0),"")</f>
        <v>79511</v>
      </c>
      <c r="J157" s="88" t="s">
        <v>1162</v>
      </c>
      <c r="K157" s="142" t="s">
        <v>4649</v>
      </c>
      <c r="L157" s="251">
        <v>192</v>
      </c>
    </row>
    <row r="158" spans="2:12" ht="15.75" thickBot="1">
      <c r="B158" s="149" t="s">
        <v>2846</v>
      </c>
      <c r="C158" s="148">
        <f t="shared" ca="1" si="2"/>
        <v>123</v>
      </c>
      <c r="D158" s="87">
        <v>15824405</v>
      </c>
      <c r="E158" s="159" t="s">
        <v>4808</v>
      </c>
      <c r="F158" s="252">
        <v>44743</v>
      </c>
      <c r="G158" s="155">
        <f>IF(F158&lt;&gt;"",'CONCEPTOS Y PARAMETROS'!$M$2-YEAR(F158),"")</f>
        <v>3</v>
      </c>
      <c r="H158" s="158">
        <v>0</v>
      </c>
      <c r="I158" s="156" t="str">
        <f>IFERROR(VLOOKUP(J158,CARGOS!A:F,2,0),"")</f>
        <v>79511</v>
      </c>
      <c r="J158" s="88" t="s">
        <v>1162</v>
      </c>
      <c r="K158" s="142" t="s">
        <v>4649</v>
      </c>
      <c r="L158" s="251">
        <v>192</v>
      </c>
    </row>
    <row r="159" spans="2:12" ht="15.75" thickBot="1">
      <c r="B159" s="149" t="s">
        <v>2846</v>
      </c>
      <c r="C159" s="148">
        <f t="shared" ca="1" si="2"/>
        <v>124</v>
      </c>
      <c r="D159" s="87">
        <v>15824548</v>
      </c>
      <c r="E159" s="159" t="s">
        <v>4809</v>
      </c>
      <c r="F159" s="252">
        <v>44317</v>
      </c>
      <c r="G159" s="155">
        <f>IF(F159&lt;&gt;"",'CONCEPTOS Y PARAMETROS'!$M$2-YEAR(F159),"")</f>
        <v>4</v>
      </c>
      <c r="H159" s="158">
        <v>0</v>
      </c>
      <c r="I159" s="156" t="str">
        <f>IFERROR(VLOOKUP(J159,CARGOS!A:F,2,0),"")</f>
        <v>79341</v>
      </c>
      <c r="J159" s="88" t="s">
        <v>2381</v>
      </c>
      <c r="K159" s="142" t="s">
        <v>4649</v>
      </c>
      <c r="L159" s="251">
        <v>192</v>
      </c>
    </row>
    <row r="160" spans="2:12" ht="15.75" thickBot="1">
      <c r="B160" s="149" t="s">
        <v>2846</v>
      </c>
      <c r="C160" s="148">
        <f t="shared" ca="1" si="2"/>
        <v>125</v>
      </c>
      <c r="D160" s="87">
        <v>15904692</v>
      </c>
      <c r="E160" s="215" t="s">
        <v>4810</v>
      </c>
      <c r="F160" s="216">
        <v>39756</v>
      </c>
      <c r="G160" s="155">
        <f>IF(F160&lt;&gt;"",'CONCEPTOS Y PARAMETROS'!$M$2-YEAR(F160),"")</f>
        <v>17</v>
      </c>
      <c r="H160" s="158">
        <v>0</v>
      </c>
      <c r="I160" s="156" t="str">
        <f>IFERROR(VLOOKUP(J160,CARGOS!A:F,2,0),"")</f>
        <v>79512</v>
      </c>
      <c r="J160" s="88" t="s">
        <v>1164</v>
      </c>
      <c r="K160" s="142" t="s">
        <v>4936</v>
      </c>
      <c r="L160" s="251">
        <v>226</v>
      </c>
    </row>
    <row r="161" spans="2:12" ht="15.75" thickBot="1">
      <c r="B161" s="149" t="s">
        <v>2846</v>
      </c>
      <c r="C161" s="148">
        <f t="shared" ca="1" si="2"/>
        <v>126</v>
      </c>
      <c r="D161" s="87">
        <v>16015833</v>
      </c>
      <c r="E161" s="159" t="s">
        <v>4811</v>
      </c>
      <c r="F161" s="252">
        <v>42948</v>
      </c>
      <c r="G161" s="155">
        <f>IF(F161&lt;&gt;"",'CONCEPTOS Y PARAMETROS'!$M$2-YEAR(F161),"")</f>
        <v>8</v>
      </c>
      <c r="H161" s="158">
        <v>0</v>
      </c>
      <c r="I161" s="156" t="str">
        <f>IFERROR(VLOOKUP(J161,CARGOS!A:F,2,0),"")</f>
        <v>79512</v>
      </c>
      <c r="J161" s="88" t="s">
        <v>1164</v>
      </c>
      <c r="K161" s="142" t="s">
        <v>4643</v>
      </c>
      <c r="L161" s="251">
        <v>279</v>
      </c>
    </row>
    <row r="162" spans="2:12" ht="15.75" thickBot="1">
      <c r="B162" s="149" t="s">
        <v>2846</v>
      </c>
      <c r="C162" s="148">
        <f t="shared" ca="1" si="2"/>
        <v>127</v>
      </c>
      <c r="D162" s="87">
        <v>16065580</v>
      </c>
      <c r="E162" s="159" t="s">
        <v>4812</v>
      </c>
      <c r="F162" s="252">
        <v>44363</v>
      </c>
      <c r="G162" s="155">
        <f>IF(F162&lt;&gt;"",'CONCEPTOS Y PARAMETROS'!$M$2-YEAR(F162),"")</f>
        <v>4</v>
      </c>
      <c r="H162" s="158">
        <v>0</v>
      </c>
      <c r="I162" s="156" t="str">
        <f>IFERROR(VLOOKUP(J162,CARGOS!A:F,2,0),"")</f>
        <v>79521</v>
      </c>
      <c r="J162" s="88" t="s">
        <v>2469</v>
      </c>
      <c r="K162" s="142" t="s">
        <v>4650</v>
      </c>
      <c r="L162" s="251">
        <v>130</v>
      </c>
    </row>
    <row r="163" spans="2:12" ht="15.75" thickBot="1">
      <c r="B163" s="149" t="s">
        <v>2846</v>
      </c>
      <c r="C163" s="148">
        <f t="shared" ca="1" si="2"/>
        <v>128</v>
      </c>
      <c r="D163" s="87">
        <v>16065861</v>
      </c>
      <c r="E163" s="159" t="s">
        <v>4813</v>
      </c>
      <c r="F163" s="252">
        <v>43906</v>
      </c>
      <c r="G163" s="155">
        <f>IF(F163&lt;&gt;"",'CONCEPTOS Y PARAMETROS'!$M$2-YEAR(F163),"")</f>
        <v>5</v>
      </c>
      <c r="H163" s="158">
        <v>13</v>
      </c>
      <c r="I163" s="156" t="str">
        <f>IFERROR(VLOOKUP(J163,CARGOS!A:F,2,0),"")</f>
        <v>34234</v>
      </c>
      <c r="J163" s="88" t="s">
        <v>980</v>
      </c>
      <c r="K163" s="142" t="s">
        <v>4940</v>
      </c>
      <c r="L163" s="251">
        <v>285</v>
      </c>
    </row>
    <row r="164" spans="2:12" ht="15.75" thickBot="1">
      <c r="B164" s="149" t="s">
        <v>2846</v>
      </c>
      <c r="C164" s="148">
        <f t="shared" ca="1" si="2"/>
        <v>129</v>
      </c>
      <c r="D164" s="87">
        <v>16066524</v>
      </c>
      <c r="E164" s="159" t="s">
        <v>4814</v>
      </c>
      <c r="F164" s="252">
        <v>41456</v>
      </c>
      <c r="G164" s="155">
        <f>IF(F164&lt;&gt;"",'CONCEPTOS Y PARAMETROS'!$M$2-YEAR(F164),"")</f>
        <v>12</v>
      </c>
      <c r="H164" s="158">
        <v>0</v>
      </c>
      <c r="I164" s="156" t="str">
        <f>IFERROR(VLOOKUP(J164,CARGOS!A:F,2,0),"")</f>
        <v>12113</v>
      </c>
      <c r="J164" s="88" t="s">
        <v>326</v>
      </c>
      <c r="K164" s="142" t="s">
        <v>4645</v>
      </c>
      <c r="L164" s="251">
        <v>223</v>
      </c>
    </row>
    <row r="165" spans="2:12" ht="15.75" thickBot="1">
      <c r="B165" s="149" t="s">
        <v>2846</v>
      </c>
      <c r="C165" s="148">
        <f t="shared" ca="1" si="2"/>
        <v>130</v>
      </c>
      <c r="D165" s="87">
        <v>16066554</v>
      </c>
      <c r="E165" s="159" t="s">
        <v>4815</v>
      </c>
      <c r="F165" s="252">
        <v>38797</v>
      </c>
      <c r="G165" s="155">
        <f>IF(F165&lt;&gt;"",'CONCEPTOS Y PARAMETROS'!$M$2-YEAR(F165),"")</f>
        <v>19</v>
      </c>
      <c r="H165" s="158">
        <v>0</v>
      </c>
      <c r="I165" s="156" t="str">
        <f>IFERROR(VLOOKUP(J165,CARGOS!A:F,2,0),"")</f>
        <v>21214</v>
      </c>
      <c r="J165" s="88" t="s">
        <v>515</v>
      </c>
      <c r="K165" s="142" t="s">
        <v>4940</v>
      </c>
      <c r="L165" s="251">
        <v>285</v>
      </c>
    </row>
    <row r="166" spans="2:12" ht="15.75" thickBot="1">
      <c r="B166" s="149" t="s">
        <v>2846</v>
      </c>
      <c r="C166" s="148">
        <f t="shared" ca="1" si="2"/>
        <v>131</v>
      </c>
      <c r="D166" s="87">
        <v>16266033</v>
      </c>
      <c r="E166" s="159" t="s">
        <v>4816</v>
      </c>
      <c r="F166" s="252">
        <v>44713</v>
      </c>
      <c r="G166" s="155">
        <f>IF(F166&lt;&gt;"",'CONCEPTOS Y PARAMETROS'!$M$2-YEAR(F166),"")</f>
        <v>3</v>
      </c>
      <c r="H166" s="158">
        <v>0</v>
      </c>
      <c r="I166" s="156" t="str">
        <f>IFERROR(VLOOKUP(J166,CARGOS!A:F,2,0),"")</f>
        <v>79511</v>
      </c>
      <c r="J166" s="88" t="s">
        <v>1162</v>
      </c>
      <c r="K166" s="142" t="s">
        <v>4649</v>
      </c>
      <c r="L166" s="251">
        <v>192</v>
      </c>
    </row>
    <row r="167" spans="2:12" ht="15.75" thickBot="1">
      <c r="B167" s="149" t="s">
        <v>2846</v>
      </c>
      <c r="C167" s="148">
        <f t="shared" ca="1" si="2"/>
        <v>132</v>
      </c>
      <c r="D167" s="87">
        <v>16266989</v>
      </c>
      <c r="E167" s="159" t="s">
        <v>4817</v>
      </c>
      <c r="F167" s="252">
        <v>43040</v>
      </c>
      <c r="G167" s="155">
        <f>IF(F167&lt;&gt;"",'CONCEPTOS Y PARAMETROS'!$M$2-YEAR(F167),"")</f>
        <v>8</v>
      </c>
      <c r="H167" s="158">
        <v>0</v>
      </c>
      <c r="I167" s="156" t="str">
        <f>IFERROR(VLOOKUP(J167,CARGOS!A:F,2,0),"")</f>
        <v>79512</v>
      </c>
      <c r="J167" s="88" t="s">
        <v>1164</v>
      </c>
      <c r="K167" s="142" t="s">
        <v>4643</v>
      </c>
      <c r="L167" s="251">
        <v>279</v>
      </c>
    </row>
    <row r="168" spans="2:12" ht="15.75" thickBot="1">
      <c r="B168" s="149" t="s">
        <v>2846</v>
      </c>
      <c r="C168" s="148">
        <f t="shared" ca="1" si="2"/>
        <v>133</v>
      </c>
      <c r="D168" s="87">
        <v>16267940</v>
      </c>
      <c r="E168" s="159" t="s">
        <v>4818</v>
      </c>
      <c r="F168" s="252">
        <v>44600</v>
      </c>
      <c r="G168" s="155">
        <f>IF(F168&lt;&gt;"",'CONCEPTOS Y PARAMETROS'!$M$2-YEAR(F168),"")</f>
        <v>3</v>
      </c>
      <c r="H168" s="158">
        <v>0</v>
      </c>
      <c r="I168" s="156" t="str">
        <f>IFERROR(VLOOKUP(J168,CARGOS!A:F,2,0),"")</f>
        <v>79341</v>
      </c>
      <c r="J168" s="88" t="s">
        <v>2381</v>
      </c>
      <c r="K168" s="142" t="s">
        <v>4649</v>
      </c>
      <c r="L168" s="251">
        <v>192</v>
      </c>
    </row>
    <row r="169" spans="2:12" ht="15.75" thickBot="1">
      <c r="B169" s="149" t="s">
        <v>2846</v>
      </c>
      <c r="C169" s="148">
        <f t="shared" ca="1" si="2"/>
        <v>134</v>
      </c>
      <c r="D169" s="87">
        <v>16351017</v>
      </c>
      <c r="E169" s="159" t="s">
        <v>4819</v>
      </c>
      <c r="F169" s="252">
        <v>42767</v>
      </c>
      <c r="G169" s="155">
        <f>IF(F169&lt;&gt;"",'CONCEPTOS Y PARAMETROS'!$M$2-YEAR(F169),"")</f>
        <v>8</v>
      </c>
      <c r="H169" s="158">
        <v>0</v>
      </c>
      <c r="I169" s="156" t="str">
        <f>IFERROR(VLOOKUP(J169,CARGOS!A:F,2,0),"")</f>
        <v>41413</v>
      </c>
      <c r="J169" s="88" t="s">
        <v>1482</v>
      </c>
      <c r="K169" s="142" t="s">
        <v>4952</v>
      </c>
      <c r="L169" s="251">
        <v>170</v>
      </c>
    </row>
    <row r="170" spans="2:12" ht="15.75" thickBot="1">
      <c r="B170" s="149" t="s">
        <v>2846</v>
      </c>
      <c r="C170" s="148">
        <f t="shared" ca="1" si="2"/>
        <v>135</v>
      </c>
      <c r="D170" s="87">
        <v>16376534</v>
      </c>
      <c r="E170" s="159" t="s">
        <v>4820</v>
      </c>
      <c r="F170" s="252">
        <v>43754</v>
      </c>
      <c r="G170" s="155">
        <f>IF(F170&lt;&gt;"",'CONCEPTOS Y PARAMETROS'!$M$2-YEAR(F170),"")</f>
        <v>6</v>
      </c>
      <c r="H170" s="158">
        <v>0</v>
      </c>
      <c r="I170" s="156" t="str">
        <f>IFERROR(VLOOKUP(J170,CARGOS!A:F,2,0),"")</f>
        <v>79512</v>
      </c>
      <c r="J170" s="88" t="s">
        <v>1164</v>
      </c>
      <c r="K170" s="142" t="s">
        <v>4648</v>
      </c>
      <c r="L170" s="251">
        <v>277</v>
      </c>
    </row>
    <row r="171" spans="2:12" ht="15.75" thickBot="1">
      <c r="B171" s="149" t="s">
        <v>2846</v>
      </c>
      <c r="C171" s="148">
        <f t="shared" ca="1" si="2"/>
        <v>136</v>
      </c>
      <c r="D171" s="87">
        <v>16376698</v>
      </c>
      <c r="E171" s="159" t="s">
        <v>4821</v>
      </c>
      <c r="F171" s="252">
        <v>40909</v>
      </c>
      <c r="G171" s="155">
        <f>IF(F171&lt;&gt;"",'CONCEPTOS Y PARAMETROS'!$M$2-YEAR(F171),"")</f>
        <v>13</v>
      </c>
      <c r="H171" s="158">
        <v>0</v>
      </c>
      <c r="I171" s="156" t="str">
        <f>IFERROR(VLOOKUP(J171,CARGOS!A:F,2,0),"")</f>
        <v>22414</v>
      </c>
      <c r="J171" s="88" t="s">
        <v>2188</v>
      </c>
      <c r="K171" s="142" t="s">
        <v>4644</v>
      </c>
      <c r="L171" s="251">
        <v>172</v>
      </c>
    </row>
    <row r="172" spans="2:12" ht="15.75" thickBot="1">
      <c r="B172" s="149" t="s">
        <v>2846</v>
      </c>
      <c r="C172" s="148">
        <f t="shared" ca="1" si="2"/>
        <v>137</v>
      </c>
      <c r="D172" s="87">
        <v>16377159</v>
      </c>
      <c r="E172" s="159" t="s">
        <v>4822</v>
      </c>
      <c r="F172" s="252">
        <v>44743</v>
      </c>
      <c r="G172" s="155">
        <f>IF(F172&lt;&gt;"",'CONCEPTOS Y PARAMETROS'!$M$2-YEAR(F172),"")</f>
        <v>3</v>
      </c>
      <c r="H172" s="158">
        <v>0</v>
      </c>
      <c r="I172" s="156" t="str">
        <f>IFERROR(VLOOKUP(J172,CARGOS!A:F,2,0),"")</f>
        <v>79511</v>
      </c>
      <c r="J172" s="88" t="s">
        <v>1162</v>
      </c>
      <c r="K172" s="142" t="s">
        <v>4649</v>
      </c>
      <c r="L172" s="251">
        <v>192</v>
      </c>
    </row>
    <row r="173" spans="2:12" ht="15.75" thickBot="1">
      <c r="B173" s="149" t="s">
        <v>2846</v>
      </c>
      <c r="C173" s="148">
        <f t="shared" ca="1" si="2"/>
        <v>138</v>
      </c>
      <c r="D173" s="87">
        <v>16377588</v>
      </c>
      <c r="E173" s="159" t="s">
        <v>4823</v>
      </c>
      <c r="F173" s="252">
        <v>44059</v>
      </c>
      <c r="G173" s="155">
        <f>IF(F173&lt;&gt;"",'CONCEPTOS Y PARAMETROS'!$M$2-YEAR(F173),"")</f>
        <v>5</v>
      </c>
      <c r="H173" s="158">
        <v>0</v>
      </c>
      <c r="I173" s="156" t="str">
        <f>IFERROR(VLOOKUP(J173,CARGOS!A:F,2,0),"")</f>
        <v>79521</v>
      </c>
      <c r="J173" s="88" t="s">
        <v>2469</v>
      </c>
      <c r="K173" s="142" t="s">
        <v>4648</v>
      </c>
      <c r="L173" s="251">
        <v>277</v>
      </c>
    </row>
    <row r="174" spans="2:12" ht="15.75" thickBot="1">
      <c r="B174" s="149" t="s">
        <v>2846</v>
      </c>
      <c r="C174" s="148">
        <f t="shared" ca="1" si="2"/>
        <v>139</v>
      </c>
      <c r="D174" s="87">
        <v>16377628</v>
      </c>
      <c r="E174" s="159" t="s">
        <v>4824</v>
      </c>
      <c r="F174" s="252">
        <v>44743</v>
      </c>
      <c r="G174" s="155">
        <f>IF(F174&lt;&gt;"",'CONCEPTOS Y PARAMETROS'!$M$2-YEAR(F174),"")</f>
        <v>3</v>
      </c>
      <c r="H174" s="158">
        <v>9</v>
      </c>
      <c r="I174" s="156" t="str">
        <f>IFERROR(VLOOKUP(J174,CARGOS!A:F,2,0),"")</f>
        <v>79512</v>
      </c>
      <c r="J174" s="88" t="s">
        <v>1164</v>
      </c>
      <c r="K174" s="142" t="s">
        <v>4642</v>
      </c>
      <c r="L174" s="251">
        <v>281</v>
      </c>
    </row>
    <row r="175" spans="2:12" ht="15.75" thickBot="1">
      <c r="B175" s="149" t="s">
        <v>2846</v>
      </c>
      <c r="C175" s="148">
        <f t="shared" ca="1" si="2"/>
        <v>140</v>
      </c>
      <c r="D175" s="87">
        <v>16463169</v>
      </c>
      <c r="E175" s="159" t="s">
        <v>4825</v>
      </c>
      <c r="F175" s="252">
        <v>44743</v>
      </c>
      <c r="G175" s="155">
        <f>IF(F175&lt;&gt;"",'CONCEPTOS Y PARAMETROS'!$M$2-YEAR(F175),"")</f>
        <v>3</v>
      </c>
      <c r="H175" s="158">
        <v>6</v>
      </c>
      <c r="I175" s="156" t="str">
        <f>IFERROR(VLOOKUP(J175,CARGOS!A:F,2,0),"")</f>
        <v>79511</v>
      </c>
      <c r="J175" s="88" t="s">
        <v>1162</v>
      </c>
      <c r="K175" s="142" t="s">
        <v>4952</v>
      </c>
      <c r="L175" s="251">
        <v>170</v>
      </c>
    </row>
    <row r="176" spans="2:12" ht="15.75" thickBot="1">
      <c r="B176" s="149" t="s">
        <v>2846</v>
      </c>
      <c r="C176" s="148">
        <f t="shared" ca="1" si="2"/>
        <v>141</v>
      </c>
      <c r="D176" s="87">
        <v>16533566</v>
      </c>
      <c r="E176" s="159" t="s">
        <v>4826</v>
      </c>
      <c r="F176" s="252">
        <v>44683</v>
      </c>
      <c r="G176" s="155">
        <f>IF(F176&lt;&gt;"",'CONCEPTOS Y PARAMETROS'!$M$2-YEAR(F176),"")</f>
        <v>3</v>
      </c>
      <c r="H176" s="158">
        <v>0</v>
      </c>
      <c r="I176" s="156" t="str">
        <f>IFERROR(VLOOKUP(J176,CARGOS!A:F,2,0),"")</f>
        <v>79511</v>
      </c>
      <c r="J176" s="88" t="s">
        <v>1162</v>
      </c>
      <c r="K176" s="142" t="s">
        <v>4650</v>
      </c>
      <c r="L176" s="251">
        <v>130</v>
      </c>
    </row>
    <row r="177" spans="2:12" ht="15.75" thickBot="1">
      <c r="B177" s="149" t="s">
        <v>2846</v>
      </c>
      <c r="C177" s="148">
        <f t="shared" ca="1" si="2"/>
        <v>142</v>
      </c>
      <c r="D177" s="87">
        <v>16533986</v>
      </c>
      <c r="E177" s="159" t="s">
        <v>4827</v>
      </c>
      <c r="F177" s="252">
        <v>42948</v>
      </c>
      <c r="G177" s="155">
        <f>IF(F177&lt;&gt;"",'CONCEPTOS Y PARAMETROS'!$M$2-YEAR(F177),"")</f>
        <v>8</v>
      </c>
      <c r="H177" s="158">
        <v>0</v>
      </c>
      <c r="I177" s="156" t="str">
        <f>IFERROR(VLOOKUP(J177,CARGOS!A:F,2,0),"")</f>
        <v>46512</v>
      </c>
      <c r="J177" s="88" t="s">
        <v>1246</v>
      </c>
      <c r="K177" s="142" t="s">
        <v>4643</v>
      </c>
      <c r="L177" s="251">
        <v>279</v>
      </c>
    </row>
    <row r="178" spans="2:12" ht="15.75" thickBot="1">
      <c r="B178" s="149" t="s">
        <v>2846</v>
      </c>
      <c r="C178" s="148">
        <f t="shared" ca="1" si="2"/>
        <v>143</v>
      </c>
      <c r="D178" s="87">
        <v>16739081</v>
      </c>
      <c r="E178" s="159" t="s">
        <v>4828</v>
      </c>
      <c r="F178" s="252">
        <v>42948</v>
      </c>
      <c r="G178" s="155">
        <f>IF(F178&lt;&gt;"",'CONCEPTOS Y PARAMETROS'!$M$2-YEAR(F178),"")</f>
        <v>8</v>
      </c>
      <c r="H178" s="158">
        <v>0</v>
      </c>
      <c r="I178" s="156" t="str">
        <f>IFERROR(VLOOKUP(J178,CARGOS!A:F,2,0),"")</f>
        <v>12113</v>
      </c>
      <c r="J178" s="88" t="s">
        <v>326</v>
      </c>
      <c r="K178" s="142" t="s">
        <v>4950</v>
      </c>
      <c r="L178" s="251">
        <v>221</v>
      </c>
    </row>
    <row r="179" spans="2:12" ht="15.75" thickBot="1">
      <c r="B179" s="149" t="s">
        <v>2846</v>
      </c>
      <c r="C179" s="148">
        <f t="shared" ca="1" si="2"/>
        <v>144</v>
      </c>
      <c r="D179" s="87">
        <v>16881384</v>
      </c>
      <c r="E179" s="159" t="s">
        <v>4829</v>
      </c>
      <c r="F179" s="252">
        <v>43906</v>
      </c>
      <c r="G179" s="155">
        <f>IF(F179&lt;&gt;"",'CONCEPTOS Y PARAMETROS'!$M$2-YEAR(F179),"")</f>
        <v>5</v>
      </c>
      <c r="H179" s="158">
        <v>9</v>
      </c>
      <c r="I179" s="156" t="str">
        <f>IFERROR(VLOOKUP(J179,CARGOS!A:F,2,0),"")</f>
        <v>79512</v>
      </c>
      <c r="J179" s="88" t="s">
        <v>1164</v>
      </c>
      <c r="K179" s="142" t="s">
        <v>4945</v>
      </c>
      <c r="L179" s="251">
        <v>225</v>
      </c>
    </row>
    <row r="180" spans="2:12" ht="15.75" thickBot="1">
      <c r="B180" s="149" t="s">
        <v>2846</v>
      </c>
      <c r="C180" s="148">
        <f t="shared" ca="1" si="2"/>
        <v>145</v>
      </c>
      <c r="D180" s="87">
        <v>16882467</v>
      </c>
      <c r="E180" s="159" t="s">
        <v>4830</v>
      </c>
      <c r="F180" s="252">
        <v>42948</v>
      </c>
      <c r="G180" s="155">
        <f>IF(F180&lt;&gt;"",'CONCEPTOS Y PARAMETROS'!$M$2-YEAR(F180),"")</f>
        <v>8</v>
      </c>
      <c r="H180" s="158">
        <v>7</v>
      </c>
      <c r="I180" s="156" t="str">
        <f>IFERROR(VLOOKUP(J180,CARGOS!A:F,2,0),"")</f>
        <v>15121</v>
      </c>
      <c r="J180" s="88" t="s">
        <v>204</v>
      </c>
      <c r="K180" s="142" t="s">
        <v>4942</v>
      </c>
      <c r="L180" s="251">
        <v>283</v>
      </c>
    </row>
    <row r="181" spans="2:12" ht="15.75" thickBot="1">
      <c r="B181" s="149" t="s">
        <v>2846</v>
      </c>
      <c r="C181" s="148">
        <f t="shared" ca="1" si="2"/>
        <v>146</v>
      </c>
      <c r="D181" s="87">
        <v>16883267</v>
      </c>
      <c r="E181" s="159" t="s">
        <v>4831</v>
      </c>
      <c r="F181" s="252">
        <v>38930</v>
      </c>
      <c r="G181" s="155">
        <f>IF(F181&lt;&gt;"",'CONCEPTOS Y PARAMETROS'!$M$2-YEAR(F181),"")</f>
        <v>19</v>
      </c>
      <c r="H181" s="158">
        <v>0</v>
      </c>
      <c r="I181" s="156" t="str">
        <f>IFERROR(VLOOKUP(J181,CARGOS!A:F,2,0),"")</f>
        <v>79512</v>
      </c>
      <c r="J181" s="88" t="s">
        <v>1164</v>
      </c>
      <c r="K181" s="142" t="s">
        <v>4936</v>
      </c>
      <c r="L181" s="251">
        <v>226</v>
      </c>
    </row>
    <row r="182" spans="2:12" ht="15.75" thickBot="1">
      <c r="B182" s="149" t="s">
        <v>2846</v>
      </c>
      <c r="C182" s="148">
        <f t="shared" ca="1" si="2"/>
        <v>147</v>
      </c>
      <c r="D182" s="87">
        <v>17037244</v>
      </c>
      <c r="E182" s="159" t="s">
        <v>4832</v>
      </c>
      <c r="F182" s="252">
        <v>40087</v>
      </c>
      <c r="G182" s="155">
        <f>IF(F182&lt;&gt;"",'CONCEPTOS Y PARAMETROS'!$M$2-YEAR(F182),"")</f>
        <v>16</v>
      </c>
      <c r="H182" s="158">
        <v>0</v>
      </c>
      <c r="I182" s="156" t="str">
        <f>IFERROR(VLOOKUP(J182,CARGOS!A:F,2,0),"")</f>
        <v>79512</v>
      </c>
      <c r="J182" s="88" t="s">
        <v>1164</v>
      </c>
      <c r="K182" s="142" t="s">
        <v>4945</v>
      </c>
      <c r="L182" s="251">
        <v>225</v>
      </c>
    </row>
    <row r="183" spans="2:12" ht="15.75" thickBot="1">
      <c r="B183" s="149" t="s">
        <v>2846</v>
      </c>
      <c r="C183" s="148">
        <f t="shared" ca="1" si="2"/>
        <v>148</v>
      </c>
      <c r="D183" s="87">
        <v>17094419</v>
      </c>
      <c r="E183" s="159" t="s">
        <v>4833</v>
      </c>
      <c r="F183" s="252">
        <v>44409</v>
      </c>
      <c r="G183" s="155">
        <f>IF(F183&lt;&gt;"",'CONCEPTOS Y PARAMETROS'!$M$2-YEAR(F183),"")</f>
        <v>4</v>
      </c>
      <c r="H183" s="158">
        <v>0</v>
      </c>
      <c r="I183" s="156" t="str">
        <f>IFERROR(VLOOKUP(J183,CARGOS!A:F,2,0),"")</f>
        <v>79511</v>
      </c>
      <c r="J183" s="88" t="s">
        <v>1162</v>
      </c>
      <c r="K183" s="142" t="s">
        <v>4650</v>
      </c>
      <c r="L183" s="251">
        <v>130</v>
      </c>
    </row>
    <row r="184" spans="2:12" ht="15.75" thickBot="1">
      <c r="B184" s="149" t="s">
        <v>2846</v>
      </c>
      <c r="C184" s="148">
        <f t="shared" ca="1" si="2"/>
        <v>149</v>
      </c>
      <c r="D184" s="87">
        <v>17094426</v>
      </c>
      <c r="E184" s="159" t="s">
        <v>4834</v>
      </c>
      <c r="F184" s="252">
        <v>43344</v>
      </c>
      <c r="G184" s="155">
        <f>IF(F184&lt;&gt;"",'CONCEPTOS Y PARAMETROS'!$M$2-YEAR(F184),"")</f>
        <v>7</v>
      </c>
      <c r="H184" s="158">
        <v>0</v>
      </c>
      <c r="I184" s="156" t="str">
        <f>IFERROR(VLOOKUP(J184,CARGOS!A:F,2,0),"")</f>
        <v>79512</v>
      </c>
      <c r="J184" s="88" t="s">
        <v>1164</v>
      </c>
      <c r="K184" s="142" t="s">
        <v>4648</v>
      </c>
      <c r="L184" s="251">
        <v>277</v>
      </c>
    </row>
    <row r="185" spans="2:12" ht="15.75" thickBot="1">
      <c r="B185" s="149" t="s">
        <v>2846</v>
      </c>
      <c r="C185" s="148">
        <f t="shared" ca="1" si="2"/>
        <v>150</v>
      </c>
      <c r="D185" s="87">
        <v>17130893</v>
      </c>
      <c r="E185" s="159" t="s">
        <v>4835</v>
      </c>
      <c r="F185" s="252">
        <v>39602</v>
      </c>
      <c r="G185" s="155">
        <f>IF(F185&lt;&gt;"",'CONCEPTOS Y PARAMETROS'!$M$2-YEAR(F185),"")</f>
        <v>17</v>
      </c>
      <c r="H185" s="158">
        <v>0</v>
      </c>
      <c r="I185" s="156" t="str">
        <f>IFERROR(VLOOKUP(J185,CARGOS!A:F,2,0),"")</f>
        <v>79522</v>
      </c>
      <c r="J185" s="88" t="s">
        <v>2471</v>
      </c>
      <c r="K185" s="142" t="s">
        <v>4940</v>
      </c>
      <c r="L185" s="251">
        <v>285</v>
      </c>
    </row>
    <row r="186" spans="2:12" ht="15.75" thickBot="1">
      <c r="B186" s="149" t="s">
        <v>2846</v>
      </c>
      <c r="C186" s="148">
        <f t="shared" ca="1" si="2"/>
        <v>151</v>
      </c>
      <c r="D186" s="87">
        <v>17265648</v>
      </c>
      <c r="E186" s="159" t="s">
        <v>4836</v>
      </c>
      <c r="F186" s="252">
        <v>43709</v>
      </c>
      <c r="G186" s="155">
        <f>IF(F186&lt;&gt;"",'CONCEPTOS Y PARAMETROS'!$M$2-YEAR(F186),"")</f>
        <v>6</v>
      </c>
      <c r="H186" s="158">
        <v>0</v>
      </c>
      <c r="I186" s="156" t="str">
        <f>IFERROR(VLOOKUP(J186,CARGOS!A:F,2,0),"")</f>
        <v>79512</v>
      </c>
      <c r="J186" s="88" t="s">
        <v>1164</v>
      </c>
      <c r="K186" s="142" t="s">
        <v>4946</v>
      </c>
      <c r="L186" s="251">
        <v>150</v>
      </c>
    </row>
    <row r="187" spans="2:12" ht="15.75" thickBot="1">
      <c r="B187" s="149" t="s">
        <v>2846</v>
      </c>
      <c r="C187" s="148">
        <f t="shared" ca="1" si="2"/>
        <v>152</v>
      </c>
      <c r="D187" s="87">
        <v>17267324</v>
      </c>
      <c r="E187" s="159" t="s">
        <v>4837</v>
      </c>
      <c r="F187" s="252">
        <v>43785</v>
      </c>
      <c r="G187" s="155">
        <f>IF(F187&lt;&gt;"",'CONCEPTOS Y PARAMETROS'!$M$2-YEAR(F187),"")</f>
        <v>6</v>
      </c>
      <c r="H187" s="158">
        <v>0</v>
      </c>
      <c r="I187" s="156" t="str">
        <f>IFERROR(VLOOKUP(J187,CARGOS!A:F,2,0),"")</f>
        <v>79512</v>
      </c>
      <c r="J187" s="88" t="s">
        <v>1164</v>
      </c>
      <c r="K187" s="142" t="s">
        <v>4946</v>
      </c>
      <c r="L187" s="251">
        <v>150</v>
      </c>
    </row>
    <row r="188" spans="2:12" ht="15.75" thickBot="1">
      <c r="B188" s="149" t="s">
        <v>2846</v>
      </c>
      <c r="C188" s="148">
        <f t="shared" ca="1" si="2"/>
        <v>153</v>
      </c>
      <c r="D188" s="87">
        <v>17391316</v>
      </c>
      <c r="E188" s="159" t="s">
        <v>4838</v>
      </c>
      <c r="F188" s="252">
        <v>44713</v>
      </c>
      <c r="G188" s="155">
        <f>IF(F188&lt;&gt;"",'CONCEPTOS Y PARAMETROS'!$M$2-YEAR(F188),"")</f>
        <v>3</v>
      </c>
      <c r="H188" s="158">
        <v>0</v>
      </c>
      <c r="I188" s="156" t="str">
        <f>IFERROR(VLOOKUP(J188,CARGOS!A:F,2,0),"")</f>
        <v>79511</v>
      </c>
      <c r="J188" s="88" t="s">
        <v>1162</v>
      </c>
      <c r="K188" s="142" t="s">
        <v>4649</v>
      </c>
      <c r="L188" s="251">
        <v>192</v>
      </c>
    </row>
    <row r="189" spans="2:12" ht="15.75" thickBot="1">
      <c r="B189" s="149" t="s">
        <v>2846</v>
      </c>
      <c r="C189" s="148">
        <f t="shared" ca="1" si="2"/>
        <v>154</v>
      </c>
      <c r="D189" s="87">
        <v>17392309</v>
      </c>
      <c r="E189" s="159" t="s">
        <v>4839</v>
      </c>
      <c r="F189" s="252">
        <v>43116</v>
      </c>
      <c r="G189" s="155">
        <f>IF(F189&lt;&gt;"",'CONCEPTOS Y PARAMETROS'!$M$2-YEAR(F189),"")</f>
        <v>7</v>
      </c>
      <c r="H189" s="158">
        <v>0</v>
      </c>
      <c r="I189" s="156" t="str">
        <f>IFERROR(VLOOKUP(J189,CARGOS!A:F,2,0),"")</f>
        <v>12114</v>
      </c>
      <c r="J189" s="88" t="s">
        <v>328</v>
      </c>
      <c r="K189" s="142" t="s">
        <v>4648</v>
      </c>
      <c r="L189" s="251">
        <v>277</v>
      </c>
    </row>
    <row r="190" spans="2:12" ht="15.75" thickBot="1">
      <c r="B190" s="149" t="s">
        <v>2846</v>
      </c>
      <c r="C190" s="148">
        <f t="shared" ca="1" si="2"/>
        <v>155</v>
      </c>
      <c r="D190" s="87">
        <v>17393693</v>
      </c>
      <c r="E190" s="159" t="s">
        <v>4840</v>
      </c>
      <c r="F190" s="252">
        <v>44516</v>
      </c>
      <c r="G190" s="155">
        <f>IF(F190&lt;&gt;"",'CONCEPTOS Y PARAMETROS'!$M$2-YEAR(F190),"")</f>
        <v>4</v>
      </c>
      <c r="H190" s="158">
        <v>0</v>
      </c>
      <c r="I190" s="156" t="str">
        <f>IFERROR(VLOOKUP(J190,CARGOS!A:F,2,0),"")</f>
        <v>12111</v>
      </c>
      <c r="J190" s="88" t="s">
        <v>322</v>
      </c>
      <c r="K190" s="142" t="s">
        <v>4650</v>
      </c>
      <c r="L190" s="251">
        <v>130</v>
      </c>
    </row>
    <row r="191" spans="2:12" ht="15.75" thickBot="1">
      <c r="B191" s="149" t="s">
        <v>2846</v>
      </c>
      <c r="C191" s="148">
        <f t="shared" ca="1" si="2"/>
        <v>156</v>
      </c>
      <c r="D191" s="87">
        <v>17597285</v>
      </c>
      <c r="E191" s="159" t="s">
        <v>4841</v>
      </c>
      <c r="F191" s="252">
        <v>42782</v>
      </c>
      <c r="G191" s="155">
        <f>IF(F191&lt;&gt;"",'CONCEPTOS Y PARAMETROS'!$M$2-YEAR(F191),"")</f>
        <v>8</v>
      </c>
      <c r="H191" s="158">
        <v>0</v>
      </c>
      <c r="I191" s="156" t="str">
        <f>IFERROR(VLOOKUP(J191,CARGOS!A:F,2,0),"")</f>
        <v>79342</v>
      </c>
      <c r="J191" s="88" t="s">
        <v>2383</v>
      </c>
      <c r="K191" s="142" t="s">
        <v>4950</v>
      </c>
      <c r="L191" s="251">
        <v>221</v>
      </c>
    </row>
    <row r="192" spans="2:12" ht="15.75" thickBot="1">
      <c r="B192" s="149" t="s">
        <v>2846</v>
      </c>
      <c r="C192" s="148">
        <f t="shared" ca="1" si="2"/>
        <v>157</v>
      </c>
      <c r="D192" s="87">
        <v>17604568</v>
      </c>
      <c r="E192" s="159" t="s">
        <v>4842</v>
      </c>
      <c r="F192" s="252">
        <v>43831</v>
      </c>
      <c r="G192" s="155">
        <f>IF(F192&lt;&gt;"",'CONCEPTOS Y PARAMETROS'!$M$2-YEAR(F192),"")</f>
        <v>5</v>
      </c>
      <c r="H192" s="158">
        <v>0</v>
      </c>
      <c r="I192" s="156" t="str">
        <f>IFERROR(VLOOKUP(J192,CARGOS!A:F,2,0),"")</f>
        <v>46121</v>
      </c>
      <c r="J192" s="88" t="s">
        <v>2289</v>
      </c>
      <c r="K192" s="142" t="s">
        <v>4647</v>
      </c>
      <c r="L192" s="251">
        <v>219</v>
      </c>
    </row>
    <row r="193" spans="2:12" ht="15.75" thickBot="1">
      <c r="B193" s="149" t="s">
        <v>2846</v>
      </c>
      <c r="C193" s="148">
        <f t="shared" ca="1" si="2"/>
        <v>158</v>
      </c>
      <c r="D193" s="87">
        <v>17605101</v>
      </c>
      <c r="E193" s="159" t="s">
        <v>4953</v>
      </c>
      <c r="F193" s="252">
        <v>44743</v>
      </c>
      <c r="G193" s="155">
        <f>IF(F193&lt;&gt;"",'CONCEPTOS Y PARAMETROS'!$M$2-YEAR(F193),"")</f>
        <v>3</v>
      </c>
      <c r="H193" s="158">
        <v>0</v>
      </c>
      <c r="I193" s="156" t="str">
        <f>IFERROR(VLOOKUP(J193,CARGOS!A:F,2,0),"")</f>
        <v>79511</v>
      </c>
      <c r="J193" s="88" t="s">
        <v>1162</v>
      </c>
      <c r="K193" s="142" t="s">
        <v>4649</v>
      </c>
      <c r="L193" s="251">
        <v>192</v>
      </c>
    </row>
    <row r="194" spans="2:12" ht="15.75" thickBot="1">
      <c r="B194" s="149" t="s">
        <v>2846</v>
      </c>
      <c r="C194" s="148">
        <f t="shared" ca="1" si="2"/>
        <v>159</v>
      </c>
      <c r="D194" s="87">
        <v>17605222</v>
      </c>
      <c r="E194" s="159" t="s">
        <v>4843</v>
      </c>
      <c r="F194" s="252">
        <v>42737</v>
      </c>
      <c r="G194" s="155">
        <f>IF(F194&lt;&gt;"",'CONCEPTOS Y PARAMETROS'!$M$2-YEAR(F194),"")</f>
        <v>8</v>
      </c>
      <c r="H194" s="158">
        <v>0</v>
      </c>
      <c r="I194" s="156" t="str">
        <f>IFERROR(VLOOKUP(J194,CARGOS!A:F,2,0),"")</f>
        <v>79511</v>
      </c>
      <c r="J194" s="88" t="s">
        <v>1162</v>
      </c>
      <c r="K194" s="142" t="s">
        <v>4950</v>
      </c>
      <c r="L194" s="251">
        <v>221</v>
      </c>
    </row>
    <row r="195" spans="2:12" ht="15.75" thickBot="1">
      <c r="B195" s="149" t="s">
        <v>2846</v>
      </c>
      <c r="C195" s="148">
        <f t="shared" ca="1" si="2"/>
        <v>160</v>
      </c>
      <c r="D195" s="87">
        <v>17605492</v>
      </c>
      <c r="E195" s="159" t="s">
        <v>4844</v>
      </c>
      <c r="F195" s="252">
        <v>43967</v>
      </c>
      <c r="G195" s="155">
        <f>IF(F195&lt;&gt;"",'CONCEPTOS Y PARAMETROS'!$M$2-YEAR(F195),"")</f>
        <v>5</v>
      </c>
      <c r="H195" s="158">
        <v>0</v>
      </c>
      <c r="I195" s="156" t="str">
        <f>IFERROR(VLOOKUP(J195,CARGOS!A:F,2,0),"")</f>
        <v>12114</v>
      </c>
      <c r="J195" s="88" t="s">
        <v>328</v>
      </c>
      <c r="K195" s="142" t="s">
        <v>4648</v>
      </c>
      <c r="L195" s="251">
        <v>277</v>
      </c>
    </row>
    <row r="196" spans="2:12" ht="15.75" thickBot="1">
      <c r="B196" s="149" t="s">
        <v>2846</v>
      </c>
      <c r="C196" s="148">
        <f t="shared" ca="1" si="2"/>
        <v>161</v>
      </c>
      <c r="D196" s="87">
        <v>17830277</v>
      </c>
      <c r="E196" s="159" t="s">
        <v>4845</v>
      </c>
      <c r="F196" s="252">
        <v>44743</v>
      </c>
      <c r="G196" s="155">
        <f>IF(F196&lt;&gt;"",'CONCEPTOS Y PARAMETROS'!$M$2-YEAR(F196),"")</f>
        <v>3</v>
      </c>
      <c r="H196" s="158">
        <v>6</v>
      </c>
      <c r="I196" s="156" t="str">
        <f>IFERROR(VLOOKUP(J196,CARGOS!A:F,2,0),"")</f>
        <v>79512</v>
      </c>
      <c r="J196" s="88" t="s">
        <v>1164</v>
      </c>
      <c r="K196" s="142" t="s">
        <v>4643</v>
      </c>
      <c r="L196" s="251">
        <v>279</v>
      </c>
    </row>
    <row r="197" spans="2:12" ht="15.75" thickBot="1">
      <c r="B197" s="149" t="s">
        <v>2846</v>
      </c>
      <c r="C197" s="148">
        <f t="shared" ca="1" si="2"/>
        <v>162</v>
      </c>
      <c r="D197" s="87">
        <v>17830285</v>
      </c>
      <c r="E197" s="159" t="s">
        <v>4846</v>
      </c>
      <c r="F197" s="252">
        <v>44774</v>
      </c>
      <c r="G197" s="155">
        <f>IF(F197&lt;&gt;"",'CONCEPTOS Y PARAMETROS'!$M$2-YEAR(F197),"")</f>
        <v>3</v>
      </c>
      <c r="H197" s="158">
        <v>0</v>
      </c>
      <c r="I197" s="156" t="str">
        <f>IFERROR(VLOOKUP(J197,CARGOS!A:F,2,0),"")</f>
        <v>79511</v>
      </c>
      <c r="J197" s="88" t="s">
        <v>1162</v>
      </c>
      <c r="K197" s="142" t="s">
        <v>4649</v>
      </c>
      <c r="L197" s="251">
        <v>192</v>
      </c>
    </row>
    <row r="198" spans="2:12" ht="15.75" thickBot="1">
      <c r="B198" s="149" t="s">
        <v>2846</v>
      </c>
      <c r="C198" s="148">
        <f t="shared" ca="1" si="2"/>
        <v>163</v>
      </c>
      <c r="D198" s="87">
        <v>17830972</v>
      </c>
      <c r="E198" s="159" t="s">
        <v>4847</v>
      </c>
      <c r="F198" s="252">
        <v>44713</v>
      </c>
      <c r="G198" s="155">
        <f>IF(F198&lt;&gt;"",'CONCEPTOS Y PARAMETROS'!$M$2-YEAR(F198),"")</f>
        <v>3</v>
      </c>
      <c r="H198" s="158">
        <v>0</v>
      </c>
      <c r="I198" s="156" t="str">
        <f>IFERROR(VLOOKUP(J198,CARGOS!A:F,2,0),"")</f>
        <v>34234</v>
      </c>
      <c r="J198" s="88" t="s">
        <v>980</v>
      </c>
      <c r="K198" s="142" t="s">
        <v>4646</v>
      </c>
      <c r="L198" s="251">
        <v>246</v>
      </c>
    </row>
    <row r="199" spans="2:12" ht="15.75" thickBot="1">
      <c r="B199" s="149" t="s">
        <v>2846</v>
      </c>
      <c r="C199" s="148">
        <f t="shared" ca="1" si="2"/>
        <v>164</v>
      </c>
      <c r="D199" s="87">
        <v>17831231</v>
      </c>
      <c r="E199" s="159" t="s">
        <v>4848</v>
      </c>
      <c r="F199" s="252">
        <v>44200</v>
      </c>
      <c r="G199" s="155">
        <f>IF(F199&lt;&gt;"",'CONCEPTOS Y PARAMETROS'!$M$2-YEAR(F199),"")</f>
        <v>4</v>
      </c>
      <c r="H199" s="158">
        <v>0</v>
      </c>
      <c r="I199" s="156" t="str">
        <f>IFERROR(VLOOKUP(J199,CARGOS!A:F,2,0),"")</f>
        <v>35121</v>
      </c>
      <c r="J199" s="88" t="s">
        <v>34</v>
      </c>
      <c r="K199" s="142" t="s">
        <v>4646</v>
      </c>
      <c r="L199" s="251">
        <v>246</v>
      </c>
    </row>
    <row r="200" spans="2:12" ht="15.75" thickBot="1">
      <c r="B200" s="149" t="s">
        <v>2846</v>
      </c>
      <c r="C200" s="148">
        <f t="shared" ca="1" si="2"/>
        <v>165</v>
      </c>
      <c r="D200" s="87">
        <v>17831384</v>
      </c>
      <c r="E200" s="159" t="s">
        <v>4849</v>
      </c>
      <c r="F200" s="252">
        <v>42339</v>
      </c>
      <c r="G200" s="155">
        <f>IF(F200&lt;&gt;"",'CONCEPTOS Y PARAMETROS'!$M$2-YEAR(F200),"")</f>
        <v>10</v>
      </c>
      <c r="H200" s="158">
        <v>0</v>
      </c>
      <c r="I200" s="156" t="str">
        <f>IFERROR(VLOOKUP(J200,CARGOS!A:F,2,0),"")</f>
        <v>79512</v>
      </c>
      <c r="J200" s="88" t="s">
        <v>1164</v>
      </c>
      <c r="K200" s="142" t="s">
        <v>4643</v>
      </c>
      <c r="L200" s="251">
        <v>279</v>
      </c>
    </row>
    <row r="201" spans="2:12" ht="15.75" thickBot="1">
      <c r="B201" s="149" t="s">
        <v>2846</v>
      </c>
      <c r="C201" s="148">
        <f t="shared" ca="1" si="2"/>
        <v>166</v>
      </c>
      <c r="D201" s="87">
        <v>17832396</v>
      </c>
      <c r="E201" s="159" t="s">
        <v>4850</v>
      </c>
      <c r="F201" s="252">
        <v>43191</v>
      </c>
      <c r="G201" s="155">
        <f>IF(F201&lt;&gt;"",'CONCEPTOS Y PARAMETROS'!$M$2-YEAR(F201),"")</f>
        <v>7</v>
      </c>
      <c r="H201" s="158">
        <v>0</v>
      </c>
      <c r="I201" s="156" t="str">
        <f>IFERROR(VLOOKUP(J201,CARGOS!A:F,2,0),"")</f>
        <v>71341</v>
      </c>
      <c r="J201" s="88" t="s">
        <v>969</v>
      </c>
      <c r="K201" s="142" t="s">
        <v>4647</v>
      </c>
      <c r="L201" s="251">
        <v>219</v>
      </c>
    </row>
    <row r="202" spans="2:12" ht="15.75" thickBot="1">
      <c r="B202" s="149" t="s">
        <v>2846</v>
      </c>
      <c r="C202" s="148">
        <f t="shared" ca="1" si="2"/>
        <v>167</v>
      </c>
      <c r="D202" s="87">
        <v>17865154</v>
      </c>
      <c r="E202" s="159" t="s">
        <v>4851</v>
      </c>
      <c r="F202" s="252">
        <v>43846</v>
      </c>
      <c r="G202" s="155">
        <f>IF(F202&lt;&gt;"",'CONCEPTOS Y PARAMETROS'!$M$2-YEAR(F202),"")</f>
        <v>5</v>
      </c>
      <c r="H202" s="158">
        <v>0</v>
      </c>
      <c r="I202" s="156" t="str">
        <f>IFERROR(VLOOKUP(J202,CARGOS!A:F,2,0),"")</f>
        <v>79511</v>
      </c>
      <c r="J202" s="88" t="s">
        <v>1162</v>
      </c>
      <c r="K202" s="142" t="s">
        <v>4946</v>
      </c>
      <c r="L202" s="251">
        <v>150</v>
      </c>
    </row>
    <row r="203" spans="2:12" ht="15.75" thickBot="1">
      <c r="B203" s="149" t="s">
        <v>2846</v>
      </c>
      <c r="C203" s="148">
        <f t="shared" ca="1" si="2"/>
        <v>168</v>
      </c>
      <c r="D203" s="87">
        <v>17865267</v>
      </c>
      <c r="E203" s="159" t="s">
        <v>4852</v>
      </c>
      <c r="F203" s="252">
        <v>44713</v>
      </c>
      <c r="G203" s="155">
        <f>IF(F203&lt;&gt;"",'CONCEPTOS Y PARAMETROS'!$M$2-YEAR(F203),"")</f>
        <v>3</v>
      </c>
      <c r="H203" s="158">
        <v>0</v>
      </c>
      <c r="I203" s="156" t="str">
        <f>IFERROR(VLOOKUP(J203,CARGOS!A:F,2,0),"")</f>
        <v>36321</v>
      </c>
      <c r="J203" s="88" t="s">
        <v>1998</v>
      </c>
      <c r="K203" s="142" t="s">
        <v>4646</v>
      </c>
      <c r="L203" s="251">
        <v>246</v>
      </c>
    </row>
    <row r="204" spans="2:12" ht="15.75" thickBot="1">
      <c r="B204" s="149" t="s">
        <v>2846</v>
      </c>
      <c r="C204" s="148">
        <f t="shared" ca="1" si="2"/>
        <v>169</v>
      </c>
      <c r="D204" s="87">
        <v>18036944</v>
      </c>
      <c r="E204" s="159" t="s">
        <v>4954</v>
      </c>
      <c r="F204" s="252">
        <v>44713</v>
      </c>
      <c r="G204" s="155">
        <f>IF(F204&lt;&gt;"",'CONCEPTOS Y PARAMETROS'!$M$2-YEAR(F204),"")</f>
        <v>3</v>
      </c>
      <c r="H204" s="158">
        <v>0</v>
      </c>
      <c r="I204" s="156" t="str">
        <f>IFERROR(VLOOKUP(J204,CARGOS!A:F,2,0),"")</f>
        <v>79511</v>
      </c>
      <c r="J204" s="88" t="s">
        <v>1162</v>
      </c>
      <c r="K204" s="142" t="s">
        <v>4650</v>
      </c>
      <c r="L204" s="251">
        <v>130</v>
      </c>
    </row>
    <row r="205" spans="2:12" ht="15.75" thickBot="1">
      <c r="B205" s="149" t="s">
        <v>2846</v>
      </c>
      <c r="C205" s="148">
        <f t="shared" ca="1" si="2"/>
        <v>170</v>
      </c>
      <c r="D205" s="87">
        <v>18095603</v>
      </c>
      <c r="E205" s="159" t="s">
        <v>4853</v>
      </c>
      <c r="F205" s="252">
        <v>42963</v>
      </c>
      <c r="G205" s="155">
        <f>IF(F205&lt;&gt;"",'CONCEPTOS Y PARAMETROS'!$M$2-YEAR(F205),"")</f>
        <v>8</v>
      </c>
      <c r="H205" s="158">
        <v>0</v>
      </c>
      <c r="I205" s="156" t="str">
        <f>IFERROR(VLOOKUP(J205,CARGOS!A:F,2,0),"")</f>
        <v>79342</v>
      </c>
      <c r="J205" s="88" t="s">
        <v>2383</v>
      </c>
      <c r="K205" s="142" t="s">
        <v>4950</v>
      </c>
      <c r="L205" s="251">
        <v>221</v>
      </c>
    </row>
    <row r="206" spans="2:12" ht="15.75" thickBot="1">
      <c r="B206" s="149" t="s">
        <v>2846</v>
      </c>
      <c r="C206" s="148">
        <f t="shared" ca="1" si="2"/>
        <v>171</v>
      </c>
      <c r="D206" s="87">
        <v>18097740</v>
      </c>
      <c r="E206" s="159" t="s">
        <v>4854</v>
      </c>
      <c r="F206" s="252">
        <v>44743</v>
      </c>
      <c r="G206" s="155">
        <f>IF(F206&lt;&gt;"",'CONCEPTOS Y PARAMETROS'!$M$2-YEAR(F206),"")</f>
        <v>3</v>
      </c>
      <c r="H206" s="158">
        <v>0</v>
      </c>
      <c r="I206" s="156" t="str">
        <f>IFERROR(VLOOKUP(J206,CARGOS!A:F,2,0),"")</f>
        <v>79511</v>
      </c>
      <c r="J206" s="88" t="s">
        <v>1162</v>
      </c>
      <c r="K206" s="142" t="s">
        <v>4649</v>
      </c>
      <c r="L206" s="251">
        <v>192</v>
      </c>
    </row>
    <row r="207" spans="2:12" ht="15.75" thickBot="1">
      <c r="B207" s="149" t="s">
        <v>2846</v>
      </c>
      <c r="C207" s="148">
        <f t="shared" ca="1" si="2"/>
        <v>172</v>
      </c>
      <c r="D207" s="87">
        <v>18097873</v>
      </c>
      <c r="E207" s="159" t="s">
        <v>4855</v>
      </c>
      <c r="F207" s="252">
        <v>44531</v>
      </c>
      <c r="G207" s="155">
        <f>IF(F207&lt;&gt;"",'CONCEPTOS Y PARAMETROS'!$M$2-YEAR(F207),"")</f>
        <v>4</v>
      </c>
      <c r="H207" s="158">
        <v>0</v>
      </c>
      <c r="I207" s="156" t="str">
        <f>IFERROR(VLOOKUP(J207,CARGOS!A:F,2,0),"")</f>
        <v>79511</v>
      </c>
      <c r="J207" s="88" t="s">
        <v>1162</v>
      </c>
      <c r="K207" s="142" t="s">
        <v>4650</v>
      </c>
      <c r="L207" s="251">
        <v>130</v>
      </c>
    </row>
    <row r="208" spans="2:12" ht="15.75" thickBot="1">
      <c r="B208" s="149" t="s">
        <v>2846</v>
      </c>
      <c r="C208" s="148">
        <f t="shared" ca="1" si="2"/>
        <v>173</v>
      </c>
      <c r="D208" s="87">
        <v>18348317</v>
      </c>
      <c r="E208" s="159" t="s">
        <v>4856</v>
      </c>
      <c r="F208" s="252">
        <v>43160</v>
      </c>
      <c r="G208" s="155">
        <f>IF(F208&lt;&gt;"",'CONCEPTOS Y PARAMETROS'!$M$2-YEAR(F208),"")</f>
        <v>7</v>
      </c>
      <c r="H208" s="158">
        <v>0</v>
      </c>
      <c r="I208" s="156" t="str">
        <f>IFERROR(VLOOKUP(J208,CARGOS!A:F,2,0),"")</f>
        <v>79521</v>
      </c>
      <c r="J208" s="88" t="s">
        <v>2469</v>
      </c>
      <c r="K208" s="142" t="s">
        <v>4648</v>
      </c>
      <c r="L208" s="251">
        <v>277</v>
      </c>
    </row>
    <row r="209" spans="2:12" ht="15.75" thickBot="1">
      <c r="B209" s="149" t="s">
        <v>2846</v>
      </c>
      <c r="C209" s="148">
        <f t="shared" ca="1" si="2"/>
        <v>174</v>
      </c>
      <c r="D209" s="87">
        <v>18348721</v>
      </c>
      <c r="E209" s="215" t="s">
        <v>4857</v>
      </c>
      <c r="F209" s="216">
        <v>42948</v>
      </c>
      <c r="G209" s="155">
        <f>IF(F209&lt;&gt;"",'CONCEPTOS Y PARAMETROS'!$M$2-YEAR(F209),"")</f>
        <v>8</v>
      </c>
      <c r="H209" s="158">
        <v>0</v>
      </c>
      <c r="I209" s="156" t="str">
        <f>IFERROR(VLOOKUP(J209,CARGOS!A:F,2,0),"")</f>
        <v>79342</v>
      </c>
      <c r="J209" s="88" t="s">
        <v>2383</v>
      </c>
      <c r="K209" s="142" t="s">
        <v>4950</v>
      </c>
      <c r="L209" s="251">
        <v>221</v>
      </c>
    </row>
    <row r="210" spans="2:12" ht="15.75" thickBot="1">
      <c r="B210" s="149" t="s">
        <v>2846</v>
      </c>
      <c r="C210" s="148">
        <f t="shared" ca="1" si="2"/>
        <v>175</v>
      </c>
      <c r="D210" s="87">
        <v>18349021</v>
      </c>
      <c r="E210" s="159" t="s">
        <v>4858</v>
      </c>
      <c r="F210" s="252">
        <v>44683</v>
      </c>
      <c r="G210" s="155">
        <f>IF(F210&lt;&gt;"",'CONCEPTOS Y PARAMETROS'!$M$2-YEAR(F210),"")</f>
        <v>3</v>
      </c>
      <c r="H210" s="158">
        <v>0</v>
      </c>
      <c r="I210" s="156" t="str">
        <f>IFERROR(VLOOKUP(J210,CARGOS!A:F,2,0),"")</f>
        <v>79511</v>
      </c>
      <c r="J210" s="88" t="s">
        <v>1162</v>
      </c>
      <c r="K210" s="142" t="s">
        <v>4649</v>
      </c>
      <c r="L210" s="251">
        <v>192</v>
      </c>
    </row>
    <row r="211" spans="2:12" ht="15.75" thickBot="1">
      <c r="B211" s="149" t="s">
        <v>2846</v>
      </c>
      <c r="C211" s="148">
        <f t="shared" ca="1" si="2"/>
        <v>176</v>
      </c>
      <c r="D211" s="87">
        <v>18350178</v>
      </c>
      <c r="E211" s="87" t="s">
        <v>4859</v>
      </c>
      <c r="F211" s="233">
        <v>39874</v>
      </c>
      <c r="G211" s="155">
        <f>IF(F211&lt;&gt;"",'CONCEPTOS Y PARAMETROS'!$M$2-YEAR(F211),"")</f>
        <v>16</v>
      </c>
      <c r="H211" s="158">
        <v>0</v>
      </c>
      <c r="I211" s="156" t="str">
        <f>IFERROR(VLOOKUP(J211,CARGOS!A:F,2,0),"")</f>
        <v>35124</v>
      </c>
      <c r="J211" s="88" t="s">
        <v>40</v>
      </c>
      <c r="K211" s="142" t="s">
        <v>4955</v>
      </c>
      <c r="L211" s="251">
        <v>312</v>
      </c>
    </row>
    <row r="212" spans="2:12" ht="15.75" thickBot="1">
      <c r="B212" s="149" t="s">
        <v>2846</v>
      </c>
      <c r="C212" s="148">
        <f t="shared" ca="1" si="2"/>
        <v>177</v>
      </c>
      <c r="D212" s="87">
        <v>18378985</v>
      </c>
      <c r="E212" s="159" t="s">
        <v>4860</v>
      </c>
      <c r="F212" s="252">
        <v>43147</v>
      </c>
      <c r="G212" s="155">
        <f>IF(F212&lt;&gt;"",'CONCEPTOS Y PARAMETROS'!$M$2-YEAR(F212),"")</f>
        <v>7</v>
      </c>
      <c r="H212" s="158">
        <v>0</v>
      </c>
      <c r="I212" s="156" t="str">
        <f>IFERROR(VLOOKUP(J212,CARGOS!A:F,2,0),"")</f>
        <v>23451</v>
      </c>
      <c r="J212" s="88" t="s">
        <v>226</v>
      </c>
      <c r="K212" s="142" t="s">
        <v>4648</v>
      </c>
      <c r="L212" s="251">
        <v>277</v>
      </c>
    </row>
    <row r="213" spans="2:12" ht="15.75" thickBot="1">
      <c r="B213" s="149" t="s">
        <v>2846</v>
      </c>
      <c r="C213" s="148">
        <f t="shared" ca="1" si="2"/>
        <v>178</v>
      </c>
      <c r="D213" s="87">
        <v>18456345</v>
      </c>
      <c r="E213" s="159" t="s">
        <v>4861</v>
      </c>
      <c r="F213" s="252">
        <v>44774</v>
      </c>
      <c r="G213" s="155">
        <f>IF(F213&lt;&gt;"",'CONCEPTOS Y PARAMETROS'!$M$2-YEAR(F213),"")</f>
        <v>3</v>
      </c>
      <c r="H213" s="158">
        <v>0</v>
      </c>
      <c r="I213" s="156" t="str">
        <f>IFERROR(VLOOKUP(J213,CARGOS!A:F,2,0),"")</f>
        <v>13361</v>
      </c>
      <c r="J213" s="88" t="s">
        <v>1926</v>
      </c>
      <c r="K213" s="142" t="s">
        <v>4646</v>
      </c>
      <c r="L213" s="251">
        <v>246</v>
      </c>
    </row>
    <row r="214" spans="2:12" ht="15.75" thickBot="1">
      <c r="B214" s="149" t="s">
        <v>2846</v>
      </c>
      <c r="C214" s="148">
        <f t="shared" ca="1" si="2"/>
        <v>179</v>
      </c>
      <c r="D214" s="87">
        <v>18456576</v>
      </c>
      <c r="E214" s="159" t="s">
        <v>4862</v>
      </c>
      <c r="F214" s="252">
        <v>44743</v>
      </c>
      <c r="G214" s="155">
        <f>IF(F214&lt;&gt;"",'CONCEPTOS Y PARAMETROS'!$M$2-YEAR(F214),"")</f>
        <v>3</v>
      </c>
      <c r="H214" s="158">
        <v>0</v>
      </c>
      <c r="I214" s="156" t="str">
        <f>IFERROR(VLOOKUP(J214,CARGOS!A:F,2,0),"")</f>
        <v>25211</v>
      </c>
      <c r="J214" s="88" t="s">
        <v>132</v>
      </c>
      <c r="K214" s="142" t="s">
        <v>4650</v>
      </c>
      <c r="L214" s="251">
        <v>130</v>
      </c>
    </row>
    <row r="215" spans="2:12" ht="15.75" thickBot="1">
      <c r="B215" s="149" t="s">
        <v>2846</v>
      </c>
      <c r="C215" s="148">
        <f t="shared" ca="1" si="2"/>
        <v>180</v>
      </c>
      <c r="D215" s="87">
        <v>18458012</v>
      </c>
      <c r="E215" s="159" t="s">
        <v>4863</v>
      </c>
      <c r="F215" s="252">
        <v>44636</v>
      </c>
      <c r="G215" s="155">
        <f>IF(F215&lt;&gt;"",'CONCEPTOS Y PARAMETROS'!$M$2-YEAR(F215),"")</f>
        <v>3</v>
      </c>
      <c r="H215" s="158">
        <v>0</v>
      </c>
      <c r="I215" s="156" t="str">
        <f>IFERROR(VLOOKUP(J215,CARGOS!A:F,2,0),"")</f>
        <v>12113</v>
      </c>
      <c r="J215" s="88" t="s">
        <v>326</v>
      </c>
      <c r="K215" s="142" t="s">
        <v>4649</v>
      </c>
      <c r="L215" s="251">
        <v>192</v>
      </c>
    </row>
    <row r="216" spans="2:12" ht="15.75" thickBot="1">
      <c r="B216" s="149" t="s">
        <v>2846</v>
      </c>
      <c r="C216" s="148">
        <f t="shared" ca="1" si="2"/>
        <v>181</v>
      </c>
      <c r="D216" s="87">
        <v>18670458</v>
      </c>
      <c r="E216" s="159" t="s">
        <v>4864</v>
      </c>
      <c r="F216" s="252">
        <v>42741</v>
      </c>
      <c r="G216" s="155">
        <f>IF(F216&lt;&gt;"",'CONCEPTOS Y PARAMETROS'!$M$2-YEAR(F216),"")</f>
        <v>8</v>
      </c>
      <c r="H216" s="158">
        <v>0</v>
      </c>
      <c r="I216" s="156" t="str">
        <f>IFERROR(VLOOKUP(J216,CARGOS!A:F,2,0),"")</f>
        <v>34234</v>
      </c>
      <c r="J216" s="88" t="s">
        <v>980</v>
      </c>
      <c r="K216" s="142" t="s">
        <v>4643</v>
      </c>
      <c r="L216" s="251">
        <v>279</v>
      </c>
    </row>
    <row r="217" spans="2:12" ht="15.75" thickBot="1">
      <c r="B217" s="149" t="s">
        <v>2846</v>
      </c>
      <c r="C217" s="148">
        <f t="shared" ca="1" si="2"/>
        <v>182</v>
      </c>
      <c r="D217" s="87">
        <v>18801597</v>
      </c>
      <c r="E217" s="159" t="s">
        <v>4865</v>
      </c>
      <c r="F217" s="252">
        <v>43359</v>
      </c>
      <c r="G217" s="155">
        <f>IF(F217&lt;&gt;"",'CONCEPTOS Y PARAMETROS'!$M$2-YEAR(F217),"")</f>
        <v>7</v>
      </c>
      <c r="H217" s="158">
        <v>0</v>
      </c>
      <c r="I217" s="156" t="str">
        <f>IFERROR(VLOOKUP(J217,CARGOS!A:F,2,0),"")</f>
        <v>79521</v>
      </c>
      <c r="J217" s="88" t="s">
        <v>2469</v>
      </c>
      <c r="K217" s="142" t="s">
        <v>4647</v>
      </c>
      <c r="L217" s="251">
        <v>219</v>
      </c>
    </row>
    <row r="218" spans="2:12" ht="15.75" thickBot="1">
      <c r="B218" s="149" t="s">
        <v>2846</v>
      </c>
      <c r="C218" s="148">
        <f t="shared" ca="1" si="2"/>
        <v>183</v>
      </c>
      <c r="D218" s="87">
        <v>18802405</v>
      </c>
      <c r="E218" s="159" t="s">
        <v>4866</v>
      </c>
      <c r="F218" s="252">
        <v>44332</v>
      </c>
      <c r="G218" s="155">
        <f>IF(F218&lt;&gt;"",'CONCEPTOS Y PARAMETROS'!$M$2-YEAR(F218),"")</f>
        <v>4</v>
      </c>
      <c r="H218" s="158">
        <v>0</v>
      </c>
      <c r="I218" s="156" t="str">
        <f>IFERROR(VLOOKUP(J218,CARGOS!A:F,2,0),"")</f>
        <v>79511</v>
      </c>
      <c r="J218" s="88" t="s">
        <v>1162</v>
      </c>
      <c r="K218" s="142" t="s">
        <v>4649</v>
      </c>
      <c r="L218" s="251">
        <v>192</v>
      </c>
    </row>
    <row r="219" spans="2:12" ht="15.75" thickBot="1">
      <c r="B219" s="149" t="s">
        <v>2846</v>
      </c>
      <c r="C219" s="148">
        <f t="shared" ca="1" si="2"/>
        <v>184</v>
      </c>
      <c r="D219" s="87">
        <v>19101647</v>
      </c>
      <c r="E219" s="159" t="s">
        <v>4867</v>
      </c>
      <c r="F219" s="252">
        <v>43845</v>
      </c>
      <c r="G219" s="155">
        <f>IF(F219&lt;&gt;"",'CONCEPTOS Y PARAMETROS'!$M$2-YEAR(F219),"")</f>
        <v>5</v>
      </c>
      <c r="H219" s="158">
        <v>0</v>
      </c>
      <c r="I219" s="156" t="str">
        <f>IFERROR(VLOOKUP(J219,CARGOS!A:F,2,0),"")</f>
        <v>79511</v>
      </c>
      <c r="J219" s="88" t="s">
        <v>1162</v>
      </c>
      <c r="K219" s="142" t="s">
        <v>4946</v>
      </c>
      <c r="L219" s="251">
        <v>150</v>
      </c>
    </row>
    <row r="220" spans="2:12" ht="15.75" thickBot="1">
      <c r="B220" s="149" t="s">
        <v>2846</v>
      </c>
      <c r="C220" s="148">
        <f t="shared" ca="1" si="2"/>
        <v>185</v>
      </c>
      <c r="D220" s="87">
        <v>19102220</v>
      </c>
      <c r="E220" s="159" t="s">
        <v>4868</v>
      </c>
      <c r="F220" s="252">
        <v>44743</v>
      </c>
      <c r="G220" s="155">
        <f>IF(F220&lt;&gt;"",'CONCEPTOS Y PARAMETROS'!$M$2-YEAR(F220),"")</f>
        <v>3</v>
      </c>
      <c r="H220" s="158">
        <v>0</v>
      </c>
      <c r="I220" s="156" t="str">
        <f>IFERROR(VLOOKUP(J220,CARGOS!A:F,2,0),"")</f>
        <v>79511</v>
      </c>
      <c r="J220" s="88" t="s">
        <v>1162</v>
      </c>
      <c r="K220" s="142" t="s">
        <v>4649</v>
      </c>
      <c r="L220" s="251">
        <v>192</v>
      </c>
    </row>
    <row r="221" spans="2:12" ht="15.75" thickBot="1">
      <c r="B221" s="149" t="s">
        <v>2846</v>
      </c>
      <c r="C221" s="148">
        <f t="shared" ca="1" si="2"/>
        <v>186</v>
      </c>
      <c r="D221" s="87">
        <v>19103118</v>
      </c>
      <c r="E221" s="159" t="s">
        <v>4869</v>
      </c>
      <c r="F221" s="252">
        <v>43724</v>
      </c>
      <c r="G221" s="155">
        <f>IF(F221&lt;&gt;"",'CONCEPTOS Y PARAMETROS'!$M$2-YEAR(F221),"")</f>
        <v>6</v>
      </c>
      <c r="H221" s="158">
        <v>0</v>
      </c>
      <c r="I221" s="156" t="str">
        <f>IFERROR(VLOOKUP(J221,CARGOS!A:F,2,0),"")</f>
        <v>79341</v>
      </c>
      <c r="J221" s="88" t="s">
        <v>2381</v>
      </c>
      <c r="K221" s="142" t="s">
        <v>4946</v>
      </c>
      <c r="L221" s="251">
        <v>150</v>
      </c>
    </row>
    <row r="222" spans="2:12" ht="15.75" thickBot="1">
      <c r="B222" s="149" t="s">
        <v>2846</v>
      </c>
      <c r="C222" s="148">
        <f t="shared" ca="1" si="2"/>
        <v>187</v>
      </c>
      <c r="D222" s="87">
        <v>19103604</v>
      </c>
      <c r="E222" s="159" t="s">
        <v>4870</v>
      </c>
      <c r="F222" s="252">
        <v>44600</v>
      </c>
      <c r="G222" s="155">
        <f>IF(F222&lt;&gt;"",'CONCEPTOS Y PARAMETROS'!$M$2-YEAR(F222),"")</f>
        <v>3</v>
      </c>
      <c r="H222" s="158">
        <v>0</v>
      </c>
      <c r="I222" s="156" t="str">
        <f>IFERROR(VLOOKUP(J222,CARGOS!A:F,2,0),"")</f>
        <v>12113</v>
      </c>
      <c r="J222" s="88" t="s">
        <v>326</v>
      </c>
      <c r="K222" s="142" t="s">
        <v>4649</v>
      </c>
      <c r="L222" s="251">
        <v>192</v>
      </c>
    </row>
    <row r="223" spans="2:12" ht="15.75" thickBot="1">
      <c r="B223" s="149" t="s">
        <v>2846</v>
      </c>
      <c r="C223" s="148">
        <f t="shared" ca="1" si="2"/>
        <v>188</v>
      </c>
      <c r="D223" s="87">
        <v>19103823</v>
      </c>
      <c r="E223" s="159" t="s">
        <v>4871</v>
      </c>
      <c r="F223" s="252">
        <v>42795</v>
      </c>
      <c r="G223" s="155">
        <f>IF(F223&lt;&gt;"",'CONCEPTOS Y PARAMETROS'!$M$2-YEAR(F223),"")</f>
        <v>8</v>
      </c>
      <c r="H223" s="158">
        <v>0</v>
      </c>
      <c r="I223" s="156" t="str">
        <f>IFERROR(VLOOKUP(J223,CARGOS!A:F,2,0),"")</f>
        <v>79521</v>
      </c>
      <c r="J223" s="88" t="s">
        <v>2469</v>
      </c>
      <c r="K223" s="142" t="s">
        <v>4643</v>
      </c>
      <c r="L223" s="251">
        <v>279</v>
      </c>
    </row>
    <row r="224" spans="2:12" ht="15.75" thickBot="1">
      <c r="B224" s="149" t="s">
        <v>2846</v>
      </c>
      <c r="C224" s="148">
        <f t="shared" ca="1" si="2"/>
        <v>189</v>
      </c>
      <c r="D224" s="87">
        <v>19147999</v>
      </c>
      <c r="E224" s="159" t="s">
        <v>4872</v>
      </c>
      <c r="F224" s="252">
        <v>44743</v>
      </c>
      <c r="G224" s="155">
        <f>IF(F224&lt;&gt;"",'CONCEPTOS Y PARAMETROS'!$M$2-YEAR(F224),"")</f>
        <v>3</v>
      </c>
      <c r="H224" s="158">
        <v>0</v>
      </c>
      <c r="I224" s="156" t="str">
        <f>IFERROR(VLOOKUP(J224,CARGOS!A:F,2,0),"")</f>
        <v>79511</v>
      </c>
      <c r="J224" s="88" t="s">
        <v>1162</v>
      </c>
      <c r="K224" s="142" t="s">
        <v>4650</v>
      </c>
      <c r="L224" s="251">
        <v>130</v>
      </c>
    </row>
    <row r="225" spans="2:12" ht="15.75" thickBot="1">
      <c r="B225" s="149" t="s">
        <v>2846</v>
      </c>
      <c r="C225" s="148">
        <f t="shared" ca="1" si="2"/>
        <v>190</v>
      </c>
      <c r="D225" s="87">
        <v>19285648</v>
      </c>
      <c r="E225" s="159" t="s">
        <v>4873</v>
      </c>
      <c r="F225" s="252">
        <v>44531</v>
      </c>
      <c r="G225" s="155">
        <f>IF(F225&lt;&gt;"",'CONCEPTOS Y PARAMETROS'!$M$2-YEAR(F225),"")</f>
        <v>4</v>
      </c>
      <c r="H225" s="158">
        <v>0</v>
      </c>
      <c r="I225" s="156" t="str">
        <f>IFERROR(VLOOKUP(J225,CARGOS!A:F,2,0),"")</f>
        <v>79511</v>
      </c>
      <c r="J225" s="88" t="s">
        <v>1162</v>
      </c>
      <c r="K225" s="142" t="s">
        <v>4650</v>
      </c>
      <c r="L225" s="251">
        <v>130</v>
      </c>
    </row>
    <row r="226" spans="2:12" ht="15.75" thickBot="1">
      <c r="B226" s="149" t="s">
        <v>2846</v>
      </c>
      <c r="C226" s="148">
        <f t="shared" ca="1" si="2"/>
        <v>191</v>
      </c>
      <c r="D226" s="87">
        <v>19286780</v>
      </c>
      <c r="E226" s="159" t="s">
        <v>4874</v>
      </c>
      <c r="F226" s="252">
        <v>42492</v>
      </c>
      <c r="G226" s="155">
        <f>IF(F226&lt;&gt;"",'CONCEPTOS Y PARAMETROS'!$M$2-YEAR(F226),"")</f>
        <v>9</v>
      </c>
      <c r="H226" s="158">
        <v>0</v>
      </c>
      <c r="I226" s="156" t="str">
        <f>IFERROR(VLOOKUP(J226,CARGOS!A:F,2,0),"")</f>
        <v>12113</v>
      </c>
      <c r="J226" s="88" t="s">
        <v>326</v>
      </c>
      <c r="K226" s="142" t="s">
        <v>4950</v>
      </c>
      <c r="L226" s="251">
        <v>221</v>
      </c>
    </row>
    <row r="227" spans="2:12" ht="15.75" thickBot="1">
      <c r="B227" s="149" t="s">
        <v>2846</v>
      </c>
      <c r="C227" s="148">
        <f t="shared" ca="1" si="2"/>
        <v>192</v>
      </c>
      <c r="D227" s="87">
        <v>19287100</v>
      </c>
      <c r="E227" s="159" t="s">
        <v>4875</v>
      </c>
      <c r="F227" s="252">
        <v>44713</v>
      </c>
      <c r="G227" s="155">
        <f>IF(F227&lt;&gt;"",'CONCEPTOS Y PARAMETROS'!$M$2-YEAR(F227),"")</f>
        <v>3</v>
      </c>
      <c r="H227" s="158">
        <v>0</v>
      </c>
      <c r="I227" s="156" t="str">
        <f>IFERROR(VLOOKUP(J227,CARGOS!A:F,2,0),"")</f>
        <v>79341</v>
      </c>
      <c r="J227" s="88" t="s">
        <v>2381</v>
      </c>
      <c r="K227" s="142" t="s">
        <v>4649</v>
      </c>
      <c r="L227" s="251">
        <v>192</v>
      </c>
    </row>
    <row r="228" spans="2:12" ht="15.75" thickBot="1">
      <c r="B228" s="149" t="s">
        <v>2846</v>
      </c>
      <c r="C228" s="148">
        <f t="shared" ca="1" si="2"/>
        <v>193</v>
      </c>
      <c r="D228" s="87">
        <v>19610534</v>
      </c>
      <c r="E228" s="159" t="s">
        <v>4876</v>
      </c>
      <c r="F228" s="252">
        <v>44713</v>
      </c>
      <c r="G228" s="155">
        <f>IF(F228&lt;&gt;"",'CONCEPTOS Y PARAMETROS'!$M$2-YEAR(F228),"")</f>
        <v>3</v>
      </c>
      <c r="H228" s="158">
        <v>0</v>
      </c>
      <c r="I228" s="156" t="str">
        <f>IFERROR(VLOOKUP(J228,CARGOS!A:F,2,0),"")</f>
        <v>79511</v>
      </c>
      <c r="J228" s="88" t="s">
        <v>1162</v>
      </c>
      <c r="K228" s="142" t="s">
        <v>4649</v>
      </c>
      <c r="L228" s="251">
        <v>192</v>
      </c>
    </row>
    <row r="229" spans="2:12" ht="15.75" thickBot="1">
      <c r="B229" s="149" t="s">
        <v>2846</v>
      </c>
      <c r="C229" s="148">
        <f t="shared" ca="1" si="2"/>
        <v>194</v>
      </c>
      <c r="D229" s="87">
        <v>19610565</v>
      </c>
      <c r="E229" s="159" t="s">
        <v>4877</v>
      </c>
      <c r="F229" s="252">
        <v>44713</v>
      </c>
      <c r="G229" s="155">
        <f>IF(F229&lt;&gt;"",'CONCEPTOS Y PARAMETROS'!$M$2-YEAR(F229),"")</f>
        <v>3</v>
      </c>
      <c r="H229" s="158">
        <v>0</v>
      </c>
      <c r="I229" s="156" t="str">
        <f>IFERROR(VLOOKUP(J229,CARGOS!A:F,2,0),"")</f>
        <v>79511</v>
      </c>
      <c r="J229" s="88" t="s">
        <v>1162</v>
      </c>
      <c r="K229" s="142" t="s">
        <v>4649</v>
      </c>
      <c r="L229" s="251">
        <v>192</v>
      </c>
    </row>
    <row r="230" spans="2:12" ht="15.75" thickBot="1">
      <c r="B230" s="149" t="s">
        <v>2846</v>
      </c>
      <c r="C230" s="148">
        <f t="shared" ca="1" si="2"/>
        <v>195</v>
      </c>
      <c r="D230" s="87">
        <v>19643106</v>
      </c>
      <c r="E230" s="159" t="s">
        <v>4878</v>
      </c>
      <c r="F230" s="252">
        <v>44713</v>
      </c>
      <c r="G230" s="155">
        <f>IF(F230&lt;&gt;"",'CONCEPTOS Y PARAMETROS'!$M$2-YEAR(F230),"")</f>
        <v>3</v>
      </c>
      <c r="H230" s="158">
        <v>0</v>
      </c>
      <c r="I230" s="156" t="str">
        <f>IFERROR(VLOOKUP(J230,CARGOS!A:F,2,0),"")</f>
        <v>79511</v>
      </c>
      <c r="J230" s="88" t="s">
        <v>1162</v>
      </c>
      <c r="K230" s="142" t="s">
        <v>4650</v>
      </c>
      <c r="L230" s="251">
        <v>130</v>
      </c>
    </row>
    <row r="231" spans="2:12" ht="15.75" thickBot="1">
      <c r="B231" s="149" t="s">
        <v>2846</v>
      </c>
      <c r="C231" s="148">
        <f t="shared" ca="1" si="2"/>
        <v>196</v>
      </c>
      <c r="D231" s="87">
        <v>19643405</v>
      </c>
      <c r="E231" s="159" t="s">
        <v>4879</v>
      </c>
      <c r="F231" s="252">
        <v>43221</v>
      </c>
      <c r="G231" s="155">
        <f>IF(F231&lt;&gt;"",'CONCEPTOS Y PARAMETROS'!$M$2-YEAR(F231),"")</f>
        <v>7</v>
      </c>
      <c r="H231" s="158">
        <v>0</v>
      </c>
      <c r="I231" s="156" t="str">
        <f>IFERROR(VLOOKUP(J231,CARGOS!A:F,2,0),"")</f>
        <v>79512</v>
      </c>
      <c r="J231" s="88" t="s">
        <v>1164</v>
      </c>
      <c r="K231" s="142" t="s">
        <v>4647</v>
      </c>
      <c r="L231" s="251">
        <v>219</v>
      </c>
    </row>
    <row r="232" spans="2:12" ht="15.75" thickBot="1">
      <c r="B232" s="149" t="s">
        <v>2846</v>
      </c>
      <c r="C232" s="148">
        <f t="shared" ca="1" si="2"/>
        <v>197</v>
      </c>
      <c r="D232" s="87">
        <v>19644743</v>
      </c>
      <c r="E232" s="159" t="s">
        <v>4880</v>
      </c>
      <c r="F232" s="252">
        <v>43967</v>
      </c>
      <c r="G232" s="155">
        <f>IF(F232&lt;&gt;"",'CONCEPTOS Y PARAMETROS'!$M$2-YEAR(F232),"")</f>
        <v>5</v>
      </c>
      <c r="H232" s="158">
        <v>0</v>
      </c>
      <c r="I232" s="156" t="str">
        <f>IFERROR(VLOOKUP(J232,CARGOS!A:F,2,0),"")</f>
        <v>23451</v>
      </c>
      <c r="J232" s="88" t="s">
        <v>226</v>
      </c>
      <c r="K232" s="142" t="s">
        <v>4648</v>
      </c>
      <c r="L232" s="251">
        <v>277</v>
      </c>
    </row>
    <row r="233" spans="2:12" ht="15.75" thickBot="1">
      <c r="B233" s="149" t="s">
        <v>2846</v>
      </c>
      <c r="C233" s="148">
        <f t="shared" ca="1" si="2"/>
        <v>198</v>
      </c>
      <c r="D233" s="87">
        <v>19644756</v>
      </c>
      <c r="E233" s="159" t="s">
        <v>4881</v>
      </c>
      <c r="F233" s="252">
        <v>44470</v>
      </c>
      <c r="G233" s="155">
        <f>IF(F233&lt;&gt;"",'CONCEPTOS Y PARAMETROS'!$M$2-YEAR(F233),"")</f>
        <v>4</v>
      </c>
      <c r="H233" s="158">
        <v>0</v>
      </c>
      <c r="I233" s="156" t="str">
        <f>IFERROR(VLOOKUP(J233,CARGOS!A:F,2,0),"")</f>
        <v>77141</v>
      </c>
      <c r="J233" s="88" t="s">
        <v>907</v>
      </c>
      <c r="K233" s="142" t="s">
        <v>4650</v>
      </c>
      <c r="L233" s="251">
        <v>130</v>
      </c>
    </row>
    <row r="234" spans="2:12" ht="15.75" thickBot="1">
      <c r="B234" s="149" t="s">
        <v>2846</v>
      </c>
      <c r="C234" s="148">
        <f t="shared" ca="1" si="2"/>
        <v>199</v>
      </c>
      <c r="D234" s="87">
        <v>19794217</v>
      </c>
      <c r="E234" s="159" t="s">
        <v>4882</v>
      </c>
      <c r="F234" s="252">
        <v>44683</v>
      </c>
      <c r="G234" s="155">
        <f>IF(F234&lt;&gt;"",'CONCEPTOS Y PARAMETROS'!$M$2-YEAR(F234),"")</f>
        <v>3</v>
      </c>
      <c r="H234" s="158">
        <v>0</v>
      </c>
      <c r="I234" s="156" t="str">
        <f>IFERROR(VLOOKUP(J234,CARGOS!A:F,2,0),"")</f>
        <v>79511</v>
      </c>
      <c r="J234" s="88" t="s">
        <v>1162</v>
      </c>
      <c r="K234" s="142" t="s">
        <v>4649</v>
      </c>
      <c r="L234" s="251">
        <v>192</v>
      </c>
    </row>
    <row r="235" spans="2:12" ht="15.75" thickBot="1">
      <c r="B235" s="149" t="s">
        <v>2846</v>
      </c>
      <c r="C235" s="148">
        <f t="shared" ca="1" si="2"/>
        <v>200</v>
      </c>
      <c r="D235" s="87">
        <v>19794343</v>
      </c>
      <c r="E235" s="159" t="s">
        <v>4883</v>
      </c>
      <c r="F235" s="252">
        <v>44743</v>
      </c>
      <c r="G235" s="155">
        <f>IF(F235&lt;&gt;"",'CONCEPTOS Y PARAMETROS'!$M$2-YEAR(F235),"")</f>
        <v>3</v>
      </c>
      <c r="H235" s="158">
        <v>0</v>
      </c>
      <c r="I235" s="156" t="str">
        <f>IFERROR(VLOOKUP(J235,CARGOS!A:F,2,0),"")</f>
        <v>79511</v>
      </c>
      <c r="J235" s="88" t="s">
        <v>1162</v>
      </c>
      <c r="K235" s="142" t="s">
        <v>4649</v>
      </c>
      <c r="L235" s="251">
        <v>192</v>
      </c>
    </row>
    <row r="236" spans="2:12" ht="15.75" thickBot="1">
      <c r="B236" s="149" t="s">
        <v>2846</v>
      </c>
      <c r="C236" s="148">
        <f t="shared" ca="1" si="2"/>
        <v>201</v>
      </c>
      <c r="D236" s="87">
        <v>19899949</v>
      </c>
      <c r="E236" s="159" t="s">
        <v>4884</v>
      </c>
      <c r="F236" s="252">
        <v>44743</v>
      </c>
      <c r="G236" s="155">
        <f>IF(F236&lt;&gt;"",'CONCEPTOS Y PARAMETROS'!$M$2-YEAR(F236),"")</f>
        <v>3</v>
      </c>
      <c r="H236" s="158">
        <v>0</v>
      </c>
      <c r="I236" s="156" t="str">
        <f>IFERROR(VLOOKUP(J236,CARGOS!A:F,2,0),"")</f>
        <v>79511</v>
      </c>
      <c r="J236" s="88" t="s">
        <v>1162</v>
      </c>
      <c r="K236" s="142" t="s">
        <v>4649</v>
      </c>
      <c r="L236" s="251">
        <v>192</v>
      </c>
    </row>
    <row r="237" spans="2:12" ht="15.75" thickBot="1">
      <c r="B237" s="149" t="s">
        <v>2846</v>
      </c>
      <c r="C237" s="148">
        <f t="shared" ca="1" si="2"/>
        <v>202</v>
      </c>
      <c r="D237" s="87">
        <v>20038908</v>
      </c>
      <c r="E237" s="159" t="s">
        <v>4885</v>
      </c>
      <c r="F237" s="252">
        <v>43770</v>
      </c>
      <c r="G237" s="155">
        <f>IF(F237&lt;&gt;"",'CONCEPTOS Y PARAMETROS'!$M$2-YEAR(F237),"")</f>
        <v>6</v>
      </c>
      <c r="H237" s="158">
        <v>0</v>
      </c>
      <c r="I237" s="156" t="str">
        <f>IFERROR(VLOOKUP(J237,CARGOS!A:F,2,0),"")</f>
        <v>79512</v>
      </c>
      <c r="J237" s="88" t="s">
        <v>1164</v>
      </c>
      <c r="K237" s="142" t="s">
        <v>4946</v>
      </c>
      <c r="L237" s="251">
        <v>150</v>
      </c>
    </row>
    <row r="238" spans="2:12" ht="15.75" thickBot="1">
      <c r="B238" s="149" t="s">
        <v>2846</v>
      </c>
      <c r="C238" s="148">
        <f t="shared" ca="1" si="2"/>
        <v>203</v>
      </c>
      <c r="D238" s="87">
        <v>20133149</v>
      </c>
      <c r="E238" s="159" t="s">
        <v>4886</v>
      </c>
      <c r="F238" s="252">
        <v>44743</v>
      </c>
      <c r="G238" s="155">
        <f>IF(F238&lt;&gt;"",'CONCEPTOS Y PARAMETROS'!$M$2-YEAR(F238),"")</f>
        <v>3</v>
      </c>
      <c r="H238" s="158">
        <v>0</v>
      </c>
      <c r="I238" s="156" t="str">
        <f>IFERROR(VLOOKUP(J238,CARGOS!A:F,2,0),"")</f>
        <v>79341</v>
      </c>
      <c r="J238" s="88" t="s">
        <v>2381</v>
      </c>
      <c r="K238" s="142" t="s">
        <v>4649</v>
      </c>
      <c r="L238" s="251">
        <v>192</v>
      </c>
    </row>
    <row r="239" spans="2:12" ht="15.75" thickBot="1">
      <c r="B239" s="149" t="s">
        <v>2846</v>
      </c>
      <c r="C239" s="148">
        <f t="shared" ca="1" si="2"/>
        <v>204</v>
      </c>
      <c r="D239" s="87">
        <v>20401711</v>
      </c>
      <c r="E239" s="159" t="s">
        <v>4887</v>
      </c>
      <c r="F239" s="252">
        <v>44363</v>
      </c>
      <c r="G239" s="155">
        <f>IF(F239&lt;&gt;"",'CONCEPTOS Y PARAMETROS'!$M$2-YEAR(F239),"")</f>
        <v>4</v>
      </c>
      <c r="H239" s="158">
        <v>2</v>
      </c>
      <c r="I239" s="156" t="str">
        <f>IFERROR(VLOOKUP(J239,CARGOS!A:F,2,0),"")</f>
        <v>79512</v>
      </c>
      <c r="J239" s="88" t="s">
        <v>1164</v>
      </c>
      <c r="K239" s="142" t="s">
        <v>4647</v>
      </c>
      <c r="L239" s="251">
        <v>219</v>
      </c>
    </row>
    <row r="240" spans="2:12" ht="15.75" thickBot="1">
      <c r="B240" s="149" t="s">
        <v>2846</v>
      </c>
      <c r="C240" s="148">
        <f t="shared" ca="1" si="2"/>
        <v>205</v>
      </c>
      <c r="D240" s="87">
        <v>20603227</v>
      </c>
      <c r="E240" s="159" t="s">
        <v>4888</v>
      </c>
      <c r="F240" s="252">
        <v>44470</v>
      </c>
      <c r="G240" s="155">
        <f>IF(F240&lt;&gt;"",'CONCEPTOS Y PARAMETROS'!$M$2-YEAR(F240),"")</f>
        <v>4</v>
      </c>
      <c r="H240" s="158">
        <v>0</v>
      </c>
      <c r="I240" s="156" t="str">
        <f>IFERROR(VLOOKUP(J240,CARGOS!A:F,2,0),"")</f>
        <v>79341</v>
      </c>
      <c r="J240" s="88" t="s">
        <v>2381</v>
      </c>
      <c r="K240" s="142" t="s">
        <v>4649</v>
      </c>
      <c r="L240" s="251">
        <v>192</v>
      </c>
    </row>
    <row r="241" spans="2:12" ht="15.75" thickBot="1">
      <c r="B241" s="149" t="s">
        <v>2846</v>
      </c>
      <c r="C241" s="148">
        <f t="shared" ca="1" si="2"/>
        <v>206</v>
      </c>
      <c r="D241" s="87">
        <v>20705979</v>
      </c>
      <c r="E241" s="159" t="s">
        <v>4889</v>
      </c>
      <c r="F241" s="252">
        <v>44531</v>
      </c>
      <c r="G241" s="155">
        <f>IF(F241&lt;&gt;"",'CONCEPTOS Y PARAMETROS'!$M$2-YEAR(F241),"")</f>
        <v>4</v>
      </c>
      <c r="H241" s="158">
        <v>0</v>
      </c>
      <c r="I241" s="156" t="str">
        <f>IFERROR(VLOOKUP(J241,CARGOS!A:F,2,0),"")</f>
        <v>79341</v>
      </c>
      <c r="J241" s="88" t="s">
        <v>2381</v>
      </c>
      <c r="K241" s="142" t="s">
        <v>4649</v>
      </c>
      <c r="L241" s="251">
        <v>192</v>
      </c>
    </row>
    <row r="242" spans="2:12" ht="15.75" thickBot="1">
      <c r="B242" s="149" t="s">
        <v>2846</v>
      </c>
      <c r="C242" s="148">
        <f t="shared" ca="1" si="2"/>
        <v>207</v>
      </c>
      <c r="D242" s="87">
        <v>20707490</v>
      </c>
      <c r="E242" s="159" t="s">
        <v>4890</v>
      </c>
      <c r="F242" s="252">
        <v>42751</v>
      </c>
      <c r="G242" s="155">
        <f>IF(F242&lt;&gt;"",'CONCEPTOS Y PARAMETROS'!$M$2-YEAR(F242),"")</f>
        <v>8</v>
      </c>
      <c r="H242" s="158">
        <v>0</v>
      </c>
      <c r="I242" s="156" t="str">
        <f>IFERROR(VLOOKUP(J242,CARGOS!A:F,2,0),"")</f>
        <v>79521</v>
      </c>
      <c r="J242" s="88" t="s">
        <v>2469</v>
      </c>
      <c r="K242" s="142" t="s">
        <v>4643</v>
      </c>
      <c r="L242" s="251">
        <v>279</v>
      </c>
    </row>
    <row r="243" spans="2:12" ht="15.75" thickBot="1">
      <c r="B243" s="149" t="s">
        <v>2846</v>
      </c>
      <c r="C243" s="148">
        <f t="shared" ca="1" si="2"/>
        <v>208</v>
      </c>
      <c r="D243" s="87">
        <v>20789286</v>
      </c>
      <c r="E243" s="159" t="s">
        <v>4891</v>
      </c>
      <c r="F243" s="252">
        <v>44713</v>
      </c>
      <c r="G243" s="155">
        <f>IF(F243&lt;&gt;"",'CONCEPTOS Y PARAMETROS'!$M$2-YEAR(F243),"")</f>
        <v>3</v>
      </c>
      <c r="H243" s="158">
        <v>0</v>
      </c>
      <c r="I243" s="156" t="str">
        <f>IFERROR(VLOOKUP(J243,CARGOS!A:F,2,0),"")</f>
        <v>12114</v>
      </c>
      <c r="J243" s="88" t="s">
        <v>328</v>
      </c>
      <c r="K243" s="142" t="s">
        <v>4646</v>
      </c>
      <c r="L243" s="251">
        <v>246</v>
      </c>
    </row>
    <row r="244" spans="2:12" ht="15.75" thickBot="1">
      <c r="B244" s="149" t="s">
        <v>2846</v>
      </c>
      <c r="C244" s="148">
        <f t="shared" ca="1" si="2"/>
        <v>209</v>
      </c>
      <c r="D244" s="87">
        <v>21061582</v>
      </c>
      <c r="E244" s="159" t="s">
        <v>4892</v>
      </c>
      <c r="F244" s="252">
        <v>44743</v>
      </c>
      <c r="G244" s="155">
        <f>IF(F244&lt;&gt;"",'CONCEPTOS Y PARAMETROS'!$M$2-YEAR(F244),"")</f>
        <v>3</v>
      </c>
      <c r="H244" s="158">
        <v>0</v>
      </c>
      <c r="I244" s="156" t="str">
        <f>IFERROR(VLOOKUP(J244,CARGOS!A:F,2,0),"")</f>
        <v>79511</v>
      </c>
      <c r="J244" s="88" t="s">
        <v>1162</v>
      </c>
      <c r="K244" s="142" t="s">
        <v>4650</v>
      </c>
      <c r="L244" s="251">
        <v>130</v>
      </c>
    </row>
    <row r="245" spans="2:12" ht="15.75" thickBot="1">
      <c r="B245" s="149" t="s">
        <v>2846</v>
      </c>
      <c r="C245" s="148">
        <f t="shared" ca="1" si="2"/>
        <v>210</v>
      </c>
      <c r="D245" s="87">
        <v>21061789</v>
      </c>
      <c r="E245" s="159" t="s">
        <v>4893</v>
      </c>
      <c r="F245" s="252">
        <v>44713</v>
      </c>
      <c r="G245" s="155">
        <f>IF(F245&lt;&gt;"",'CONCEPTOS Y PARAMETROS'!$M$2-YEAR(F245),"")</f>
        <v>3</v>
      </c>
      <c r="H245" s="158">
        <v>0</v>
      </c>
      <c r="I245" s="156" t="str">
        <f>IFERROR(VLOOKUP(J245,CARGOS!A:F,2,0),"")</f>
        <v>35121</v>
      </c>
      <c r="J245" s="88" t="s">
        <v>34</v>
      </c>
      <c r="K245" s="142" t="s">
        <v>4646</v>
      </c>
      <c r="L245" s="251">
        <v>246</v>
      </c>
    </row>
    <row r="246" spans="2:12" ht="15.75" thickBot="1">
      <c r="B246" s="149" t="s">
        <v>2846</v>
      </c>
      <c r="C246" s="148">
        <f t="shared" ca="1" si="2"/>
        <v>211</v>
      </c>
      <c r="D246" s="87">
        <v>21061805</v>
      </c>
      <c r="E246" s="159" t="s">
        <v>4894</v>
      </c>
      <c r="F246" s="252">
        <v>44683</v>
      </c>
      <c r="G246" s="155">
        <f>IF(F246&lt;&gt;"",'CONCEPTOS Y PARAMETROS'!$M$2-YEAR(F246),"")</f>
        <v>3</v>
      </c>
      <c r="H246" s="158">
        <v>0</v>
      </c>
      <c r="I246" s="156" t="str">
        <f>IFERROR(VLOOKUP(J246,CARGOS!A:F,2,0),"")</f>
        <v>36321</v>
      </c>
      <c r="J246" s="88" t="s">
        <v>1998</v>
      </c>
      <c r="K246" s="142" t="s">
        <v>4646</v>
      </c>
      <c r="L246" s="251">
        <v>246</v>
      </c>
    </row>
    <row r="247" spans="2:12" ht="15.75" thickBot="1">
      <c r="B247" s="149" t="s">
        <v>2846</v>
      </c>
      <c r="C247" s="148">
        <f t="shared" ca="1" si="2"/>
        <v>212</v>
      </c>
      <c r="D247" s="87">
        <v>21209137</v>
      </c>
      <c r="E247" s="159" t="s">
        <v>4895</v>
      </c>
      <c r="F247" s="252">
        <v>44652</v>
      </c>
      <c r="G247" s="155">
        <f>IF(F247&lt;&gt;"",'CONCEPTOS Y PARAMETROS'!$M$2-YEAR(F247),"")</f>
        <v>3</v>
      </c>
      <c r="H247" s="158">
        <v>0</v>
      </c>
      <c r="I247" s="156" t="str">
        <f>IFERROR(VLOOKUP(J247,CARGOS!A:F,2,0),"")</f>
        <v>34234</v>
      </c>
      <c r="J247" s="88" t="s">
        <v>980</v>
      </c>
      <c r="K247" s="142" t="s">
        <v>4646</v>
      </c>
      <c r="L247" s="251">
        <v>246</v>
      </c>
    </row>
    <row r="248" spans="2:12" ht="15.75" thickBot="1">
      <c r="B248" s="149" t="s">
        <v>2846</v>
      </c>
      <c r="C248" s="148">
        <f t="shared" ca="1" si="2"/>
        <v>213</v>
      </c>
      <c r="D248" s="87">
        <v>21365212</v>
      </c>
      <c r="E248" s="159" t="s">
        <v>4896</v>
      </c>
      <c r="F248" s="252">
        <v>44317</v>
      </c>
      <c r="G248" s="155">
        <f>IF(F248&lt;&gt;"",'CONCEPTOS Y PARAMETROS'!$M$2-YEAR(F248),"")</f>
        <v>4</v>
      </c>
      <c r="H248" s="158">
        <v>0</v>
      </c>
      <c r="I248" s="156" t="str">
        <f>IFERROR(VLOOKUP(J248,CARGOS!A:F,2,0),"")</f>
        <v>12111</v>
      </c>
      <c r="J248" s="88" t="s">
        <v>322</v>
      </c>
      <c r="K248" s="142" t="s">
        <v>4650</v>
      </c>
      <c r="L248" s="251">
        <v>130</v>
      </c>
    </row>
    <row r="249" spans="2:12" ht="15.75" thickBot="1">
      <c r="B249" s="149" t="s">
        <v>2846</v>
      </c>
      <c r="C249" s="148">
        <f t="shared" ca="1" si="2"/>
        <v>214</v>
      </c>
      <c r="D249" s="87">
        <v>21365989</v>
      </c>
      <c r="E249" s="159" t="s">
        <v>4897</v>
      </c>
      <c r="F249" s="252">
        <v>44599</v>
      </c>
      <c r="G249" s="155">
        <f>IF(F249&lt;&gt;"",'CONCEPTOS Y PARAMETROS'!$M$2-YEAR(F249),"")</f>
        <v>3</v>
      </c>
      <c r="H249" s="158">
        <v>0</v>
      </c>
      <c r="I249" s="156" t="str">
        <f>IFERROR(VLOOKUP(J249,CARGOS!A:F,2,0),"")</f>
        <v>79511</v>
      </c>
      <c r="J249" s="88" t="s">
        <v>1162</v>
      </c>
      <c r="K249" s="142" t="s">
        <v>4650</v>
      </c>
      <c r="L249" s="251">
        <v>130</v>
      </c>
    </row>
    <row r="250" spans="2:12" ht="15.75" thickBot="1">
      <c r="B250" s="149" t="s">
        <v>2846</v>
      </c>
      <c r="C250" s="148">
        <f t="shared" ca="1" si="2"/>
        <v>215</v>
      </c>
      <c r="D250" s="87">
        <v>21367629</v>
      </c>
      <c r="E250" s="159" t="s">
        <v>4898</v>
      </c>
      <c r="F250" s="252">
        <v>44440</v>
      </c>
      <c r="G250" s="155">
        <f>IF(F250&lt;&gt;"",'CONCEPTOS Y PARAMETROS'!$M$2-YEAR(F250),"")</f>
        <v>4</v>
      </c>
      <c r="H250" s="158">
        <v>0</v>
      </c>
      <c r="I250" s="156" t="str">
        <f>IFERROR(VLOOKUP(J250,CARGOS!A:F,2,0),"")</f>
        <v>79511</v>
      </c>
      <c r="J250" s="88" t="s">
        <v>1162</v>
      </c>
      <c r="K250" s="142" t="s">
        <v>4650</v>
      </c>
      <c r="L250" s="251">
        <v>130</v>
      </c>
    </row>
    <row r="251" spans="2:12" ht="15.75" thickBot="1">
      <c r="B251" s="149" t="s">
        <v>2846</v>
      </c>
      <c r="C251" s="148">
        <f t="shared" ca="1" si="2"/>
        <v>216</v>
      </c>
      <c r="D251" s="87">
        <v>22622493</v>
      </c>
      <c r="E251" s="159" t="s">
        <v>4899</v>
      </c>
      <c r="F251" s="252">
        <v>44363</v>
      </c>
      <c r="G251" s="155">
        <f>IF(F251&lt;&gt;"",'CONCEPTOS Y PARAMETROS'!$M$2-YEAR(F251),"")</f>
        <v>4</v>
      </c>
      <c r="H251" s="158">
        <v>0</v>
      </c>
      <c r="I251" s="156" t="str">
        <f>IFERROR(VLOOKUP(J251,CARGOS!A:F,2,0),"")</f>
        <v>79511</v>
      </c>
      <c r="J251" s="88" t="s">
        <v>1162</v>
      </c>
      <c r="K251" s="142" t="s">
        <v>4650</v>
      </c>
      <c r="L251" s="251">
        <v>130</v>
      </c>
    </row>
    <row r="252" spans="2:12" ht="15.75" thickBot="1">
      <c r="B252" s="149" t="s">
        <v>2846</v>
      </c>
      <c r="C252" s="148">
        <f t="shared" ca="1" si="2"/>
        <v>217</v>
      </c>
      <c r="D252" s="87">
        <v>23594994</v>
      </c>
      <c r="E252" s="159" t="s">
        <v>4900</v>
      </c>
      <c r="F252" s="252">
        <v>44317</v>
      </c>
      <c r="G252" s="155">
        <f>IF(F252&lt;&gt;"",'CONCEPTOS Y PARAMETROS'!$M$2-YEAR(F252),"")</f>
        <v>4</v>
      </c>
      <c r="H252" s="158">
        <v>0</v>
      </c>
      <c r="I252" s="156" t="str">
        <f>IFERROR(VLOOKUP(J252,CARGOS!A:F,2,0),"")</f>
        <v>79511</v>
      </c>
      <c r="J252" s="88" t="s">
        <v>1162</v>
      </c>
      <c r="K252" s="142" t="s">
        <v>4650</v>
      </c>
      <c r="L252" s="251">
        <v>130</v>
      </c>
    </row>
    <row r="253" spans="2:12" ht="15.75" thickBot="1">
      <c r="B253" s="149" t="s">
        <v>2846</v>
      </c>
      <c r="C253" s="148">
        <f t="shared" ca="1" si="2"/>
        <v>218</v>
      </c>
      <c r="D253" s="87">
        <v>23782360</v>
      </c>
      <c r="E253" s="159" t="s">
        <v>4901</v>
      </c>
      <c r="F253" s="252">
        <v>39203</v>
      </c>
      <c r="G253" s="155">
        <f>IF(F253&lt;&gt;"",'CONCEPTOS Y PARAMETROS'!$M$2-YEAR(F253),"")</f>
        <v>18</v>
      </c>
      <c r="H253" s="158">
        <v>0</v>
      </c>
      <c r="I253" s="156" t="str">
        <f>IFERROR(VLOOKUP(J253,CARGOS!A:F,2,0),"")</f>
        <v>12123</v>
      </c>
      <c r="J253" s="88" t="s">
        <v>77</v>
      </c>
      <c r="K253" s="142" t="s">
        <v>4940</v>
      </c>
      <c r="L253" s="251">
        <v>285</v>
      </c>
    </row>
    <row r="254" spans="2:12" ht="15.75" thickBot="1">
      <c r="B254" s="149" t="s">
        <v>2846</v>
      </c>
      <c r="C254" s="148">
        <f t="shared" ca="1" si="2"/>
        <v>219</v>
      </c>
      <c r="D254" s="87">
        <v>23960738</v>
      </c>
      <c r="E254" s="159" t="s">
        <v>4902</v>
      </c>
      <c r="F254" s="252">
        <v>43497</v>
      </c>
      <c r="G254" s="155">
        <f>IF(F254&lt;&gt;"",'CONCEPTOS Y PARAMETROS'!$M$2-YEAR(F254),"")</f>
        <v>6</v>
      </c>
      <c r="H254" s="158">
        <v>0</v>
      </c>
      <c r="I254" s="156" t="str">
        <f>IFERROR(VLOOKUP(J254,CARGOS!A:F,2,0),"")</f>
        <v>36321</v>
      </c>
      <c r="J254" s="88" t="s">
        <v>1998</v>
      </c>
      <c r="K254" s="142" t="s">
        <v>4648</v>
      </c>
      <c r="L254" s="251">
        <v>277</v>
      </c>
    </row>
    <row r="255" spans="2:12" ht="15.75" thickBot="1">
      <c r="B255" s="149" t="s">
        <v>2846</v>
      </c>
      <c r="C255" s="148">
        <f t="shared" ca="1" si="2"/>
        <v>220</v>
      </c>
      <c r="D255" s="87">
        <v>24135378</v>
      </c>
      <c r="E255" s="159" t="s">
        <v>4903</v>
      </c>
      <c r="F255" s="252">
        <v>43862</v>
      </c>
      <c r="G255" s="155">
        <f>IF(F255&lt;&gt;"",'CONCEPTOS Y PARAMETROS'!$M$2-YEAR(F255),"")</f>
        <v>5</v>
      </c>
      <c r="H255" s="158">
        <v>0</v>
      </c>
      <c r="I255" s="156" t="str">
        <f>IFERROR(VLOOKUP(J255,CARGOS!A:F,2,0),"")</f>
        <v>12114</v>
      </c>
      <c r="J255" s="88" t="s">
        <v>328</v>
      </c>
      <c r="K255" s="142" t="s">
        <v>4648</v>
      </c>
      <c r="L255" s="251">
        <v>277</v>
      </c>
    </row>
    <row r="256" spans="2:12" ht="15.75" thickBot="1">
      <c r="B256" s="149" t="s">
        <v>2846</v>
      </c>
      <c r="C256" s="148">
        <f t="shared" ca="1" si="2"/>
        <v>221</v>
      </c>
      <c r="D256" s="87">
        <v>24136737</v>
      </c>
      <c r="E256" s="159" t="s">
        <v>4904</v>
      </c>
      <c r="F256" s="252">
        <v>44743</v>
      </c>
      <c r="G256" s="155">
        <f>IF(F256&lt;&gt;"",'CONCEPTOS Y PARAMETROS'!$M$2-YEAR(F256),"")</f>
        <v>3</v>
      </c>
      <c r="H256" s="158">
        <v>0</v>
      </c>
      <c r="I256" s="156" t="str">
        <f>IFERROR(VLOOKUP(J256,CARGOS!A:F,2,0),"")</f>
        <v>79511</v>
      </c>
      <c r="J256" s="88" t="s">
        <v>1162</v>
      </c>
      <c r="K256" s="142" t="s">
        <v>4650</v>
      </c>
      <c r="L256" s="251">
        <v>130</v>
      </c>
    </row>
    <row r="257" spans="2:12" ht="15.75" thickBot="1">
      <c r="B257" s="149" t="s">
        <v>2846</v>
      </c>
      <c r="C257" s="148">
        <f t="shared" ca="1" si="2"/>
        <v>222</v>
      </c>
      <c r="D257" s="87">
        <v>24136795</v>
      </c>
      <c r="E257" s="159" t="s">
        <v>4905</v>
      </c>
      <c r="F257" s="252">
        <v>44600</v>
      </c>
      <c r="G257" s="155">
        <f>IF(F257&lt;&gt;"",'CONCEPTOS Y PARAMETROS'!$M$2-YEAR(F257),"")</f>
        <v>3</v>
      </c>
      <c r="H257" s="158">
        <v>0</v>
      </c>
      <c r="I257" s="156" t="str">
        <f>IFERROR(VLOOKUP(J257,CARGOS!A:F,2,0),"")</f>
        <v>34232</v>
      </c>
      <c r="J257" s="88" t="s">
        <v>4956</v>
      </c>
      <c r="K257" s="142" t="s">
        <v>4650</v>
      </c>
      <c r="L257" s="251">
        <v>130</v>
      </c>
    </row>
    <row r="258" spans="2:12" ht="15.75" thickBot="1">
      <c r="B258" s="149" t="s">
        <v>2846</v>
      </c>
      <c r="C258" s="148">
        <f t="shared" ca="1" si="2"/>
        <v>223</v>
      </c>
      <c r="D258" s="87">
        <v>24410168</v>
      </c>
      <c r="E258" s="159" t="s">
        <v>4957</v>
      </c>
      <c r="F258" s="252">
        <v>43009</v>
      </c>
      <c r="G258" s="155">
        <f>IF(F258&lt;&gt;"",'CONCEPTOS Y PARAMETROS'!$M$2-YEAR(F258),"")</f>
        <v>8</v>
      </c>
      <c r="H258" s="158">
        <v>0</v>
      </c>
      <c r="I258" s="156" t="str">
        <f>IFERROR(VLOOKUP(J258,CARGOS!A:F,2,0),"")</f>
        <v>21113</v>
      </c>
      <c r="J258" s="88" t="s">
        <v>694</v>
      </c>
      <c r="K258" s="142" t="s">
        <v>4950</v>
      </c>
      <c r="L258" s="251">
        <v>221</v>
      </c>
    </row>
    <row r="259" spans="2:12" ht="15.75" thickBot="1">
      <c r="B259" s="149" t="s">
        <v>2846</v>
      </c>
      <c r="C259" s="148">
        <f t="shared" ca="1" si="2"/>
        <v>224</v>
      </c>
      <c r="D259" s="87">
        <v>24565372</v>
      </c>
      <c r="E259" s="159" t="s">
        <v>4906</v>
      </c>
      <c r="F259" s="252">
        <v>40360</v>
      </c>
      <c r="G259" s="155">
        <f>IF(F259&lt;&gt;"",'CONCEPTOS Y PARAMETROS'!$M$2-YEAR(F259),"")</f>
        <v>15</v>
      </c>
      <c r="H259" s="158">
        <v>0</v>
      </c>
      <c r="I259" s="156" t="str">
        <f>IFERROR(VLOOKUP(J259,CARGOS!A:F,2,0),"")</f>
        <v>31330</v>
      </c>
      <c r="J259" s="88" t="s">
        <v>471</v>
      </c>
      <c r="K259" s="142" t="s">
        <v>4943</v>
      </c>
      <c r="L259" s="251">
        <v>174</v>
      </c>
    </row>
    <row r="260" spans="2:12" ht="15.75" thickBot="1">
      <c r="B260" s="149" t="s">
        <v>2846</v>
      </c>
      <c r="C260" s="148">
        <f t="shared" ca="1" si="2"/>
        <v>225</v>
      </c>
      <c r="D260" s="87">
        <v>24566115</v>
      </c>
      <c r="E260" s="159" t="s">
        <v>4907</v>
      </c>
      <c r="F260" s="252">
        <v>44348</v>
      </c>
      <c r="G260" s="155">
        <f>IF(F260&lt;&gt;"",'CONCEPTOS Y PARAMETROS'!$M$2-YEAR(F260),"")</f>
        <v>4</v>
      </c>
      <c r="H260" s="158">
        <v>0</v>
      </c>
      <c r="I260" s="156" t="str">
        <f>IFERROR(VLOOKUP(J260,CARGOS!A:F,2,0),"")</f>
        <v>12114</v>
      </c>
      <c r="J260" s="88" t="s">
        <v>328</v>
      </c>
      <c r="K260" s="142" t="s">
        <v>4646</v>
      </c>
      <c r="L260" s="251">
        <v>246</v>
      </c>
    </row>
    <row r="261" spans="2:12" ht="15.75" thickBot="1">
      <c r="B261" s="149" t="s">
        <v>2846</v>
      </c>
      <c r="C261" s="148">
        <f t="shared" ca="1" si="2"/>
        <v>226</v>
      </c>
      <c r="D261" s="87">
        <v>25006139</v>
      </c>
      <c r="E261" s="159" t="s">
        <v>4908</v>
      </c>
      <c r="F261" s="252">
        <v>43512</v>
      </c>
      <c r="G261" s="155">
        <f>IF(F261&lt;&gt;"",'CONCEPTOS Y PARAMETROS'!$M$2-YEAR(F261),"")</f>
        <v>6</v>
      </c>
      <c r="H261" s="158">
        <v>0</v>
      </c>
      <c r="I261" s="156" t="str">
        <f>IFERROR(VLOOKUP(J261,CARGOS!A:F,2,0),"")</f>
        <v>79511</v>
      </c>
      <c r="J261" s="88" t="s">
        <v>1162</v>
      </c>
      <c r="K261" s="142" t="s">
        <v>4946</v>
      </c>
      <c r="L261" s="251">
        <v>150</v>
      </c>
    </row>
    <row r="262" spans="2:12" ht="15.75" thickBot="1">
      <c r="B262" s="149" t="s">
        <v>2846</v>
      </c>
      <c r="C262" s="148">
        <f t="shared" ca="1" si="2"/>
        <v>227</v>
      </c>
      <c r="D262" s="87">
        <v>25096069</v>
      </c>
      <c r="E262" s="215" t="s">
        <v>4909</v>
      </c>
      <c r="F262" s="216">
        <v>44599</v>
      </c>
      <c r="G262" s="155">
        <f>IF(F262&lt;&gt;"",'CONCEPTOS Y PARAMETROS'!$M$2-YEAR(F262),"")</f>
        <v>3</v>
      </c>
      <c r="H262" s="158">
        <v>0</v>
      </c>
      <c r="I262" s="156" t="str">
        <f>IFERROR(VLOOKUP(J262,CARGOS!A:F,2,0),"")</f>
        <v>79511</v>
      </c>
      <c r="J262" s="88" t="s">
        <v>1162</v>
      </c>
      <c r="K262" s="142" t="s">
        <v>4646</v>
      </c>
      <c r="L262" s="251">
        <v>246</v>
      </c>
    </row>
    <row r="263" spans="2:12" ht="15.75" thickBot="1">
      <c r="B263" s="149" t="s">
        <v>2846</v>
      </c>
      <c r="C263" s="148">
        <f t="shared" ca="1" si="2"/>
        <v>228</v>
      </c>
      <c r="D263" s="87">
        <v>25173983</v>
      </c>
      <c r="E263" s="159" t="s">
        <v>4910</v>
      </c>
      <c r="F263" s="252">
        <v>44363</v>
      </c>
      <c r="G263" s="155">
        <f>IF(F263&lt;&gt;"",'CONCEPTOS Y PARAMETROS'!$M$2-YEAR(F263),"")</f>
        <v>4</v>
      </c>
      <c r="H263" s="158">
        <v>0</v>
      </c>
      <c r="I263" s="156" t="str">
        <f>IFERROR(VLOOKUP(J263,CARGOS!A:F,2,0),"")</f>
        <v>79511</v>
      </c>
      <c r="J263" s="88" t="s">
        <v>1162</v>
      </c>
      <c r="K263" s="142" t="s">
        <v>4650</v>
      </c>
      <c r="L263" s="251">
        <v>130</v>
      </c>
    </row>
    <row r="264" spans="2:12" ht="15.75" thickBot="1">
      <c r="B264" s="149" t="s">
        <v>2846</v>
      </c>
      <c r="C264" s="148">
        <f t="shared" ca="1" si="2"/>
        <v>229</v>
      </c>
      <c r="D264" s="87">
        <v>25303390</v>
      </c>
      <c r="E264" s="159" t="s">
        <v>4911</v>
      </c>
      <c r="F264" s="252">
        <v>43862</v>
      </c>
      <c r="G264" s="155">
        <f>IF(F264&lt;&gt;"",'CONCEPTOS Y PARAMETROS'!$M$2-YEAR(F264),"")</f>
        <v>5</v>
      </c>
      <c r="H264" s="158">
        <v>0</v>
      </c>
      <c r="I264" s="156" t="str">
        <f>IFERROR(VLOOKUP(J264,CARGOS!A:F,2,0),"")</f>
        <v>79511</v>
      </c>
      <c r="J264" s="88" t="s">
        <v>1162</v>
      </c>
      <c r="K264" s="142" t="s">
        <v>4946</v>
      </c>
      <c r="L264" s="251">
        <v>150</v>
      </c>
    </row>
    <row r="265" spans="2:12" ht="15.75" thickBot="1">
      <c r="B265" s="149" t="s">
        <v>2846</v>
      </c>
      <c r="C265" s="148">
        <f t="shared" ca="1" si="2"/>
        <v>230</v>
      </c>
      <c r="D265" s="87">
        <v>25604733</v>
      </c>
      <c r="E265" s="159" t="s">
        <v>4912</v>
      </c>
      <c r="F265" s="252">
        <v>43754</v>
      </c>
      <c r="G265" s="155">
        <f>IF(F265&lt;&gt;"",'CONCEPTOS Y PARAMETROS'!$M$2-YEAR(F265),"")</f>
        <v>6</v>
      </c>
      <c r="H265" s="158">
        <v>0</v>
      </c>
      <c r="I265" s="156" t="str">
        <f>IFERROR(VLOOKUP(J265,CARGOS!A:F,2,0),"")</f>
        <v>34231</v>
      </c>
      <c r="J265" s="88" t="s">
        <v>976</v>
      </c>
      <c r="K265" s="142" t="s">
        <v>4946</v>
      </c>
      <c r="L265" s="251">
        <v>150</v>
      </c>
    </row>
    <row r="266" spans="2:12" ht="15.75" thickBot="1">
      <c r="B266" s="149" t="s">
        <v>2846</v>
      </c>
      <c r="C266" s="148">
        <f t="shared" ca="1" si="2"/>
        <v>231</v>
      </c>
      <c r="D266" s="87">
        <v>25619540</v>
      </c>
      <c r="E266" s="159" t="s">
        <v>4913</v>
      </c>
      <c r="F266" s="252">
        <v>44743</v>
      </c>
      <c r="G266" s="155">
        <f>IF(F266&lt;&gt;"",'CONCEPTOS Y PARAMETROS'!$M$2-YEAR(F266),"")</f>
        <v>3</v>
      </c>
      <c r="H266" s="158">
        <v>0</v>
      </c>
      <c r="I266" s="156" t="str">
        <f>IFERROR(VLOOKUP(J266,CARGOS!A:F,2,0),"")</f>
        <v>79511</v>
      </c>
      <c r="J266" s="88" t="s">
        <v>1162</v>
      </c>
      <c r="K266" s="142" t="s">
        <v>4650</v>
      </c>
      <c r="L266" s="251">
        <v>130</v>
      </c>
    </row>
    <row r="267" spans="2:12" ht="15.75" thickBot="1">
      <c r="B267" s="149" t="s">
        <v>2846</v>
      </c>
      <c r="C267" s="148">
        <f t="shared" ca="1" si="2"/>
        <v>232</v>
      </c>
      <c r="D267" s="87">
        <v>26094609</v>
      </c>
      <c r="E267" s="159" t="s">
        <v>4914</v>
      </c>
      <c r="F267" s="252">
        <v>44713</v>
      </c>
      <c r="G267" s="155">
        <f>IF(F267&lt;&gt;"",'CONCEPTOS Y PARAMETROS'!$M$2-YEAR(F267),"")</f>
        <v>3</v>
      </c>
      <c r="H267" s="158">
        <v>0</v>
      </c>
      <c r="I267" s="156" t="str">
        <f>IFERROR(VLOOKUP(J267,CARGOS!A:F,2,0),"")</f>
        <v>12114</v>
      </c>
      <c r="J267" s="88" t="s">
        <v>328</v>
      </c>
      <c r="K267" s="142" t="s">
        <v>4646</v>
      </c>
      <c r="L267" s="251">
        <v>246</v>
      </c>
    </row>
    <row r="268" spans="2:12" ht="15.75" thickBot="1">
      <c r="B268" s="149" t="s">
        <v>2846</v>
      </c>
      <c r="C268" s="148">
        <f t="shared" ca="1" si="2"/>
        <v>233</v>
      </c>
      <c r="D268" s="87">
        <v>26114271</v>
      </c>
      <c r="E268" s="159" t="s">
        <v>4915</v>
      </c>
      <c r="F268" s="252">
        <v>44636</v>
      </c>
      <c r="G268" s="155">
        <f>IF(F268&lt;&gt;"",'CONCEPTOS Y PARAMETROS'!$M$2-YEAR(F268),"")</f>
        <v>3</v>
      </c>
      <c r="H268" s="158">
        <v>0</v>
      </c>
      <c r="I268" s="156" t="str">
        <f>IFERROR(VLOOKUP(J268,CARGOS!A:F,2,0),"")</f>
        <v>35121</v>
      </c>
      <c r="J268" s="88" t="s">
        <v>34</v>
      </c>
      <c r="K268" s="142" t="s">
        <v>4646</v>
      </c>
      <c r="L268" s="251">
        <v>246</v>
      </c>
    </row>
    <row r="269" spans="2:12" ht="15.75" thickBot="1">
      <c r="B269" s="149" t="s">
        <v>2846</v>
      </c>
      <c r="C269" s="148">
        <f t="shared" ca="1" si="2"/>
        <v>234</v>
      </c>
      <c r="D269" s="87">
        <v>26191823</v>
      </c>
      <c r="E269" s="159" t="s">
        <v>4916</v>
      </c>
      <c r="F269" s="252">
        <v>44470</v>
      </c>
      <c r="G269" s="155">
        <f>IF(F269&lt;&gt;"",'CONCEPTOS Y PARAMETROS'!$M$2-YEAR(F269),"")</f>
        <v>4</v>
      </c>
      <c r="H269" s="158">
        <v>0</v>
      </c>
      <c r="I269" s="156" t="str">
        <f>IFERROR(VLOOKUP(J269,CARGOS!A:F,2,0),"")</f>
        <v>35121</v>
      </c>
      <c r="J269" s="88" t="s">
        <v>34</v>
      </c>
      <c r="K269" s="142" t="s">
        <v>4646</v>
      </c>
      <c r="L269" s="251">
        <v>246</v>
      </c>
    </row>
    <row r="270" spans="2:12" ht="15.75" thickBot="1">
      <c r="B270" s="149" t="s">
        <v>2846</v>
      </c>
      <c r="C270" s="148">
        <f t="shared" ca="1" si="2"/>
        <v>235</v>
      </c>
      <c r="D270" s="87">
        <v>26413871</v>
      </c>
      <c r="E270" s="159" t="s">
        <v>4917</v>
      </c>
      <c r="F270" s="252">
        <v>44228</v>
      </c>
      <c r="G270" s="155">
        <f>IF(F270&lt;&gt;"",'CONCEPTOS Y PARAMETROS'!$M$2-YEAR(F270),"")</f>
        <v>4</v>
      </c>
      <c r="H270" s="158">
        <v>0</v>
      </c>
      <c r="I270" s="156" t="str">
        <f>IFERROR(VLOOKUP(J270,CARGOS!A:F,2,0),"")</f>
        <v>79511</v>
      </c>
      <c r="J270" s="88" t="s">
        <v>1162</v>
      </c>
      <c r="K270" s="142" t="s">
        <v>4650</v>
      </c>
      <c r="L270" s="251">
        <v>130</v>
      </c>
    </row>
    <row r="271" spans="2:12" ht="15.75" thickBot="1">
      <c r="B271" s="149" t="s">
        <v>2846</v>
      </c>
      <c r="C271" s="148">
        <f t="shared" ca="1" si="2"/>
        <v>236</v>
      </c>
      <c r="D271" s="87">
        <v>26591879</v>
      </c>
      <c r="E271" s="159" t="s">
        <v>4918</v>
      </c>
      <c r="F271" s="252">
        <v>43587</v>
      </c>
      <c r="G271" s="155">
        <f>IF(F271&lt;&gt;"",'CONCEPTOS Y PARAMETROS'!$M$2-YEAR(F271),"")</f>
        <v>6</v>
      </c>
      <c r="H271" s="158">
        <v>0</v>
      </c>
      <c r="I271" s="156" t="str">
        <f>IFERROR(VLOOKUP(J271,CARGOS!A:F,2,0),"")</f>
        <v>36322</v>
      </c>
      <c r="J271" s="88" t="s">
        <v>2000</v>
      </c>
      <c r="K271" s="142" t="s">
        <v>4648</v>
      </c>
      <c r="L271" s="251">
        <v>277</v>
      </c>
    </row>
    <row r="272" spans="2:12" ht="15.75" thickBot="1">
      <c r="B272" s="149" t="s">
        <v>2846</v>
      </c>
      <c r="C272" s="148">
        <f t="shared" ca="1" si="2"/>
        <v>237</v>
      </c>
      <c r="D272" s="87">
        <v>26690908</v>
      </c>
      <c r="E272" s="159" t="s">
        <v>4919</v>
      </c>
      <c r="F272" s="252">
        <v>44228</v>
      </c>
      <c r="G272" s="155">
        <f>IF(F272&lt;&gt;"",'CONCEPTOS Y PARAMETROS'!$M$2-YEAR(F272),"")</f>
        <v>4</v>
      </c>
      <c r="H272" s="158">
        <v>0</v>
      </c>
      <c r="I272" s="156" t="str">
        <f>IFERROR(VLOOKUP(J272,CARGOS!A:F,2,0),"")</f>
        <v>79511</v>
      </c>
      <c r="J272" s="88" t="s">
        <v>1162</v>
      </c>
      <c r="K272" s="142" t="s">
        <v>4650</v>
      </c>
      <c r="L272" s="251">
        <v>130</v>
      </c>
    </row>
    <row r="273" spans="2:12" ht="15.75" thickBot="1">
      <c r="B273" s="149" t="s">
        <v>2846</v>
      </c>
      <c r="C273" s="148">
        <f t="shared" ca="1" si="2"/>
        <v>238</v>
      </c>
      <c r="D273" s="87">
        <v>26962104</v>
      </c>
      <c r="E273" s="159" t="s">
        <v>4920</v>
      </c>
      <c r="F273" s="252">
        <v>44393</v>
      </c>
      <c r="G273" s="155">
        <f>IF(F273&lt;&gt;"",'CONCEPTOS Y PARAMETROS'!$M$2-YEAR(F273),"")</f>
        <v>4</v>
      </c>
      <c r="H273" s="158">
        <v>0</v>
      </c>
      <c r="I273" s="156" t="str">
        <f>IFERROR(VLOOKUP(J273,CARGOS!A:F,2,0),"")</f>
        <v>12111</v>
      </c>
      <c r="J273" s="88" t="s">
        <v>322</v>
      </c>
      <c r="K273" s="142" t="s">
        <v>4650</v>
      </c>
      <c r="L273" s="251">
        <v>130</v>
      </c>
    </row>
    <row r="274" spans="2:12" ht="15.75" thickBot="1">
      <c r="B274" s="149" t="s">
        <v>2846</v>
      </c>
      <c r="C274" s="148">
        <f t="shared" ca="1" si="2"/>
        <v>239</v>
      </c>
      <c r="D274" s="87">
        <v>27151132</v>
      </c>
      <c r="E274" s="159" t="s">
        <v>4921</v>
      </c>
      <c r="F274" s="252">
        <v>44243</v>
      </c>
      <c r="G274" s="155">
        <f>IF(F274&lt;&gt;"",'CONCEPTOS Y PARAMETROS'!$M$2-YEAR(F274),"")</f>
        <v>4</v>
      </c>
      <c r="H274" s="158">
        <v>0</v>
      </c>
      <c r="I274" s="156" t="str">
        <f>IFERROR(VLOOKUP(J274,CARGOS!A:F,2,0),"")</f>
        <v>24311</v>
      </c>
      <c r="J274" s="88" t="s">
        <v>2092</v>
      </c>
      <c r="K274" s="142" t="s">
        <v>4650</v>
      </c>
      <c r="L274" s="251">
        <v>130</v>
      </c>
    </row>
    <row r="275" spans="2:12" ht="15.75" thickBot="1">
      <c r="B275" s="149" t="s">
        <v>2846</v>
      </c>
      <c r="C275" s="148">
        <f t="shared" ca="1" si="2"/>
        <v>240</v>
      </c>
      <c r="D275" s="87">
        <v>27415737</v>
      </c>
      <c r="E275" s="159" t="s">
        <v>4922</v>
      </c>
      <c r="F275" s="252">
        <v>44363</v>
      </c>
      <c r="G275" s="155">
        <f>IF(F275&lt;&gt;"",'CONCEPTOS Y PARAMETROS'!$M$2-YEAR(F275),"")</f>
        <v>4</v>
      </c>
      <c r="H275" s="158">
        <v>0</v>
      </c>
      <c r="I275" s="156" t="str">
        <f>IFERROR(VLOOKUP(J275,CARGOS!A:F,2,0),"")</f>
        <v>12111</v>
      </c>
      <c r="J275" s="88" t="s">
        <v>322</v>
      </c>
      <c r="K275" s="142" t="s">
        <v>4650</v>
      </c>
      <c r="L275" s="251">
        <v>130</v>
      </c>
    </row>
    <row r="276" spans="2:12" ht="15.75" thickBot="1">
      <c r="B276" s="149" t="s">
        <v>2846</v>
      </c>
      <c r="C276" s="148">
        <f t="shared" ca="1" si="2"/>
        <v>241</v>
      </c>
      <c r="D276" s="87">
        <v>27415888</v>
      </c>
      <c r="E276" s="159" t="s">
        <v>4923</v>
      </c>
      <c r="F276" s="252">
        <v>44713</v>
      </c>
      <c r="G276" s="155">
        <f>IF(F276&lt;&gt;"",'CONCEPTOS Y PARAMETROS'!$M$2-YEAR(F276),"")</f>
        <v>3</v>
      </c>
      <c r="H276" s="158">
        <v>3</v>
      </c>
      <c r="I276" s="156" t="str">
        <f>IFERROR(VLOOKUP(J276,CARGOS!A:F,2,0),"")</f>
        <v>34232</v>
      </c>
      <c r="J276" s="88" t="s">
        <v>4956</v>
      </c>
      <c r="K276" s="142" t="s">
        <v>4946</v>
      </c>
      <c r="L276" s="251">
        <v>150</v>
      </c>
    </row>
    <row r="277" spans="2:12" ht="15.75" thickBot="1">
      <c r="B277" s="149" t="s">
        <v>2846</v>
      </c>
      <c r="C277" s="148">
        <f t="shared" ca="1" si="2"/>
        <v>242</v>
      </c>
      <c r="D277" s="87">
        <v>27889180</v>
      </c>
      <c r="E277" s="159" t="s">
        <v>4924</v>
      </c>
      <c r="F277" s="252">
        <v>44393</v>
      </c>
      <c r="G277" s="155">
        <f>IF(F277&lt;&gt;"",'CONCEPTOS Y PARAMETROS'!$M$2-YEAR(F277),"")</f>
        <v>4</v>
      </c>
      <c r="H277" s="158">
        <v>0</v>
      </c>
      <c r="I277" s="156" t="str">
        <f>IFERROR(VLOOKUP(J277,CARGOS!A:F,2,0),"")</f>
        <v>79330</v>
      </c>
      <c r="J277" s="88" t="s">
        <v>477</v>
      </c>
      <c r="K277" s="142" t="s">
        <v>4650</v>
      </c>
      <c r="L277" s="251">
        <v>130</v>
      </c>
    </row>
    <row r="278" spans="2:12" ht="15.75" thickBot="1">
      <c r="B278" s="149" t="s">
        <v>2846</v>
      </c>
      <c r="C278" s="148">
        <f t="shared" ca="1" si="2"/>
        <v>243</v>
      </c>
      <c r="D278" s="87">
        <v>27889243</v>
      </c>
      <c r="E278" s="159" t="s">
        <v>4925</v>
      </c>
      <c r="F278" s="252">
        <v>44577</v>
      </c>
      <c r="G278" s="155">
        <f>IF(F278&lt;&gt;"",'CONCEPTOS Y PARAMETROS'!$M$2-YEAR(F278),"")</f>
        <v>3</v>
      </c>
      <c r="H278" s="158">
        <v>0</v>
      </c>
      <c r="I278" s="156" t="str">
        <f>IFERROR(VLOOKUP(J278,CARGOS!A:F,2,0),"")</f>
        <v>36321</v>
      </c>
      <c r="J278" s="88" t="s">
        <v>1998</v>
      </c>
      <c r="K278" s="142" t="s">
        <v>4646</v>
      </c>
      <c r="L278" s="251">
        <v>246</v>
      </c>
    </row>
    <row r="279" spans="2:12" ht="15.75" thickBot="1">
      <c r="B279" s="149" t="s">
        <v>2846</v>
      </c>
      <c r="C279" s="148">
        <f t="shared" ca="1" si="2"/>
        <v>244</v>
      </c>
      <c r="D279" s="87">
        <v>28079765</v>
      </c>
      <c r="E279" s="159" t="s">
        <v>4926</v>
      </c>
      <c r="F279" s="252">
        <v>44348</v>
      </c>
      <c r="G279" s="155">
        <f>IF(F279&lt;&gt;"",'CONCEPTOS Y PARAMETROS'!$M$2-YEAR(F279),"")</f>
        <v>4</v>
      </c>
      <c r="H279" s="158">
        <v>0</v>
      </c>
      <c r="I279" s="156" t="str">
        <f>IFERROR(VLOOKUP(J279,CARGOS!A:F,2,0),"")</f>
        <v>12111</v>
      </c>
      <c r="J279" s="88" t="s">
        <v>322</v>
      </c>
      <c r="K279" s="142" t="s">
        <v>4650</v>
      </c>
      <c r="L279" s="251">
        <v>130</v>
      </c>
    </row>
    <row r="280" spans="2:12" ht="15.75" thickBot="1">
      <c r="B280" s="149" t="s">
        <v>2846</v>
      </c>
      <c r="C280" s="148">
        <f t="shared" ca="1" si="2"/>
        <v>245</v>
      </c>
      <c r="D280" s="87">
        <v>28096003</v>
      </c>
      <c r="E280" s="159" t="s">
        <v>4927</v>
      </c>
      <c r="F280" s="252">
        <v>44228</v>
      </c>
      <c r="G280" s="155">
        <f>IF(F280&lt;&gt;"",'CONCEPTOS Y PARAMETROS'!$M$2-YEAR(F280),"")</f>
        <v>4</v>
      </c>
      <c r="H280" s="158">
        <v>0</v>
      </c>
      <c r="I280" s="156" t="str">
        <f>IFERROR(VLOOKUP(J280,CARGOS!A:F,2,0),"")</f>
        <v>79511</v>
      </c>
      <c r="J280" s="88" t="s">
        <v>1162</v>
      </c>
      <c r="K280" s="142" t="s">
        <v>4650</v>
      </c>
      <c r="L280" s="251">
        <v>130</v>
      </c>
    </row>
    <row r="281" spans="2:12" ht="15.75" thickBot="1">
      <c r="B281" s="149" t="s">
        <v>2846</v>
      </c>
      <c r="C281" s="148">
        <f t="shared" ca="1" si="2"/>
        <v>246</v>
      </c>
      <c r="D281" s="87">
        <v>28445465</v>
      </c>
      <c r="E281" s="159" t="s">
        <v>4928</v>
      </c>
      <c r="F281" s="252">
        <v>43770</v>
      </c>
      <c r="G281" s="155">
        <f>IF(F281&lt;&gt;"",'CONCEPTOS Y PARAMETROS'!$M$2-YEAR(F281),"")</f>
        <v>6</v>
      </c>
      <c r="H281" s="158">
        <v>0</v>
      </c>
      <c r="I281" s="156" t="str">
        <f>IFERROR(VLOOKUP(J281,CARGOS!A:F,2,0),"")</f>
        <v>12111</v>
      </c>
      <c r="J281" s="88" t="s">
        <v>322</v>
      </c>
      <c r="K281" s="142" t="s">
        <v>4946</v>
      </c>
      <c r="L281" s="251">
        <v>150</v>
      </c>
    </row>
    <row r="282" spans="2:12" ht="15.75" thickBot="1">
      <c r="B282" s="149" t="s">
        <v>2846</v>
      </c>
      <c r="C282" s="148">
        <f t="shared" ca="1" si="2"/>
        <v>247</v>
      </c>
      <c r="D282" s="87">
        <v>29585477</v>
      </c>
      <c r="E282" s="215" t="s">
        <v>4929</v>
      </c>
      <c r="F282" s="216">
        <v>43512</v>
      </c>
      <c r="G282" s="155">
        <f>IF(F282&lt;&gt;"",'CONCEPTOS Y PARAMETROS'!$M$2-YEAR(F282),"")</f>
        <v>6</v>
      </c>
      <c r="H282" s="158">
        <v>0</v>
      </c>
      <c r="I282" s="156" t="str">
        <f>IFERROR(VLOOKUP(J282,CARGOS!A:F,2,0),"")</f>
        <v>34231</v>
      </c>
      <c r="J282" s="88" t="s">
        <v>976</v>
      </c>
      <c r="K282" s="142" t="s">
        <v>4946</v>
      </c>
      <c r="L282" s="251">
        <v>150</v>
      </c>
    </row>
    <row r="283" spans="2:12" ht="15.75" thickBot="1">
      <c r="B283" s="149" t="s">
        <v>2846</v>
      </c>
      <c r="C283" s="148">
        <f t="shared" ca="1" si="2"/>
        <v>248</v>
      </c>
      <c r="D283" s="87">
        <v>29916508</v>
      </c>
      <c r="E283" s="159" t="s">
        <v>4930</v>
      </c>
      <c r="F283" s="252">
        <v>44378</v>
      </c>
      <c r="G283" s="155">
        <f>IF(F283&lt;&gt;"",'CONCEPTOS Y PARAMETROS'!$M$2-YEAR(F283),"")</f>
        <v>4</v>
      </c>
      <c r="H283" s="158">
        <v>0</v>
      </c>
      <c r="I283" s="156" t="str">
        <f>IFERROR(VLOOKUP(J283,CARGOS!A:F,2,0),"")</f>
        <v>79511</v>
      </c>
      <c r="J283" s="88" t="s">
        <v>1162</v>
      </c>
      <c r="K283" s="142" t="s">
        <v>4650</v>
      </c>
      <c r="L283" s="251">
        <v>130</v>
      </c>
    </row>
    <row r="284" spans="2:12" ht="15.75" thickBot="1">
      <c r="B284" s="149" t="s">
        <v>2846</v>
      </c>
      <c r="C284" s="148">
        <f t="shared" ca="1" si="2"/>
        <v>249</v>
      </c>
      <c r="D284" s="87">
        <v>30600641</v>
      </c>
      <c r="E284" s="159" t="s">
        <v>4931</v>
      </c>
      <c r="F284" s="252">
        <v>44455</v>
      </c>
      <c r="G284" s="155">
        <f>IF(F284&lt;&gt;"",'CONCEPTOS Y PARAMETROS'!$M$2-YEAR(F284),"")</f>
        <v>4</v>
      </c>
      <c r="H284" s="158">
        <v>0</v>
      </c>
      <c r="I284" s="156" t="str">
        <f>IFERROR(VLOOKUP(J284,CARGOS!A:F,2,0),"")</f>
        <v>12111</v>
      </c>
      <c r="J284" s="88" t="s">
        <v>322</v>
      </c>
      <c r="K284" s="142" t="s">
        <v>4650</v>
      </c>
      <c r="L284" s="251">
        <v>130</v>
      </c>
    </row>
    <row r="285" spans="2:12" ht="15.75" thickBot="1">
      <c r="B285" s="149" t="s">
        <v>2846</v>
      </c>
      <c r="C285" s="148">
        <f t="shared" ca="1" si="2"/>
        <v>250</v>
      </c>
      <c r="D285" s="87">
        <v>8719807</v>
      </c>
      <c r="E285" s="159" t="s">
        <v>4668</v>
      </c>
      <c r="F285" s="252">
        <v>39874</v>
      </c>
      <c r="G285" s="155">
        <f>IF(F285&lt;&gt;"",'CONCEPTOS Y PARAMETROS'!$M$2-YEAR(F285),"")</f>
        <v>16</v>
      </c>
      <c r="H285" s="158">
        <v>4</v>
      </c>
      <c r="I285" s="156" t="str">
        <f>IFERROR(VLOOKUP(J285,CARGOS!A:F,2,0),"")</f>
        <v>35125</v>
      </c>
      <c r="J285" s="88" t="s">
        <v>42</v>
      </c>
      <c r="K285" s="142" t="s">
        <v>4947</v>
      </c>
      <c r="L285" s="251">
        <v>316</v>
      </c>
    </row>
    <row r="286" spans="2:12" ht="15.75" thickBot="1">
      <c r="B286" s="149" t="s">
        <v>2846</v>
      </c>
      <c r="C286" s="148">
        <f t="shared" ca="1" si="2"/>
        <v>251</v>
      </c>
      <c r="D286" s="87">
        <v>9311822</v>
      </c>
      <c r="E286" s="159" t="s">
        <v>4670</v>
      </c>
      <c r="F286" s="252">
        <v>37662</v>
      </c>
      <c r="G286" s="155">
        <f>IF(F286&lt;&gt;"",'CONCEPTOS Y PARAMETROS'!$M$2-YEAR(F286),"")</f>
        <v>22</v>
      </c>
      <c r="H286" s="158">
        <v>0</v>
      </c>
      <c r="I286" s="156" t="str">
        <f>IFERROR(VLOOKUP(J286,CARGOS!A:F,2,0),"")</f>
        <v>12113</v>
      </c>
      <c r="J286" s="88" t="s">
        <v>326</v>
      </c>
      <c r="K286" s="142" t="s">
        <v>4937</v>
      </c>
      <c r="L286" s="251">
        <v>177</v>
      </c>
    </row>
    <row r="287" spans="2:12" ht="15.75" thickBot="1">
      <c r="B287" s="149" t="s">
        <v>2846</v>
      </c>
      <c r="C287" s="148">
        <f t="shared" ca="1" si="2"/>
        <v>252</v>
      </c>
      <c r="D287" s="87">
        <v>9495661</v>
      </c>
      <c r="E287" s="159" t="s">
        <v>4958</v>
      </c>
      <c r="F287" s="252">
        <v>39692</v>
      </c>
      <c r="G287" s="155">
        <f>IF(F287&lt;&gt;"",'CONCEPTOS Y PARAMETROS'!$M$2-YEAR(F287),"")</f>
        <v>17</v>
      </c>
      <c r="H287" s="158">
        <v>0</v>
      </c>
      <c r="I287" s="156" t="str">
        <f>IFERROR(VLOOKUP(J287,CARGOS!A:F,2,0),"")</f>
        <v>79532</v>
      </c>
      <c r="J287" s="88" t="s">
        <v>1558</v>
      </c>
      <c r="K287" s="142" t="s">
        <v>4934</v>
      </c>
      <c r="L287" s="251">
        <v>176</v>
      </c>
    </row>
    <row r="288" spans="2:12" ht="15.75" thickBot="1">
      <c r="B288" s="149" t="s">
        <v>2846</v>
      </c>
      <c r="C288" s="148">
        <f t="shared" ca="1" si="2"/>
        <v>253</v>
      </c>
      <c r="D288" s="87">
        <v>10404528</v>
      </c>
      <c r="E288" s="159" t="s">
        <v>4669</v>
      </c>
      <c r="F288" s="252">
        <v>37622</v>
      </c>
      <c r="G288" s="155">
        <f>IF(F288&lt;&gt;"",'CONCEPTOS Y PARAMETROS'!$M$2-YEAR(F288),"")</f>
        <v>22</v>
      </c>
      <c r="H288" s="158">
        <v>0</v>
      </c>
      <c r="I288" s="156" t="str">
        <f>IFERROR(VLOOKUP(J288,CARGOS!A:F,2,0),"")</f>
        <v>12124</v>
      </c>
      <c r="J288" s="88" t="s">
        <v>79</v>
      </c>
      <c r="K288" s="142" t="s">
        <v>4935</v>
      </c>
      <c r="L288" s="251">
        <v>287</v>
      </c>
    </row>
    <row r="289" spans="2:12" ht="15.75" thickBot="1">
      <c r="B289" s="149" t="s">
        <v>2846</v>
      </c>
      <c r="C289" s="148">
        <f t="shared" ca="1" si="2"/>
        <v>254</v>
      </c>
      <c r="D289" s="87">
        <v>10912595</v>
      </c>
      <c r="E289" s="159" t="s">
        <v>4681</v>
      </c>
      <c r="F289" s="252">
        <v>36039</v>
      </c>
      <c r="G289" s="155">
        <f>IF(F289&lt;&gt;"",'CONCEPTOS Y PARAMETROS'!$M$2-YEAR(F289),"")</f>
        <v>27</v>
      </c>
      <c r="H289" s="158">
        <v>0</v>
      </c>
      <c r="I289" s="156" t="str">
        <f>IFERROR(VLOOKUP(J289,CARGOS!A:F,2,0),"")</f>
        <v>79512</v>
      </c>
      <c r="J289" s="88" t="s">
        <v>1164</v>
      </c>
      <c r="K289" s="142" t="s">
        <v>4937</v>
      </c>
      <c r="L289" s="251">
        <v>177</v>
      </c>
    </row>
    <row r="290" spans="2:12" ht="15.75" thickBot="1">
      <c r="B290" s="149" t="s">
        <v>2846</v>
      </c>
      <c r="C290" s="148">
        <f t="shared" ca="1" si="2"/>
        <v>255</v>
      </c>
      <c r="D290" s="87">
        <v>11798459</v>
      </c>
      <c r="E290" s="159" t="s">
        <v>4666</v>
      </c>
      <c r="F290" s="252">
        <v>41471</v>
      </c>
      <c r="G290" s="155">
        <f>IF(F290&lt;&gt;"",'CONCEPTOS Y PARAMETROS'!$M$2-YEAR(F290),"")</f>
        <v>12</v>
      </c>
      <c r="H290" s="158">
        <v>10</v>
      </c>
      <c r="I290" s="156" t="str">
        <f>IFERROR(VLOOKUP(J290,CARGOS!A:F,2,0),"")</f>
        <v>12130</v>
      </c>
      <c r="J290" s="88" t="s">
        <v>81</v>
      </c>
      <c r="K290" s="142" t="s">
        <v>4935</v>
      </c>
      <c r="L290" s="251">
        <v>287</v>
      </c>
    </row>
    <row r="291" spans="2:12" ht="15.75" thickBot="1">
      <c r="B291" s="149" t="s">
        <v>2846</v>
      </c>
      <c r="C291" s="148">
        <f t="shared" ref="C291:C306" ca="1" si="3">OFFSET(C291,-1,0)+1</f>
        <v>256</v>
      </c>
      <c r="D291" s="87">
        <v>11894534</v>
      </c>
      <c r="E291" s="159" t="s">
        <v>4667</v>
      </c>
      <c r="F291" s="252">
        <v>41334</v>
      </c>
      <c r="G291" s="155">
        <f>IF(F291&lt;&gt;"",'CONCEPTOS Y PARAMETROS'!$M$2-YEAR(F291),"")</f>
        <v>12</v>
      </c>
      <c r="H291" s="158">
        <v>13</v>
      </c>
      <c r="I291" s="156" t="str">
        <f>IFERROR(VLOOKUP(J291,CARGOS!A:F,2,0),"")</f>
        <v>12130</v>
      </c>
      <c r="J291" s="88" t="s">
        <v>81</v>
      </c>
      <c r="K291" s="142" t="s">
        <v>4935</v>
      </c>
      <c r="L291" s="251">
        <v>287</v>
      </c>
    </row>
    <row r="292" spans="2:12" ht="15.75" thickBot="1">
      <c r="B292" s="149" t="s">
        <v>2846</v>
      </c>
      <c r="C292" s="148">
        <f t="shared" ca="1" si="3"/>
        <v>257</v>
      </c>
      <c r="D292" s="87">
        <v>12542413</v>
      </c>
      <c r="E292" s="159" t="s">
        <v>4675</v>
      </c>
      <c r="F292" s="252">
        <v>36434</v>
      </c>
      <c r="G292" s="155">
        <f>IF(F292&lt;&gt;"",'CONCEPTOS Y PARAMETROS'!$M$2-YEAR(F292),"")</f>
        <v>26</v>
      </c>
      <c r="H292" s="158">
        <v>0</v>
      </c>
      <c r="I292" s="156" t="str">
        <f>IFERROR(VLOOKUP(J292,CARGOS!A:F,2,0),"")</f>
        <v>79512</v>
      </c>
      <c r="J292" s="88" t="s">
        <v>1164</v>
      </c>
      <c r="K292" s="142" t="s">
        <v>4937</v>
      </c>
      <c r="L292" s="251">
        <v>177</v>
      </c>
    </row>
    <row r="293" spans="2:12" ht="15.75" thickBot="1">
      <c r="B293" s="149" t="s">
        <v>2846</v>
      </c>
      <c r="C293" s="148">
        <f t="shared" ca="1" si="3"/>
        <v>258</v>
      </c>
      <c r="D293" s="87">
        <v>13462511</v>
      </c>
      <c r="E293" s="159" t="s">
        <v>4673</v>
      </c>
      <c r="F293" s="252">
        <v>43738</v>
      </c>
      <c r="G293" s="155">
        <f>IF(F293&lt;&gt;"",'CONCEPTOS Y PARAMETROS'!$M$2-YEAR(F293),"")</f>
        <v>6</v>
      </c>
      <c r="H293" s="158">
        <v>0</v>
      </c>
      <c r="I293" s="156" t="str">
        <f>IFERROR(VLOOKUP(J293,CARGOS!A:F,2,0),"")</f>
        <v>35121</v>
      </c>
      <c r="J293" s="88" t="s">
        <v>34</v>
      </c>
      <c r="K293" s="142" t="s">
        <v>4948</v>
      </c>
      <c r="L293" s="251">
        <v>307</v>
      </c>
    </row>
    <row r="294" spans="2:12" ht="15.75" thickBot="1">
      <c r="B294" s="149" t="s">
        <v>2846</v>
      </c>
      <c r="C294" s="148">
        <f t="shared" ca="1" si="3"/>
        <v>259</v>
      </c>
      <c r="D294" s="87">
        <v>13462933</v>
      </c>
      <c r="E294" s="159" t="s">
        <v>4672</v>
      </c>
      <c r="F294" s="252">
        <v>39454</v>
      </c>
      <c r="G294" s="155">
        <f>IF(F294&lt;&gt;"",'CONCEPTOS Y PARAMETROS'!$M$2-YEAR(F294),"")</f>
        <v>17</v>
      </c>
      <c r="H294" s="158">
        <v>6</v>
      </c>
      <c r="I294" s="156" t="str">
        <f>IFERROR(VLOOKUP(J294,CARGOS!A:F,2,0),"")</f>
        <v>12130</v>
      </c>
      <c r="J294" s="88" t="s">
        <v>81</v>
      </c>
      <c r="K294" s="142" t="s">
        <v>4935</v>
      </c>
      <c r="L294" s="251">
        <v>287</v>
      </c>
    </row>
    <row r="295" spans="2:12" ht="15.75" thickBot="1">
      <c r="B295" s="149" t="s">
        <v>2846</v>
      </c>
      <c r="C295" s="148">
        <f t="shared" ca="1" si="3"/>
        <v>260</v>
      </c>
      <c r="D295" s="87">
        <v>13896239</v>
      </c>
      <c r="E295" s="159" t="s">
        <v>4688</v>
      </c>
      <c r="F295" s="252">
        <v>42416</v>
      </c>
      <c r="G295" s="155">
        <f>IF(F295&lt;&gt;"",'CONCEPTOS Y PARAMETROS'!$M$2-YEAR(F295),"")</f>
        <v>9</v>
      </c>
      <c r="H295" s="158">
        <v>0</v>
      </c>
      <c r="I295" s="156" t="str">
        <f>IFERROR(VLOOKUP(J295,CARGOS!A:F,2,0),"")</f>
        <v>13413</v>
      </c>
      <c r="J295" s="88" t="s">
        <v>220</v>
      </c>
      <c r="K295" s="142" t="s">
        <v>4952</v>
      </c>
      <c r="L295" s="251">
        <v>170</v>
      </c>
    </row>
    <row r="296" spans="2:12" ht="15.75" thickBot="1">
      <c r="B296" s="149" t="s">
        <v>2846</v>
      </c>
      <c r="C296" s="148">
        <f t="shared" ca="1" si="3"/>
        <v>261</v>
      </c>
      <c r="D296" s="87">
        <v>15752048</v>
      </c>
      <c r="E296" s="159" t="s">
        <v>4674</v>
      </c>
      <c r="F296" s="252">
        <v>39679</v>
      </c>
      <c r="G296" s="155">
        <f>IF(F296&lt;&gt;"",'CONCEPTOS Y PARAMETROS'!$M$2-YEAR(F296),"")</f>
        <v>17</v>
      </c>
      <c r="H296" s="158">
        <v>0</v>
      </c>
      <c r="I296" s="156" t="str">
        <f>IFERROR(VLOOKUP(J296,CARGOS!A:F,2,0),"")</f>
        <v>79512</v>
      </c>
      <c r="J296" s="88" t="s">
        <v>1164</v>
      </c>
      <c r="K296" s="142" t="s">
        <v>4951</v>
      </c>
      <c r="L296" s="251">
        <v>314</v>
      </c>
    </row>
    <row r="297" spans="2:12" ht="15.75" thickBot="1">
      <c r="B297" s="149" t="s">
        <v>2846</v>
      </c>
      <c r="C297" s="148">
        <f t="shared" ca="1" si="3"/>
        <v>262</v>
      </c>
      <c r="D297" s="87">
        <v>15752183</v>
      </c>
      <c r="E297" s="159" t="s">
        <v>4684</v>
      </c>
      <c r="F297" s="252">
        <v>38930</v>
      </c>
      <c r="G297" s="155">
        <f>IF(F297&lt;&gt;"",'CONCEPTOS Y PARAMETROS'!$M$2-YEAR(F297),"")</f>
        <v>19</v>
      </c>
      <c r="H297" s="158">
        <v>1</v>
      </c>
      <c r="I297" s="156" t="str">
        <f>IFERROR(VLOOKUP(J297,CARGOS!A:F,2,0),"")</f>
        <v>13414</v>
      </c>
      <c r="J297" s="88" t="s">
        <v>222</v>
      </c>
      <c r="K297" s="142" t="s">
        <v>4935</v>
      </c>
      <c r="L297" s="251">
        <v>287</v>
      </c>
    </row>
    <row r="298" spans="2:12" ht="15.75" thickBot="1">
      <c r="B298" s="149" t="s">
        <v>2846</v>
      </c>
      <c r="C298" s="148">
        <f t="shared" ca="1" si="3"/>
        <v>263</v>
      </c>
      <c r="D298" s="87">
        <v>18457406</v>
      </c>
      <c r="E298" s="159" t="s">
        <v>4676</v>
      </c>
      <c r="F298" s="252">
        <v>41548</v>
      </c>
      <c r="G298" s="155">
        <f>IF(F298&lt;&gt;"",'CONCEPTOS Y PARAMETROS'!$M$2-YEAR(F298),"")</f>
        <v>12</v>
      </c>
      <c r="H298" s="158">
        <v>0</v>
      </c>
      <c r="I298" s="156" t="str">
        <f>IFERROR(VLOOKUP(J298,CARGOS!A:F,2,0),"")</f>
        <v>41153</v>
      </c>
      <c r="J298" s="88" t="s">
        <v>1214</v>
      </c>
      <c r="K298" s="142" t="s">
        <v>4642</v>
      </c>
      <c r="L298" s="251">
        <v>281</v>
      </c>
    </row>
    <row r="299" spans="2:12" ht="15.75" thickBot="1">
      <c r="B299" s="149" t="s">
        <v>2846</v>
      </c>
      <c r="C299" s="148">
        <f t="shared" ca="1" si="3"/>
        <v>264</v>
      </c>
      <c r="D299" s="87">
        <v>20790947</v>
      </c>
      <c r="E299" s="159" t="s">
        <v>4686</v>
      </c>
      <c r="F299" s="252">
        <v>43967</v>
      </c>
      <c r="G299" s="155">
        <f>IF(F299&lt;&gt;"",'CONCEPTOS Y PARAMETROS'!$M$2-YEAR(F299),"")</f>
        <v>5</v>
      </c>
      <c r="H299" s="158">
        <v>0</v>
      </c>
      <c r="I299" s="156" t="str">
        <f>IFERROR(VLOOKUP(J299,CARGOS!A:F,2,0),"")</f>
        <v>12113</v>
      </c>
      <c r="J299" s="88" t="s">
        <v>326</v>
      </c>
      <c r="K299" s="142" t="s">
        <v>4647</v>
      </c>
      <c r="L299" s="251">
        <v>219</v>
      </c>
    </row>
    <row r="300" spans="2:12" ht="15.75" thickBot="1">
      <c r="B300" s="149" t="s">
        <v>2846</v>
      </c>
      <c r="C300" s="148">
        <f t="shared" ca="1" si="3"/>
        <v>265</v>
      </c>
      <c r="D300" s="87">
        <v>21592108</v>
      </c>
      <c r="E300" s="159" t="s">
        <v>4682</v>
      </c>
      <c r="F300" s="252">
        <v>43024</v>
      </c>
      <c r="G300" s="155">
        <f>IF(F300&lt;&gt;"",'CONCEPTOS Y PARAMETROS'!$M$2-YEAR(F300),"")</f>
        <v>8</v>
      </c>
      <c r="H300" s="158">
        <v>0</v>
      </c>
      <c r="I300" s="156" t="str">
        <f>IFERROR(VLOOKUP(J300,CARGOS!A:F,2,0),"")</f>
        <v>13361</v>
      </c>
      <c r="J300" s="88" t="s">
        <v>1926</v>
      </c>
      <c r="K300" s="142" t="s">
        <v>4950</v>
      </c>
      <c r="L300" s="251">
        <v>221</v>
      </c>
    </row>
    <row r="301" spans="2:12" ht="15.75" thickBot="1">
      <c r="B301" s="149" t="s">
        <v>2846</v>
      </c>
      <c r="C301" s="148">
        <f t="shared" ca="1" si="3"/>
        <v>266</v>
      </c>
      <c r="D301" s="87">
        <v>26155093</v>
      </c>
      <c r="E301" s="159" t="s">
        <v>4671</v>
      </c>
      <c r="F301" s="252">
        <v>44409</v>
      </c>
      <c r="G301" s="155">
        <f>IF(F301&lt;&gt;"",'CONCEPTOS Y PARAMETROS'!$M$2-YEAR(F301),"")</f>
        <v>4</v>
      </c>
      <c r="H301" s="158">
        <v>0</v>
      </c>
      <c r="I301" s="156" t="str">
        <f>IFERROR(VLOOKUP(J301,CARGOS!A:F,2,0),"")</f>
        <v>35121</v>
      </c>
      <c r="J301" s="88" t="s">
        <v>34</v>
      </c>
      <c r="K301" s="142" t="s">
        <v>4646</v>
      </c>
      <c r="L301" s="251">
        <v>246</v>
      </c>
    </row>
    <row r="302" spans="2:12" ht="15.75" thickBot="1">
      <c r="B302" s="149" t="s">
        <v>2846</v>
      </c>
      <c r="C302" s="148">
        <f t="shared" ca="1" si="3"/>
        <v>267</v>
      </c>
      <c r="D302" s="214"/>
      <c r="E302" s="253" t="s">
        <v>4653</v>
      </c>
      <c r="F302" s="252">
        <v>44927</v>
      </c>
      <c r="G302" s="155">
        <f>IF(F302&lt;&gt;"",'CONCEPTOS Y PARAMETROS'!$M$2-YEAR(F302),"")</f>
        <v>2</v>
      </c>
      <c r="H302" s="158">
        <v>0</v>
      </c>
      <c r="I302" s="156" t="str">
        <f>IFERROR(VLOOKUP(J302,CARGOS!A:F,2,0),"")</f>
        <v>79532</v>
      </c>
      <c r="J302" s="88" t="s">
        <v>1558</v>
      </c>
      <c r="K302" s="142" t="s">
        <v>4646</v>
      </c>
      <c r="L302" s="251">
        <v>246</v>
      </c>
    </row>
    <row r="303" spans="2:12" ht="15.75" thickBot="1">
      <c r="B303" s="149" t="s">
        <v>2846</v>
      </c>
      <c r="C303" s="148">
        <f t="shared" ca="1" si="3"/>
        <v>268</v>
      </c>
      <c r="D303" s="87"/>
      <c r="E303" s="159" t="s">
        <v>4653</v>
      </c>
      <c r="F303" s="252">
        <v>44927</v>
      </c>
      <c r="G303" s="155">
        <f>IF(F303&lt;&gt;"",'CONCEPTOS Y PARAMETROS'!$M$2-YEAR(F303),"")</f>
        <v>2</v>
      </c>
      <c r="H303" s="158">
        <v>0</v>
      </c>
      <c r="I303" s="156" t="str">
        <f>IFERROR(VLOOKUP(J303,CARGOS!A:F,2,0),"")</f>
        <v>34233</v>
      </c>
      <c r="J303" s="88" t="s">
        <v>978</v>
      </c>
      <c r="K303" s="142" t="s">
        <v>4649</v>
      </c>
      <c r="L303" s="251">
        <v>192</v>
      </c>
    </row>
    <row r="304" spans="2:12" ht="15.75" thickBot="1">
      <c r="B304" s="149" t="s">
        <v>2846</v>
      </c>
      <c r="C304" s="148">
        <f t="shared" ca="1" si="3"/>
        <v>269</v>
      </c>
      <c r="D304" s="87"/>
      <c r="E304" s="159" t="s">
        <v>4653</v>
      </c>
      <c r="F304" s="252">
        <v>44927</v>
      </c>
      <c r="G304" s="155">
        <f>IF(F304&lt;&gt;"",'CONCEPTOS Y PARAMETROS'!$M$2-YEAR(F304),"")</f>
        <v>2</v>
      </c>
      <c r="H304" s="158">
        <v>0</v>
      </c>
      <c r="I304" s="156" t="str">
        <f>IFERROR(VLOOKUP(J304,CARGOS!A:F,2,0),"")</f>
        <v>34231</v>
      </c>
      <c r="J304" s="88" t="s">
        <v>976</v>
      </c>
      <c r="K304" s="142" t="s">
        <v>4650</v>
      </c>
      <c r="L304" s="251">
        <v>130</v>
      </c>
    </row>
    <row r="305" spans="2:12" ht="15.75" thickBot="1">
      <c r="B305" s="149" t="s">
        <v>2846</v>
      </c>
      <c r="C305" s="148">
        <f t="shared" ca="1" si="3"/>
        <v>270</v>
      </c>
      <c r="D305" s="87"/>
      <c r="E305" s="159" t="s">
        <v>4653</v>
      </c>
      <c r="F305" s="252">
        <v>44927</v>
      </c>
      <c r="G305" s="155">
        <f>IF(F305&lt;&gt;"",'CONCEPTOS Y PARAMETROS'!$M$2-YEAR(F305),"")</f>
        <v>2</v>
      </c>
      <c r="H305" s="158">
        <v>0</v>
      </c>
      <c r="I305" s="156" t="str">
        <f>IFERROR(VLOOKUP(J305,CARGOS!A:F,2,0),"")</f>
        <v>17211</v>
      </c>
      <c r="J305" s="88" t="s">
        <v>1496</v>
      </c>
      <c r="K305" s="142" t="s">
        <v>4650</v>
      </c>
      <c r="L305" s="251">
        <v>130</v>
      </c>
    </row>
    <row r="306" spans="2:12" ht="15.75" thickBot="1">
      <c r="B306" s="149" t="s">
        <v>2846</v>
      </c>
      <c r="C306" s="148">
        <f t="shared" ca="1" si="3"/>
        <v>271</v>
      </c>
      <c r="D306" s="87"/>
      <c r="E306" s="159" t="s">
        <v>4653</v>
      </c>
      <c r="F306" s="252">
        <v>44927</v>
      </c>
      <c r="G306" s="155">
        <f>IF(F306&lt;&gt;"",'CONCEPTOS Y PARAMETROS'!$M$2-YEAR(F306),"")</f>
        <v>2</v>
      </c>
      <c r="H306" s="158">
        <v>0</v>
      </c>
      <c r="I306" s="156" t="str">
        <f>IFERROR(VLOOKUP(J306,CARGOS!A:F,2,0),"")</f>
        <v>17213</v>
      </c>
      <c r="J306" s="88" t="s">
        <v>1498</v>
      </c>
      <c r="K306" s="142" t="s">
        <v>4650</v>
      </c>
      <c r="L306" s="251">
        <v>130</v>
      </c>
    </row>
    <row r="307" spans="2:12" ht="15.75" thickBot="1">
      <c r="B307" s="254"/>
      <c r="C307" s="147">
        <f ca="1">C306</f>
        <v>271</v>
      </c>
      <c r="D307" s="1804" t="s">
        <v>4562</v>
      </c>
      <c r="E307" s="1804"/>
      <c r="F307" s="1804"/>
      <c r="G307" s="1804"/>
      <c r="H307" s="1804"/>
      <c r="I307" s="1804"/>
      <c r="J307" s="1804"/>
      <c r="K307" s="1805"/>
      <c r="L307" s="137">
        <v>58511</v>
      </c>
    </row>
    <row r="308" spans="2:12" ht="15.75" thickBot="1">
      <c r="B308" s="1813" t="s">
        <v>4563</v>
      </c>
      <c r="C308" s="1814"/>
      <c r="D308" s="1815"/>
      <c r="E308" s="224"/>
      <c r="F308" s="225"/>
      <c r="G308" s="226"/>
      <c r="H308" s="226"/>
      <c r="I308" s="126"/>
      <c r="J308" s="126"/>
      <c r="K308" s="255"/>
      <c r="L308" s="255"/>
    </row>
    <row r="309" spans="2:12" ht="15.75" thickBot="1">
      <c r="B309" s="249" t="s">
        <v>2834</v>
      </c>
      <c r="C309" s="228">
        <v>1</v>
      </c>
      <c r="D309" s="87">
        <v>5505183</v>
      </c>
      <c r="E309" s="256" t="s">
        <v>4959</v>
      </c>
      <c r="F309" s="230">
        <v>44562</v>
      </c>
      <c r="G309" s="155">
        <f>IF(F309&lt;&gt;"",'CONCEPTOS Y PARAMETROS'!$M$2-YEAR(F309),"")</f>
        <v>3</v>
      </c>
      <c r="H309" s="155">
        <v>0</v>
      </c>
      <c r="I309" s="156" t="str">
        <f>IFERROR(VLOOKUP(J309,CARGOS!A:F,2,0),"")</f>
        <v>7152</v>
      </c>
      <c r="J309" s="86" t="s">
        <v>2568</v>
      </c>
      <c r="K309" s="257">
        <v>3</v>
      </c>
      <c r="L309" s="231">
        <v>152</v>
      </c>
    </row>
    <row r="310" spans="2:12" ht="15.75" thickBot="1">
      <c r="B310" s="227" t="s">
        <v>2834</v>
      </c>
      <c r="C310" s="148">
        <f t="shared" ref="C310:C400" ca="1" si="4">OFFSET(C310,-1,0)+1</f>
        <v>2</v>
      </c>
      <c r="D310" s="87">
        <v>5757455</v>
      </c>
      <c r="E310" s="160" t="s">
        <v>4960</v>
      </c>
      <c r="F310" s="233">
        <v>39409</v>
      </c>
      <c r="G310" s="155">
        <f>IF(F310&lt;&gt;"",'CONCEPTOS Y PARAMETROS'!$M$2-YEAR(F310),"")</f>
        <v>18</v>
      </c>
      <c r="H310" s="157">
        <v>0</v>
      </c>
      <c r="I310" s="156" t="str">
        <f>IFERROR(VLOOKUP(J310,CARGOS!A:F,2,0),"")</f>
        <v>2129</v>
      </c>
      <c r="J310" s="87" t="s">
        <v>3320</v>
      </c>
      <c r="K310" s="258">
        <v>5</v>
      </c>
      <c r="L310" s="234">
        <v>171</v>
      </c>
    </row>
    <row r="311" spans="2:12" ht="15.75" thickBot="1">
      <c r="B311" s="227" t="s">
        <v>2834</v>
      </c>
      <c r="C311" s="148">
        <f t="shared" ca="1" si="4"/>
        <v>3</v>
      </c>
      <c r="D311" s="87">
        <v>5762185</v>
      </c>
      <c r="E311" s="160" t="s">
        <v>4961</v>
      </c>
      <c r="F311" s="233">
        <v>37622</v>
      </c>
      <c r="G311" s="155">
        <f>IF(F311&lt;&gt;"",'CONCEPTOS Y PARAMETROS'!$M$2-YEAR(F311),"")</f>
        <v>22</v>
      </c>
      <c r="H311" s="157">
        <v>0</v>
      </c>
      <c r="I311" s="156" t="str">
        <f>IFERROR(VLOOKUP(J311,CARGOS!A:F,2,0),"")</f>
        <v>8201</v>
      </c>
      <c r="J311" s="87" t="s">
        <v>2830</v>
      </c>
      <c r="K311" s="258">
        <v>5</v>
      </c>
      <c r="L311" s="234">
        <v>171</v>
      </c>
    </row>
    <row r="312" spans="2:12" ht="15.75" thickBot="1">
      <c r="B312" s="227" t="s">
        <v>2834</v>
      </c>
      <c r="C312" s="148">
        <f t="shared" ca="1" si="4"/>
        <v>4</v>
      </c>
      <c r="D312" s="87">
        <v>6332524</v>
      </c>
      <c r="E312" s="160" t="s">
        <v>4962</v>
      </c>
      <c r="F312" s="233">
        <v>42948</v>
      </c>
      <c r="G312" s="155">
        <f>IF(F312&lt;&gt;"",'CONCEPTOS Y PARAMETROS'!$M$2-YEAR(F312),"")</f>
        <v>8</v>
      </c>
      <c r="H312" s="157">
        <v>0</v>
      </c>
      <c r="I312" s="156" t="str">
        <f>IFERROR(VLOOKUP(J312,CARGOS!A:F,2,0),"")</f>
        <v>2129</v>
      </c>
      <c r="J312" s="87" t="s">
        <v>3320</v>
      </c>
      <c r="K312" s="258">
        <v>5</v>
      </c>
      <c r="L312" s="234">
        <v>171</v>
      </c>
    </row>
    <row r="313" spans="2:12" ht="15.75" thickBot="1">
      <c r="B313" s="227" t="s">
        <v>2834</v>
      </c>
      <c r="C313" s="148">
        <f t="shared" ca="1" si="4"/>
        <v>5</v>
      </c>
      <c r="D313" s="87">
        <v>6902701</v>
      </c>
      <c r="E313" s="160" t="s">
        <v>4963</v>
      </c>
      <c r="F313" s="233">
        <v>44228</v>
      </c>
      <c r="G313" s="155">
        <f>IF(F313&lt;&gt;"",'CONCEPTOS Y PARAMETROS'!$M$2-YEAR(F313),"")</f>
        <v>4</v>
      </c>
      <c r="H313" s="157">
        <v>0</v>
      </c>
      <c r="I313" s="156" t="str">
        <f>IFERROR(VLOOKUP(J313,CARGOS!A:F,2,0),"")</f>
        <v>7129</v>
      </c>
      <c r="J313" s="87" t="s">
        <v>2703</v>
      </c>
      <c r="K313" s="258">
        <v>2</v>
      </c>
      <c r="L313" s="234">
        <v>142</v>
      </c>
    </row>
    <row r="314" spans="2:12" ht="15.75" thickBot="1">
      <c r="B314" s="227" t="s">
        <v>2834</v>
      </c>
      <c r="C314" s="148">
        <f t="shared" ca="1" si="4"/>
        <v>6</v>
      </c>
      <c r="D314" s="87">
        <v>7252065</v>
      </c>
      <c r="E314" s="259" t="s">
        <v>4964</v>
      </c>
      <c r="F314" s="233">
        <v>43891</v>
      </c>
      <c r="G314" s="155">
        <f>IF(F314&lt;&gt;"",'CONCEPTOS Y PARAMETROS'!$M$2-YEAR(F314),"")</f>
        <v>5</v>
      </c>
      <c r="H314" s="157">
        <v>0</v>
      </c>
      <c r="I314" s="156" t="str">
        <f>IFERROR(VLOOKUP(J314,CARGOS!A:F,2,0),"")</f>
        <v>7152</v>
      </c>
      <c r="J314" s="87" t="s">
        <v>2568</v>
      </c>
      <c r="K314" s="258">
        <v>3</v>
      </c>
      <c r="L314" s="234">
        <v>152</v>
      </c>
    </row>
    <row r="315" spans="2:12" ht="15.75" thickBot="1">
      <c r="B315" s="227" t="s">
        <v>2834</v>
      </c>
      <c r="C315" s="148">
        <f t="shared" ca="1" si="4"/>
        <v>7</v>
      </c>
      <c r="D315" s="87">
        <v>7773593</v>
      </c>
      <c r="E315" s="160" t="s">
        <v>4965</v>
      </c>
      <c r="F315" s="233">
        <v>44212</v>
      </c>
      <c r="G315" s="155">
        <f>IF(F315&lt;&gt;"",'CONCEPTOS Y PARAMETROS'!$M$2-YEAR(F315),"")</f>
        <v>4</v>
      </c>
      <c r="H315" s="157">
        <v>0</v>
      </c>
      <c r="I315" s="156" t="str">
        <f>IFERROR(VLOOKUP(J315,CARGOS!A:F,2,0),"")</f>
        <v>7152</v>
      </c>
      <c r="J315" s="87" t="s">
        <v>2568</v>
      </c>
      <c r="K315" s="258">
        <v>3</v>
      </c>
      <c r="L315" s="234">
        <v>152</v>
      </c>
    </row>
    <row r="316" spans="2:12" ht="15.75" thickBot="1">
      <c r="B316" s="227" t="s">
        <v>2834</v>
      </c>
      <c r="C316" s="148">
        <f t="shared" ca="1" si="4"/>
        <v>8</v>
      </c>
      <c r="D316" s="87">
        <v>9008311</v>
      </c>
      <c r="E316" s="160" t="s">
        <v>4966</v>
      </c>
      <c r="F316" s="233">
        <v>39265</v>
      </c>
      <c r="G316" s="155">
        <f>IF(F316&lt;&gt;"",'CONCEPTOS Y PARAMETROS'!$M$2-YEAR(F316),"")</f>
        <v>18</v>
      </c>
      <c r="H316" s="157">
        <v>0</v>
      </c>
      <c r="I316" s="156" t="str">
        <f>IFERROR(VLOOKUP(J316,CARGOS!A:F,2,0),"")</f>
        <v>7152</v>
      </c>
      <c r="J316" s="87" t="s">
        <v>2568</v>
      </c>
      <c r="K316" s="258">
        <v>3</v>
      </c>
      <c r="L316" s="234">
        <v>152</v>
      </c>
    </row>
    <row r="317" spans="2:12" ht="15.75" thickBot="1">
      <c r="B317" s="227" t="s">
        <v>2834</v>
      </c>
      <c r="C317" s="148">
        <f t="shared" ca="1" si="4"/>
        <v>9</v>
      </c>
      <c r="D317" s="87">
        <v>9011963</v>
      </c>
      <c r="E317" s="160" t="s">
        <v>4967</v>
      </c>
      <c r="F317" s="233">
        <v>39820</v>
      </c>
      <c r="G317" s="155">
        <f>IF(F317&lt;&gt;"",'CONCEPTOS Y PARAMETROS'!$M$2-YEAR(F317),"")</f>
        <v>16</v>
      </c>
      <c r="H317" s="157">
        <v>0</v>
      </c>
      <c r="I317" s="156" t="str">
        <f>IFERROR(VLOOKUP(J317,CARGOS!A:F,2,0),"")</f>
        <v>7152</v>
      </c>
      <c r="J317" s="87" t="s">
        <v>2568</v>
      </c>
      <c r="K317" s="258">
        <v>3</v>
      </c>
      <c r="L317" s="234">
        <v>152</v>
      </c>
    </row>
    <row r="318" spans="2:12" ht="15.75" thickBot="1">
      <c r="B318" s="227" t="s">
        <v>2834</v>
      </c>
      <c r="C318" s="148">
        <f t="shared" ca="1" si="4"/>
        <v>10</v>
      </c>
      <c r="D318" s="87">
        <v>9100500</v>
      </c>
      <c r="E318" s="160" t="s">
        <v>4968</v>
      </c>
      <c r="F318" s="233">
        <v>39496</v>
      </c>
      <c r="G318" s="155">
        <f>IF(F318&lt;&gt;"",'CONCEPTOS Y PARAMETROS'!$M$2-YEAR(F318),"")</f>
        <v>17</v>
      </c>
      <c r="H318" s="157">
        <v>0</v>
      </c>
      <c r="I318" s="156" t="str">
        <f>IFERROR(VLOOKUP(J318,CARGOS!A:F,2,0),"")</f>
        <v>7102</v>
      </c>
      <c r="J318" s="87" t="s">
        <v>2511</v>
      </c>
      <c r="K318" s="258">
        <v>1</v>
      </c>
      <c r="L318" s="234">
        <v>130</v>
      </c>
    </row>
    <row r="319" spans="2:12" ht="15.75" thickBot="1">
      <c r="B319" s="227" t="s">
        <v>2834</v>
      </c>
      <c r="C319" s="148">
        <f t="shared" ca="1" si="4"/>
        <v>11</v>
      </c>
      <c r="D319" s="87">
        <v>9110498</v>
      </c>
      <c r="E319" s="160" t="s">
        <v>4969</v>
      </c>
      <c r="F319" s="233">
        <v>37508</v>
      </c>
      <c r="G319" s="155">
        <f>IF(F319&lt;&gt;"",'CONCEPTOS Y PARAMETROS'!$M$2-YEAR(F319),"")</f>
        <v>23</v>
      </c>
      <c r="H319" s="157">
        <v>0</v>
      </c>
      <c r="I319" s="156" t="str">
        <f>IFERROR(VLOOKUP(J319,CARGOS!A:F,2,0),"")</f>
        <v>7152</v>
      </c>
      <c r="J319" s="87" t="s">
        <v>2568</v>
      </c>
      <c r="K319" s="258">
        <v>3</v>
      </c>
      <c r="L319" s="234">
        <v>152</v>
      </c>
    </row>
    <row r="320" spans="2:12" ht="15.75" thickBot="1">
      <c r="B320" s="227" t="s">
        <v>2834</v>
      </c>
      <c r="C320" s="148">
        <f t="shared" ca="1" si="4"/>
        <v>12</v>
      </c>
      <c r="D320" s="87">
        <v>9163994</v>
      </c>
      <c r="E320" s="160" t="s">
        <v>4970</v>
      </c>
      <c r="F320" s="233">
        <v>43770</v>
      </c>
      <c r="G320" s="155">
        <f>IF(F320&lt;&gt;"",'CONCEPTOS Y PARAMETROS'!$M$2-YEAR(F320),"")</f>
        <v>6</v>
      </c>
      <c r="H320" s="157">
        <v>0</v>
      </c>
      <c r="I320" s="156" t="str">
        <f>IFERROR(VLOOKUP(J320,CARGOS!A:F,2,0),"")</f>
        <v>7201</v>
      </c>
      <c r="J320" s="87" t="s">
        <v>2540</v>
      </c>
      <c r="K320" s="258">
        <v>5</v>
      </c>
      <c r="L320" s="234">
        <v>171</v>
      </c>
    </row>
    <row r="321" spans="2:12" ht="15.75" thickBot="1">
      <c r="B321" s="227" t="s">
        <v>2834</v>
      </c>
      <c r="C321" s="148">
        <f t="shared" ca="1" si="4"/>
        <v>13</v>
      </c>
      <c r="D321" s="87">
        <v>9167342</v>
      </c>
      <c r="E321" s="160" t="s">
        <v>4971</v>
      </c>
      <c r="F321" s="233">
        <v>43845</v>
      </c>
      <c r="G321" s="155">
        <f>IF(F321&lt;&gt;"",'CONCEPTOS Y PARAMETROS'!$M$2-YEAR(F321),"")</f>
        <v>5</v>
      </c>
      <c r="H321" s="157">
        <v>0</v>
      </c>
      <c r="I321" s="156" t="str">
        <f>IFERROR(VLOOKUP(J321,CARGOS!A:F,2,0),"")</f>
        <v>1151</v>
      </c>
      <c r="J321" s="87" t="s">
        <v>2536</v>
      </c>
      <c r="K321" s="258">
        <v>3</v>
      </c>
      <c r="L321" s="234">
        <v>152</v>
      </c>
    </row>
    <row r="322" spans="2:12" ht="15.75" thickBot="1">
      <c r="B322" s="227" t="s">
        <v>2834</v>
      </c>
      <c r="C322" s="148">
        <f t="shared" ca="1" si="4"/>
        <v>14</v>
      </c>
      <c r="D322" s="87">
        <v>10178456</v>
      </c>
      <c r="E322" s="160" t="s">
        <v>4972</v>
      </c>
      <c r="F322" s="233">
        <v>44287</v>
      </c>
      <c r="G322" s="155">
        <f>IF(F322&lt;&gt;"",'CONCEPTOS Y PARAMETROS'!$M$2-YEAR(F322),"")</f>
        <v>4</v>
      </c>
      <c r="H322" s="157">
        <v>0</v>
      </c>
      <c r="I322" s="156" t="str">
        <f>IFERROR(VLOOKUP(J322,CARGOS!A:F,2,0),"")</f>
        <v>7102</v>
      </c>
      <c r="J322" s="87" t="s">
        <v>2511</v>
      </c>
      <c r="K322" s="258">
        <v>1</v>
      </c>
      <c r="L322" s="234">
        <v>130</v>
      </c>
    </row>
    <row r="323" spans="2:12" ht="15.75" thickBot="1">
      <c r="B323" s="227" t="s">
        <v>2834</v>
      </c>
      <c r="C323" s="148">
        <f t="shared" ca="1" si="4"/>
        <v>15</v>
      </c>
      <c r="D323" s="87">
        <v>9310477</v>
      </c>
      <c r="E323" s="160" t="s">
        <v>4973</v>
      </c>
      <c r="F323" s="233">
        <v>44075</v>
      </c>
      <c r="G323" s="155">
        <f>IF(F323&lt;&gt;"",'CONCEPTOS Y PARAMETROS'!$M$2-YEAR(F323),"")</f>
        <v>5</v>
      </c>
      <c r="H323" s="157">
        <v>0</v>
      </c>
      <c r="I323" s="156" t="str">
        <f>IFERROR(VLOOKUP(J323,CARGOS!A:F,2,0),"")</f>
        <v>1151</v>
      </c>
      <c r="J323" s="87" t="s">
        <v>2536</v>
      </c>
      <c r="K323" s="258">
        <v>3</v>
      </c>
      <c r="L323" s="234">
        <v>152</v>
      </c>
    </row>
    <row r="324" spans="2:12" ht="15.75" thickBot="1">
      <c r="B324" s="227" t="s">
        <v>2834</v>
      </c>
      <c r="C324" s="148">
        <f t="shared" ca="1" si="4"/>
        <v>16</v>
      </c>
      <c r="D324" s="87">
        <v>9323739</v>
      </c>
      <c r="E324" s="160" t="s">
        <v>4974</v>
      </c>
      <c r="F324" s="233">
        <v>39300</v>
      </c>
      <c r="G324" s="155">
        <f>IF(F324&lt;&gt;"",'CONCEPTOS Y PARAMETROS'!$M$2-YEAR(F324),"")</f>
        <v>18</v>
      </c>
      <c r="H324" s="157">
        <v>0</v>
      </c>
      <c r="I324" s="156" t="str">
        <f>IFERROR(VLOOKUP(J324,CARGOS!A:F,2,0),"")</f>
        <v>7152</v>
      </c>
      <c r="J324" s="87" t="s">
        <v>2568</v>
      </c>
      <c r="K324" s="258">
        <v>3</v>
      </c>
      <c r="L324" s="234">
        <v>152</v>
      </c>
    </row>
    <row r="325" spans="2:12" ht="15.75" thickBot="1">
      <c r="B325" s="227" t="s">
        <v>2834</v>
      </c>
      <c r="C325" s="148">
        <f t="shared" ca="1" si="4"/>
        <v>17</v>
      </c>
      <c r="D325" s="87">
        <v>9325664</v>
      </c>
      <c r="E325" s="160" t="s">
        <v>4975</v>
      </c>
      <c r="F325" s="233">
        <v>42948</v>
      </c>
      <c r="G325" s="155">
        <f>IF(F325&lt;&gt;"",'CONCEPTOS Y PARAMETROS'!$M$2-YEAR(F325),"")</f>
        <v>8</v>
      </c>
      <c r="H325" s="157">
        <v>0</v>
      </c>
      <c r="I325" s="156" t="str">
        <f>IFERROR(VLOOKUP(J325,CARGOS!A:F,2,0),"")</f>
        <v>7152</v>
      </c>
      <c r="J325" s="87" t="s">
        <v>2568</v>
      </c>
      <c r="K325" s="258">
        <v>3</v>
      </c>
      <c r="L325" s="234">
        <v>152</v>
      </c>
    </row>
    <row r="326" spans="2:12" ht="15.75" thickBot="1">
      <c r="B326" s="227" t="s">
        <v>2834</v>
      </c>
      <c r="C326" s="148">
        <f t="shared" ca="1" si="4"/>
        <v>18</v>
      </c>
      <c r="D326" s="87">
        <v>9328045</v>
      </c>
      <c r="E326" s="160" t="s">
        <v>4976</v>
      </c>
      <c r="F326" s="233">
        <v>44212</v>
      </c>
      <c r="G326" s="155">
        <f>IF(F326&lt;&gt;"",'CONCEPTOS Y PARAMETROS'!$M$2-YEAR(F326),"")</f>
        <v>4</v>
      </c>
      <c r="H326" s="157">
        <v>0</v>
      </c>
      <c r="I326" s="156" t="str">
        <f>IFERROR(VLOOKUP(J326,CARGOS!A:F,2,0),"")</f>
        <v>7152</v>
      </c>
      <c r="J326" s="87" t="s">
        <v>2568</v>
      </c>
      <c r="K326" s="258">
        <v>3</v>
      </c>
      <c r="L326" s="234">
        <v>152</v>
      </c>
    </row>
    <row r="327" spans="2:12" ht="15.75" thickBot="1">
      <c r="B327" s="227" t="s">
        <v>2834</v>
      </c>
      <c r="C327" s="148">
        <f t="shared" ca="1" si="4"/>
        <v>19</v>
      </c>
      <c r="D327" s="87">
        <v>10317435</v>
      </c>
      <c r="E327" s="160" t="s">
        <v>4977</v>
      </c>
      <c r="F327" s="233">
        <v>39559</v>
      </c>
      <c r="G327" s="155">
        <f>IF(F327&lt;&gt;"",'CONCEPTOS Y PARAMETROS'!$M$2-YEAR(F327),"")</f>
        <v>17</v>
      </c>
      <c r="H327" s="157">
        <v>0</v>
      </c>
      <c r="I327" s="156" t="str">
        <f>IFERROR(VLOOKUP(J327,CARGOS!A:F,2,0),"")</f>
        <v>7102</v>
      </c>
      <c r="J327" s="87" t="s">
        <v>2511</v>
      </c>
      <c r="K327" s="258">
        <v>1</v>
      </c>
      <c r="L327" s="234">
        <v>130</v>
      </c>
    </row>
    <row r="328" spans="2:12" ht="15.75" thickBot="1">
      <c r="B328" s="227" t="s">
        <v>2834</v>
      </c>
      <c r="C328" s="148">
        <f t="shared" ca="1" si="4"/>
        <v>20</v>
      </c>
      <c r="D328" s="87">
        <v>10396367</v>
      </c>
      <c r="E328" s="160" t="s">
        <v>4978</v>
      </c>
      <c r="F328" s="233">
        <v>39722</v>
      </c>
      <c r="G328" s="155">
        <f>IF(F328&lt;&gt;"",'CONCEPTOS Y PARAMETROS'!$M$2-YEAR(F328),"")</f>
        <v>17</v>
      </c>
      <c r="H328" s="157">
        <v>0</v>
      </c>
      <c r="I328" s="156" t="str">
        <f>IFERROR(VLOOKUP(J328,CARGOS!A:F,2,0),"")</f>
        <v>2129</v>
      </c>
      <c r="J328" s="87" t="s">
        <v>3320</v>
      </c>
      <c r="K328" s="258">
        <v>5</v>
      </c>
      <c r="L328" s="234">
        <v>171</v>
      </c>
    </row>
    <row r="329" spans="2:12" ht="15.75" thickBot="1">
      <c r="B329" s="227" t="s">
        <v>2834</v>
      </c>
      <c r="C329" s="148">
        <f t="shared" ca="1" si="4"/>
        <v>21</v>
      </c>
      <c r="D329" s="87">
        <v>10401329</v>
      </c>
      <c r="E329" s="160" t="s">
        <v>4979</v>
      </c>
      <c r="F329" s="233">
        <v>39539</v>
      </c>
      <c r="G329" s="155">
        <f>IF(F329&lt;&gt;"",'CONCEPTOS Y PARAMETROS'!$M$2-YEAR(F329),"")</f>
        <v>17</v>
      </c>
      <c r="H329" s="157">
        <v>0</v>
      </c>
      <c r="I329" s="156" t="str">
        <f>IFERROR(VLOOKUP(J329,CARGOS!A:F,2,0),"")</f>
        <v>7206</v>
      </c>
      <c r="J329" s="87" t="s">
        <v>2623</v>
      </c>
      <c r="K329" s="258">
        <v>5</v>
      </c>
      <c r="L329" s="234">
        <v>171</v>
      </c>
    </row>
    <row r="330" spans="2:12" ht="15.75" thickBot="1">
      <c r="B330" s="227" t="s">
        <v>2834</v>
      </c>
      <c r="C330" s="148">
        <f t="shared" ca="1" si="4"/>
        <v>22</v>
      </c>
      <c r="D330" s="87">
        <v>10403834</v>
      </c>
      <c r="E330" s="160" t="s">
        <v>4980</v>
      </c>
      <c r="F330" s="233">
        <v>44348</v>
      </c>
      <c r="G330" s="155">
        <f>IF(F330&lt;&gt;"",'CONCEPTOS Y PARAMETROS'!$M$2-YEAR(F330),"")</f>
        <v>4</v>
      </c>
      <c r="H330" s="157">
        <v>0</v>
      </c>
      <c r="I330" s="156" t="str">
        <f>IFERROR(VLOOKUP(J330,CARGOS!A:F,2,0),"")</f>
        <v>2129</v>
      </c>
      <c r="J330" s="87" t="s">
        <v>3320</v>
      </c>
      <c r="K330" s="258">
        <v>5</v>
      </c>
      <c r="L330" s="234">
        <v>171</v>
      </c>
    </row>
    <row r="331" spans="2:12" ht="15.75" thickBot="1">
      <c r="B331" s="227" t="s">
        <v>2834</v>
      </c>
      <c r="C331" s="148">
        <f t="shared" ca="1" si="4"/>
        <v>23</v>
      </c>
      <c r="D331" s="87">
        <v>10906517</v>
      </c>
      <c r="E331" s="160" t="s">
        <v>4981</v>
      </c>
      <c r="F331" s="233">
        <v>41276</v>
      </c>
      <c r="G331" s="155">
        <f>IF(F331&lt;&gt;"",'CONCEPTOS Y PARAMETROS'!$M$2-YEAR(F331),"")</f>
        <v>12</v>
      </c>
      <c r="H331" s="157">
        <v>0</v>
      </c>
      <c r="I331" s="156" t="str">
        <f>IFERROR(VLOOKUP(J331,CARGOS!A:F,2,0),"")</f>
        <v>7174</v>
      </c>
      <c r="J331" s="87" t="s">
        <v>2619</v>
      </c>
      <c r="K331" s="258">
        <v>4</v>
      </c>
      <c r="L331" s="234">
        <v>161</v>
      </c>
    </row>
    <row r="332" spans="2:12" ht="15.75" thickBot="1">
      <c r="B332" s="227" t="s">
        <v>2834</v>
      </c>
      <c r="C332" s="148">
        <f t="shared" ca="1" si="4"/>
        <v>24</v>
      </c>
      <c r="D332" s="87">
        <v>10907687</v>
      </c>
      <c r="E332" s="160" t="s">
        <v>4982</v>
      </c>
      <c r="F332" s="233">
        <v>38749</v>
      </c>
      <c r="G332" s="155">
        <f>IF(F332&lt;&gt;"",'CONCEPTOS Y PARAMETROS'!$M$2-YEAR(F332),"")</f>
        <v>19</v>
      </c>
      <c r="H332" s="157">
        <v>0</v>
      </c>
      <c r="I332" s="156" t="str">
        <f>IFERROR(VLOOKUP(J332,CARGOS!A:F,2,0),"")</f>
        <v>2129</v>
      </c>
      <c r="J332" s="87" t="s">
        <v>3320</v>
      </c>
      <c r="K332" s="258">
        <v>5</v>
      </c>
      <c r="L332" s="234">
        <v>171</v>
      </c>
    </row>
    <row r="333" spans="2:12" ht="15.75" thickBot="1">
      <c r="B333" s="227" t="s">
        <v>2834</v>
      </c>
      <c r="C333" s="148">
        <f t="shared" ca="1" si="4"/>
        <v>25</v>
      </c>
      <c r="D333" s="87">
        <v>10908543</v>
      </c>
      <c r="E333" s="160" t="s">
        <v>4983</v>
      </c>
      <c r="F333" s="233">
        <v>42751</v>
      </c>
      <c r="G333" s="155">
        <f>IF(F333&lt;&gt;"",'CONCEPTOS Y PARAMETROS'!$M$2-YEAR(F333),"")</f>
        <v>8</v>
      </c>
      <c r="H333" s="157">
        <v>0</v>
      </c>
      <c r="I333" s="156" t="str">
        <f>IFERROR(VLOOKUP(J333,CARGOS!A:F,2,0),"")</f>
        <v>2129</v>
      </c>
      <c r="J333" s="87" t="s">
        <v>3320</v>
      </c>
      <c r="K333" s="258">
        <v>5</v>
      </c>
      <c r="L333" s="234">
        <v>171</v>
      </c>
    </row>
    <row r="334" spans="2:12" ht="15.75" thickBot="1">
      <c r="B334" s="227" t="s">
        <v>2834</v>
      </c>
      <c r="C334" s="148">
        <f t="shared" ca="1" si="4"/>
        <v>26</v>
      </c>
      <c r="D334" s="87">
        <v>10909678</v>
      </c>
      <c r="E334" s="160" t="s">
        <v>4984</v>
      </c>
      <c r="F334" s="233">
        <v>43952</v>
      </c>
      <c r="G334" s="155">
        <f>IF(F334&lt;&gt;"",'CONCEPTOS Y PARAMETROS'!$M$2-YEAR(F334),"")</f>
        <v>5</v>
      </c>
      <c r="H334" s="157">
        <v>0</v>
      </c>
      <c r="I334" s="156" t="str">
        <f>IFERROR(VLOOKUP(J334,CARGOS!A:F,2,0),"")</f>
        <v>7102</v>
      </c>
      <c r="J334" s="87" t="s">
        <v>2511</v>
      </c>
      <c r="K334" s="258">
        <v>1</v>
      </c>
      <c r="L334" s="234">
        <v>130</v>
      </c>
    </row>
    <row r="335" spans="2:12" ht="15.75" thickBot="1">
      <c r="B335" s="227" t="s">
        <v>2834</v>
      </c>
      <c r="C335" s="148">
        <f t="shared" ca="1" si="4"/>
        <v>27</v>
      </c>
      <c r="D335" s="87">
        <v>10909819</v>
      </c>
      <c r="E335" s="160" t="s">
        <v>4985</v>
      </c>
      <c r="F335" s="233">
        <v>43359</v>
      </c>
      <c r="G335" s="155">
        <f>IF(F335&lt;&gt;"",'CONCEPTOS Y PARAMETROS'!$M$2-YEAR(F335),"")</f>
        <v>7</v>
      </c>
      <c r="H335" s="157">
        <v>0</v>
      </c>
      <c r="I335" s="156" t="str">
        <f>IFERROR(VLOOKUP(J335,CARGOS!A:F,2,0),"")</f>
        <v>2129</v>
      </c>
      <c r="J335" s="87" t="s">
        <v>3320</v>
      </c>
      <c r="K335" s="258">
        <v>5</v>
      </c>
      <c r="L335" s="234">
        <v>171</v>
      </c>
    </row>
    <row r="336" spans="2:12" ht="15.75" thickBot="1">
      <c r="B336" s="227" t="s">
        <v>2834</v>
      </c>
      <c r="C336" s="148">
        <f t="shared" ca="1" si="4"/>
        <v>28</v>
      </c>
      <c r="D336" s="87">
        <v>10912635</v>
      </c>
      <c r="E336" s="160" t="s">
        <v>4986</v>
      </c>
      <c r="F336" s="233">
        <v>44348</v>
      </c>
      <c r="G336" s="155">
        <f>IF(F336&lt;&gt;"",'CONCEPTOS Y PARAMETROS'!$M$2-YEAR(F336),"")</f>
        <v>4</v>
      </c>
      <c r="H336" s="157">
        <v>0</v>
      </c>
      <c r="I336" s="156" t="str">
        <f>IFERROR(VLOOKUP(J336,CARGOS!A:F,2,0),"")</f>
        <v>1151</v>
      </c>
      <c r="J336" s="87" t="s">
        <v>2536</v>
      </c>
      <c r="K336" s="258">
        <v>3</v>
      </c>
      <c r="L336" s="234">
        <v>152</v>
      </c>
    </row>
    <row r="337" spans="2:12" ht="15.75" thickBot="1">
      <c r="B337" s="227" t="s">
        <v>2834</v>
      </c>
      <c r="C337" s="148">
        <f t="shared" ca="1" si="4"/>
        <v>29</v>
      </c>
      <c r="D337" s="87">
        <v>10915274</v>
      </c>
      <c r="E337" s="160" t="s">
        <v>4987</v>
      </c>
      <c r="F337" s="233">
        <v>44635</v>
      </c>
      <c r="G337" s="155">
        <f>IF(F337&lt;&gt;"",'CONCEPTOS Y PARAMETROS'!$M$2-YEAR(F337),"")</f>
        <v>3</v>
      </c>
      <c r="H337" s="157">
        <v>0</v>
      </c>
      <c r="I337" s="156" t="str">
        <f>IFERROR(VLOOKUP(J337,CARGOS!A:F,2,0),"")</f>
        <v>7152</v>
      </c>
      <c r="J337" s="87" t="s">
        <v>2568</v>
      </c>
      <c r="K337" s="258">
        <v>3</v>
      </c>
      <c r="L337" s="234">
        <v>152</v>
      </c>
    </row>
    <row r="338" spans="2:12" ht="15.75" thickBot="1">
      <c r="B338" s="227" t="s">
        <v>2834</v>
      </c>
      <c r="C338" s="148">
        <f t="shared" ca="1" si="4"/>
        <v>30</v>
      </c>
      <c r="D338" s="87">
        <v>11129355</v>
      </c>
      <c r="E338" s="160" t="s">
        <v>4988</v>
      </c>
      <c r="F338" s="233">
        <v>39539</v>
      </c>
      <c r="G338" s="155">
        <f>IF(F338&lt;&gt;"",'CONCEPTOS Y PARAMETROS'!$M$2-YEAR(F338),"")</f>
        <v>17</v>
      </c>
      <c r="H338" s="157">
        <v>0</v>
      </c>
      <c r="I338" s="156" t="str">
        <f>IFERROR(VLOOKUP(J338,CARGOS!A:F,2,0),"")</f>
        <v>7152</v>
      </c>
      <c r="J338" s="87" t="s">
        <v>2568</v>
      </c>
      <c r="K338" s="258">
        <v>3</v>
      </c>
      <c r="L338" s="234">
        <v>152</v>
      </c>
    </row>
    <row r="339" spans="2:12" ht="15.75" thickBot="1">
      <c r="B339" s="227" t="s">
        <v>2834</v>
      </c>
      <c r="C339" s="148">
        <f t="shared" ca="1" si="4"/>
        <v>31</v>
      </c>
      <c r="D339" s="87">
        <v>11315202</v>
      </c>
      <c r="E339" s="160" t="s">
        <v>4989</v>
      </c>
      <c r="F339" s="233">
        <v>39539</v>
      </c>
      <c r="G339" s="155">
        <f>IF(F339&lt;&gt;"",'CONCEPTOS Y PARAMETROS'!$M$2-YEAR(F339),"")</f>
        <v>17</v>
      </c>
      <c r="H339" s="157">
        <v>0</v>
      </c>
      <c r="I339" s="156" t="str">
        <f>IFERROR(VLOOKUP(J339,CARGOS!A:F,2,0),"")</f>
        <v>2129</v>
      </c>
      <c r="J339" s="87" t="s">
        <v>3320</v>
      </c>
      <c r="K339" s="258">
        <v>5</v>
      </c>
      <c r="L339" s="234">
        <v>171</v>
      </c>
    </row>
    <row r="340" spans="2:12" ht="15.75" thickBot="1">
      <c r="B340" s="227" t="s">
        <v>2834</v>
      </c>
      <c r="C340" s="148">
        <f t="shared" ca="1" si="4"/>
        <v>32</v>
      </c>
      <c r="D340" s="87">
        <v>11321681</v>
      </c>
      <c r="E340" s="160" t="s">
        <v>4990</v>
      </c>
      <c r="F340" s="233">
        <v>44805</v>
      </c>
      <c r="G340" s="155">
        <f>IF(F340&lt;&gt;"",'CONCEPTOS Y PARAMETROS'!$M$2-YEAR(F340),"")</f>
        <v>3</v>
      </c>
      <c r="H340" s="157">
        <v>0</v>
      </c>
      <c r="I340" s="156" t="str">
        <f>IFERROR(VLOOKUP(J340,CARGOS!A:F,2,0),"")</f>
        <v>7152</v>
      </c>
      <c r="J340" s="87" t="s">
        <v>2568</v>
      </c>
      <c r="K340" s="258">
        <v>3</v>
      </c>
      <c r="L340" s="234">
        <v>152</v>
      </c>
    </row>
    <row r="341" spans="2:12" ht="15.75" thickBot="1">
      <c r="B341" s="227" t="s">
        <v>2834</v>
      </c>
      <c r="C341" s="148">
        <f t="shared" ca="1" si="4"/>
        <v>33</v>
      </c>
      <c r="D341" s="87">
        <v>11321782</v>
      </c>
      <c r="E341" s="160" t="s">
        <v>4991</v>
      </c>
      <c r="F341" s="233">
        <v>43815</v>
      </c>
      <c r="G341" s="155">
        <f>IF(F341&lt;&gt;"",'CONCEPTOS Y PARAMETROS'!$M$2-YEAR(F341),"")</f>
        <v>6</v>
      </c>
      <c r="H341" s="157">
        <v>0</v>
      </c>
      <c r="I341" s="156" t="str">
        <f>IFERROR(VLOOKUP(J341,CARGOS!A:F,2,0),"")</f>
        <v>2129</v>
      </c>
      <c r="J341" s="87" t="s">
        <v>3320</v>
      </c>
      <c r="K341" s="258">
        <v>5</v>
      </c>
      <c r="L341" s="234">
        <v>171</v>
      </c>
    </row>
    <row r="342" spans="2:12" ht="15.75" thickBot="1">
      <c r="B342" s="227" t="s">
        <v>2834</v>
      </c>
      <c r="C342" s="148">
        <f t="shared" ca="1" si="4"/>
        <v>34</v>
      </c>
      <c r="D342" s="87">
        <v>11324931</v>
      </c>
      <c r="E342" s="160" t="s">
        <v>4992</v>
      </c>
      <c r="F342" s="233">
        <v>38784</v>
      </c>
      <c r="G342" s="155">
        <f>IF(F342&lt;&gt;"",'CONCEPTOS Y PARAMETROS'!$M$2-YEAR(F342),"")</f>
        <v>19</v>
      </c>
      <c r="H342" s="157">
        <v>0</v>
      </c>
      <c r="I342" s="156" t="str">
        <f>IFERROR(VLOOKUP(J342,CARGOS!A:F,2,0),"")</f>
        <v>2129</v>
      </c>
      <c r="J342" s="87" t="s">
        <v>3320</v>
      </c>
      <c r="K342" s="258">
        <v>5</v>
      </c>
      <c r="L342" s="234">
        <v>171</v>
      </c>
    </row>
    <row r="343" spans="2:12" ht="15.75" thickBot="1">
      <c r="B343" s="227" t="s">
        <v>2834</v>
      </c>
      <c r="C343" s="148">
        <f t="shared" ca="1" si="4"/>
        <v>35</v>
      </c>
      <c r="D343" s="87">
        <v>11894400</v>
      </c>
      <c r="E343" s="160" t="s">
        <v>4993</v>
      </c>
      <c r="F343" s="233">
        <v>44287</v>
      </c>
      <c r="G343" s="155">
        <f>IF(F343&lt;&gt;"",'CONCEPTOS Y PARAMETROS'!$M$2-YEAR(F343),"")</f>
        <v>4</v>
      </c>
      <c r="H343" s="157">
        <v>0</v>
      </c>
      <c r="I343" s="156" t="str">
        <f>IFERROR(VLOOKUP(J343,CARGOS!A:F,2,0),"")</f>
        <v>2129</v>
      </c>
      <c r="J343" s="87" t="s">
        <v>3320</v>
      </c>
      <c r="K343" s="258">
        <v>5</v>
      </c>
      <c r="L343" s="234">
        <v>171</v>
      </c>
    </row>
    <row r="344" spans="2:12" ht="15.75" thickBot="1">
      <c r="B344" s="227" t="s">
        <v>2834</v>
      </c>
      <c r="C344" s="148">
        <f t="shared" ca="1" si="4"/>
        <v>36</v>
      </c>
      <c r="D344" s="87">
        <v>11897863</v>
      </c>
      <c r="E344" s="259" t="s">
        <v>4994</v>
      </c>
      <c r="F344" s="233">
        <v>41548</v>
      </c>
      <c r="G344" s="155">
        <f>IF(F344&lt;&gt;"",'CONCEPTOS Y PARAMETROS'!$M$2-YEAR(F344),"")</f>
        <v>12</v>
      </c>
      <c r="H344" s="157">
        <v>0</v>
      </c>
      <c r="I344" s="156" t="str">
        <f>IFERROR(VLOOKUP(J344,CARGOS!A:F,2,0),"")</f>
        <v>7102</v>
      </c>
      <c r="J344" s="87" t="s">
        <v>2511</v>
      </c>
      <c r="K344" s="258">
        <v>1</v>
      </c>
      <c r="L344" s="234">
        <v>130</v>
      </c>
    </row>
    <row r="345" spans="2:12" ht="15.75" thickBot="1">
      <c r="B345" s="227" t="s">
        <v>2834</v>
      </c>
      <c r="C345" s="148">
        <f t="shared" ca="1" si="4"/>
        <v>37</v>
      </c>
      <c r="D345" s="87">
        <v>12038359</v>
      </c>
      <c r="E345" s="160" t="s">
        <v>4995</v>
      </c>
      <c r="F345" s="233">
        <v>38103</v>
      </c>
      <c r="G345" s="155">
        <f>IF(F345&lt;&gt;"",'CONCEPTOS Y PARAMETROS'!$M$2-YEAR(F345),"")</f>
        <v>21</v>
      </c>
      <c r="H345" s="157">
        <v>0</v>
      </c>
      <c r="I345" s="156" t="str">
        <f>IFERROR(VLOOKUP(J345,CARGOS!A:F,2,0),"")</f>
        <v>2129</v>
      </c>
      <c r="J345" s="87" t="s">
        <v>3320</v>
      </c>
      <c r="K345" s="258">
        <v>5</v>
      </c>
      <c r="L345" s="234">
        <v>171</v>
      </c>
    </row>
    <row r="346" spans="2:12" ht="15.75" thickBot="1">
      <c r="B346" s="227" t="s">
        <v>2834</v>
      </c>
      <c r="C346" s="148">
        <f t="shared" ca="1" si="4"/>
        <v>38</v>
      </c>
      <c r="D346" s="87">
        <v>12043135</v>
      </c>
      <c r="E346" s="160" t="s">
        <v>4996</v>
      </c>
      <c r="F346" s="233">
        <v>43724</v>
      </c>
      <c r="G346" s="155">
        <f>IF(F346&lt;&gt;"",'CONCEPTOS Y PARAMETROS'!$M$2-YEAR(F346),"")</f>
        <v>6</v>
      </c>
      <c r="H346" s="157">
        <v>0</v>
      </c>
      <c r="I346" s="156" t="str">
        <f>IFERROR(VLOOKUP(J346,CARGOS!A:F,2,0),"")</f>
        <v>2129</v>
      </c>
      <c r="J346" s="87" t="s">
        <v>3320</v>
      </c>
      <c r="K346" s="258">
        <v>5</v>
      </c>
      <c r="L346" s="234">
        <v>171</v>
      </c>
    </row>
    <row r="347" spans="2:12" ht="15.75" thickBot="1">
      <c r="B347" s="227" t="s">
        <v>2834</v>
      </c>
      <c r="C347" s="148">
        <f t="shared" ca="1" si="4"/>
        <v>39</v>
      </c>
      <c r="D347" s="87">
        <v>12044124</v>
      </c>
      <c r="E347" s="160" t="s">
        <v>4997</v>
      </c>
      <c r="F347" s="233">
        <v>39539</v>
      </c>
      <c r="G347" s="155">
        <f>IF(F347&lt;&gt;"",'CONCEPTOS Y PARAMETROS'!$M$2-YEAR(F347),"")</f>
        <v>17</v>
      </c>
      <c r="H347" s="157">
        <v>0</v>
      </c>
      <c r="I347" s="156" t="str">
        <f>IFERROR(VLOOKUP(J347,CARGOS!A:F,2,0),"")</f>
        <v>7152</v>
      </c>
      <c r="J347" s="87" t="s">
        <v>2568</v>
      </c>
      <c r="K347" s="258">
        <v>3</v>
      </c>
      <c r="L347" s="234">
        <v>152</v>
      </c>
    </row>
    <row r="348" spans="2:12" ht="15.75" thickBot="1">
      <c r="B348" s="227" t="s">
        <v>2834</v>
      </c>
      <c r="C348" s="148">
        <f t="shared" ca="1" si="4"/>
        <v>40</v>
      </c>
      <c r="D348" s="87">
        <v>12044754</v>
      </c>
      <c r="E348" s="160" t="s">
        <v>4998</v>
      </c>
      <c r="F348" s="233">
        <v>43481</v>
      </c>
      <c r="G348" s="155">
        <f>IF(F348&lt;&gt;"",'CONCEPTOS Y PARAMETROS'!$M$2-YEAR(F348),"")</f>
        <v>6</v>
      </c>
      <c r="H348" s="157">
        <v>0</v>
      </c>
      <c r="I348" s="156" t="str">
        <f>IFERROR(VLOOKUP(J348,CARGOS!A:F,2,0),"")</f>
        <v>7152</v>
      </c>
      <c r="J348" s="87" t="s">
        <v>2568</v>
      </c>
      <c r="K348" s="258">
        <v>3</v>
      </c>
      <c r="L348" s="234">
        <v>152</v>
      </c>
    </row>
    <row r="349" spans="2:12" ht="15.75" thickBot="1">
      <c r="B349" s="227" t="s">
        <v>2834</v>
      </c>
      <c r="C349" s="148">
        <f t="shared" ca="1" si="4"/>
        <v>41</v>
      </c>
      <c r="D349" s="87">
        <v>12046834</v>
      </c>
      <c r="E349" s="160" t="s">
        <v>4999</v>
      </c>
      <c r="F349" s="233">
        <v>43313</v>
      </c>
      <c r="G349" s="155">
        <f>IF(F349&lt;&gt;"",'CONCEPTOS Y PARAMETROS'!$M$2-YEAR(F349),"")</f>
        <v>7</v>
      </c>
      <c r="H349" s="157">
        <v>0</v>
      </c>
      <c r="I349" s="156" t="str">
        <f>IFERROR(VLOOKUP(J349,CARGOS!A:F,2,0),"")</f>
        <v>2129</v>
      </c>
      <c r="J349" s="87" t="s">
        <v>3320</v>
      </c>
      <c r="K349" s="258">
        <v>5</v>
      </c>
      <c r="L349" s="234">
        <v>171</v>
      </c>
    </row>
    <row r="350" spans="2:12" ht="15.75" thickBot="1">
      <c r="B350" s="227" t="s">
        <v>2834</v>
      </c>
      <c r="C350" s="148">
        <f t="shared" ca="1" si="4"/>
        <v>42</v>
      </c>
      <c r="D350" s="87">
        <v>12047016</v>
      </c>
      <c r="E350" s="160" t="s">
        <v>5000</v>
      </c>
      <c r="F350" s="233">
        <v>42948</v>
      </c>
      <c r="G350" s="155">
        <f>IF(F350&lt;&gt;"",'CONCEPTOS Y PARAMETROS'!$M$2-YEAR(F350),"")</f>
        <v>8</v>
      </c>
      <c r="H350" s="157">
        <v>0</v>
      </c>
      <c r="I350" s="156" t="str">
        <f>IFERROR(VLOOKUP(J350,CARGOS!A:F,2,0),"")</f>
        <v>2129</v>
      </c>
      <c r="J350" s="87" t="s">
        <v>3320</v>
      </c>
      <c r="K350" s="258">
        <v>5</v>
      </c>
      <c r="L350" s="234">
        <v>171</v>
      </c>
    </row>
    <row r="351" spans="2:12" ht="15.75" thickBot="1">
      <c r="B351" s="227" t="s">
        <v>2834</v>
      </c>
      <c r="C351" s="148">
        <f t="shared" ca="1" si="4"/>
        <v>43</v>
      </c>
      <c r="D351" s="87">
        <v>12457325</v>
      </c>
      <c r="E351" s="160" t="s">
        <v>5001</v>
      </c>
      <c r="F351" s="233">
        <v>42948</v>
      </c>
      <c r="G351" s="155">
        <f>IF(F351&lt;&gt;"",'CONCEPTOS Y PARAMETROS'!$M$2-YEAR(F351),"")</f>
        <v>8</v>
      </c>
      <c r="H351" s="157">
        <v>0</v>
      </c>
      <c r="I351" s="156" t="str">
        <f>IFERROR(VLOOKUP(J351,CARGOS!A:F,2,0),"")</f>
        <v>7152</v>
      </c>
      <c r="J351" s="87" t="s">
        <v>2568</v>
      </c>
      <c r="K351" s="258">
        <v>3</v>
      </c>
      <c r="L351" s="234">
        <v>152</v>
      </c>
    </row>
    <row r="352" spans="2:12" ht="15.75" thickBot="1">
      <c r="B352" s="227" t="s">
        <v>2834</v>
      </c>
      <c r="C352" s="148">
        <f t="shared" ca="1" si="4"/>
        <v>44</v>
      </c>
      <c r="D352" s="87">
        <v>12797543</v>
      </c>
      <c r="E352" s="160" t="s">
        <v>5002</v>
      </c>
      <c r="F352" s="233">
        <v>42948</v>
      </c>
      <c r="G352" s="155">
        <f>IF(F352&lt;&gt;"",'CONCEPTOS Y PARAMETROS'!$M$2-YEAR(F352),"")</f>
        <v>8</v>
      </c>
      <c r="H352" s="157">
        <v>0</v>
      </c>
      <c r="I352" s="156" t="str">
        <f>IFERROR(VLOOKUP(J352,CARGOS!A:F,2,0),"")</f>
        <v>7152</v>
      </c>
      <c r="J352" s="87" t="s">
        <v>2568</v>
      </c>
      <c r="K352" s="258">
        <v>3</v>
      </c>
      <c r="L352" s="234">
        <v>152</v>
      </c>
    </row>
    <row r="353" spans="2:12" ht="15.75" thickBot="1">
      <c r="B353" s="227" t="s">
        <v>2834</v>
      </c>
      <c r="C353" s="148">
        <f t="shared" ca="1" si="4"/>
        <v>45</v>
      </c>
      <c r="D353" s="87">
        <v>12797598</v>
      </c>
      <c r="E353" s="160" t="s">
        <v>5003</v>
      </c>
      <c r="F353" s="233">
        <v>44635</v>
      </c>
      <c r="G353" s="155">
        <f>IF(F353&lt;&gt;"",'CONCEPTOS Y PARAMETROS'!$M$2-YEAR(F353),"")</f>
        <v>3</v>
      </c>
      <c r="H353" s="157">
        <v>0</v>
      </c>
      <c r="I353" s="156" t="str">
        <f>IFERROR(VLOOKUP(J353,CARGOS!A:F,2,0),"")</f>
        <v>2129</v>
      </c>
      <c r="J353" s="87" t="s">
        <v>3320</v>
      </c>
      <c r="K353" s="258">
        <v>5</v>
      </c>
      <c r="L353" s="234">
        <v>171</v>
      </c>
    </row>
    <row r="354" spans="2:12" ht="15.75" thickBot="1">
      <c r="B354" s="227" t="s">
        <v>2834</v>
      </c>
      <c r="C354" s="148">
        <f t="shared" ca="1" si="4"/>
        <v>46</v>
      </c>
      <c r="D354" s="87">
        <v>13049800</v>
      </c>
      <c r="E354" s="160" t="s">
        <v>5004</v>
      </c>
      <c r="F354" s="233">
        <v>42171</v>
      </c>
      <c r="G354" s="155">
        <f>IF(F354&lt;&gt;"",'CONCEPTOS Y PARAMETROS'!$M$2-YEAR(F354),"")</f>
        <v>10</v>
      </c>
      <c r="H354" s="157">
        <v>0</v>
      </c>
      <c r="I354" s="156" t="str">
        <f>IFERROR(VLOOKUP(J354,CARGOS!A:F,2,0),"")</f>
        <v>7102</v>
      </c>
      <c r="J354" s="87" t="s">
        <v>2511</v>
      </c>
      <c r="K354" s="258">
        <v>1</v>
      </c>
      <c r="L354" s="234">
        <v>130</v>
      </c>
    </row>
    <row r="355" spans="2:12" ht="15.75" thickBot="1">
      <c r="B355" s="227" t="s">
        <v>2834</v>
      </c>
      <c r="C355" s="148">
        <f t="shared" ca="1" si="4"/>
        <v>47</v>
      </c>
      <c r="D355" s="87">
        <v>13260758</v>
      </c>
      <c r="E355" s="160" t="s">
        <v>5005</v>
      </c>
      <c r="F355" s="233">
        <v>39118</v>
      </c>
      <c r="G355" s="155">
        <f>IF(F355&lt;&gt;"",'CONCEPTOS Y PARAMETROS'!$M$2-YEAR(F355),"")</f>
        <v>18</v>
      </c>
      <c r="H355" s="157">
        <v>0</v>
      </c>
      <c r="I355" s="156" t="str">
        <f>IFERROR(VLOOKUP(J355,CARGOS!A:F,2,0),"")</f>
        <v>8201</v>
      </c>
      <c r="J355" s="87" t="s">
        <v>2830</v>
      </c>
      <c r="K355" s="258">
        <v>5</v>
      </c>
      <c r="L355" s="234">
        <v>171</v>
      </c>
    </row>
    <row r="356" spans="2:12" ht="15.75" thickBot="1">
      <c r="B356" s="227" t="s">
        <v>2834</v>
      </c>
      <c r="C356" s="148">
        <f t="shared" ca="1" si="4"/>
        <v>48</v>
      </c>
      <c r="D356" s="87">
        <v>13376729</v>
      </c>
      <c r="E356" s="160" t="s">
        <v>5006</v>
      </c>
      <c r="F356" s="233">
        <v>42948</v>
      </c>
      <c r="G356" s="155">
        <f>IF(F356&lt;&gt;"",'CONCEPTOS Y PARAMETROS'!$M$2-YEAR(F356),"")</f>
        <v>8</v>
      </c>
      <c r="H356" s="157">
        <v>0</v>
      </c>
      <c r="I356" s="156" t="str">
        <f>IFERROR(VLOOKUP(J356,CARGOS!A:F,2,0),"")</f>
        <v>8201</v>
      </c>
      <c r="J356" s="87" t="s">
        <v>2830</v>
      </c>
      <c r="K356" s="258">
        <v>5</v>
      </c>
      <c r="L356" s="234">
        <v>171</v>
      </c>
    </row>
    <row r="357" spans="2:12" ht="15.75" thickBot="1">
      <c r="B357" s="227" t="s">
        <v>2834</v>
      </c>
      <c r="C357" s="148">
        <f t="shared" ca="1" si="4"/>
        <v>49</v>
      </c>
      <c r="D357" s="87">
        <v>13522771</v>
      </c>
      <c r="E357" s="160" t="s">
        <v>5007</v>
      </c>
      <c r="F357" s="233">
        <v>44228</v>
      </c>
      <c r="G357" s="155">
        <f>IF(F357&lt;&gt;"",'CONCEPTOS Y PARAMETROS'!$M$2-YEAR(F357),"")</f>
        <v>4</v>
      </c>
      <c r="H357" s="157">
        <v>0</v>
      </c>
      <c r="I357" s="156" t="str">
        <f>IFERROR(VLOOKUP(J357,CARGOS!A:F,2,0),"")</f>
        <v>7102</v>
      </c>
      <c r="J357" s="87" t="s">
        <v>2511</v>
      </c>
      <c r="K357" s="258">
        <v>1</v>
      </c>
      <c r="L357" s="234">
        <v>130</v>
      </c>
    </row>
    <row r="358" spans="2:12" ht="15.75" thickBot="1">
      <c r="B358" s="227" t="s">
        <v>2834</v>
      </c>
      <c r="C358" s="148">
        <f t="shared" ca="1" si="4"/>
        <v>50</v>
      </c>
      <c r="D358" s="87">
        <v>13745328</v>
      </c>
      <c r="E358" s="160" t="s">
        <v>5008</v>
      </c>
      <c r="F358" s="233">
        <v>44805</v>
      </c>
      <c r="G358" s="155">
        <f>IF(F358&lt;&gt;"",'CONCEPTOS Y PARAMETROS'!$M$2-YEAR(F358),"")</f>
        <v>3</v>
      </c>
      <c r="H358" s="157">
        <v>0</v>
      </c>
      <c r="I358" s="156" t="str">
        <f>IFERROR(VLOOKUP(J358,CARGOS!A:F,2,0),"")</f>
        <v>7152</v>
      </c>
      <c r="J358" s="87" t="s">
        <v>2568</v>
      </c>
      <c r="K358" s="258">
        <v>3</v>
      </c>
      <c r="L358" s="234">
        <v>152</v>
      </c>
    </row>
    <row r="359" spans="2:12" ht="15.75" thickBot="1">
      <c r="B359" s="227" t="s">
        <v>2834</v>
      </c>
      <c r="C359" s="148">
        <f t="shared" ca="1" si="4"/>
        <v>51</v>
      </c>
      <c r="D359" s="87">
        <v>13996661</v>
      </c>
      <c r="E359" s="160" t="s">
        <v>5009</v>
      </c>
      <c r="F359" s="233">
        <v>44743</v>
      </c>
      <c r="G359" s="155">
        <f>IF(F359&lt;&gt;"",'CONCEPTOS Y PARAMETROS'!$M$2-YEAR(F359),"")</f>
        <v>3</v>
      </c>
      <c r="H359" s="157">
        <v>0</v>
      </c>
      <c r="I359" s="156" t="str">
        <f>IFERROR(VLOOKUP(J359,CARGOS!A:F,2,0),"")</f>
        <v>7152</v>
      </c>
      <c r="J359" s="87" t="s">
        <v>2568</v>
      </c>
      <c r="K359" s="258">
        <v>3</v>
      </c>
      <c r="L359" s="234">
        <v>152</v>
      </c>
    </row>
    <row r="360" spans="2:12" ht="15.75" thickBot="1">
      <c r="B360" s="227" t="s">
        <v>2834</v>
      </c>
      <c r="C360" s="148">
        <f t="shared" ca="1" si="4"/>
        <v>52</v>
      </c>
      <c r="D360" s="87">
        <v>13996885</v>
      </c>
      <c r="E360" s="160" t="s">
        <v>5010</v>
      </c>
      <c r="F360" s="233">
        <v>44363</v>
      </c>
      <c r="G360" s="155">
        <f>IF(F360&lt;&gt;"",'CONCEPTOS Y PARAMETROS'!$M$2-YEAR(F360),"")</f>
        <v>4</v>
      </c>
      <c r="H360" s="157">
        <v>0</v>
      </c>
      <c r="I360" s="156" t="str">
        <f>IFERROR(VLOOKUP(J360,CARGOS!A:F,2,0),"")</f>
        <v>7174</v>
      </c>
      <c r="J360" s="87" t="s">
        <v>2619</v>
      </c>
      <c r="K360" s="258">
        <v>4</v>
      </c>
      <c r="L360" s="234">
        <v>161</v>
      </c>
    </row>
    <row r="361" spans="2:12" ht="15.75" thickBot="1">
      <c r="B361" s="227" t="s">
        <v>2834</v>
      </c>
      <c r="C361" s="148">
        <f t="shared" ca="1" si="4"/>
        <v>53</v>
      </c>
      <c r="D361" s="87">
        <v>14149971</v>
      </c>
      <c r="E361" s="160" t="s">
        <v>5011</v>
      </c>
      <c r="F361" s="233">
        <v>41091</v>
      </c>
      <c r="G361" s="155">
        <f>IF(F361&lt;&gt;"",'CONCEPTOS Y PARAMETROS'!$M$2-YEAR(F361),"")</f>
        <v>13</v>
      </c>
      <c r="H361" s="157">
        <v>0</v>
      </c>
      <c r="I361" s="156" t="str">
        <f>IFERROR(VLOOKUP(J361,CARGOS!A:F,2,0),"")</f>
        <v>7102</v>
      </c>
      <c r="J361" s="87" t="s">
        <v>2511</v>
      </c>
      <c r="K361" s="258">
        <v>1</v>
      </c>
      <c r="L361" s="234">
        <v>130</v>
      </c>
    </row>
    <row r="362" spans="2:12" ht="15.75" thickBot="1">
      <c r="B362" s="227" t="s">
        <v>2834</v>
      </c>
      <c r="C362" s="148">
        <f t="shared" ca="1" si="4"/>
        <v>54</v>
      </c>
      <c r="D362" s="87">
        <v>14150495</v>
      </c>
      <c r="E362" s="160" t="s">
        <v>5012</v>
      </c>
      <c r="F362" s="233">
        <v>44228</v>
      </c>
      <c r="G362" s="155">
        <f>IF(F362&lt;&gt;"",'CONCEPTOS Y PARAMETROS'!$M$2-YEAR(F362),"")</f>
        <v>4</v>
      </c>
      <c r="H362" s="157">
        <v>0</v>
      </c>
      <c r="I362" s="156" t="str">
        <f>IFERROR(VLOOKUP(J362,CARGOS!A:F,2,0),"")</f>
        <v>7201</v>
      </c>
      <c r="J362" s="87" t="s">
        <v>2540</v>
      </c>
      <c r="K362" s="258">
        <v>5</v>
      </c>
      <c r="L362" s="234">
        <v>171</v>
      </c>
    </row>
    <row r="363" spans="2:12" ht="15.75" thickBot="1">
      <c r="B363" s="227" t="s">
        <v>2834</v>
      </c>
      <c r="C363" s="148">
        <f t="shared" ca="1" si="4"/>
        <v>55</v>
      </c>
      <c r="D363" s="87">
        <v>14599616</v>
      </c>
      <c r="E363" s="160" t="s">
        <v>5013</v>
      </c>
      <c r="F363" s="233">
        <v>43525</v>
      </c>
      <c r="G363" s="155">
        <f>IF(F363&lt;&gt;"",'CONCEPTOS Y PARAMETROS'!$M$2-YEAR(F363),"")</f>
        <v>6</v>
      </c>
      <c r="H363" s="157">
        <v>0</v>
      </c>
      <c r="I363" s="156" t="str">
        <f>IFERROR(VLOOKUP(J363,CARGOS!A:F,2,0),"")</f>
        <v>7102</v>
      </c>
      <c r="J363" s="87" t="s">
        <v>2511</v>
      </c>
      <c r="K363" s="258">
        <v>1</v>
      </c>
      <c r="L363" s="234">
        <v>130</v>
      </c>
    </row>
    <row r="364" spans="2:12" ht="15.75" thickBot="1">
      <c r="B364" s="227" t="s">
        <v>2834</v>
      </c>
      <c r="C364" s="148">
        <f t="shared" ca="1" si="4"/>
        <v>56</v>
      </c>
      <c r="D364" s="87">
        <v>14718369</v>
      </c>
      <c r="E364" s="160" t="s">
        <v>5014</v>
      </c>
      <c r="F364" s="233">
        <v>43147</v>
      </c>
      <c r="G364" s="155">
        <f>IF(F364&lt;&gt;"",'CONCEPTOS Y PARAMETROS'!$M$2-YEAR(F364),"")</f>
        <v>7</v>
      </c>
      <c r="H364" s="157">
        <v>0</v>
      </c>
      <c r="I364" s="156" t="str">
        <f>IFERROR(VLOOKUP(J364,CARGOS!A:F,2,0),"")</f>
        <v>7102</v>
      </c>
      <c r="J364" s="87" t="s">
        <v>2511</v>
      </c>
      <c r="K364" s="258">
        <v>1</v>
      </c>
      <c r="L364" s="234">
        <v>130</v>
      </c>
    </row>
    <row r="365" spans="2:12" ht="15.75" thickBot="1">
      <c r="B365" s="227" t="s">
        <v>2834</v>
      </c>
      <c r="C365" s="148">
        <f t="shared" ca="1" si="4"/>
        <v>57</v>
      </c>
      <c r="D365" s="87">
        <v>14718468</v>
      </c>
      <c r="E365" s="160" t="s">
        <v>5015</v>
      </c>
      <c r="F365" s="233">
        <v>42948</v>
      </c>
      <c r="G365" s="155">
        <f>IF(F365&lt;&gt;"",'CONCEPTOS Y PARAMETROS'!$M$2-YEAR(F365),"")</f>
        <v>8</v>
      </c>
      <c r="H365" s="157">
        <v>0</v>
      </c>
      <c r="I365" s="156" t="str">
        <f>IFERROR(VLOOKUP(J365,CARGOS!A:F,2,0),"")</f>
        <v>7201</v>
      </c>
      <c r="J365" s="87" t="s">
        <v>2540</v>
      </c>
      <c r="K365" s="258">
        <v>5</v>
      </c>
      <c r="L365" s="234">
        <v>171</v>
      </c>
    </row>
    <row r="366" spans="2:12" ht="15.75" thickBot="1">
      <c r="B366" s="227" t="s">
        <v>2834</v>
      </c>
      <c r="C366" s="148">
        <f t="shared" ca="1" si="4"/>
        <v>58</v>
      </c>
      <c r="D366" s="87">
        <v>14719205</v>
      </c>
      <c r="E366" s="160" t="s">
        <v>5016</v>
      </c>
      <c r="F366" s="233">
        <v>39861</v>
      </c>
      <c r="G366" s="155">
        <f>IF(F366&lt;&gt;"",'CONCEPTOS Y PARAMETROS'!$M$2-YEAR(F366),"")</f>
        <v>16</v>
      </c>
      <c r="H366" s="157">
        <v>0</v>
      </c>
      <c r="I366" s="156" t="str">
        <f>IFERROR(VLOOKUP(J366,CARGOS!A:F,2,0),"")</f>
        <v>7152</v>
      </c>
      <c r="J366" s="87" t="s">
        <v>2568</v>
      </c>
      <c r="K366" s="258">
        <v>3</v>
      </c>
      <c r="L366" s="234">
        <v>152</v>
      </c>
    </row>
    <row r="367" spans="2:12" ht="15.75" thickBot="1">
      <c r="B367" s="227" t="s">
        <v>2834</v>
      </c>
      <c r="C367" s="148">
        <f t="shared" ca="1" si="4"/>
        <v>59</v>
      </c>
      <c r="D367" s="87">
        <v>14719356</v>
      </c>
      <c r="E367" s="160" t="s">
        <v>5017</v>
      </c>
      <c r="F367" s="233">
        <v>44348</v>
      </c>
      <c r="G367" s="155">
        <f>IF(F367&lt;&gt;"",'CONCEPTOS Y PARAMETROS'!$M$2-YEAR(F367),"")</f>
        <v>4</v>
      </c>
      <c r="H367" s="157">
        <v>0</v>
      </c>
      <c r="I367" s="156" t="str">
        <f>IFERROR(VLOOKUP(J367,CARGOS!A:F,2,0),"")</f>
        <v>7152</v>
      </c>
      <c r="J367" s="87" t="s">
        <v>2568</v>
      </c>
      <c r="K367" s="258">
        <v>3</v>
      </c>
      <c r="L367" s="234">
        <v>152</v>
      </c>
    </row>
    <row r="368" spans="2:12" ht="15.75" thickBot="1">
      <c r="B368" s="227" t="s">
        <v>2834</v>
      </c>
      <c r="C368" s="148">
        <f t="shared" ca="1" si="4"/>
        <v>60</v>
      </c>
      <c r="D368" s="87">
        <v>14780893</v>
      </c>
      <c r="E368" s="160" t="s">
        <v>5018</v>
      </c>
      <c r="F368" s="233">
        <v>41570</v>
      </c>
      <c r="G368" s="155">
        <f>IF(F368&lt;&gt;"",'CONCEPTOS Y PARAMETROS'!$M$2-YEAR(F368),"")</f>
        <v>12</v>
      </c>
      <c r="H368" s="157">
        <v>0</v>
      </c>
      <c r="I368" s="156" t="str">
        <f>IFERROR(VLOOKUP(J368,CARGOS!A:F,2,0),"")</f>
        <v>7152</v>
      </c>
      <c r="J368" s="87" t="s">
        <v>2568</v>
      </c>
      <c r="K368" s="258">
        <v>3</v>
      </c>
      <c r="L368" s="234">
        <v>152</v>
      </c>
    </row>
    <row r="369" spans="2:12" ht="15.75" thickBot="1">
      <c r="B369" s="227" t="s">
        <v>2834</v>
      </c>
      <c r="C369" s="148">
        <f t="shared" ca="1" si="4"/>
        <v>61</v>
      </c>
      <c r="D369" s="87">
        <v>14928047</v>
      </c>
      <c r="E369" s="160" t="s">
        <v>5019</v>
      </c>
      <c r="F369" s="233">
        <v>43297</v>
      </c>
      <c r="G369" s="155">
        <f>IF(F369&lt;&gt;"",'CONCEPTOS Y PARAMETROS'!$M$2-YEAR(F369),"")</f>
        <v>7</v>
      </c>
      <c r="H369" s="157">
        <v>0</v>
      </c>
      <c r="I369" s="156" t="str">
        <f>IFERROR(VLOOKUP(J369,CARGOS!A:F,2,0),"")</f>
        <v>2129</v>
      </c>
      <c r="J369" s="87" t="s">
        <v>3320</v>
      </c>
      <c r="K369" s="258">
        <v>5</v>
      </c>
      <c r="L369" s="234">
        <v>171</v>
      </c>
    </row>
    <row r="370" spans="2:12" ht="15.75" thickBot="1">
      <c r="B370" s="227" t="s">
        <v>2834</v>
      </c>
      <c r="C370" s="148">
        <f t="shared" ca="1" si="4"/>
        <v>62</v>
      </c>
      <c r="D370" s="87">
        <v>14986675</v>
      </c>
      <c r="E370" s="160" t="s">
        <v>5020</v>
      </c>
      <c r="F370" s="233">
        <v>44805</v>
      </c>
      <c r="G370" s="155">
        <f>IF(F370&lt;&gt;"",'CONCEPTOS Y PARAMETROS'!$M$2-YEAR(F370),"")</f>
        <v>3</v>
      </c>
      <c r="H370" s="157">
        <v>0</v>
      </c>
      <c r="I370" s="156" t="str">
        <f>IFERROR(VLOOKUP(J370,CARGOS!A:F,2,0),"")</f>
        <v>7152</v>
      </c>
      <c r="J370" s="87" t="s">
        <v>2568</v>
      </c>
      <c r="K370" s="258">
        <v>3</v>
      </c>
      <c r="L370" s="234">
        <v>152</v>
      </c>
    </row>
    <row r="371" spans="2:12" ht="15.75" thickBot="1">
      <c r="B371" s="227" t="s">
        <v>2834</v>
      </c>
      <c r="C371" s="148">
        <f t="shared" ca="1" si="4"/>
        <v>63</v>
      </c>
      <c r="D371" s="87">
        <v>15583194</v>
      </c>
      <c r="E371" s="160" t="s">
        <v>5021</v>
      </c>
      <c r="F371" s="233">
        <v>44166</v>
      </c>
      <c r="G371" s="155">
        <f>IF(F371&lt;&gt;"",'CONCEPTOS Y PARAMETROS'!$M$2-YEAR(F371),"")</f>
        <v>5</v>
      </c>
      <c r="H371" s="157">
        <v>8</v>
      </c>
      <c r="I371" s="156" t="str">
        <f>IFERROR(VLOOKUP(J371,CARGOS!A:F,2,0),"")</f>
        <v>2129</v>
      </c>
      <c r="J371" s="87" t="s">
        <v>3320</v>
      </c>
      <c r="K371" s="258">
        <v>5</v>
      </c>
      <c r="L371" s="234">
        <v>171</v>
      </c>
    </row>
    <row r="372" spans="2:12" ht="15.75" thickBot="1">
      <c r="B372" s="227" t="s">
        <v>2834</v>
      </c>
      <c r="C372" s="148">
        <f t="shared" ca="1" si="4"/>
        <v>64</v>
      </c>
      <c r="D372" s="87">
        <v>15952512</v>
      </c>
      <c r="E372" s="160" t="s">
        <v>5022</v>
      </c>
      <c r="F372" s="233">
        <v>40725</v>
      </c>
      <c r="G372" s="155">
        <f>IF(F372&lt;&gt;"",'CONCEPTOS Y PARAMETROS'!$M$2-YEAR(F372),"")</f>
        <v>14</v>
      </c>
      <c r="H372" s="157">
        <v>0</v>
      </c>
      <c r="I372" s="156" t="str">
        <f>IFERROR(VLOOKUP(J372,CARGOS!A:F,2,0),"")</f>
        <v>7102</v>
      </c>
      <c r="J372" s="87" t="s">
        <v>2511</v>
      </c>
      <c r="K372" s="258">
        <v>1</v>
      </c>
      <c r="L372" s="234">
        <v>130</v>
      </c>
    </row>
    <row r="373" spans="2:12" ht="15.75" thickBot="1">
      <c r="B373" s="227" t="s">
        <v>2834</v>
      </c>
      <c r="C373" s="148">
        <f t="shared" ca="1" si="4"/>
        <v>65</v>
      </c>
      <c r="D373" s="87">
        <v>15953703</v>
      </c>
      <c r="E373" s="160" t="s">
        <v>5023</v>
      </c>
      <c r="F373" s="233">
        <v>38718</v>
      </c>
      <c r="G373" s="155">
        <f>IF(F373&lt;&gt;"",'CONCEPTOS Y PARAMETROS'!$M$2-YEAR(F373),"")</f>
        <v>19</v>
      </c>
      <c r="H373" s="157">
        <v>0</v>
      </c>
      <c r="I373" s="156" t="str">
        <f>IFERROR(VLOOKUP(J373,CARGOS!A:F,2,0),"")</f>
        <v>7152</v>
      </c>
      <c r="J373" s="87" t="s">
        <v>2568</v>
      </c>
      <c r="K373" s="258">
        <v>3</v>
      </c>
      <c r="L373" s="234">
        <v>152</v>
      </c>
    </row>
    <row r="374" spans="2:12" ht="15.75" thickBot="1">
      <c r="B374" s="227" t="s">
        <v>2834</v>
      </c>
      <c r="C374" s="148">
        <f t="shared" ca="1" si="4"/>
        <v>66</v>
      </c>
      <c r="D374" s="87">
        <v>16266801</v>
      </c>
      <c r="E374" s="160" t="s">
        <v>5024</v>
      </c>
      <c r="F374" s="233">
        <v>39496</v>
      </c>
      <c r="G374" s="155">
        <f>IF(F374&lt;&gt;"",'CONCEPTOS Y PARAMETROS'!$M$2-YEAR(F374),"")</f>
        <v>17</v>
      </c>
      <c r="H374" s="157">
        <v>0</v>
      </c>
      <c r="I374" s="156" t="str">
        <f>IFERROR(VLOOKUP(J374,CARGOS!A:F,2,0),"")</f>
        <v>2129</v>
      </c>
      <c r="J374" s="87" t="s">
        <v>3320</v>
      </c>
      <c r="K374" s="258">
        <v>5</v>
      </c>
      <c r="L374" s="234">
        <v>171</v>
      </c>
    </row>
    <row r="375" spans="2:12" ht="15.75" thickBot="1">
      <c r="B375" s="227" t="s">
        <v>2834</v>
      </c>
      <c r="C375" s="148">
        <f t="shared" ca="1" si="4"/>
        <v>67</v>
      </c>
      <c r="D375" s="87">
        <v>16738049</v>
      </c>
      <c r="E375" s="160" t="s">
        <v>5025</v>
      </c>
      <c r="F375" s="233">
        <v>44805</v>
      </c>
      <c r="G375" s="155">
        <f>IF(F375&lt;&gt;"",'CONCEPTOS Y PARAMETROS'!$M$2-YEAR(F375),"")</f>
        <v>3</v>
      </c>
      <c r="H375" s="157">
        <v>0</v>
      </c>
      <c r="I375" s="156" t="str">
        <f>IFERROR(VLOOKUP(J375,CARGOS!A:F,2,0),"")</f>
        <v>2129</v>
      </c>
      <c r="J375" s="87" t="s">
        <v>3320</v>
      </c>
      <c r="K375" s="258">
        <v>5</v>
      </c>
      <c r="L375" s="234">
        <v>171</v>
      </c>
    </row>
    <row r="376" spans="2:12" ht="15.75" thickBot="1">
      <c r="B376" s="227" t="s">
        <v>2834</v>
      </c>
      <c r="C376" s="148">
        <f t="shared" ca="1" si="4"/>
        <v>68</v>
      </c>
      <c r="D376" s="87">
        <v>16881526</v>
      </c>
      <c r="E376" s="160" t="s">
        <v>5026</v>
      </c>
      <c r="F376" s="233">
        <v>44470</v>
      </c>
      <c r="G376" s="155">
        <f>IF(F376&lt;&gt;"",'CONCEPTOS Y PARAMETROS'!$M$2-YEAR(F376),"")</f>
        <v>4</v>
      </c>
      <c r="H376" s="157">
        <v>0</v>
      </c>
      <c r="I376" s="156" t="str">
        <f>IFERROR(VLOOKUP(J376,CARGOS!A:F,2,0),"")</f>
        <v>7102</v>
      </c>
      <c r="J376" s="87" t="s">
        <v>2511</v>
      </c>
      <c r="K376" s="258">
        <v>1</v>
      </c>
      <c r="L376" s="234">
        <v>130</v>
      </c>
    </row>
    <row r="377" spans="2:12" ht="15.75" thickBot="1">
      <c r="B377" s="227" t="s">
        <v>2834</v>
      </c>
      <c r="C377" s="148">
        <f t="shared" ca="1" si="4"/>
        <v>69</v>
      </c>
      <c r="D377" s="87">
        <v>17093567</v>
      </c>
      <c r="E377" s="160" t="s">
        <v>5027</v>
      </c>
      <c r="F377" s="233">
        <v>39449</v>
      </c>
      <c r="G377" s="155">
        <f>IF(F377&lt;&gt;"",'CONCEPTOS Y PARAMETROS'!$M$2-YEAR(F377),"")</f>
        <v>17</v>
      </c>
      <c r="H377" s="157">
        <v>0</v>
      </c>
      <c r="I377" s="156" t="str">
        <f>IFERROR(VLOOKUP(J377,CARGOS!A:F,2,0),"")</f>
        <v>7152</v>
      </c>
      <c r="J377" s="87" t="s">
        <v>2568</v>
      </c>
      <c r="K377" s="258">
        <v>3</v>
      </c>
      <c r="L377" s="234">
        <v>152</v>
      </c>
    </row>
    <row r="378" spans="2:12" ht="15.75" thickBot="1">
      <c r="B378" s="227" t="s">
        <v>2834</v>
      </c>
      <c r="C378" s="148">
        <f t="shared" ca="1" si="4"/>
        <v>70</v>
      </c>
      <c r="D378" s="87">
        <v>17095084</v>
      </c>
      <c r="E378" s="160" t="s">
        <v>5028</v>
      </c>
      <c r="F378" s="233">
        <v>44317</v>
      </c>
      <c r="G378" s="155">
        <f>IF(F378&lt;&gt;"",'CONCEPTOS Y PARAMETROS'!$M$2-YEAR(F378),"")</f>
        <v>4</v>
      </c>
      <c r="H378" s="157">
        <v>0</v>
      </c>
      <c r="I378" s="156" t="str">
        <f>IFERROR(VLOOKUP(J378,CARGOS!A:F,2,0),"")</f>
        <v>2129</v>
      </c>
      <c r="J378" s="87" t="s">
        <v>3320</v>
      </c>
      <c r="K378" s="258">
        <v>5</v>
      </c>
      <c r="L378" s="234">
        <v>171</v>
      </c>
    </row>
    <row r="379" spans="2:12" ht="15.75" thickBot="1">
      <c r="B379" s="227" t="s">
        <v>2834</v>
      </c>
      <c r="C379" s="148">
        <f t="shared" ca="1" si="4"/>
        <v>71</v>
      </c>
      <c r="D379" s="87">
        <v>17267173</v>
      </c>
      <c r="E379" s="160" t="s">
        <v>5029</v>
      </c>
      <c r="F379" s="233">
        <v>44317</v>
      </c>
      <c r="G379" s="155">
        <f>IF(F379&lt;&gt;"",'CONCEPTOS Y PARAMETROS'!$M$2-YEAR(F379),"")</f>
        <v>4</v>
      </c>
      <c r="H379" s="157">
        <v>0</v>
      </c>
      <c r="I379" s="156" t="str">
        <f>IFERROR(VLOOKUP(J379,CARGOS!A:F,2,0),"")</f>
        <v>7204</v>
      </c>
      <c r="J379" s="87" t="s">
        <v>2615</v>
      </c>
      <c r="K379" s="258">
        <v>5</v>
      </c>
      <c r="L379" s="234">
        <v>171</v>
      </c>
    </row>
    <row r="380" spans="2:12" ht="15.75" thickBot="1">
      <c r="B380" s="227" t="s">
        <v>2834</v>
      </c>
      <c r="C380" s="148">
        <f t="shared" ca="1" si="4"/>
        <v>72</v>
      </c>
      <c r="D380" s="87">
        <v>17864665</v>
      </c>
      <c r="E380" s="160" t="s">
        <v>5030</v>
      </c>
      <c r="F380" s="233">
        <v>42948</v>
      </c>
      <c r="G380" s="155">
        <f>IF(F380&lt;&gt;"",'CONCEPTOS Y PARAMETROS'!$M$2-YEAR(F380),"")</f>
        <v>8</v>
      </c>
      <c r="H380" s="157">
        <v>0</v>
      </c>
      <c r="I380" s="156" t="str">
        <f>IFERROR(VLOOKUP(J380,CARGOS!A:F,2,0),"")</f>
        <v>7174</v>
      </c>
      <c r="J380" s="87" t="s">
        <v>2619</v>
      </c>
      <c r="K380" s="258">
        <v>4</v>
      </c>
      <c r="L380" s="234">
        <v>161</v>
      </c>
    </row>
    <row r="381" spans="2:12" ht="15.75" thickBot="1">
      <c r="B381" s="227" t="s">
        <v>2834</v>
      </c>
      <c r="C381" s="148">
        <f t="shared" ca="1" si="4"/>
        <v>73</v>
      </c>
      <c r="D381" s="87">
        <v>18096338</v>
      </c>
      <c r="E381" s="160" t="s">
        <v>5031</v>
      </c>
      <c r="F381" s="233">
        <v>39463</v>
      </c>
      <c r="G381" s="155">
        <f>IF(F381&lt;&gt;"",'CONCEPTOS Y PARAMETROS'!$M$2-YEAR(F381),"")</f>
        <v>17</v>
      </c>
      <c r="H381" s="157">
        <v>3</v>
      </c>
      <c r="I381" s="156" t="str">
        <f>IFERROR(VLOOKUP(J381,CARGOS!A:F,2,0),"")</f>
        <v>2129</v>
      </c>
      <c r="J381" s="87" t="s">
        <v>3320</v>
      </c>
      <c r="K381" s="258">
        <v>5</v>
      </c>
      <c r="L381" s="234">
        <v>171</v>
      </c>
    </row>
    <row r="382" spans="2:12" ht="15.75" thickBot="1">
      <c r="B382" s="227" t="s">
        <v>2834</v>
      </c>
      <c r="C382" s="148">
        <f t="shared" ca="1" si="4"/>
        <v>74</v>
      </c>
      <c r="D382" s="87">
        <v>18350780</v>
      </c>
      <c r="E382" s="160" t="s">
        <v>5032</v>
      </c>
      <c r="F382" s="233">
        <v>43116</v>
      </c>
      <c r="G382" s="155">
        <f>IF(F382&lt;&gt;"",'CONCEPTOS Y PARAMETROS'!$M$2-YEAR(F382),"")</f>
        <v>7</v>
      </c>
      <c r="H382" s="157">
        <v>0</v>
      </c>
      <c r="I382" s="156" t="str">
        <f>IFERROR(VLOOKUP(J382,CARGOS!A:F,2,0),"")</f>
        <v>8201</v>
      </c>
      <c r="J382" s="87" t="s">
        <v>2830</v>
      </c>
      <c r="K382" s="258">
        <v>5</v>
      </c>
      <c r="L382" s="234">
        <v>171</v>
      </c>
    </row>
    <row r="383" spans="2:12" ht="15.75" thickBot="1">
      <c r="B383" s="227" t="s">
        <v>2834</v>
      </c>
      <c r="C383" s="148">
        <f t="shared" ca="1" si="4"/>
        <v>75</v>
      </c>
      <c r="D383" s="87">
        <v>18456167</v>
      </c>
      <c r="E383" s="160" t="s">
        <v>5033</v>
      </c>
      <c r="F383" s="233">
        <v>44516</v>
      </c>
      <c r="G383" s="155">
        <f>IF(F383&lt;&gt;"",'CONCEPTOS Y PARAMETROS'!$M$2-YEAR(F383),"")</f>
        <v>4</v>
      </c>
      <c r="H383" s="157">
        <v>0</v>
      </c>
      <c r="I383" s="156" t="str">
        <f>IFERROR(VLOOKUP(J383,CARGOS!A:F,2,0),"")</f>
        <v>2129</v>
      </c>
      <c r="J383" s="87" t="s">
        <v>3320</v>
      </c>
      <c r="K383" s="258">
        <v>5</v>
      </c>
      <c r="L383" s="234">
        <v>171</v>
      </c>
    </row>
    <row r="384" spans="2:12" ht="15.75" thickBot="1">
      <c r="B384" s="227" t="s">
        <v>2834</v>
      </c>
      <c r="C384" s="148">
        <f t="shared" ca="1" si="4"/>
        <v>76</v>
      </c>
      <c r="D384" s="87">
        <v>19286087</v>
      </c>
      <c r="E384" s="160" t="s">
        <v>5034</v>
      </c>
      <c r="F384" s="233">
        <v>44348</v>
      </c>
      <c r="G384" s="155">
        <f>IF(F384&lt;&gt;"",'CONCEPTOS Y PARAMETROS'!$M$2-YEAR(F384),"")</f>
        <v>4</v>
      </c>
      <c r="H384" s="157">
        <v>0</v>
      </c>
      <c r="I384" s="156" t="str">
        <f>IFERROR(VLOOKUP(J384,CARGOS!A:F,2,0),"")</f>
        <v>3174</v>
      </c>
      <c r="J384" s="87" t="s">
        <v>3328</v>
      </c>
      <c r="K384" s="258">
        <v>4</v>
      </c>
      <c r="L384" s="234">
        <v>161</v>
      </c>
    </row>
    <row r="385" spans="2:12" ht="15.75" thickBot="1">
      <c r="B385" s="227" t="s">
        <v>2834</v>
      </c>
      <c r="C385" s="148">
        <f t="shared" ca="1" si="4"/>
        <v>77</v>
      </c>
      <c r="D385" s="87">
        <v>20039961</v>
      </c>
      <c r="E385" s="160" t="s">
        <v>5035</v>
      </c>
      <c r="F385" s="233">
        <v>38412</v>
      </c>
      <c r="G385" s="155">
        <f>IF(F385&lt;&gt;"",'CONCEPTOS Y PARAMETROS'!$M$2-YEAR(F385),"")</f>
        <v>20</v>
      </c>
      <c r="H385" s="157">
        <v>0</v>
      </c>
      <c r="I385" s="156" t="str">
        <f>IFERROR(VLOOKUP(J385,CARGOS!A:F,2,0),"")</f>
        <v>7102</v>
      </c>
      <c r="J385" s="87" t="s">
        <v>2511</v>
      </c>
      <c r="K385" s="258">
        <v>1</v>
      </c>
      <c r="L385" s="234">
        <v>130</v>
      </c>
    </row>
    <row r="386" spans="2:12" ht="15.75" thickBot="1">
      <c r="B386" s="227" t="s">
        <v>2834</v>
      </c>
      <c r="C386" s="148">
        <f t="shared" ca="1" si="4"/>
        <v>78</v>
      </c>
      <c r="D386" s="87">
        <v>20040649</v>
      </c>
      <c r="E386" s="160" t="s">
        <v>5036</v>
      </c>
      <c r="F386" s="233">
        <v>44743</v>
      </c>
      <c r="G386" s="155">
        <f>IF(F386&lt;&gt;"",'CONCEPTOS Y PARAMETROS'!$M$2-YEAR(F386),"")</f>
        <v>3</v>
      </c>
      <c r="H386" s="157">
        <v>0</v>
      </c>
      <c r="I386" s="156" t="str">
        <f>IFERROR(VLOOKUP(J386,CARGOS!A:F,2,0),"")</f>
        <v>7174</v>
      </c>
      <c r="J386" s="87" t="s">
        <v>2619</v>
      </c>
      <c r="K386" s="258">
        <v>4</v>
      </c>
      <c r="L386" s="234">
        <v>161</v>
      </c>
    </row>
    <row r="387" spans="2:12" ht="15.75" thickBot="1">
      <c r="B387" s="227" t="s">
        <v>2834</v>
      </c>
      <c r="C387" s="148">
        <f t="shared" ca="1" si="4"/>
        <v>79</v>
      </c>
      <c r="D387" s="87">
        <v>21366579</v>
      </c>
      <c r="E387" s="160" t="s">
        <v>5037</v>
      </c>
      <c r="F387" s="233">
        <v>44774</v>
      </c>
      <c r="G387" s="155">
        <f>IF(F387&lt;&gt;"",'CONCEPTOS Y PARAMETROS'!$M$2-YEAR(F387),"")</f>
        <v>3</v>
      </c>
      <c r="H387" s="157">
        <v>0</v>
      </c>
      <c r="I387" s="156" t="str">
        <f>IFERROR(VLOOKUP(J387,CARGOS!A:F,2,0),"")</f>
        <v>7129</v>
      </c>
      <c r="J387" s="87" t="s">
        <v>2703</v>
      </c>
      <c r="K387" s="258">
        <v>2</v>
      </c>
      <c r="L387" s="234">
        <v>142</v>
      </c>
    </row>
    <row r="388" spans="2:12" ht="15.75" thickBot="1">
      <c r="B388" s="227" t="s">
        <v>2834</v>
      </c>
      <c r="C388" s="148">
        <f t="shared" ca="1" si="4"/>
        <v>80</v>
      </c>
      <c r="D388" s="87">
        <v>23254845</v>
      </c>
      <c r="E388" s="160" t="s">
        <v>5038</v>
      </c>
      <c r="F388" s="233">
        <v>44332</v>
      </c>
      <c r="G388" s="155">
        <f>IF(F388&lt;&gt;"",'CONCEPTOS Y PARAMETROS'!$M$2-YEAR(F388),"")</f>
        <v>4</v>
      </c>
      <c r="H388" s="157">
        <v>0</v>
      </c>
      <c r="I388" s="156" t="str">
        <f>IFERROR(VLOOKUP(J388,CARGOS!A:F,2,0),"")</f>
        <v>7152</v>
      </c>
      <c r="J388" s="87" t="s">
        <v>2568</v>
      </c>
      <c r="K388" s="258">
        <v>3</v>
      </c>
      <c r="L388" s="234">
        <v>152</v>
      </c>
    </row>
    <row r="389" spans="2:12" ht="15.75" thickBot="1">
      <c r="B389" s="227" t="s">
        <v>2834</v>
      </c>
      <c r="C389" s="148">
        <f t="shared" ca="1" si="4"/>
        <v>81</v>
      </c>
      <c r="D389" s="87">
        <v>25173228</v>
      </c>
      <c r="E389" s="160" t="s">
        <v>5039</v>
      </c>
      <c r="F389" s="233">
        <v>44531</v>
      </c>
      <c r="G389" s="155">
        <f>IF(F389&lt;&gt;"",'CONCEPTOS Y PARAMETROS'!$M$2-YEAR(F389),"")</f>
        <v>4</v>
      </c>
      <c r="H389" s="157">
        <v>0</v>
      </c>
      <c r="I389" s="156" t="str">
        <f>IFERROR(VLOOKUP(J389,CARGOS!A:F,2,0),"")</f>
        <v>7152</v>
      </c>
      <c r="J389" s="87" t="s">
        <v>2568</v>
      </c>
      <c r="K389" s="258">
        <v>3</v>
      </c>
      <c r="L389" s="234">
        <v>152</v>
      </c>
    </row>
    <row r="390" spans="2:12" ht="15.75" thickBot="1">
      <c r="B390" s="227" t="s">
        <v>2834</v>
      </c>
      <c r="C390" s="148">
        <f t="shared" ca="1" si="4"/>
        <v>82</v>
      </c>
      <c r="D390" s="87">
        <v>25631811</v>
      </c>
      <c r="E390" s="160" t="s">
        <v>5040</v>
      </c>
      <c r="F390" s="233">
        <v>44440</v>
      </c>
      <c r="G390" s="155">
        <f>IF(F390&lt;&gt;"",'CONCEPTOS Y PARAMETROS'!$M$2-YEAR(F390),"")</f>
        <v>4</v>
      </c>
      <c r="H390" s="157">
        <v>0</v>
      </c>
      <c r="I390" s="156" t="str">
        <f>IFERROR(VLOOKUP(J390,CARGOS!A:F,2,0),"")</f>
        <v>2129</v>
      </c>
      <c r="J390" s="87" t="s">
        <v>3320</v>
      </c>
      <c r="K390" s="258">
        <v>5</v>
      </c>
      <c r="L390" s="234">
        <v>171</v>
      </c>
    </row>
    <row r="391" spans="2:12" ht="15.75" thickBot="1">
      <c r="B391" s="227" t="s">
        <v>2834</v>
      </c>
      <c r="C391" s="148">
        <f t="shared" ca="1" si="4"/>
        <v>83</v>
      </c>
      <c r="D391" s="87">
        <v>25919888</v>
      </c>
      <c r="E391" s="259" t="s">
        <v>5041</v>
      </c>
      <c r="F391" s="260">
        <v>44805</v>
      </c>
      <c r="G391" s="155">
        <f>IF(F391&lt;&gt;"",'CONCEPTOS Y PARAMETROS'!$M$2-YEAR(F391),"")</f>
        <v>3</v>
      </c>
      <c r="H391" s="157">
        <v>0</v>
      </c>
      <c r="I391" s="156" t="str">
        <f>IFERROR(VLOOKUP(J391,CARGOS!A:F,2,0),"")</f>
        <v>7102</v>
      </c>
      <c r="J391" s="87" t="s">
        <v>2511</v>
      </c>
      <c r="K391" s="258">
        <v>1</v>
      </c>
      <c r="L391" s="234">
        <v>130</v>
      </c>
    </row>
    <row r="392" spans="2:12" ht="15.75" thickBot="1">
      <c r="B392" s="227" t="s">
        <v>2834</v>
      </c>
      <c r="C392" s="148">
        <f t="shared" ca="1" si="4"/>
        <v>84</v>
      </c>
      <c r="D392" s="87">
        <v>27415509</v>
      </c>
      <c r="E392" s="259" t="s">
        <v>5042</v>
      </c>
      <c r="F392" s="233">
        <v>43678</v>
      </c>
      <c r="G392" s="155">
        <f>IF(F392&lt;&gt;"",'CONCEPTOS Y PARAMETROS'!$M$2-YEAR(F392),"")</f>
        <v>6</v>
      </c>
      <c r="H392" s="157">
        <v>0</v>
      </c>
      <c r="I392" s="156" t="str">
        <f>IFERROR(VLOOKUP(J392,CARGOS!A:F,2,0),"")</f>
        <v>7152</v>
      </c>
      <c r="J392" s="87" t="s">
        <v>2568</v>
      </c>
      <c r="K392" s="258">
        <v>3</v>
      </c>
      <c r="L392" s="234">
        <v>152</v>
      </c>
    </row>
    <row r="393" spans="2:12" ht="15.75" thickBot="1">
      <c r="B393" s="227" t="s">
        <v>2834</v>
      </c>
      <c r="C393" s="148">
        <f t="shared" ca="1" si="4"/>
        <v>85</v>
      </c>
      <c r="D393" s="87">
        <v>27470077</v>
      </c>
      <c r="E393" s="160" t="s">
        <v>5043</v>
      </c>
      <c r="F393" s="233">
        <v>44743</v>
      </c>
      <c r="G393" s="155">
        <f>IF(F393&lt;&gt;"",'CONCEPTOS Y PARAMETROS'!$M$2-YEAR(F393),"")</f>
        <v>3</v>
      </c>
      <c r="H393" s="157">
        <v>0</v>
      </c>
      <c r="I393" s="156" t="str">
        <f>IFERROR(VLOOKUP(J393,CARGOS!A:F,2,0),"")</f>
        <v>7102</v>
      </c>
      <c r="J393" s="87" t="s">
        <v>2511</v>
      </c>
      <c r="K393" s="258">
        <v>1</v>
      </c>
      <c r="L393" s="234">
        <v>130</v>
      </c>
    </row>
    <row r="394" spans="2:12" ht="15.75" thickBot="1">
      <c r="B394" s="227" t="s">
        <v>2834</v>
      </c>
      <c r="C394" s="148">
        <f t="shared" ca="1" si="4"/>
        <v>86</v>
      </c>
      <c r="D394" s="87">
        <v>29539270</v>
      </c>
      <c r="E394" s="160" t="s">
        <v>5044</v>
      </c>
      <c r="F394" s="233">
        <v>44287</v>
      </c>
      <c r="G394" s="155">
        <f>IF(F394&lt;&gt;"",'CONCEPTOS Y PARAMETROS'!$M$2-YEAR(F394),"")</f>
        <v>4</v>
      </c>
      <c r="H394" s="157">
        <v>0</v>
      </c>
      <c r="I394" s="156" t="str">
        <f>IFERROR(VLOOKUP(J394,CARGOS!A:F,2,0),"")</f>
        <v>7152</v>
      </c>
      <c r="J394" s="87" t="s">
        <v>2568</v>
      </c>
      <c r="K394" s="258">
        <v>3</v>
      </c>
      <c r="L394" s="234">
        <v>152</v>
      </c>
    </row>
    <row r="395" spans="2:12" ht="15.75" thickBot="1">
      <c r="B395" s="227" t="s">
        <v>2834</v>
      </c>
      <c r="C395" s="148">
        <f t="shared" ca="1" si="4"/>
        <v>87</v>
      </c>
      <c r="D395" s="87">
        <v>29994277</v>
      </c>
      <c r="E395" s="160" t="s">
        <v>5045</v>
      </c>
      <c r="F395" s="252">
        <v>44562</v>
      </c>
      <c r="G395" s="155">
        <f>IF(F395&lt;&gt;"",'CONCEPTOS Y PARAMETROS'!$M$2-YEAR(F395),"")</f>
        <v>3</v>
      </c>
      <c r="H395" s="157">
        <v>0</v>
      </c>
      <c r="I395" s="156" t="str">
        <f>IFERROR(VLOOKUP(J395,CARGOS!A:F,2,0),"")</f>
        <v>7152</v>
      </c>
      <c r="J395" s="87" t="s">
        <v>2568</v>
      </c>
      <c r="K395" s="258">
        <v>3</v>
      </c>
      <c r="L395" s="234">
        <v>152</v>
      </c>
    </row>
    <row r="396" spans="2:12" ht="15.75" thickBot="1">
      <c r="B396" s="227" t="s">
        <v>2834</v>
      </c>
      <c r="C396" s="148">
        <f t="shared" ca="1" si="4"/>
        <v>88</v>
      </c>
      <c r="D396" s="87">
        <v>32084560</v>
      </c>
      <c r="E396" s="259" t="s">
        <v>5046</v>
      </c>
      <c r="F396" s="233">
        <v>44348</v>
      </c>
      <c r="G396" s="155">
        <f>IF(F396&lt;&gt;"",'CONCEPTOS Y PARAMETROS'!$M$2-YEAR(F396),"")</f>
        <v>4</v>
      </c>
      <c r="H396" s="157">
        <v>0</v>
      </c>
      <c r="I396" s="156" t="str">
        <f>IFERROR(VLOOKUP(J396,CARGOS!A:F,2,0),"")</f>
        <v>2129</v>
      </c>
      <c r="J396" s="87" t="s">
        <v>3320</v>
      </c>
      <c r="K396" s="258">
        <v>5</v>
      </c>
      <c r="L396" s="234">
        <v>171</v>
      </c>
    </row>
    <row r="397" spans="2:12" ht="15.75" thickBot="1">
      <c r="B397" s="227" t="s">
        <v>2834</v>
      </c>
      <c r="C397" s="148">
        <f t="shared" ca="1" si="4"/>
        <v>89</v>
      </c>
      <c r="D397" s="87"/>
      <c r="E397" s="160" t="s">
        <v>4653</v>
      </c>
      <c r="F397" s="233">
        <v>44927</v>
      </c>
      <c r="G397" s="155">
        <f>IF(F397&lt;&gt;"",'CONCEPTOS Y PARAMETROS'!$M$2-YEAR(F397),"")</f>
        <v>2</v>
      </c>
      <c r="H397" s="157">
        <v>0</v>
      </c>
      <c r="I397" s="156" t="str">
        <f>IFERROR(VLOOKUP(J397,CARGOS!A:F,2,0),"")</f>
        <v>7102</v>
      </c>
      <c r="J397" s="87" t="s">
        <v>2511</v>
      </c>
      <c r="K397" s="258">
        <v>1</v>
      </c>
      <c r="L397" s="234">
        <v>130</v>
      </c>
    </row>
    <row r="398" spans="2:12" ht="15.75" thickBot="1">
      <c r="B398" s="227" t="s">
        <v>2834</v>
      </c>
      <c r="C398" s="148">
        <f t="shared" ca="1" si="4"/>
        <v>90</v>
      </c>
      <c r="D398" s="87"/>
      <c r="E398" s="160" t="s">
        <v>4653</v>
      </c>
      <c r="F398" s="233">
        <v>44927</v>
      </c>
      <c r="G398" s="155">
        <f>IF(F398&lt;&gt;"",'CONCEPTOS Y PARAMETROS'!$M$2-YEAR(F398),"")</f>
        <v>2</v>
      </c>
      <c r="H398" s="157">
        <v>0</v>
      </c>
      <c r="I398" s="156" t="str">
        <f>IFERROR(VLOOKUP(J398,CARGOS!A:F,2,0),"")</f>
        <v>7152</v>
      </c>
      <c r="J398" s="87" t="s">
        <v>2568</v>
      </c>
      <c r="K398" s="258">
        <v>3</v>
      </c>
      <c r="L398" s="234">
        <v>152</v>
      </c>
    </row>
    <row r="399" spans="2:12" ht="15.75" thickBot="1">
      <c r="B399" s="227" t="s">
        <v>2834</v>
      </c>
      <c r="C399" s="148">
        <f t="shared" ca="1" si="4"/>
        <v>91</v>
      </c>
      <c r="D399" s="87"/>
      <c r="E399" s="160" t="s">
        <v>4653</v>
      </c>
      <c r="F399" s="233">
        <v>44927</v>
      </c>
      <c r="G399" s="155">
        <f>IF(F399&lt;&gt;"",'CONCEPTOS Y PARAMETROS'!$M$2-YEAR(F399),"")</f>
        <v>2</v>
      </c>
      <c r="H399" s="157">
        <v>0</v>
      </c>
      <c r="I399" s="156" t="str">
        <f>IFERROR(VLOOKUP(J399,CARGOS!A:F,2,0),"")</f>
        <v>7152</v>
      </c>
      <c r="J399" s="87" t="s">
        <v>2568</v>
      </c>
      <c r="K399" s="258">
        <v>3</v>
      </c>
      <c r="L399" s="234">
        <v>152</v>
      </c>
    </row>
    <row r="400" spans="2:12">
      <c r="B400" s="227" t="s">
        <v>2834</v>
      </c>
      <c r="C400" s="148">
        <f t="shared" ca="1" si="4"/>
        <v>92</v>
      </c>
      <c r="D400" s="87"/>
      <c r="E400" s="160" t="s">
        <v>4653</v>
      </c>
      <c r="F400" s="252">
        <v>44927</v>
      </c>
      <c r="G400" s="155">
        <f>IF(F400&lt;&gt;"",'CONCEPTOS Y PARAMETROS'!$M$2-YEAR(F400),"")</f>
        <v>2</v>
      </c>
      <c r="H400" s="157">
        <v>0</v>
      </c>
      <c r="I400" s="156" t="str">
        <f>IFERROR(VLOOKUP(J400,CARGOS!A:F,2,0),"")</f>
        <v>2127</v>
      </c>
      <c r="J400" s="87" t="s">
        <v>2566</v>
      </c>
      <c r="K400" s="258">
        <v>2</v>
      </c>
      <c r="L400" s="234">
        <v>142</v>
      </c>
    </row>
    <row r="401" spans="2:12" ht="15.75" thickBot="1">
      <c r="B401" s="226"/>
      <c r="C401" s="261">
        <f ca="1">COUNT(C309:C400)</f>
        <v>92</v>
      </c>
      <c r="D401" s="1809" t="s">
        <v>4493</v>
      </c>
      <c r="E401" s="1809"/>
      <c r="F401" s="1809"/>
      <c r="G401" s="1809"/>
      <c r="H401" s="1809"/>
      <c r="I401" s="1809"/>
      <c r="J401" s="1809"/>
      <c r="K401" s="1810"/>
      <c r="L401" s="143">
        <v>14293</v>
      </c>
    </row>
    <row r="402" spans="2:12" ht="15.75" thickBot="1">
      <c r="B402" s="226"/>
      <c r="C402" s="261"/>
      <c r="D402" s="1804"/>
      <c r="E402" s="1804"/>
      <c r="F402" s="1804"/>
      <c r="G402" s="1804"/>
      <c r="H402" s="1804"/>
      <c r="I402" s="1804"/>
      <c r="J402" s="1804"/>
      <c r="K402" s="1805"/>
      <c r="L402" s="143"/>
    </row>
    <row r="403" spans="2:12">
      <c r="F403" s="265"/>
      <c r="G403" s="265"/>
      <c r="H403" s="265"/>
    </row>
    <row r="404" spans="2:12" ht="15.75" thickBot="1">
      <c r="F404" s="265"/>
      <c r="G404" s="265"/>
      <c r="H404" s="265"/>
    </row>
    <row r="405" spans="2:12" ht="15.75" thickBot="1">
      <c r="C405" s="266">
        <f ca="1">C34+C307+C401</f>
        <v>393</v>
      </c>
      <c r="D405" s="1806" t="s">
        <v>2875</v>
      </c>
      <c r="E405" s="1807"/>
      <c r="F405" s="1807"/>
      <c r="G405" s="1807"/>
      <c r="H405" s="1807"/>
      <c r="I405" s="1807"/>
      <c r="J405" s="1808"/>
      <c r="K405" s="144"/>
      <c r="L405" s="145">
        <v>83410</v>
      </c>
    </row>
    <row r="406" spans="2:12">
      <c r="L406" s="106"/>
    </row>
    <row r="407" spans="2:12">
      <c r="F407" s="265"/>
      <c r="G407" s="265"/>
      <c r="H407" s="265"/>
      <c r="L407" s="106"/>
    </row>
    <row r="408" spans="2:12">
      <c r="F408" s="265"/>
      <c r="G408" s="265"/>
      <c r="H408" s="265"/>
      <c r="L408" s="268">
        <v>1000920</v>
      </c>
    </row>
    <row r="409" spans="2:12">
      <c r="F409" s="265"/>
      <c r="G409" s="265"/>
      <c r="H409" s="265"/>
      <c r="L409" s="269">
        <v>1000920</v>
      </c>
    </row>
    <row r="410" spans="2:12">
      <c r="F410" s="265"/>
      <c r="G410" s="265"/>
      <c r="H410" s="265"/>
      <c r="L410" s="106"/>
    </row>
  </sheetData>
  <mergeCells count="8">
    <mergeCell ref="D402:K402"/>
    <mergeCell ref="D405:J405"/>
    <mergeCell ref="D401:K401"/>
    <mergeCell ref="B3:D3"/>
    <mergeCell ref="D34:K34"/>
    <mergeCell ref="B35:D35"/>
    <mergeCell ref="D307:K307"/>
    <mergeCell ref="B308:D308"/>
  </mergeCells>
  <dataValidations count="1">
    <dataValidation type="list" allowBlank="1" showInputMessage="1" showErrorMessage="1" sqref="B309:B402 B36:B307 B4:B34">
      <formula1>"EMPLEADO,OBRERO,BOMBERO"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3">
    <tabColor rgb="FF92D050"/>
  </sheetPr>
  <dimension ref="B1:S17"/>
  <sheetViews>
    <sheetView view="pageBreakPreview" zoomScale="71" zoomScaleNormal="60" zoomScaleSheetLayoutView="71" zoomScalePageLayoutView="80" workbookViewId="0"/>
  </sheetViews>
  <sheetFormatPr baseColWidth="10" defaultRowHeight="15"/>
  <cols>
    <col min="1" max="1" width="5.28515625" style="279" customWidth="1"/>
    <col min="2" max="2" width="21.28515625" style="275" customWidth="1"/>
    <col min="3" max="3" width="17" style="275" customWidth="1"/>
    <col min="4" max="4" width="13.5703125" style="316" bestFit="1" customWidth="1"/>
    <col min="5" max="5" width="13.5703125" style="317" customWidth="1"/>
    <col min="6" max="6" width="13.42578125" style="316" bestFit="1" customWidth="1"/>
    <col min="7" max="7" width="13.7109375" style="317" customWidth="1"/>
    <col min="8" max="8" width="13.42578125" style="316" bestFit="1" customWidth="1"/>
    <col min="9" max="9" width="13.5703125" style="317" customWidth="1"/>
    <col min="10" max="10" width="13.42578125" style="316" bestFit="1" customWidth="1"/>
    <col min="11" max="11" width="13.7109375" style="317" customWidth="1"/>
    <col min="12" max="12" width="13.42578125" style="316" bestFit="1" customWidth="1"/>
    <col min="13" max="13" width="13.7109375" style="317" customWidth="1"/>
    <col min="14" max="14" width="13.42578125" style="316" bestFit="1" customWidth="1"/>
    <col min="15" max="15" width="13.85546875" style="317" customWidth="1"/>
    <col min="16" max="16" width="14.7109375" style="316" customWidth="1"/>
    <col min="17" max="17" width="12.85546875" style="315" hidden="1" customWidth="1"/>
    <col min="18" max="18" width="13.7109375" style="317" customWidth="1"/>
    <col min="19" max="19" width="11.42578125" style="316"/>
    <col min="20" max="16384" width="11.42578125" style="279"/>
  </cols>
  <sheetData>
    <row r="1" spans="2:19">
      <c r="B1" s="274"/>
      <c r="C1" s="274"/>
      <c r="D1" s="275"/>
      <c r="E1" s="276"/>
      <c r="F1" s="275"/>
      <c r="G1" s="276"/>
      <c r="H1" s="275"/>
      <c r="I1" s="276"/>
      <c r="J1" s="275"/>
      <c r="K1" s="276"/>
      <c r="L1" s="275"/>
      <c r="M1" s="276"/>
      <c r="N1" s="277"/>
      <c r="O1" s="276"/>
      <c r="P1" s="275"/>
      <c r="Q1" s="278"/>
      <c r="R1" s="276"/>
      <c r="S1" s="275"/>
    </row>
    <row r="2" spans="2:19" ht="18.75">
      <c r="B2" s="280" t="s">
        <v>5053</v>
      </c>
      <c r="C2" s="281"/>
      <c r="D2" s="275"/>
      <c r="E2" s="276"/>
      <c r="F2" s="275"/>
      <c r="G2" s="276"/>
      <c r="H2" s="275"/>
      <c r="I2" s="276"/>
      <c r="J2" s="275"/>
      <c r="K2" s="276"/>
      <c r="L2" s="275"/>
      <c r="M2" s="276"/>
      <c r="N2" s="277"/>
      <c r="O2" s="276"/>
      <c r="P2" s="275"/>
      <c r="Q2" s="278"/>
      <c r="R2" s="276"/>
      <c r="S2" s="275"/>
    </row>
    <row r="3" spans="2:19" ht="19.5" thickBot="1">
      <c r="B3" s="282" t="s">
        <v>5054</v>
      </c>
      <c r="C3" s="283"/>
      <c r="D3" s="275"/>
      <c r="E3" s="276"/>
      <c r="F3" s="275"/>
      <c r="G3" s="276"/>
      <c r="H3" s="275"/>
      <c r="I3" s="276"/>
      <c r="J3" s="275"/>
      <c r="K3" s="276"/>
      <c r="L3" s="275"/>
      <c r="M3" s="276"/>
      <c r="N3" s="277"/>
      <c r="O3" s="276"/>
      <c r="P3" s="275"/>
      <c r="Q3" s="278"/>
      <c r="R3" s="276"/>
      <c r="S3" s="275"/>
    </row>
    <row r="4" spans="2:19" s="288" customFormat="1" ht="16.5" thickBot="1">
      <c r="B4" s="1818" t="s">
        <v>5055</v>
      </c>
      <c r="C4" s="1819"/>
      <c r="D4" s="284">
        <v>44317</v>
      </c>
      <c r="E4" s="285">
        <v>44621</v>
      </c>
      <c r="F4" s="286">
        <v>44317</v>
      </c>
      <c r="G4" s="285">
        <v>44621</v>
      </c>
      <c r="H4" s="286">
        <v>44317</v>
      </c>
      <c r="I4" s="285">
        <v>44621</v>
      </c>
      <c r="J4" s="286">
        <v>44317</v>
      </c>
      <c r="K4" s="285">
        <v>44621</v>
      </c>
      <c r="L4" s="286">
        <v>44317</v>
      </c>
      <c r="M4" s="285">
        <v>44621</v>
      </c>
      <c r="N4" s="286">
        <v>44317</v>
      </c>
      <c r="O4" s="285">
        <v>44621</v>
      </c>
      <c r="P4" s="286">
        <v>44317</v>
      </c>
      <c r="Q4" s="287">
        <v>44501</v>
      </c>
      <c r="R4" s="285">
        <v>44621</v>
      </c>
      <c r="S4" s="275"/>
    </row>
    <row r="5" spans="2:19" s="288" customFormat="1" ht="57.75" customHeight="1" thickBot="1">
      <c r="B5" s="289"/>
      <c r="C5" s="290"/>
      <c r="D5" s="291" t="s">
        <v>5056</v>
      </c>
      <c r="E5" s="292" t="s">
        <v>5056</v>
      </c>
      <c r="F5" s="293" t="s">
        <v>5057</v>
      </c>
      <c r="G5" s="294" t="s">
        <v>5057</v>
      </c>
      <c r="H5" s="293" t="s">
        <v>5058</v>
      </c>
      <c r="I5" s="294" t="s">
        <v>5058</v>
      </c>
      <c r="J5" s="293" t="s">
        <v>5059</v>
      </c>
      <c r="K5" s="294" t="s">
        <v>5059</v>
      </c>
      <c r="L5" s="293" t="s">
        <v>5060</v>
      </c>
      <c r="M5" s="294" t="s">
        <v>5060</v>
      </c>
      <c r="N5" s="293" t="s">
        <v>5061</v>
      </c>
      <c r="O5" s="294" t="s">
        <v>5061</v>
      </c>
      <c r="P5" s="293" t="s">
        <v>5062</v>
      </c>
      <c r="Q5" s="295" t="s">
        <v>5063</v>
      </c>
      <c r="R5" s="294" t="s">
        <v>5062</v>
      </c>
      <c r="S5" s="275"/>
    </row>
    <row r="6" spans="2:19" s="288" customFormat="1" ht="25.5" customHeight="1">
      <c r="B6" s="1820" t="s">
        <v>5064</v>
      </c>
      <c r="C6" s="1821"/>
      <c r="D6" s="1822"/>
      <c r="E6" s="1822"/>
      <c r="F6" s="1822"/>
      <c r="G6" s="1822"/>
      <c r="H6" s="1822"/>
      <c r="I6" s="1822"/>
      <c r="J6" s="1822"/>
      <c r="K6" s="1822"/>
      <c r="L6" s="1822"/>
      <c r="M6" s="1822"/>
      <c r="N6" s="1822"/>
      <c r="O6" s="1822"/>
      <c r="P6" s="1822"/>
      <c r="Q6" s="1823"/>
      <c r="R6" s="276"/>
      <c r="S6" s="275"/>
    </row>
    <row r="7" spans="2:19" ht="32.25" customHeight="1">
      <c r="B7" s="1816" t="s">
        <v>5065</v>
      </c>
      <c r="C7" s="296" t="s">
        <v>5066</v>
      </c>
      <c r="D7" s="297">
        <v>7</v>
      </c>
      <c r="E7" s="298">
        <f>'TAB EMP'!B2</f>
        <v>130</v>
      </c>
      <c r="F7" s="299"/>
      <c r="G7" s="300"/>
      <c r="H7" s="299"/>
      <c r="I7" s="300"/>
      <c r="J7" s="299"/>
      <c r="K7" s="300"/>
      <c r="L7" s="299"/>
      <c r="M7" s="300"/>
      <c r="N7" s="299"/>
      <c r="O7" s="300"/>
      <c r="P7" s="299"/>
      <c r="Q7" s="301"/>
      <c r="R7" s="300"/>
      <c r="S7" s="275"/>
    </row>
    <row r="8" spans="2:19" ht="32.25" customHeight="1">
      <c r="B8" s="1824"/>
      <c r="C8" s="302" t="s">
        <v>5067</v>
      </c>
      <c r="D8" s="299"/>
      <c r="E8" s="300"/>
      <c r="F8" s="297">
        <v>8.5399999999999991</v>
      </c>
      <c r="G8" s="298">
        <f>'TAB EMP'!B3</f>
        <v>150</v>
      </c>
      <c r="H8" s="299"/>
      <c r="I8" s="300"/>
      <c r="J8" s="299"/>
      <c r="K8" s="300"/>
      <c r="L8" s="299"/>
      <c r="M8" s="300"/>
      <c r="N8" s="299"/>
      <c r="O8" s="300"/>
      <c r="P8" s="299"/>
      <c r="Q8" s="301"/>
      <c r="R8" s="300"/>
      <c r="S8" s="275"/>
    </row>
    <row r="9" spans="2:19" ht="32.25" customHeight="1">
      <c r="B9" s="1817"/>
      <c r="C9" s="302" t="s">
        <v>5068</v>
      </c>
      <c r="D9" s="299"/>
      <c r="E9" s="300"/>
      <c r="F9" s="299"/>
      <c r="G9" s="300"/>
      <c r="H9" s="297">
        <v>10.08</v>
      </c>
      <c r="I9" s="298">
        <f>'TAB EMP'!B4</f>
        <v>170</v>
      </c>
      <c r="J9" s="297">
        <v>10.220000000000001</v>
      </c>
      <c r="K9" s="298">
        <f>'TAB EMP'!B5</f>
        <v>172</v>
      </c>
      <c r="L9" s="297">
        <v>10.36</v>
      </c>
      <c r="M9" s="298">
        <f>'TAB EMP'!B6</f>
        <v>174</v>
      </c>
      <c r="N9" s="297">
        <v>10.5</v>
      </c>
      <c r="O9" s="298">
        <f>'TAB EMP'!B7</f>
        <v>176</v>
      </c>
      <c r="P9" s="297">
        <v>10.64</v>
      </c>
      <c r="Q9" s="303">
        <v>2736000</v>
      </c>
      <c r="R9" s="298">
        <f>'TAB EMP'!B8</f>
        <v>177</v>
      </c>
      <c r="S9" s="275"/>
    </row>
    <row r="10" spans="2:19" ht="30.75" customHeight="1">
      <c r="B10" s="1825" t="s">
        <v>5069</v>
      </c>
      <c r="C10" s="1825"/>
      <c r="D10" s="1825"/>
      <c r="E10" s="1825"/>
      <c r="F10" s="1825"/>
      <c r="G10" s="1825"/>
      <c r="H10" s="1825"/>
      <c r="I10" s="1825"/>
      <c r="J10" s="1825"/>
      <c r="K10" s="1825"/>
      <c r="L10" s="1825"/>
      <c r="M10" s="1825"/>
      <c r="N10" s="1825"/>
      <c r="O10" s="1825"/>
      <c r="P10" s="1825"/>
      <c r="Q10" s="1825"/>
      <c r="R10" s="276"/>
      <c r="S10" s="275"/>
    </row>
    <row r="11" spans="2:19" ht="32.25" customHeight="1">
      <c r="B11" s="1816" t="s">
        <v>5070</v>
      </c>
      <c r="C11" s="302" t="s">
        <v>5071</v>
      </c>
      <c r="D11" s="297">
        <v>11.76</v>
      </c>
      <c r="E11" s="298">
        <f>'TAB EMP'!B9</f>
        <v>192</v>
      </c>
      <c r="F11" s="299"/>
      <c r="G11" s="300"/>
      <c r="H11" s="299"/>
      <c r="I11" s="300"/>
      <c r="J11" s="299"/>
      <c r="K11" s="300"/>
      <c r="L11" s="299"/>
      <c r="M11" s="300"/>
      <c r="N11" s="299"/>
      <c r="O11" s="300"/>
      <c r="P11" s="299"/>
      <c r="Q11" s="301"/>
      <c r="R11" s="300"/>
      <c r="S11" s="275"/>
    </row>
    <row r="12" spans="2:19" ht="32.25" customHeight="1">
      <c r="B12" s="1817"/>
      <c r="C12" s="302" t="s">
        <v>5072</v>
      </c>
      <c r="D12" s="299"/>
      <c r="E12" s="300"/>
      <c r="F12" s="297">
        <v>13.86</v>
      </c>
      <c r="G12" s="298">
        <f>'TAB EMP'!B10</f>
        <v>219</v>
      </c>
      <c r="H12" s="297">
        <v>14</v>
      </c>
      <c r="I12" s="298">
        <f>'TAB EMP'!B11</f>
        <v>221</v>
      </c>
      <c r="J12" s="297">
        <v>14.14</v>
      </c>
      <c r="K12" s="298">
        <f>'TAB EMP'!B12</f>
        <v>223</v>
      </c>
      <c r="L12" s="297">
        <v>14.28</v>
      </c>
      <c r="M12" s="298">
        <f>'TAB EMP'!B13</f>
        <v>225</v>
      </c>
      <c r="N12" s="297">
        <v>14.42</v>
      </c>
      <c r="O12" s="298">
        <f>'TAB EMP'!B14</f>
        <v>226</v>
      </c>
      <c r="P12" s="297">
        <v>14.56</v>
      </c>
      <c r="Q12" s="303">
        <v>3744000</v>
      </c>
      <c r="R12" s="298">
        <f>'TAB EMP'!B15</f>
        <v>228</v>
      </c>
      <c r="S12" s="275"/>
    </row>
    <row r="13" spans="2:19" ht="29.25" customHeight="1">
      <c r="B13" s="1825" t="s">
        <v>5073</v>
      </c>
      <c r="C13" s="1825"/>
      <c r="D13" s="1825"/>
      <c r="E13" s="1825"/>
      <c r="F13" s="1825"/>
      <c r="G13" s="1825"/>
      <c r="H13" s="1825"/>
      <c r="I13" s="1825"/>
      <c r="J13" s="1825"/>
      <c r="K13" s="1825"/>
      <c r="L13" s="1825"/>
      <c r="M13" s="1825"/>
      <c r="N13" s="1825"/>
      <c r="O13" s="1825"/>
      <c r="P13" s="1825"/>
      <c r="Q13" s="1825"/>
      <c r="R13" s="276"/>
      <c r="S13" s="275"/>
    </row>
    <row r="14" spans="2:19" ht="32.25" customHeight="1">
      <c r="B14" s="1816" t="s">
        <v>5074</v>
      </c>
      <c r="C14" s="302" t="s">
        <v>5075</v>
      </c>
      <c r="D14" s="297">
        <v>15.96</v>
      </c>
      <c r="E14" s="298">
        <f>'TAB EMP'!B16</f>
        <v>246</v>
      </c>
      <c r="F14" s="299"/>
      <c r="G14" s="300"/>
      <c r="H14" s="299"/>
      <c r="I14" s="300"/>
      <c r="J14" s="299"/>
      <c r="K14" s="300"/>
      <c r="L14" s="299"/>
      <c r="M14" s="300"/>
      <c r="N14" s="299"/>
      <c r="O14" s="300"/>
      <c r="P14" s="299"/>
      <c r="Q14" s="301"/>
      <c r="R14" s="300"/>
      <c r="S14" s="275"/>
    </row>
    <row r="15" spans="2:19" ht="32.25" customHeight="1">
      <c r="B15" s="1817"/>
      <c r="C15" s="302" t="s">
        <v>5076</v>
      </c>
      <c r="D15" s="299"/>
      <c r="E15" s="300"/>
      <c r="F15" s="297">
        <v>18.34</v>
      </c>
      <c r="G15" s="298">
        <f>'TAB EMP'!B17</f>
        <v>277</v>
      </c>
      <c r="H15" s="297">
        <v>18.48</v>
      </c>
      <c r="I15" s="298">
        <f>'TAB EMP'!B18</f>
        <v>279</v>
      </c>
      <c r="J15" s="297">
        <v>18.62</v>
      </c>
      <c r="K15" s="298">
        <f>'TAB EMP'!B19</f>
        <v>281</v>
      </c>
      <c r="L15" s="297">
        <v>18.760000000000002</v>
      </c>
      <c r="M15" s="298">
        <f>'TAB EMP'!B20</f>
        <v>283</v>
      </c>
      <c r="N15" s="297">
        <v>18.899999999999999</v>
      </c>
      <c r="O15" s="298">
        <f>'TAB EMP'!B21</f>
        <v>285</v>
      </c>
      <c r="P15" s="297">
        <v>19.04</v>
      </c>
      <c r="Q15" s="303">
        <v>4896000</v>
      </c>
      <c r="R15" s="298">
        <f>'TAB EMP'!B22</f>
        <v>287</v>
      </c>
      <c r="S15" s="275"/>
    </row>
    <row r="16" spans="2:19" ht="68.25" customHeight="1" thickBot="1">
      <c r="B16" s="304" t="s">
        <v>5077</v>
      </c>
      <c r="C16" s="305" t="s">
        <v>5078</v>
      </c>
      <c r="D16" s="306">
        <v>20.440000000000001</v>
      </c>
      <c r="E16" s="307">
        <f>'TAB EMP'!B23</f>
        <v>305</v>
      </c>
      <c r="F16" s="306">
        <v>20.58</v>
      </c>
      <c r="G16" s="307">
        <f>'TAB EMP'!B24</f>
        <v>307</v>
      </c>
      <c r="H16" s="306">
        <v>20.72</v>
      </c>
      <c r="I16" s="307">
        <f>'TAB EMP'!B25</f>
        <v>308</v>
      </c>
      <c r="J16" s="306">
        <v>20.86</v>
      </c>
      <c r="K16" s="307">
        <f>'TAB EMP'!B26</f>
        <v>310</v>
      </c>
      <c r="L16" s="306">
        <v>21</v>
      </c>
      <c r="M16" s="307">
        <f>'TAB EMP'!B27</f>
        <v>312</v>
      </c>
      <c r="N16" s="297">
        <v>21.14</v>
      </c>
      <c r="O16" s="307">
        <f>'TAB EMP'!B28</f>
        <v>314</v>
      </c>
      <c r="P16" s="306">
        <v>21.28</v>
      </c>
      <c r="Q16" s="308">
        <v>5472000</v>
      </c>
      <c r="R16" s="307">
        <f>'TAB EMP'!B29</f>
        <v>316</v>
      </c>
      <c r="S16" s="275"/>
    </row>
    <row r="17" spans="2:19" ht="20.100000000000001" customHeight="1">
      <c r="B17" s="309"/>
      <c r="C17" s="309"/>
      <c r="D17" s="310"/>
      <c r="E17" s="311"/>
      <c r="F17" s="312"/>
      <c r="G17" s="313"/>
      <c r="H17" s="312"/>
      <c r="I17" s="313"/>
      <c r="J17" s="312"/>
      <c r="K17" s="313"/>
      <c r="L17" s="312"/>
      <c r="M17" s="313"/>
      <c r="N17" s="314"/>
      <c r="O17" s="313"/>
      <c r="P17" s="312"/>
      <c r="R17" s="313"/>
      <c r="S17" s="275"/>
    </row>
  </sheetData>
  <mergeCells count="7">
    <mergeCell ref="B14:B15"/>
    <mergeCell ref="B4:C4"/>
    <mergeCell ref="B6:Q6"/>
    <mergeCell ref="B7:B9"/>
    <mergeCell ref="B10:Q10"/>
    <mergeCell ref="B11:B12"/>
    <mergeCell ref="B13:Q13"/>
  </mergeCells>
  <pageMargins left="0.31496062992125984" right="0.31496062992125984" top="1.2630314960629923" bottom="0.74803149606299213" header="0.31496062992125984" footer="0.31496062992125984"/>
  <pageSetup paperSize="9" scale="5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>
  <dimension ref="A2:K35"/>
  <sheetViews>
    <sheetView workbookViewId="0">
      <pane ySplit="1800" topLeftCell="A82" activePane="bottomLeft"/>
      <selection pane="bottomLeft" activeCell="C15" sqref="C15"/>
    </sheetView>
  </sheetViews>
  <sheetFormatPr baseColWidth="10" defaultRowHeight="15"/>
  <cols>
    <col min="1" max="1" width="5.28515625" style="601" customWidth="1"/>
    <col min="2" max="2" width="12.7109375" style="601" bestFit="1" customWidth="1"/>
    <col min="3" max="3" width="38" style="601" customWidth="1"/>
    <col min="4" max="5" width="11.42578125" style="896"/>
    <col min="6" max="6" width="13.7109375" style="896" customWidth="1"/>
    <col min="7" max="16384" width="11.42578125" style="601"/>
  </cols>
  <sheetData>
    <row r="2" spans="1:11">
      <c r="C2" s="601" t="s">
        <v>5805</v>
      </c>
    </row>
    <row r="4" spans="1:11" s="895" customFormat="1" ht="30">
      <c r="A4" s="898"/>
      <c r="B4" s="899" t="s">
        <v>2</v>
      </c>
      <c r="C4" s="899" t="s">
        <v>3</v>
      </c>
      <c r="D4" s="899" t="s">
        <v>5804</v>
      </c>
      <c r="E4" s="899" t="s">
        <v>4661</v>
      </c>
      <c r="F4" s="899" t="s">
        <v>5803</v>
      </c>
      <c r="G4" s="899" t="s">
        <v>5101</v>
      </c>
      <c r="H4" s="899" t="s">
        <v>5100</v>
      </c>
      <c r="I4" s="899" t="s">
        <v>5953</v>
      </c>
      <c r="J4" s="899" t="s">
        <v>5954</v>
      </c>
      <c r="K4" s="899" t="s">
        <v>5955</v>
      </c>
    </row>
    <row r="5" spans="1:11" s="895" customFormat="1">
      <c r="A5" s="895" t="s">
        <v>5808</v>
      </c>
      <c r="B5" s="897">
        <v>19591141</v>
      </c>
      <c r="C5" s="601" t="s">
        <v>5210</v>
      </c>
      <c r="D5" s="895" t="s">
        <v>5824</v>
      </c>
      <c r="E5" s="895" t="s">
        <v>5824</v>
      </c>
      <c r="F5" s="895" t="s">
        <v>5824</v>
      </c>
      <c r="I5" s="895" t="s">
        <v>5824</v>
      </c>
      <c r="J5" s="895" t="s">
        <v>5824</v>
      </c>
      <c r="K5" s="895" t="s">
        <v>5824</v>
      </c>
    </row>
    <row r="6" spans="1:11" s="895" customFormat="1">
      <c r="A6" s="895" t="s">
        <v>5808</v>
      </c>
      <c r="B6" s="897">
        <v>15827671</v>
      </c>
      <c r="C6" s="601" t="s">
        <v>5212</v>
      </c>
      <c r="D6" s="895" t="s">
        <v>5825</v>
      </c>
      <c r="E6" s="895" t="s">
        <v>5824</v>
      </c>
      <c r="F6" s="895" t="s">
        <v>5825</v>
      </c>
      <c r="I6" s="895" t="s">
        <v>5824</v>
      </c>
      <c r="J6" s="895" t="s">
        <v>5824</v>
      </c>
      <c r="K6" s="895" t="s">
        <v>5824</v>
      </c>
    </row>
    <row r="7" spans="1:11" s="895" customFormat="1">
      <c r="B7" s="897"/>
      <c r="C7" s="601"/>
    </row>
    <row r="8" spans="1:11">
      <c r="A8" s="601" t="s">
        <v>5807</v>
      </c>
      <c r="B8" s="897">
        <v>14719612</v>
      </c>
      <c r="C8" s="601" t="s">
        <v>4793</v>
      </c>
      <c r="D8" s="895" t="s">
        <v>5824</v>
      </c>
      <c r="E8" s="895" t="s">
        <v>5824</v>
      </c>
      <c r="F8" s="895" t="s">
        <v>5824</v>
      </c>
      <c r="I8" s="895" t="s">
        <v>5824</v>
      </c>
      <c r="J8" s="895" t="s">
        <v>5824</v>
      </c>
      <c r="K8" s="895" t="s">
        <v>5824</v>
      </c>
    </row>
    <row r="9" spans="1:11">
      <c r="A9" s="601" t="s">
        <v>5807</v>
      </c>
      <c r="B9" s="897">
        <v>24565372</v>
      </c>
      <c r="C9" s="601" t="s">
        <v>4906</v>
      </c>
      <c r="D9" s="895" t="s">
        <v>5824</v>
      </c>
      <c r="E9" s="895" t="s">
        <v>5824</v>
      </c>
      <c r="F9" s="895" t="s">
        <v>5824</v>
      </c>
      <c r="I9" s="895" t="s">
        <v>5824</v>
      </c>
      <c r="J9" s="895" t="s">
        <v>5824</v>
      </c>
      <c r="K9" s="895" t="s">
        <v>5824</v>
      </c>
    </row>
    <row r="10" spans="1:11">
      <c r="A10" s="601" t="s">
        <v>5807</v>
      </c>
      <c r="B10" s="897">
        <v>11798459</v>
      </c>
      <c r="C10" s="601" t="s">
        <v>4666</v>
      </c>
      <c r="D10" s="895" t="s">
        <v>5825</v>
      </c>
      <c r="E10" s="895" t="s">
        <v>5825</v>
      </c>
      <c r="F10" s="895" t="s">
        <v>5824</v>
      </c>
    </row>
    <row r="11" spans="1:11">
      <c r="B11" s="897"/>
    </row>
    <row r="12" spans="1:11">
      <c r="A12" s="601" t="s">
        <v>5807</v>
      </c>
      <c r="B12" s="897">
        <v>9162243</v>
      </c>
      <c r="C12" s="601" t="s">
        <v>4698</v>
      </c>
      <c r="D12" s="895" t="s">
        <v>5825</v>
      </c>
      <c r="E12" s="895" t="s">
        <v>5824</v>
      </c>
      <c r="F12" s="895" t="s">
        <v>5825</v>
      </c>
    </row>
    <row r="13" spans="1:11">
      <c r="A13" s="601" t="s">
        <v>5807</v>
      </c>
      <c r="B13" s="897">
        <v>11318697</v>
      </c>
      <c r="C13" s="601" t="s">
        <v>4742</v>
      </c>
      <c r="D13" s="895" t="s">
        <v>5825</v>
      </c>
      <c r="E13" s="895" t="s">
        <v>5824</v>
      </c>
      <c r="F13" s="895" t="s">
        <v>5825</v>
      </c>
    </row>
    <row r="14" spans="1:11">
      <c r="A14" s="601" t="s">
        <v>5807</v>
      </c>
      <c r="B14" s="897">
        <v>16883267</v>
      </c>
      <c r="C14" s="601" t="s">
        <v>4831</v>
      </c>
      <c r="D14" s="895" t="s">
        <v>5825</v>
      </c>
      <c r="E14" s="895" t="s">
        <v>5824</v>
      </c>
      <c r="F14" s="895" t="s">
        <v>5825</v>
      </c>
    </row>
    <row r="15" spans="1:11">
      <c r="A15" s="601" t="s">
        <v>5807</v>
      </c>
      <c r="B15" s="897">
        <v>23782360</v>
      </c>
      <c r="C15" s="601" t="s">
        <v>4901</v>
      </c>
      <c r="D15" s="895" t="s">
        <v>5825</v>
      </c>
      <c r="E15" s="895" t="s">
        <v>5824</v>
      </c>
      <c r="F15" s="895" t="s">
        <v>5825</v>
      </c>
    </row>
    <row r="16" spans="1:11">
      <c r="A16" s="601" t="s">
        <v>5806</v>
      </c>
      <c r="B16" s="897">
        <v>14719205</v>
      </c>
      <c r="C16" s="601" t="s">
        <v>5016</v>
      </c>
      <c r="D16" s="895" t="s">
        <v>5825</v>
      </c>
      <c r="E16" s="895" t="s">
        <v>5824</v>
      </c>
      <c r="F16" s="895" t="s">
        <v>5825</v>
      </c>
    </row>
    <row r="17" spans="1:11">
      <c r="B17" s="897"/>
      <c r="D17" s="895"/>
      <c r="E17" s="895"/>
      <c r="F17" s="895"/>
    </row>
    <row r="18" spans="1:11">
      <c r="A18" s="601" t="s">
        <v>5807</v>
      </c>
      <c r="B18" s="897">
        <v>9328224</v>
      </c>
      <c r="C18" s="601" t="s">
        <v>4709</v>
      </c>
      <c r="D18" s="895"/>
      <c r="E18" s="895"/>
      <c r="F18" s="895"/>
      <c r="H18" s="601" t="s">
        <v>5825</v>
      </c>
    </row>
    <row r="19" spans="1:11">
      <c r="A19" s="601" t="s">
        <v>5956</v>
      </c>
      <c r="B19" s="897">
        <v>11320533</v>
      </c>
      <c r="C19" s="601" t="s">
        <v>4744</v>
      </c>
      <c r="D19" s="895"/>
      <c r="E19" s="895"/>
      <c r="F19" s="895"/>
      <c r="H19" s="601" t="s">
        <v>5825</v>
      </c>
    </row>
    <row r="20" spans="1:11">
      <c r="A20" s="601" t="s">
        <v>5807</v>
      </c>
      <c r="B20" s="897">
        <v>14599252</v>
      </c>
      <c r="C20" s="601" t="s">
        <v>4790</v>
      </c>
      <c r="H20" s="601" t="s">
        <v>5825</v>
      </c>
    </row>
    <row r="21" spans="1:11">
      <c r="A21" s="601" t="s">
        <v>5807</v>
      </c>
      <c r="B21" s="897">
        <v>16376698</v>
      </c>
      <c r="C21" s="601" t="s">
        <v>4821</v>
      </c>
      <c r="H21" s="601" t="s">
        <v>5825</v>
      </c>
    </row>
    <row r="22" spans="1:11">
      <c r="A22" s="601" t="s">
        <v>5806</v>
      </c>
      <c r="B22" s="897">
        <v>9110498</v>
      </c>
      <c r="C22" s="601" t="s">
        <v>4969</v>
      </c>
      <c r="G22" s="601" t="s">
        <v>5825</v>
      </c>
    </row>
    <row r="23" spans="1:11">
      <c r="A23" s="601" t="s">
        <v>5806</v>
      </c>
      <c r="B23" s="897">
        <v>11129355</v>
      </c>
      <c r="C23" s="601" t="s">
        <v>4988</v>
      </c>
      <c r="H23" s="601" t="s">
        <v>5825</v>
      </c>
    </row>
    <row r="24" spans="1:11">
      <c r="B24" s="897"/>
    </row>
    <row r="25" spans="1:11">
      <c r="A25" s="601" t="s">
        <v>5807</v>
      </c>
      <c r="B25" s="897">
        <v>5762861</v>
      </c>
      <c r="C25" s="601" t="s">
        <v>4691</v>
      </c>
      <c r="I25" s="601" t="s">
        <v>5824</v>
      </c>
      <c r="J25" s="601" t="s">
        <v>5824</v>
      </c>
      <c r="K25" s="601" t="s">
        <v>5825</v>
      </c>
    </row>
    <row r="26" spans="1:11">
      <c r="A26" s="601" t="s">
        <v>5807</v>
      </c>
      <c r="B26" s="897">
        <v>9177323</v>
      </c>
      <c r="C26" s="601" t="s">
        <v>4700</v>
      </c>
      <c r="I26" s="601" t="s">
        <v>5824</v>
      </c>
      <c r="J26" s="601" t="s">
        <v>5824</v>
      </c>
      <c r="K26" s="601" t="s">
        <v>5825</v>
      </c>
    </row>
    <row r="27" spans="1:11">
      <c r="A27" s="601" t="s">
        <v>5806</v>
      </c>
      <c r="B27" s="897">
        <v>5757455</v>
      </c>
      <c r="C27" s="601" t="s">
        <v>4960</v>
      </c>
      <c r="I27" s="601" t="s">
        <v>5824</v>
      </c>
      <c r="J27" s="601" t="s">
        <v>5824</v>
      </c>
      <c r="K27" s="601" t="s">
        <v>5825</v>
      </c>
    </row>
    <row r="28" spans="1:11">
      <c r="A28" s="601" t="s">
        <v>5806</v>
      </c>
      <c r="B28" s="897">
        <v>9011963</v>
      </c>
      <c r="C28" s="601" t="s">
        <v>4967</v>
      </c>
      <c r="I28" s="601" t="s">
        <v>5824</v>
      </c>
      <c r="J28" s="601" t="s">
        <v>5824</v>
      </c>
      <c r="K28" s="601" t="s">
        <v>5825</v>
      </c>
    </row>
    <row r="29" spans="1:11">
      <c r="B29" s="897"/>
    </row>
    <row r="30" spans="1:11">
      <c r="B30" s="897"/>
    </row>
    <row r="31" spans="1:11">
      <c r="B31" s="897"/>
    </row>
    <row r="32" spans="1:11">
      <c r="B32" s="897"/>
    </row>
    <row r="33" spans="2:2">
      <c r="B33" s="897"/>
    </row>
    <row r="34" spans="2:2">
      <c r="B34" s="897"/>
    </row>
    <row r="35" spans="2:2">
      <c r="B35" s="897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37</vt:i4>
      </vt:variant>
    </vt:vector>
  </HeadingPairs>
  <TitlesOfParts>
    <vt:vector size="60" baseType="lpstr">
      <vt:lpstr>APORTE FAOV</vt:lpstr>
      <vt:lpstr>Aporte SSO-SPF</vt:lpstr>
      <vt:lpstr>SUODE</vt:lpstr>
      <vt:lpstr>SURTRAPPS</vt:lpstr>
      <vt:lpstr>RETENC FAOV</vt:lpstr>
      <vt:lpstr>Retencion SSO-SPF</vt:lpstr>
      <vt:lpstr>Imprimir 4TO Agui </vt:lpstr>
      <vt:lpstr>Imprimir CT</vt:lpstr>
      <vt:lpstr>Imprimir 2a</vt:lpstr>
      <vt:lpstr>Aportes</vt:lpstr>
      <vt:lpstr>Imprimir 1ra</vt:lpstr>
      <vt:lpstr>NOMINA</vt:lpstr>
      <vt:lpstr>EJEMPLO CALCULO AGUINALDOS NUEV</vt:lpstr>
      <vt:lpstr>HIJOS </vt:lpstr>
      <vt:lpstr>HIJOS 12 AÑOS</vt:lpstr>
      <vt:lpstr>Hoja1</vt:lpstr>
      <vt:lpstr>CONCEPTOS Y PARAMETROS</vt:lpstr>
      <vt:lpstr>TAB EMP</vt:lpstr>
      <vt:lpstr>TAB OBR</vt:lpstr>
      <vt:lpstr>CARGOS</vt:lpstr>
      <vt:lpstr>CARGOS POA</vt:lpstr>
      <vt:lpstr>TAB EMP (2)</vt:lpstr>
      <vt:lpstr>Varios</vt:lpstr>
      <vt:lpstr>'APORTE FAOV'!Área_de_impresión</vt:lpstr>
      <vt:lpstr>'Aporte SSO-SPF'!Área_de_impresión</vt:lpstr>
      <vt:lpstr>Aportes!Área_de_impresión</vt:lpstr>
      <vt:lpstr>'EJEMPLO CALCULO AGUINALDOS NUEV'!Área_de_impresión</vt:lpstr>
      <vt:lpstr>'Imprimir 1ra'!Área_de_impresión</vt:lpstr>
      <vt:lpstr>'Imprimir 2a'!Área_de_impresión</vt:lpstr>
      <vt:lpstr>'Imprimir 4TO Agui '!Área_de_impresión</vt:lpstr>
      <vt:lpstr>'Imprimir CT'!Área_de_impresión</vt:lpstr>
      <vt:lpstr>NOMINA!Área_de_impresión</vt:lpstr>
      <vt:lpstr>'RETENC FAOV'!Área_de_impresión</vt:lpstr>
      <vt:lpstr>'Retencion SSO-SPF'!Área_de_impresión</vt:lpstr>
      <vt:lpstr>SUODE!Área_de_impresión</vt:lpstr>
      <vt:lpstr>SURTRAPPS!Área_de_impresión</vt:lpstr>
      <vt:lpstr>'TAB EMP (2)'!Área_de_impresión</vt:lpstr>
      <vt:lpstr>BONONOCTURN</vt:lpstr>
      <vt:lpstr>CESTAT</vt:lpstr>
      <vt:lpstr>DIAF</vt:lpstr>
      <vt:lpstr>DIASDESC</vt:lpstr>
      <vt:lpstr>DIRECTIVOS</vt:lpstr>
      <vt:lpstr>Empleado</vt:lpstr>
      <vt:lpstr>HIJOS</vt:lpstr>
      <vt:lpstr>HORASE</vt:lpstr>
      <vt:lpstr>MES</vt:lpstr>
      <vt:lpstr>Obrero</vt:lpstr>
      <vt:lpstr>TABEMP</vt:lpstr>
      <vt:lpstr>TABOBR</vt:lpstr>
      <vt:lpstr>'APORTE FAOV'!Títulos_a_imprimir</vt:lpstr>
      <vt:lpstr>'Aporte SSO-SPF'!Títulos_a_imprimir</vt:lpstr>
      <vt:lpstr>Aportes!Títulos_a_imprimir</vt:lpstr>
      <vt:lpstr>'Imprimir 1ra'!Títulos_a_imprimir</vt:lpstr>
      <vt:lpstr>'Imprimir 2a'!Títulos_a_imprimir</vt:lpstr>
      <vt:lpstr>'Imprimir 4TO Agui '!Títulos_a_imprimir</vt:lpstr>
      <vt:lpstr>'Imprimir CT'!Títulos_a_imprimir</vt:lpstr>
      <vt:lpstr>'RETENC FAOV'!Títulos_a_imprimir</vt:lpstr>
      <vt:lpstr>'Retencion SSO-SPF'!Títulos_a_imprimir</vt:lpstr>
      <vt:lpstr>SUODE!Títulos_a_imprimir</vt:lpstr>
      <vt:lpstr>SURTRAPPS!Títulos_a_imprimir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rrhh_01</dc:creator>
  <cp:lastModifiedBy>Admin</cp:lastModifiedBy>
  <cp:lastPrinted>2025-01-13T12:46:48Z</cp:lastPrinted>
  <dcterms:created xsi:type="dcterms:W3CDTF">2017-01-20T14:29:13Z</dcterms:created>
  <dcterms:modified xsi:type="dcterms:W3CDTF">2025-01-17T18:05:16Z</dcterms:modified>
</cp:coreProperties>
</file>